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ALL Empreiteira\Acácias JK - 2023.12\04. Custo\03.5 Custo - Determinação do orçamento\R04\"/>
    </mc:Choice>
  </mc:AlternateContent>
  <xr:revisionPtr revIDLastSave="0" documentId="8_{52497957-DCA8-47AA-85CA-99CE21C3CA43}" xr6:coauthVersionLast="47" xr6:coauthVersionMax="47" xr10:uidLastSave="{00000000-0000-0000-0000-000000000000}"/>
  <bookViews>
    <workbookView xWindow="28680" yWindow="-120" windowWidth="29040" windowHeight="15720" tabRatio="757" xr2:uid="{6179B842-6D81-455F-BCE3-04F051A04890}"/>
  </bookViews>
  <sheets>
    <sheet name="CAPA" sheetId="54" r:id="rId1"/>
    <sheet name="Resumo_Parede" sheetId="72" state="hidden" r:id="rId2"/>
    <sheet name="OBRA" sheetId="55" r:id="rId3"/>
    <sheet name="Quadro de Áreas" sheetId="75" r:id="rId4"/>
    <sheet name="Resumo" sheetId="70" r:id="rId5"/>
    <sheet name="Orçamento" sheetId="2" r:id="rId6"/>
    <sheet name="Insumos" sheetId="61" r:id="rId7"/>
    <sheet name="ABC Insumos Apoio" sheetId="64" state="hidden" r:id="rId8"/>
    <sheet name="ABC Serviços Apoio" sheetId="65" state="hidden" r:id="rId9"/>
    <sheet name="Custos Serviços" sheetId="68" r:id="rId10"/>
    <sheet name="ABC Insumos" sheetId="5" state="hidden" r:id="rId11"/>
    <sheet name="ABC Insumos_" sheetId="71" r:id="rId12"/>
    <sheet name="ABC Serviços_" sheetId="76" r:id="rId13"/>
    <sheet name="ABC Serviços" sheetId="73" state="hidden" r:id="rId14"/>
    <sheet name="Levantamento Adcional " sheetId="74" r:id="rId15"/>
    <sheet name="Cont.Tecnol." sheetId="28" state="hidden" r:id="rId16"/>
  </sheets>
  <definedNames>
    <definedName name="\xasd" localSheetId="15" hidden="1">{#N/A,#N/A,FALSE,"Plan1";#N/A,#N/A,FALSE,"Plan2"}</definedName>
    <definedName name="\xasd" hidden="1">{#N/A,#N/A,FALSE,"Plan1";#N/A,#N/A,FALSE,"Plan2"}</definedName>
    <definedName name="_" hidden="1">#REF!</definedName>
    <definedName name="__" hidden="1">#REF!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key2" hidden="1">#REF!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hidden="1">#REF!</definedName>
    <definedName name="____la29" hidden="1">#REF!</definedName>
    <definedName name="____la3" hidden="1">#REF!</definedName>
    <definedName name="____la31" hidden="1">#REF!</definedName>
    <definedName name="____la32" hidden="1">#REF!</definedName>
    <definedName name="____la4" hidden="1">#REF!</definedName>
    <definedName name="____la5" hidden="1">#REF!</definedName>
    <definedName name="____la6" hidden="1">#REF!</definedName>
    <definedName name="____la7" hidden="1">#REF!</definedName>
    <definedName name="____la8" hidden="1">#REF!</definedName>
    <definedName name="____la9" hidden="1">#REF!</definedName>
    <definedName name="____lb1" hidden="1">#REF!</definedName>
    <definedName name="____lb10" hidden="1">#REF!</definedName>
    <definedName name="____lb11" hidden="1">#REF!</definedName>
    <definedName name="____lb12" hidden="1">#REF!</definedName>
    <definedName name="____lb13" hidden="1">#REF!</definedName>
    <definedName name="____lb14" hidden="1">#REF!</definedName>
    <definedName name="____lb15" hidden="1">#REF!</definedName>
    <definedName name="____lb16" hidden="1">#REF!</definedName>
    <definedName name="____lb17" hidden="1">#REF!</definedName>
    <definedName name="____lb18" hidden="1">#REF!</definedName>
    <definedName name="____lb19" hidden="1">#REF!</definedName>
    <definedName name="____lb2" hidden="1">#REF!</definedName>
    <definedName name="____lb20" hidden="1">#REF!</definedName>
    <definedName name="____lb21" hidden="1">#REF!</definedName>
    <definedName name="____lb22" hidden="1">#REF!</definedName>
    <definedName name="____lb23" hidden="1">#REF!</definedName>
    <definedName name="____lb24" hidden="1">#REF!</definedName>
    <definedName name="____lb25" hidden="1">#REF!</definedName>
    <definedName name="____lb27" hidden="1">#REF!</definedName>
    <definedName name="____lb28" hidden="1">#REF!</definedName>
    <definedName name="____lb29" hidden="1">#REF!</definedName>
    <definedName name="____lb3" hidden="1">#REF!</definedName>
    <definedName name="____lb30" hidden="1">#REF!</definedName>
    <definedName name="____lb31" hidden="1">#REF!</definedName>
    <definedName name="____lb32" hidden="1">#REF!</definedName>
    <definedName name="____lb4" hidden="1">#REF!</definedName>
    <definedName name="____lb5" hidden="1">#REF!</definedName>
    <definedName name="____lb6" hidden="1">#REF!</definedName>
    <definedName name="____lb7" hidden="1">#REF!</definedName>
    <definedName name="____lb8" hidden="1">#REF!</definedName>
    <definedName name="____lb9" hidden="1">#REF!</definedName>
    <definedName name="____lbc1" hidden="1">#REF!</definedName>
    <definedName name="____lbc10" hidden="1">#REF!</definedName>
    <definedName name="____lbc11" hidden="1">#REF!</definedName>
    <definedName name="____lbc12" hidden="1">#REF!</definedName>
    <definedName name="____lbc13" hidden="1">#REF!</definedName>
    <definedName name="____lbc14" hidden="1">#REF!</definedName>
    <definedName name="____lbc15" hidden="1">#REF!</definedName>
    <definedName name="____lbc16" hidden="1">#REF!</definedName>
    <definedName name="____lbc17" hidden="1">#REF!</definedName>
    <definedName name="____lbc18" hidden="1">#REF!</definedName>
    <definedName name="____lbc19" hidden="1">#REF!</definedName>
    <definedName name="____lbc2" hidden="1">#REF!</definedName>
    <definedName name="____lbc20" hidden="1">#REF!</definedName>
    <definedName name="____lbc21" hidden="1">#REF!</definedName>
    <definedName name="____lbc22" hidden="1">#REF!</definedName>
    <definedName name="____lbc23" hidden="1">#REF!</definedName>
    <definedName name="____lbc24" hidden="1">#REF!</definedName>
    <definedName name="____lbc25" hidden="1">#REF!</definedName>
    <definedName name="____lbc26" hidden="1">#REF!</definedName>
    <definedName name="____lbc27" hidden="1">#REF!</definedName>
    <definedName name="____lbc28" hidden="1">#REF!</definedName>
    <definedName name="____lbc29" hidden="1">#REF!</definedName>
    <definedName name="____lbc3" hidden="1">#REF!</definedName>
    <definedName name="____lbc31" hidden="1">#REF!</definedName>
    <definedName name="____lbc32" hidden="1">#REF!</definedName>
    <definedName name="____lbc4" hidden="1">#REF!</definedName>
    <definedName name="____lbc5" hidden="1">#REF!</definedName>
    <definedName name="____lbc6" hidden="1">#REF!</definedName>
    <definedName name="____lbc7" hidden="1">#REF!</definedName>
    <definedName name="____lbc8" hidden="1">#REF!</definedName>
    <definedName name="____lbc9" hidden="1">#REF!</definedName>
    <definedName name="____ld26" hidden="1">#REF!</definedName>
    <definedName name="____ld31" hidden="1">#REF!</definedName>
    <definedName name="____le31" hidden="1">#REF!</definedName>
    <definedName name="____lf31" hidden="1">#REF!</definedName>
    <definedName name="____PK2" hidden="1">{"'장비'!$A$3:$M$12"}</definedName>
    <definedName name="____PKG3" hidden="1">{"'장비'!$A$3:$M$12"}</definedName>
    <definedName name="____qqq222" hidden="1">{"'장비'!$A$3:$M$12"}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hidden="1">#REF!</definedName>
    <definedName name="____x11" hidden="1">#REF!</definedName>
    <definedName name="____x12" hidden="1">#REF!</definedName>
    <definedName name="____x13" hidden="1">#REF!</definedName>
    <definedName name="____x14" hidden="1">#REF!</definedName>
    <definedName name="____x15" hidden="1">#REF!</definedName>
    <definedName name="____x16" hidden="1">#REF!</definedName>
    <definedName name="____x17" hidden="1">#REF!</definedName>
    <definedName name="____x18" hidden="1">#REF!</definedName>
    <definedName name="____x19" hidden="1">#REF!</definedName>
    <definedName name="____x20" hidden="1">#REF!</definedName>
    <definedName name="____x21" hidden="1">#REF!</definedName>
    <definedName name="____x22" hidden="1">#REF!</definedName>
    <definedName name="____x23" hidden="1">#REF!</definedName>
    <definedName name="____x24" hidden="1">#REF!</definedName>
    <definedName name="____x25" hidden="1">#REF!</definedName>
    <definedName name="____x28" hidden="1">#REF!</definedName>
    <definedName name="____x29" hidden="1">#REF!</definedName>
    <definedName name="____x32" hidden="1">#REF!</definedName>
    <definedName name="____x4" hidden="1">#REF!</definedName>
    <definedName name="____x5" hidden="1">#REF!</definedName>
    <definedName name="____x6" hidden="1">#REF!</definedName>
    <definedName name="____x7" hidden="1">#REF!</definedName>
    <definedName name="____x8" hidden="1">#REF!</definedName>
    <definedName name="____x9" hidden="1">#REF!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hidden="1">#REF!</definedName>
    <definedName name="___la29" hidden="1">#REF!</definedName>
    <definedName name="___la3" hidden="1">#REF!</definedName>
    <definedName name="___la31" hidden="1">#REF!</definedName>
    <definedName name="___la32" hidden="1">#REF!</definedName>
    <definedName name="___la4" hidden="1">#REF!</definedName>
    <definedName name="___la5" hidden="1">#REF!</definedName>
    <definedName name="___la6" hidden="1">#REF!</definedName>
    <definedName name="___la7" hidden="1">#REF!</definedName>
    <definedName name="___la8" hidden="1">#REF!</definedName>
    <definedName name="___la9" hidden="1">#REF!</definedName>
    <definedName name="___lb1" hidden="1">#REF!</definedName>
    <definedName name="___lb10" hidden="1">#REF!</definedName>
    <definedName name="___lb11" hidden="1">#REF!</definedName>
    <definedName name="___lb12" hidden="1">#REF!</definedName>
    <definedName name="___lb13" hidden="1">#REF!</definedName>
    <definedName name="___lb14" hidden="1">#REF!</definedName>
    <definedName name="___lb15" hidden="1">#REF!</definedName>
    <definedName name="___lb16" hidden="1">#REF!</definedName>
    <definedName name="___lb17" hidden="1">#REF!</definedName>
    <definedName name="___lb18" hidden="1">#REF!</definedName>
    <definedName name="___lb19" hidden="1">#REF!</definedName>
    <definedName name="___lb2" hidden="1">#REF!</definedName>
    <definedName name="___lb20" hidden="1">#REF!</definedName>
    <definedName name="___lb21" hidden="1">#REF!</definedName>
    <definedName name="___lb22" hidden="1">#REF!</definedName>
    <definedName name="___lb23" hidden="1">#REF!</definedName>
    <definedName name="___lb24" hidden="1">#REF!</definedName>
    <definedName name="___lb25" hidden="1">#REF!</definedName>
    <definedName name="___lb27" hidden="1">#REF!</definedName>
    <definedName name="___lb28" hidden="1">#REF!</definedName>
    <definedName name="___lb29" hidden="1">#REF!</definedName>
    <definedName name="___lb3" hidden="1">#REF!</definedName>
    <definedName name="___lb30" hidden="1">#REF!</definedName>
    <definedName name="___lb31" hidden="1">#REF!</definedName>
    <definedName name="___lb32" hidden="1">#REF!</definedName>
    <definedName name="___lb4" hidden="1">#REF!</definedName>
    <definedName name="___lb5" hidden="1">#REF!</definedName>
    <definedName name="___lb6" hidden="1">#REF!</definedName>
    <definedName name="___lb7" hidden="1">#REF!</definedName>
    <definedName name="___lb8" hidden="1">#REF!</definedName>
    <definedName name="___lb9" hidden="1">#REF!</definedName>
    <definedName name="___lbc1" hidden="1">#REF!</definedName>
    <definedName name="___lbc10" hidden="1">#REF!</definedName>
    <definedName name="___lbc11" hidden="1">#REF!</definedName>
    <definedName name="___lbc12" hidden="1">#REF!</definedName>
    <definedName name="___lbc13" hidden="1">#REF!</definedName>
    <definedName name="___lbc14" hidden="1">#REF!</definedName>
    <definedName name="___lbc15" hidden="1">#REF!</definedName>
    <definedName name="___lbc16" hidden="1">#REF!</definedName>
    <definedName name="___lbc17" hidden="1">#REF!</definedName>
    <definedName name="___lbc18" hidden="1">#REF!</definedName>
    <definedName name="___lbc19" hidden="1">#REF!</definedName>
    <definedName name="___lbc2" hidden="1">#REF!</definedName>
    <definedName name="___lbc20" hidden="1">#REF!</definedName>
    <definedName name="___lbc21" hidden="1">#REF!</definedName>
    <definedName name="___lbc22" hidden="1">#REF!</definedName>
    <definedName name="___lbc23" hidden="1">#REF!</definedName>
    <definedName name="___lbc24" hidden="1">#REF!</definedName>
    <definedName name="___lbc25" hidden="1">#REF!</definedName>
    <definedName name="___lbc26" hidden="1">#REF!</definedName>
    <definedName name="___lbc27" hidden="1">#REF!</definedName>
    <definedName name="___lbc28" hidden="1">#REF!</definedName>
    <definedName name="___lbc29" hidden="1">#REF!</definedName>
    <definedName name="___lbc3" hidden="1">#REF!</definedName>
    <definedName name="___lbc31" hidden="1">#REF!</definedName>
    <definedName name="___lbc32" hidden="1">#REF!</definedName>
    <definedName name="___lbc4" hidden="1">#REF!</definedName>
    <definedName name="___lbc5" hidden="1">#REF!</definedName>
    <definedName name="___lbc6" hidden="1">#REF!</definedName>
    <definedName name="___lbc7" hidden="1">#REF!</definedName>
    <definedName name="___lbc8" hidden="1">#REF!</definedName>
    <definedName name="___lbc9" hidden="1">#REF!</definedName>
    <definedName name="___ld26" hidden="1">#REF!</definedName>
    <definedName name="___ld31" hidden="1">#REF!</definedName>
    <definedName name="___le31" hidden="1">#REF!</definedName>
    <definedName name="___lf31" hidden="1">#REF!</definedName>
    <definedName name="___PK2" hidden="1">{"'장비'!$A$3:$M$12"}</definedName>
    <definedName name="___PKG3" hidden="1">{"'장비'!$A$3:$M$12"}</definedName>
    <definedName name="___qqq222" hidden="1">{"'장비'!$A$3:$M$12"}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hidden="1">#REF!</definedName>
    <definedName name="___x11" hidden="1">#REF!</definedName>
    <definedName name="___x12" hidden="1">#REF!</definedName>
    <definedName name="___x13" hidden="1">#REF!</definedName>
    <definedName name="___x14" hidden="1">#REF!</definedName>
    <definedName name="___x15" hidden="1">#REF!</definedName>
    <definedName name="___x16" hidden="1">#REF!</definedName>
    <definedName name="___x17" hidden="1">#REF!</definedName>
    <definedName name="___x18" hidden="1">#REF!</definedName>
    <definedName name="___x19" hidden="1">#REF!</definedName>
    <definedName name="___x20" hidden="1">#REF!</definedName>
    <definedName name="___x21" hidden="1">#REF!</definedName>
    <definedName name="___x22" hidden="1">#REF!</definedName>
    <definedName name="___x23" hidden="1">#REF!</definedName>
    <definedName name="___x24" hidden="1">#REF!</definedName>
    <definedName name="___x25" hidden="1">#REF!</definedName>
    <definedName name="___x28" hidden="1">#REF!</definedName>
    <definedName name="___x29" hidden="1">#REF!</definedName>
    <definedName name="___x32" hidden="1">#REF!</definedName>
    <definedName name="___x4" hidden="1">#REF!</definedName>
    <definedName name="___x5" hidden="1">#REF!</definedName>
    <definedName name="___x6" hidden="1">#REF!</definedName>
    <definedName name="___x7" hidden="1">#REF!</definedName>
    <definedName name="___x8" hidden="1">#REF!</definedName>
    <definedName name="___x9" hidden="1">#REF!</definedName>
    <definedName name="__123Graph_A" hidden="1">#REF!</definedName>
    <definedName name="__123Graph_AChart1" hidden="1">#REF!</definedName>
    <definedName name="__123Graph_ACurrent" hidden="1">#REF!</definedName>
    <definedName name="__123Graph_ACUSTO" hidden="1">#REF!</definedName>
    <definedName name="__123Graph_AFAT" hidden="1">#REF!</definedName>
    <definedName name="__123Graph_AGRA1" hidden="1">#REF!</definedName>
    <definedName name="__123Graph_ARES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CUSTO" hidden="1">#REF!</definedName>
    <definedName name="__123Graph_BFAT" hidden="1">#REF!</definedName>
    <definedName name="__123Graph_BPERFORMANCE" hidden="1">#REF!</definedName>
    <definedName name="__123Graph_BRES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" hidden="1">#REF!</definedName>
    <definedName name="__123Graph_LBL_B" hidden="1">#REF!</definedName>
    <definedName name="__123Graph_X" localSheetId="15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CUSTO" hidden="1">#REF!</definedName>
    <definedName name="__123Graph_XFAT" hidden="1">#REF!</definedName>
    <definedName name="__123Graph_XGRA1" hidden="1">#REF!</definedName>
    <definedName name="__123Graph_XRES" hidden="1">#REF!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key2" hidden="1">#REF!</definedName>
    <definedName name="__la29" hidden="1">#REF!</definedName>
    <definedName name="__la3" hidden="1">#REF!</definedName>
    <definedName name="__la31" hidden="1">#REF!</definedName>
    <definedName name="__la32" hidden="1">#REF!</definedName>
    <definedName name="__la4" hidden="1">#REF!</definedName>
    <definedName name="__la5" hidden="1">#REF!</definedName>
    <definedName name="__la6" hidden="1">#REF!</definedName>
    <definedName name="__la7" hidden="1">#REF!</definedName>
    <definedName name="__la8" hidden="1">#REF!</definedName>
    <definedName name="__la9" hidden="1">#REF!</definedName>
    <definedName name="__lb1" hidden="1">#REF!</definedName>
    <definedName name="__lb10" hidden="1">#REF!</definedName>
    <definedName name="__lb11" hidden="1">#REF!</definedName>
    <definedName name="__lb12" hidden="1">#REF!</definedName>
    <definedName name="__lb13" hidden="1">#REF!</definedName>
    <definedName name="__lb14" hidden="1">#REF!</definedName>
    <definedName name="__lb15" hidden="1">#REF!</definedName>
    <definedName name="__lb16" hidden="1">#REF!</definedName>
    <definedName name="__lb17" hidden="1">#REF!</definedName>
    <definedName name="__lb18" hidden="1">#REF!</definedName>
    <definedName name="__lb19" hidden="1">#REF!</definedName>
    <definedName name="__lb2" hidden="1">#REF!</definedName>
    <definedName name="__lb20" hidden="1">#REF!</definedName>
    <definedName name="__lb21" hidden="1">#REF!</definedName>
    <definedName name="__lb22" hidden="1">#REF!</definedName>
    <definedName name="__lb23" hidden="1">#REF!</definedName>
    <definedName name="__lb24" hidden="1">#REF!</definedName>
    <definedName name="__lb25" hidden="1">#REF!</definedName>
    <definedName name="__lb27" hidden="1">#REF!</definedName>
    <definedName name="__lb28" hidden="1">#REF!</definedName>
    <definedName name="__lb29" hidden="1">#REF!</definedName>
    <definedName name="__lb3" hidden="1">#REF!</definedName>
    <definedName name="__lb30" hidden="1">#REF!</definedName>
    <definedName name="__lb31" hidden="1">#REF!</definedName>
    <definedName name="__lb32" hidden="1">#REF!</definedName>
    <definedName name="__lb4" hidden="1">#REF!</definedName>
    <definedName name="__lb5" hidden="1">#REF!</definedName>
    <definedName name="__lb6" hidden="1">#REF!</definedName>
    <definedName name="__lb7" hidden="1">#REF!</definedName>
    <definedName name="__lb8" hidden="1">#REF!</definedName>
    <definedName name="__lb9" hidden="1">#REF!</definedName>
    <definedName name="__lbc1" hidden="1">#REF!</definedName>
    <definedName name="__lbc10" hidden="1">#REF!</definedName>
    <definedName name="__lbc11" hidden="1">#REF!</definedName>
    <definedName name="__lbc12" hidden="1">#REF!</definedName>
    <definedName name="__lbc13" hidden="1">#REF!</definedName>
    <definedName name="__lbc14" hidden="1">#REF!</definedName>
    <definedName name="__lbc15" hidden="1">#REF!</definedName>
    <definedName name="__lbc16" hidden="1">#REF!</definedName>
    <definedName name="__lbc17" hidden="1">#REF!</definedName>
    <definedName name="__lbc18" hidden="1">#REF!</definedName>
    <definedName name="__lbc19" hidden="1">#REF!</definedName>
    <definedName name="__lbc2" hidden="1">#REF!</definedName>
    <definedName name="__lbc20" hidden="1">#REF!</definedName>
    <definedName name="__lbc21" hidden="1">#REF!</definedName>
    <definedName name="__lbc22" hidden="1">#REF!</definedName>
    <definedName name="__lbc23" hidden="1">#REF!</definedName>
    <definedName name="__lbc24" hidden="1">#REF!</definedName>
    <definedName name="__lbc25" hidden="1">#REF!</definedName>
    <definedName name="__lbc26" hidden="1">#REF!</definedName>
    <definedName name="__lbc27" hidden="1">#REF!</definedName>
    <definedName name="__lbc28" hidden="1">#REF!</definedName>
    <definedName name="__lbc29" hidden="1">#REF!</definedName>
    <definedName name="__lbc3" hidden="1">#REF!</definedName>
    <definedName name="__lbc31" hidden="1">#REF!</definedName>
    <definedName name="__lbc32" hidden="1">#REF!</definedName>
    <definedName name="__lbc4" hidden="1">#REF!</definedName>
    <definedName name="__lbc5" hidden="1">#REF!</definedName>
    <definedName name="__lbc6" hidden="1">#REF!</definedName>
    <definedName name="__lbc7" hidden="1">#REF!</definedName>
    <definedName name="__lbc8" hidden="1">#REF!</definedName>
    <definedName name="__lbc9" hidden="1">#REF!</definedName>
    <definedName name="__ld26" hidden="1">#REF!</definedName>
    <definedName name="__ld31" hidden="1">#REF!</definedName>
    <definedName name="__le31" hidden="1">#REF!</definedName>
    <definedName name="__lf31" hidden="1">#REF!</definedName>
    <definedName name="__PK2" hidden="1">{"'장비'!$A$3:$M$12"}</definedName>
    <definedName name="__PKG3" hidden="1">{"'장비'!$A$3:$M$12"}</definedName>
    <definedName name="__qqq222" hidden="1">{"'장비'!$A$3:$M$12"}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hidden="1">#REF!</definedName>
    <definedName name="__x11" hidden="1">#REF!</definedName>
    <definedName name="__x12" hidden="1">#REF!</definedName>
    <definedName name="__x13" hidden="1">#REF!</definedName>
    <definedName name="__x14" hidden="1">#REF!</definedName>
    <definedName name="__x15" hidden="1">#REF!</definedName>
    <definedName name="__x16" hidden="1">#REF!</definedName>
    <definedName name="__x17" hidden="1">#REF!</definedName>
    <definedName name="__x18" hidden="1">#REF!</definedName>
    <definedName name="__x19" hidden="1">#REF!</definedName>
    <definedName name="__x20" hidden="1">#REF!</definedName>
    <definedName name="__x21" hidden="1">#REF!</definedName>
    <definedName name="__x22" hidden="1">#REF!</definedName>
    <definedName name="__x23" hidden="1">#REF!</definedName>
    <definedName name="__x24" hidden="1">#REF!</definedName>
    <definedName name="__x25" hidden="1">#REF!</definedName>
    <definedName name="__x28" hidden="1">#REF!</definedName>
    <definedName name="__x29" hidden="1">#REF!</definedName>
    <definedName name="__x32" hidden="1">#REF!</definedName>
    <definedName name="__x4" hidden="1">#REF!</definedName>
    <definedName name="__x5" hidden="1">#REF!</definedName>
    <definedName name="__x6" hidden="1">#REF!</definedName>
    <definedName name="__x7" hidden="1">#REF!</definedName>
    <definedName name="__x8" hidden="1">#REF!</definedName>
    <definedName name="__x9" hidden="1">#REF!</definedName>
    <definedName name="_1__123Graph_ACHART_1" hidden="1">#REF!</definedName>
    <definedName name="_10__123Graph_CCHART_1" hidden="1">#REF!</definedName>
    <definedName name="_11__123Graph_DCHART_1" hidden="1">#REF!</definedName>
    <definedName name="_12__123Graph_XChart_1A" hidden="1">#REF!</definedName>
    <definedName name="_1Dist_Val" hidden="1">#REF!</definedName>
    <definedName name="_2__123Graph_BCHART_1" hidden="1">#REF!</definedName>
    <definedName name="_2F" hidden="1">#REF!</definedName>
    <definedName name="_3__123Graph_XCHART_1" hidden="1">#REF!</definedName>
    <definedName name="_5__123Graph_ACHART_1" hidden="1">#REF!</definedName>
    <definedName name="_6__123Graph_AChart_1A" hidden="1">#REF!</definedName>
    <definedName name="_7__123Graph_ACHART_2" hidden="1">#REF!</definedName>
    <definedName name="_8__123Graph_BChart_1A" hidden="1">#REF!</definedName>
    <definedName name="_9__123Graph_BCHART_2" hidden="1">#REF!</definedName>
    <definedName name="_AMO_UniqueIdentifier" hidden="1">"'54256040-62ff-475a-9348-dbdfce08df30'"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iltin13" hidden="1">#REF!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hidden="1">#REF!</definedName>
    <definedName name="_Dist_Values" localSheetId="15" hidden="1">#REF!</definedName>
    <definedName name="_Dist_Values" hidden="1">#REF!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15" hidden="1">#REF!</definedName>
    <definedName name="_Fill" hidden="1">#REF!</definedName>
    <definedName name="_fill1" hidden="1">#REF!</definedName>
    <definedName name="_FiltrarBancoDados2" hidden="1">#REF!</definedName>
    <definedName name="_xlnm._FilterDatabase" localSheetId="10" hidden="1">'ABC Insumos'!$A$7:$K$296</definedName>
    <definedName name="_xlnm._FilterDatabase" localSheetId="7" hidden="1">'ABC Insumos Apoio'!$A$1:$B$370</definedName>
    <definedName name="_xlnm._FilterDatabase" localSheetId="13" hidden="1">'ABC Serviços'!$D$7:$K$316</definedName>
    <definedName name="_xlnm._FilterDatabase" localSheetId="8" hidden="1">'ABC Serviços Apoio'!$A$1:$B$370</definedName>
    <definedName name="_xlnm._FilterDatabase" localSheetId="12" hidden="1">'ABC Serviços_'!$A$7:$H$286</definedName>
    <definedName name="_xlnm._FilterDatabase" localSheetId="0" hidden="1">CAPA!#REF!</definedName>
    <definedName name="_xlnm._FilterDatabase" localSheetId="15" hidden="1">'Cont.Tecnol.'!$B$22:$I$33</definedName>
    <definedName name="_xlnm._FilterDatabase" localSheetId="9" hidden="1">'Custos Serviços'!$A$2:$E$110</definedName>
    <definedName name="_xlnm._FilterDatabase" localSheetId="6" hidden="1">Insumos!$A$3:$G$371</definedName>
    <definedName name="_xlnm._FilterDatabase" localSheetId="2" hidden="1">OBRA!#REF!</definedName>
    <definedName name="_xlnm._FilterDatabase" localSheetId="5" hidden="1">Orçamento!$B$10:$AG$2147</definedName>
    <definedName name="_xlnm._FilterDatabase" localSheetId="1" hidden="1">Resumo_Parede!$A$5:$E$175</definedName>
    <definedName name="_xlnm._FilterDatabase" hidden="1">#REF!</definedName>
    <definedName name="_IA0542" localSheetId="15" hidden="1">{#N/A,#N/A,FALSE,"Plan1";#N/A,#N/A,FALSE,"Plan2"}</definedName>
    <definedName name="_IA0542" hidden="1">{#N/A,#N/A,FALSE,"Plan1";#N/A,#N/A,FALSE,"Plan2"}</definedName>
    <definedName name="_Key1" localSheetId="15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hidden="1">0</definedName>
    <definedName name="_Parse_Out" hidden="1">#REF!</definedName>
    <definedName name="_PK2" hidden="1">{"'장비'!$A$3:$M$12"}</definedName>
    <definedName name="_PKG3" hidden="1">{"'장비'!$A$3:$M$12"}</definedName>
    <definedName name="_qqq222" hidden="1">{"'장비'!$A$3:$M$12"}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fe5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15" hidden="1">#REF!</definedName>
    <definedName name="_Sort" hidden="1">#REF!</definedName>
    <definedName name="_Table1_In1" hidden="1">#REF!</definedName>
    <definedName name="_Table1_Out" hidden="1">#REF!</definedName>
    <definedName name="_wer3" localSheetId="15" hidden="1">{#N/A,#N/A,FALSE,"Plan1";#N/A,#N/A,FALSE,"Plan2"}</definedName>
    <definedName name="_wer3" hidden="1">{#N/A,#N/A,FALSE,"Plan1";#N/A,#N/A,FALSE,"Plan2"}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15" hidden="1">#REF!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WorksheetConnection_2018_03ResumoRGOObrasRJ.xlsbTabela1" hidden="1">#REF!</definedName>
    <definedName name="_xlcn.WorksheetConnection_ProjetocontrolefisicoefinanceiroRJ.xlsxTabela31" hidden="1">#REF!</definedName>
    <definedName name="´cAE°eE¹" hidden="1">#REF!</definedName>
    <definedName name="￠￥cAE¡ÆeEⓒo" hidden="1">#REF!</definedName>
    <definedName name="a" hidden="1">#REF!</definedName>
    <definedName name="a\sgt" localSheetId="15" hidden="1">{#N/A,#N/A,FALSE,"Plan1";#N/A,#N/A,FALSE,"Plan2"}</definedName>
    <definedName name="a\sgt" hidden="1">{#N/A,#N/A,FALSE,"Plan1";#N/A,#N/A,FALSE,"Plan2"}</definedName>
    <definedName name="AAAA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cccc" localSheetId="15" hidden="1">{#N/A,#N/A,FALSE,"Plan1";#N/A,#N/A,FALSE,"Plan2"}</definedName>
    <definedName name="aaacccc" hidden="1">{#N/A,#N/A,FALSE,"Plan1";#N/A,#N/A,FALSE,"Plan2"}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hidden="1">#REF!</definedName>
    <definedName name="ac" hidden="1">#REF!</definedName>
    <definedName name="AccessDatabase" hidden="1">"C:\posec\DATABASE\vlv_list\vlvlist1.mdb"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hidden="1">#REF!</definedName>
    <definedName name="ACDS" hidden="1">#REF!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çoeeer" localSheetId="15" hidden="1">{#N/A,#N/A,FALSE,"Plan1";#N/A,#N/A,FALSE,"Plan2"}</definedName>
    <definedName name="açoeeer" hidden="1">{#N/A,#N/A,FALSE,"Plan1";#N/A,#N/A,FALSE,"Plan2"}</definedName>
    <definedName name="ACwvu.Características." hidden="1">#REF!</definedName>
    <definedName name="ACwvu.Ciclos." hidden="1">#REF!</definedName>
    <definedName name="ACwvu.Custos." hidden="1">#REF!</definedName>
    <definedName name="ACwvu.PLANILHA2." hidden="1">#REF!</definedName>
    <definedName name="ACwvu.Recursos." hidden="1">#REF!</definedName>
    <definedName name="ad" localSheetId="15" hidden="1">{#N/A,#N/A,FALSE,"Plan1";#N/A,#N/A,FALSE,"Plan2"}</definedName>
    <definedName name="ad" hidden="1">{#N/A,#N/A,FALSE,"Plan1";#N/A,#N/A,FALSE,"Plan2"}</definedName>
    <definedName name="adads" localSheetId="15" hidden="1">{#N/A,#N/A,FALSE,"Plan1";#N/A,#N/A,FALSE,"Plan2"}</definedName>
    <definedName name="adads" hidden="1">{#N/A,#N/A,FALSE,"Plan1";#N/A,#N/A,FALSE,"Plan2"}</definedName>
    <definedName name="adads2" localSheetId="15" hidden="1">{#N/A,#N/A,FALSE,"Plan1";#N/A,#N/A,FALSE,"Plan2"}</definedName>
    <definedName name="adads2" hidden="1">{#N/A,#N/A,FALSE,"Plan1";#N/A,#N/A,FALSE,"Plan2"}</definedName>
    <definedName name="adced" localSheetId="15" hidden="1">{#N/A,#N/A,FALSE,"Plan1";#N/A,#N/A,FALSE,"Plan2"}</definedName>
    <definedName name="adced" hidden="1">{#N/A,#N/A,FALSE,"Plan1";#N/A,#N/A,FALSE,"Plan2"}</definedName>
    <definedName name="adced2" localSheetId="15" hidden="1">{#N/A,#N/A,FALSE,"Plan1";#N/A,#N/A,FALSE,"Plan2"}</definedName>
    <definedName name="adced2" hidden="1">{#N/A,#N/A,FALSE,"Plan1";#N/A,#N/A,FALSE,"Plan2"}</definedName>
    <definedName name="ader" localSheetId="15" hidden="1">{#N/A,#N/A,FALSE,"Plan1";#N/A,#N/A,FALSE,"Plan2"}</definedName>
    <definedName name="ader" hidden="1">{#N/A,#N/A,FALSE,"Plan1";#N/A,#N/A,FALSE,"Plan2"}</definedName>
    <definedName name="ader2" localSheetId="15" hidden="1">{#N/A,#N/A,FALSE,"Plan1";#N/A,#N/A,FALSE,"Plan2"}</definedName>
    <definedName name="ader2" hidden="1">{#N/A,#N/A,FALSE,"Plan1";#N/A,#N/A,FALSE,"Plan2"}</definedName>
    <definedName name="adesr" localSheetId="15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15" hidden="1">{#N/A,#N/A,FALSE,"Plan1";#N/A,#N/A,FALSE,"Plan2"}</definedName>
    <definedName name="adewr" hidden="1">{#N/A,#N/A,FALSE,"Plan1";#N/A,#N/A,FALSE,"Plan2"}</definedName>
    <definedName name="adf" localSheetId="15" hidden="1">{#N/A,#N/A,FALSE,"Plan1";#N/A,#N/A,FALSE,"Plan2"}</definedName>
    <definedName name="adf" hidden="1">{#N/A,#N/A,FALSE,"Plan1";#N/A,#N/A,FALSE,"Plan2"}</definedName>
    <definedName name="adsfr" localSheetId="15" hidden="1">{#N/A,#N/A,FALSE,"Plan1";#N/A,#N/A,FALSE,"Plan2"}</definedName>
    <definedName name="adsfr" hidden="1">{#N/A,#N/A,FALSE,"Plan1";#N/A,#N/A,FALSE,"Plan2"}</definedName>
    <definedName name="adssrgtg" localSheetId="15" hidden="1">{#N/A,#N/A,FALSE,"Plan1";#N/A,#N/A,FALSE,"Plan2"}</definedName>
    <definedName name="adssrgtg" hidden="1">{#N/A,#N/A,FALSE,"Plan1";#N/A,#N/A,FALSE,"Plan2"}</definedName>
    <definedName name="adtsetrr6t" localSheetId="15" hidden="1">{#N/A,#N/A,FALSE,"Plan1";#N/A,#N/A,FALSE,"Plan2"}</definedName>
    <definedName name="adtsetrr6t" hidden="1">{#N/A,#N/A,FALSE,"Plan1";#N/A,#N/A,FALSE,"Plan2"}</definedName>
    <definedName name="adwr" localSheetId="15" hidden="1">{#N/A,#N/A,FALSE,"Plan1";#N/A,#N/A,FALSE,"Plan2"}</definedName>
    <definedName name="adwr" hidden="1">{#N/A,#N/A,FALSE,"Plan1";#N/A,#N/A,FALSE,"Plan2"}</definedName>
    <definedName name="aeiresft" localSheetId="15" hidden="1">{#N/A,#N/A,FALSE,"Plan1";#N/A,#N/A,FALSE,"Plan2"}</definedName>
    <definedName name="aeiresft" hidden="1">{#N/A,#N/A,FALSE,"Plan1";#N/A,#N/A,FALSE,"Plan2"}</definedName>
    <definedName name="aEL3QE" localSheetId="15" hidden="1">{#N/A,#N/A,FALSE,"Plan1";#N/A,#N/A,FALSE,"Plan2"}</definedName>
    <definedName name="aEL3QE" hidden="1">{#N/A,#N/A,FALSE,"Plan1";#N/A,#N/A,FALSE,"Plan2"}</definedName>
    <definedName name="afeasfre" localSheetId="15" hidden="1">{#N/A,#N/A,FALSE,"Plan1";#N/A,#N/A,FALSE,"Plan2"}</definedName>
    <definedName name="afeasfre" hidden="1">{#N/A,#N/A,FALSE,"Plan1";#N/A,#N/A,FALSE,"Plan2"}</definedName>
    <definedName name="agdsf" localSheetId="15" hidden="1">#REF!</definedName>
    <definedName name="agdsf" hidden="1">#REF!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hidden="1">{#N/A,#N/A,FALSE,"CCTV"}</definedName>
    <definedName name="anscount" hidden="1">1</definedName>
    <definedName name="AQE" hidden="1">{"'장비'!$A$3:$M$12"}</definedName>
    <definedName name="ArComprimido" hidden="1">{"'Estimativa de Lançamento-JAN'!$A$1:$AI$85"}</definedName>
    <definedName name="area" localSheetId="15" hidden="1">{#N/A,#N/A,FALSE,"Plan1";#N/A,#N/A,FALSE,"Plan2"}</definedName>
    <definedName name="area" hidden="1">{#N/A,#N/A,FALSE,"Plan1";#N/A,#N/A,FALSE,"Plan2"}</definedName>
    <definedName name="AS2DocOpenMode" hidden="1">"AS2DocumentBrowse"</definedName>
    <definedName name="asawe3" localSheetId="15" hidden="1">{#N/A,#N/A,FALSE,"Plan1";#N/A,#N/A,FALSE,"Plan2"}</definedName>
    <definedName name="asawe3" hidden="1">{#N/A,#N/A,FALSE,"Plan1";#N/A,#N/A,FALSE,"Plan2"}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A" localSheetId="15" hidden="1">{#N/A,#N/A,FALSE,"Plan1";#N/A,#N/A,FALSE,"Plan2"}</definedName>
    <definedName name="ASDA" hidden="1">{#N/A,#N/A,FALSE,"Plan1";#N/A,#N/A,FALSE,"Plan2"}</definedName>
    <definedName name="asdade" localSheetId="15" hidden="1">{#N/A,#N/A,FALSE,"Plan1";#N/A,#N/A,FALSE,"Plan2"}</definedName>
    <definedName name="asdade" hidden="1">{#N/A,#N/A,FALSE,"Plan1";#N/A,#N/A,FALSE,"Plan2"}</definedName>
    <definedName name="asdas" localSheetId="15" hidden="1">{#N/A,#N/A,FALSE,"Plan1";#N/A,#N/A,FALSE,"Plan2"}</definedName>
    <definedName name="asdas" hidden="1">{#N/A,#N/A,FALSE,"Plan1";#N/A,#N/A,FALSE,"Plan2"}</definedName>
    <definedName name="asdawed" localSheetId="15" hidden="1">{#N/A,#N/A,FALSE,"Plan1";#N/A,#N/A,FALSE,"Plan2"}</definedName>
    <definedName name="asdawed" hidden="1">{#N/A,#N/A,FALSE,"Plan1";#N/A,#N/A,FALSE,"Plan2"}</definedName>
    <definedName name="ASDER" localSheetId="15" hidden="1">{#N/A,#N/A,FALSE,"Plan1";#N/A,#N/A,FALSE,"Plan2"}</definedName>
    <definedName name="ASDER" hidden="1">{#N/A,#N/A,FALSE,"Plan1";#N/A,#N/A,FALSE,"Plan2"}</definedName>
    <definedName name="asderr" localSheetId="15" hidden="1">{#N/A,#N/A,FALSE,"Plan1";#N/A,#N/A,FALSE,"Plan2"}</definedName>
    <definedName name="asderr" hidden="1">{#N/A,#N/A,FALSE,"Plan1";#N/A,#N/A,FALSE,"Plan2"}</definedName>
    <definedName name="asdesre" localSheetId="15" hidden="1">{#N/A,#N/A,FALSE,"Plan1";#N/A,#N/A,FALSE,"Plan2"}</definedName>
    <definedName name="asdesre" hidden="1">{#N/A,#N/A,FALSE,"Plan1";#N/A,#N/A,FALSE,"Plan2"}</definedName>
    <definedName name="asdewr" localSheetId="15" hidden="1">{#N/A,#N/A,FALSE,"Plan1";#N/A,#N/A,FALSE,"Plan2"}</definedName>
    <definedName name="asdewr" hidden="1">{#N/A,#N/A,FALSE,"Plan1";#N/A,#N/A,FALSE,"Plan2"}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15" hidden="1">{#N/A,#N/A,FALSE,"Plan1";#N/A,#N/A,FALSE,"Plan2"}</definedName>
    <definedName name="asdfs" hidden="1">{#N/A,#N/A,FALSE,"Plan1";#N/A,#N/A,FALSE,"Plan2"}</definedName>
    <definedName name="asdg" localSheetId="15" hidden="1">{#N/A,#N/A,FALSE,"Plan1";#N/A,#N/A,FALSE,"Plan2"}</definedName>
    <definedName name="asdg" hidden="1">{#N/A,#N/A,FALSE,"Plan1";#N/A,#N/A,FALSE,"Plan2"}</definedName>
    <definedName name="asdjksej" localSheetId="15" hidden="1">#REF!</definedName>
    <definedName name="asdjksej" hidden="1">#REF!</definedName>
    <definedName name="asdke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15" hidden="1">{#N/A,#N/A,FALSE,"Plan1";#N/A,#N/A,FALSE,"Plan2"}</definedName>
    <definedName name="asdlas" hidden="1">{#N/A,#N/A,FALSE,"Plan1";#N/A,#N/A,FALSE,"Plan2"}</definedName>
    <definedName name="asdqwe" localSheetId="15" hidden="1">{#N/A,#N/A,FALSE,"Plan1";#N/A,#N/A,FALSE,"Plan2"}</definedName>
    <definedName name="asdqwe" hidden="1">{#N/A,#N/A,FALSE,"Plan1";#N/A,#N/A,FALSE,"Plan2"}</definedName>
    <definedName name="asdsa" localSheetId="15" hidden="1">{#N/A,#N/A,FALSE,"Plan1";#N/A,#N/A,FALSE,"Plan2"}</definedName>
    <definedName name="asdsa" hidden="1">{#N/A,#N/A,FALSE,"Plan1";#N/A,#N/A,FALSE,"Plan2"}</definedName>
    <definedName name="asdser" localSheetId="15" hidden="1">{#N/A,#N/A,FALSE,"Plan1";#N/A,#N/A,FALSE,"Plan2"}</definedName>
    <definedName name="asdser" hidden="1">{#N/A,#N/A,FALSE,"Plan1";#N/A,#N/A,FALSE,"Plan2"}</definedName>
    <definedName name="asdwef" localSheetId="15" hidden="1">{#N/A,#N/A,FALSE,"Plan1";#N/A,#N/A,FALSE,"Plan2"}</definedName>
    <definedName name="asdwef" hidden="1">{#N/A,#N/A,FALSE,"Plan1";#N/A,#N/A,FALSE,"Plan2"}</definedName>
    <definedName name="aseiuw" localSheetId="15" hidden="1">#REF!</definedName>
    <definedName name="aseiuw" hidden="1">#REF!</definedName>
    <definedName name="ASET" localSheetId="15" hidden="1">{#N/A,#N/A,FALSE,"Plan1";#N/A,#N/A,FALSE,"Plan2"}</definedName>
    <definedName name="ASET" hidden="1">{#N/A,#N/A,FALSE,"Plan1";#N/A,#N/A,FALSE,"Plan2"}</definedName>
    <definedName name="asfDSF" localSheetId="15" hidden="1">{#N/A,#N/A,FALSE,"Plan1";#N/A,#N/A,FALSE,"Plan2"}</definedName>
    <definedName name="asfDSF" hidden="1">{#N/A,#N/A,FALSE,"Plan1";#N/A,#N/A,FALSE,"Plan2"}</definedName>
    <definedName name="ASFERTE" localSheetId="15" hidden="1">{#N/A,#N/A,FALSE,"Plan1";#N/A,#N/A,FALSE,"Plan2"}</definedName>
    <definedName name="ASFERTE" hidden="1">{#N/A,#N/A,FALSE,"Plan1";#N/A,#N/A,FALSE,"Plan2"}</definedName>
    <definedName name="asfl" localSheetId="15" hidden="1">{#N/A,#N/A,FALSE,"Plan1";#N/A,#N/A,FALSE,"Plan2"}</definedName>
    <definedName name="asfl" hidden="1">{#N/A,#N/A,FALSE,"Plan1";#N/A,#N/A,FALSE,"Plan2"}</definedName>
    <definedName name="asfsz" localSheetId="15" hidden="1">{#N/A,#N/A,FALSE,"Plan1";#N/A,#N/A,FALSE,"Plan2"}</definedName>
    <definedName name="asfsz" hidden="1">{#N/A,#N/A,FALSE,"Plan1";#N/A,#N/A,FALSE,"Plan2"}</definedName>
    <definedName name="askserf" localSheetId="15" hidden="1">{#N/A,#N/A,FALSE,"Plan1";#N/A,#N/A,FALSE,"Plan2"}</definedName>
    <definedName name="askserf" hidden="1">{#N/A,#N/A,FALSE,"Plan1";#N/A,#N/A,FALSE,"Plan2"}</definedName>
    <definedName name="ASSFSDF" localSheetId="15" hidden="1">{#N/A,#N/A,FALSE,"Plan1";#N/A,#N/A,FALSE,"Plan2"}</definedName>
    <definedName name="ASSFSDF" hidden="1">{#N/A,#N/A,FALSE,"Plan1";#N/A,#N/A,FALSE,"Plan2"}</definedName>
    <definedName name="asw" localSheetId="15" hidden="1">{#N/A,#N/A,FALSE,"Plan1";#N/A,#N/A,FALSE,"Plan2"}</definedName>
    <definedName name="asw" hidden="1">{#N/A,#N/A,FALSE,"Plan1";#N/A,#N/A,FALSE,"Plan2"}</definedName>
    <definedName name="ATIVOS" hidden="1">{#N/A,#N/A,FALSE,"F-01"}</definedName>
    <definedName name="awdjw" localSheetId="15" hidden="1">{#N/A,#N/A,FALSE,"Plan1";#N/A,#N/A,FALSE,"Plan2"}</definedName>
    <definedName name="awdjw" hidden="1">{#N/A,#N/A,FALSE,"Plan1";#N/A,#N/A,FALSE,"Plan2"}</definedName>
    <definedName name="aweqw4" localSheetId="15" hidden="1">{#N/A,#N/A,FALSE,"Plan1";#N/A,#N/A,FALSE,"Plan2"}</definedName>
    <definedName name="aweqw4" hidden="1">{#N/A,#N/A,FALSE,"Plan1";#N/A,#N/A,FALSE,"Plan2"}</definedName>
    <definedName name="awssdwaer" localSheetId="15" hidden="1">{#N/A,#N/A,FALSE,"Plan1";#N/A,#N/A,FALSE,"Plan2"}</definedName>
    <definedName name="awssdwaer" hidden="1">{#N/A,#N/A,FALSE,"Plan1";#N/A,#N/A,FALSE,"Plan2"}</definedName>
    <definedName name="AZ" hidden="1">#REF!</definedName>
    <definedName name="b" localSheetId="15" hidden="1">{#N/A,#N/A,FALSE,"Plan1";#N/A,#N/A,FALSE,"Plan2"}</definedName>
    <definedName name="b" hidden="1">{#N/A,#N/A,FALSE,"Plan1";#N/A,#N/A,FALSE,"Plan2"}</definedName>
    <definedName name="bbbbbbbbbbbbbbb" hidden="1">{"'Edit'!$A$1:$V$2277"}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dfjghf" localSheetId="15" hidden="1">{#N/A,#N/A,FALSE,"Plan1";#N/A,#N/A,FALSE,"Plan2"}</definedName>
    <definedName name="bdfjghf" hidden="1">{#N/A,#N/A,FALSE,"Plan1";#N/A,#N/A,FALSE,"Plan2"}</definedName>
    <definedName name="bdzbfbdr" localSheetId="15" hidden="1">{#N/A,#N/A,FALSE,"Plan1";#N/A,#N/A,FALSE,"Plan2"}</definedName>
    <definedName name="bdzbfbdr" hidden="1">{#N/A,#N/A,FALSE,"Plan1";#N/A,#N/A,FALSE,"Plan2"}</definedName>
    <definedName name="bg" hidden="1">#REF!</definedName>
    <definedName name="BGG" localSheetId="15" hidden="1">{#N/A,#N/A,FALSE,"Plan1";#N/A,#N/A,FALSE,"Plan2"}</definedName>
    <definedName name="BGG" hidden="1">{#N/A,#N/A,FALSE,"Plan1";#N/A,#N/A,FALSE,"Plan2"}</definedName>
    <definedName name="bhjgfhfh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15" hidden="1">{#N/A,#N/A,FALSE,"Plan1";#N/A,#N/A,FALSE,"Plan2"}</definedName>
    <definedName name="BJSDKHFE" hidden="1">{#N/A,#N/A,FALSE,"Plan1";#N/A,#N/A,FALSE,"Plan2"}</definedName>
    <definedName name="BLPH1" localSheetId="15" hidden="1">#REF!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2" localSheetId="15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dgghrtfde" localSheetId="15" hidden="1">{#N/A,#N/A,FALSE,"Plan1";#N/A,#N/A,FALSE,"Plan2"}</definedName>
    <definedName name="bmdgghrtfde" hidden="1">{#N/A,#N/A,FALSE,"Plan1";#N/A,#N/A,FALSE,"Plan2"}</definedName>
    <definedName name="bnkjhjhdfxgt" localSheetId="15" hidden="1">{#N/A,#N/A,FALSE,"Plan1";#N/A,#N/A,FALSE,"Plan2"}</definedName>
    <definedName name="bnkjhjhdfxgt" hidden="1">{#N/A,#N/A,FALSE,"Plan1";#N/A,#N/A,FALSE,"Plan2"}</definedName>
    <definedName name="BV" hidden="1">#REF!</definedName>
    <definedName name="bxnzfmkzxbhdf" localSheetId="15" hidden="1">{#N/A,#N/A,FALSE,"Plan1";#N/A,#N/A,FALSE,"Plan2"}</definedName>
    <definedName name="bxnzfmkzxbhdf" hidden="1">{#N/A,#N/A,FALSE,"Plan1";#N/A,#N/A,FALSE,"Plan2"}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aos\ewapo" localSheetId="15" hidden="1">{#N/A,#N/A,FALSE,"Plan1";#N/A,#N/A,FALSE,"Plan2"}</definedName>
    <definedName name="çaos\ewapo" hidden="1">{#N/A,#N/A,FALSE,"Plan1";#N/A,#N/A,FALSE,"Plan2"}</definedName>
    <definedName name="CARLA" localSheetId="15" hidden="1">#REF!</definedName>
    <definedName name="CARLA" hidden="1">#REF!</definedName>
    <definedName name="CAT6_IP" hidden="1">{#N/A,#N/A,FALSE,"F-01"}</definedName>
    <definedName name="ççç" localSheetId="15" hidden="1">{#N/A,#N/A,FALSE,"Plan1";#N/A,#N/A,FALSE,"Plan2"}</definedName>
    <definedName name="ççç" hidden="1">{#N/A,#N/A,FALSE,"Plan1";#N/A,#N/A,FALSE,"Plan2"}</definedName>
    <definedName name="cccc" localSheetId="15" hidden="1">{#N/A,#N/A,FALSE,"Plan1";#N/A,#N/A,FALSE,"Plan2"}</definedName>
    <definedName name="cccc" hidden="1">{#N/A,#N/A,FALSE,"Plan1";#N/A,#N/A,FALSE,"Plan2"}</definedName>
    <definedName name="ççççççç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hidden="1">{"HW",#N/A,FALSE,"1998"}</definedName>
    <definedName name="cchart1" localSheetId="15" hidden="1">#REF!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çcklfjk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dfmerf" localSheetId="15" hidden="1">{#N/A,#N/A,FALSE,"Plan1";#N/A,#N/A,FALSE,"Plan2"}</definedName>
    <definedName name="çdfmerf" hidden="1">{#N/A,#N/A,FALSE,"Plan1";#N/A,#N/A,FALSE,"Plan2"}</definedName>
    <definedName name="CDSGHE" localSheetId="15" hidden="1">{#N/A,#N/A,FALSE,"Plan1";#N/A,#N/A,FALSE,"Plan2"}</definedName>
    <definedName name="CDSGHE" hidden="1">{#N/A,#N/A,FALSE,"Plan1";#N/A,#N/A,FALSE,"Plan2"}</definedName>
    <definedName name="çfhjglkjhkljyh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15" hidden="1">{#N/A,#N/A,FALSE,"Plan1";#N/A,#N/A,FALSE,"Plan2"}</definedName>
    <definedName name="çflçf" hidden="1">{#N/A,#N/A,FALSE,"Plan1";#N/A,#N/A,FALSE,"Plan2"}</definedName>
    <definedName name="chfch" localSheetId="15" hidden="1">{#N/A,#N/A,FALSE,"Plan1";#N/A,#N/A,FALSE,"Plan2"}</definedName>
    <definedName name="chfch" hidden="1">{#N/A,#N/A,FALSE,"Plan1";#N/A,#N/A,FALSE,"Plan2"}</definedName>
    <definedName name="ÇJKRÇLFS" localSheetId="15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15" hidden="1">{#N/A,#N/A,FALSE,"Plan1";#N/A,#N/A,FALSE,"Plan2"}</definedName>
    <definedName name="ÇJsrejtçe" hidden="1">{#N/A,#N/A,FALSE,"Plan1";#N/A,#N/A,FALSE,"Plan2"}</definedName>
    <definedName name="çkaçekow" localSheetId="15" hidden="1">{#N/A,#N/A,FALSE,"Plan1";#N/A,#N/A,FALSE,"Plan2"}</definedName>
    <definedName name="çkaçekow" hidden="1">{#N/A,#N/A,FALSE,"Plan1";#N/A,#N/A,FALSE,"Plan2"}</definedName>
    <definedName name="ÇKSDOEKR" localSheetId="15" hidden="1">{#N/A,#N/A,FALSE,"Plan1";#N/A,#N/A,FALSE,"Plan2"}</definedName>
    <definedName name="ÇKSDOEKR" hidden="1">{#N/A,#N/A,FALSE,"Plan1";#N/A,#N/A,FALSE,"Plan2"}</definedName>
    <definedName name="çl" localSheetId="15" hidden="1">{#N/A,#N/A,FALSE,"Plan1";#N/A,#N/A,FALSE,"Plan2"}</definedName>
    <definedName name="çl" hidden="1">{#N/A,#N/A,FALSE,"Plan1";#N/A,#N/A,FALSE,"Plan2"}</definedName>
    <definedName name="çlassde" localSheetId="15" hidden="1">{#N/A,#N/A,FALSE,"Plan1";#N/A,#N/A,FALSE,"Plan2"}</definedName>
    <definedName name="çlassde" hidden="1">{#N/A,#N/A,FALSE,"Plan1";#N/A,#N/A,FALSE,"Plan2"}</definedName>
    <definedName name="çlçlç" localSheetId="15" hidden="1">{#N/A,#N/A,FALSE,"Plan1";#N/A,#N/A,FALSE,"Plan2"}</definedName>
    <definedName name="çlçlç" hidden="1">{#N/A,#N/A,FALSE,"Plan1";#N/A,#N/A,FALSE,"Plan2"}</definedName>
    <definedName name="çld" localSheetId="15" hidden="1">{#N/A,#N/A,FALSE,"Plan1";#N/A,#N/A,FALSE,"Plan2"}</definedName>
    <definedName name="çld" hidden="1">{#N/A,#N/A,FALSE,"Plan1";#N/A,#N/A,FALSE,"Plan2"}</definedName>
    <definedName name="çlererr" localSheetId="15" hidden="1">{#N/A,#N/A,FALSE,"Plan1";#N/A,#N/A,FALSE,"Plan2"}</definedName>
    <definedName name="çlererr" hidden="1">{#N/A,#N/A,FALSE,"Plan1";#N/A,#N/A,FALSE,"Plan2"}</definedName>
    <definedName name="çlertert" localSheetId="15" hidden="1">{#N/A,#N/A,FALSE,"Plan1";#N/A,#N/A,FALSE,"Plan2"}</definedName>
    <definedName name="çlertert" hidden="1">{#N/A,#N/A,FALSE,"Plan1";#N/A,#N/A,FALSE,"Plan2"}</definedName>
    <definedName name="çlkdflçkrlr" localSheetId="15" hidden="1">#REF!</definedName>
    <definedName name="çlkdflçkrlr" hidden="1">#REF!</definedName>
    <definedName name="çll" localSheetId="15" hidden="1">{#N/A,#N/A,FALSE,"Plan1";#N/A,#N/A,FALSE,"Plan2"}</definedName>
    <definedName name="çll" hidden="1">{#N/A,#N/A,FALSE,"Plan1";#N/A,#N/A,FALSE,"Plan2"}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FIRMAR" hidden="1">{#N/A,#N/A,TRUE,"Quinzena 01 à 15-04-98 "}</definedName>
    <definedName name="cont" localSheetId="15" hidden="1">{#N/A,#N/A,FALSE,"Plan1";#N/A,#N/A,FALSE,"Plan2"}</definedName>
    <definedName name="cont" hidden="1">{#N/A,#N/A,FALSE,"Plan1";#N/A,#N/A,FALSE,"Plan2"}</definedName>
    <definedName name="ÇSAÇDFW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15" hidden="1">#REF!</definedName>
    <definedName name="çsdkfçdrkt" hidden="1">#REF!</definedName>
    <definedName name="CS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15" hidden="1">{#N/A,#N/A,FALSE,"Plan1";#N/A,#N/A,FALSE,"Plan2"}</definedName>
    <definedName name="ÇSLÇDLFKD" hidden="1">{#N/A,#N/A,FALSE,"Plan1";#N/A,#N/A,FALSE,"Plan2"}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15" hidden="1">{#N/A,#N/A,FALSE,"Plan1";#N/A,#N/A,FALSE,"Plan2"}</definedName>
    <definedName name="dasfrt" hidden="1">{#N/A,#N/A,FALSE,"Plan1";#N/A,#N/A,FALSE,"Plan2"}</definedName>
    <definedName name="DÇDL" localSheetId="15" hidden="1">{#N/A,#N/A,FALSE,"Plan1";#N/A,#N/A,FALSE,"Plan2"}</definedName>
    <definedName name="DÇDL" hidden="1">{#N/A,#N/A,FALSE,"Plan1";#N/A,#N/A,FALSE,"Plan2"}</definedName>
    <definedName name="dchart26" localSheetId="15" hidden="1">#REF!</definedName>
    <definedName name="dchart26" hidden="1">#REF!</definedName>
    <definedName name="dchart31" hidden="1">#REF!</definedName>
    <definedName name="dcnsfgdjkgb" localSheetId="15" hidden="1">{#N/A,#N/A,FALSE,"Plan1";#N/A,#N/A,FALSE,"Plan2"}</definedName>
    <definedName name="dcnsfgdjkgb" hidden="1">{#N/A,#N/A,FALSE,"Plan1";#N/A,#N/A,FALSE,"Plan2"}</definedName>
    <definedName name="DÇWK" localSheetId="15" hidden="1">{#N/A,#N/A,FALSE,"Plan1";#N/A,#N/A,FALSE,"Plan2"}</definedName>
    <definedName name="DÇWK" hidden="1">{#N/A,#N/A,FALSE,"Plan1";#N/A,#N/A,FALSE,"Plan2"}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hidden="1">{"'장비'!$A$3:$M$12"}</definedName>
    <definedName name="ddddd" localSheetId="15" hidden="1">{#N/A,#N/A,FALSE,"Plan1";#N/A,#N/A,FALSE,"Plan2"}</definedName>
    <definedName name="ddddd" hidden="1">{#N/A,#N/A,FALSE,"Plan1";#N/A,#N/A,FALSE,"Plan2"}</definedName>
    <definedName name="dde" localSheetId="15" hidden="1">{#N/A,#N/A,FALSE,"Plan1";#N/A,#N/A,FALSE,"Plan2"}</definedName>
    <definedName name="dde" hidden="1">{#N/A,#N/A,FALSE,"Plan1";#N/A,#N/A,FALSE,"Plan2"}</definedName>
    <definedName name="ddfs" localSheetId="15" hidden="1">#REF!</definedName>
    <definedName name="ddfs" hidden="1">#REF!</definedName>
    <definedName name="ddgfdvgd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15" hidden="1">{#N/A,#N/A,FALSE,"Plan1";#N/A,#N/A,FALSE,"Plan2"}</definedName>
    <definedName name="DDGSFG" hidden="1">{#N/A,#N/A,FALSE,"Plan1";#N/A,#N/A,FALSE,"Plan2"}</definedName>
    <definedName name="dede" localSheetId="15" hidden="1">{#N/A,#N/A,FALSE,"Plan1";#N/A,#N/A,FALSE,"Plan2"}</definedName>
    <definedName name="dede" hidden="1">{#N/A,#N/A,FALSE,"Plan1";#N/A,#N/A,FALSE,"Plan2"}</definedName>
    <definedName name="des" localSheetId="15" hidden="1">{#N/A,#N/A,FALSE,"Plan1";#N/A,#N/A,FALSE,"Plan2"}</definedName>
    <definedName name="des" hidden="1">{#N/A,#N/A,FALSE,"Plan1";#N/A,#N/A,FALSE,"Plan2"}</definedName>
    <definedName name="desc" localSheetId="15" hidden="1">{#N/A,#N/A,FALSE,"Plan1";#N/A,#N/A,FALSE,"Plan2"}</definedName>
    <definedName name="desc" hidden="1">{#N/A,#N/A,FALSE,"Plan1";#N/A,#N/A,FALSE,"Plan2"}</definedName>
    <definedName name="d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hidden="1">{#N/A,#N/A,FALSE,"명세표"}</definedName>
    <definedName name="dfdfty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15" hidden="1">{#N/A,#N/A,FALSE,"Plan1";#N/A,#N/A,FALSE,"Plan2"}</definedName>
    <definedName name="dfdjgfdfgdf" hidden="1">{#N/A,#N/A,FALSE,"Plan1";#N/A,#N/A,FALSE,"Plan2"}</definedName>
    <definedName name="dfdrtrr" localSheetId="15" hidden="1">{#N/A,#N/A,FALSE,"Plan1";#N/A,#N/A,FALSE,"Plan2"}</definedName>
    <definedName name="dfdrtrr" hidden="1">{#N/A,#N/A,FALSE,"Plan1";#N/A,#N/A,FALSE,"Plan2"}</definedName>
    <definedName name="DFDSG" localSheetId="15" hidden="1">{#N/A,#N/A,FALSE,"Plan1";#N/A,#N/A,FALSE,"Plan2"}</definedName>
    <definedName name="DFDSG" hidden="1">{#N/A,#N/A,FALSE,"Plan1";#N/A,#N/A,FALSE,"Plan2"}</definedName>
    <definedName name="dfer" localSheetId="15" hidden="1">{#N/A,#N/A,FALSE,"Plan1";#N/A,#N/A,FALSE,"Plan2"}</definedName>
    <definedName name="dfer" hidden="1">{#N/A,#N/A,FALSE,"Plan1";#N/A,#N/A,FALSE,"Plan2"}</definedName>
    <definedName name="dffbty" localSheetId="15" hidden="1">{#N/A,#N/A,FALSE,"Plan1";#N/A,#N/A,FALSE,"Plan2"}</definedName>
    <definedName name="dffbty" hidden="1">{#N/A,#N/A,FALSE,"Plan1";#N/A,#N/A,FALSE,"Plan2"}</definedName>
    <definedName name="dffgk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15" hidden="1">{#N/A,#N/A,FALSE,"Plan1";#N/A,#N/A,FALSE,"Plan2"}</definedName>
    <definedName name="dffhg" hidden="1">{#N/A,#N/A,FALSE,"Plan1";#N/A,#N/A,FALSE,"Plan2"}</definedName>
    <definedName name="dfg" localSheetId="15" hidden="1">{#N/A,#N/A,FALSE,"Plan1";#N/A,#N/A,FALSE,"Plan2"}</definedName>
    <definedName name="dfg" hidden="1">{#N/A,#N/A,FALSE,"Plan1";#N/A,#N/A,FALSE,"Plan2"}</definedName>
    <definedName name="dfgdf" localSheetId="15" hidden="1">{#N/A,#N/A,FALSE,"Plan1";#N/A,#N/A,FALSE,"Plan2"}</definedName>
    <definedName name="dfgdf" hidden="1">{#N/A,#N/A,FALSE,"Plan1";#N/A,#N/A,FALSE,"Plan2"}</definedName>
    <definedName name="dfgdytygr" localSheetId="15" hidden="1">{#N/A,#N/A,FALSE,"Plan1";#N/A,#N/A,FALSE,"Plan2"}</definedName>
    <definedName name="dfgdytygr" hidden="1">{#N/A,#N/A,FALSE,"Plan1";#N/A,#N/A,FALSE,"Plan2"}</definedName>
    <definedName name="dfgftrrdt5" localSheetId="15" hidden="1">{#N/A,#N/A,FALSE,"Plan1";#N/A,#N/A,FALSE,"Plan2"}</definedName>
    <definedName name="dfgftrrdt5" hidden="1">{#N/A,#N/A,FALSE,"Plan1";#N/A,#N/A,FALSE,"Plan2"}</definedName>
    <definedName name="dfghjfhsg" localSheetId="15" hidden="1">{#N/A,#N/A,FALSE,"Plan1";#N/A,#N/A,FALSE,"Plan2"}</definedName>
    <definedName name="dfghjfhsg" hidden="1">{#N/A,#N/A,FALSE,"Plan1";#N/A,#N/A,FALSE,"Plan2"}</definedName>
    <definedName name="dfgj" localSheetId="15" hidden="1">{#N/A,#N/A,FALSE,"Plan1";#N/A,#N/A,FALSE,"Plan2"}</definedName>
    <definedName name="dfgj" hidden="1">{#N/A,#N/A,FALSE,"Plan1";#N/A,#N/A,FALSE,"Plan2"}</definedName>
    <definedName name="dfgjfttyd" localSheetId="15" hidden="1">{#N/A,#N/A,FALSE,"Plan1";#N/A,#N/A,FALSE,"Plan2"}</definedName>
    <definedName name="dfgjfttyd" hidden="1">{#N/A,#N/A,FALSE,"Plan1";#N/A,#N/A,FALSE,"Plan2"}</definedName>
    <definedName name="dfgjjtdrtg" localSheetId="15" hidden="1">{#N/A,#N/A,FALSE,"Plan1";#N/A,#N/A,FALSE,"Plan2"}</definedName>
    <definedName name="dfgjjtdrtg" hidden="1">{#N/A,#N/A,FALSE,"Plan1";#N/A,#N/A,FALSE,"Plan2"}</definedName>
    <definedName name="dfgt" localSheetId="15" hidden="1">{#N/A,#N/A,FALSE,"Plan1";#N/A,#N/A,FALSE,"Plan2"}</definedName>
    <definedName name="dfgt" hidden="1">{#N/A,#N/A,FALSE,"Plan1";#N/A,#N/A,FALSE,"Plan2"}</definedName>
    <definedName name="dfgtrkjhk" localSheetId="15" hidden="1">{#N/A,#N/A,FALSE,"Plan1";#N/A,#N/A,FALSE,"Plan2"}</definedName>
    <definedName name="dfgtrkjhk" hidden="1">{#N/A,#N/A,FALSE,"Plan1";#N/A,#N/A,FALSE,"Plan2"}</definedName>
    <definedName name="dfgty" localSheetId="15" hidden="1">{#N/A,#N/A,FALSE,"Plan1";#N/A,#N/A,FALSE,"Plan2"}</definedName>
    <definedName name="dfgty" hidden="1">{#N/A,#N/A,FALSE,"Plan1";#N/A,#N/A,FALSE,"Plan2"}</definedName>
    <definedName name="dfhdgfdgf" localSheetId="15" hidden="1">{#N/A,#N/A,FALSE,"Plan1";#N/A,#N/A,FALSE,"Plan2"}</definedName>
    <definedName name="dfhdgfdgf" hidden="1">{#N/A,#N/A,FALSE,"Plan1";#N/A,#N/A,FALSE,"Plan2"}</definedName>
    <definedName name="DFHDJGJFHJGF" localSheetId="15" hidden="1">{#N/A,#N/A,FALSE,"Plan1";#N/A,#N/A,FALSE,"Plan2"}</definedName>
    <definedName name="DFHDJGJFHJGF" hidden="1">{#N/A,#N/A,FALSE,"Plan1";#N/A,#N/A,FALSE,"Plan2"}</definedName>
    <definedName name="dfhdyg" localSheetId="15" hidden="1">{#N/A,#N/A,FALSE,"Plan1";#N/A,#N/A,FALSE,"Plan2"}</definedName>
    <definedName name="dfhdyg" hidden="1">{#N/A,#N/A,FALSE,"Plan1";#N/A,#N/A,FALSE,"Plan2"}</definedName>
    <definedName name="DFHGDHUR" localSheetId="15" hidden="1">{#N/A,#N/A,FALSE,"Plan1";#N/A,#N/A,FALSE,"Plan2"}</definedName>
    <definedName name="DFHGDHUR" hidden="1">{#N/A,#N/A,FALSE,"Plan1";#N/A,#N/A,FALSE,"Plan2"}</definedName>
    <definedName name="dfhgjfgdhfjdrf" localSheetId="15" hidden="1">{#N/A,#N/A,FALSE,"Plan1";#N/A,#N/A,FALSE,"Plan2"}</definedName>
    <definedName name="dfhgjfgdhfjdrf" hidden="1">{#N/A,#N/A,FALSE,"Plan1";#N/A,#N/A,FALSE,"Plan2"}</definedName>
    <definedName name="dfhgkhfut" localSheetId="15" hidden="1">{#N/A,#N/A,FALSE,"Plan1";#N/A,#N/A,FALSE,"Plan2"}</definedName>
    <definedName name="dfhgkhfut" hidden="1">{#N/A,#N/A,FALSE,"Plan1";#N/A,#N/A,FALSE,"Plan2"}</definedName>
    <definedName name="dfhgkjdhkjghjd" localSheetId="15" hidden="1">#REF!</definedName>
    <definedName name="dfhgkjdhkjghjd" hidden="1">#REF!</definedName>
    <definedName name="dfhguitrhfg" localSheetId="15" hidden="1">{#N/A,#N/A,FALSE,"Plan1";#N/A,#N/A,FALSE,"Plan2"}</definedName>
    <definedName name="dfhguitrhfg" hidden="1">{#N/A,#N/A,FALSE,"Plan1";#N/A,#N/A,FALSE,"Plan2"}</definedName>
    <definedName name="DFHKHDGKJHDKS" localSheetId="15" hidden="1">{#N/A,#N/A,FALSE,"Plan1";#N/A,#N/A,FALSE,"Plan2"}</definedName>
    <definedName name="DFHKHDGKJHDKS" hidden="1">{#N/A,#N/A,FALSE,"Plan1";#N/A,#N/A,FALSE,"Plan2"}</definedName>
    <definedName name="dfjgjfhykj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15" hidden="1">{#N/A,#N/A,FALSE,"Plan1";#N/A,#N/A,FALSE,"Plan2"}</definedName>
    <definedName name="dfjkgtdftr" hidden="1">{#N/A,#N/A,FALSE,"Plan1";#N/A,#N/A,FALSE,"Plan2"}</definedName>
    <definedName name="dfkhgfg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15" hidden="1">{#N/A,#N/A,FALSE,"Plan1";#N/A,#N/A,FALSE,"Plan2"}</definedName>
    <definedName name="dfknfhkdrj" hidden="1">{#N/A,#N/A,FALSE,"Plan1";#N/A,#N/A,FALSE,"Plan2"}</definedName>
    <definedName name="dfnert" localSheetId="15" hidden="1">{#N/A,#N/A,FALSE,"Plan1";#N/A,#N/A,FALSE,"Plan2"}</definedName>
    <definedName name="dfnert" hidden="1">{#N/A,#N/A,FALSE,"Plan1";#N/A,#N/A,FALSE,"Plan2"}</definedName>
    <definedName name="dfrt" localSheetId="15" hidden="1">{#N/A,#N/A,FALSE,"Plan1";#N/A,#N/A,FALSE,"Plan2"}</definedName>
    <definedName name="dfrt" hidden="1">{#N/A,#N/A,FALSE,"Plan1";#N/A,#N/A,FALSE,"Plan2"}</definedName>
    <definedName name="dfsdr5tt" localSheetId="15" hidden="1">{#N/A,#N/A,FALSE,"Plan1";#N/A,#N/A,FALSE,"Plan2"}</definedName>
    <definedName name="dfsdr5tt" hidden="1">{#N/A,#N/A,FALSE,"Plan1";#N/A,#N/A,FALSE,"Plan2"}</definedName>
    <definedName name="dfsds" localSheetId="15" hidden="1">#REF!</definedName>
    <definedName name="dfsds" hidden="1">#REF!</definedName>
    <definedName name="dfsd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15" hidden="1">{#N/A,#N/A,FALSE,"Plan1";#N/A,#N/A,FALSE,"Plan2"}</definedName>
    <definedName name="dfsdtr" hidden="1">{#N/A,#N/A,FALSE,"Plan1";#N/A,#N/A,FALSE,"Plan2"}</definedName>
    <definedName name="dfsf" localSheetId="15" hidden="1">{#N/A,#N/A,FALSE,"Plan1";#N/A,#N/A,FALSE,"Plan2"}</definedName>
    <definedName name="dfsf" hidden="1">{#N/A,#N/A,FALSE,"Plan1";#N/A,#N/A,FALSE,"Plan2"}</definedName>
    <definedName name="DFT" localSheetId="15" hidden="1">{#N/A,#N/A,FALSE,"Plan1";#N/A,#N/A,FALSE,"Plan2"}</definedName>
    <definedName name="DFT" hidden="1">{#N/A,#N/A,FALSE,"Plan1";#N/A,#N/A,FALSE,"Plan2"}</definedName>
    <definedName name="DFTRTTY" localSheetId="15" hidden="1">{#N/A,#N/A,FALSE,"Plan1";#N/A,#N/A,FALSE,"Plan2"}</definedName>
    <definedName name="DFTRTTY" hidden="1">{#N/A,#N/A,FALSE,"Plan1";#N/A,#N/A,FALSE,"Plan2"}</definedName>
    <definedName name="dfurghifdjyhits" localSheetId="15" hidden="1">{#N/A,#N/A,FALSE,"Plan1";#N/A,#N/A,FALSE,"Plan2"}</definedName>
    <definedName name="dfurghifdjyhits" hidden="1">{#N/A,#N/A,FALSE,"Plan1";#N/A,#N/A,FALSE,"Plan2"}</definedName>
    <definedName name="dfxgdrged" localSheetId="15" hidden="1">{#N/A,#N/A,FALSE,"Plan1";#N/A,#N/A,FALSE,"Plan2"}</definedName>
    <definedName name="dfxgdrged" hidden="1">{#N/A,#N/A,FALSE,"Plan1";#N/A,#N/A,FALSE,"Plan2"}</definedName>
    <definedName name="dgfrtyt" localSheetId="15" hidden="1">{#N/A,#N/A,FALSE,"Plan1";#N/A,#N/A,FALSE,"Plan2"}</definedName>
    <definedName name="dgfrtyt" hidden="1">{#N/A,#N/A,FALSE,"Plan1";#N/A,#N/A,FALSE,"Plan2"}</definedName>
    <definedName name="dggfdg" localSheetId="15" hidden="1">{#N/A,#N/A,FALSE,"Plan1";#N/A,#N/A,FALSE,"Plan2"}</definedName>
    <definedName name="dggfdg" hidden="1">{#N/A,#N/A,FALSE,"Plan1";#N/A,#N/A,FALSE,"Plan2"}</definedName>
    <definedName name="dgldfhgkljslh" localSheetId="15" hidden="1">{#N/A,#N/A,FALSE,"Plan1";#N/A,#N/A,FALSE,"Plan2"}</definedName>
    <definedName name="dgldfhgkljslh" hidden="1">{#N/A,#N/A,FALSE,"Plan1";#N/A,#N/A,FALSE,"Plan2"}</definedName>
    <definedName name="dhfgdhrehrwe" localSheetId="15" hidden="1">{#N/A,#N/A,FALSE,"Plan1";#N/A,#N/A,FALSE,"Plan2"}</definedName>
    <definedName name="dhfgdhrehrwe" hidden="1">{#N/A,#N/A,FALSE,"Plan1";#N/A,#N/A,FALSE,"Plan2"}</definedName>
    <definedName name="dhgfdgrfgdfgd" localSheetId="15" hidden="1">{#N/A,#N/A,FALSE,"Plan1";#N/A,#N/A,FALSE,"Plan2"}</definedName>
    <definedName name="dhgfdgrfgdfgd" hidden="1">{#N/A,#N/A,FALSE,"Plan1";#N/A,#N/A,FALSE,"Plan2"}</definedName>
    <definedName name="dhkjfhdhfjdh" localSheetId="15" hidden="1">{#N/A,#N/A,FALSE,"Plan1";#N/A,#N/A,FALSE,"Plan2"}</definedName>
    <definedName name="dhkjfhdhfjdh" hidden="1">{#N/A,#N/A,FALSE,"Plan1";#N/A,#N/A,FALSE,"Plan2"}</definedName>
    <definedName name="DHTJRT" localSheetId="15" hidden="1">{#N/A,#N/A,FALSE,"Plan1";#N/A,#N/A,FALSE,"Plan2"}</definedName>
    <definedName name="DHTJRT" hidden="1">{#N/A,#N/A,FALSE,"Plan1";#N/A,#N/A,FALSE,"Plan2"}</definedName>
    <definedName name="dijghdhks" localSheetId="15" hidden="1">{#N/A,#N/A,FALSE,"Plan1";#N/A,#N/A,FALSE,"Plan2"}</definedName>
    <definedName name="dijghdhks" hidden="1">{#N/A,#N/A,FALSE,"Plan1";#N/A,#N/A,FALSE,"Plan2"}</definedName>
    <definedName name="djasdrjas" localSheetId="15" hidden="1">{#N/A,#N/A,FALSE,"Plan1";#N/A,#N/A,FALSE,"Plan2"}</definedName>
    <definedName name="djasdrjas" hidden="1">{#N/A,#N/A,FALSE,"Plan1";#N/A,#N/A,FALSE,"Plan2"}</definedName>
    <definedName name="dj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15" hidden="1">{#N/A,#N/A,FALSE,"Plan1";#N/A,#N/A,FALSE,"Plan2"}</definedName>
    <definedName name="djfkhjhfgrgdfh" hidden="1">{#N/A,#N/A,FALSE,"Plan1";#N/A,#N/A,FALSE,"Plan2"}</definedName>
    <definedName name="djfkhsdkjhf" localSheetId="15" hidden="1">{#N/A,#N/A,FALSE,"Plan1";#N/A,#N/A,FALSE,"Plan2"}</definedName>
    <definedName name="djfkhsdkjhf" hidden="1">{#N/A,#N/A,FALSE,"Plan1";#N/A,#N/A,FALSE,"Plan2"}</definedName>
    <definedName name="djfldjsgljslkjtg" localSheetId="15" hidden="1">{#N/A,#N/A,FALSE,"Plan1";#N/A,#N/A,FALSE,"Plan2"}</definedName>
    <definedName name="djfldjsgljslkjtg" hidden="1">{#N/A,#N/A,FALSE,"Plan1";#N/A,#N/A,FALSE,"Plan2"}</definedName>
    <definedName name="djflkdjgdth" localSheetId="15" hidden="1">{#N/A,#N/A,FALSE,"Plan1";#N/A,#N/A,FALSE,"Plan2"}</definedName>
    <definedName name="djflkdjgdth" hidden="1">{#N/A,#N/A,FALSE,"Plan1";#N/A,#N/A,FALSE,"Plan2"}</definedName>
    <definedName name="DJFLKDJGKTJYJT" localSheetId="15" hidden="1">{#N/A,#N/A,FALSE,"Plan1";#N/A,#N/A,FALSE,"Plan2"}</definedName>
    <definedName name="DJFLKDJGKTJYJT" hidden="1">{#N/A,#N/A,FALSE,"Plan1";#N/A,#N/A,FALSE,"Plan2"}</definedName>
    <definedName name="djgkfjgtiyty" localSheetId="15" hidden="1">{#N/A,#N/A,FALSE,"Plan1";#N/A,#N/A,FALSE,"Plan2"}</definedName>
    <definedName name="djgkfjgtiyty" hidden="1">{#N/A,#N/A,FALSE,"Plan1";#N/A,#N/A,FALSE,"Plan2"}</definedName>
    <definedName name="djrkehrjfhng" localSheetId="15" hidden="1">{#N/A,#N/A,FALSE,"Plan1";#N/A,#N/A,FALSE,"Plan2"}</definedName>
    <definedName name="djrkehrjfhng" hidden="1">{#N/A,#N/A,FALSE,"Plan1";#N/A,#N/A,FALSE,"Plan2"}</definedName>
    <definedName name="djswfr" localSheetId="15" hidden="1">#REF!</definedName>
    <definedName name="djswfr" hidden="1">#REF!</definedName>
    <definedName name="djtkjldfr" localSheetId="15" hidden="1">{#N/A,#N/A,FALSE,"Plan1";#N/A,#N/A,FALSE,"Plan2"}</definedName>
    <definedName name="djtkjldfr" hidden="1">{#N/A,#N/A,FALSE,"Plan1";#N/A,#N/A,FALSE,"Plan2"}</definedName>
    <definedName name="DJXDLFGDFG" localSheetId="15" hidden="1">{#N/A,#N/A,FALSE,"Plan1";#N/A,#N/A,FALSE,"Plan2"}</definedName>
    <definedName name="DJXDLFGDFG" hidden="1">{#N/A,#N/A,FALSE,"Plan1";#N/A,#N/A,FALSE,"Plan2"}</definedName>
    <definedName name="dkdkdkdkd" hidden="1">{#N/A,#N/A,FALSE,"명세표"}</definedName>
    <definedName name="dkfhskgf" localSheetId="15" hidden="1">{#N/A,#N/A,FALSE,"Plan1";#N/A,#N/A,FALSE,"Plan2"}</definedName>
    <definedName name="dkfhskgf" hidden="1">{#N/A,#N/A,FALSE,"Plan1";#N/A,#N/A,FALSE,"Plan2"}</definedName>
    <definedName name="dkjfk" localSheetId="15" hidden="1">{#N/A,#N/A,FALSE,"Plan1";#N/A,#N/A,FALSE,"Plan2"}</definedName>
    <definedName name="dkjfk" hidden="1">{#N/A,#N/A,FALSE,"Plan1";#N/A,#N/A,FALSE,"Plan2"}</definedName>
    <definedName name="DKLD" localSheetId="15" hidden="1">{#N/A,#N/A,FALSE,"Plan1";#N/A,#N/A,FALSE,"Plan2"}</definedName>
    <definedName name="DKLD" hidden="1">{#N/A,#N/A,FALSE,"Plan1";#N/A,#N/A,FALSE,"Plan2"}</definedName>
    <definedName name="DKLFJDKFD" localSheetId="15" hidden="1">{#N/A,#N/A,FALSE,"Plan1";#N/A,#N/A,FALSE,"Plan2"}</definedName>
    <definedName name="DKLFJDKFD" hidden="1">{#N/A,#N/A,FALSE,"Plan1";#N/A,#N/A,FALSE,"Plan2"}</definedName>
    <definedName name="dklfjgirtgid" localSheetId="15" hidden="1">{#N/A,#N/A,FALSE,"Plan1";#N/A,#N/A,FALSE,"Plan2"}</definedName>
    <definedName name="dklfjgirtgid" hidden="1">{#N/A,#N/A,FALSE,"Plan1";#N/A,#N/A,FALSE,"Plan2"}</definedName>
    <definedName name="dklfm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15" hidden="1">{#N/A,#N/A,FALSE,"Plan1";#N/A,#N/A,FALSE,"Plan2"}</definedName>
    <definedName name="dmbfmndbmtrhed" hidden="1">{#N/A,#N/A,FALSE,"Plan1";#N/A,#N/A,FALSE,"Plan2"}</definedName>
    <definedName name="DNFJKDHTKRE" localSheetId="15" hidden="1">{#N/A,#N/A,FALSE,"Plan1";#N/A,#N/A,FALSE,"Plan2"}</definedName>
    <definedName name="DNFJKDHTKRE" hidden="1">{#N/A,#N/A,FALSE,"Plan1";#N/A,#N/A,FALSE,"Plan2"}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wr" localSheetId="15" hidden="1">{#N/A,#N/A,FALSE,"Plan1";#N/A,#N/A,FALSE,"Plan2"}</definedName>
    <definedName name="drewr" hidden="1">{#N/A,#N/A,FALSE,"Plan1";#N/A,#N/A,FALSE,"Plan2"}</definedName>
    <definedName name="DRRJR" localSheetId="15" hidden="1">{#N/A,#N/A,FALSE,"Plan1";#N/A,#N/A,FALSE,"Plan2"}</definedName>
    <definedName name="DRRJR" hidden="1">{#N/A,#N/A,FALSE,"Plan1";#N/A,#N/A,FALSE,"Plan2"}</definedName>
    <definedName name="drtr" hidden="1">#REF!</definedName>
    <definedName name="drtrt" hidden="1">{"'Estimativa de Lançamento-JAN'!$A$1:$AI$85"}</definedName>
    <definedName name="dsdrf" localSheetId="15" hidden="1">{#N/A,#N/A,FALSE,"Plan1";#N/A,#N/A,FALSE,"Plan2"}</definedName>
    <definedName name="dsdrf" hidden="1">{#N/A,#N/A,FALSE,"Plan1";#N/A,#N/A,FALSE,"Plan2"}</definedName>
    <definedName name="dsfdf" localSheetId="15" hidden="1">{#N/A,#N/A,FALSE,"Plan1";#N/A,#N/A,FALSE,"Plan2"}</definedName>
    <definedName name="dsfdf" hidden="1">{#N/A,#N/A,FALSE,"Plan1";#N/A,#N/A,FALSE,"Plan2"}</definedName>
    <definedName name="dsfg" localSheetId="15" hidden="1">{#N/A,#N/A,FALSE,"Plan1";#N/A,#N/A,FALSE,"Plan2"}</definedName>
    <definedName name="dsfg" hidden="1">{#N/A,#N/A,FALSE,"Plan1";#N/A,#N/A,FALSE,"Plan2"}</definedName>
    <definedName name="DSFKDSKH" localSheetId="15" hidden="1">{#N/A,#N/A,FALSE,"Plan1";#N/A,#N/A,FALSE,"Plan2"}</definedName>
    <definedName name="DSFKDSKH" hidden="1">{#N/A,#N/A,FALSE,"Plan1";#N/A,#N/A,FALSE,"Plan2"}</definedName>
    <definedName name="DSF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15" hidden="1">{#N/A,#N/A,FALSE,"Plan1";#N/A,#N/A,FALSE,"Plan2"}</definedName>
    <definedName name="dsfrtyy" hidden="1">{#N/A,#N/A,FALSE,"Plan1";#N/A,#N/A,FALSE,"Plan2"}</definedName>
    <definedName name="DSFSAD" localSheetId="15" hidden="1">{#N/A,#N/A,FALSE,"Plan1";#N/A,#N/A,FALSE,"Plan2"}</definedName>
    <definedName name="DSFSAD" hidden="1">{#N/A,#N/A,FALSE,"Plan1";#N/A,#N/A,FALSE,"Plan2"}</definedName>
    <definedName name="dsfsdf" localSheetId="15" hidden="1">{#N/A,#N/A,FALSE,"Plan1";#N/A,#N/A,FALSE,"Plan2"}</definedName>
    <definedName name="dsfsdf" hidden="1">{#N/A,#N/A,FALSE,"Plan1";#N/A,#N/A,FALSE,"Plan2"}</definedName>
    <definedName name="dsfsdgfb" localSheetId="15" hidden="1">{#N/A,#N/A,FALSE,"Plan1";#N/A,#N/A,FALSE,"Plan2"}</definedName>
    <definedName name="dsfsdgfb" hidden="1">{#N/A,#N/A,FALSE,"Plan1";#N/A,#N/A,FALSE,"Plan2"}</definedName>
    <definedName name="dsgfr" localSheetId="15" hidden="1">{#N/A,#N/A,FALSE,"Plan1";#N/A,#N/A,FALSE,"Plan2"}</definedName>
    <definedName name="dsgfr" hidden="1">{#N/A,#N/A,FALSE,"Plan1";#N/A,#N/A,FALSE,"Plan2"}</definedName>
    <definedName name="dshfkhkrhesru" localSheetId="15" hidden="1">{#N/A,#N/A,FALSE,"Plan1";#N/A,#N/A,FALSE,"Plan2"}</definedName>
    <definedName name="dshfkhkrhesru" hidden="1">{#N/A,#N/A,FALSE,"Plan1";#N/A,#N/A,FALSE,"Plan2"}</definedName>
    <definedName name="dsjkthkr" localSheetId="15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15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15" hidden="1">{#N/A,#N/A,FALSE,"Plan1";#N/A,#N/A,FALSE,"Plan2"}</definedName>
    <definedName name="dss" hidden="1">{#N/A,#N/A,FALSE,"Plan1";#N/A,#N/A,FALSE,"Plan2"}</definedName>
    <definedName name="dtgsrytt" localSheetId="15" hidden="1">{#N/A,#N/A,FALSE,"Plan1";#N/A,#N/A,FALSE,"Plan2"}</definedName>
    <definedName name="dtgsrytt" hidden="1">{#N/A,#N/A,FALSE,"Plan1";#N/A,#N/A,FALSE,"Plan2"}</definedName>
    <definedName name="dtrjkhtrgkfh" localSheetId="15" hidden="1">{#N/A,#N/A,FALSE,"Plan1";#N/A,#N/A,FALSE,"Plan2"}</definedName>
    <definedName name="dtrjkhtrgkfh" hidden="1">{#N/A,#N/A,FALSE,"Plan1";#N/A,#N/A,FALSE,"Plan2"}</definedName>
    <definedName name="dttjuk" localSheetId="15" hidden="1">{#N/A,#N/A,FALSE,"Plan1";#N/A,#N/A,FALSE,"Plan2"}</definedName>
    <definedName name="dttjuk" hidden="1">{#N/A,#N/A,FALSE,"Plan1";#N/A,#N/A,FALSE,"Plan2"}</definedName>
    <definedName name="dvtry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15" hidden="1">{#N/A,#N/A,FALSE,"Plan1";#N/A,#N/A,FALSE,"Plan2"}</definedName>
    <definedName name="dwetrt" hidden="1">{#N/A,#N/A,FALSE,"Plan1";#N/A,#N/A,FALSE,"Plan2"}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15" hidden="1">{#N/A,#N/A,FALSE,"Plan1";#N/A,#N/A,FALSE,"Plan2"}</definedName>
    <definedName name="DYHYGJDHZKGF" hidden="1">{#N/A,#N/A,FALSE,"Plan1";#N/A,#N/A,FALSE,"Plan2"}</definedName>
    <definedName name="dzdfr" localSheetId="15" hidden="1">{#N/A,#N/A,FALSE,"Plan1";#N/A,#N/A,FALSE,"Plan2"}</definedName>
    <definedName name="dzdfr" hidden="1">{#N/A,#N/A,FALSE,"Plan1";#N/A,#N/A,FALSE,"Plan2"}</definedName>
    <definedName name="e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hidden="1">{#N/A,#N/A,FALSE,"F-01"}</definedName>
    <definedName name="ECEW_1" hidden="1">{#N/A,#N/A,FALSE,"F-01"}</definedName>
    <definedName name="echart31" localSheetId="15" hidden="1">#REF!</definedName>
    <definedName name="echart31" hidden="1">#REF!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15" hidden="1">{#N/A,#N/A,FALSE,"Plan1";#N/A,#N/A,FALSE,"Plan2"}</definedName>
    <definedName name="EDE" hidden="1">{#N/A,#N/A,FALSE,"Plan1";#N/A,#N/A,FALSE,"Plan2"}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estfr" localSheetId="15" hidden="1">{#N/A,#N/A,FALSE,"Plan1";#N/A,#N/A,FALSE,"Plan2"}</definedName>
    <definedName name="efestfr" hidden="1">{#N/A,#N/A,FALSE,"Plan1";#N/A,#N/A,FALSE,"Plan2"}</definedName>
    <definedName name="efrdrt" localSheetId="15" hidden="1">{#N/A,#N/A,FALSE,"Plan1";#N/A,#N/A,FALSE,"Plan2"}</definedName>
    <definedName name="efrdrt" hidden="1">{#N/A,#N/A,FALSE,"Plan1";#N/A,#N/A,FALSE,"Plan2"}</definedName>
    <definedName name="efrg" localSheetId="15" hidden="1">{#N/A,#N/A,FALSE,"Plan1";#N/A,#N/A,FALSE,"Plan2"}</definedName>
    <definedName name="efrg" hidden="1">{#N/A,#N/A,FALSE,"Plan1";#N/A,#N/A,FALSE,"Plan2"}</definedName>
    <definedName name="efsgfr" localSheetId="15" hidden="1">{#N/A,#N/A,FALSE,"Plan1";#N/A,#N/A,FALSE,"Plan2"}</definedName>
    <definedName name="efsgfr" hidden="1">{#N/A,#N/A,FALSE,"Plan1";#N/A,#N/A,FALSE,"Plan2"}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15" hidden="1">{#N/A,#N/A,FALSE,"Plan1";#N/A,#N/A,FALSE,"Plan2"}</definedName>
    <definedName name="ergfhyu" hidden="1">{#N/A,#N/A,FALSE,"Plan1";#N/A,#N/A,FALSE,"Plan2"}</definedName>
    <definedName name="erte" hidden="1">#REF!</definedName>
    <definedName name="ESGFDSFD" localSheetId="15" hidden="1">{#N/A,#N/A,FALSE,"Plan1";#N/A,#N/A,FALSE,"Plan2"}</definedName>
    <definedName name="ESGFDSFD" hidden="1">{#N/A,#N/A,FALSE,"Plan1";#N/A,#N/A,FALSE,"Plan2"}</definedName>
    <definedName name="EU" localSheetId="15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15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15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15" hidden="1">{#N/A,#N/A,FALSE,"Plan1";#N/A,#N/A,FALSE,"Plan2"}</definedName>
    <definedName name="ewfr" hidden="1">{#N/A,#N/A,FALSE,"Plan1";#N/A,#N/A,FALSE,"Plan2"}</definedName>
    <definedName name="eyruieyteta" localSheetId="15" hidden="1">{#N/A,#N/A,FALSE,"Plan1";#N/A,#N/A,FALSE,"Plan2"}</definedName>
    <definedName name="eyruieyteta" hidden="1">{#N/A,#N/A,FALSE,"Plan1";#N/A,#N/A,FALSE,"Plan2"}</definedName>
    <definedName name="f" localSheetId="15" hidden="1">{#N/A,#N/A,FALSE,"Plan1";#N/A,#N/A,FALSE,"Plan2"}</definedName>
    <definedName name="f" hidden="1">{#N/A,#N/A,FALSE,"Plan1";#N/A,#N/A,FALSE,"Plan2"}</definedName>
    <definedName name="FAS" hidden="1">{"'Total'!$A$1","'Total'!$A$3"}</definedName>
    <definedName name="fasfasf" hidden="1">{#N/A,#N/A,TRUE,"Quinzena 01 à 15-04-98 "}</definedName>
    <definedName name="fchart31" hidden="1">#REF!</definedName>
    <definedName name="fddhght" localSheetId="15" hidden="1">{#N/A,#N/A,FALSE,"Plan1";#N/A,#N/A,FALSE,"Plan2"}</definedName>
    <definedName name="fddhght" hidden="1">{#N/A,#N/A,FALSE,"Plan1";#N/A,#N/A,FALSE,"Plan2"}</definedName>
    <definedName name="fdfgd" localSheetId="15" hidden="1">{#N/A,#N/A,FALSE,"Plan1";#N/A,#N/A,FALSE,"Plan2"}</definedName>
    <definedName name="fdfgd" hidden="1">{#N/A,#N/A,FALSE,"Plan1";#N/A,#N/A,FALSE,"Plan2"}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15" hidden="1">{#N/A,#N/A,FALSE,"Plan1";#N/A,#N/A,FALSE,"Plan2"}</definedName>
    <definedName name="fdgaf" hidden="1">{#N/A,#N/A,FALSE,"Plan1";#N/A,#N/A,FALSE,"Plan2"}</definedName>
    <definedName name="fdgdf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15" hidden="1">{#N/A,#N/A,FALSE,"Plan1";#N/A,#N/A,FALSE,"Plan2"}</definedName>
    <definedName name="FDGFDJHGZEDR" hidden="1">{#N/A,#N/A,FALSE,"Plan1";#N/A,#N/A,FALSE,"Plan2"}</definedName>
    <definedName name="fdgfyhygfuj" localSheetId="15" hidden="1">{#N/A,#N/A,FALSE,"Plan1";#N/A,#N/A,FALSE,"Plan2"}</definedName>
    <definedName name="fdgfyhygfuj" hidden="1">{#N/A,#N/A,FALSE,"Plan1";#N/A,#N/A,FALSE,"Plan2"}</definedName>
    <definedName name="fdhgfdf" localSheetId="15" hidden="1">{#N/A,#N/A,FALSE,"Plan1";#N/A,#N/A,FALSE,"Plan2"}</definedName>
    <definedName name="fdhgfdf" hidden="1">{#N/A,#N/A,FALSE,"Plan1";#N/A,#N/A,FALSE,"Plan2"}</definedName>
    <definedName name="fdjfgdfjg" localSheetId="15" hidden="1">{#N/A,#N/A,FALSE,"Plan1";#N/A,#N/A,FALSE,"Plan2"}</definedName>
    <definedName name="fdjfgdfjg" hidden="1">{#N/A,#N/A,FALSE,"Plan1";#N/A,#N/A,FALSE,"Plan2"}</definedName>
    <definedName name="fdjghkshtygt" localSheetId="15" hidden="1">{#N/A,#N/A,FALSE,"Plan1";#N/A,#N/A,FALSE,"Plan2"}</definedName>
    <definedName name="fdjghkshtygt" hidden="1">{#N/A,#N/A,FALSE,"Plan1";#N/A,#N/A,FALSE,"Plan2"}</definedName>
    <definedName name="fdnhgf" hidden="1">{"'Estimativa de Lançamento-JAN'!$A$1:$AI$85"}</definedName>
    <definedName name="fdsf" localSheetId="15" hidden="1">{#N/A,#N/A,FALSE,"Plan1";#N/A,#N/A,FALSE,"Plan2"}</definedName>
    <definedName name="fdsf" hidden="1">{#N/A,#N/A,FALSE,"Plan1";#N/A,#N/A,FALSE,"Plan2"}</definedName>
    <definedName name="FER" hidden="1">#REF!</definedName>
    <definedName name="fffff" localSheetId="15" hidden="1">{#N/A,#N/A,FALSE,"Plan1";#N/A,#N/A,FALSE,"Plan2"}</definedName>
    <definedName name="fffff" hidden="1">{#N/A,#N/A,FALSE,"Plan1";#N/A,#N/A,FALSE,"Plan2"}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15" hidden="1">{#N/A,#N/A,FALSE,"Plan1";#N/A,#N/A,FALSE,"Plan2"}</definedName>
    <definedName name="fg" hidden="1">{#N/A,#N/A,FALSE,"Plan1";#N/A,#N/A,FALSE,"Plan2"}</definedName>
    <definedName name="fgg" hidden="1">{"'장비'!$A$3:$M$12"}</definedName>
    <definedName name="fghfh" hidden="1">{"'Estimativa de Lançamento-JAN'!$A$1:$AI$85"}</definedName>
    <definedName name="fghgfh" localSheetId="15" hidden="1">{#N/A,#N/A,FALSE,"Plan1";#N/A,#N/A,FALSE,"Plan2"}</definedName>
    <definedName name="fghgfh" hidden="1">{#N/A,#N/A,FALSE,"Plan1";#N/A,#N/A,FALSE,"Plan2"}</definedName>
    <definedName name="FGJHFGK" localSheetId="15" hidden="1">{#N/A,#N/A,FALSE,"Plan1";#N/A,#N/A,FALSE,"Plan2"}</definedName>
    <definedName name="FGJHFGK" hidden="1">{#N/A,#N/A,FALSE,"Plan1";#N/A,#N/A,FALSE,"Plan2"}</definedName>
    <definedName name="fgktyhdf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15" hidden="1">{#N/A,#N/A,FALSE,"Plan1";#N/A,#N/A,FALSE,"Plan2"}</definedName>
    <definedName name="fgtrgty" hidden="1">{#N/A,#N/A,FALSE,"Plan1";#N/A,#N/A,FALSE,"Plan2"}</definedName>
    <definedName name="fgty" localSheetId="15" hidden="1">#REF!</definedName>
    <definedName name="fgty" hidden="1">#REF!</definedName>
    <definedName name="fhgjfgyt" localSheetId="15" hidden="1">{#N/A,#N/A,FALSE,"Plan1";#N/A,#N/A,FALSE,"Plan2"}</definedName>
    <definedName name="fhgjfgyt" hidden="1">{#N/A,#N/A,FALSE,"Plan1";#N/A,#N/A,FALSE,"Plan2"}</definedName>
    <definedName name="fhgjkhtrfg" localSheetId="15" hidden="1">{#N/A,#N/A,FALSE,"Plan1";#N/A,#N/A,FALSE,"Plan2"}</definedName>
    <definedName name="fhgjkhtrfg" hidden="1">{#N/A,#N/A,FALSE,"Plan1";#N/A,#N/A,FALSE,"Plan2"}</definedName>
    <definedName name="FHGTGSRSG" localSheetId="15" hidden="1">{#N/A,#N/A,FALSE,"Plan1";#N/A,#N/A,FALSE,"Plan2"}</definedName>
    <definedName name="FHGTGSRSG" hidden="1">{#N/A,#N/A,FALSE,"Plan1";#N/A,#N/A,FALSE,"Plan2"}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hidden="1">{#N/A,#N/A,TRUE,"Quinzena 01 à 15-04-98 "}</definedName>
    <definedName name="fjdhfgjdhtgu" localSheetId="15" hidden="1">{#N/A,#N/A,FALSE,"Plan1";#N/A,#N/A,FALSE,"Plan2"}</definedName>
    <definedName name="fjdhfgjdhtgu" hidden="1">{#N/A,#N/A,FALSE,"Plan1";#N/A,#N/A,FALSE,"Plan2"}</definedName>
    <definedName name="fjfjg" hidden="1">{#N/A,#N/A,FALSE,"명세표"}</definedName>
    <definedName name="FJGH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15" hidden="1">{#N/A,#N/A,FALSE,"Plan1";#N/A,#N/A,FALSE,"Plan2"}</definedName>
    <definedName name="FJHJHG" hidden="1">{#N/A,#N/A,FALSE,"Plan1";#N/A,#N/A,FALSE,"Plan2"}</definedName>
    <definedName name="fjtgfh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15" hidden="1">{#N/A,#N/A,FALSE,"Plan1";#N/A,#N/A,FALSE,"Plan2"}</definedName>
    <definedName name="fkfw" hidden="1">{#N/A,#N/A,FALSE,"Plan1";#N/A,#N/A,FALSE,"Plan2"}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rçt4r" localSheetId="15" hidden="1">{#N/A,#N/A,FALSE,"Plan1";#N/A,#N/A,FALSE,"Plan2"}</definedName>
    <definedName name="frçt4r" hidden="1">{#N/A,#N/A,FALSE,"Plan1";#N/A,#N/A,FALSE,"Plan2"}</definedName>
    <definedName name="frdtty" localSheetId="15" hidden="1">{#N/A,#N/A,FALSE,"Plan1";#N/A,#N/A,FALSE,"Plan2"}</definedName>
    <definedName name="frdtty" hidden="1">{#N/A,#N/A,FALSE,"Plan1";#N/A,#N/A,FALSE,"Plan2"}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15" hidden="1">{#N/A,#N/A,FALSE,"Plan1";#N/A,#N/A,FALSE,"Plan2"}</definedName>
    <definedName name="fuihgjk" hidden="1">{#N/A,#N/A,FALSE,"Plan1";#N/A,#N/A,FALSE,"Plan2"}</definedName>
    <definedName name="fxjghkfg" localSheetId="15" hidden="1">{#N/A,#N/A,FALSE,"Plan1";#N/A,#N/A,FALSE,"Plan2"}</definedName>
    <definedName name="fxjghkfg" hidden="1">{#N/A,#N/A,FALSE,"Plan1";#N/A,#N/A,FALSE,"Plan2"}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bdjkvhgd" localSheetId="15" hidden="1">{#N/A,#N/A,FALSE,"Plan1";#N/A,#N/A,FALSE,"Plan2"}</definedName>
    <definedName name="gbdjkvhgd" hidden="1">{#N/A,#N/A,FALSE,"Plan1";#N/A,#N/A,FALSE,"Plan2"}</definedName>
    <definedName name="gbdsjgsjfdgj" localSheetId="15" hidden="1">{#N/A,#N/A,FALSE,"Plan1";#N/A,#N/A,FALSE,"Plan2"}</definedName>
    <definedName name="gbdsjgsjfdgj" hidden="1">{#N/A,#N/A,FALSE,"Plan1";#N/A,#N/A,FALSE,"Plan2"}</definedName>
    <definedName name="gdfdhgfjgj" localSheetId="15" hidden="1">{#N/A,#N/A,FALSE,"Plan1";#N/A,#N/A,FALSE,"Plan2"}</definedName>
    <definedName name="gdfdhgfjgj" hidden="1">{#N/A,#N/A,FALSE,"Plan1";#N/A,#N/A,FALSE,"Plan2"}</definedName>
    <definedName name="gdfgdstggt" localSheetId="15" hidden="1">{#N/A,#N/A,FALSE,"Plan1";#N/A,#N/A,FALSE,"Plan2"}</definedName>
    <definedName name="gdfgdstggt" hidden="1">{#N/A,#N/A,FALSE,"Plan1";#N/A,#N/A,FALSE,"Plan2"}</definedName>
    <definedName name="GDFHGRJGFJDRF" localSheetId="15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15" hidden="1">{#N/A,#N/A,FALSE,"Plan1";#N/A,#N/A,FALSE,"Plan2"}</definedName>
    <definedName name="gdfigfhuyuy" hidden="1">{#N/A,#N/A,FALSE,"Plan1";#N/A,#N/A,FALSE,"Plan2"}</definedName>
    <definedName name="gdfsgfew" localSheetId="15" hidden="1">{#N/A,#N/A,FALSE,"Plan1";#N/A,#N/A,FALSE,"Plan2"}</definedName>
    <definedName name="gdfsgfew" hidden="1">{#N/A,#N/A,FALSE,"Plan1";#N/A,#N/A,FALSE,"Plan2"}</definedName>
    <definedName name="gdhfgdhfgf" localSheetId="15" hidden="1">{#N/A,#N/A,FALSE,"Plan1";#N/A,#N/A,FALSE,"Plan2"}</definedName>
    <definedName name="gdhfgdhfgf" hidden="1">{#N/A,#N/A,FALSE,"Plan1";#N/A,#N/A,FALSE,"Plan2"}</definedName>
    <definedName name="gdsfhefrwrw" localSheetId="15" hidden="1">{#N/A,#N/A,FALSE,"Plan1";#N/A,#N/A,FALSE,"Plan2"}</definedName>
    <definedName name="gdsfhefrwrw" hidden="1">{#N/A,#N/A,FALSE,"Plan1";#N/A,#N/A,FALSE,"Plan2"}</definedName>
    <definedName name="geshrjhed" localSheetId="15" hidden="1">{#N/A,#N/A,FALSE,"Plan1";#N/A,#N/A,FALSE,"Plan2"}</definedName>
    <definedName name="geshrjhed" hidden="1">{#N/A,#N/A,FALSE,"Plan1";#N/A,#N/A,FALSE,"Plan2"}</definedName>
    <definedName name="gestao" hidden="1">OFFSET(INDEX(#REF!,MATCH(#REF!,#REF!,0)),1,0,COUNTA(#REF!)-1)</definedName>
    <definedName name="gfdcgnkf" localSheetId="15" hidden="1">{#N/A,#N/A,FALSE,"Plan1";#N/A,#N/A,FALSE,"Plan2"}</definedName>
    <definedName name="gfdcgnkf" hidden="1">{#N/A,#N/A,FALSE,"Plan1";#N/A,#N/A,FALSE,"Plan2"}</definedName>
    <definedName name="gfdjtgur" localSheetId="15" hidden="1">{#N/A,#N/A,FALSE,"Plan1";#N/A,#N/A,FALSE,"Plan2"}</definedName>
    <definedName name="gfdjtgur" hidden="1">{#N/A,#N/A,FALSE,"Plan1";#N/A,#N/A,FALSE,"Plan2"}</definedName>
    <definedName name="gfdrtg" localSheetId="15" hidden="1">#REF!</definedName>
    <definedName name="gfdrtg" hidden="1">#REF!</definedName>
    <definedName name="gfgdhxgfdhf" localSheetId="15" hidden="1">{#N/A,#N/A,FALSE,"Plan1";#N/A,#N/A,FALSE,"Plan2"}</definedName>
    <definedName name="gfgdhxgfdhf" hidden="1">{#N/A,#N/A,FALSE,"Plan1";#N/A,#N/A,FALSE,"Plan2"}</definedName>
    <definedName name="gfhfdtgjb" localSheetId="15" hidden="1">{#N/A,#N/A,FALSE,"Plan1";#N/A,#N/A,FALSE,"Plan2"}</definedName>
    <definedName name="gfhfdtgjb" hidden="1">{#N/A,#N/A,FALSE,"Plan1";#N/A,#N/A,FALSE,"Plan2"}</definedName>
    <definedName name="gfjdshrtjhtged" localSheetId="15" hidden="1">{#N/A,#N/A,FALSE,"Plan1";#N/A,#N/A,FALSE,"Plan2"}</definedName>
    <definedName name="gfjdshrtjhtged" hidden="1">{#N/A,#N/A,FALSE,"Plan1";#N/A,#N/A,FALSE,"Plan2"}</definedName>
    <definedName name="gfjgkddgfd" localSheetId="15" hidden="1">{#N/A,#N/A,FALSE,"Plan1";#N/A,#N/A,FALSE,"Plan2"}</definedName>
    <definedName name="gfjgkddgfd" hidden="1">{#N/A,#N/A,FALSE,"Plan1";#N/A,#N/A,FALSE,"Plan2"}</definedName>
    <definedName name="gfsghjdgygr" localSheetId="15" hidden="1">{#N/A,#N/A,FALSE,"Plan1";#N/A,#N/A,FALSE,"Plan2"}</definedName>
    <definedName name="gfsghjdgygr" hidden="1">{#N/A,#N/A,FALSE,"Plan1";#N/A,#N/A,FALSE,"Plan2"}</definedName>
    <definedName name="gftfy" localSheetId="15" hidden="1">{#N/A,#N/A,FALSE,"Plan1";#N/A,#N/A,FALSE,"Plan2"}</definedName>
    <definedName name="gftfy" hidden="1">{#N/A,#N/A,FALSE,"Plan1";#N/A,#N/A,FALSE,"Plan2"}</definedName>
    <definedName name="gfty" localSheetId="15" hidden="1">{#N/A,#N/A,FALSE,"Plan1";#N/A,#N/A,FALSE,"Plan2"}</definedName>
    <definedName name="gfty" hidden="1">{#N/A,#N/A,FALSE,"Plan1";#N/A,#N/A,FALSE,"Plan2"}</definedName>
    <definedName name="GFUJU9" localSheetId="15" hidden="1">{#N/A,#N/A,FALSE,"Plan1";#N/A,#N/A,FALSE,"Plan2"}</definedName>
    <definedName name="GFUJU9" hidden="1">{#N/A,#N/A,FALSE,"Plan1";#N/A,#N/A,FALSE,"Plan2"}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15" hidden="1">{#N/A,#N/A,FALSE,"Plan1";#N/A,#N/A,FALSE,"Plan2"}</definedName>
    <definedName name="gggg" hidden="1">{"'장비'!$A$3:$M$12"}</definedName>
    <definedName name="ggggggggg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hidden="1">{"'장비'!$A$3:$M$12"}</definedName>
    <definedName name="ghfgdfrtert" localSheetId="15" hidden="1">{#N/A,#N/A,FALSE,"Plan1";#N/A,#N/A,FALSE,"Plan2"}</definedName>
    <definedName name="ghfgdfrtert" hidden="1">{#N/A,#N/A,FALSE,"Plan1";#N/A,#N/A,FALSE,"Plan2"}</definedName>
    <definedName name="ghfhghft" localSheetId="15" hidden="1">{#N/A,#N/A,FALSE,"Plan1";#N/A,#N/A,FALSE,"Plan2"}</definedName>
    <definedName name="ghfhghft" hidden="1">{#N/A,#N/A,FALSE,"Plan1";#N/A,#N/A,FALSE,"Plan2"}</definedName>
    <definedName name="ghjg" hidden="1">{"'Estimativa de Lançamento-JAN'!$A$1:$AI$85"}</definedName>
    <definedName name="ghkfhgh" localSheetId="15" hidden="1">{#N/A,#N/A,FALSE,"Plan1";#N/A,#N/A,FALSE,"Plan2"}</definedName>
    <definedName name="ghkfhgh" hidden="1">{#N/A,#N/A,FALSE,"Plan1";#N/A,#N/A,FALSE,"Plan2"}</definedName>
    <definedName name="ghkjh" hidden="1">{#N/A,#N/A,FALSE,"ENG'G(보호계전기)"}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15" hidden="1">{#N/A,#N/A,FALSE,"Plan1";#N/A,#N/A,FALSE,"Plan2"}</definedName>
    <definedName name="gjfhjktgcf" hidden="1">{#N/A,#N/A,FALSE,"Plan1";#N/A,#N/A,FALSE,"Plan2"}</definedName>
    <definedName name="GJ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15" hidden="1">{#N/A,#N/A,FALSE,"Plan1";#N/A,#N/A,FALSE,"Plan2"}</definedName>
    <definedName name="gjkhgjhjfggfjhfg" hidden="1">{#N/A,#N/A,FALSE,"Plan1";#N/A,#N/A,FALSE,"Plan2"}</definedName>
    <definedName name="glgl" localSheetId="15" hidden="1">{#N/A,#N/A,FALSE,"Plan1";#N/A,#N/A,FALSE,"Plan2"}</definedName>
    <definedName name="glgl" hidden="1">{#N/A,#N/A,FALSE,"Plan1";#N/A,#N/A,FALSE,"Plan2"}</definedName>
    <definedName name="global" hidden="1">{"'Estimativa de Lançamento-JAN'!$A$1:$AI$85"}</definedName>
    <definedName name="gnfrth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15" hidden="1">{#N/A,#N/A,FALSE,"Plan1";#N/A,#N/A,FALSE,"Plan2"}</definedName>
    <definedName name="gtuigsdyugsdf" hidden="1">{#N/A,#N/A,FALSE,"Plan1";#N/A,#N/A,FALSE,"Plan2"}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hidden="1">{#N/A,#N/A,FALSE,"CCTV"}</definedName>
    <definedName name="hcjfkhdghfktg" localSheetId="15" hidden="1">{#N/A,#N/A,FALSE,"Plan1";#N/A,#N/A,FALSE,"Plan2"}</definedName>
    <definedName name="hcjfkhdghfktg" hidden="1">{#N/A,#N/A,FALSE,"Plan1";#N/A,#N/A,FALSE,"Plan2"}</definedName>
    <definedName name="hckhjfdkgfdg" localSheetId="15" hidden="1">#REF!</definedName>
    <definedName name="hckhjfdkgfdg" hidden="1">#REF!</definedName>
    <definedName name="hddfndgdfg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15" hidden="1">{#N/A,#N/A,FALSE,"Plan1";#N/A,#N/A,FALSE,"Plan2"}</definedName>
    <definedName name="HDFGHGST" hidden="1">{#N/A,#N/A,FALSE,"Plan1";#N/A,#N/A,FALSE,"Plan2"}</definedName>
    <definedName name="HDFGJKHKFDHTY" localSheetId="15" hidden="1">{#N/A,#N/A,FALSE,"Plan1";#N/A,#N/A,FALSE,"Plan2"}</definedName>
    <definedName name="HDFGJKHKFDHTY" hidden="1">{#N/A,#N/A,FALSE,"Plan1";#N/A,#N/A,FALSE,"Plan2"}</definedName>
    <definedName name="hdfhdhrtgd" localSheetId="15" hidden="1">{#N/A,#N/A,FALSE,"Plan1";#N/A,#N/A,FALSE,"Plan2"}</definedName>
    <definedName name="hdfhdhrtgd" hidden="1">{#N/A,#N/A,FALSE,"Plan1";#N/A,#N/A,FALSE,"Plan2"}</definedName>
    <definedName name="hdfhftde" localSheetId="15" hidden="1">{#N/A,#N/A,FALSE,"Plan1";#N/A,#N/A,FALSE,"Plan2"}</definedName>
    <definedName name="hdfhftde" hidden="1">{#N/A,#N/A,FALSE,"Plan1";#N/A,#N/A,FALSE,"Plan2"}</definedName>
    <definedName name="hdfhgkdhgtrf" localSheetId="15" hidden="1">{#N/A,#N/A,FALSE,"Plan1";#N/A,#N/A,FALSE,"Plan2"}</definedName>
    <definedName name="hdfhgkdhgtrf" hidden="1">{#N/A,#N/A,FALSE,"Plan1";#N/A,#N/A,FALSE,"Plan2"}</definedName>
    <definedName name="hdfjhdkzhgdr" localSheetId="15" hidden="1">{#N/A,#N/A,FALSE,"Plan1";#N/A,#N/A,FALSE,"Plan2"}</definedName>
    <definedName name="hdfjhdkzhgdr" hidden="1">{#N/A,#N/A,FALSE,"Plan1";#N/A,#N/A,FALSE,"Plan2"}</definedName>
    <definedName name="hdfjkgvjgtd" localSheetId="15" hidden="1">{#N/A,#N/A,FALSE,"Plan1";#N/A,#N/A,FALSE,"Plan2"}</definedName>
    <definedName name="hdfjkgvjgtd" hidden="1">{#N/A,#N/A,FALSE,"Plan1";#N/A,#N/A,FALSE,"Plan2"}</definedName>
    <definedName name="hdfjkhdhrute" localSheetId="15" hidden="1">{#N/A,#N/A,FALSE,"Plan1";#N/A,#N/A,FALSE,"Plan2"}</definedName>
    <definedName name="hdfjkhdhrute" hidden="1">{#N/A,#N/A,FALSE,"Plan1";#N/A,#N/A,FALSE,"Plan2"}</definedName>
    <definedName name="HDFKGVF" localSheetId="15" hidden="1">{#N/A,#N/A,FALSE,"Plan1";#N/A,#N/A,FALSE,"Plan2"}</definedName>
    <definedName name="HDFKGVF" hidden="1">{#N/A,#N/A,FALSE,"Plan1";#N/A,#N/A,FALSE,"Plan2"}</definedName>
    <definedName name="hdgfhdgtdrt" localSheetId="15" hidden="1">{#N/A,#N/A,FALSE,"Plan1";#N/A,#N/A,FALSE,"Plan2"}</definedName>
    <definedName name="hdgfhdgtdrt" hidden="1">{#N/A,#N/A,FALSE,"Plan1";#N/A,#N/A,FALSE,"Plan2"}</definedName>
    <definedName name="hdghgtgtrgd" localSheetId="15" hidden="1">{#N/A,#N/A,FALSE,"Plan1";#N/A,#N/A,FALSE,"Plan2"}</definedName>
    <definedName name="hdghgtgtrgd" hidden="1">{#N/A,#N/A,FALSE,"Plan1";#N/A,#N/A,FALSE,"Plan2"}</definedName>
    <definedName name="HDHDGHTUHDTG" localSheetId="15" hidden="1">{#N/A,#N/A,FALSE,"Plan1";#N/A,#N/A,FALSE,"Plan2"}</definedName>
    <definedName name="HDHDGHTUHDTG" hidden="1">{#N/A,#N/A,FALSE,"Plan1";#N/A,#N/A,FALSE,"Plan2"}</definedName>
    <definedName name="hdhghfthrrhy" localSheetId="15" hidden="1">{#N/A,#N/A,FALSE,"Plan1";#N/A,#N/A,FALSE,"Plan2"}</definedName>
    <definedName name="hdhghfthrrhy" hidden="1">{#N/A,#N/A,FALSE,"Plan1";#N/A,#N/A,FALSE,"Plan2"}</definedName>
    <definedName name="hdkfjhydjh" localSheetId="15" hidden="1">{#N/A,#N/A,FALSE,"Plan1";#N/A,#N/A,FALSE,"Plan2"}</definedName>
    <definedName name="hdkfjhydjh" hidden="1">{#N/A,#N/A,FALSE,"Plan1";#N/A,#N/A,FALSE,"Plan2"}</definedName>
    <definedName name="hdsgfgrrdgr" localSheetId="15" hidden="1">{#N/A,#N/A,FALSE,"Plan1";#N/A,#N/A,FALSE,"Plan2"}</definedName>
    <definedName name="hdsgfgrrdgr" hidden="1">{#N/A,#N/A,FALSE,"Plan1";#N/A,#N/A,FALSE,"Plan2"}</definedName>
    <definedName name="hdtertkkdsa" localSheetId="15" hidden="1">{#N/A,#N/A,FALSE,"Plan1";#N/A,#N/A,FALSE,"Plan2"}</definedName>
    <definedName name="hdtertkkdsa" hidden="1">{#N/A,#N/A,FALSE,"Plan1";#N/A,#N/A,FALSE,"Plan2"}</definedName>
    <definedName name="HEDHA" localSheetId="15" hidden="1">{#N/A,#N/A,FALSE,"Plan1";#N/A,#N/A,FALSE,"Plan2"}</definedName>
    <definedName name="HEDHA" hidden="1">{#N/A,#N/A,FALSE,"Plan1";#N/A,#N/A,FALSE,"Plan2"}</definedName>
    <definedName name="heife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rkfdshfker" localSheetId="15" hidden="1">{#N/A,#N/A,FALSE,"Plan1";#N/A,#N/A,FALSE,"Plan2"}</definedName>
    <definedName name="herkfdshfker" hidden="1">{#N/A,#N/A,FALSE,"Plan1";#N/A,#N/A,FALSE,"Plan2"}</definedName>
    <definedName name="hersdtretyt" localSheetId="15" hidden="1">{#N/A,#N/A,FALSE,"Plan1";#N/A,#N/A,FALSE,"Plan2"}</definedName>
    <definedName name="hersdtretyt" hidden="1">{#N/A,#N/A,FALSE,"Plan1";#N/A,#N/A,FALSE,"Plan2"}</definedName>
    <definedName name="HFDJTHTRS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15" hidden="1">{#N/A,#N/A,FALSE,"Plan1";#N/A,#N/A,FALSE,"Plan2"}</definedName>
    <definedName name="HFDKHGFR" hidden="1">{#N/A,#N/A,FALSE,"Plan1";#N/A,#N/A,FALSE,"Plan2"}</definedName>
    <definedName name="hfdkhgkfdhtj" localSheetId="15" hidden="1">{#N/A,#N/A,FALSE,"Plan1";#N/A,#N/A,FALSE,"Plan2"}</definedName>
    <definedName name="hfdkhgkfdhtj" hidden="1">{#N/A,#N/A,FALSE,"Plan1";#N/A,#N/A,FALSE,"Plan2"}</definedName>
    <definedName name="hfgfktgkhyt" localSheetId="15" hidden="1">{#N/A,#N/A,FALSE,"Plan1";#N/A,#N/A,FALSE,"Plan2"}</definedName>
    <definedName name="hfgfktgkhyt" hidden="1">{#N/A,#N/A,FALSE,"Plan1";#N/A,#N/A,FALSE,"Plan2"}</definedName>
    <definedName name="hfghdkhrgkjg" localSheetId="15" hidden="1">{#N/A,#N/A,FALSE,"Plan1";#N/A,#N/A,FALSE,"Plan2"}</definedName>
    <definedName name="hfghdkhrgkjg" hidden="1">{#N/A,#N/A,FALSE,"Plan1";#N/A,#N/A,FALSE,"Plan2"}</definedName>
    <definedName name="hfighfth" localSheetId="15" hidden="1">{#N/A,#N/A,FALSE,"Plan1";#N/A,#N/A,FALSE,"Plan2"}</definedName>
    <definedName name="hfighfth" hidden="1">{#N/A,#N/A,FALSE,"Plan1";#N/A,#N/A,FALSE,"Plan2"}</definedName>
    <definedName name="hfjghtfuyrf" localSheetId="15" hidden="1">{#N/A,#N/A,FALSE,"Plan1";#N/A,#N/A,FALSE,"Plan2"}</definedName>
    <definedName name="hfjghtfuyrf" hidden="1">{#N/A,#N/A,FALSE,"Plan1";#N/A,#N/A,FALSE,"Plan2"}</definedName>
    <definedName name="HFKJHDJGHFJ" localSheetId="15" hidden="1">{#N/A,#N/A,FALSE,"Plan1";#N/A,#N/A,FALSE,"Plan2"}</definedName>
    <definedName name="HFKJHDJGHFJ" hidden="1">{#N/A,#N/A,FALSE,"Plan1";#N/A,#N/A,FALSE,"Plan2"}</definedName>
    <definedName name="hgdesgfgsj" localSheetId="15" hidden="1">{#N/A,#N/A,FALSE,"Plan1";#N/A,#N/A,FALSE,"Plan2"}</definedName>
    <definedName name="hgdesgfgsj" hidden="1">{#N/A,#N/A,FALSE,"Plan1";#N/A,#N/A,FALSE,"Plan2"}</definedName>
    <definedName name="hgdgfd" localSheetId="15" hidden="1">{#N/A,#N/A,FALSE,"Plan1";#N/A,#N/A,FALSE,"Plan2"}</definedName>
    <definedName name="hgdgfd" hidden="1">{#N/A,#N/A,FALSE,"Plan1";#N/A,#N/A,FALSE,"Plan2"}</definedName>
    <definedName name="hgfhjkdfhj" localSheetId="15" hidden="1">{#N/A,#N/A,FALSE,"Plan1";#N/A,#N/A,FALSE,"Plan2"}</definedName>
    <definedName name="hgfhjkdfhj" hidden="1">{#N/A,#N/A,FALSE,"Plan1";#N/A,#N/A,FALSE,"Plan2"}</definedName>
    <definedName name="hgg" localSheetId="15" hidden="1">{#N/A,#N/A,FALSE,"Plan1";#N/A,#N/A,FALSE,"Plan2"}</definedName>
    <definedName name="hgg" hidden="1">{#N/A,#N/A,FALSE,"Plan1";#N/A,#N/A,FALSE,"Plan2"}</definedName>
    <definedName name="hgjdfgghg" localSheetId="15" hidden="1">{#N/A,#N/A,FALSE,"Plan1";#N/A,#N/A,FALSE,"Plan2"}</definedName>
    <definedName name="hgjdfgghg" hidden="1">{#N/A,#N/A,FALSE,"Plan1";#N/A,#N/A,FALSE,"Plan2"}</definedName>
    <definedName name="hgjkfdhg" localSheetId="15" hidden="1">{#N/A,#N/A,FALSE,"Plan1";#N/A,#N/A,FALSE,"Plan2"}</definedName>
    <definedName name="hgjkfdhg" hidden="1">{#N/A,#N/A,FALSE,"Plan1";#N/A,#N/A,FALSE,"Plan2"}</definedName>
    <definedName name="hgkdfhkfk" localSheetId="15" hidden="1">{#N/A,#N/A,FALSE,"Plan1";#N/A,#N/A,FALSE,"Plan2"}</definedName>
    <definedName name="hgkdfhkfk" hidden="1">{#N/A,#N/A,FALSE,"Plan1";#N/A,#N/A,FALSE,"Plan2"}</definedName>
    <definedName name="hgkjhdfhtrdyt" localSheetId="15" hidden="1">{#N/A,#N/A,FALSE,"Plan1";#N/A,#N/A,FALSE,"Plan2"}</definedName>
    <definedName name="hgkjhdfhtrdyt" hidden="1">{#N/A,#N/A,FALSE,"Plan1";#N/A,#N/A,FALSE,"Plan2"}</definedName>
    <definedName name="hgkjhdfkhgtfhg" localSheetId="15" hidden="1">{#N/A,#N/A,FALSE,"Plan1";#N/A,#N/A,FALSE,"Plan2"}</definedName>
    <definedName name="hgkjhdfkhgtfhg" hidden="1">{#N/A,#N/A,FALSE,"Plan1";#N/A,#N/A,FALSE,"Plan2"}</definedName>
    <definedName name="hgkjhkfhsdkdhgk" localSheetId="15" hidden="1">{#N/A,#N/A,FALSE,"Plan1";#N/A,#N/A,FALSE,"Plan2"}</definedName>
    <definedName name="hgkjhkfhsdkdhgk" hidden="1">{#N/A,#N/A,FALSE,"Plan1";#N/A,#N/A,FALSE,"Plan2"}</definedName>
    <definedName name="hgsufgdhghd" localSheetId="15" hidden="1">{#N/A,#N/A,FALSE,"Plan1";#N/A,#N/A,FALSE,"Plan2"}</definedName>
    <definedName name="hgsufgdhghd" hidden="1">{#N/A,#N/A,FALSE,"Plan1";#N/A,#N/A,FALSE,"Plan2"}</definedName>
    <definedName name="HHGFHTYUT" localSheetId="15" hidden="1">{#N/A,#N/A,FALSE,"Plan1";#N/A,#N/A,FALSE,"Plan2"}</definedName>
    <definedName name="HHGFHTYUT" hidden="1">{#N/A,#N/A,FALSE,"Plan1";#N/A,#N/A,FALSE,"Plan2"}</definedName>
    <definedName name="hhh" hidden="1">{"'Total'!$A$1","'Total'!$A$3"}</definedName>
    <definedName name="HHIHLK" localSheetId="15" hidden="1">#REF!</definedName>
    <definedName name="HHIHLK" hidden="1">#REF!</definedName>
    <definedName name="hik" hidden="1">{#N/A,#N/A,FALSE,"TABLE"}</definedName>
    <definedName name="hjdgtjdjxrfg" localSheetId="15" hidden="1">{#N/A,#N/A,FALSE,"Plan1";#N/A,#N/A,FALSE,"Plan2"}</definedName>
    <definedName name="hjdgtjdjxrfg" hidden="1">{#N/A,#N/A,FALSE,"Plan1";#N/A,#N/A,FALSE,"Plan2"}</definedName>
    <definedName name="HJFDGD" localSheetId="15" hidden="1">{#N/A,#N/A,FALSE,"Plan1";#N/A,#N/A,FALSE,"Plan2"}</definedName>
    <definedName name="HJFDGD" hidden="1">{#N/A,#N/A,FALSE,"Plan1";#N/A,#N/A,FALSE,"Plan2"}</definedName>
    <definedName name="HJGASD" localSheetId="15" hidden="1">{#N/A,#N/A,FALSE,"Plan1";#N/A,#N/A,FALSE,"Plan2"}</definedName>
    <definedName name="HJGASD" hidden="1">{#N/A,#N/A,FALSE,"Plan1";#N/A,#N/A,FALSE,"Plan2"}</definedName>
    <definedName name="HJGFGTFDG" localSheetId="15" hidden="1">{#N/A,#N/A,FALSE,"Plan1";#N/A,#N/A,FALSE,"Plan2"}</definedName>
    <definedName name="HJGFGTFDG" hidden="1">{#N/A,#N/A,FALSE,"Plan1";#N/A,#N/A,FALSE,"Plan2"}</definedName>
    <definedName name="hjgfhdsgfhsd" localSheetId="15" hidden="1">{#N/A,#N/A,FALSE,"Plan1";#N/A,#N/A,FALSE,"Plan2"}</definedName>
    <definedName name="hjgfhdsgfhsd" hidden="1">{#N/A,#N/A,FALSE,"Plan1";#N/A,#N/A,FALSE,"Plan2"}</definedName>
    <definedName name="hjgxfjgdjyftr" localSheetId="15" hidden="1">{#N/A,#N/A,FALSE,"Plan1";#N/A,#N/A,FALSE,"Plan2"}</definedName>
    <definedName name="hjgxfjgdjyftr" hidden="1">{#N/A,#N/A,FALSE,"Plan1";#N/A,#N/A,FALSE,"Plan2"}</definedName>
    <definedName name="hjgyugasd" localSheetId="15" hidden="1">{#N/A,#N/A,FALSE,"Plan1";#N/A,#N/A,FALSE,"Plan2"}</definedName>
    <definedName name="hjgyugasd" hidden="1">{#N/A,#N/A,FALSE,"Plan1";#N/A,#N/A,FALSE,"Plan2"}</definedName>
    <definedName name="hjjfyfy" localSheetId="15" hidden="1">{#N/A,#N/A,FALSE,"Plan1";#N/A,#N/A,FALSE,"Plan2"}</definedName>
    <definedName name="hjjfyfy" hidden="1">{#N/A,#N/A,FALSE,"Plan1";#N/A,#N/A,FALSE,"Plan2"}</definedName>
    <definedName name="hjkchkvjhdjkgh" localSheetId="15" hidden="1">{#N/A,#N/A,FALSE,"Plan1";#N/A,#N/A,FALSE,"Plan2"}</definedName>
    <definedName name="hjkchkvjhdjkgh" hidden="1">{#N/A,#N/A,FALSE,"Plan1";#N/A,#N/A,FALSE,"Plan2"}</definedName>
    <definedName name="hjkfjdyht" localSheetId="15" hidden="1">{#N/A,#N/A,FALSE,"Plan1";#N/A,#N/A,FALSE,"Plan2"}</definedName>
    <definedName name="hjkfjdyht" hidden="1">{#N/A,#N/A,FALSE,"Plan1";#N/A,#N/A,FALSE,"Plan2"}</definedName>
    <definedName name="hjsdffe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15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15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15" hidden="1">{#N/A,#N/A,FALSE,"Plan1";#N/A,#N/A,FALSE,"Plan2"}</definedName>
    <definedName name="HKewewsr" hidden="1">{#N/A,#N/A,FALSE,"Plan1";#N/A,#N/A,FALSE,"Plan2"}</definedName>
    <definedName name="hkhdskacd" localSheetId="15" hidden="1">{#N/A,#N/A,FALSE,"Plan1";#N/A,#N/A,FALSE,"Plan2"}</definedName>
    <definedName name="hkhdskacd" hidden="1">{#N/A,#N/A,FALSE,"Plan1";#N/A,#N/A,FALSE,"Plan2"}</definedName>
    <definedName name="hkjfgfhgfh" localSheetId="15" hidden="1">{#N/A,#N/A,FALSE,"Plan1";#N/A,#N/A,FALSE,"Plan2"}</definedName>
    <definedName name="hkjfgfhgfh" hidden="1">{#N/A,#N/A,FALSE,"Plan1";#N/A,#N/A,FALSE,"Plan2"}</definedName>
    <definedName name="hkjfhgjkfhghfg" localSheetId="15" hidden="1">{#N/A,#N/A,FALSE,"Plan1";#N/A,#N/A,FALSE,"Plan2"}</definedName>
    <definedName name="hkjfhgjkfhghfg" hidden="1">{#N/A,#N/A,FALSE,"Plan1";#N/A,#N/A,FALSE,"Plan2"}</definedName>
    <definedName name="HKLZHFRH" localSheetId="15" hidden="1">{#N/A,#N/A,FALSE,"Plan1";#N/A,#N/A,FALSE,"Plan2"}</definedName>
    <definedName name="HKLZHFRH" hidden="1">{#N/A,#N/A,FALSE,"Plan1";#N/A,#N/A,FALSE,"Plan2"}</definedName>
    <definedName name="ho" hidden="1">{#N/A,#N/A,FALSE,"TABLE"}</definedName>
    <definedName name="hrterte" localSheetId="15" hidden="1">{#N/A,#N/A,FALSE,"Plan1";#N/A,#N/A,FALSE,"Plan2"}</definedName>
    <definedName name="hrterte" hidden="1">{#N/A,#N/A,FALSE,"Plan1";#N/A,#N/A,FALSE,"Plan2"}</definedName>
    <definedName name="hsdf" localSheetId="15" hidden="1">{#N/A,#N/A,FALSE,"Plan1";#N/A,#N/A,FALSE,"Plan2"}</definedName>
    <definedName name="hsdf" hidden="1">{#N/A,#N/A,FALSE,"Plan1";#N/A,#N/A,FALSE,"Plan2"}</definedName>
    <definedName name="hsdfgdgudrt" localSheetId="15" hidden="1">{#N/A,#N/A,FALSE,"Plan1";#N/A,#N/A,FALSE,"Plan2"}</definedName>
    <definedName name="hsdfgdgudrt" hidden="1">{#N/A,#N/A,FALSE,"Plan1";#N/A,#N/A,FALSE,"Plan2"}</definedName>
    <definedName name="hsdfjkdhur" localSheetId="15" hidden="1">{#N/A,#N/A,FALSE,"Plan1";#N/A,#N/A,FALSE,"Plan2"}</definedName>
    <definedName name="hsdfjkdhur" hidden="1">{#N/A,#N/A,FALSE,"Plan1";#N/A,#N/A,FALSE,"Plan2"}</definedName>
    <definedName name="hsdgftdht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15" hidden="1">{#N/A,#N/A,FALSE,"Plan1";#N/A,#N/A,FALSE,"Plan2"}</definedName>
    <definedName name="hsdjffd" hidden="1">{#N/A,#N/A,FALSE,"Plan1";#N/A,#N/A,FALSE,"Plan2"}</definedName>
    <definedName name="hsdjffe" localSheetId="15" hidden="1">{#N/A,#N/A,FALSE,"Plan1";#N/A,#N/A,FALSE,"Plan2"}</definedName>
    <definedName name="hsdjffe" hidden="1">{#N/A,#N/A,FALSE,"Plan1";#N/A,#N/A,FALSE,"Plan2"}</definedName>
    <definedName name="HSFIHDTR" localSheetId="15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15" hidden="1">{#N/A,#N/A,FALSE,"Plan1";#N/A,#N/A,FALSE,"Plan2"}</definedName>
    <definedName name="hsfjkdshrgf" hidden="1">{#N/A,#N/A,FALSE,"Plan1";#N/A,#N/A,FALSE,"Plan2"}</definedName>
    <definedName name="hthhrtetdre" localSheetId="15" hidden="1">{#N/A,#N/A,FALSE,"Plan1";#N/A,#N/A,FALSE,"Plan2"}</definedName>
    <definedName name="hthhrtetdre" hidden="1">{#N/A,#N/A,FALSE,"Plan1";#N/A,#N/A,FALSE,"Plan2"}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hidden="1">{"'Estimativa de Lançamento-JAN'!$A$1:$AI$85"}</definedName>
    <definedName name="HTML3_CONTROL" hidden="1">{"'Estimativa de Lançamento-JAN'!$A$1:$AI$85"}</definedName>
    <definedName name="HTMLControl" hidden="1">{"'Edit'!$A$1:$V$2277"}</definedName>
    <definedName name="HVJKHGKFXHFD" localSheetId="15" hidden="1">{#N/A,#N/A,FALSE,"Plan1";#N/A,#N/A,FALSE,"Plan2"}</definedName>
    <definedName name="HVJKHGKFXHFD" hidden="1">{#N/A,#N/A,FALSE,"Plan1";#N/A,#N/A,FALSE,"Plan2"}</definedName>
    <definedName name="hwekjhekhf" localSheetId="15" hidden="1">{#N/A,#N/A,FALSE,"Plan1";#N/A,#N/A,FALSE,"Plan2"}</definedName>
    <definedName name="hwekjhekhf" hidden="1">{#N/A,#N/A,FALSE,"Plan1";#N/A,#N/A,FALSE,"Plan2"}</definedName>
    <definedName name="HXFRE" localSheetId="15" hidden="1">{#N/A,#N/A,FALSE,"Plan1";#N/A,#N/A,FALSE,"Plan2"}</definedName>
    <definedName name="HXFRE" hidden="1">{#N/A,#N/A,FALSE,"Plan1";#N/A,#N/A,FALSE,"Plan2"}</definedName>
    <definedName name="HXKJFGDKHG" localSheetId="15" hidden="1">{#N/A,#N/A,FALSE,"Plan1";#N/A,#N/A,FALSE,"Plan2"}</definedName>
    <definedName name="HXKJFGDKHG" hidden="1">{#N/A,#N/A,FALSE,"Plan1";#N/A,#N/A,FALSE,"Plan2"}</definedName>
    <definedName name="IC" hidden="1">#REF!</definedName>
    <definedName name="idfhgkjhfkthy" localSheetId="15" hidden="1">{#N/A,#N/A,FALSE,"Plan1";#N/A,#N/A,FALSE,"Plan2"}</definedName>
    <definedName name="idfhgkjhfkthy" hidden="1">{#N/A,#N/A,FALSE,"Plan1";#N/A,#N/A,FALSE,"Plan2"}</definedName>
    <definedName name="ieroweft" localSheetId="15" hidden="1">{#N/A,#N/A,FALSE,"Plan1";#N/A,#N/A,FALSE,"Plan2"}</definedName>
    <definedName name="ieroweft" hidden="1">{#N/A,#N/A,FALSE,"Plan1";#N/A,#N/A,FALSE,"Plan2"}</definedName>
    <definedName name="iewpotqi5poejy" localSheetId="15" hidden="1">{#N/A,#N/A,FALSE,"Plan1";#N/A,#N/A,FALSE,"Plan2"}</definedName>
    <definedName name="iewpotqi5poejy" hidden="1">{#N/A,#N/A,FALSE,"Plan1";#N/A,#N/A,FALSE,"Plan2"}</definedName>
    <definedName name="ihdfifguhgfuiyh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15" hidden="1">#REF!</definedName>
    <definedName name="iheidhgufr" hidden="1">#REF!</definedName>
    <definedName name="ihfdkjhktgrd" localSheetId="15" hidden="1">{#N/A,#N/A,FALSE,"Plan1";#N/A,#N/A,FALSE,"Plan2"}</definedName>
    <definedName name="ihfdkjhktgrd" hidden="1">{#N/A,#N/A,FALSE,"Plan1";#N/A,#N/A,FALSE,"Plan2"}</definedName>
    <definedName name="ihrtetw4r" localSheetId="15" hidden="1">{#N/A,#N/A,FALSE,"Plan1";#N/A,#N/A,FALSE,"Plan2"}</definedName>
    <definedName name="ihrtetw4r" hidden="1">{#N/A,#N/A,FALSE,"Plan1";#N/A,#N/A,FALSE,"Plan2"}</definedName>
    <definedName name="IIASDSAWE" localSheetId="15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15" hidden="1">{#N/A,#N/A,FALSE,"Plan1";#N/A,#N/A,FALSE,"Plan2"}</definedName>
    <definedName name="ilhweilrji4e" hidden="1">{#N/A,#N/A,FALSE,"Plan1";#N/A,#N/A,FALSE,"Plan2"}</definedName>
    <definedName name="ilsdr4wf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P" hidden="1">#REF!</definedName>
    <definedName name="Index" hidden="1">#REF!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TEGRA" hidden="1">{"'Edit'!$A$1:$V$2277"}</definedName>
    <definedName name="ioeriotyt" localSheetId="15" hidden="1">{#N/A,#N/A,FALSE,"Plan1";#N/A,#N/A,FALSE,"Plan2"}</definedName>
    <definedName name="ioeriotyt" hidden="1">{#N/A,#N/A,FALSE,"Plan1";#N/A,#N/A,FALSE,"Plan2"}</definedName>
    <definedName name="iohudtorh" localSheetId="15" hidden="1">{#N/A,#N/A,FALSE,"Plan1";#N/A,#N/A,FALSE,"Plan2"}</definedName>
    <definedName name="iohudtorh" hidden="1">{#N/A,#N/A,FALSE,"Plan1";#N/A,#N/A,FALSE,"Plan2"}</definedName>
    <definedName name="iojtkheayed" localSheetId="15" hidden="1">{#N/A,#N/A,FALSE,"Plan1";#N/A,#N/A,FALSE,"Plan2"}</definedName>
    <definedName name="iojtkheayed" hidden="1">{#N/A,#N/A,FALSE,"Plan1";#N/A,#N/A,FALSE,"Plan2"}</definedName>
    <definedName name="iouweroieuw4" localSheetId="15" hidden="1">{#N/A,#N/A,FALSE,"Plan1";#N/A,#N/A,FALSE,"Plan2"}</definedName>
    <definedName name="iouweroieuw4" hidden="1">{#N/A,#N/A,FALSE,"Plan1";#N/A,#N/A,FALSE,"Plan2"}</definedName>
    <definedName name="iphifpgh" localSheetId="15" hidden="1">{#N/A,#N/A,FALSE,"Plan1";#N/A,#N/A,FALSE,"Plan2"}</definedName>
    <definedName name="iphifpgh" hidden="1">{#N/A,#N/A,FALSE,"Plan1";#N/A,#N/A,FALSE,"Plan2"}</definedName>
    <definedName name="ipodsifgpds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15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UGFGDFUY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yguygiyt" localSheetId="15" hidden="1">{#N/A,#N/A,FALSE,"Plan1";#N/A,#N/A,FALSE,"Plan2"}</definedName>
    <definedName name="iyguygiyt" hidden="1">{#N/A,#N/A,FALSE,"Plan1";#N/A,#N/A,FALSE,"Plan2"}</definedName>
    <definedName name="iyuyheturtd" localSheetId="15" hidden="1">{#N/A,#N/A,FALSE,"Plan1";#N/A,#N/A,FALSE,"Plan2"}</definedName>
    <definedName name="iyuyheturtd" hidden="1">{#N/A,#N/A,FALSE,"Plan1";#N/A,#N/A,FALSE,"Plan2"}</definedName>
    <definedName name="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15" hidden="1">{#N/A,#N/A,FALSE,"Plan1";#N/A,#N/A,FALSE,"Plan2"}</definedName>
    <definedName name="jalejdasjf" hidden="1">{#N/A,#N/A,FALSE,"Plan1";#N/A,#N/A,FALSE,"Plan2"}</definedName>
    <definedName name="JASDJS" localSheetId="15" hidden="1">{#N/A,#N/A,FALSE,"Plan1";#N/A,#N/A,FALSE,"Plan2"}</definedName>
    <definedName name="JASDJS" hidden="1">{#N/A,#N/A,FALSE,"Plan1";#N/A,#N/A,FALSE,"Plan2"}</definedName>
    <definedName name="jaskldjlse" localSheetId="15" hidden="1">{#N/A,#N/A,FALSE,"Plan1";#N/A,#N/A,FALSE,"Plan2"}</definedName>
    <definedName name="jaskldjlse" hidden="1">{#N/A,#N/A,FALSE,"Plan1";#N/A,#N/A,FALSE,"Plan2"}</definedName>
    <definedName name="JASLDKLD" localSheetId="15" hidden="1">{#N/A,#N/A,FALSE,"Plan1";#N/A,#N/A,FALSE,"Plan2"}</definedName>
    <definedName name="JASLDKLD" hidden="1">{#N/A,#N/A,FALSE,"Plan1";#N/A,#N/A,FALSE,"Plan2"}</definedName>
    <definedName name="jasoe" localSheetId="15" hidden="1">#REF!</definedName>
    <definedName name="jasoe" hidden="1">#REF!</definedName>
    <definedName name="jbzxffcbgdhgft" hidden="1">#REF!</definedName>
    <definedName name="JÇDFHDF" localSheetId="15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15" hidden="1">{#N/A,#N/A,FALSE,"Plan1";#N/A,#N/A,FALSE,"Plan2"}</definedName>
    <definedName name="jdbgftbhr" hidden="1">{#N/A,#N/A,FALSE,"Plan1";#N/A,#N/A,FALSE,"Plan2"}</definedName>
    <definedName name="jdfgkrhgft" localSheetId="15" hidden="1">#REF!</definedName>
    <definedName name="jdfgkrhgft" hidden="1">#REF!</definedName>
    <definedName name="jdfgldfjgklh" localSheetId="15" hidden="1">{#N/A,#N/A,FALSE,"Plan1";#N/A,#N/A,FALSE,"Plan2"}</definedName>
    <definedName name="jdfgldfjgklh" hidden="1">{#N/A,#N/A,FALSE,"Plan1";#N/A,#N/A,FALSE,"Plan2"}</definedName>
    <definedName name="jdfhjkdrhjtkg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15" hidden="1">{#N/A,#N/A,FALSE,"Plan1";#N/A,#N/A,FALSE,"Plan2"}</definedName>
    <definedName name="jdfjdtrgt" hidden="1">{#N/A,#N/A,FALSE,"Plan1";#N/A,#N/A,FALSE,"Plan2"}</definedName>
    <definedName name="JDFJLDJR" localSheetId="15" hidden="1">{#N/A,#N/A,FALSE,"Plan1";#N/A,#N/A,FALSE,"Plan2"}</definedName>
    <definedName name="JDFJLDJR" hidden="1">{#N/A,#N/A,FALSE,"Plan1";#N/A,#N/A,FALSE,"Plan2"}</definedName>
    <definedName name="jdfkgitfgdrtt" localSheetId="15" hidden="1">{#N/A,#N/A,FALSE,"Plan1";#N/A,#N/A,FALSE,"Plan2"}</definedName>
    <definedName name="jdfkgitfgdrtt" hidden="1">{#N/A,#N/A,FALSE,"Plan1";#N/A,#N/A,FALSE,"Plan2"}</definedName>
    <definedName name="JDFKHFKJ" localSheetId="15" hidden="1">{#N/A,#N/A,FALSE,"Plan1";#N/A,#N/A,FALSE,"Plan2"}</definedName>
    <definedName name="JDFKHFKJ" hidden="1">{#N/A,#N/A,FALSE,"Plan1";#N/A,#N/A,FALSE,"Plan2"}</definedName>
    <definedName name="jdfklgtdtr" localSheetId="15" hidden="1">{#N/A,#N/A,FALSE,"Plan1";#N/A,#N/A,FALSE,"Plan2"}</definedName>
    <definedName name="jdfklgtdtr" hidden="1">{#N/A,#N/A,FALSE,"Plan1";#N/A,#N/A,FALSE,"Plan2"}</definedName>
    <definedName name="JDFKTHRT" localSheetId="15" hidden="1">{#N/A,#N/A,FALSE,"Plan1";#N/A,#N/A,FALSE,"Plan2"}</definedName>
    <definedName name="JDFKTHRT" hidden="1">{#N/A,#N/A,FALSE,"Plan1";#N/A,#N/A,FALSE,"Plan2"}</definedName>
    <definedName name="JDFLKJDRF" localSheetId="15" hidden="1">{#N/A,#N/A,FALSE,"Plan1";#N/A,#N/A,FALSE,"Plan2"}</definedName>
    <definedName name="JDFLKJDRF" hidden="1">{#N/A,#N/A,FALSE,"Plan1";#N/A,#N/A,FALSE,"Plan2"}</definedName>
    <definedName name="jdfzlkjgfdht" localSheetId="15" hidden="1">{#N/A,#N/A,FALSE,"Plan1";#N/A,#N/A,FALSE,"Plan2"}</definedName>
    <definedName name="jdfzlkjgfdht" hidden="1">{#N/A,#N/A,FALSE,"Plan1";#N/A,#N/A,FALSE,"Plan2"}</definedName>
    <definedName name="jdglhfghkt" localSheetId="15" hidden="1">{#N/A,#N/A,FALSE,"Plan1";#N/A,#N/A,FALSE,"Plan2"}</definedName>
    <definedName name="jdglhfghkt" hidden="1">{#N/A,#N/A,FALSE,"Plan1";#N/A,#N/A,FALSE,"Plan2"}</definedName>
    <definedName name="jdhfjdhgfd" localSheetId="15" hidden="1">{#N/A,#N/A,FALSE,"Plan1";#N/A,#N/A,FALSE,"Plan2"}</definedName>
    <definedName name="jdhfjdhgfd" hidden="1">{#N/A,#N/A,FALSE,"Plan1";#N/A,#N/A,FALSE,"Plan2"}</definedName>
    <definedName name="jdjdjdjd" hidden="1">{#N/A,#N/A,FALSE,"명세표"}</definedName>
    <definedName name="jdkfhgjhf" localSheetId="15" hidden="1">{#N/A,#N/A,FALSE,"Plan1";#N/A,#N/A,FALSE,"Plan2"}</definedName>
    <definedName name="jdkfhgjhf" hidden="1">{#N/A,#N/A,FALSE,"Plan1";#N/A,#N/A,FALSE,"Plan2"}</definedName>
    <definedName name="jdkfjdtr" localSheetId="15" hidden="1">{#N/A,#N/A,FALSE,"Plan1";#N/A,#N/A,FALSE,"Plan2"}</definedName>
    <definedName name="jdkfjdtr" hidden="1">{#N/A,#N/A,FALSE,"Plan1";#N/A,#N/A,FALSE,"Plan2"}</definedName>
    <definedName name="jdljgftldjti5r" localSheetId="15" hidden="1">{#N/A,#N/A,FALSE,"Plan1";#N/A,#N/A,FALSE,"Plan2"}</definedName>
    <definedName name="jdljgftldjti5r" hidden="1">{#N/A,#N/A,FALSE,"Plan1";#N/A,#N/A,FALSE,"Plan2"}</definedName>
    <definedName name="JDLKJDASGF" localSheetId="15" hidden="1">{#N/A,#N/A,FALSE,"Plan1";#N/A,#N/A,FALSE,"Plan2"}</definedName>
    <definedName name="JDLKJDASGF" hidden="1">{#N/A,#N/A,FALSE,"Plan1";#N/A,#N/A,FALSE,"Plan2"}</definedName>
    <definedName name="jdrfkdjfghrtfjg" localSheetId="15" hidden="1">{#N/A,#N/A,FALSE,"Plan1";#N/A,#N/A,FALSE,"Plan2"}</definedName>
    <definedName name="jdrfkdjfghrtfjg" hidden="1">{#N/A,#N/A,FALSE,"Plan1";#N/A,#N/A,FALSE,"Plan2"}</definedName>
    <definedName name="jdskfhdk" localSheetId="15" hidden="1">{#N/A,#N/A,FALSE,"Plan1";#N/A,#N/A,FALSE,"Plan2"}</definedName>
    <definedName name="jdskfhdk" hidden="1">{#N/A,#N/A,FALSE,"Plan1";#N/A,#N/A,FALSE,"Plan2"}</definedName>
    <definedName name="JDSKLGKDRHGGF" localSheetId="15" hidden="1">{#N/A,#N/A,FALSE,"Plan1";#N/A,#N/A,FALSE,"Plan2"}</definedName>
    <definedName name="JDSKLGKDRHGGF" hidden="1">{#N/A,#N/A,FALSE,"Plan1";#N/A,#N/A,FALSE,"Plan2"}</definedName>
    <definedName name="jefsgfr" localSheetId="15" hidden="1">{#N/A,#N/A,FALSE,"Plan1";#N/A,#N/A,FALSE,"Plan2"}</definedName>
    <definedName name="jefsgfr" hidden="1">{#N/A,#N/A,FALSE,"Plan1";#N/A,#N/A,FALSE,"Plan2"}</definedName>
    <definedName name="JERHIEHYURE" localSheetId="15" hidden="1">{#N/A,#N/A,FALSE,"Plan1";#N/A,#N/A,FALSE,"Plan2"}</definedName>
    <definedName name="JERHIEHYURE" hidden="1">{#N/A,#N/A,FALSE,"Plan1";#N/A,#N/A,FALSE,"Plan2"}</definedName>
    <definedName name="jfddlsrtyty" localSheetId="15" hidden="1">{#N/A,#N/A,FALSE,"Plan1";#N/A,#N/A,FALSE,"Plan2"}</definedName>
    <definedName name="jfddlsrtyty" hidden="1">{#N/A,#N/A,FALSE,"Plan1";#N/A,#N/A,FALSE,"Plan2"}</definedName>
    <definedName name="jfdjtgdjghitfyh" localSheetId="15" hidden="1">{#N/A,#N/A,FALSE,"Plan1";#N/A,#N/A,FALSE,"Plan2"}</definedName>
    <definedName name="jfdjtgdjghitfyh" hidden="1">{#N/A,#N/A,FALSE,"Plan1";#N/A,#N/A,FALSE,"Plan2"}</definedName>
    <definedName name="jfdkgkftftg" localSheetId="15" hidden="1">{#N/A,#N/A,FALSE,"Plan1";#N/A,#N/A,FALSE,"Plan2"}</definedName>
    <definedName name="jfdkgkftftg" hidden="1">{#N/A,#N/A,FALSE,"Plan1";#N/A,#N/A,FALSE,"Plan2"}</definedName>
    <definedName name="jfghjkfdhtkyru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15" hidden="1">{#N/A,#N/A,FALSE,"Plan1";#N/A,#N/A,FALSE,"Plan2"}</definedName>
    <definedName name="JFGJYHTY" hidden="1">{#N/A,#N/A,FALSE,"Plan1";#N/A,#N/A,FALSE,"Plan2"}</definedName>
    <definedName name="jfgkflcnjkglc" localSheetId="15" hidden="1">{#N/A,#N/A,FALSE,"Plan1";#N/A,#N/A,FALSE,"Plan2"}</definedName>
    <definedName name="jfgkflcnjkglc" hidden="1">{#N/A,#N/A,FALSE,"Plan1";#N/A,#N/A,FALSE,"Plan2"}</definedName>
    <definedName name="JFHRE" localSheetId="15" hidden="1">{#N/A,#N/A,FALSE,"Plan1";#N/A,#N/A,FALSE,"Plan2"}</definedName>
    <definedName name="JFHRE" hidden="1">{#N/A,#N/A,FALSE,"Plan1";#N/A,#N/A,FALSE,"Plan2"}</definedName>
    <definedName name="jfkdls5jtirjd" localSheetId="15" hidden="1">{#N/A,#N/A,FALSE,"Plan1";#N/A,#N/A,FALSE,"Plan2"}</definedName>
    <definedName name="jfkdls5jtirjd" hidden="1">{#N/A,#N/A,FALSE,"Plan1";#N/A,#N/A,FALSE,"Plan2"}</definedName>
    <definedName name="jfkljdkfcj" localSheetId="15" hidden="1">{#N/A,#N/A,FALSE,"Plan1";#N/A,#N/A,FALSE,"Plan2"}</definedName>
    <definedName name="jfkljdkfcj" hidden="1">{#N/A,#N/A,FALSE,"Plan1";#N/A,#N/A,FALSE,"Plan2"}</definedName>
    <definedName name="jfkrhdtghdut" localSheetId="15" hidden="1">{#N/A,#N/A,FALSE,"Plan1";#N/A,#N/A,FALSE,"Plan2"}</definedName>
    <definedName name="jfkrhdtghdut" hidden="1">{#N/A,#N/A,FALSE,"Plan1";#N/A,#N/A,FALSE,"Plan2"}</definedName>
    <definedName name="JFRESR" localSheetId="15" hidden="1">{#N/A,#N/A,FALSE,"Plan1";#N/A,#N/A,FALSE,"Plan2"}</definedName>
    <definedName name="JFRESR" hidden="1">{#N/A,#N/A,FALSE,"Plan1";#N/A,#N/A,FALSE,"Plan2"}</definedName>
    <definedName name="jgdfdgfjgdj" localSheetId="15" hidden="1">{#N/A,#N/A,FALSE,"Plan1";#N/A,#N/A,FALSE,"Plan2"}</definedName>
    <definedName name="jgdfdgfjgdj" hidden="1">{#N/A,#N/A,FALSE,"Plan1";#N/A,#N/A,FALSE,"Plan2"}</definedName>
    <definedName name="jgdfght" localSheetId="15" hidden="1">{#N/A,#N/A,FALSE,"Plan1";#N/A,#N/A,FALSE,"Plan2"}</definedName>
    <definedName name="jgdfght" hidden="1">{#N/A,#N/A,FALSE,"Plan1";#N/A,#N/A,FALSE,"Plan2"}</definedName>
    <definedName name="jgfgdsgfdhrf" localSheetId="15" hidden="1">{#N/A,#N/A,FALSE,"Plan1";#N/A,#N/A,FALSE,"Plan2"}</definedName>
    <definedName name="jgfgdsgfdhrf" hidden="1">{#N/A,#N/A,FALSE,"Plan1";#N/A,#N/A,FALSE,"Plan2"}</definedName>
    <definedName name="JGFJGTFT" localSheetId="15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15" hidden="1">{#N/A,#N/A,FALSE,"Plan1";#N/A,#N/A,FALSE,"Plan2"}</definedName>
    <definedName name="jgkjkhjuftgi" hidden="1">{#N/A,#N/A,FALSE,"Plan1";#N/A,#N/A,FALSE,"Plan2"}</definedName>
    <definedName name="jh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15" hidden="1">{#N/A,#N/A,FALSE,"Plan1";#N/A,#N/A,FALSE,"Plan2"}</definedName>
    <definedName name="jhdfjjhirft" hidden="1">{#N/A,#N/A,FALSE,"Plan1";#N/A,#N/A,FALSE,"Plan2"}</definedName>
    <definedName name="jhdfjkhtrdhf" localSheetId="15" hidden="1">{#N/A,#N/A,FALSE,"Plan1";#N/A,#N/A,FALSE,"Plan2"}</definedName>
    <definedName name="jhdfjkhtrdhf" hidden="1">{#N/A,#N/A,FALSE,"Plan1";#N/A,#N/A,FALSE,"Plan2"}</definedName>
    <definedName name="jhdfuthr" localSheetId="15" hidden="1">{#N/A,#N/A,FALSE,"Plan1";#N/A,#N/A,FALSE,"Plan2"}</definedName>
    <definedName name="jhdfuthr" hidden="1">{#N/A,#N/A,FALSE,"Plan1";#N/A,#N/A,FALSE,"Plan2"}</definedName>
    <definedName name="JHDFZGRDHF" localSheetId="15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15" hidden="1">{#N/A,#N/A,FALSE,"Plan1";#N/A,#N/A,FALSE,"Plan2"}</definedName>
    <definedName name="JHERKHKFGH" hidden="1">{#N/A,#N/A,FALSE,"Plan1";#N/A,#N/A,FALSE,"Plan2"}</definedName>
    <definedName name="jhfhhztfhe" localSheetId="15" hidden="1">#REF!</definedName>
    <definedName name="jhfhhztfhe" hidden="1">#REF!</definedName>
    <definedName name="JHGKJFJFJGL" localSheetId="15" hidden="1">{#N/A,#N/A,FALSE,"Plan1";#N/A,#N/A,FALSE,"Plan2"}</definedName>
    <definedName name="JHGKJFJFJGL" hidden="1">{#N/A,#N/A,FALSE,"Plan1";#N/A,#N/A,FALSE,"Plan2"}</definedName>
    <definedName name="jhsdjkhfuks" localSheetId="15" hidden="1">{#N/A,#N/A,FALSE,"Plan1";#N/A,#N/A,FALSE,"Plan2"}</definedName>
    <definedName name="jhsdjkhfuks" hidden="1">{#N/A,#N/A,FALSE,"Plan1";#N/A,#N/A,FALSE,"Plan2"}</definedName>
    <definedName name="jisdrkje" localSheetId="15" hidden="1">{#N/A,#N/A,FALSE,"Plan1";#N/A,#N/A,FALSE,"Plan2"}</definedName>
    <definedName name="jisdrkje" hidden="1">{#N/A,#N/A,FALSE,"Plan1";#N/A,#N/A,FALSE,"Plan2"}</definedName>
    <definedName name="jishfrieyhtau" localSheetId="15" hidden="1">{#N/A,#N/A,FALSE,"Plan1";#N/A,#N/A,FALSE,"Plan2"}</definedName>
    <definedName name="jishfrieyhtau" hidden="1">{#N/A,#N/A,FALSE,"Plan1";#N/A,#N/A,FALSE,"Plan2"}</definedName>
    <definedName name="jiu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hidden="1">{"'Apr-00'!$B$4:$AD$44"}</definedName>
    <definedName name="jjfdsktyhhy" localSheetId="15" hidden="1">{#N/A,#N/A,FALSE,"Plan1";#N/A,#N/A,FALSE,"Plan2"}</definedName>
    <definedName name="jjfdsktyhhy" hidden="1">{#N/A,#N/A,FALSE,"Plan1";#N/A,#N/A,FALSE,"Plan2"}</definedName>
    <definedName name="jjkjkjk" localSheetId="15" hidden="1">{#N/A,#N/A,FALSE,"Plan1";#N/A,#N/A,FALSE,"Plan2"}</definedName>
    <definedName name="jjkjkjk" hidden="1">{#N/A,#N/A,FALSE,"Plan1";#N/A,#N/A,FALSE,"Plan2"}</definedName>
    <definedName name="JKDCK" localSheetId="15" hidden="1">{#N/A,#N/A,FALSE,"Plan1";#N/A,#N/A,FALSE,"Plan2"}</definedName>
    <definedName name="JKDCK" hidden="1">{#N/A,#N/A,FALSE,"Plan1";#N/A,#N/A,FALSE,"Plan2"}</definedName>
    <definedName name="JKDFHKHFR" localSheetId="15" hidden="1">{#N/A,#N/A,FALSE,"Plan1";#N/A,#N/A,FALSE,"Plan2"}</definedName>
    <definedName name="JKDFHKHFR" hidden="1">{#N/A,#N/A,FALSE,"Plan1";#N/A,#N/A,FALSE,"Plan2"}</definedName>
    <definedName name="JKDFTRDRJ" localSheetId="15" hidden="1">{#N/A,#N/A,FALSE,"Plan1";#N/A,#N/A,FALSE,"Plan2"}</definedName>
    <definedName name="JKDFTRDRJ" hidden="1">{#N/A,#N/A,FALSE,"Plan1";#N/A,#N/A,FALSE,"Plan2"}</definedName>
    <definedName name="jkdhfukhddf" localSheetId="15" hidden="1">{#N/A,#N/A,FALSE,"Plan1";#N/A,#N/A,FALSE,"Plan2"}</definedName>
    <definedName name="jkdhfukhddf" hidden="1">{#N/A,#N/A,FALSE,"Plan1";#N/A,#N/A,FALSE,"Plan2"}</definedName>
    <definedName name="JKDRKGJHTDR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15" hidden="1">{#N/A,#N/A,FALSE,"Plan1";#N/A,#N/A,FALSE,"Plan2"}</definedName>
    <definedName name="jkelsjreja" hidden="1">{#N/A,#N/A,FALSE,"Plan1";#N/A,#N/A,FALSE,"Plan2"}</definedName>
    <definedName name="jkfhjgkfhghh" localSheetId="15" hidden="1">{#N/A,#N/A,FALSE,"Plan1";#N/A,#N/A,FALSE,"Plan2"}</definedName>
    <definedName name="jkfhjgkfhghh" hidden="1">{#N/A,#N/A,FALSE,"Plan1";#N/A,#N/A,FALSE,"Plan2"}</definedName>
    <definedName name="jkhderjkhes" localSheetId="15" hidden="1">{#N/A,#N/A,FALSE,"Plan1";#N/A,#N/A,FALSE,"Plan2"}</definedName>
    <definedName name="jkhderjkhes" hidden="1">{#N/A,#N/A,FALSE,"Plan1";#N/A,#N/A,FALSE,"Plan2"}</definedName>
    <definedName name="jkhdfhfd" localSheetId="15" hidden="1">{#N/A,#N/A,FALSE,"Plan1";#N/A,#N/A,FALSE,"Plan2"}</definedName>
    <definedName name="jkhdfhfd" hidden="1">{#N/A,#N/A,FALSE,"Plan1";#N/A,#N/A,FALSE,"Plan2"}</definedName>
    <definedName name="jkhfhest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15" hidden="1">{#N/A,#N/A,FALSE,"Plan1";#N/A,#N/A,FALSE,"Plan2"}</definedName>
    <definedName name="JKHFKJHGKFTHUDET" hidden="1">{#N/A,#N/A,FALSE,"Plan1";#N/A,#N/A,FALSE,"Plan2"}</definedName>
    <definedName name="JKHGDHFUHTG" localSheetId="15" hidden="1">{#N/A,#N/A,FALSE,"Plan1";#N/A,#N/A,FALSE,"Plan2"}</definedName>
    <definedName name="JKHGDHFUHTG" hidden="1">{#N/A,#N/A,FALSE,"Plan1";#N/A,#N/A,FALSE,"Plan2"}</definedName>
    <definedName name="jkhsdzjkfyiu" localSheetId="15" hidden="1">{#N/A,#N/A,FALSE,"Plan1";#N/A,#N/A,FALSE,"Plan2"}</definedName>
    <definedName name="jkhsdzjkfyiu" hidden="1">{#N/A,#N/A,FALSE,"Plan1";#N/A,#N/A,FALSE,"Plan2"}</definedName>
    <definedName name="jkjsdkhfdhrf" localSheetId="15" hidden="1">{#N/A,#N/A,FALSE,"Plan1";#N/A,#N/A,FALSE,"Plan2"}</definedName>
    <definedName name="jkjsdkhfdhrf" hidden="1">{#N/A,#N/A,FALSE,"Plan1";#N/A,#N/A,FALSE,"Plan2"}</definedName>
    <definedName name="jklgfsjgtjtg" localSheetId="15" hidden="1">{#N/A,#N/A,FALSE,"Plan1";#N/A,#N/A,FALSE,"Plan2"}</definedName>
    <definedName name="jklgfsjgtjtg" hidden="1">{#N/A,#N/A,FALSE,"Plan1";#N/A,#N/A,FALSE,"Plan2"}</definedName>
    <definedName name="jksldfjsdhf" localSheetId="15" hidden="1">{#N/A,#N/A,FALSE,"Plan1";#N/A,#N/A,FALSE,"Plan2"}</definedName>
    <definedName name="jksldfjsdhf" hidden="1">{#N/A,#N/A,FALSE,"Plan1";#N/A,#N/A,FALSE,"Plan2"}</definedName>
    <definedName name="jkxhcjkhfr" localSheetId="15" hidden="1">{#N/A,#N/A,FALSE,"Plan1";#N/A,#N/A,FALSE,"Plan2"}</definedName>
    <definedName name="jkxhcjkhfr" hidden="1">{#N/A,#N/A,FALSE,"Plan1";#N/A,#N/A,FALSE,"Plan2"}</definedName>
    <definedName name="JNGCKFKJFGH" localSheetId="15" hidden="1">{#N/A,#N/A,FALSE,"Plan1";#N/A,#N/A,FALSE,"Plan2"}</definedName>
    <definedName name="JNGCKFKJFGH" hidden="1">{#N/A,#N/A,FALSE,"Plan1";#N/A,#N/A,FALSE,"Plan2"}</definedName>
    <definedName name="JREJRW" localSheetId="15" hidden="1">{#N/A,#N/A,FALSE,"Plan1";#N/A,#N/A,FALSE,"Plan2"}</definedName>
    <definedName name="JREJRW" hidden="1">{#N/A,#N/A,FALSE,"Plan1";#N/A,#N/A,FALSE,"Plan2"}</definedName>
    <definedName name="JSADKAH" localSheetId="15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15" hidden="1">{#N/A,#N/A,FALSE,"Plan1";#N/A,#N/A,FALSE,"Plan2"}</definedName>
    <definedName name="JSDAJRE" hidden="1">{#N/A,#N/A,FALSE,"Plan1";#N/A,#N/A,FALSE,"Plan2"}</definedName>
    <definedName name="jsdffse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15" hidden="1">{#N/A,#N/A,FALSE,"Plan1";#N/A,#N/A,FALSE,"Plan2"}</definedName>
    <definedName name="jsdfjgx" hidden="1">{#N/A,#N/A,FALSE,"Plan1";#N/A,#N/A,FALSE,"Plan2"}</definedName>
    <definedName name="jsdfkgnfr" localSheetId="15" hidden="1">#REF!</definedName>
    <definedName name="jsdfkgnfr" hidden="1">#REF!</definedName>
    <definedName name="jsdfsdfd" localSheetId="15" hidden="1">{#N/A,#N/A,FALSE,"Plan1";#N/A,#N/A,FALSE,"Plan2"}</definedName>
    <definedName name="jsdfsdfd" hidden="1">{#N/A,#N/A,FALSE,"Plan1";#N/A,#N/A,FALSE,"Plan2"}</definedName>
    <definedName name="jsdljficd" localSheetId="15" hidden="1">{#N/A,#N/A,FALSE,"Plan1";#N/A,#N/A,FALSE,"Plan2"}</definedName>
    <definedName name="jsdljficd" hidden="1">{#N/A,#N/A,FALSE,"Plan1";#N/A,#N/A,FALSE,"Plan2"}</definedName>
    <definedName name="JSDTLFJDRG" localSheetId="15" hidden="1">{#N/A,#N/A,FALSE,"Plan1";#N/A,#N/A,FALSE,"Plan2"}</definedName>
    <definedName name="JSDTLFJDRG" hidden="1">{#N/A,#N/A,FALSE,"Plan1";#N/A,#N/A,FALSE,"Plan2"}</definedName>
    <definedName name="jsfjsjferwea" localSheetId="15" hidden="1">{#N/A,#N/A,FALSE,"Plan1";#N/A,#N/A,FALSE,"Plan2"}</definedName>
    <definedName name="jsfjsjferwea" hidden="1">{#N/A,#N/A,FALSE,"Plan1";#N/A,#N/A,FALSE,"Plan2"}</definedName>
    <definedName name="jslrjer" localSheetId="15" hidden="1">{#N/A,#N/A,FALSE,"Plan1";#N/A,#N/A,FALSE,"Plan2"}</definedName>
    <definedName name="jslrjer" hidden="1">{#N/A,#N/A,FALSE,"Plan1";#N/A,#N/A,FALSE,"Plan2"}</definedName>
    <definedName name="juklhkhdf" localSheetId="15" hidden="1">{#N/A,#N/A,FALSE,"Plan1";#N/A,#N/A,FALSE,"Plan2"}</definedName>
    <definedName name="juklhkhdf" hidden="1">{#N/A,#N/A,FALSE,"Plan1";#N/A,#N/A,FALSE,"Plan2"}</definedName>
    <definedName name="JULHO99" hidden="1">{#N/A,#N/A,TRUE,"Quinzena 01 à 15-04-98 "}</definedName>
    <definedName name="jwekljd" localSheetId="15" hidden="1">{#N/A,#N/A,FALSE,"Plan1";#N/A,#N/A,FALSE,"Plan2"}</definedName>
    <definedName name="jwekljd" hidden="1">{#N/A,#N/A,FALSE,"Plan1";#N/A,#N/A,FALSE,"Plan2"}</definedName>
    <definedName name="JWEOITORU5Y" localSheetId="15" hidden="1">{#N/A,#N/A,FALSE,"Plan1";#N/A,#N/A,FALSE,"Plan2"}</definedName>
    <definedName name="JWEOITORU5Y" hidden="1">{#N/A,#N/A,FALSE,"Plan1";#N/A,#N/A,FALSE,"Plan2"}</definedName>
    <definedName name="jxdfjsrf" localSheetId="15" hidden="1">{#N/A,#N/A,FALSE,"Plan1";#N/A,#N/A,FALSE,"Plan2"}</definedName>
    <definedName name="jxdfjsrf" hidden="1">{#N/A,#N/A,FALSE,"Plan1";#N/A,#N/A,FALSE,"Plan2"}</definedName>
    <definedName name="jxdklfjv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hidden="1">#REF!</definedName>
    <definedName name="jzsdjkszl" localSheetId="15" hidden="1">{#N/A,#N/A,FALSE,"Plan1";#N/A,#N/A,FALSE,"Plan2"}</definedName>
    <definedName name="jzsdjkszl" hidden="1">{#N/A,#N/A,FALSE,"Plan1";#N/A,#N/A,FALSE,"Plan2"}</definedName>
    <definedName name="JZXFKLJLDJF" localSheetId="15" hidden="1">{#N/A,#N/A,FALSE,"Plan1";#N/A,#N/A,FALSE,"Plan2"}</definedName>
    <definedName name="JZXFKLJLDJF" hidden="1">{#N/A,#N/A,FALSE,"Plan1";#N/A,#N/A,FALSE,"Plan2"}</definedName>
    <definedName name="jzxklfdlvgfg" localSheetId="15" hidden="1">{#N/A,#N/A,FALSE,"Plan1";#N/A,#N/A,FALSE,"Plan2"}</definedName>
    <definedName name="jzxklfdlvgfg" hidden="1">{#N/A,#N/A,FALSE,"Plan1";#N/A,#N/A,FALSE,"Plan2"}</definedName>
    <definedName name="k" localSheetId="15" hidden="1">{#N/A,#N/A,FALSE,"Plan1";#N/A,#N/A,FALSE,"Plan2"}</definedName>
    <definedName name="kaedkroswr" localSheetId="15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ç\lKçaksdçaqew" localSheetId="15" hidden="1">{#N/A,#N/A,FALSE,"Plan1";#N/A,#N/A,FALSE,"Plan2"}</definedName>
    <definedName name="kç\lKçaksdçaqew" hidden="1">{#N/A,#N/A,FALSE,"Plan1";#N/A,#N/A,FALSE,"Plan2"}</definedName>
    <definedName name="kçdasekr" localSheetId="15" hidden="1">{#N/A,#N/A,FALSE,"Plan1";#N/A,#N/A,FALSE,"Plan2"}</definedName>
    <definedName name="kçdasekr" hidden="1">{#N/A,#N/A,FALSE,"Plan1";#N/A,#N/A,FALSE,"Plan2"}</definedName>
    <definedName name="kçfdljtredr" localSheetId="15" hidden="1">{#N/A,#N/A,FALSE,"Plan1";#N/A,#N/A,FALSE,"Plan2"}</definedName>
    <definedName name="kçfdljtredr" hidden="1">{#N/A,#N/A,FALSE,"Plan1";#N/A,#N/A,FALSE,"Plan2"}</definedName>
    <definedName name="kclçkglf" localSheetId="15" hidden="1">{#N/A,#N/A,FALSE,"Plan1";#N/A,#N/A,FALSE,"Plan2"}</definedName>
    <definedName name="kclçkglf" hidden="1">{#N/A,#N/A,FALSE,"Plan1";#N/A,#N/A,FALSE,"Plan2"}</definedName>
    <definedName name="kçlkasçkere" localSheetId="15" hidden="1">{#N/A,#N/A,FALSE,"Plan1";#N/A,#N/A,FALSE,"Plan2"}</definedName>
    <definedName name="kçlkasçkere" hidden="1">{#N/A,#N/A,FALSE,"Plan1";#N/A,#N/A,FALSE,"Plan2"}</definedName>
    <definedName name="kdfbngtjkbf" localSheetId="15" hidden="1">{#N/A,#N/A,FALSE,"Plan1";#N/A,#N/A,FALSE,"Plan2"}</definedName>
    <definedName name="kdfbngtjkbf" hidden="1">{#N/A,#N/A,FALSE,"Plan1";#N/A,#N/A,FALSE,"Plan2"}</definedName>
    <definedName name="kdfhkghkrh" localSheetId="15" hidden="1">{#N/A,#N/A,FALSE,"Plan1";#N/A,#N/A,FALSE,"Plan2"}</definedName>
    <definedName name="kdfhkghkrh" hidden="1">{#N/A,#N/A,FALSE,"Plan1";#N/A,#N/A,FALSE,"Plan2"}</definedName>
    <definedName name="kdfier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15" hidden="1">{#N/A,#N/A,FALSE,"Plan1";#N/A,#N/A,FALSE,"Plan2"}</definedName>
    <definedName name="kdfkçrkf" hidden="1">{#N/A,#N/A,FALSE,"Plan1";#N/A,#N/A,FALSE,"Plan2"}</definedName>
    <definedName name="kdfljlfr" localSheetId="15" hidden="1">{#N/A,#N/A,FALSE,"Plan1";#N/A,#N/A,FALSE,"Plan2"}</definedName>
    <definedName name="kdfljlfr" hidden="1">{#N/A,#N/A,FALSE,"Plan1";#N/A,#N/A,FALSE,"Plan2"}</definedName>
    <definedName name="kdhfgkdfhytgu" localSheetId="15" hidden="1">{#N/A,#N/A,FALSE,"Plan1";#N/A,#N/A,FALSE,"Plan2"}</definedName>
    <definedName name="kdhfgkdfhytgu" hidden="1">{#N/A,#N/A,FALSE,"Plan1";#N/A,#N/A,FALSE,"Plan2"}</definedName>
    <definedName name="kdhgftfg" localSheetId="15" hidden="1">{#N/A,#N/A,FALSE,"Plan1";#N/A,#N/A,FALSE,"Plan2"}</definedName>
    <definedName name="kdhgftfg" hidden="1">{#N/A,#N/A,FALSE,"Plan1";#N/A,#N/A,FALSE,"Plan2"}</definedName>
    <definedName name="KDHKFGKKHGF" localSheetId="15" hidden="1">{#N/A,#N/A,FALSE,"Plan1";#N/A,#N/A,FALSE,"Plan2"}</definedName>
    <definedName name="KDHKFGKKHGF" hidden="1">{#N/A,#N/A,FALSE,"Plan1";#N/A,#N/A,FALSE,"Plan2"}</definedName>
    <definedName name="kdjfdr" localSheetId="15" hidden="1">#REF!</definedName>
    <definedName name="kdjfdr" hidden="1">#REF!</definedName>
    <definedName name="kdjgkfjgd" localSheetId="15" hidden="1">{#N/A,#N/A,FALSE,"Plan1";#N/A,#N/A,FALSE,"Plan2"}</definedName>
    <definedName name="kdjgkfjgd" hidden="1">{#N/A,#N/A,FALSE,"Plan1";#N/A,#N/A,FALSE,"Plan2"}</definedName>
    <definedName name="kdjglkdlgjd" localSheetId="15" hidden="1">{#N/A,#N/A,FALSE,"Plan1";#N/A,#N/A,FALSE,"Plan2"}</definedName>
    <definedName name="kdjglkdlgjd" hidden="1">{#N/A,#N/A,FALSE,"Plan1";#N/A,#N/A,FALSE,"Plan2"}</definedName>
    <definedName name="kdjsfkldjgkty" localSheetId="15" hidden="1">{#N/A,#N/A,FALSE,"Plan1";#N/A,#N/A,FALSE,"Plan2"}</definedName>
    <definedName name="kdjsfkldjgkty" hidden="1">{#N/A,#N/A,FALSE,"Plan1";#N/A,#N/A,FALSE,"Plan2"}</definedName>
    <definedName name="KDJU" hidden="1">{"'장비'!$A$3:$M$12"}</definedName>
    <definedName name="kdkjhgdkfhjk" localSheetId="15" hidden="1">{#N/A,#N/A,FALSE,"Plan1";#N/A,#N/A,FALSE,"Plan2"}</definedName>
    <definedName name="kdkjhgdkfhjk" hidden="1">{#N/A,#N/A,FALSE,"Plan1";#N/A,#N/A,FALSE,"Plan2"}</definedName>
    <definedName name="kdsf" localSheetId="15" hidden="1">{#N/A,#N/A,FALSE,"Plan1";#N/A,#N/A,FALSE,"Plan2"}</definedName>
    <definedName name="kdsf" hidden="1">{#N/A,#N/A,FALSE,"Plan1";#N/A,#N/A,FALSE,"Plan2"}</definedName>
    <definedName name="kdsr" localSheetId="15" hidden="1">{#N/A,#N/A,FALSE,"Plan1";#N/A,#N/A,FALSE,"Plan2"}</definedName>
    <definedName name="kdsr" hidden="1">{#N/A,#N/A,FALSE,"Plan1";#N/A,#N/A,FALSE,"Plan2"}</definedName>
    <definedName name="kergtfdstr" localSheetId="15" hidden="1">{#N/A,#N/A,FALSE,"Plan1";#N/A,#N/A,FALSE,"Plan2"}</definedName>
    <definedName name="kergtfdstr" hidden="1">{#N/A,#N/A,FALSE,"Plan1";#N/A,#N/A,FALSE,"Plan2"}</definedName>
    <definedName name="KFDKTHGT" localSheetId="15" hidden="1">{#N/A,#N/A,FALSE,"Plan1";#N/A,#N/A,FALSE,"Plan2"}</definedName>
    <definedName name="KFDKTHGT" hidden="1">{#N/A,#N/A,FALSE,"Plan1";#N/A,#N/A,FALSE,"Plan2"}</definedName>
    <definedName name="kfdxlfdzs" localSheetId="15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15" hidden="1">{#N/A,#N/A,FALSE,"Plan1";#N/A,#N/A,FALSE,"Plan2"}</definedName>
    <definedName name="kfgkhjkjhy" hidden="1">{#N/A,#N/A,FALSE,"Plan1";#N/A,#N/A,FALSE,"Plan2"}</definedName>
    <definedName name="KFJFDSDF" localSheetId="15" hidden="1">{#N/A,#N/A,FALSE,"Plan1";#N/A,#N/A,FALSE,"Plan2"}</definedName>
    <definedName name="KFJFDSDF" hidden="1">{#N/A,#N/A,FALSE,"Plan1";#N/A,#N/A,FALSE,"Plan2"}</definedName>
    <definedName name="kfnkeasd" localSheetId="15" hidden="1">{#N/A,#N/A,FALSE,"Plan1";#N/A,#N/A,FALSE,"Plan2"}</definedName>
    <definedName name="kfnkeasd" hidden="1">{#N/A,#N/A,FALSE,"Plan1";#N/A,#N/A,FALSE,"Plan2"}</definedName>
    <definedName name="khdjkfkjhtg" localSheetId="15" hidden="1">{#N/A,#N/A,FALSE,"Plan1";#N/A,#N/A,FALSE,"Plan2"}</definedName>
    <definedName name="khdjkfkjhtg" hidden="1">{#N/A,#N/A,FALSE,"Plan1";#N/A,#N/A,FALSE,"Plan2"}</definedName>
    <definedName name="khdkfjhhfsdg" localSheetId="15" hidden="1">{#N/A,#N/A,FALSE,"Plan1";#N/A,#N/A,FALSE,"Plan2"}</definedName>
    <definedName name="khdkfjhhfsdg" hidden="1">{#N/A,#N/A,FALSE,"Plan1";#N/A,#N/A,FALSE,"Plan2"}</definedName>
    <definedName name="khdkjfhgudytu" localSheetId="15" hidden="1">{#N/A,#N/A,FALSE,"Plan1";#N/A,#N/A,FALSE,"Plan2"}</definedName>
    <definedName name="khdkjfhgudytu" hidden="1">{#N/A,#N/A,FALSE,"Plan1";#N/A,#N/A,FALSE,"Plan2"}</definedName>
    <definedName name="khfdghhhgd" localSheetId="15" hidden="1">{#N/A,#N/A,FALSE,"Plan1";#N/A,#N/A,FALSE,"Plan2"}</definedName>
    <definedName name="khfdghhhgd" hidden="1">{#N/A,#N/A,FALSE,"Plan1";#N/A,#N/A,FALSE,"Plan2"}</definedName>
    <definedName name="khfdkjhsdjf" localSheetId="15" hidden="1">{#N/A,#N/A,FALSE,"Plan1";#N/A,#N/A,FALSE,"Plan2"}</definedName>
    <definedName name="khfdkjhsdjf" hidden="1">{#N/A,#N/A,FALSE,"Plan1";#N/A,#N/A,FALSE,"Plan2"}</definedName>
    <definedName name="khgdkftfy" localSheetId="15" hidden="1">{#N/A,#N/A,FALSE,"Plan1";#N/A,#N/A,FALSE,"Plan2"}</definedName>
    <definedName name="khgdkftfy" hidden="1">{#N/A,#N/A,FALSE,"Plan1";#N/A,#N/A,FALSE,"Plan2"}</definedName>
    <definedName name="khgfhhtuhf" localSheetId="15" hidden="1">{#N/A,#N/A,FALSE,"Plan1";#N/A,#N/A,FALSE,"Plan2"}</definedName>
    <definedName name="khgfhhtuhf" hidden="1">{#N/A,#N/A,FALSE,"Plan1";#N/A,#N/A,FALSE,"Plan2"}</definedName>
    <definedName name="khjkh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15" hidden="1">{#N/A,#N/A,FALSE,"Plan1";#N/A,#N/A,FALSE,"Plan2"}</definedName>
    <definedName name="KHJKLSDF" hidden="1">{#N/A,#N/A,FALSE,"Plan1";#N/A,#N/A,FALSE,"Plan2"}</definedName>
    <definedName name="kieret" localSheetId="15" hidden="1">{#N/A,#N/A,FALSE,"Plan1";#N/A,#N/A,FALSE,"Plan2"}</definedName>
    <definedName name="kieret" hidden="1">{#N/A,#N/A,FALSE,"Plan1";#N/A,#N/A,FALSE,"Plan2"}</definedName>
    <definedName name="kiweokwr" localSheetId="15" hidden="1">#REF!</definedName>
    <definedName name="kiweokwr" hidden="1">#REF!</definedName>
    <definedName name="kjchkfhsezk" localSheetId="15" hidden="1">{#N/A,#N/A,FALSE,"Plan1";#N/A,#N/A,FALSE,"Plan2"}</definedName>
    <definedName name="kjchkfhsezk" hidden="1">{#N/A,#N/A,FALSE,"Plan1";#N/A,#N/A,FALSE,"Plan2"}</definedName>
    <definedName name="kjdghksef" localSheetId="15" hidden="1">{#N/A,#N/A,FALSE,"Plan1";#N/A,#N/A,FALSE,"Plan2"}</definedName>
    <definedName name="kjdghksef" hidden="1">{#N/A,#N/A,FALSE,"Plan1";#N/A,#N/A,FALSE,"Plan2"}</definedName>
    <definedName name="kjdkftyhtert" localSheetId="15" hidden="1">{#N/A,#N/A,FALSE,"Plan1";#N/A,#N/A,FALSE,"Plan2"}</definedName>
    <definedName name="kjdkftyhtert" hidden="1">{#N/A,#N/A,FALSE,"Plan1";#N/A,#N/A,FALSE,"Plan2"}</definedName>
    <definedName name="kjdlfkjds" localSheetId="15" hidden="1">{#N/A,#N/A,FALSE,"Plan1";#N/A,#N/A,FALSE,"Plan2"}</definedName>
    <definedName name="kjdlfkjds" hidden="1">{#N/A,#N/A,FALSE,"Plan1";#N/A,#N/A,FALSE,"Plan2"}</definedName>
    <definedName name="kjdzhfytrfy" localSheetId="15" hidden="1">{#N/A,#N/A,FALSE,"Plan1";#N/A,#N/A,FALSE,"Plan2"}</definedName>
    <definedName name="kjdzhfytrfy" hidden="1">{#N/A,#N/A,FALSE,"Plan1";#N/A,#N/A,FALSE,"Plan2"}</definedName>
    <definedName name="kjhdfgjthdft" localSheetId="15" hidden="1">{#N/A,#N/A,FALSE,"Plan1";#N/A,#N/A,FALSE,"Plan2"}</definedName>
    <definedName name="kjhdfgjthdft" hidden="1">{#N/A,#N/A,FALSE,"Plan1";#N/A,#N/A,FALSE,"Plan2"}</definedName>
    <definedName name="kjhsdfk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15" hidden="1">{#N/A,#N/A,FALSE,"Plan1";#N/A,#N/A,FALSE,"Plan2"}</definedName>
    <definedName name="kjhsiorf" hidden="1">{#N/A,#N/A,FALSE,"Plan1";#N/A,#N/A,FALSE,"Plan2"}</definedName>
    <definedName name="KJ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15" hidden="1">{#N/A,#N/A,FALSE,"Plan1";#N/A,#N/A,FALSE,"Plan2"}</definedName>
    <definedName name="kjjwww" hidden="1">{#N/A,#N/A,FALSE,"Plan1";#N/A,#N/A,FALSE,"Plan2"}</definedName>
    <definedName name="kjl" hidden="1">{#N/A,#N/A,FALSE,"ENG'G(보호계전기)"}</definedName>
    <definedName name="KJOI" localSheetId="15" hidden="1">{#N/A,#N/A,FALSE,"Plan1";#N/A,#N/A,FALSE,"Plan2"}</definedName>
    <definedName name="KJOI" hidden="1">{#N/A,#N/A,FALSE,"Plan1";#N/A,#N/A,FALSE,"Plan2"}</definedName>
    <definedName name="kjqwerw" localSheetId="15" hidden="1">{#N/A,#N/A,FALSE,"Plan1";#N/A,#N/A,FALSE,"Plan2"}</definedName>
    <definedName name="kjqwerw" hidden="1">{#N/A,#N/A,FALSE,"Plan1";#N/A,#N/A,FALSE,"Plan2"}</definedName>
    <definedName name="kjsfert" localSheetId="15" hidden="1">{#N/A,#N/A,FALSE,"Plan1";#N/A,#N/A,FALSE,"Plan2"}</definedName>
    <definedName name="kjsfert" hidden="1">{#N/A,#N/A,FALSE,"Plan1";#N/A,#N/A,FALSE,"Plan2"}</definedName>
    <definedName name="KJXCFKR" localSheetId="15" hidden="1">{#N/A,#N/A,FALSE,"Plan1";#N/A,#N/A,FALSE,"Plan2"}</definedName>
    <definedName name="KJXCFKR" hidden="1">{#N/A,#N/A,FALSE,"Plan1";#N/A,#N/A,FALSE,"Plan2"}</definedName>
    <definedName name="KJXDFD" localSheetId="15" hidden="1">{#N/A,#N/A,FALSE,"Plan1";#N/A,#N/A,FALSE,"Plan2"}</definedName>
    <definedName name="KJXDFD" hidden="1">{#N/A,#N/A,FALSE,"Plan1";#N/A,#N/A,FALSE,"Plan2"}</definedName>
    <definedName name="kjydhfkjghkjfh" localSheetId="15" hidden="1">#REF!</definedName>
    <definedName name="kjydhfkjghkjfh" hidden="1">#REF!</definedName>
    <definedName name="kk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15" hidden="1">{#N/A,#N/A,FALSE,"Plan1";#N/A,#N/A,FALSE,"Plan2"}</definedName>
    <definedName name="kkk" hidden="1">{#N/A,#N/A,FALSE,"Plan1";#N/A,#N/A,FALSE,"Plan2"}</definedName>
    <definedName name="kkkkk" localSheetId="15" hidden="1">{#N/A,#N/A,FALSE,"Plan1";#N/A,#N/A,FALSE,"Plan2"}</definedName>
    <definedName name="kkkkk" hidden="1">{#N/A,#N/A,FALSE,"Plan1";#N/A,#N/A,FALSE,"Plan2"}</definedName>
    <definedName name="kkkkkk" localSheetId="15" hidden="1">{#N/A,#N/A,FALSE,"Plan1";#N/A,#N/A,FALSE,"Plan2"}</definedName>
    <definedName name="kkkkkk" hidden="1">{#N/A,#N/A,FALSE,"Plan1";#N/A,#N/A,FALSE,"Plan2"}</definedName>
    <definedName name="kko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15" hidden="1">{#N/A,#N/A,FALSE,"Plan1";#N/A,#N/A,FALSE,"Plan2"}</definedName>
    <definedName name="kksaklçer" hidden="1">{#N/A,#N/A,FALSE,"Plan1";#N/A,#N/A,FALSE,"Plan2"}</definedName>
    <definedName name="kksarde" localSheetId="15" hidden="1">{#N/A,#N/A,FALSE,"Plan1";#N/A,#N/A,FALSE,"Plan2"}</definedName>
    <definedName name="kksarde" hidden="1">{#N/A,#N/A,FALSE,"Plan1";#N/A,#N/A,FALSE,"Plan2"}</definedName>
    <definedName name="klaskldjsw" localSheetId="15" hidden="1">{#N/A,#N/A,FALSE,"Plan1";#N/A,#N/A,FALSE,"Plan2"}</definedName>
    <definedName name="klaskldjsw" hidden="1">{#N/A,#N/A,FALSE,"Plan1";#N/A,#N/A,FALSE,"Plan2"}</definedName>
    <definedName name="klçkop" localSheetId="15" hidden="1">{#N/A,#N/A,FALSE,"Plan1";#N/A,#N/A,FALSE,"Plan2"}</definedName>
    <definedName name="klçkop" hidden="1">{#N/A,#N/A,FALSE,"Plan1";#N/A,#N/A,FALSE,"Plan2"}</definedName>
    <definedName name="KLDFNTRDT" localSheetId="15" hidden="1">{#N/A,#N/A,FALSE,"Plan1";#N/A,#N/A,FALSE,"Plan2"}</definedName>
    <definedName name="KLDFNTRDT" hidden="1">{#N/A,#N/A,FALSE,"Plan1";#N/A,#N/A,FALSE,"Plan2"}</definedName>
    <definedName name="klhjsdklhdf" localSheetId="15" hidden="1">{#N/A,#N/A,FALSE,"Plan1";#N/A,#N/A,FALSE,"Plan2"}</definedName>
    <definedName name="klhjsdklhdf" hidden="1">{#N/A,#N/A,FALSE,"Plan1";#N/A,#N/A,FALSE,"Plan2"}</definedName>
    <definedName name="KLHSKLRHWE" localSheetId="15" hidden="1">{#N/A,#N/A,FALSE,"Plan1";#N/A,#N/A,FALSE,"Plan2"}</definedName>
    <definedName name="KLHSKLRHWE" hidden="1">{#N/A,#N/A,FALSE,"Plan1";#N/A,#N/A,FALSE,"Plan2"}</definedName>
    <definedName name="KLJASKJD" localSheetId="15" hidden="1">{#N/A,#N/A,FALSE,"Plan1";#N/A,#N/A,FALSE,"Plan2"}</definedName>
    <definedName name="KLJASKJD" hidden="1">{#N/A,#N/A,FALSE,"Plan1";#N/A,#N/A,FALSE,"Plan2"}</definedName>
    <definedName name="KLJDXLG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15" hidden="1">{#N/A,#N/A,FALSE,"Plan1";#N/A,#N/A,FALSE,"Plan2"}</definedName>
    <definedName name="kljeflwr" hidden="1">{#N/A,#N/A,FALSE,"Plan1";#N/A,#N/A,FALSE,"Plan2"}</definedName>
    <definedName name="kljflgjrf" localSheetId="15" hidden="1">{#N/A,#N/A,FALSE,"Plan1";#N/A,#N/A,FALSE,"Plan2"}</definedName>
    <definedName name="kljflgjrf" hidden="1">{#N/A,#N/A,FALSE,"Plan1";#N/A,#N/A,FALSE,"Plan2"}</definedName>
    <definedName name="kljgfdfr" localSheetId="15" hidden="1">{#N/A,#N/A,FALSE,"Plan1";#N/A,#N/A,FALSE,"Plan2"}</definedName>
    <definedName name="kljgfdfr" hidden="1">{#N/A,#N/A,FALSE,"Plan1";#N/A,#N/A,FALSE,"Plan2"}</definedName>
    <definedName name="kljgfjrt" localSheetId="15" hidden="1">{#N/A,#N/A,FALSE,"Plan1";#N/A,#N/A,FALSE,"Plan2"}</definedName>
    <definedName name="kljgfjrt" hidden="1">{#N/A,#N/A,FALSE,"Plan1";#N/A,#N/A,FALSE,"Plan2"}</definedName>
    <definedName name="kljlkdfj" localSheetId="15" hidden="1">{#N/A,#N/A,FALSE,"Plan1";#N/A,#N/A,FALSE,"Plan2"}</definedName>
    <definedName name="kljlkdfj" hidden="1">{#N/A,#N/A,FALSE,"Plan1";#N/A,#N/A,FALSE,"Plan2"}</definedName>
    <definedName name="kljsakjfr" localSheetId="15" hidden="1">{#N/A,#N/A,FALSE,"Plan1";#N/A,#N/A,FALSE,"Plan2"}</definedName>
    <definedName name="kljsakjfr" hidden="1">{#N/A,#N/A,FALSE,"Plan1";#N/A,#N/A,FALSE,"Plan2"}</definedName>
    <definedName name="kljsdje" localSheetId="15" hidden="1">{#N/A,#N/A,FALSE,"Plan1";#N/A,#N/A,FALSE,"Plan2"}</definedName>
    <definedName name="kljsdje" hidden="1">{#N/A,#N/A,FALSE,"Plan1";#N/A,#N/A,FALSE,"Plan2"}</definedName>
    <definedName name="kljsfwe" localSheetId="15" hidden="1">{#N/A,#N/A,FALSE,"Plan1";#N/A,#N/A,FALSE,"Plan2"}</definedName>
    <definedName name="kljsfwe" hidden="1">{#N/A,#N/A,FALSE,"Plan1";#N/A,#N/A,FALSE,"Plan2"}</definedName>
    <definedName name="klk" localSheetId="15" hidden="1">{#N/A,#N/A,FALSE,"Plan1";#N/A,#N/A,FALSE,"Plan2"}</definedName>
    <definedName name="klk" hidden="1">{#N/A,#N/A,FALSE,"Plan1";#N/A,#N/A,FALSE,"Plan2"}</definedName>
    <definedName name="KLKKLKÇJÇ" localSheetId="15" hidden="1">{#N/A,#N/A,FALSE,"Plan1";#N/A,#N/A,FALSE,"Plan2"}</definedName>
    <definedName name="KLKKLKÇJÇ" hidden="1">{#N/A,#N/A,FALSE,"Plan1";#N/A,#N/A,FALSE,"Plan2"}</definedName>
    <definedName name="KLSDFT" localSheetId="15" hidden="1">{#N/A,#N/A,FALSE,"Plan1";#N/A,#N/A,FALSE,"Plan2"}</definedName>
    <definedName name="KLSDFT" hidden="1">{#N/A,#N/A,FALSE,"Plan1";#N/A,#N/A,FALSE,"Plan2"}</definedName>
    <definedName name="KLSDHSJKHF" localSheetId="15" hidden="1">{#N/A,#N/A,FALSE,"Plan1";#N/A,#N/A,FALSE,"Plan2"}</definedName>
    <definedName name="KLSDHSJKHF" hidden="1">{#N/A,#N/A,FALSE,"Plan1";#N/A,#N/A,FALSE,"Plan2"}</definedName>
    <definedName name="klsdkre" localSheetId="15" hidden="1">{#N/A,#N/A,FALSE,"Plan1";#N/A,#N/A,FALSE,"Plan2"}</definedName>
    <definedName name="klsdkre" hidden="1">{#N/A,#N/A,FALSE,"Plan1";#N/A,#N/A,FALSE,"Plan2"}</definedName>
    <definedName name="KLSIDJE" localSheetId="15" hidden="1">{#N/A,#N/A,FALSE,"Plan1";#N/A,#N/A,FALSE,"Plan2"}</definedName>
    <definedName name="KLSIDJE" hidden="1">{#N/A,#N/A,FALSE,"Plan1";#N/A,#N/A,FALSE,"Plan2"}</definedName>
    <definedName name="klsjarsf" localSheetId="15" hidden="1">{#N/A,#N/A,FALSE,"Plan1";#N/A,#N/A,FALSE,"Plan2"}</definedName>
    <definedName name="klsjarsf" hidden="1">{#N/A,#N/A,FALSE,"Plan1";#N/A,#N/A,FALSE,"Plan2"}</definedName>
    <definedName name="klsjdwe" localSheetId="15" hidden="1">#REF!</definedName>
    <definedName name="klsjdwe" hidden="1">#REF!</definedName>
    <definedName name="klxhjfdkhser" localSheetId="15" hidden="1">{#N/A,#N/A,FALSE,"Plan1";#N/A,#N/A,FALSE,"Plan2"}</definedName>
    <definedName name="klxhjfdkhser" hidden="1">{#N/A,#N/A,FALSE,"Plan1";#N/A,#N/A,FALSE,"Plan2"}</definedName>
    <definedName name="kopipnsdfne" localSheetId="15" hidden="1">{#N/A,#N/A,FALSE,"Plan1";#N/A,#N/A,FALSE,"Plan2"}</definedName>
    <definedName name="kopipnsdfne" hidden="1">{#N/A,#N/A,FALSE,"Plan1";#N/A,#N/A,FALSE,"Plan2"}</definedName>
    <definedName name="kp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15" hidden="1">{#N/A,#N/A,FALSE,"Plan1";#N/A,#N/A,FALSE,"Plan2"}</definedName>
    <definedName name="KSDLDF" hidden="1">{#N/A,#N/A,FALSE,"Plan1";#N/A,#N/A,FALSE,"Plan2"}</definedName>
    <definedName name="ksdlkfsçzd" localSheetId="15" hidden="1">{#N/A,#N/A,FALSE,"Plan1";#N/A,#N/A,FALSE,"Plan2"}</definedName>
    <definedName name="ksdlkfsçzd" hidden="1">{#N/A,#N/A,FALSE,"Plan1";#N/A,#N/A,FALSE,"Plan2"}</definedName>
    <definedName name="ksdoçierfe" localSheetId="15" hidden="1">{#N/A,#N/A,FALSE,"Plan1";#N/A,#N/A,FALSE,"Plan2"}</definedName>
    <definedName name="ksdoçierfe" hidden="1">{#N/A,#N/A,FALSE,"Plan1";#N/A,#N/A,FALSE,"Plan2"}</definedName>
    <definedName name="ksdtrdrkf" localSheetId="15" hidden="1">{#N/A,#N/A,FALSE,"Plan1";#N/A,#N/A,FALSE,"Plan2"}</definedName>
    <definedName name="ksdtrdrkf" hidden="1">{#N/A,#N/A,FALSE,"Plan1";#N/A,#N/A,FALSE,"Plan2"}</definedName>
    <definedName name="KSFÇJDFJL" localSheetId="15" hidden="1">{#N/A,#N/A,FALSE,"Plan1";#N/A,#N/A,FALSE,"Plan2"}</definedName>
    <definedName name="KSFÇJDFJL" hidden="1">{#N/A,#N/A,FALSE,"Plan1";#N/A,#N/A,FALSE,"Plan2"}</definedName>
    <definedName name="ksfhse" localSheetId="15" hidden="1">{#N/A,#N/A,FALSE,"Plan1";#N/A,#N/A,FALSE,"Plan2"}</definedName>
    <definedName name="ksfhse" hidden="1">{#N/A,#N/A,FALSE,"Plan1";#N/A,#N/A,FALSE,"Plan2"}</definedName>
    <definedName name="KSRKOE" localSheetId="15" hidden="1">{#N/A,#N/A,FALSE,"Plan1";#N/A,#N/A,FALSE,"Plan2"}</definedName>
    <definedName name="KSRKOE" hidden="1">{#N/A,#N/A,FALSE,"Plan1";#N/A,#N/A,FALSE,"Plan2"}</definedName>
    <definedName name="KSWKE" localSheetId="15" hidden="1">{#N/A,#N/A,FALSE,"Plan1";#N/A,#N/A,FALSE,"Plan2"}</definedName>
    <definedName name="KSWKE" hidden="1">{#N/A,#N/A,FALSE,"Plan1";#N/A,#N/A,FALSE,"Plan2"}</definedName>
    <definedName name="kysdusf" localSheetId="15" hidden="1">{#N/A,#N/A,FALSE,"Plan1";#N/A,#N/A,FALSE,"Plan2"}</definedName>
    <definedName name="kysdusf" hidden="1">{#N/A,#N/A,FALSE,"Plan1";#N/A,#N/A,FALSE,"Plan2"}</definedName>
    <definedName name="kzslçdkçle" localSheetId="15" hidden="1">{#N/A,#N/A,FALSE,"Plan1";#N/A,#N/A,FALSE,"Plan2"}</definedName>
    <definedName name="kzslçdkçle" hidden="1">{#N/A,#N/A,FALSE,"Plan1";#N/A,#N/A,FALSE,"Plan2"}</definedName>
    <definedName name="LAEKWRK" localSheetId="15" hidden="1">{#N/A,#N/A,FALSE,"Plan1";#N/A,#N/A,FALSE,"Plan2"}</definedName>
    <definedName name="LAEKWRK" hidden="1">{#N/A,#N/A,FALSE,"Plan1";#N/A,#N/A,FALSE,"Plan2"}</definedName>
    <definedName name="laeqwep" localSheetId="15" hidden="1">#REF!</definedName>
    <definedName name="laeqwep" hidden="1">#REF!</definedName>
    <definedName name="LAKDEWRF" localSheetId="15" hidden="1">{#N/A,#N/A,FALSE,"Plan1";#N/A,#N/A,FALSE,"Plan2"}</definedName>
    <definedName name="LAKDEWRF" hidden="1">{#N/A,#N/A,FALSE,"Plan1";#N/A,#N/A,FALSE,"Plan2"}</definedName>
    <definedName name="LASÇDSRLF" localSheetId="15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15" hidden="1">{#N/A,#N/A,FALSE,"Plan1";#N/A,#N/A,FALSE,"Plan2"}</definedName>
    <definedName name="lasrlswer" hidden="1">{#N/A,#N/A,FALSE,"Plan1";#N/A,#N/A,FALSE,"Plan2"}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çadple4r" localSheetId="15" hidden="1">{#N/A,#N/A,FALSE,"Plan1";#N/A,#N/A,FALSE,"Plan2"}</definedName>
    <definedName name="lçadple4r" hidden="1">{#N/A,#N/A,FALSE,"Plan1";#N/A,#N/A,FALSE,"Plan2"}</definedName>
    <definedName name="lçasser" localSheetId="15" hidden="1">{#N/A,#N/A,FALSE,"Plan1";#N/A,#N/A,FALSE,"Plan2"}</definedName>
    <definedName name="lçasser" hidden="1">{#N/A,#N/A,FALSE,"Plan1";#N/A,#N/A,FALSE,"Plan2"}</definedName>
    <definedName name="lcdgjtklfrn" localSheetId="15" hidden="1">{#N/A,#N/A,FALSE,"Plan1";#N/A,#N/A,FALSE,"Plan2"}</definedName>
    <definedName name="lcdgjtklfrn" hidden="1">{#N/A,#N/A,FALSE,"Plan1";#N/A,#N/A,FALSE,"Plan2"}</definedName>
    <definedName name="lçfklsdkçaer" localSheetId="15" hidden="1">{#N/A,#N/A,FALSE,"Plan1";#N/A,#N/A,FALSE,"Plan2"}</definedName>
    <definedName name="lçfklsdkçaer" hidden="1">{#N/A,#N/A,FALSE,"Plan1";#N/A,#N/A,FALSE,"Plan2"}</definedName>
    <definedName name="lçjkgf" localSheetId="15" hidden="1">{#N/A,#N/A,FALSE,"Plan1";#N/A,#N/A,FALSE,"Plan2"}</definedName>
    <definedName name="lçjkgf" hidden="1">{#N/A,#N/A,FALSE,"Plan1";#N/A,#N/A,FALSE,"Plan2"}</definedName>
    <definedName name="LÇJSLDFJ" localSheetId="15" hidden="1">{#N/A,#N/A,FALSE,"Plan1";#N/A,#N/A,FALSE,"Plan2"}</definedName>
    <definedName name="LÇJSLDFJ" hidden="1">{#N/A,#N/A,FALSE,"Plan1";#N/A,#N/A,FALSE,"Plan2"}</definedName>
    <definedName name="LÇKÇSDRLK" localSheetId="15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15" hidden="1">{#N/A,#N/A,FALSE,"Plan1";#N/A,#N/A,FALSE,"Plan2"}</definedName>
    <definedName name="lçlfklçdglfdgt" hidden="1">{#N/A,#N/A,FALSE,"Plan1";#N/A,#N/A,FALSE,"Plan2"}</definedName>
    <definedName name="lçslrr4r" localSheetId="15" hidden="1">{#N/A,#N/A,FALSE,"Plan1";#N/A,#N/A,FALSE,"Plan2"}</definedName>
    <definedName name="lçslrr4r" hidden="1">{#N/A,#N/A,FALSE,"Plan1";#N/A,#N/A,FALSE,"Plan2"}</definedName>
    <definedName name="ldfjgry" localSheetId="15" hidden="1">{#N/A,#N/A,FALSE,"Plan1";#N/A,#N/A,FALSE,"Plan2"}</definedName>
    <definedName name="ldfjgry" hidden="1">{#N/A,#N/A,FALSE,"Plan1";#N/A,#N/A,FALSE,"Plan2"}</definedName>
    <definedName name="ldfjgtilrf" localSheetId="15" hidden="1">{#N/A,#N/A,FALSE,"Plan1";#N/A,#N/A,FALSE,"Plan2"}</definedName>
    <definedName name="ldfjgtilrf" hidden="1">{#N/A,#N/A,FALSE,"Plan1";#N/A,#N/A,FALSE,"Plan2"}</definedName>
    <definedName name="ldk" localSheetId="15" hidden="1">{#N/A,#N/A,FALSE,"Plan1";#N/A,#N/A,FALSE,"Plan2"}</definedName>
    <definedName name="ldk" hidden="1">{#N/A,#N/A,FALSE,"Plan1";#N/A,#N/A,FALSE,"Plan2"}</definedName>
    <definedName name="ldkgkdfjgkh" localSheetId="15" hidden="1">{#N/A,#N/A,FALSE,"Plan1";#N/A,#N/A,FALSE,"Plan2"}</definedName>
    <definedName name="ldkgkdfjgkh" hidden="1">{#N/A,#N/A,FALSE,"Plan1";#N/A,#N/A,FALSE,"Plan2"}</definedName>
    <definedName name="LDTJGR" localSheetId="15" hidden="1">{#N/A,#N/A,FALSE,"Plan1";#N/A,#N/A,FALSE,"Plan2"}</definedName>
    <definedName name="LDTJGR" hidden="1">{#N/A,#N/A,FALSE,"Plan1";#N/A,#N/A,FALSE,"Plan2"}</definedName>
    <definedName name="Leg" hidden="1">#REF!</definedName>
    <definedName name="LEKG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fjdjrt" localSheetId="15" hidden="1">{#N/A,#N/A,FALSE,"Plan1";#N/A,#N/A,FALSE,"Plan2"}</definedName>
    <definedName name="lfjdjrt" hidden="1">{#N/A,#N/A,FALSE,"Plan1";#N/A,#N/A,FALSE,"Plan2"}</definedName>
    <definedName name="lidfjgklruf" localSheetId="15" hidden="1">{#N/A,#N/A,FALSE,"Plan1";#N/A,#N/A,FALSE,"Plan2"}</definedName>
    <definedName name="lidfjgklruf" hidden="1">{#N/A,#N/A,FALSE,"Plan1";#N/A,#N/A,FALSE,"Plan2"}</definedName>
    <definedName name="limcount" hidden="1">3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dfkgyt" localSheetId="15" hidden="1">{#N/A,#N/A,FALSE,"Plan1";#N/A,#N/A,FALSE,"Plan2"}</definedName>
    <definedName name="ljdfkgyt" hidden="1">{#N/A,#N/A,FALSE,"Plan1";#N/A,#N/A,FALSE,"Plan2"}</definedName>
    <definedName name="LJDFLJRL" localSheetId="15" hidden="1">{#N/A,#N/A,FALSE,"Plan1";#N/A,#N/A,FALSE,"Plan2"}</definedName>
    <definedName name="LJDFLJRL" hidden="1">{#N/A,#N/A,FALSE,"Plan1";#N/A,#N/A,FALSE,"Plan2"}</definedName>
    <definedName name="ljsdfrd" localSheetId="15" hidden="1">{#N/A,#N/A,FALSE,"Plan1";#N/A,#N/A,FALSE,"Plan2"}</definedName>
    <definedName name="ljsdfrd" hidden="1">{#N/A,#N/A,FALSE,"Plan1";#N/A,#N/A,FALSE,"Plan2"}</definedName>
    <definedName name="LJSFLDJDLKFJG" localSheetId="15" hidden="1">#REF!</definedName>
    <definedName name="LJSFLDJDLKFJG" hidden="1">#REF!</definedName>
    <definedName name="LK" hidden="1">{#N/A,#N/A,TRUE,"Quinzena 01 à 15-04-98 "}</definedName>
    <definedName name="lkasdkeo" localSheetId="15" hidden="1">{#N/A,#N/A,FALSE,"Plan1";#N/A,#N/A,FALSE,"Plan2"}</definedName>
    <definedName name="lkasdkeo" hidden="1">{#N/A,#N/A,FALSE,"Plan1";#N/A,#N/A,FALSE,"Plan2"}</definedName>
    <definedName name="lkdeas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15" hidden="1">{#N/A,#N/A,FALSE,"Plan1";#N/A,#N/A,FALSE,"Plan2"}</definedName>
    <definedName name="lkdzxfsdrf" hidden="1">{#N/A,#N/A,FALSE,"Plan1";#N/A,#N/A,FALSE,"Plan2"}</definedName>
    <definedName name="lkfdkçtktr" localSheetId="15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15" hidden="1">{#N/A,#N/A,FALSE,"Plan1";#N/A,#N/A,FALSE,"Plan2"}</definedName>
    <definedName name="LKSSDKÇ\E" hidden="1">{#N/A,#N/A,FALSE,"Plan1";#N/A,#N/A,FALSE,"Plan2"}</definedName>
    <definedName name="lkt" localSheetId="15" hidden="1">{#N/A,#N/A,FALSE,"Plan1";#N/A,#N/A,FALSE,"Plan2"}</definedName>
    <definedName name="lkt" hidden="1">{#N/A,#N/A,FALSE,"Plan1";#N/A,#N/A,FALSE,"Plan2"}</definedName>
    <definedName name="lktlyklt" localSheetId="15" hidden="1">{#N/A,#N/A,FALSE,"Plan1";#N/A,#N/A,FALSE,"Plan2"}</definedName>
    <definedName name="lktlyklt" hidden="1">{#N/A,#N/A,FALSE,"Plan1";#N/A,#N/A,FALSE,"Plan2"}</definedName>
    <definedName name="LKTTYT" localSheetId="15" hidden="1">{#N/A,#N/A,FALSE,"Plan1";#N/A,#N/A,FALSE,"Plan2"}</definedName>
    <definedName name="LKTTYT" hidden="1">{#N/A,#N/A,FALSE,"Plan1";#N/A,#N/A,FALSE,"Plan2"}</definedName>
    <definedName name="llgg" localSheetId="15" hidden="1">{#N/A,#N/A,FALSE,"Plan1";#N/A,#N/A,FALSE,"Plan2"}</definedName>
    <definedName name="llgg" hidden="1">{#N/A,#N/A,FALSE,"Plan1";#N/A,#N/A,FALSE,"Plan2"}</definedName>
    <definedName name="LLL" localSheetId="15" hidden="1">{#N/A,#N/A,FALSE,"Plan1";#N/A,#N/A,FALSE,"Plan2"}</definedName>
    <definedName name="LLL" hidden="1">{#N/A,#N/A,FALSE,"Plan1";#N/A,#N/A,FALSE,"Plan2"}</definedName>
    <definedName name="LM_AR" hidden="1">{#N/A,#N/A,FALSE,"F-01"}</definedName>
    <definedName name="LM_AT" hidden="1">{#N/A,#N/A,FALSE,"F-01"}</definedName>
    <definedName name="LM_INC" hidden="1">{#N/A,#N/A,FALSE,"F-01"}</definedName>
    <definedName name="LMPAS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FKLDKFTR" localSheetId="15" hidden="1">{#N/A,#N/A,FALSE,"Plan1";#N/A,#N/A,FALSE,"Plan2"}</definedName>
    <definedName name="LSDFKLDKFTR" hidden="1">{#N/A,#N/A,FALSE,"Plan1";#N/A,#N/A,FALSE,"Plan2"}</definedName>
    <definedName name="lsdjs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15" hidden="1">{#N/A,#N/A,FALSE,"Plan1";#N/A,#N/A,FALSE,"Plan2"}</definedName>
    <definedName name="lsdkljfkg" hidden="1">{#N/A,#N/A,FALSE,"Plan1";#N/A,#N/A,FALSE,"Plan2"}</definedName>
    <definedName name="lsdsder" localSheetId="15" hidden="1">{#N/A,#N/A,FALSE,"Plan1";#N/A,#N/A,FALSE,"Plan2"}</definedName>
    <definedName name="lsdsder" hidden="1">{#N/A,#N/A,FALSE,"Plan1";#N/A,#N/A,FALSE,"Plan2"}</definedName>
    <definedName name="ltj6ljyhdjhngças" localSheetId="15" hidden="1">{#N/A,#N/A,FALSE,"Plan1";#N/A,#N/A,FALSE,"Plan2"}</definedName>
    <definedName name="ltj6ljyhdjhngças" hidden="1">{#N/A,#N/A,FALSE,"Plan1";#N/A,#N/A,FALSE,"Plan2"}</definedName>
    <definedName name="lwaeddew" hidden="1">#REF!</definedName>
    <definedName name="m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ISAP" localSheetId="15" hidden="1">{#N/A,#N/A,FALSE,"Plan1";#N/A,#N/A,FALSE,"Plan2"}</definedName>
    <definedName name="MAISAP" hidden="1">{#N/A,#N/A,FALSE,"Plan1";#N/A,#N/A,FALSE,"Plan2"}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15" hidden="1">{#N/A,#N/A,FALSE,"Plan1";#N/A,#N/A,FALSE,"Plan2"}</definedName>
    <definedName name="MAURILIO" hidden="1">{#N/A,#N/A,FALSE,"Plan1";#N/A,#N/A,FALSE,"Plan2"}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fgtr" localSheetId="15" hidden="1">{#N/A,#N/A,FALSE,"Plan1";#N/A,#N/A,FALSE,"Plan2"}</definedName>
    <definedName name="mdfgtr" hidden="1">{#N/A,#N/A,FALSE,"Plan1";#N/A,#N/A,FALSE,"Plan2"}</definedName>
    <definedName name="MDSÇLFJKJSD" localSheetId="15" hidden="1">{#N/A,#N/A,FALSE,"Plan1";#N/A,#N/A,FALSE,"Plan2"}</definedName>
    <definedName name="MDSÇLFJKJSD" hidden="1">{#N/A,#N/A,FALSE,"Plan1";#N/A,#N/A,FALSE,"Plan2"}</definedName>
    <definedName name="ME" hidden="1">{"HW",#N/A,FALSE,"1998"}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ENA" hidden="1">#REF!</definedName>
    <definedName name="MLMÇLKJKI" localSheetId="15" hidden="1">{#N/A,#N/A,FALSE,"Plan1";#N/A,#N/A,FALSE,"Plan2"}</definedName>
    <definedName name="MLMÇLKJKI" hidden="1">{#N/A,#N/A,FALSE,"Plan1";#N/A,#N/A,FALSE,"Plan2"}</definedName>
    <definedName name="MM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15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NBXFKGS" localSheetId="15" hidden="1">{#N/A,#N/A,FALSE,"Plan1";#N/A,#N/A,FALSE,"Plan2"}</definedName>
    <definedName name="MNBXFKGS" hidden="1">{#N/A,#N/A,FALSE,"Plan1";#N/A,#N/A,FALSE,"Plan2"}</definedName>
    <definedName name="mncvbgcvmc" localSheetId="15" hidden="1">{#N/A,#N/A,FALSE,"Plan1";#N/A,#N/A,FALSE,"Plan2"}</definedName>
    <definedName name="mncvbgcvmc" hidden="1">{#N/A,#N/A,FALSE,"Plan1";#N/A,#N/A,FALSE,"Plan2"}</definedName>
    <definedName name="MNDKZSFNCEA" localSheetId="15" hidden="1">{#N/A,#N/A,FALSE,"Plan1";#N/A,#N/A,FALSE,"Plan2"}</definedName>
    <definedName name="MNDKZSFNCEA" hidden="1">{#N/A,#N/A,FALSE,"Plan1";#N/A,#N/A,FALSE,"Plan2"}</definedName>
    <definedName name="mnhdshfgfhd" localSheetId="15" hidden="1">{#N/A,#N/A,FALSE,"Plan1";#N/A,#N/A,FALSE,"Plan2"}</definedName>
    <definedName name="mnhdshfgfhd" hidden="1">{#N/A,#N/A,FALSE,"Plan1";#N/A,#N/A,FALSE,"Plan2"}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P" hidden="1">{#N/A,#N/A,FALSE,"CCTV"}</definedName>
    <definedName name="MSDFJKDT" hidden="1">25</definedName>
    <definedName name="MSDRFSWER" localSheetId="15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zshdjshjs" localSheetId="15" hidden="1">{#N/A,#N/A,FALSE,"Plan1";#N/A,#N/A,FALSE,"Plan2"}</definedName>
    <definedName name="mzshdjshjs" hidden="1">{#N/A,#N/A,FALSE,"Plan1";#N/A,#N/A,FALSE,"Plan2"}</definedName>
    <definedName name="na" hidden="1">{#N/A,#N/A,FALSE,"$170M Cash";#N/A,#N/A,FALSE,"$250M Cash";#N/A,#N/A,FALSE,"$325M Cash"}</definedName>
    <definedName name="ncdgrdhrtg" localSheetId="15" hidden="1">{#N/A,#N/A,FALSE,"Plan1";#N/A,#N/A,FALSE,"Plan2"}</definedName>
    <definedName name="ncdgrdhrtg" hidden="1">{#N/A,#N/A,FALSE,"Plan1";#N/A,#N/A,FALSE,"Plan2"}</definedName>
    <definedName name="nchngdfhgdh" localSheetId="15" hidden="1">{#N/A,#N/A,FALSE,"Plan1";#N/A,#N/A,FALSE,"Plan2"}</definedName>
    <definedName name="nchngdfhgdh" hidden="1">{#N/A,#N/A,FALSE,"Plan1";#N/A,#N/A,FALSE,"Plan2"}</definedName>
    <definedName name="NCJFKNGJHF" localSheetId="15" hidden="1">{#N/A,#N/A,FALSE,"Plan1";#N/A,#N/A,FALSE,"Plan2"}</definedName>
    <definedName name="NCJFKNGJHF" hidden="1">{#N/A,#N/A,FALSE,"Plan1";#N/A,#N/A,FALSE,"Plan2"}</definedName>
    <definedName name="ndcxhgdhf" localSheetId="15" hidden="1">{#N/A,#N/A,FALSE,"Plan1";#N/A,#N/A,FALSE,"Plan2"}</definedName>
    <definedName name="ndcxhgdhf" hidden="1">{#N/A,#N/A,FALSE,"Plan1";#N/A,#N/A,FALSE,"Plan2"}</definedName>
    <definedName name="ndfjnjkrhdgt" localSheetId="15" hidden="1">{#N/A,#N/A,FALSE,"Plan1";#N/A,#N/A,FALSE,"Plan2"}</definedName>
    <definedName name="ndfjnjkrhdgt" hidden="1">{#N/A,#N/A,FALSE,"Plan1";#N/A,#N/A,FALSE,"Plan2"}</definedName>
    <definedName name="ndfkghkjthfyst" localSheetId="15" hidden="1">{#N/A,#N/A,FALSE,"Plan1";#N/A,#N/A,FALSE,"Plan2"}</definedName>
    <definedName name="ndfkghkjthfyst" hidden="1">{#N/A,#N/A,FALSE,"Plan1";#N/A,#N/A,FALSE,"Plan2"}</definedName>
    <definedName name="NDJGKFKGHUFG" localSheetId="15" hidden="1">{#N/A,#N/A,FALSE,"Plan1";#N/A,#N/A,FALSE,"Plan2"}</definedName>
    <definedName name="NDJGKFKGHUFG" hidden="1">{#N/A,#N/A,FALSE,"Plan1";#N/A,#N/A,FALSE,"Plan2"}</definedName>
    <definedName name="ndrjkt" localSheetId="15" hidden="1">{#N/A,#N/A,FALSE,"Plan1";#N/A,#N/A,FALSE,"Plan2"}</definedName>
    <definedName name="ndrjkt" hidden="1">{#N/A,#N/A,FALSE,"Plan1";#N/A,#N/A,FALSE,"Plan2"}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hidden="1">{#N/A,#N/A,FALSE,"CCTV"}</definedName>
    <definedName name="nfgjkhvhfghn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15" hidden="1">{#N/A,#N/A,FALSE,"Plan1";#N/A,#N/A,FALSE,"Plan2"}</definedName>
    <definedName name="nfkhdjkthde" hidden="1">{#N/A,#N/A,FALSE,"Plan1";#N/A,#N/A,FALSE,"Plan2"}</definedName>
    <definedName name="nh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15" hidden="1">{#N/A,#N/A,FALSE,"Plan1";#N/A,#N/A,FALSE,"Plan2"}</definedName>
    <definedName name="NHJHFDSHF" hidden="1">{#N/A,#N/A,FALSE,"Plan1";#N/A,#N/A,FALSE,"Plan2"}</definedName>
    <definedName name="NJSDFHERTG" localSheetId="15" hidden="1">{#N/A,#N/A,FALSE,"Plan1";#N/A,#N/A,FALSE,"Plan2"}</definedName>
    <definedName name="NJSDFHERTG" hidden="1">{#N/A,#N/A,FALSE,"Plan1";#N/A,#N/A,FALSE,"Plan2"}</definedName>
    <definedName name="nkfnsskdn" localSheetId="15" hidden="1">{#N/A,#N/A,FALSE,"Plan1";#N/A,#N/A,FALSE,"Plan2"}</definedName>
    <definedName name="nkfnsskdn" hidden="1">{#N/A,#N/A,FALSE,"Plan1";#N/A,#N/A,FALSE,"Plan2"}</definedName>
    <definedName name="NKJL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aksjdwe" localSheetId="15" hidden="1">{#N/A,#N/A,FALSE,"Plan1";#N/A,#N/A,FALSE,"Plan2"}</definedName>
    <definedName name="nlaksjdwe" hidden="1">{#N/A,#N/A,FALSE,"Plan1";#N/A,#N/A,FALSE,"Plan2"}</definedName>
    <definedName name="nljsdfljfdsfr" localSheetId="15" hidden="1">{#N/A,#N/A,FALSE,"Plan1";#N/A,#N/A,FALSE,"Plan2"}</definedName>
    <definedName name="nljsdfljfdsfr" hidden="1">{#N/A,#N/A,FALSE,"Plan1";#N/A,#N/A,FALSE,"Plan2"}</definedName>
    <definedName name="nmjdfhxj" localSheetId="15" hidden="1">{#N/A,#N/A,FALSE,"Plan1";#N/A,#N/A,FALSE,"Plan2"}</definedName>
    <definedName name="nmjdfhxj" hidden="1">{#N/A,#N/A,FALSE,"Plan1";#N/A,#N/A,FALSE,"Plan2"}</definedName>
    <definedName name="nnmn" localSheetId="15" hidden="1">{#N/A,#N/A,FALSE,"Plan1";#N/A,#N/A,FALSE,"Plan2"}</definedName>
    <definedName name="nnmn" hidden="1">{#N/A,#N/A,FALSE,"Plan1";#N/A,#N/A,FALSE,"Plan2"}</definedName>
    <definedName name="nnn" localSheetId="15" hidden="1">{#N/A,#N/A,FALSE,"Plan1";#N/A,#N/A,FALSE,"Plan2"}</definedName>
    <definedName name="nnn" hidden="1">{#N/A,#N/A,FALSE,"$170M Cash";#N/A,#N/A,FALSE,"$250M Cash";#N/A,#N/A,FALSE,"$325M Cash"}</definedName>
    <definedName name="nnnnnnnnnnn" hidden="1">{"HW",#N/A,FALSE,"1998"}</definedName>
    <definedName name="NNNNNNNNNNNNNNN" localSheetId="15" hidden="1">{#N/A,#N/A,FALSE,"Plan1";#N/A,#N/A,FALSE,"Plan2"}</definedName>
    <definedName name="NNNNNNNNNNNNNNN" hidden="1">{#N/A,#N/A,FALSE,"Plan1";#N/A,#N/A,FALSE,"Plan2"}</definedName>
    <definedName name="nnnnnnnnnnnnnnnnnnnn" localSheetId="15" hidden="1">{#N/A,#N/A,FALSE,"Plan1";#N/A,#N/A,FALSE,"Plan2"}</definedName>
    <definedName name="nnnnnnnnnnnnnnnnnnnn" hidden="1">{#N/A,#N/A,FALSE,"Plan1";#N/A,#N/A,FALSE,"Plan2"}</definedName>
    <definedName name="NNXFT" localSheetId="15" hidden="1">{#N/A,#N/A,FALSE,"Plan1";#N/A,#N/A,FALSE,"Plan2"}</definedName>
    <definedName name="NNXFT" hidden="1">{#N/A,#N/A,FALSE,"Plan1";#N/A,#N/A,FALSE,"Plan2"}</definedName>
    <definedName name="nsdkfndgfdnatf" localSheetId="15" hidden="1">{#N/A,#N/A,FALSE,"Plan1";#N/A,#N/A,FALSE,"Plan2"}</definedName>
    <definedName name="nsdkfndgfdnatf" hidden="1">{#N/A,#N/A,FALSE,"Plan1";#N/A,#N/A,FALSE,"Plan2"}</definedName>
    <definedName name="nsfljdiljrf" localSheetId="15" hidden="1">{#N/A,#N/A,FALSE,"Plan1";#N/A,#N/A,FALSE,"Plan2"}</definedName>
    <definedName name="nsfljdiljrf" hidden="1">{#N/A,#N/A,FALSE,"Plan1";#N/A,#N/A,FALSE,"Plan2"}</definedName>
    <definedName name="nzxcnnjkd" localSheetId="15" hidden="1">{#N/A,#N/A,FALSE,"Plan1";#N/A,#N/A,FALSE,"Plan2"}</definedName>
    <definedName name="nzxcnnjkd" hidden="1">{#N/A,#N/A,FALSE,"Plan1";#N/A,#N/A,FALSE,"Plan2"}</definedName>
    <definedName name="odflgj" hidden="1">25</definedName>
    <definedName name="odfuudor" localSheetId="15" hidden="1">{#N/A,#N/A,FALSE,"Plan1";#N/A,#N/A,FALSE,"Plan2"}</definedName>
    <definedName name="odfuudor" hidden="1">{#N/A,#N/A,FALSE,"Plan1";#N/A,#N/A,FALSE,"Plan2"}</definedName>
    <definedName name="ODH" hidden="1">#REF!</definedName>
    <definedName name="oiditrot" localSheetId="15" hidden="1">{#N/A,#N/A,FALSE,"Plan1";#N/A,#N/A,FALSE,"Plan2"}</definedName>
    <definedName name="oiditrot" hidden="1">{#N/A,#N/A,FALSE,"Plan1";#N/A,#N/A,FALSE,"Plan2"}</definedName>
    <definedName name="oio" localSheetId="15" hidden="1">{#N/A,#N/A,FALSE,"Plan1";#N/A,#N/A,FALSE,"Plan2"}</definedName>
    <definedName name="oio" hidden="1">{#N/A,#N/A,FALSE,"Plan1";#N/A,#N/A,FALSE,"Plan2"}</definedName>
    <definedName name="oiufioorif" hidden="1">#REF!</definedName>
    <definedName name="OJÇLJ" localSheetId="15" hidden="1">{#N/A,#N/A,FALSE,"Plan1";#N/A,#N/A,FALSE,"Plan2"}</definedName>
    <definedName name="OJÇLJ" hidden="1">{#N/A,#N/A,FALSE,"Plan1";#N/A,#N/A,FALSE,"Plan2"}</definedName>
    <definedName name="ojkdfit" localSheetId="15" hidden="1">{#N/A,#N/A,FALSE,"Plan1";#N/A,#N/A,FALSE,"Plan2"}</definedName>
    <definedName name="ojkdfit" hidden="1">{#N/A,#N/A,FALSE,"Plan1";#N/A,#N/A,FALSE,"Plan2"}</definedName>
    <definedName name="oMISSOS" hidden="1">#REF!</definedName>
    <definedName name="ooo" localSheetId="15" hidden="1">{#N/A,#N/A,FALSE,"Plan1";#N/A,#N/A,FALSE,"Plan2"}</definedName>
    <definedName name="ooo" hidden="1">{#N/A,#N/A,FALSE,"Plan1";#N/A,#N/A,FALSE,"Plan2"}</definedName>
    <definedName name="OPASEDWED" localSheetId="15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iwre" localSheetId="15" hidden="1">{#N/A,#N/A,FALSE,"Plan1";#N/A,#N/A,FALSE,"Plan2"}</definedName>
    <definedName name="opiwre" hidden="1">{#N/A,#N/A,FALSE,"Plan1";#N/A,#N/A,FALSE,"Plan2"}</definedName>
    <definedName name="os" hidden="1">{#N/A,#N/A,FALSE,"TABLE"}</definedName>
    <definedName name="otodgkrjglsrd" localSheetId="15" hidden="1">{#N/A,#N/A,FALSE,"Plan1";#N/A,#N/A,FALSE,"Plan2"}</definedName>
    <definedName name="otodgkrjglsrd" hidden="1">{#N/A,#N/A,FALSE,"Plan1";#N/A,#N/A,FALSE,"Plan2"}</definedName>
    <definedName name="OUERWRSR" localSheetId="15" hidden="1">{#N/A,#N/A,FALSE,"Plan1";#N/A,#N/A,FALSE,"Plan2"}</definedName>
    <definedName name="OUERWRSR" hidden="1">{#N/A,#N/A,FALSE,"Plan1";#N/A,#N/A,FALSE,"Plan2"}</definedName>
    <definedName name="outro" localSheetId="15" hidden="1">#REF!</definedName>
    <definedName name="outro" hidden="1">#REF!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al_Workbook_GUID" hidden="1">"3HURD34M2XKWJ5V6M4BWCR5Q"</definedName>
    <definedName name="pçgktr" hidden="1">#REF!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tro2" hidden="1">#REF!</definedName>
    <definedName name="piaz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CAS" hidden="1">{#N/A,#N/A,TRUE,"Quinzena 01 à 15-04-98 "}</definedName>
    <definedName name="Placas_Areas" hidden="1">{#N/A,#N/A,TRUE,"Quinzena 01 à 15-04-98 "}</definedName>
    <definedName name="plan" hidden="1">#REF!</definedName>
    <definedName name="plan2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sçdeaw" localSheetId="15" hidden="1">{#N/A,#N/A,FALSE,"Plan1";#N/A,#N/A,FALSE,"Plan2"}</definedName>
    <definedName name="plasçdeaw" hidden="1">{#N/A,#N/A,FALSE,"Plan1";#N/A,#N/A,FALSE,"Plan2"}</definedName>
    <definedName name="plaslrswe" localSheetId="15" hidden="1">{#N/A,#N/A,FALSE,"Plan1";#N/A,#N/A,FALSE,"Plan2"}</definedName>
    <definedName name="plaslrswe" hidden="1">{#N/A,#N/A,FALSE,"Plan1";#N/A,#N/A,FALSE,"Plan2"}</definedName>
    <definedName name="pls" localSheetId="15" hidden="1">#REF!</definedName>
    <definedName name="pls" hidden="1">#REF!</definedName>
    <definedName name="plsearpef" localSheetId="15" hidden="1">{#N/A,#N/A,FALSE,"Plan1";#N/A,#N/A,FALSE,"Plan2"}</definedName>
    <definedName name="plsearpef" hidden="1">{#N/A,#N/A,FALSE,"Plan1";#N/A,#N/A,FALSE,"Plan2"}</definedName>
    <definedName name="plss" localSheetId="15" hidden="1">{#N/A,#N/A,FALSE,"Plan1";#N/A,#N/A,FALSE,"Plan2"}</definedName>
    <definedName name="plss" hidden="1">{#N/A,#N/A,FALSE,"Plan1";#N/A,#N/A,FALSE,"Plan2"}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int" hidden="1">{#N/A,#N/A,FALSE,"$170M Cash";#N/A,#N/A,FALSE,"$250M Cash";#N/A,#N/A,FALSE,"$325M Cash"}</definedName>
    <definedName name="ptirigyiotut" localSheetId="15" hidden="1">{#N/A,#N/A,FALSE,"Plan1";#N/A,#N/A,FALSE,"Plan2"}</definedName>
    <definedName name="ptirigyiotut" hidden="1">{#N/A,#N/A,FALSE,"Plan1";#N/A,#N/A,FALSE,"Plan2"}</definedName>
    <definedName name="PWER3" localSheetId="15" hidden="1">{#N/A,#N/A,FALSE,"Plan1";#N/A,#N/A,FALSE,"Plan2"}</definedName>
    <definedName name="PWER3" hidden="1">{#N/A,#N/A,FALSE,"Plan1";#N/A,#N/A,FALSE,"Plan2"}</definedName>
    <definedName name="q" hidden="1">#REF!</definedName>
    <definedName name="qkqh1" hidden="1">{#N/A,#N/A,FALSE,"명세표"}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QQQQQ" hidden="1">#REF!</definedName>
    <definedName name="QSQWSE" localSheetId="15" hidden="1">{#N/A,#N/A,FALSE,"Plan1";#N/A,#N/A,FALSE,"Plan2"}</definedName>
    <definedName name="QSQWSE" hidden="1">{#N/A,#N/A,FALSE,"Plan1";#N/A,#N/A,FALSE,"Plan2"}</definedName>
    <definedName name="qwdqw" hidden="1">{#N/A,#N/A,FALSE,"Plan1";#N/A,#N/A,FALSE,"Plan2"}</definedName>
    <definedName name="qweqwe" localSheetId="15" hidden="1">{#N/A,#N/A,FALSE,"Plan1";#N/A,#N/A,FALSE,"Plan2"}</definedName>
    <definedName name="qweqwe" hidden="1">{#N/A,#N/A,FALSE,"Plan1";#N/A,#N/A,FALSE,"Plan2"}</definedName>
    <definedName name="qweqwe4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15" hidden="1">#REF!</definedName>
    <definedName name="qwewqe" hidden="1">#REF!</definedName>
    <definedName name="qwqw" hidden="1">#REF!</definedName>
    <definedName name="RADIO" hidden="1">{"HW",#N/A,FALSE,"1998"}</definedName>
    <definedName name="RE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2" hidden="1">{#N/A,#N/A,TRUE,"Quinzena 01 à 15-04-98 "}</definedName>
    <definedName name="RF" hidden="1">{#N/A,#N/A,FALSE,"CCTV"}</definedName>
    <definedName name="rgedrfrgfdg" localSheetId="15" hidden="1">{#N/A,#N/A,FALSE,"Plan1";#N/A,#N/A,FALSE,"Plan2"}</definedName>
    <definedName name="rgedrfrgfdg" hidden="1">{#N/A,#N/A,FALSE,"Plan1";#N/A,#N/A,FALSE,"Plan2"}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" hidden="1">#REF!</definedName>
    <definedName name="rrrrr" hidden="1">{"'장비'!$A$3:$M$12"}</definedName>
    <definedName name="rrrrrrrr" hidden="1">{"'장비'!$A$3:$M$12"}</definedName>
    <definedName name="rrrrrrrrrrr" hidden="1">{#N/A,#N/A,TRUE,"Quinzena 01 à 15-04-98 "}</definedName>
    <definedName name="RTYE" hidden="1">{"'장비'!$A$3:$M$12"}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15" hidden="1">{#N/A,#N/A,FALSE,"Plan1";#N/A,#N/A,FALSE,"Plan2"}</definedName>
    <definedName name="sadasd" hidden="1">{#N/A,#N/A,FALSE,"Plan1";#N/A,#N/A,FALSE,"Plan2"}</definedName>
    <definedName name="sadke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15" hidden="1">{#N/A,#N/A,FALSE,"Plan1";#N/A,#N/A,FALSE,"Plan2"}</definedName>
    <definedName name="sadkrjkedft" hidden="1">{#N/A,#N/A,FALSE,"Plan1";#N/A,#N/A,FALSE,"Plan2"}</definedName>
    <definedName name="SADSRTR" localSheetId="15" hidden="1">{#N/A,#N/A,FALSE,"Plan1";#N/A,#N/A,FALSE,"Plan2"}</definedName>
    <definedName name="SADSRTR" hidden="1">{#N/A,#N/A,FALSE,"Plan1";#N/A,#N/A,FALSE,"Plan2"}</definedName>
    <definedName name="sadwde" localSheetId="15" hidden="1">{#N/A,#N/A,FALSE,"Plan1";#N/A,#N/A,FALSE,"Plan2"}</definedName>
    <definedName name="sadwde" hidden="1">{#N/A,#N/A,FALSE,"Plan1";#N/A,#N/A,FALSE,"Plan2"}</definedName>
    <definedName name="sanjay" hidden="1">{#N/A,#N/A,FALSE,"TABLE"}</definedName>
    <definedName name="SAPBEXrevision" hidden="1">14</definedName>
    <definedName name="SAPBEXsysID" hidden="1">"BW3"</definedName>
    <definedName name="SAPBEXwbID" hidden="1">"3SO04G3IWYENSZLK6QOKKYLB2"</definedName>
    <definedName name="SAS" localSheetId="15" hidden="1">{#N/A,#N/A,FALSE,"Plan1";#N/A,#N/A,FALSE,"Plan2"}</definedName>
    <definedName name="SAS" hidden="1">{#N/A,#N/A,FALSE,"Plan1";#N/A,#N/A,FALSE,"Plan2"}</definedName>
    <definedName name="sasads" localSheetId="15" hidden="1">{#N/A,#N/A,FALSE,"Plan1";#N/A,#N/A,FALSE,"Plan2"}</definedName>
    <definedName name="sasads" hidden="1">{#N/A,#N/A,FALSE,"Plan1";#N/A,#N/A,FALSE,"Plan2"}</definedName>
    <definedName name="SC" hidden="1">#REF!</definedName>
    <definedName name="sçadldfsfd" hidden="1">25</definedName>
    <definedName name="sda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15" hidden="1">{#N/A,#N/A,FALSE,"Plan1";#N/A,#N/A,FALSE,"Plan2"}</definedName>
    <definedName name="SDAOTGFR" hidden="1">{#N/A,#N/A,FALSE,"Plan1";#N/A,#N/A,FALSE,"Plan2"}</definedName>
    <definedName name="sdckd" localSheetId="15" hidden="1">{#N/A,#N/A,FALSE,"Plan1";#N/A,#N/A,FALSE,"Plan2"}</definedName>
    <definedName name="sdckd" hidden="1">{#N/A,#N/A,FALSE,"Plan1";#N/A,#N/A,FALSE,"Plan2"}</definedName>
    <definedName name="SDDFKSEDE" localSheetId="15" hidden="1">{#N/A,#N/A,FALSE,"Plan1";#N/A,#N/A,FALSE,"Plan2"}</definedName>
    <definedName name="SDDFKSEDE" hidden="1">{#N/A,#N/A,FALSE,"Plan1";#N/A,#N/A,FALSE,"Plan2"}</definedName>
    <definedName name="sddkslker" localSheetId="15" hidden="1">{#N/A,#N/A,FALSE,"Plan1";#N/A,#N/A,FALSE,"Plan2"}</definedName>
    <definedName name="sddkslker" hidden="1">{#N/A,#N/A,FALSE,"Plan1";#N/A,#N/A,FALSE,"Plan2"}</definedName>
    <definedName name="sdefr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15" hidden="1">#REF!</definedName>
    <definedName name="sdert" hidden="1">#REF!</definedName>
    <definedName name="sdf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15" hidden="1">{#N/A,#N/A,FALSE,"Plan1";#N/A,#N/A,FALSE,"Plan2"}</definedName>
    <definedName name="sdfdds" hidden="1">{#N/A,#N/A,FALSE,"Plan1";#N/A,#N/A,FALSE,"Plan2"}</definedName>
    <definedName name="sdfdfc" localSheetId="15" hidden="1">{#N/A,#N/A,FALSE,"Plan1";#N/A,#N/A,FALSE,"Plan2"}</definedName>
    <definedName name="sdfdfc" hidden="1">{#N/A,#N/A,FALSE,"Plan1";#N/A,#N/A,FALSE,"Plan2"}</definedName>
    <definedName name="sdfdf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15" hidden="1">{#N/A,#N/A,FALSE,"Plan1";#N/A,#N/A,FALSE,"Plan2"}</definedName>
    <definedName name="sdfdgft" hidden="1">{#N/A,#N/A,FALSE,"Plan1";#N/A,#N/A,FALSE,"Plan2"}</definedName>
    <definedName name="sdfdsf" localSheetId="15" hidden="1">{#N/A,#N/A,FALSE,"Plan1";#N/A,#N/A,FALSE,"Plan2"}</definedName>
    <definedName name="sdfdsf" hidden="1">{#N/A,#N/A,FALSE,"Plan1";#N/A,#N/A,FALSE,"Plan2"}</definedName>
    <definedName name="sdfdsf\da" localSheetId="15" hidden="1">{#N/A,#N/A,FALSE,"Plan1";#N/A,#N/A,FALSE,"Plan2"}</definedName>
    <definedName name="sdfdsf\da" hidden="1">{#N/A,#N/A,FALSE,"Plan1";#N/A,#N/A,FALSE,"Plan2"}</definedName>
    <definedName name="SDFEDRT" localSheetId="15" hidden="1">{#N/A,#N/A,FALSE,"Plan1";#N/A,#N/A,FALSE,"Plan2"}</definedName>
    <definedName name="SDFEDRT" hidden="1">{#N/A,#N/A,FALSE,"Plan1";#N/A,#N/A,FALSE,"Plan2"}</definedName>
    <definedName name="sdfer" localSheetId="15" hidden="1">{#N/A,#N/A,FALSE,"Plan1";#N/A,#N/A,FALSE,"Plan2"}</definedName>
    <definedName name="sdfer" hidden="1">{#N/A,#N/A,FALSE,"Plan1";#N/A,#N/A,FALSE,"Plan2"}</definedName>
    <definedName name="sdferr" localSheetId="15" hidden="1">{#N/A,#N/A,FALSE,"Plan1";#N/A,#N/A,FALSE,"Plan2"}</definedName>
    <definedName name="sdferr" hidden="1">{#N/A,#N/A,FALSE,"Plan1";#N/A,#N/A,FALSE,"Plan2"}</definedName>
    <definedName name="sdfe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15" hidden="1">{#N/A,#N/A,FALSE,"Plan1";#N/A,#N/A,FALSE,"Plan2"}</definedName>
    <definedName name="SDFGJFSRF" hidden="1">{#N/A,#N/A,FALSE,"Plan1";#N/A,#N/A,FALSE,"Plan2"}</definedName>
    <definedName name="sdfgtr" localSheetId="15" hidden="1">{#N/A,#N/A,FALSE,"Plan1";#N/A,#N/A,FALSE,"Plan2"}</definedName>
    <definedName name="sdfgtr" hidden="1">{#N/A,#N/A,FALSE,"Plan1";#N/A,#N/A,FALSE,"Plan2"}</definedName>
    <definedName name="sdfjdetrt" localSheetId="15" hidden="1">{#N/A,#N/A,FALSE,"Plan1";#N/A,#N/A,FALSE,"Plan2"}</definedName>
    <definedName name="sdfjdetrt" hidden="1">{#N/A,#N/A,FALSE,"Plan1";#N/A,#N/A,FALSE,"Plan2"}</definedName>
    <definedName name="SDFJDRTJEIDR" localSheetId="15" hidden="1">{#N/A,#N/A,FALSE,"Plan1";#N/A,#N/A,FALSE,"Plan2"}</definedName>
    <definedName name="SDFJDRTJEIDR" hidden="1">{#N/A,#N/A,FALSE,"Plan1";#N/A,#N/A,FALSE,"Plan2"}</definedName>
    <definedName name="sdfjergtij" localSheetId="15" hidden="1">{#N/A,#N/A,FALSE,"Plan1";#N/A,#N/A,FALSE,"Plan2"}</definedName>
    <definedName name="sdfjergtij" hidden="1">{#N/A,#N/A,FALSE,"Plan1";#N/A,#N/A,FALSE,"Plan2"}</definedName>
    <definedName name="SDFOPJKWE" localSheetId="15" hidden="1">{#N/A,#N/A,FALSE,"Plan1";#N/A,#N/A,FALSE,"Plan2"}</definedName>
    <definedName name="SDFOPJKWE" hidden="1">{#N/A,#N/A,FALSE,"Plan1";#N/A,#N/A,FALSE,"Plan2"}</definedName>
    <definedName name="sdfrdt5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15" hidden="1">{#N/A,#N/A,FALSE,"Plan1";#N/A,#N/A,FALSE,"Plan2"}</definedName>
    <definedName name="sdfrt" hidden="1">{#N/A,#N/A,FALSE,"Plan1";#N/A,#N/A,FALSE,"Plan2"}</definedName>
    <definedName name="SDFRTKK" localSheetId="15" hidden="1">{#N/A,#N/A,FALSE,"Plan1";#N/A,#N/A,FALSE,"Plan2"}</definedName>
    <definedName name="SDFRTKK" hidden="1">{#N/A,#N/A,FALSE,"Plan1";#N/A,#N/A,FALSE,"Plan2"}</definedName>
    <definedName name="SDFRTR" localSheetId="15" hidden="1">{#N/A,#N/A,FALSE,"Plan1";#N/A,#N/A,FALSE,"Plan2"}</definedName>
    <definedName name="SDFRTR" hidden="1">{#N/A,#N/A,FALSE,"Plan1";#N/A,#N/A,FALSE,"Plan2"}</definedName>
    <definedName name="sdfry6" localSheetId="15" hidden="1">{#N/A,#N/A,FALSE,"Plan1";#N/A,#N/A,FALSE,"Plan2"}</definedName>
    <definedName name="sdfry6" hidden="1">{#N/A,#N/A,FALSE,"Plan1";#N/A,#N/A,FALSE,"Plan2"}</definedName>
    <definedName name="sdfsaf" localSheetId="15" hidden="1">{#N/A,#N/A,FALSE,"Plan1";#N/A,#N/A,FALSE,"Plan2"}</definedName>
    <definedName name="sdfsaf" hidden="1">{#N/A,#N/A,FALSE,"Plan1";#N/A,#N/A,FALSE,"Plan2"}</definedName>
    <definedName name="sdfsd" hidden="1">{"'Estimativa de Lançamento-JAN'!$A$1:$AI$85"}</definedName>
    <definedName name="sdfsdfg" localSheetId="15" hidden="1">{#N/A,#N/A,FALSE,"Plan1";#N/A,#N/A,FALSE,"Plan2"}</definedName>
    <definedName name="sdfsdfg" hidden="1">{#N/A,#N/A,FALSE,"Plan1";#N/A,#N/A,FALSE,"Plan2"}</definedName>
    <definedName name="SDFSDFK" localSheetId="15" hidden="1">{#N/A,#N/A,FALSE,"Plan1";#N/A,#N/A,FALSE,"Plan2"}</definedName>
    <definedName name="SDFSDFK" hidden="1">{#N/A,#N/A,FALSE,"Plan1";#N/A,#N/A,FALSE,"Plan2"}</definedName>
    <definedName name="sdfsdgftret" localSheetId="15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15" hidden="1">{#N/A,#N/A,FALSE,"Plan1";#N/A,#N/A,FALSE,"Plan2"}</definedName>
    <definedName name="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RT" localSheetId="15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15" hidden="1">{#N/A,#N/A,FALSE,"Plan1";#N/A,#N/A,FALSE,"Plan2"}</definedName>
    <definedName name="sdfsr" hidden="1">{#N/A,#N/A,FALSE,"Plan1";#N/A,#N/A,FALSE,"Plan2"}</definedName>
    <definedName name="sdfty" localSheetId="15" hidden="1">{#N/A,#N/A,FALSE,"Plan1";#N/A,#N/A,FALSE,"Plan2"}</definedName>
    <definedName name="sdfty" hidden="1">{#N/A,#N/A,FALSE,"Plan1";#N/A,#N/A,FALSE,"Plan2"}</definedName>
    <definedName name="sdgdf" localSheetId="15" hidden="1">{#N/A,#N/A,FALSE,"Plan1";#N/A,#N/A,FALSE,"Plan2"}</definedName>
    <definedName name="sdgdf" hidden="1">{#N/A,#N/A,FALSE,"Plan1";#N/A,#N/A,FALSE,"Plan2"}</definedName>
    <definedName name="sdgfrt" localSheetId="15" hidden="1">{#N/A,#N/A,FALSE,"Plan1";#N/A,#N/A,FALSE,"Plan2"}</definedName>
    <definedName name="sdgfrt" hidden="1">{#N/A,#N/A,FALSE,"Plan1";#N/A,#N/A,FALSE,"Plan2"}</definedName>
    <definedName name="sdgft" localSheetId="15" hidden="1">{#N/A,#N/A,FALSE,"Plan1";#N/A,#N/A,FALSE,"Plan2"}</definedName>
    <definedName name="sdgft" hidden="1">{#N/A,#N/A,FALSE,"Plan1";#N/A,#N/A,FALSE,"Plan2"}</definedName>
    <definedName name="sdgt" localSheetId="15" hidden="1">{#N/A,#N/A,FALSE,"Plan1";#N/A,#N/A,FALSE,"Plan2"}</definedName>
    <definedName name="sdgt" hidden="1">{#N/A,#N/A,FALSE,"Plan1";#N/A,#N/A,FALSE,"Plan2"}</definedName>
    <definedName name="sdgtry" localSheetId="15" hidden="1">#REF!</definedName>
    <definedName name="sdgtry" hidden="1">#REF!</definedName>
    <definedName name="sdhfghdsfg" localSheetId="15" hidden="1">{#N/A,#N/A,FALSE,"Plan1";#N/A,#N/A,FALSE,"Plan2"}</definedName>
    <definedName name="sdhfghdsfg" hidden="1">{#N/A,#N/A,FALSE,"Plan1";#N/A,#N/A,FALSE,"Plan2"}</definedName>
    <definedName name="SDHFJKHDFJRE" localSheetId="15" hidden="1">{#N/A,#N/A,FALSE,"Plan1";#N/A,#N/A,FALSE,"Plan2"}</definedName>
    <definedName name="SDHFJKHDFJRE" hidden="1">{#N/A,#N/A,FALSE,"Plan1";#N/A,#N/A,FALSE,"Plan2"}</definedName>
    <definedName name="SDHKFDRKGTR" localSheetId="15" hidden="1">{#N/A,#N/A,FALSE,"Plan1";#N/A,#N/A,FALSE,"Plan2"}</definedName>
    <definedName name="SDHKFDRKGTR" hidden="1">{#N/A,#N/A,FALSE,"Plan1";#N/A,#N/A,FALSE,"Plan2"}</definedName>
    <definedName name="sdjdswger" localSheetId="15" hidden="1">{#N/A,#N/A,FALSE,"Plan1";#N/A,#N/A,FALSE,"Plan2"}</definedName>
    <definedName name="sdjdswger" hidden="1">{#N/A,#N/A,FALSE,"Plan1";#N/A,#N/A,FALSE,"Plan2"}</definedName>
    <definedName name="sdjfdf" localSheetId="15" hidden="1">{#N/A,#N/A,FALSE,"Plan1";#N/A,#N/A,FALSE,"Plan2"}</definedName>
    <definedName name="sdjfdf" hidden="1">{#N/A,#N/A,FALSE,"Plan1";#N/A,#N/A,FALSE,"Plan2"}</definedName>
    <definedName name="sdjfhdjk" localSheetId="15" hidden="1">{#N/A,#N/A,FALSE,"Plan1";#N/A,#N/A,FALSE,"Plan2"}</definedName>
    <definedName name="sdjfhdjk" hidden="1">{#N/A,#N/A,FALSE,"Plan1";#N/A,#N/A,FALSE,"Plan2"}</definedName>
    <definedName name="SDJFJDER" localSheetId="15" hidden="1">{#N/A,#N/A,FALSE,"Plan1";#N/A,#N/A,FALSE,"Plan2"}</definedName>
    <definedName name="SDJFJDER" hidden="1">{#N/A,#N/A,FALSE,"Plan1";#N/A,#N/A,FALSE,"Plan2"}</definedName>
    <definedName name="sdjflsdjfl" localSheetId="15" hidden="1">{#N/A,#N/A,FALSE,"Plan1";#N/A,#N/A,FALSE,"Plan2"}</definedName>
    <definedName name="sdjflsdjfl" hidden="1">{#N/A,#N/A,FALSE,"Plan1";#N/A,#N/A,FALSE,"Plan2"}</definedName>
    <definedName name="SDJHF" localSheetId="15" hidden="1">{#N/A,#N/A,FALSE,"Plan1";#N/A,#N/A,FALSE,"Plan2"}</definedName>
    <definedName name="SDJHF" hidden="1">{#N/A,#N/A,FALSE,"Plan1";#N/A,#N/A,FALSE,"Plan2"}</definedName>
    <definedName name="sdjrderertrr" localSheetId="15" hidden="1">{#N/A,#N/A,FALSE,"Plan1";#N/A,#N/A,FALSE,"Plan2"}</definedName>
    <definedName name="sdjrderertrr" hidden="1">{#N/A,#N/A,FALSE,"Plan1";#N/A,#N/A,FALSE,"Plan2"}</definedName>
    <definedName name="sdkdjk" localSheetId="15" hidden="1">{#N/A,#N/A,FALSE,"Plan1";#N/A,#N/A,FALSE,"Plan2"}</definedName>
    <definedName name="sdkdjk" hidden="1">{#N/A,#N/A,FALSE,"Plan1";#N/A,#N/A,FALSE,"Plan2"}</definedName>
    <definedName name="sdkfjhkdgfhk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15" hidden="1">{#N/A,#N/A,FALSE,"Plan1";#N/A,#N/A,FALSE,"Plan2"}</definedName>
    <definedName name="sdkfnjd" hidden="1">{#N/A,#N/A,FALSE,"Plan1";#N/A,#N/A,FALSE,"Plan2"}</definedName>
    <definedName name="sdkk" localSheetId="15" hidden="1">{#N/A,#N/A,FALSE,"Plan1";#N/A,#N/A,FALSE,"Plan2"}</definedName>
    <definedName name="sdkk" hidden="1">{#N/A,#N/A,FALSE,"Plan1";#N/A,#N/A,FALSE,"Plan2"}</definedName>
    <definedName name="sdlfsdflj" localSheetId="15" hidden="1">{#N/A,#N/A,FALSE,"Plan1";#N/A,#N/A,FALSE,"Plan2"}</definedName>
    <definedName name="sdlfsdflj" hidden="1">{#N/A,#N/A,FALSE,"Plan1";#N/A,#N/A,FALSE,"Plan2"}</definedName>
    <definedName name="sdmfmdfsgfd" localSheetId="15" hidden="1">{#N/A,#N/A,FALSE,"Plan1";#N/A,#N/A,FALSE,"Plan2"}</definedName>
    <definedName name="sdmfmdfsgfd" hidden="1">{#N/A,#N/A,FALSE,"Plan1";#N/A,#N/A,FALSE,"Plan2"}</definedName>
    <definedName name="sd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15" hidden="1">{#N/A,#N/A,FALSE,"Plan1";#N/A,#N/A,FALSE,"Plan2"}</definedName>
    <definedName name="sdrfgt" hidden="1">{#N/A,#N/A,FALSE,"Plan1";#N/A,#N/A,FALSE,"Plan2"}</definedName>
    <definedName name="sdsd" localSheetId="15" hidden="1">{#N/A,#N/A,FALSE,"Plan1";#N/A,#N/A,FALSE,"Plan2"}</definedName>
    <definedName name="sdsd" hidden="1">{#N/A,#N/A,FALSE,"Plan1";#N/A,#N/A,FALSE,"Plan2"}</definedName>
    <definedName name="sdser" localSheetId="15" hidden="1">{#N/A,#N/A,FALSE,"Plan1";#N/A,#N/A,FALSE,"Plan2"}</definedName>
    <definedName name="sdser" hidden="1">{#N/A,#N/A,FALSE,"Plan1";#N/A,#N/A,FALSE,"Plan2"}</definedName>
    <definedName name="sdsre" localSheetId="15" hidden="1">{#N/A,#N/A,FALSE,"Plan1";#N/A,#N/A,FALSE,"Plan2"}</definedName>
    <definedName name="sdsre" hidden="1">{#N/A,#N/A,FALSE,"Plan1";#N/A,#N/A,FALSE,"Plan2"}</definedName>
    <definedName name="sdss" localSheetId="15" hidden="1">{#N/A,#N/A,FALSE,"Plan1";#N/A,#N/A,FALSE,"Plan2"}</definedName>
    <definedName name="sdss" hidden="1">{#N/A,#N/A,FALSE,"Plan1";#N/A,#N/A,FALSE,"Plan2"}</definedName>
    <definedName name="sdtrtg" localSheetId="15" hidden="1">#REF!</definedName>
    <definedName name="sdtrtg" hidden="1">#REF!</definedName>
    <definedName name="sdusi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15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15" hidden="1">{#N/A,#N/A,FALSE,"Plan1";#N/A,#N/A,FALSE,"Plan2"}</definedName>
    <definedName name="sdxfrt" hidden="1">{#N/A,#N/A,FALSE,"Plan1";#N/A,#N/A,FALSE,"Plan2"}</definedName>
    <definedName name="SDZFERF" localSheetId="15" hidden="1">{#N/A,#N/A,FALSE,"Plan1";#N/A,#N/A,FALSE,"Plan2"}</definedName>
    <definedName name="SDZFERF" hidden="1">{#N/A,#N/A,FALSE,"Plan1";#N/A,#N/A,FALSE,"Plan2"}</definedName>
    <definedName name="sefret4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ftru" localSheetId="15" hidden="1">{#N/A,#N/A,FALSE,"Plan1";#N/A,#N/A,FALSE,"Plan2"}</definedName>
    <definedName name="segftru" hidden="1">{#N/A,#N/A,FALSE,"Plan1";#N/A,#N/A,FALSE,"Plan2"}</definedName>
    <definedName name="sencount" hidden="1">1</definedName>
    <definedName name="SEREWRSWE" localSheetId="15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f" localSheetId="15" hidden="1">{#N/A,#N/A,FALSE,"Plan1";#N/A,#N/A,FALSE,"Plan2"}</definedName>
    <definedName name="sf" hidden="1">{#N/A,#N/A,FALSE,"Plan1";#N/A,#N/A,FALSE,"Plan2"}</definedName>
    <definedName name="sfcre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15" hidden="1">{#N/A,#N/A,FALSE,"Plan1";#N/A,#N/A,FALSE,"Plan2"}</definedName>
    <definedName name="sfddfd" hidden="1">{#N/A,#N/A,FALSE,"Plan1";#N/A,#N/A,FALSE,"Plan2"}</definedName>
    <definedName name="sfds" localSheetId="15" hidden="1">{#N/A,#N/A,FALSE,"Plan1";#N/A,#N/A,FALSE,"Plan2"}</definedName>
    <definedName name="sfds" hidden="1">{#N/A,#N/A,FALSE,"Plan1";#N/A,#N/A,FALSE,"Plan2"}</definedName>
    <definedName name="sfdsd" localSheetId="15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15" hidden="1">{#N/A,#N/A,FALSE,"Plan1";#N/A,#N/A,FALSE,"Plan2"}</definedName>
    <definedName name="sfrsdrgt" hidden="1">{#N/A,#N/A,FALSE,"Plan1";#N/A,#N/A,FALSE,"Plan2"}</definedName>
    <definedName name="SFRT" localSheetId="15" hidden="1">{#N/A,#N/A,FALSE,"Plan1";#N/A,#N/A,FALSE,"Plan2"}</definedName>
    <definedName name="SFRT" hidden="1">{#N/A,#N/A,FALSE,"Plan1";#N/A,#N/A,FALSE,"Plan2"}</definedName>
    <definedName name="sfsdferf" localSheetId="15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15" hidden="1">{#N/A,#N/A,FALSE,"Plan1";#N/A,#N/A,FALSE,"Plan2"}</definedName>
    <definedName name="SFSDS" hidden="1">{#N/A,#N/A,FALSE,"Plan1";#N/A,#N/A,FALSE,"Plan2"}</definedName>
    <definedName name="sgtghty" localSheetId="15" hidden="1">{#N/A,#N/A,FALSE,"Plan1";#N/A,#N/A,FALSE,"Plan2"}</definedName>
    <definedName name="sgtghty" hidden="1">{#N/A,#N/A,FALSE,"Plan1";#N/A,#N/A,FALSE,"Plan2"}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jawe" localSheetId="15" hidden="1">{#N/A,#N/A,FALSE,"Plan1";#N/A,#N/A,FALSE,"Plan2"}</definedName>
    <definedName name="sjawe" hidden="1">{#N/A,#N/A,FALSE,"Plan1";#N/A,#N/A,FALSE,"Plan2"}</definedName>
    <definedName name="sjdffd" localSheetId="15" hidden="1">{#N/A,#N/A,FALSE,"Plan1";#N/A,#N/A,FALSE,"Plan2"}</definedName>
    <definedName name="sjdffd" hidden="1">{#N/A,#N/A,FALSE,"Plan1";#N/A,#N/A,FALSE,"Plan2"}</definedName>
    <definedName name="SJDFHDJS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15" hidden="1">{#N/A,#N/A,FALSE,"Plan1";#N/A,#N/A,FALSE,"Plan2"}</definedName>
    <definedName name="SJDHFHRE" hidden="1">{#N/A,#N/A,FALSE,"Plan1";#N/A,#N/A,FALSE,"Plan2"}</definedName>
    <definedName name="SJDKJDE" localSheetId="15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15" hidden="1">{#N/A,#N/A,FALSE,"Plan1";#N/A,#N/A,FALSE,"Plan2"}</definedName>
    <definedName name="sjekwjri" hidden="1">{#N/A,#N/A,FALSE,"Plan1";#N/A,#N/A,FALSE,"Plan2"}</definedName>
    <definedName name="sjfkdhsfds" localSheetId="15" hidden="1">{#N/A,#N/A,FALSE,"Plan1";#N/A,#N/A,FALSE,"Plan2"}</definedName>
    <definedName name="sjfkdhsfds" hidden="1">{#N/A,#N/A,FALSE,"Plan1";#N/A,#N/A,FALSE,"Plan2"}</definedName>
    <definedName name="sjkdljslkrje" localSheetId="15" hidden="1">{#N/A,#N/A,FALSE,"Plan1";#N/A,#N/A,FALSE,"Plan2"}</definedName>
    <definedName name="sjkdljslkrje" hidden="1">{#N/A,#N/A,FALSE,"Plan1";#N/A,#N/A,FALSE,"Plan2"}</definedName>
    <definedName name="skadadaszs" localSheetId="15" hidden="1">{#N/A,#N/A,FALSE,"Plan1";#N/A,#N/A,FALSE,"Plan2"}</definedName>
    <definedName name="skadadaszs" hidden="1">{#N/A,#N/A,FALSE,"Plan1";#N/A,#N/A,FALSE,"Plan2"}</definedName>
    <definedName name="SKASH" localSheetId="15" hidden="1">{#N/A,#N/A,FALSE,"Plan1";#N/A,#N/A,FALSE,"Plan2"}</definedName>
    <definedName name="SKASH" hidden="1">{#N/A,#N/A,FALSE,"Plan1";#N/A,#N/A,FALSE,"Plan2"}</definedName>
    <definedName name="skldfrde" localSheetId="15" hidden="1">{#N/A,#N/A,FALSE,"Plan1";#N/A,#N/A,FALSE,"Plan2"}</definedName>
    <definedName name="skldfrde" hidden="1">{#N/A,#N/A,FALSE,"Plan1";#N/A,#N/A,FALSE,"Plan2"}</definedName>
    <definedName name="skosroer" localSheetId="15" hidden="1">{#N/A,#N/A,FALSE,"Plan1";#N/A,#N/A,FALSE,"Plan2"}</definedName>
    <definedName name="skosroer" hidden="1">{#N/A,#N/A,FALSE,"Plan1";#N/A,#N/A,FALSE,"Plan2"}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15" hidden="1">{#N/A,#N/A,FALSE,"Plan1";#N/A,#N/A,FALSE,"Plan2"}</definedName>
    <definedName name="sQEWWE" hidden="1">{#N/A,#N/A,FALSE,"Plan1";#N/A,#N/A,FALSE,"Plan2"}</definedName>
    <definedName name="SR" hidden="1">#REF!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#REF!</definedName>
    <definedName name="sssss" hidden="1">#REF!</definedName>
    <definedName name="status_projeto" hidden="1">OFFSET(INDEX(#REF!,MATCH(#REF!,#REF!,0)),1,0,COUNTA(#REF!)-1)</definedName>
    <definedName name="summ" hidden="1">#REF!</definedName>
    <definedName name="Swvu.Características." hidden="1">#REF!</definedName>
    <definedName name="Swvu.Ciclos." hidden="1">#REF!</definedName>
    <definedName name="Swvu.Custos." hidden="1">#REF!</definedName>
    <definedName name="Swvu.PLANILHA2." hidden="1">#REF!</definedName>
    <definedName name="Swvu.Recursos." hidden="1">#REF!</definedName>
    <definedName name="tab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est" hidden="1">{"'Edit'!$A$1:$V$2277"}</definedName>
    <definedName name="TESTANDO" hidden="1">{#N/A,#N/A,TRUE,"Quinzena 01 à 15-04-98 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jgsergsr" localSheetId="15" hidden="1">{#N/A,#N/A,FALSE,"Plan1";#N/A,#N/A,FALSE,"Plan2"}</definedName>
    <definedName name="thjgsergsr" hidden="1">{#N/A,#N/A,FALSE,"Plan1";#N/A,#N/A,FALSE,"Plan2"}</definedName>
    <definedName name="THYJ" localSheetId="15" hidden="1">{#N/A,#N/A,FALSE,"Plan1";#N/A,#N/A,FALSE,"Plan2"}</definedName>
    <definedName name="THYJ" hidden="1">{#N/A,#N/A,FALSE,"Plan1";#N/A,#N/A,FALSE,"Plan2"}</definedName>
    <definedName name="tihjgih" localSheetId="15" hidden="1">{#N/A,#N/A,FALSE,"Plan1";#N/A,#N/A,FALSE,"Plan2"}</definedName>
    <definedName name="tihjgih" hidden="1">{#N/A,#N/A,FALSE,"Plan1";#N/A,#N/A,FALSE,"Plan2"}</definedName>
    <definedName name="trjyidih" localSheetId="15" hidden="1">{#N/A,#N/A,FALSE,"Plan1";#N/A,#N/A,FALSE,"Plan2"}</definedName>
    <definedName name="trjyidih" hidden="1">{#N/A,#N/A,FALSE,"Plan1";#N/A,#N/A,FALSE,"Plan2"}</definedName>
    <definedName name="tuyedjsksj" localSheetId="15" hidden="1">{#N/A,#N/A,FALSE,"Plan1";#N/A,#N/A,FALSE,"Plan2"}</definedName>
    <definedName name="tuyedjsksj" hidden="1">{#N/A,#N/A,FALSE,"Plan1";#N/A,#N/A,FALSE,"Plan2"}</definedName>
    <definedName name="TYHGFHFHG" localSheetId="15" hidden="1">{#N/A,#N/A,FALSE,"Plan1";#N/A,#N/A,FALSE,"Plan2"}</definedName>
    <definedName name="TYHGFHFHG" hidden="1">{#N/A,#N/A,FALSE,"Plan1";#N/A,#N/A,FALSE,"Plan2"}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15" hidden="1">{#N/A,#N/A,FALSE,"Plan1";#N/A,#N/A,FALSE,"Plan2"}</definedName>
    <definedName name="udhgfhfg" hidden="1">{#N/A,#N/A,FALSE,"Plan1";#N/A,#N/A,FALSE,"Plan2"}</definedName>
    <definedName name="ueiutriuef" localSheetId="15" hidden="1">{#N/A,#N/A,FALSE,"Plan1";#N/A,#N/A,FALSE,"Plan2"}</definedName>
    <definedName name="ueiutriuef" hidden="1">{#N/A,#N/A,FALSE,"Plan1";#N/A,#N/A,FALSE,"Plan2"}</definedName>
    <definedName name="UHGSDUS" localSheetId="15" hidden="1">{#N/A,#N/A,FALSE,"Plan1";#N/A,#N/A,FALSE,"Plan2"}</definedName>
    <definedName name="UHGSDUS" hidden="1">{#N/A,#N/A,FALSE,"Plan1";#N/A,#N/A,FALSE,"Plan2"}</definedName>
    <definedName name="UI" hidden="1">#REF!</definedName>
    <definedName name="UIHWER45R" localSheetId="15" hidden="1">{#N/A,#N/A,FALSE,"Plan1";#N/A,#N/A,FALSE,"Plan2"}</definedName>
    <definedName name="UIHWER45R" hidden="1">{#N/A,#N/A,FALSE,"Plan1";#N/A,#N/A,FALSE,"Plan2"}</definedName>
    <definedName name="uiosderuiu" localSheetId="15" hidden="1">{#N/A,#N/A,FALSE,"Plan1";#N/A,#N/A,FALSE,"Plan2"}</definedName>
    <definedName name="uiosderuiu" hidden="1">{#N/A,#N/A,FALSE,"Plan1";#N/A,#N/A,FALSE,"Plan2"}</definedName>
    <definedName name="UIOURET" localSheetId="15" hidden="1">{#N/A,#N/A,FALSE,"Plan1";#N/A,#N/A,FALSE,"Plan2"}</definedName>
    <definedName name="UIOURET" hidden="1">{#N/A,#N/A,FALSE,"Plan1";#N/A,#N/A,FALSE,"Plan2"}</definedName>
    <definedName name="uiwuer" localSheetId="15" hidden="1">{#N/A,#N/A,FALSE,"Plan1";#N/A,#N/A,FALSE,"Plan2"}</definedName>
    <definedName name="uiwuer" hidden="1">{#N/A,#N/A,FALSE,"Plan1";#N/A,#N/A,FALSE,"Plan2"}</definedName>
    <definedName name="UKHDFDSGUDFKD" localSheetId="15" hidden="1">{#N/A,#N/A,FALSE,"Plan1";#N/A,#N/A,FALSE,"Plan2"}</definedName>
    <definedName name="UKHDFDSGUDFKD" hidden="1">{#N/A,#N/A,FALSE,"Plan1";#N/A,#N/A,FALSE,"Plan2"}</definedName>
    <definedName name="um" hidden="1">0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15" hidden="1">{#N/A,#N/A,FALSE,"Plan1";#N/A,#N/A,FALSE,"Plan2"}</definedName>
    <definedName name="uryrtyt" hidden="1">{#N/A,#N/A,FALSE,"Plan1";#N/A,#N/A,FALSE,"Plan2"}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dsgfrhgfr" localSheetId="15" hidden="1">{#N/A,#N/A,FALSE,"Plan1";#N/A,#N/A,FALSE,"Plan2"}</definedName>
    <definedName name="vdsgfrhgfr" hidden="1">{#N/A,#N/A,FALSE,"Plan1";#N/A,#N/A,FALSE,"Plan2"}</definedName>
    <definedName name="VERIFICAR" hidden="1">{#N/A,#N/A,TRUE,"Quinzena 01 à 15-04-98 "}</definedName>
    <definedName name="vfnijfd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15" hidden="1">{#N/A,#N/A,FALSE,"Plan1";#N/A,#N/A,FALSE,"Plan2"}</definedName>
    <definedName name="VFV" hidden="1">{#N/A,#N/A,FALSE,"Plan1";#N/A,#N/A,FALSE,"Plan2"}</definedName>
    <definedName name="vld_classificacao" localSheetId="7" hidden="1">IF(#REF!="Ativa",OFFSET(INDEX(rng_list_classificacao,MATCH(#REF!,rng_list_classificacao,0)),1,0,COUNTA(rng_list_classificacao)-1),#REF!)</definedName>
    <definedName name="vld_classificacao" localSheetId="13" hidden="1">IF(#REF!="Ativa",OFFSET(INDEX(rng_list_classificacao,MATCH(#REF!,rng_list_classificacao,0)),1,0,COUNTA(rng_list_classificacao)-1),#REF!)</definedName>
    <definedName name="vld_classificacao" localSheetId="8" hidden="1">IF(#REF!="Ativa",OFFSET(INDEX(rng_list_classificacao,MATCH(#REF!,rng_list_classificacao,0)),1,0,COUNTA(rng_list_classificacao)-1),#REF!)</definedName>
    <definedName name="vld_classificacao" localSheetId="12" hidden="1">IF(#REF!="Ativa",OFFSET(INDEX(rng_list_classificacao,MATCH(#REF!,rng_list_classificacao,0)),1,0,COUNTA(rng_list_classificacao)-1),#REF!)</definedName>
    <definedName name="vld_classificacao" localSheetId="15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7" hidden="1">OFFSET(INDEX(rng_list_regional,MATCH(#REF!,rng_list_regional,0)),1,0,COUNTA(rng_list_regional)-1)</definedName>
    <definedName name="vld_regional" localSheetId="13" hidden="1">OFFSET(INDEX(rng_list_regional,MATCH(#REF!,rng_list_regional,0)),1,0,COUNTA(rng_list_regional)-1)</definedName>
    <definedName name="vld_regional" localSheetId="8" hidden="1">OFFSET(INDEX(rng_list_regional,MATCH(#REF!,rng_list_regional,0)),1,0,COUNTA(rng_list_regional)-1)</definedName>
    <definedName name="vld_regional" localSheetId="12" hidden="1">OFFSET(INDEX(rng_list_regional,MATCH(#REF!,rng_list_regional,0)),1,0,COUNTA(rng_list_regional)-1)</definedName>
    <definedName name="vld_regional" localSheetId="15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7" hidden="1">IF(#REF!="Ativa",OFFSET(INDEX(rng_list_segmento,MATCH(#REF!,rng_list_segmento,0)),1,0,COUNTA(rng_list_segmento)-1),#REF!)</definedName>
    <definedName name="vld_segmento" localSheetId="13" hidden="1">IF(#REF!="Ativa",OFFSET(INDEX(rng_list_segmento,MATCH(#REF!,rng_list_segmento,0)),1,0,COUNTA(rng_list_segmento)-1),#REF!)</definedName>
    <definedName name="vld_segmento" localSheetId="8" hidden="1">IF(#REF!="Ativa",OFFSET(INDEX(rng_list_segmento,MATCH(#REF!,rng_list_segmento,0)),1,0,COUNTA(rng_list_segmento)-1),#REF!)</definedName>
    <definedName name="vld_segmento" localSheetId="12" hidden="1">IF(#REF!="Ativa",OFFSET(INDEX(rng_list_segmento,MATCH(#REF!,rng_list_segmento,0)),1,0,COUNTA(rng_list_segmento)-1),#REF!)</definedName>
    <definedName name="vld_segmento" localSheetId="15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7" hidden="1">OFFSET(INDEX(rng_list_sociedade,MATCH(#REF!,rng_list_sociedade,0)),1,0,COUNTA(rng_list_sociedade)-1)</definedName>
    <definedName name="vld_sociedade" localSheetId="13" hidden="1">OFFSET(INDEX(rng_list_sociedade,MATCH(#REF!,rng_list_sociedade,0)),1,0,COUNTA(rng_list_sociedade)-1)</definedName>
    <definedName name="vld_sociedade" localSheetId="8" hidden="1">OFFSET(INDEX(rng_list_sociedade,MATCH(#REF!,rng_list_sociedade,0)),1,0,COUNTA(rng_list_sociedade)-1)</definedName>
    <definedName name="vld_sociedade" localSheetId="12" hidden="1">OFFSET(INDEX(rng_list_sociedade,MATCH(#REF!,rng_list_sociedade,0)),1,0,COUNTA(rng_list_sociedade)-1)</definedName>
    <definedName name="vld_sociedade" localSheetId="15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7" hidden="1">OFFSET(INDEX(rng_list_status_empresa,MATCH(#REF!,rng_list_status_empresa,0)),1,0,COUNTA(rng_list_status_empresa)-1)</definedName>
    <definedName name="vld_status_empresa" localSheetId="13" hidden="1">OFFSET(INDEX(rng_list_status_empresa,MATCH(#REF!,rng_list_status_empresa,0)),1,0,COUNTA(rng_list_status_empresa)-1)</definedName>
    <definedName name="vld_status_empresa" localSheetId="8" hidden="1">OFFSET(INDEX(rng_list_status_empresa,MATCH(#REF!,rng_list_status_empresa,0)),1,0,COUNTA(rng_list_status_empresa)-1)</definedName>
    <definedName name="vld_status_empresa" localSheetId="12" hidden="1">OFFSET(INDEX(rng_list_status_empresa,MATCH(#REF!,rng_list_status_empresa,0)),1,0,COUNTA(rng_list_status_empresa)-1)</definedName>
    <definedName name="vld_status_empresa" localSheetId="15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7" hidden="1">IF(#REF!="Ativa",OFFSET(INDEX(rng_list_status_lancamento,MATCH(#REF!,rng_list_status_lancamento,0)),1,0,COUNTA(rng_list_status_lancamento)-1),#REF!)</definedName>
    <definedName name="vld_status_lancamento" localSheetId="13" hidden="1">IF(#REF!="Ativa",OFFSET(INDEX(rng_list_status_lancamento,MATCH(#REF!,rng_list_status_lancamento,0)),1,0,COUNTA(rng_list_status_lancamento)-1),#REF!)</definedName>
    <definedName name="vld_status_lancamento" localSheetId="8" hidden="1">IF(#REF!="Ativa",OFFSET(INDEX(rng_list_status_lancamento,MATCH(#REF!,rng_list_status_lancamento,0)),1,0,COUNTA(rng_list_status_lancamento)-1),#REF!)</definedName>
    <definedName name="vld_status_lancamento" localSheetId="12" hidden="1">IF(#REF!="Ativa",OFFSET(INDEX(rng_list_status_lancamento,MATCH(#REF!,rng_list_status_lancamento,0)),1,0,COUNTA(rng_list_status_lancamento)-1),#REF!)</definedName>
    <definedName name="vld_status_lancamento" localSheetId="15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7" hidden="1">IF(#REF!="Ativa",OFFSET(INDEX(rng_list_status_projeto,MATCH(#REF!,rng_list_status_projeto,0)),1,0,COUNTA(rng_list_status_projeto)-1),#REF!)</definedName>
    <definedName name="vld_status_projeto" localSheetId="13" hidden="1">IF(#REF!="Ativa",OFFSET(INDEX(rng_list_status_projeto,MATCH(#REF!,rng_list_status_projeto,0)),1,0,COUNTA(rng_list_status_projeto)-1),#REF!)</definedName>
    <definedName name="vld_status_projeto" localSheetId="8" hidden="1">IF(#REF!="Ativa",OFFSET(INDEX(rng_list_status_projeto,MATCH(#REF!,rng_list_status_projeto,0)),1,0,COUNTA(rng_list_status_projeto)-1),#REF!)</definedName>
    <definedName name="vld_status_projeto" localSheetId="12" hidden="1">IF(#REF!="Ativa",OFFSET(INDEX(rng_list_status_projeto,MATCH(#REF!,rng_list_status_projeto,0)),1,0,COUNTA(rng_list_status_projeto)-1),#REF!)</definedName>
    <definedName name="vld_status_projeto" localSheetId="15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7" hidden="1">OFFSET(INDEX(rng_list_status_viabilidade,MATCH(#REF!,rng_list_status_viabilidade,0)),1,0,COUNTA(rng_list_status_viabilidade)-1)</definedName>
    <definedName name="vld_status_viabilidade" localSheetId="13" hidden="1">OFFSET(INDEX(rng_list_status_viabilidade,MATCH(#REF!,rng_list_status_viabilidade,0)),1,0,COUNTA(rng_list_status_viabilidade)-1)</definedName>
    <definedName name="vld_status_viabilidade" localSheetId="8" hidden="1">OFFSET(INDEX(rng_list_status_viabilidade,MATCH(#REF!,rng_list_status_viabilidade,0)),1,0,COUNTA(rng_list_status_viabilidade)-1)</definedName>
    <definedName name="vld_status_viabilidade" localSheetId="12" hidden="1">OFFSET(INDEX(rng_list_status_viabilidade,MATCH(#REF!,rng_list_status_viabilidade,0)),1,0,COUNTA(rng_list_status_viabilidade)-1)</definedName>
    <definedName name="vld_status_viabilidade" localSheetId="15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SDHFGDFGR" localSheetId="15" hidden="1">{#N/A,#N/A,FALSE,"Plan1";#N/A,#N/A,FALSE,"Plan2"}</definedName>
    <definedName name="VSDHFGDFGR" hidden="1">{#N/A,#N/A,FALSE,"Plan1";#N/A,#N/A,FALSE,"Plan2"}</definedName>
    <definedName name="vvbb" localSheetId="15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15" hidden="1">{#N/A,#N/A,FALSE,"Plan1";#N/A,#N/A,FALSE,"Plan2"}</definedName>
    <definedName name="vvcbnb" hidden="1">{#N/A,#N/A,FALSE,"Plan1";#N/A,#N/A,FALSE,"Plan2"}</definedName>
    <definedName name="vvvvv" localSheetId="15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15" hidden="1">{#N/A,#N/A,FALSE,"Plan1";#N/A,#N/A,FALSE,"Plan2"}</definedName>
    <definedName name="vvvvvv" hidden="1">{#N/A,#N/A,FALSE,"Plan1";#N/A,#N/A,FALSE,"Plan2"}</definedName>
    <definedName name="vvvvvvvvvvvvvvvvv" hidden="1">{"HW",#N/A,FALSE,"1998"}</definedName>
    <definedName name="VX" hidden="1">#REF!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dalrdjlaev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15" hidden="1">#REF!</definedName>
    <definedName name="wdewr" hidden="1">#REF!</definedName>
    <definedName name="WE" hidden="1">#REF!</definedName>
    <definedName name="weki_9701.xls" hidden="1">#REF!</definedName>
    <definedName name="wekir9701.xls" hidden="1">#REF!</definedName>
    <definedName name="werw4tr" localSheetId="15" hidden="1">{#N/A,#N/A,FALSE,"Plan1";#N/A,#N/A,FALSE,"Plan2"}</definedName>
    <definedName name="werw4tr" hidden="1">{#N/A,#N/A,FALSE,"Plan1";#N/A,#N/A,FALSE,"Plan2"}</definedName>
    <definedName name="wetoedjtkdr" localSheetId="15" hidden="1">{#N/A,#N/A,FALSE,"Plan1";#N/A,#N/A,FALSE,"Plan2"}</definedName>
    <definedName name="wetoedjtkdr" hidden="1">{#N/A,#N/A,FALSE,"Plan1";#N/A,#N/A,FALSE,"Plan2"}</definedName>
    <definedName name="WHATS" hidden="1">{"'Edit'!$A$1:$V$2277"}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KJHIR" localSheetId="15" hidden="1">{#N/A,#N/A,FALSE,"Plan1";#N/A,#N/A,FALSE,"Plan2"}</definedName>
    <definedName name="WKJHIR" hidden="1">{#N/A,#N/A,FALSE,"Plan1";#N/A,#N/A,FALSE,"Plan2"}</definedName>
    <definedName name="WLQ" hidden="1">{#N/A,#N/A,FALSE,"명세표"}</definedName>
    <definedName name="WRITE" hidden="1">{#N/A,#N/A,FALSE,"CCTV"}</definedName>
    <definedName name="wrn.BM." hidden="1">{#N/A,#N/A,FALSE,"CCTV"}</definedName>
    <definedName name="wrn.Brita98.xls." hidden="1">{#N/A,#N/A,TRUE,"Quinzena 01 à 15-04-98 "}</definedName>
    <definedName name="wrn.Completo." localSheetId="15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15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15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hidden="1">{"HW",#N/A,FALSE,"1998"}</definedName>
    <definedName name="wrn.imp_flx." localSheetId="1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15" hidden="1">{#N/A,#N/A,FALSE,"Plan1";#N/A,#N/A,FALSE,"Plan2"}</definedName>
    <definedName name="wrn.IMPRESSO." hidden="1">{#N/A,#N/A,FALSE,"Plan1";#N/A,#N/A,FALSE,"Plan2"}</definedName>
    <definedName name="wrn.Imprimir." localSheetId="15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nth._.Report._.Package." hidden="1">{#N/A,#N/A,FALSE,"Global Wls Trend";#N/A,#N/A,FALSE,"Region Trend";#N/A,#N/A,FALSE,"PBU Trend"}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hidden="1">{#N/A,#N/A,FALSE,"F-01"}</definedName>
    <definedName name="wrn.Planiha._.de._.Medição._.F._.01._1" hidden="1">{#N/A,#N/A,FALSE,"F-01"}</definedName>
    <definedName name="wrn.Planilha_de_Medição_F_02" hidden="1">{#N/A,#N/A,FALSE,"F-01"}</definedName>
    <definedName name="wrn.print._.all." hidden="1">{#N/A,#N/A,FALSE,"$170M Cash";#N/A,#N/A,FALSE,"$250M Cash";#N/A,#N/A,FALSE,"$325M Cash"}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hidden="1">{#N/A,#N/A,FALSE,"Sheet1";#N/A,#N/A,FALSE,"Sheet2";#N/A,#N/A,FALSE,"Sheet3"}</definedName>
    <definedName name="wrn.PrintPrev1." hidden="1">{#N/A,#N/A,FALSE,"Sheet4";#N/A,#N/A,FALSE,"Sheet5";#N/A,#N/A,FALSE,"Sheet6"}</definedName>
    <definedName name="wrn.PrintPrev2." hidden="1">{#N/A,#N/A,FALSE,"Sheet7";#N/A,#N/A,FALSE,"Sheet8";#N/A,#N/A,FALSE,"Sheet9"}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hidden="1">{#N/A,#N/A,FALSE,"TABLE"}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hidden="1">{#N/A,#N/A,FALSE,"명세표"}</definedName>
    <definedName name="wrn.Unidades." localSheetId="15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hidden="1">{#N/A,#N/A,FALSE,"Sheet1";#N/A,#N/A,FALSE,"Sheet2";#N/A,#N/A,FALSE,"TAB96-1"}</definedName>
    <definedName name="wrn.보호계전기." hidden="1">{#N/A,#N/A,FALSE,"ENG'G(보호계전기)"}</definedName>
    <definedName name="wrn.현장._.NCR._.분석." hidden="1">{#N/A,#N/A,FALSE,"현장 NCR 분석";#N/A,#N/A,FALSE,"현장품질감사";#N/A,#N/A,FALSE,"현장품질감사"}</definedName>
    <definedName name="wrn1.Cons." localSheetId="15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hidden="1">{#N/A,#N/A,FALSE,"$170M Cash";#N/A,#N/A,FALSE,"$250M Cash";#N/A,#N/A,FALSE,"$325M Cash"}</definedName>
    <definedName name="WRS" hidden="1">{"'장비'!$A$3:$M$12"}</definedName>
    <definedName name="wrt" hidden="1">{#N/A,#N/A,FALSE,"$170M Cash";#N/A,#N/A,FALSE,"$250M Cash";#N/A,#N/A,FALSE,"$325M Cash"}</definedName>
    <definedName name="wvu.PLANILHA2.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cfrt" localSheetId="15" hidden="1">{#N/A,#N/A,FALSE,"Plan1";#N/A,#N/A,FALSE,"Plan2"}</definedName>
    <definedName name="xcfrt" hidden="1">{#N/A,#N/A,FALSE,"Plan1";#N/A,#N/A,FALSE,"Plan2"}</definedName>
    <definedName name="xcgjkfghf" localSheetId="15" hidden="1">{#N/A,#N/A,FALSE,"Plan1";#N/A,#N/A,FALSE,"Plan2"}</definedName>
    <definedName name="xcgjkfghf" hidden="1">{#N/A,#N/A,FALSE,"Plan1";#N/A,#N/A,FALSE,"Plan2"}</definedName>
    <definedName name="XCGJKVHFDG" localSheetId="15" hidden="1">{#N/A,#N/A,FALSE,"Plan1";#N/A,#N/A,FALSE,"Plan2"}</definedName>
    <definedName name="XCGJKVHFDG" hidden="1">{#N/A,#N/A,FALSE,"Plan1";#N/A,#N/A,FALSE,"Plan2"}</definedName>
    <definedName name="xcgtrty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çl" localSheetId="15" hidden="1">{#N/A,#N/A,FALSE,"Plan1";#N/A,#N/A,FALSE,"Plan2"}</definedName>
    <definedName name="xçl" hidden="1">{#N/A,#N/A,FALSE,"Plan1";#N/A,#N/A,FALSE,"Plan2"}</definedName>
    <definedName name="xcndj" localSheetId="15" hidden="1">{#N/A,#N/A,FALSE,"Plan1";#N/A,#N/A,FALSE,"Plan2"}</definedName>
    <definedName name="xcndj" hidden="1">{#N/A,#N/A,FALSE,"Plan1";#N/A,#N/A,FALSE,"Plan2"}</definedName>
    <definedName name="XCVGGT" localSheetId="15" hidden="1">{#N/A,#N/A,FALSE,"Plan1";#N/A,#N/A,FALSE,"Plan2"}</definedName>
    <definedName name="XCVGGT" hidden="1">{#N/A,#N/A,FALSE,"Plan1";#N/A,#N/A,FALSE,"Plan2"}</definedName>
    <definedName name="xcvrg" localSheetId="15" hidden="1">{#N/A,#N/A,FALSE,"Plan1";#N/A,#N/A,FALSE,"Plan2"}</definedName>
    <definedName name="xcvrg" hidden="1">{#N/A,#N/A,FALSE,"Plan1";#N/A,#N/A,FALSE,"Plan2"}</definedName>
    <definedName name="xdfef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15" hidden="1">{#N/A,#N/A,FALSE,"Plan1";#N/A,#N/A,FALSE,"Plan2"}</definedName>
    <definedName name="xdgtyhyt" hidden="1">{#N/A,#N/A,FALSE,"Plan1";#N/A,#N/A,FALSE,"Plan2"}</definedName>
    <definedName name="xfdlfj" localSheetId="15" hidden="1">{#N/A,#N/A,FALSE,"Plan1";#N/A,#N/A,FALSE,"Plan2"}</definedName>
    <definedName name="xfdlfj" hidden="1">{#N/A,#N/A,FALSE,"Plan1";#N/A,#N/A,FALSE,"Plan2"}</definedName>
    <definedName name="xfdxfdf" localSheetId="15" hidden="1">{#N/A,#N/A,FALSE,"Plan1";#N/A,#N/A,FALSE,"Plan2"}</definedName>
    <definedName name="xfdxfdf" hidden="1">{#N/A,#N/A,FALSE,"Plan1";#N/A,#N/A,FALSE,"Plan2"}</definedName>
    <definedName name="XFJKLDJKLGJ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15" hidden="1">{#N/A,#N/A,FALSE,"Plan1";#N/A,#N/A,FALSE,"Plan2"}</definedName>
    <definedName name="xfrty" hidden="1">{#N/A,#N/A,FALSE,"Plan1";#N/A,#N/A,FALSE,"Plan2"}</definedName>
    <definedName name="XFT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15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15" hidden="1">{#N/A,#N/A,FALSE,"Plan1";#N/A,#N/A,FALSE,"Plan2"}</definedName>
    <definedName name="xfvgcfgt" hidden="1">{#N/A,#N/A,FALSE,"Plan1";#N/A,#N/A,FALSE,"Plan2"}</definedName>
    <definedName name="xgrg" localSheetId="15" hidden="1">{#N/A,#N/A,FALSE,"Plan1";#N/A,#N/A,FALSE,"Plan2"}</definedName>
    <definedName name="xgrg" hidden="1">{#N/A,#N/A,FALSE,"Plan1";#N/A,#N/A,FALSE,"Plan2"}</definedName>
    <definedName name="xmght" localSheetId="15" hidden="1">{#N/A,#N/A,FALSE,"Plan1";#N/A,#N/A,FALSE,"Plan2"}</definedName>
    <definedName name="xmght" hidden="1">{#N/A,#N/A,FALSE,"Plan1";#N/A,#N/A,FALSE,"Plan2"}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hidden="1">#REF!</definedName>
    <definedName name="XREF_COLUMN_2" hidden="1">#REF!</definedName>
    <definedName name="XREF_COLUMN_3" localSheetId="15" hidden="1">#REF!</definedName>
    <definedName name="XREF_COLUMN_3" hidden="1">#REF!</definedName>
    <definedName name="XREF_COLUMN_4" localSheetId="15" hidden="1">#REF!</definedName>
    <definedName name="XREF_COLUMN_4" hidden="1">#REF!</definedName>
    <definedName name="XRefColumnsCount" hidden="1">1</definedName>
    <definedName name="XRefCopy2" localSheetId="15" hidden="1">#REF!</definedName>
    <definedName name="XRefCopy2" hidden="1">#REF!</definedName>
    <definedName name="XRefCopy3Row" localSheetId="15" hidden="1">#REF!</definedName>
    <definedName name="XRefCopy3Row" hidden="1">#REF!</definedName>
    <definedName name="XRefCopy4Row" hidden="1">#REF!</definedName>
    <definedName name="XRefCopy6" hidden="1">#REF!</definedName>
    <definedName name="XRefCopyRangeCount" hidden="1">1</definedName>
    <definedName name="XRefPaste2" localSheetId="15" hidden="1">#REF!</definedName>
    <definedName name="XRefPaste2" hidden="1">#REF!</definedName>
    <definedName name="XRefPaste4" hidden="1">#REF!</definedName>
    <definedName name="XRefPaste5" hidden="1">#REF!</definedName>
    <definedName name="XRefPaste6" hidden="1">#REF!</definedName>
    <definedName name="XRefPaste7Row" hidden="1">#REF!</definedName>
    <definedName name="XRefPasteRangeCount" hidden="1">1</definedName>
    <definedName name="xx" hidden="1">#REF!</definedName>
    <definedName name="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hidden="1">{"'Edit'!$A$1:$V$2277"}</definedName>
    <definedName name="xxxxxxxxxxxxxx" localSheetId="15" hidden="1">{#N/A,#N/A,FALSE,"Plan1";#N/A,#N/A,FALSE,"Plan2"}</definedName>
    <definedName name="xxxxxxxxxxxxxx" hidden="1">{#N/A,#N/A,FALSE,"Plan1";#N/A,#N/A,FALSE,"Plan2"}</definedName>
    <definedName name="xzfrt" localSheetId="15" hidden="1">{#N/A,#N/A,FALSE,"Plan1";#N/A,#N/A,FALSE,"Plan2"}</definedName>
    <definedName name="xzfrt" hidden="1">{#N/A,#N/A,FALSE,"Plan1";#N/A,#N/A,FALSE,"Plan2"}</definedName>
    <definedName name="yeitrtged" localSheetId="15" hidden="1">{#N/A,#N/A,FALSE,"Plan1";#N/A,#N/A,FALSE,"Plan2"}</definedName>
    <definedName name="yeitrtged" hidden="1">{#N/A,#N/A,FALSE,"Plan1";#N/A,#N/A,FALSE,"Plan2"}</definedName>
    <definedName name="yhdfiuygrui" localSheetId="15" hidden="1">{#N/A,#N/A,FALSE,"Plan1";#N/A,#N/A,FALSE,"Plan2"}</definedName>
    <definedName name="yhdfiuygrui" hidden="1">{#N/A,#N/A,FALSE,"Plan1";#N/A,#N/A,FALSE,"Plan2"}</definedName>
    <definedName name="YRGUYDRIY" localSheetId="15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uegursdmksf" localSheetId="15" hidden="1">{#N/A,#N/A,FALSE,"Plan1";#N/A,#N/A,FALSE,"Plan2"}</definedName>
    <definedName name="yuegursdmksf" hidden="1">{#N/A,#N/A,FALSE,"Plan1";#N/A,#N/A,FALSE,"Plan2"}</definedName>
    <definedName name="yuekl4fr" localSheetId="15" hidden="1">{#N/A,#N/A,FALSE,"Plan1";#N/A,#N/A,FALSE,"Plan2"}</definedName>
    <definedName name="yuekl4fr" hidden="1">{#N/A,#N/A,FALSE,"Plan1";#N/A,#N/A,FALSE,"Plan2"}</definedName>
    <definedName name="yureytuyrea" localSheetId="15" hidden="1">{#N/A,#N/A,FALSE,"Plan1";#N/A,#N/A,FALSE,"Plan2"}</definedName>
    <definedName name="yureytuyrea" hidden="1">{#N/A,#N/A,FALSE,"Plan1";#N/A,#N/A,FALSE,"Plan2"}</definedName>
    <definedName name="z" hidden="1">{"'Estimativa de Lançamento-JAN'!$A$1:$AI$85"}</definedName>
    <definedName name="z\djs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697660_066E_11D5_AF15_00010242ED40_.wvu.PrintArea" localSheetId="15" hidden="1">#REF!</definedName>
    <definedName name="Z_15697660_066E_11D5_AF15_00010242ED40_.wvu.PrintArea" hidden="1">#REF!</definedName>
    <definedName name="Z_15697660_066E_11D5_AF15_00010242ED40_.wvu.PrintTitles" hidden="1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hidden="1">#REF!</definedName>
    <definedName name="Z_4CA4BF7C_65C1_4E25_8563_22DF58586D2C_.wvu.PrintTitles" hidden="1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hidden="1">#REF!</definedName>
    <definedName name="Z_9066F505_4944_4582_AAF9_B40B49D59413_.wvu.PrintTitles" hidden="1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15" hidden="1">{#N/A,#N/A,FALSE,"Plan1";#N/A,#N/A,FALSE,"Plan2"}</definedName>
    <definedName name="zcdçskld" hidden="1">{#N/A,#N/A,FALSE,"Plan1";#N/A,#N/A,FALSE,"Plan2"}</definedName>
    <definedName name="zcsdrfrt" localSheetId="15" hidden="1">{#N/A,#N/A,FALSE,"Plan1";#N/A,#N/A,FALSE,"Plan2"}</definedName>
    <definedName name="zcsdrfrt" hidden="1">{#N/A,#N/A,FALSE,"Plan1";#N/A,#N/A,FALSE,"Plan2"}</definedName>
    <definedName name="ZDRE" localSheetId="15" hidden="1">{#N/A,#N/A,FALSE,"Plan1";#N/A,#N/A,FALSE,"Plan2"}</definedName>
    <definedName name="ZDRE" hidden="1">{#N/A,#N/A,FALSE,"Plan1";#N/A,#N/A,FALSE,"Plan2"}</definedName>
    <definedName name="ZSADF" localSheetId="15" hidden="1">{#N/A,#N/A,FALSE,"Plan1";#N/A,#N/A,FALSE,"Plan2"}</definedName>
    <definedName name="ZSADF" hidden="1">{#N/A,#N/A,FALSE,"Plan1";#N/A,#N/A,FALSE,"Plan2"}</definedName>
    <definedName name="zsads" localSheetId="15" hidden="1">{#N/A,#N/A,FALSE,"Plan1";#N/A,#N/A,FALSE,"Plan2"}</definedName>
    <definedName name="zsads" hidden="1">{#N/A,#N/A,FALSE,"Plan1";#N/A,#N/A,FALSE,"Plan2"}</definedName>
    <definedName name="ZSDFSETR" localSheetId="15" hidden="1">#REF!</definedName>
    <definedName name="ZSDFSETR" hidden="1">#REF!</definedName>
    <definedName name="zsds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15" hidden="1">{#N/A,#N/A,FALSE,"Plan1";#N/A,#N/A,FALSE,"Plan2"}</definedName>
    <definedName name="zxccdf" hidden="1">{#N/A,#N/A,FALSE,"Plan1";#N/A,#N/A,FALSE,"Plan2"}</definedName>
    <definedName name="zxcdsf" hidden="1">#REF!</definedName>
    <definedName name="zxcfdstrrt" localSheetId="15" hidden="1">{#N/A,#N/A,FALSE,"Plan1";#N/A,#N/A,FALSE,"Plan2"}</definedName>
    <definedName name="zxcfdstrrt" hidden="1">{#N/A,#N/A,FALSE,"Plan1";#N/A,#N/A,FALSE,"Plan2"}</definedName>
    <definedName name="zxcx" localSheetId="15" hidden="1">{#N/A,#N/A,FALSE,"Plan1";#N/A,#N/A,FALSE,"Plan2"}</definedName>
    <definedName name="zxcx" hidden="1">{#N/A,#N/A,FALSE,"Plan1";#N/A,#N/A,FALSE,"Plan2"}</definedName>
    <definedName name="ZXFCRF" localSheetId="1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15" hidden="1">{#N/A,#N/A,FALSE,"Plan1";#N/A,#N/A,FALSE,"Plan2"}</definedName>
    <definedName name="ZXFHDFRHDF" hidden="1">{#N/A,#N/A,FALSE,"Plan1";#N/A,#N/A,FALSE,"Plan2"}</definedName>
    <definedName name="zzdftr" localSheetId="15" hidden="1">{#N/A,#N/A,FALSE,"Plan1";#N/A,#N/A,FALSE,"Plan2"}</definedName>
    <definedName name="zzdftr" hidden="1">{#N/A,#N/A,FALSE,"Plan1";#N/A,#N/A,FALSE,"Plan2"}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hidden="1">{"'장비'!$A$3:$M$12"}</definedName>
    <definedName name="가나다" hidden="1">#REF!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hidden="1">#REF!</definedName>
    <definedName name="계약고햔황2" hidden="1">#REF!</definedName>
    <definedName name="계약고현황2" hidden="1">#REF!</definedName>
    <definedName name="고문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hidden="1">{#N/A,#N/A,FALSE,"ENG'G(보호계전기)"}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hidden="1">#REF!</definedName>
    <definedName name="내역" hidden="1">{#N/A,#N/A,FALSE,"CCTV"}</definedName>
    <definedName name="ㄷㄳ" hidden="1">{"'장비'!$A$3:$M$12"}</definedName>
    <definedName name="ㄷㄷㄷㄷ" hidden="1">{"'장비'!$A$3:$M$12"}</definedName>
    <definedName name="ㄷㅈㅂㄷ" hidden="1">{"'장비'!$A$3:$M$12"}</definedName>
    <definedName name="당초계획" hidden="1">#REF!</definedName>
    <definedName name="도면외주" hidden="1">#REF!</definedName>
    <definedName name="도면용역비" hidden="1">#REF!</definedName>
    <definedName name="ㄹㄹ" hidden="1">{"'장비'!$A$3:$M$12"}</definedName>
    <definedName name="ㄹㄹㄹ" hidden="1">#REF!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hidden="1">{#N/A,#N/A,FALSE,"현장 NCR 분석";#N/A,#N/A,FALSE,"현장품질감사";#N/A,#N/A,FALSE,"현장품질감사"}</definedName>
    <definedName name="ㅁ" hidden="1">{#N/A,#N/A,FALSE,"명세표"}</definedName>
    <definedName name="ㅁㄱ해ㅜ5" hidden="1">#REF!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hidden="1">{#N/A,#N/A,FALSE,"명세표"}</definedName>
    <definedName name="ㅁㅁㅁ" hidden="1">#REF!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hidden="1">{#N/A,#N/A,FALSE,"명세표"}</definedName>
    <definedName name="ㅂㅂㅂㅂ" hidden="1">{#N/A,#N/A,FALSE,"명세표"}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hidden="1">{"'장비'!$A$3:$M$12"}</definedName>
    <definedName name="ㅂㅈㄷ" hidden="1">{"'장비'!$A$3:$M$12"}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hidden="1">#REF!</definedName>
    <definedName name="보호" hidden="1">{#N/A,#N/A,FALSE,"ENG'G(보호계전기)"}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hidden="1">#REF!</definedName>
    <definedName name="부손익" hidden="1">{#N/A,#N/A,FALSE,"현장 NCR 분석";#N/A,#N/A,FALSE,"현장품질감사";#N/A,#N/A,FALSE,"현장품질감사"}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hidden="1">{"'장비'!$A$3:$M$12"}</definedName>
    <definedName name="ㅅㅅㅅㅅㅅ" hidden="1">{"'장비'!$A$3:$M$12"}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hidden="1">#REF!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hidden="1">#REF!</definedName>
    <definedName name="산출" hidden="1">#REF!</definedName>
    <definedName name="새안" hidden="1">{#N/A,#N/A,FALSE,"TABLE"}</definedName>
    <definedName name="석항" hidden="1">{#N/A,#N/A,FALSE,"명세표"}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hidden="1">#REF!</definedName>
    <definedName name="쇼ㅗㅎ로" hidden="1">{"'장비'!$A$3:$M$12"}</definedName>
    <definedName name="수" hidden="1">#REF!</definedName>
    <definedName name="수당" hidden="1">#N/A</definedName>
    <definedName name="신설" hidden="1">{#N/A,#N/A,FALSE,"명세표"}</definedName>
    <definedName name="실적총괄1" hidden="1">#REF!</definedName>
    <definedName name="실총" hidden="1">#REF!</definedName>
    <definedName name="ㅇㄹㄹ" hidden="1">#REF!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hidden="1">#REF!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hidden="1">#REF!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hidden="1">{#N/A,#N/A,FALSE,"명세표"}</definedName>
    <definedName name="ㅈㅈㅈㅈ" hidden="1">{#N/A,#N/A,FALSE,"명세표"}</definedName>
    <definedName name="자미" hidden="1">{#N/A,#N/A,FALSE,"명세표"}</definedName>
    <definedName name="자운" hidden="1">#REF!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hidden="1">#REF!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hidden="1">#REF!</definedName>
    <definedName name="조직표현장" hidden="1">#REF!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hidden="1">{#N/A,#N/A,FALSE,"ENG'G(보호계전기)"}</definedName>
    <definedName name="집계" hidden="1">{#N/A,#N/A,FALSE,"명세표"}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hidden="1">{#N/A,#N/A,FALSE,"명세표"}</definedName>
    <definedName name="ㅋㅋㅋ" hidden="1">{#N/A,#N/A,FALSE,"명세표"}</definedName>
    <definedName name="ㅌㅌ" hidden="1">{#N/A,#N/A,FALSE,"명세표"}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hidden="1">{"'장비'!$A$3:$M$12"}</definedName>
    <definedName name="하하하" hidden="1">{#N/A,#N/A,FALSE,"명세표"}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hidden="1">{#N/A,#N/A,FALSE,"명세표"}</definedName>
    <definedName name="ㅏㅏㅏ" hidden="1">{#N/A,#N/A,FALSE,"명세표"}</definedName>
    <definedName name="ㅔㅔ" hidden="1">{#N/A,#N/A,FALSE,"명세표"}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hidden="1">{"'장비'!$A$3:$M$12"}</definedName>
    <definedName name="ㅗㅗ" hidden="1">{#N/A,#N/A,FALSE,"명세표"}</definedName>
    <definedName name="ㅗㅗㅗㅗㅗ" hidden="1">{"'장비'!$A$3:$M$12"}</definedName>
    <definedName name="ㅛ" hidden="1">{"'장비'!$A$3:$M$12"}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hidden="1">{"'장비'!$A$3:$M$12"}</definedName>
    <definedName name="ㅜ" hidden="1">{#N/A,#N/A,FALSE,"명세표"}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hidden="1">{#N/A,#N/A,FALSE,"명세표"}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76" l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H35" i="76" s="1"/>
  <c r="H36" i="76" s="1"/>
  <c r="H37" i="76" s="1"/>
  <c r="H38" i="76" s="1"/>
  <c r="H39" i="76" s="1"/>
  <c r="H40" i="76" s="1"/>
  <c r="H41" i="76" s="1"/>
  <c r="H42" i="76" s="1"/>
  <c r="H43" i="76" s="1"/>
  <c r="H44" i="76" s="1"/>
  <c r="H45" i="76" s="1"/>
  <c r="H46" i="76" s="1"/>
  <c r="H47" i="76" s="1"/>
  <c r="H48" i="76" s="1"/>
  <c r="H49" i="76" s="1"/>
  <c r="H50" i="76" s="1"/>
  <c r="H51" i="76" s="1"/>
  <c r="H52" i="76" s="1"/>
  <c r="H53" i="76" s="1"/>
  <c r="H54" i="76" s="1"/>
  <c r="H55" i="76" s="1"/>
  <c r="H56" i="76" s="1"/>
  <c r="H57" i="76" s="1"/>
  <c r="H58" i="76" s="1"/>
  <c r="H59" i="76" s="1"/>
  <c r="H60" i="76" s="1"/>
  <c r="H61" i="76" s="1"/>
  <c r="H62" i="76" s="1"/>
  <c r="H63" i="76" s="1"/>
  <c r="H64" i="76" s="1"/>
  <c r="H65" i="76" s="1"/>
  <c r="H66" i="76" s="1"/>
  <c r="H67" i="76" s="1"/>
  <c r="H68" i="76" s="1"/>
  <c r="H69" i="76" s="1"/>
  <c r="H70" i="76" s="1"/>
  <c r="H71" i="76" s="1"/>
  <c r="H72" i="76" s="1"/>
  <c r="H73" i="76" s="1"/>
  <c r="H74" i="76" s="1"/>
  <c r="H75" i="76" s="1"/>
  <c r="H76" i="76" s="1"/>
  <c r="H77" i="76" s="1"/>
  <c r="H78" i="76" s="1"/>
  <c r="H79" i="76" s="1"/>
  <c r="H80" i="76" s="1"/>
  <c r="H81" i="76" s="1"/>
  <c r="H82" i="76" s="1"/>
  <c r="H83" i="76" s="1"/>
  <c r="H84" i="76" s="1"/>
  <c r="H85" i="76" s="1"/>
  <c r="H86" i="76" s="1"/>
  <c r="H87" i="76" s="1"/>
  <c r="H88" i="76" s="1"/>
  <c r="H89" i="76" s="1"/>
  <c r="H90" i="76" s="1"/>
  <c r="H91" i="76" s="1"/>
  <c r="H92" i="76" s="1"/>
  <c r="H93" i="76" s="1"/>
  <c r="H94" i="76" s="1"/>
  <c r="H95" i="76" s="1"/>
  <c r="H96" i="76" s="1"/>
  <c r="H97" i="76" s="1"/>
  <c r="H98" i="76" s="1"/>
  <c r="H99" i="76" s="1"/>
  <c r="H100" i="76" s="1"/>
  <c r="H101" i="76" s="1"/>
  <c r="H102" i="76" s="1"/>
  <c r="H103" i="76" s="1"/>
  <c r="H104" i="76" s="1"/>
  <c r="H105" i="76" s="1"/>
  <c r="H106" i="76" s="1"/>
  <c r="H107" i="76" s="1"/>
  <c r="H108" i="76" s="1"/>
  <c r="H109" i="76" s="1"/>
  <c r="H110" i="76" s="1"/>
  <c r="H111" i="76" s="1"/>
  <c r="H112" i="76" s="1"/>
  <c r="H113" i="76" s="1"/>
  <c r="H114" i="76" s="1"/>
  <c r="H115" i="76" s="1"/>
  <c r="H116" i="76" s="1"/>
  <c r="H117" i="76" s="1"/>
  <c r="H118" i="76" s="1"/>
  <c r="H119" i="76" s="1"/>
  <c r="H120" i="76" s="1"/>
  <c r="H121" i="76" s="1"/>
  <c r="H122" i="76" s="1"/>
  <c r="H123" i="76" s="1"/>
  <c r="H124" i="76" s="1"/>
  <c r="H125" i="76" s="1"/>
  <c r="H126" i="76" s="1"/>
  <c r="H127" i="76" s="1"/>
  <c r="H128" i="76" s="1"/>
  <c r="H129" i="76" s="1"/>
  <c r="H130" i="76" s="1"/>
  <c r="H131" i="76" s="1"/>
  <c r="H132" i="76" s="1"/>
  <c r="H133" i="76" s="1"/>
  <c r="H134" i="76" s="1"/>
  <c r="H135" i="76" s="1"/>
  <c r="H136" i="76" s="1"/>
  <c r="H137" i="76" s="1"/>
  <c r="H138" i="76" s="1"/>
  <c r="H139" i="76" s="1"/>
  <c r="H140" i="76" s="1"/>
  <c r="H141" i="76" s="1"/>
  <c r="H142" i="76" s="1"/>
  <c r="H143" i="76" s="1"/>
  <c r="H144" i="76" s="1"/>
  <c r="H145" i="76" s="1"/>
  <c r="H146" i="76" s="1"/>
  <c r="H147" i="76" s="1"/>
  <c r="H148" i="76" s="1"/>
  <c r="H149" i="76" s="1"/>
  <c r="H150" i="76" s="1"/>
  <c r="H151" i="76" s="1"/>
  <c r="H152" i="76" s="1"/>
  <c r="H153" i="76" s="1"/>
  <c r="H154" i="76" s="1"/>
  <c r="H155" i="76" s="1"/>
  <c r="H156" i="76" s="1"/>
  <c r="H157" i="76" s="1"/>
  <c r="H158" i="76" s="1"/>
  <c r="H159" i="76" s="1"/>
  <c r="H160" i="76" s="1"/>
  <c r="H161" i="76" s="1"/>
  <c r="H162" i="76" s="1"/>
  <c r="H163" i="76" s="1"/>
  <c r="H164" i="76" s="1"/>
  <c r="H165" i="76" s="1"/>
  <c r="H166" i="76" s="1"/>
  <c r="H167" i="76" s="1"/>
  <c r="H168" i="76" s="1"/>
  <c r="H169" i="76" s="1"/>
  <c r="H170" i="76" s="1"/>
  <c r="H171" i="76" s="1"/>
  <c r="H172" i="76" s="1"/>
  <c r="H173" i="76" s="1"/>
  <c r="H174" i="76" s="1"/>
  <c r="H175" i="76" s="1"/>
  <c r="H176" i="76" s="1"/>
  <c r="H177" i="76" s="1"/>
  <c r="H178" i="76" s="1"/>
  <c r="H179" i="76" s="1"/>
  <c r="H180" i="76" s="1"/>
  <c r="H181" i="76" s="1"/>
  <c r="H182" i="76" s="1"/>
  <c r="H183" i="76" s="1"/>
  <c r="H184" i="76" s="1"/>
  <c r="H185" i="76" s="1"/>
  <c r="H186" i="76" s="1"/>
  <c r="H187" i="76" s="1"/>
  <c r="H188" i="76" s="1"/>
  <c r="H189" i="76" s="1"/>
  <c r="H190" i="76" s="1"/>
  <c r="H191" i="76" s="1"/>
  <c r="H192" i="76" s="1"/>
  <c r="H193" i="76" s="1"/>
  <c r="H194" i="76" s="1"/>
  <c r="H195" i="76" s="1"/>
  <c r="H196" i="76" s="1"/>
  <c r="H197" i="76" s="1"/>
  <c r="H198" i="76" s="1"/>
  <c r="H199" i="76" s="1"/>
  <c r="H200" i="76" s="1"/>
  <c r="H201" i="76" s="1"/>
  <c r="H202" i="76" s="1"/>
  <c r="H203" i="76" s="1"/>
  <c r="H204" i="76" s="1"/>
  <c r="H205" i="76" s="1"/>
  <c r="H206" i="76" s="1"/>
  <c r="H207" i="76" s="1"/>
  <c r="H208" i="76" s="1"/>
  <c r="H209" i="76" s="1"/>
  <c r="H210" i="76" s="1"/>
  <c r="H211" i="76" s="1"/>
  <c r="H212" i="76" s="1"/>
  <c r="H213" i="76" s="1"/>
  <c r="H214" i="76" s="1"/>
  <c r="H215" i="76" s="1"/>
  <c r="H216" i="76" s="1"/>
  <c r="H217" i="76" s="1"/>
  <c r="H218" i="76" s="1"/>
  <c r="H219" i="76" s="1"/>
  <c r="H220" i="76" s="1"/>
  <c r="H221" i="76" s="1"/>
  <c r="H222" i="76" s="1"/>
  <c r="H223" i="76" s="1"/>
  <c r="H224" i="76" s="1"/>
  <c r="H225" i="76" s="1"/>
  <c r="H226" i="76" s="1"/>
  <c r="H227" i="76" s="1"/>
  <c r="H228" i="76" s="1"/>
  <c r="H229" i="76" s="1"/>
  <c r="H230" i="76" s="1"/>
  <c r="H231" i="76" s="1"/>
  <c r="H232" i="76" s="1"/>
  <c r="H233" i="76" s="1"/>
  <c r="H234" i="76" s="1"/>
  <c r="H235" i="76" s="1"/>
  <c r="H236" i="76" s="1"/>
  <c r="H237" i="76" s="1"/>
  <c r="H238" i="76" s="1"/>
  <c r="H239" i="76" s="1"/>
  <c r="H240" i="76" s="1"/>
  <c r="H241" i="76" s="1"/>
  <c r="H242" i="76" s="1"/>
  <c r="H243" i="76" s="1"/>
  <c r="H244" i="76" s="1"/>
  <c r="H245" i="76" s="1"/>
  <c r="H246" i="76" s="1"/>
  <c r="H247" i="76" s="1"/>
  <c r="H248" i="76" s="1"/>
  <c r="H249" i="76" s="1"/>
  <c r="H250" i="76" s="1"/>
  <c r="H251" i="76" s="1"/>
  <c r="H252" i="76" s="1"/>
  <c r="H253" i="76" s="1"/>
  <c r="H254" i="76" s="1"/>
  <c r="H255" i="76" s="1"/>
  <c r="H256" i="76" s="1"/>
  <c r="H257" i="76" s="1"/>
  <c r="H258" i="76" s="1"/>
  <c r="H259" i="76" s="1"/>
  <c r="H260" i="76" s="1"/>
  <c r="H261" i="76" s="1"/>
  <c r="H262" i="76" s="1"/>
  <c r="H263" i="76" s="1"/>
  <c r="H264" i="76" s="1"/>
  <c r="H265" i="76" s="1"/>
  <c r="H266" i="76" s="1"/>
  <c r="H267" i="76" s="1"/>
  <c r="H268" i="76" s="1"/>
  <c r="H269" i="76" s="1"/>
  <c r="H270" i="76" s="1"/>
  <c r="H271" i="76" s="1"/>
  <c r="H272" i="76" s="1"/>
  <c r="H273" i="76" s="1"/>
  <c r="H274" i="76" s="1"/>
  <c r="H275" i="76" s="1"/>
  <c r="H276" i="76" s="1"/>
  <c r="H277" i="76" s="1"/>
  <c r="H278" i="76" s="1"/>
  <c r="H279" i="76" s="1"/>
  <c r="H280" i="76" s="1"/>
  <c r="H281" i="76" s="1"/>
  <c r="H282" i="76" s="1"/>
  <c r="H283" i="76" s="1"/>
  <c r="H284" i="76" s="1"/>
  <c r="H285" i="76" s="1"/>
  <c r="H286" i="76" s="1"/>
  <c r="H8" i="71"/>
  <c r="H9" i="71"/>
  <c r="H10" i="71" s="1"/>
  <c r="H11" i="71" s="1"/>
  <c r="H12" i="71" s="1"/>
  <c r="H13" i="71" s="1"/>
  <c r="H14" i="71" s="1"/>
  <c r="H15" i="71" s="1"/>
  <c r="H16" i="71" s="1"/>
  <c r="H17" i="71" s="1"/>
  <c r="H18" i="71" s="1"/>
  <c r="H19" i="71" s="1"/>
  <c r="H20" i="71" s="1"/>
  <c r="H21" i="71" s="1"/>
  <c r="H22" i="71" s="1"/>
  <c r="H23" i="71" s="1"/>
  <c r="H24" i="71" s="1"/>
  <c r="H25" i="71" s="1"/>
  <c r="H26" i="71" s="1"/>
  <c r="H27" i="71" s="1"/>
  <c r="H28" i="71" s="1"/>
  <c r="H29" i="71" s="1"/>
  <c r="H30" i="71" s="1"/>
  <c r="H31" i="71" s="1"/>
  <c r="H32" i="71" s="1"/>
  <c r="H33" i="71" s="1"/>
  <c r="H34" i="71" s="1"/>
  <c r="H35" i="71" s="1"/>
  <c r="H36" i="71" s="1"/>
  <c r="H37" i="71" s="1"/>
  <c r="H38" i="71" s="1"/>
  <c r="H39" i="71" s="1"/>
  <c r="H40" i="71" s="1"/>
  <c r="H41" i="71" s="1"/>
  <c r="H42" i="71" s="1"/>
  <c r="H43" i="71" s="1"/>
  <c r="H44" i="71" s="1"/>
  <c r="H45" i="71" s="1"/>
  <c r="H46" i="71" s="1"/>
  <c r="H47" i="71" s="1"/>
  <c r="H48" i="71" s="1"/>
  <c r="H49" i="71" s="1"/>
  <c r="H50" i="71" s="1"/>
  <c r="H51" i="71" s="1"/>
  <c r="H52" i="71" s="1"/>
  <c r="H53" i="71" s="1"/>
  <c r="H54" i="71" s="1"/>
  <c r="H55" i="71" s="1"/>
  <c r="H56" i="71" s="1"/>
  <c r="H57" i="71" s="1"/>
  <c r="H58" i="71" s="1"/>
  <c r="H59" i="71" s="1"/>
  <c r="H60" i="71" s="1"/>
  <c r="H61" i="71" s="1"/>
  <c r="H62" i="71" s="1"/>
  <c r="H63" i="71" s="1"/>
  <c r="H64" i="71" s="1"/>
  <c r="H65" i="71" s="1"/>
  <c r="H66" i="71" s="1"/>
  <c r="H67" i="71" s="1"/>
  <c r="H68" i="71" s="1"/>
  <c r="H69" i="71" s="1"/>
  <c r="H70" i="71" s="1"/>
  <c r="H71" i="71" s="1"/>
  <c r="H72" i="71" s="1"/>
  <c r="H73" i="71" s="1"/>
  <c r="H74" i="71" s="1"/>
  <c r="H75" i="71" s="1"/>
  <c r="H76" i="71" s="1"/>
  <c r="H77" i="71" s="1"/>
  <c r="H78" i="71" s="1"/>
  <c r="H79" i="71" s="1"/>
  <c r="H80" i="71" s="1"/>
  <c r="H81" i="71" s="1"/>
  <c r="H82" i="71" s="1"/>
  <c r="H83" i="71" s="1"/>
  <c r="H84" i="71" s="1"/>
  <c r="H85" i="71" s="1"/>
  <c r="H86" i="71" s="1"/>
  <c r="H87" i="71" s="1"/>
  <c r="H88" i="71" s="1"/>
  <c r="H89" i="71" s="1"/>
  <c r="H90" i="71" s="1"/>
  <c r="H91" i="71" s="1"/>
  <c r="H92" i="71" s="1"/>
  <c r="H93" i="71" s="1"/>
  <c r="H94" i="71" s="1"/>
  <c r="H95" i="71" s="1"/>
  <c r="H96" i="71" s="1"/>
  <c r="H97" i="71" s="1"/>
  <c r="H98" i="71" s="1"/>
  <c r="H99" i="71" s="1"/>
  <c r="H100" i="71" s="1"/>
  <c r="H101" i="71" s="1"/>
  <c r="H102" i="71" s="1"/>
  <c r="H103" i="71" s="1"/>
  <c r="H104" i="71" s="1"/>
  <c r="H105" i="71" s="1"/>
  <c r="H106" i="71" s="1"/>
  <c r="H107" i="71" s="1"/>
  <c r="H108" i="71" s="1"/>
  <c r="H109" i="71" s="1"/>
  <c r="H110" i="71" s="1"/>
  <c r="H111" i="71" s="1"/>
  <c r="H112" i="71" s="1"/>
  <c r="H113" i="71" s="1"/>
  <c r="H114" i="71" s="1"/>
  <c r="H115" i="71" s="1"/>
  <c r="H116" i="71" s="1"/>
  <c r="H117" i="71" s="1"/>
  <c r="H118" i="71" s="1"/>
  <c r="H119" i="71" s="1"/>
  <c r="H120" i="71" s="1"/>
  <c r="H121" i="71" s="1"/>
  <c r="H122" i="71" s="1"/>
  <c r="H123" i="71" s="1"/>
  <c r="H124" i="71" s="1"/>
  <c r="H125" i="71" s="1"/>
  <c r="H126" i="71" s="1"/>
  <c r="H127" i="71" s="1"/>
  <c r="H128" i="71" s="1"/>
  <c r="H129" i="71" s="1"/>
  <c r="H130" i="71" s="1"/>
  <c r="H131" i="71" s="1"/>
  <c r="H132" i="71" s="1"/>
  <c r="H133" i="71" s="1"/>
  <c r="H134" i="71" s="1"/>
  <c r="H135" i="71" s="1"/>
  <c r="H136" i="71" s="1"/>
  <c r="H137" i="71" s="1"/>
  <c r="H138" i="71" s="1"/>
  <c r="H139" i="71" s="1"/>
  <c r="H140" i="71" s="1"/>
  <c r="H141" i="71" s="1"/>
  <c r="H142" i="71" s="1"/>
  <c r="H143" i="71" s="1"/>
  <c r="H144" i="71" s="1"/>
  <c r="H145" i="71" s="1"/>
  <c r="H146" i="71" s="1"/>
  <c r="H147" i="71" s="1"/>
  <c r="H148" i="71" s="1"/>
  <c r="H149" i="71" s="1"/>
  <c r="H150" i="71" s="1"/>
  <c r="H151" i="71" s="1"/>
  <c r="H152" i="71" s="1"/>
  <c r="H153" i="71" s="1"/>
  <c r="H154" i="71" s="1"/>
  <c r="H155" i="71" s="1"/>
  <c r="H156" i="71" s="1"/>
  <c r="H157" i="71" s="1"/>
  <c r="H158" i="71" s="1"/>
  <c r="H159" i="71" s="1"/>
  <c r="H160" i="71" s="1"/>
  <c r="H161" i="71" s="1"/>
  <c r="H162" i="71" s="1"/>
  <c r="H163" i="71" s="1"/>
  <c r="H164" i="71" s="1"/>
  <c r="H165" i="71" s="1"/>
  <c r="H166" i="71" s="1"/>
  <c r="H167" i="71" s="1"/>
  <c r="H168" i="71" s="1"/>
  <c r="H169" i="71" s="1"/>
  <c r="H170" i="71" s="1"/>
  <c r="H171" i="71" s="1"/>
  <c r="H172" i="71" s="1"/>
  <c r="H173" i="71" s="1"/>
  <c r="H174" i="71" s="1"/>
  <c r="H175" i="71" s="1"/>
  <c r="H176" i="71" s="1"/>
  <c r="H177" i="71" s="1"/>
  <c r="H178" i="71" s="1"/>
  <c r="H179" i="71" s="1"/>
  <c r="H180" i="71" s="1"/>
  <c r="H181" i="71" s="1"/>
  <c r="H182" i="71" s="1"/>
  <c r="H183" i="71" s="1"/>
  <c r="H184" i="71" s="1"/>
  <c r="H185" i="71" s="1"/>
  <c r="H186" i="71" s="1"/>
  <c r="H187" i="71" s="1"/>
  <c r="H188" i="71" s="1"/>
  <c r="H189" i="71" s="1"/>
  <c r="H190" i="71" s="1"/>
  <c r="H191" i="71" s="1"/>
  <c r="H192" i="71" s="1"/>
  <c r="H193" i="71" s="1"/>
  <c r="H194" i="71" s="1"/>
  <c r="H195" i="71" s="1"/>
  <c r="H196" i="71" s="1"/>
  <c r="H197" i="71" s="1"/>
  <c r="H198" i="71" s="1"/>
  <c r="H199" i="71" s="1"/>
  <c r="H200" i="71" s="1"/>
  <c r="H201" i="71" s="1"/>
  <c r="H202" i="71" s="1"/>
  <c r="H203" i="71" s="1"/>
  <c r="H204" i="71" s="1"/>
  <c r="H205" i="71" s="1"/>
  <c r="H206" i="71" s="1"/>
  <c r="H207" i="71" s="1"/>
  <c r="H208" i="71" s="1"/>
  <c r="H209" i="71" s="1"/>
  <c r="H210" i="71" s="1"/>
  <c r="H211" i="71" s="1"/>
  <c r="H212" i="71" s="1"/>
  <c r="H213" i="71" s="1"/>
  <c r="H214" i="71" s="1"/>
  <c r="H215" i="71" s="1"/>
  <c r="H216" i="71" s="1"/>
  <c r="H217" i="71" s="1"/>
  <c r="H218" i="71" s="1"/>
  <c r="H219" i="71" s="1"/>
  <c r="H220" i="71" s="1"/>
  <c r="H221" i="71" s="1"/>
  <c r="H222" i="71" s="1"/>
  <c r="H223" i="71" s="1"/>
  <c r="H224" i="71" s="1"/>
  <c r="H225" i="71" s="1"/>
  <c r="H226" i="71" s="1"/>
  <c r="H227" i="71" s="1"/>
  <c r="H228" i="71" s="1"/>
  <c r="H229" i="71" s="1"/>
  <c r="H230" i="71" s="1"/>
  <c r="H231" i="71" s="1"/>
  <c r="H232" i="71" s="1"/>
  <c r="H233" i="71" s="1"/>
  <c r="H234" i="71" s="1"/>
  <c r="H235" i="71" s="1"/>
  <c r="H236" i="71" s="1"/>
  <c r="H237" i="71" s="1"/>
  <c r="H238" i="71" s="1"/>
  <c r="H239" i="71" s="1"/>
  <c r="H240" i="71" s="1"/>
  <c r="H241" i="71" s="1"/>
  <c r="H242" i="71" s="1"/>
  <c r="H243" i="71" s="1"/>
  <c r="H244" i="71" s="1"/>
  <c r="H245" i="71" s="1"/>
  <c r="H246" i="71" s="1"/>
  <c r="H247" i="71" s="1"/>
  <c r="H248" i="71" s="1"/>
  <c r="H249" i="71" s="1"/>
  <c r="H250" i="71" s="1"/>
  <c r="H251" i="71" s="1"/>
  <c r="H252" i="71" s="1"/>
  <c r="H253" i="71" s="1"/>
  <c r="H254" i="71" s="1"/>
  <c r="H255" i="71" s="1"/>
  <c r="H256" i="71" s="1"/>
  <c r="H257" i="71" s="1"/>
  <c r="H258" i="71" s="1"/>
  <c r="H259" i="71" s="1"/>
  <c r="H260" i="71" s="1"/>
  <c r="H261" i="71" s="1"/>
  <c r="H262" i="71" s="1"/>
  <c r="H263" i="71" s="1"/>
  <c r="H264" i="71" s="1"/>
  <c r="H265" i="71" s="1"/>
  <c r="H266" i="71" s="1"/>
  <c r="H267" i="71" s="1"/>
  <c r="H268" i="71" s="1"/>
  <c r="H269" i="71" s="1"/>
  <c r="H270" i="71" s="1"/>
  <c r="H271" i="71" s="1"/>
  <c r="H272" i="71" s="1"/>
  <c r="H273" i="71" s="1"/>
  <c r="H274" i="71" s="1"/>
  <c r="H275" i="71" s="1"/>
  <c r="H276" i="71" s="1"/>
  <c r="H277" i="71" s="1"/>
  <c r="H278" i="71" s="1"/>
  <c r="H279" i="71" s="1"/>
  <c r="H280" i="71" s="1"/>
  <c r="H281" i="71" s="1"/>
  <c r="H282" i="71" s="1"/>
  <c r="H283" i="71" s="1"/>
  <c r="H284" i="71" s="1"/>
  <c r="H285" i="71" s="1"/>
  <c r="H286" i="71" s="1"/>
  <c r="H287" i="71" s="1"/>
  <c r="H288" i="71" s="1"/>
  <c r="H289" i="71" s="1"/>
  <c r="H290" i="71" s="1"/>
  <c r="H291" i="71" s="1"/>
  <c r="H292" i="71" s="1"/>
  <c r="H293" i="71" s="1"/>
  <c r="H294" i="71" s="1"/>
  <c r="H295" i="71" s="1"/>
  <c r="H296" i="71" s="1"/>
  <c r="H297" i="71" s="1"/>
  <c r="H298" i="71" s="1"/>
  <c r="H299" i="71" s="1"/>
  <c r="H300" i="71" s="1"/>
  <c r="H301" i="71" s="1"/>
  <c r="H302" i="71" s="1"/>
  <c r="H303" i="71" s="1"/>
  <c r="H304" i="71" s="1"/>
  <c r="H305" i="71" s="1"/>
  <c r="H306" i="71" s="1"/>
  <c r="H307" i="71" s="1"/>
  <c r="H308" i="71" s="1"/>
  <c r="H309" i="71" s="1"/>
  <c r="H310" i="71" s="1"/>
  <c r="H311" i="71" s="1"/>
  <c r="H312" i="71" s="1"/>
  <c r="H313" i="71" s="1"/>
  <c r="H314" i="71" s="1"/>
  <c r="H315" i="71" s="1"/>
  <c r="H316" i="71" s="1"/>
  <c r="H317" i="71" s="1"/>
  <c r="H318" i="71" s="1"/>
  <c r="H319" i="71" s="1"/>
  <c r="H320" i="71" s="1"/>
  <c r="H321" i="71" s="1"/>
  <c r="H322" i="71" s="1"/>
  <c r="H323" i="71" s="1"/>
  <c r="H324" i="71" s="1"/>
  <c r="H325" i="71" s="1"/>
  <c r="H326" i="71" s="1"/>
  <c r="H327" i="71" s="1"/>
  <c r="H328" i="71" s="1"/>
  <c r="H329" i="71" s="1"/>
  <c r="H330" i="71" s="1"/>
  <c r="H331" i="71" s="1"/>
  <c r="H332" i="71" s="1"/>
  <c r="H333" i="71" s="1"/>
  <c r="H334" i="71" s="1"/>
  <c r="H335" i="71" s="1"/>
  <c r="H336" i="71" s="1"/>
  <c r="H337" i="71" s="1"/>
  <c r="H338" i="71" s="1"/>
  <c r="H339" i="71" s="1"/>
  <c r="H340" i="71" s="1"/>
  <c r="H7" i="71"/>
  <c r="I3" i="75"/>
  <c r="I5" i="75" s="1"/>
  <c r="E6" i="75"/>
  <c r="E5" i="75"/>
  <c r="E4" i="75"/>
  <c r="I4" i="75" l="1"/>
  <c r="I6" i="75"/>
  <c r="F4" i="71" l="1"/>
  <c r="C112" i="68"/>
  <c r="H80" i="68"/>
  <c r="H91" i="68"/>
  <c r="H90" i="68"/>
  <c r="H71" i="68"/>
  <c r="H70" i="68"/>
  <c r="H57" i="68"/>
  <c r="H56" i="68"/>
  <c r="H109" i="68"/>
  <c r="H103" i="68"/>
  <c r="H102" i="68"/>
  <c r="H96" i="68"/>
  <c r="H84" i="68"/>
  <c r="H75" i="68"/>
  <c r="H65" i="68"/>
  <c r="H63" i="68"/>
  <c r="H62" i="68"/>
  <c r="H50" i="68"/>
  <c r="H44" i="68"/>
  <c r="H38" i="68"/>
  <c r="H32" i="68"/>
  <c r="H24" i="68"/>
  <c r="H18" i="68"/>
  <c r="H12" i="68"/>
  <c r="H6" i="68"/>
  <c r="H5" i="68"/>
  <c r="H4" i="68"/>
  <c r="H3" i="68"/>
  <c r="D73" i="70" l="1"/>
  <c r="B72" i="70"/>
  <c r="B71" i="70"/>
  <c r="B70" i="70"/>
  <c r="B69" i="70"/>
  <c r="B68" i="70"/>
  <c r="B67" i="70"/>
  <c r="B66" i="70"/>
  <c r="B65" i="70"/>
  <c r="B64" i="70"/>
  <c r="B63" i="70"/>
  <c r="B62" i="70"/>
  <c r="B61" i="70"/>
  <c r="B60" i="70"/>
  <c r="B59" i="70"/>
  <c r="B58" i="70"/>
  <c r="B57" i="70"/>
  <c r="B56" i="70"/>
  <c r="B55" i="70"/>
  <c r="B54" i="70"/>
  <c r="B53" i="70"/>
  <c r="B52" i="70"/>
  <c r="B51" i="70"/>
  <c r="B50" i="70"/>
  <c r="B49" i="70"/>
  <c r="B48" i="70"/>
  <c r="B47" i="70"/>
  <c r="H302" i="73" l="1"/>
  <c r="G302" i="73"/>
  <c r="F302" i="73"/>
  <c r="E302" i="73"/>
  <c r="I302" i="73" s="1"/>
  <c r="J302" i="73" s="1"/>
  <c r="D302" i="73"/>
  <c r="H301" i="73"/>
  <c r="G301" i="73"/>
  <c r="F301" i="73"/>
  <c r="E301" i="73"/>
  <c r="I301" i="73" s="1"/>
  <c r="J301" i="73" s="1"/>
  <c r="D301" i="73"/>
  <c r="H300" i="73"/>
  <c r="G300" i="73"/>
  <c r="F300" i="73"/>
  <c r="E300" i="73"/>
  <c r="I300" i="73" s="1"/>
  <c r="J300" i="73" s="1"/>
  <c r="D300" i="73"/>
  <c r="H299" i="73"/>
  <c r="G299" i="73"/>
  <c r="F299" i="73"/>
  <c r="E299" i="73"/>
  <c r="D299" i="73"/>
  <c r="H298" i="73"/>
  <c r="G298" i="73"/>
  <c r="F298" i="73"/>
  <c r="E298" i="73"/>
  <c r="I298" i="73" s="1"/>
  <c r="J298" i="73" s="1"/>
  <c r="D298" i="73"/>
  <c r="H297" i="73"/>
  <c r="G297" i="73"/>
  <c r="F297" i="73"/>
  <c r="E297" i="73"/>
  <c r="D297" i="73"/>
  <c r="H296" i="73"/>
  <c r="G296" i="73"/>
  <c r="F296" i="73"/>
  <c r="E296" i="73"/>
  <c r="I296" i="73" s="1"/>
  <c r="J296" i="73" s="1"/>
  <c r="D296" i="73"/>
  <c r="H295" i="73"/>
  <c r="G295" i="73"/>
  <c r="F295" i="73"/>
  <c r="E295" i="73"/>
  <c r="I295" i="73" s="1"/>
  <c r="J295" i="73" s="1"/>
  <c r="D295" i="73"/>
  <c r="H294" i="73"/>
  <c r="G294" i="73"/>
  <c r="F294" i="73"/>
  <c r="E294" i="73"/>
  <c r="I294" i="73" s="1"/>
  <c r="J294" i="73" s="1"/>
  <c r="D294" i="73"/>
  <c r="H293" i="73"/>
  <c r="G293" i="73"/>
  <c r="F293" i="73"/>
  <c r="E293" i="73"/>
  <c r="I293" i="73" s="1"/>
  <c r="J293" i="73" s="1"/>
  <c r="D293" i="73"/>
  <c r="H292" i="73"/>
  <c r="G292" i="73"/>
  <c r="F292" i="73"/>
  <c r="E292" i="73"/>
  <c r="I292" i="73" s="1"/>
  <c r="J292" i="73" s="1"/>
  <c r="D292" i="73"/>
  <c r="H291" i="73"/>
  <c r="G291" i="73"/>
  <c r="F291" i="73"/>
  <c r="E291" i="73"/>
  <c r="D291" i="73"/>
  <c r="H290" i="73"/>
  <c r="G290" i="73"/>
  <c r="F290" i="73"/>
  <c r="E290" i="73"/>
  <c r="I290" i="73" s="1"/>
  <c r="J290" i="73" s="1"/>
  <c r="D290" i="73"/>
  <c r="V139" i="2"/>
  <c r="V138" i="2"/>
  <c r="V137" i="2"/>
  <c r="V136" i="2"/>
  <c r="V1176" i="2"/>
  <c r="Q209" i="2"/>
  <c r="P209" i="2"/>
  <c r="D209" i="2"/>
  <c r="AB208" i="2"/>
  <c r="W208" i="2"/>
  <c r="Q208" i="2"/>
  <c r="P208" i="2"/>
  <c r="C208" i="2"/>
  <c r="AB207" i="2"/>
  <c r="Y207" i="2"/>
  <c r="W207" i="2"/>
  <c r="U207" i="2"/>
  <c r="Q207" i="2"/>
  <c r="P207" i="2"/>
  <c r="C207" i="2"/>
  <c r="Q206" i="2"/>
  <c r="P206" i="2"/>
  <c r="D206" i="2"/>
  <c r="AB205" i="2"/>
  <c r="W205" i="2"/>
  <c r="Q205" i="2"/>
  <c r="P205" i="2"/>
  <c r="C205" i="2"/>
  <c r="AB204" i="2"/>
  <c r="Y204" i="2"/>
  <c r="W204" i="2"/>
  <c r="U204" i="2"/>
  <c r="Q204" i="2"/>
  <c r="P204" i="2"/>
  <c r="C204" i="2"/>
  <c r="Q203" i="2"/>
  <c r="P203" i="2"/>
  <c r="D203" i="2"/>
  <c r="AB202" i="2"/>
  <c r="W202" i="2"/>
  <c r="Q202" i="2"/>
  <c r="P202" i="2"/>
  <c r="C202" i="2"/>
  <c r="AB201" i="2"/>
  <c r="Y201" i="2"/>
  <c r="W201" i="2"/>
  <c r="U201" i="2"/>
  <c r="Q201" i="2"/>
  <c r="P201" i="2"/>
  <c r="C201" i="2"/>
  <c r="AB210" i="2"/>
  <c r="Y210" i="2"/>
  <c r="W210" i="2"/>
  <c r="U210" i="2"/>
  <c r="Q210" i="2"/>
  <c r="P210" i="2"/>
  <c r="C210" i="2"/>
  <c r="F6" i="76" l="1"/>
  <c r="I297" i="73"/>
  <c r="J297" i="73" s="1"/>
  <c r="I299" i="73"/>
  <c r="J299" i="73" s="1"/>
  <c r="I291" i="73"/>
  <c r="J291" i="73" s="1"/>
  <c r="U197" i="2"/>
  <c r="P2147" i="2" l="1"/>
  <c r="P2146" i="2"/>
  <c r="P2145" i="2"/>
  <c r="P2144" i="2"/>
  <c r="P2143" i="2"/>
  <c r="P2121" i="2"/>
  <c r="P2089" i="2"/>
  <c r="P2061" i="2"/>
  <c r="P1957" i="2"/>
  <c r="P1837" i="2"/>
  <c r="P1726" i="2"/>
  <c r="P1456" i="2"/>
  <c r="P1369" i="2"/>
  <c r="P1210" i="2"/>
  <c r="P1191" i="2"/>
  <c r="P1171" i="2"/>
  <c r="P1160" i="2"/>
  <c r="P1135" i="2"/>
  <c r="P1069" i="2"/>
  <c r="P973" i="2"/>
  <c r="P806" i="2"/>
  <c r="P662" i="2"/>
  <c r="P234" i="2"/>
  <c r="P199" i="2"/>
  <c r="P185" i="2"/>
  <c r="P172" i="2"/>
  <c r="P171" i="2"/>
  <c r="P73" i="2"/>
  <c r="P13" i="2"/>
  <c r="C172" i="2"/>
  <c r="C171" i="2"/>
  <c r="D170" i="2"/>
  <c r="V157" i="2" l="1"/>
  <c r="U164" i="2" l="1"/>
  <c r="Q159" i="2"/>
  <c r="P159" i="2"/>
  <c r="D159" i="2"/>
  <c r="AB158" i="2"/>
  <c r="W158" i="2"/>
  <c r="Q158" i="2"/>
  <c r="P158" i="2"/>
  <c r="C158" i="2"/>
  <c r="U1937" i="2"/>
  <c r="Q1938" i="2"/>
  <c r="P1938" i="2"/>
  <c r="D1938" i="2"/>
  <c r="AB1937" i="2"/>
  <c r="W1937" i="2"/>
  <c r="Q1937" i="2"/>
  <c r="P1937" i="2"/>
  <c r="C1937" i="2"/>
  <c r="U1909" i="2"/>
  <c r="U1873" i="2"/>
  <c r="Q1910" i="2"/>
  <c r="P1910" i="2"/>
  <c r="D1910" i="2"/>
  <c r="AB1909" i="2"/>
  <c r="W1909" i="2"/>
  <c r="Q1909" i="2"/>
  <c r="P1909" i="2"/>
  <c r="C1909" i="2"/>
  <c r="Q1874" i="2"/>
  <c r="P1874" i="2"/>
  <c r="D1874" i="2"/>
  <c r="AB1873" i="2"/>
  <c r="W1873" i="2"/>
  <c r="Q1873" i="2"/>
  <c r="P1873" i="2"/>
  <c r="C1873" i="2"/>
  <c r="B6" i="74"/>
  <c r="B5" i="74"/>
  <c r="B4" i="74"/>
  <c r="H7" i="74" l="1"/>
  <c r="H6" i="74"/>
  <c r="H5" i="74"/>
  <c r="H4" i="74"/>
  <c r="H3" i="74"/>
  <c r="G7" i="74"/>
  <c r="G3" i="74"/>
  <c r="F7" i="74"/>
  <c r="F3" i="74"/>
  <c r="E7" i="74"/>
  <c r="E6" i="74"/>
  <c r="E5" i="74"/>
  <c r="E4" i="74"/>
  <c r="U723" i="2" s="1"/>
  <c r="E3" i="74"/>
  <c r="B83" i="68"/>
  <c r="B101" i="68"/>
  <c r="G4" i="74" l="1"/>
  <c r="G5" i="74"/>
  <c r="G6" i="74"/>
  <c r="F5" i="74"/>
  <c r="F4" i="74"/>
  <c r="F6" i="74"/>
  <c r="B95" i="68" l="1"/>
  <c r="B89" i="68"/>
  <c r="C1771" i="2" l="1"/>
  <c r="P1771" i="2"/>
  <c r="Q1771" i="2"/>
  <c r="W1771" i="2"/>
  <c r="AB1771" i="2"/>
  <c r="D1772" i="2"/>
  <c r="P1772" i="2"/>
  <c r="Q1772" i="2"/>
  <c r="Q2142" i="2"/>
  <c r="P2142" i="2"/>
  <c r="D2142" i="2"/>
  <c r="AB2141" i="2"/>
  <c r="W2141" i="2"/>
  <c r="Q2141" i="2"/>
  <c r="P2141" i="2"/>
  <c r="C2141" i="2"/>
  <c r="B31" i="68"/>
  <c r="B43" i="68"/>
  <c r="B49" i="68"/>
  <c r="B37" i="68"/>
  <c r="B55" i="68" l="1"/>
  <c r="C54" i="68"/>
  <c r="C44" i="68"/>
  <c r="C62" i="68"/>
  <c r="S2120" i="2"/>
  <c r="C81" i="68"/>
  <c r="C50" i="68" l="1"/>
  <c r="C47" i="68"/>
  <c r="C52" i="68"/>
  <c r="C48" i="68"/>
  <c r="C53" i="68"/>
  <c r="C45" i="68"/>
  <c r="C51" i="68"/>
  <c r="C46" i="68"/>
  <c r="H349" i="5"/>
  <c r="G349" i="5"/>
  <c r="F349" i="5"/>
  <c r="E349" i="5"/>
  <c r="I349" i="5" s="1"/>
  <c r="D349" i="5"/>
  <c r="H348" i="5"/>
  <c r="G348" i="5"/>
  <c r="F348" i="5"/>
  <c r="E348" i="5"/>
  <c r="I348" i="5" s="1"/>
  <c r="J348" i="5" s="1"/>
  <c r="D348" i="5"/>
  <c r="H347" i="5"/>
  <c r="G347" i="5"/>
  <c r="F347" i="5"/>
  <c r="E347" i="5"/>
  <c r="I347" i="5" s="1"/>
  <c r="J347" i="5" s="1"/>
  <c r="D347" i="5"/>
  <c r="H346" i="5"/>
  <c r="G346" i="5"/>
  <c r="F346" i="5"/>
  <c r="E346" i="5"/>
  <c r="I346" i="5" s="1"/>
  <c r="D346" i="5"/>
  <c r="H356" i="5"/>
  <c r="G356" i="5"/>
  <c r="F356" i="5"/>
  <c r="E356" i="5"/>
  <c r="I356" i="5" s="1"/>
  <c r="D356" i="5"/>
  <c r="H355" i="5"/>
  <c r="G355" i="5"/>
  <c r="F355" i="5"/>
  <c r="E355" i="5"/>
  <c r="I355" i="5" s="1"/>
  <c r="D355" i="5"/>
  <c r="H354" i="5"/>
  <c r="G354" i="5"/>
  <c r="F354" i="5"/>
  <c r="E354" i="5"/>
  <c r="I354" i="5" s="1"/>
  <c r="D354" i="5"/>
  <c r="H353" i="5"/>
  <c r="G353" i="5"/>
  <c r="F353" i="5"/>
  <c r="E353" i="5"/>
  <c r="I353" i="5" s="1"/>
  <c r="D353" i="5"/>
  <c r="H352" i="5"/>
  <c r="G352" i="5"/>
  <c r="F352" i="5"/>
  <c r="E352" i="5"/>
  <c r="I352" i="5" s="1"/>
  <c r="J352" i="5" s="1"/>
  <c r="D352" i="5"/>
  <c r="H351" i="5"/>
  <c r="G351" i="5"/>
  <c r="F351" i="5"/>
  <c r="E351" i="5"/>
  <c r="I351" i="5" s="1"/>
  <c r="D351" i="5"/>
  <c r="H350" i="5"/>
  <c r="G350" i="5"/>
  <c r="F350" i="5"/>
  <c r="E350" i="5"/>
  <c r="I350" i="5" s="1"/>
  <c r="D350" i="5"/>
  <c r="J346" i="5" l="1"/>
  <c r="J349" i="5"/>
  <c r="J356" i="5"/>
  <c r="J350" i="5"/>
  <c r="J355" i="5"/>
  <c r="J351" i="5"/>
  <c r="J353" i="5"/>
  <c r="J354" i="5"/>
  <c r="Q109" i="2" l="1"/>
  <c r="P109" i="2"/>
  <c r="D109" i="2"/>
  <c r="AB108" i="2"/>
  <c r="W108" i="2"/>
  <c r="Q108" i="2"/>
  <c r="P108" i="2"/>
  <c r="C108" i="2"/>
  <c r="AB107" i="2"/>
  <c r="Y107" i="2"/>
  <c r="W107" i="2"/>
  <c r="U107" i="2"/>
  <c r="Q107" i="2"/>
  <c r="P107" i="2"/>
  <c r="C107" i="2"/>
  <c r="Q1713" i="2"/>
  <c r="P1713" i="2"/>
  <c r="D1713" i="2"/>
  <c r="Q1645" i="2"/>
  <c r="P1645" i="2"/>
  <c r="D1645" i="2"/>
  <c r="Q1584" i="2"/>
  <c r="P1584" i="2"/>
  <c r="D1584" i="2"/>
  <c r="Q1510" i="2"/>
  <c r="P1510" i="2"/>
  <c r="D1510" i="2"/>
  <c r="Q1461" i="2"/>
  <c r="P1461" i="2"/>
  <c r="D1461" i="2"/>
  <c r="C345" i="61"/>
  <c r="U940" i="2" l="1"/>
  <c r="Q941" i="2"/>
  <c r="P941" i="2"/>
  <c r="D941" i="2"/>
  <c r="AB940" i="2"/>
  <c r="W940" i="2"/>
  <c r="Q940" i="2"/>
  <c r="P940" i="2"/>
  <c r="C940" i="2"/>
  <c r="Q923" i="2"/>
  <c r="P923" i="2"/>
  <c r="D923" i="2"/>
  <c r="Q922" i="2"/>
  <c r="P922" i="2"/>
  <c r="D922" i="2"/>
  <c r="AB921" i="2"/>
  <c r="W921" i="2"/>
  <c r="Q921" i="2"/>
  <c r="P921" i="2"/>
  <c r="C921" i="2"/>
  <c r="U886" i="2"/>
  <c r="U904" i="2" s="1"/>
  <c r="Q905" i="2"/>
  <c r="P905" i="2"/>
  <c r="D905" i="2"/>
  <c r="AB904" i="2"/>
  <c r="W904" i="2"/>
  <c r="Q904" i="2"/>
  <c r="P904" i="2"/>
  <c r="C904" i="2"/>
  <c r="Q888" i="2"/>
  <c r="P888" i="2"/>
  <c r="D888" i="2"/>
  <c r="Q887" i="2"/>
  <c r="P887" i="2"/>
  <c r="D887" i="2"/>
  <c r="AB886" i="2"/>
  <c r="W886" i="2"/>
  <c r="Q886" i="2"/>
  <c r="P886" i="2"/>
  <c r="C886" i="2"/>
  <c r="U834" i="2"/>
  <c r="Q835" i="2"/>
  <c r="P835" i="2"/>
  <c r="D835" i="2"/>
  <c r="AB834" i="2"/>
  <c r="W834" i="2"/>
  <c r="Q834" i="2"/>
  <c r="P834" i="2"/>
  <c r="C834" i="2"/>
  <c r="Q818" i="2"/>
  <c r="P818" i="2"/>
  <c r="D818" i="2"/>
  <c r="Q817" i="2"/>
  <c r="P817" i="2"/>
  <c r="D817" i="2"/>
  <c r="AB816" i="2"/>
  <c r="W816" i="2"/>
  <c r="Q816" i="2"/>
  <c r="P816" i="2"/>
  <c r="C816" i="2"/>
  <c r="U869" i="2"/>
  <c r="Q870" i="2"/>
  <c r="P870" i="2"/>
  <c r="D870" i="2"/>
  <c r="AB869" i="2"/>
  <c r="W869" i="2"/>
  <c r="Q869" i="2"/>
  <c r="P869" i="2"/>
  <c r="C869" i="2"/>
  <c r="Q853" i="2"/>
  <c r="P853" i="2"/>
  <c r="D853" i="2"/>
  <c r="Q852" i="2"/>
  <c r="P852" i="2"/>
  <c r="D852" i="2"/>
  <c r="AB851" i="2"/>
  <c r="W851" i="2"/>
  <c r="Q851" i="2"/>
  <c r="P851" i="2"/>
  <c r="C851" i="2"/>
  <c r="C344" i="61"/>
  <c r="Q841" i="2" l="1"/>
  <c r="P841" i="2"/>
  <c r="D841" i="2"/>
  <c r="AB840" i="2"/>
  <c r="W840" i="2"/>
  <c r="Q840" i="2"/>
  <c r="P840" i="2"/>
  <c r="C840" i="2"/>
  <c r="V1437" i="2"/>
  <c r="V1419" i="2"/>
  <c r="V1399" i="2"/>
  <c r="Q1443" i="2" l="1"/>
  <c r="P1443" i="2"/>
  <c r="D1443" i="2"/>
  <c r="Q1442" i="2"/>
  <c r="P1442" i="2"/>
  <c r="D1442" i="2"/>
  <c r="AB1441" i="2"/>
  <c r="W1441" i="2"/>
  <c r="Y1441" i="2" s="1"/>
  <c r="T1441" i="2"/>
  <c r="Q1441" i="2"/>
  <c r="P1441" i="2"/>
  <c r="D1441" i="2"/>
  <c r="Q1440" i="2"/>
  <c r="P1440" i="2"/>
  <c r="D1440" i="2"/>
  <c r="Q1439" i="2"/>
  <c r="P1439" i="2"/>
  <c r="D1439" i="2"/>
  <c r="Q1438" i="2"/>
  <c r="P1438" i="2"/>
  <c r="D1438" i="2"/>
  <c r="Q1437" i="2"/>
  <c r="P1437" i="2"/>
  <c r="D1437" i="2"/>
  <c r="AB1436" i="2"/>
  <c r="W1436" i="2"/>
  <c r="Q1436" i="2"/>
  <c r="P1436" i="2"/>
  <c r="C1436" i="2"/>
  <c r="Q1425" i="2"/>
  <c r="P1425" i="2"/>
  <c r="D1425" i="2"/>
  <c r="Q1424" i="2"/>
  <c r="P1424" i="2"/>
  <c r="D1424" i="2"/>
  <c r="AB1423" i="2"/>
  <c r="W1423" i="2"/>
  <c r="Y1423" i="2" s="1"/>
  <c r="T1423" i="2"/>
  <c r="Q1423" i="2"/>
  <c r="P1423" i="2"/>
  <c r="D1423" i="2"/>
  <c r="Q1422" i="2"/>
  <c r="P1422" i="2"/>
  <c r="D1422" i="2"/>
  <c r="Q1421" i="2"/>
  <c r="P1421" i="2"/>
  <c r="D1421" i="2"/>
  <c r="Q1420" i="2"/>
  <c r="P1420" i="2"/>
  <c r="D1420" i="2"/>
  <c r="Q1419" i="2"/>
  <c r="P1419" i="2"/>
  <c r="D1419" i="2"/>
  <c r="AB1418" i="2"/>
  <c r="W1418" i="2"/>
  <c r="Q1418" i="2"/>
  <c r="P1418" i="2"/>
  <c r="C1418" i="2"/>
  <c r="Q1404" i="2"/>
  <c r="P1404" i="2"/>
  <c r="D1404" i="2"/>
  <c r="Q1402" i="2"/>
  <c r="P1402" i="2"/>
  <c r="D1402" i="2"/>
  <c r="Q1401" i="2"/>
  <c r="P1401" i="2"/>
  <c r="D1401" i="2"/>
  <c r="Q1400" i="2"/>
  <c r="P1400" i="2"/>
  <c r="D1400" i="2"/>
  <c r="Q1399" i="2"/>
  <c r="P1399" i="2"/>
  <c r="D1399" i="2"/>
  <c r="U1771" i="2" l="1"/>
  <c r="B91" i="68" s="1"/>
  <c r="C121" i="2" l="1"/>
  <c r="P121" i="2"/>
  <c r="Q121" i="2"/>
  <c r="W121" i="2"/>
  <c r="AB121" i="2"/>
  <c r="D122" i="2"/>
  <c r="P122" i="2"/>
  <c r="Q122" i="2"/>
  <c r="C115" i="2"/>
  <c r="P115" i="2"/>
  <c r="Q115" i="2"/>
  <c r="U115" i="2"/>
  <c r="W115" i="2"/>
  <c r="Y115" i="2"/>
  <c r="AB115" i="2"/>
  <c r="C116" i="2"/>
  <c r="P116" i="2"/>
  <c r="Q116" i="2"/>
  <c r="W116" i="2"/>
  <c r="AB116" i="2"/>
  <c r="D117" i="2"/>
  <c r="P117" i="2"/>
  <c r="Q117" i="2"/>
  <c r="B175" i="72"/>
  <c r="B174" i="72"/>
  <c r="B173" i="72"/>
  <c r="B172" i="72"/>
  <c r="B171" i="72"/>
  <c r="B170" i="72"/>
  <c r="B169" i="72"/>
  <c r="B168" i="72"/>
  <c r="B167" i="72"/>
  <c r="B166" i="72"/>
  <c r="B165" i="72"/>
  <c r="B164" i="72"/>
  <c r="B163" i="72"/>
  <c r="B162" i="72"/>
  <c r="B161" i="72"/>
  <c r="B160" i="72"/>
  <c r="B159" i="72"/>
  <c r="B158" i="72"/>
  <c r="B157" i="72"/>
  <c r="B156" i="72"/>
  <c r="B155" i="72"/>
  <c r="B154" i="72"/>
  <c r="B153" i="72"/>
  <c r="B152" i="72"/>
  <c r="B151" i="72"/>
  <c r="B150" i="72"/>
  <c r="B149" i="72"/>
  <c r="B148" i="72"/>
  <c r="B147" i="72"/>
  <c r="B146" i="72"/>
  <c r="B145" i="72"/>
  <c r="B144" i="72"/>
  <c r="B143" i="72"/>
  <c r="B142" i="72"/>
  <c r="B141" i="72"/>
  <c r="B140" i="72"/>
  <c r="B139" i="72"/>
  <c r="B138" i="72"/>
  <c r="B137" i="72"/>
  <c r="B136" i="72"/>
  <c r="B135" i="72"/>
  <c r="B134" i="72"/>
  <c r="B133" i="72"/>
  <c r="B132" i="72"/>
  <c r="B131" i="72"/>
  <c r="B130" i="72"/>
  <c r="B129" i="72"/>
  <c r="B128" i="72"/>
  <c r="B127" i="72"/>
  <c r="B126" i="72"/>
  <c r="B125" i="72"/>
  <c r="B124" i="72"/>
  <c r="B123" i="72"/>
  <c r="B122" i="72"/>
  <c r="B121" i="72"/>
  <c r="B120" i="72"/>
  <c r="B119" i="72"/>
  <c r="B118" i="72"/>
  <c r="B117" i="72"/>
  <c r="B116" i="72"/>
  <c r="B115" i="72"/>
  <c r="B114" i="72"/>
  <c r="B113" i="72"/>
  <c r="B112" i="72"/>
  <c r="B111" i="72"/>
  <c r="B110" i="72"/>
  <c r="B109" i="72"/>
  <c r="B108" i="72"/>
  <c r="B107" i="72"/>
  <c r="B106" i="72"/>
  <c r="B105" i="72"/>
  <c r="B104" i="72"/>
  <c r="B103" i="72"/>
  <c r="B102" i="72"/>
  <c r="B101" i="72"/>
  <c r="B100" i="72"/>
  <c r="B99" i="72"/>
  <c r="B98" i="72"/>
  <c r="B97" i="72"/>
  <c r="B96" i="72"/>
  <c r="B95" i="72"/>
  <c r="B94" i="72"/>
  <c r="B93" i="72"/>
  <c r="B92" i="72"/>
  <c r="B91" i="72"/>
  <c r="B90" i="72"/>
  <c r="B89" i="72"/>
  <c r="B88" i="72"/>
  <c r="B87" i="72"/>
  <c r="B86" i="72"/>
  <c r="B85" i="72"/>
  <c r="B84" i="72"/>
  <c r="B83" i="72"/>
  <c r="B82" i="72"/>
  <c r="B81" i="72"/>
  <c r="B80" i="72"/>
  <c r="B79" i="72"/>
  <c r="B78" i="72"/>
  <c r="B77" i="72"/>
  <c r="B76" i="72"/>
  <c r="B75" i="72"/>
  <c r="B74" i="72"/>
  <c r="B73" i="72"/>
  <c r="B72" i="72"/>
  <c r="B71" i="72"/>
  <c r="B70" i="72"/>
  <c r="B69" i="72"/>
  <c r="B68" i="72"/>
  <c r="B67" i="72"/>
  <c r="B66" i="72"/>
  <c r="B65" i="72"/>
  <c r="B64" i="72"/>
  <c r="B63" i="72"/>
  <c r="B62" i="72"/>
  <c r="B61" i="72"/>
  <c r="B60" i="72"/>
  <c r="B59" i="72"/>
  <c r="B58" i="72"/>
  <c r="B57" i="72"/>
  <c r="B56" i="72"/>
  <c r="B55" i="72"/>
  <c r="B54" i="72"/>
  <c r="B53" i="72"/>
  <c r="B52" i="72"/>
  <c r="B51" i="72"/>
  <c r="B50" i="72"/>
  <c r="B49" i="72"/>
  <c r="B48" i="72"/>
  <c r="B47" i="72"/>
  <c r="B46" i="72"/>
  <c r="B45" i="72"/>
  <c r="B44" i="72"/>
  <c r="B43" i="72"/>
  <c r="B42" i="72"/>
  <c r="B41" i="72"/>
  <c r="B40" i="72"/>
  <c r="B39" i="72"/>
  <c r="B38" i="72"/>
  <c r="B37" i="72"/>
  <c r="B36" i="72"/>
  <c r="B35" i="72"/>
  <c r="B34" i="72"/>
  <c r="B33" i="72"/>
  <c r="B32" i="72"/>
  <c r="B31" i="72"/>
  <c r="B30" i="72"/>
  <c r="B29" i="72"/>
  <c r="B28" i="72"/>
  <c r="B27" i="72"/>
  <c r="B26" i="72"/>
  <c r="B25" i="72"/>
  <c r="B24" i="72"/>
  <c r="B23" i="72"/>
  <c r="B22" i="72"/>
  <c r="B21" i="72"/>
  <c r="B20" i="72"/>
  <c r="B19" i="72"/>
  <c r="B18" i="72"/>
  <c r="B17" i="72"/>
  <c r="B16" i="72"/>
  <c r="B15" i="72"/>
  <c r="B14" i="72"/>
  <c r="B13" i="72"/>
  <c r="B12" i="72"/>
  <c r="B11" i="72"/>
  <c r="B10" i="72"/>
  <c r="B9" i="72"/>
  <c r="B8" i="72"/>
  <c r="B7" i="72"/>
  <c r="B6" i="72"/>
  <c r="A175" i="72"/>
  <c r="A174" i="72"/>
  <c r="A173" i="72"/>
  <c r="A172" i="72"/>
  <c r="A171" i="72"/>
  <c r="A170" i="72"/>
  <c r="A169" i="72"/>
  <c r="A168" i="72"/>
  <c r="A167" i="72"/>
  <c r="A166" i="72"/>
  <c r="A165" i="72"/>
  <c r="A164" i="72"/>
  <c r="A163" i="72"/>
  <c r="A162" i="72"/>
  <c r="A161" i="72"/>
  <c r="A160" i="72"/>
  <c r="A159" i="72"/>
  <c r="A158" i="72"/>
  <c r="A157" i="72"/>
  <c r="A156" i="72"/>
  <c r="A155" i="72"/>
  <c r="A154" i="72"/>
  <c r="A153" i="72"/>
  <c r="A152" i="72"/>
  <c r="A151" i="72"/>
  <c r="A150" i="72"/>
  <c r="A149" i="72"/>
  <c r="A148" i="72"/>
  <c r="A147" i="72"/>
  <c r="A146" i="72"/>
  <c r="A145" i="72"/>
  <c r="A144" i="72"/>
  <c r="A143" i="72"/>
  <c r="A142" i="72"/>
  <c r="A141" i="72"/>
  <c r="A140" i="72"/>
  <c r="A139" i="72"/>
  <c r="A138" i="72"/>
  <c r="A137" i="72"/>
  <c r="A136" i="72"/>
  <c r="A135" i="72"/>
  <c r="A134" i="72"/>
  <c r="A133" i="72"/>
  <c r="A132" i="72"/>
  <c r="A131" i="72"/>
  <c r="A130" i="72"/>
  <c r="A129" i="72"/>
  <c r="A128" i="72"/>
  <c r="A127" i="72"/>
  <c r="A126" i="72"/>
  <c r="A125" i="72"/>
  <c r="A124" i="72"/>
  <c r="A123" i="72"/>
  <c r="A122" i="72"/>
  <c r="A121" i="72"/>
  <c r="A120" i="72"/>
  <c r="A119" i="72"/>
  <c r="A118" i="72"/>
  <c r="A117" i="72"/>
  <c r="A116" i="72"/>
  <c r="A115" i="72"/>
  <c r="A114" i="72"/>
  <c r="A113" i="72"/>
  <c r="A112" i="72"/>
  <c r="A111" i="72"/>
  <c r="A110" i="72"/>
  <c r="A109" i="72"/>
  <c r="A108" i="72"/>
  <c r="A107" i="72"/>
  <c r="A106" i="72"/>
  <c r="A105" i="72"/>
  <c r="A104" i="72"/>
  <c r="A103" i="72"/>
  <c r="A102" i="72"/>
  <c r="A101" i="72"/>
  <c r="A100" i="72"/>
  <c r="A99" i="72"/>
  <c r="A98" i="72"/>
  <c r="A97" i="72"/>
  <c r="A96" i="72"/>
  <c r="A95" i="72"/>
  <c r="A94" i="72"/>
  <c r="A93" i="72"/>
  <c r="A92" i="72"/>
  <c r="A91" i="72"/>
  <c r="A90" i="72"/>
  <c r="A89" i="72"/>
  <c r="A88" i="72"/>
  <c r="A87" i="72"/>
  <c r="A86" i="72"/>
  <c r="A85" i="72"/>
  <c r="A84" i="72"/>
  <c r="A83" i="72"/>
  <c r="A82" i="72"/>
  <c r="A81" i="72"/>
  <c r="A80" i="72"/>
  <c r="A79" i="72"/>
  <c r="A78" i="72"/>
  <c r="A77" i="72"/>
  <c r="A76" i="72"/>
  <c r="A75" i="72"/>
  <c r="A74" i="72"/>
  <c r="A73" i="72"/>
  <c r="A72" i="72"/>
  <c r="A71" i="72"/>
  <c r="A70" i="72"/>
  <c r="A69" i="72"/>
  <c r="A68" i="72"/>
  <c r="A67" i="72"/>
  <c r="A66" i="72"/>
  <c r="A65" i="72"/>
  <c r="A64" i="72"/>
  <c r="A63" i="72"/>
  <c r="A62" i="72"/>
  <c r="A61" i="72"/>
  <c r="A60" i="72"/>
  <c r="A59" i="72"/>
  <c r="A58" i="72"/>
  <c r="A57" i="72"/>
  <c r="A56" i="72"/>
  <c r="A55" i="72"/>
  <c r="A54" i="72"/>
  <c r="A53" i="72"/>
  <c r="A52" i="72"/>
  <c r="A51" i="72"/>
  <c r="A50" i="72"/>
  <c r="A49" i="72"/>
  <c r="A48" i="72"/>
  <c r="A47" i="72"/>
  <c r="A46" i="72"/>
  <c r="A45" i="72"/>
  <c r="A44" i="72"/>
  <c r="A43" i="72"/>
  <c r="A42" i="72"/>
  <c r="A41" i="72"/>
  <c r="A40" i="72"/>
  <c r="A39" i="72"/>
  <c r="A38" i="72"/>
  <c r="A37" i="72"/>
  <c r="A36" i="72"/>
  <c r="A35" i="72"/>
  <c r="A34" i="72"/>
  <c r="A33" i="72"/>
  <c r="A32" i="72"/>
  <c r="A31" i="72"/>
  <c r="A30" i="72"/>
  <c r="A29" i="72"/>
  <c r="A28" i="72"/>
  <c r="A27" i="72"/>
  <c r="A26" i="72"/>
  <c r="A25" i="72"/>
  <c r="A24" i="72"/>
  <c r="A23" i="72"/>
  <c r="A22" i="72"/>
  <c r="A21" i="72"/>
  <c r="A20" i="72"/>
  <c r="A19" i="72"/>
  <c r="A18" i="72"/>
  <c r="A17" i="72"/>
  <c r="A16" i="72"/>
  <c r="A15" i="72"/>
  <c r="A14" i="72"/>
  <c r="A13" i="72"/>
  <c r="A12" i="72"/>
  <c r="A11" i="72"/>
  <c r="A10" i="72"/>
  <c r="A9" i="72"/>
  <c r="A8" i="72"/>
  <c r="A7" i="72"/>
  <c r="A6" i="72"/>
  <c r="D61" i="68"/>
  <c r="D62" i="68"/>
  <c r="D80" i="68"/>
  <c r="D81" i="68"/>
  <c r="Q1704" i="2"/>
  <c r="P1704" i="2"/>
  <c r="D1704" i="2"/>
  <c r="AB1703" i="2"/>
  <c r="W1703" i="2"/>
  <c r="Q1703" i="2"/>
  <c r="P1703" i="2"/>
  <c r="C1703" i="2"/>
  <c r="V1686" i="2"/>
  <c r="V1685" i="2"/>
  <c r="V1684" i="2"/>
  <c r="V1683" i="2"/>
  <c r="V1682" i="2"/>
  <c r="C156" i="72"/>
  <c r="Q1686" i="2"/>
  <c r="P1686" i="2"/>
  <c r="D1686" i="2"/>
  <c r="Q1685" i="2"/>
  <c r="P1685" i="2"/>
  <c r="D1685" i="2"/>
  <c r="Q1684" i="2"/>
  <c r="P1684" i="2"/>
  <c r="D1684" i="2"/>
  <c r="T1683" i="2"/>
  <c r="Q1683" i="2"/>
  <c r="P1683" i="2"/>
  <c r="D1683" i="2"/>
  <c r="T1682" i="2"/>
  <c r="Q1682" i="2"/>
  <c r="P1682" i="2"/>
  <c r="D1682" i="2"/>
  <c r="AB1681" i="2"/>
  <c r="W1681" i="2"/>
  <c r="Q1681" i="2"/>
  <c r="P1681" i="2"/>
  <c r="C1681" i="2"/>
  <c r="C155" i="72"/>
  <c r="C150" i="72"/>
  <c r="C154" i="72"/>
  <c r="C149" i="72"/>
  <c r="V1680" i="2"/>
  <c r="Q1680" i="2"/>
  <c r="P1680" i="2"/>
  <c r="D1680" i="2"/>
  <c r="V1679" i="2"/>
  <c r="Q1679" i="2"/>
  <c r="P1679" i="2"/>
  <c r="D1679" i="2"/>
  <c r="V1678" i="2"/>
  <c r="Q1678" i="2"/>
  <c r="P1678" i="2"/>
  <c r="D1678" i="2"/>
  <c r="V1677" i="2"/>
  <c r="T1677" i="2"/>
  <c r="Q1677" i="2"/>
  <c r="P1677" i="2"/>
  <c r="D1677" i="2"/>
  <c r="V1676" i="2"/>
  <c r="T1676" i="2"/>
  <c r="Q1676" i="2"/>
  <c r="P1676" i="2"/>
  <c r="D1676" i="2"/>
  <c r="AB1675" i="2"/>
  <c r="W1675" i="2"/>
  <c r="Q1675" i="2"/>
  <c r="P1675" i="2"/>
  <c r="C1675" i="2"/>
  <c r="V1674" i="2"/>
  <c r="Q1674" i="2"/>
  <c r="P1674" i="2"/>
  <c r="D1674" i="2"/>
  <c r="V1673" i="2"/>
  <c r="Q1673" i="2"/>
  <c r="P1673" i="2"/>
  <c r="D1673" i="2"/>
  <c r="V1672" i="2"/>
  <c r="T1672" i="2"/>
  <c r="Q1672" i="2"/>
  <c r="P1672" i="2"/>
  <c r="D1672" i="2"/>
  <c r="V1671" i="2"/>
  <c r="T1671" i="2"/>
  <c r="Q1671" i="2"/>
  <c r="P1671" i="2"/>
  <c r="D1671" i="2"/>
  <c r="AB1670" i="2"/>
  <c r="W1670" i="2"/>
  <c r="Q1670" i="2"/>
  <c r="P1670" i="2"/>
  <c r="C1670" i="2"/>
  <c r="C129" i="72"/>
  <c r="C128" i="72"/>
  <c r="C132" i="72"/>
  <c r="C104" i="72"/>
  <c r="C105" i="72"/>
  <c r="C106" i="72"/>
  <c r="Q1636" i="2"/>
  <c r="P1636" i="2"/>
  <c r="D1636" i="2"/>
  <c r="AB1635" i="2"/>
  <c r="W1635" i="2"/>
  <c r="Q1635" i="2"/>
  <c r="P1635" i="2"/>
  <c r="C1635" i="2"/>
  <c r="V1614" i="2"/>
  <c r="Q1614" i="2"/>
  <c r="P1614" i="2"/>
  <c r="D1614" i="2"/>
  <c r="V1613" i="2"/>
  <c r="Q1613" i="2"/>
  <c r="P1613" i="2"/>
  <c r="D1613" i="2"/>
  <c r="V1612" i="2"/>
  <c r="Q1612" i="2"/>
  <c r="P1612" i="2"/>
  <c r="D1612" i="2"/>
  <c r="V1611" i="2"/>
  <c r="T1611" i="2"/>
  <c r="Q1611" i="2"/>
  <c r="P1611" i="2"/>
  <c r="D1611" i="2"/>
  <c r="V1610" i="2"/>
  <c r="T1610" i="2"/>
  <c r="Q1610" i="2"/>
  <c r="P1610" i="2"/>
  <c r="D1610" i="2"/>
  <c r="AB1609" i="2"/>
  <c r="W1609" i="2"/>
  <c r="Q1609" i="2"/>
  <c r="P1609" i="2"/>
  <c r="C1609" i="2"/>
  <c r="V1608" i="2"/>
  <c r="Q1608" i="2"/>
  <c r="P1608" i="2"/>
  <c r="D1608" i="2"/>
  <c r="V1607" i="2"/>
  <c r="Q1607" i="2"/>
  <c r="P1607" i="2"/>
  <c r="D1607" i="2"/>
  <c r="V1606" i="2"/>
  <c r="T1606" i="2"/>
  <c r="Q1606" i="2"/>
  <c r="P1606" i="2"/>
  <c r="D1606" i="2"/>
  <c r="V1605" i="2"/>
  <c r="T1605" i="2"/>
  <c r="Q1605" i="2"/>
  <c r="P1605" i="2"/>
  <c r="D1605" i="2"/>
  <c r="AB1604" i="2"/>
  <c r="W1604" i="2"/>
  <c r="Q1604" i="2"/>
  <c r="P1604" i="2"/>
  <c r="C1604" i="2"/>
  <c r="C111" i="72"/>
  <c r="C110" i="72"/>
  <c r="V1549" i="2"/>
  <c r="V1543" i="2"/>
  <c r="V1545" i="2"/>
  <c r="V1551" i="2"/>
  <c r="V1542" i="2"/>
  <c r="V1544" i="2"/>
  <c r="V1550" i="2"/>
  <c r="V1548" i="2"/>
  <c r="V1547" i="2"/>
  <c r="V1541" i="2"/>
  <c r="Q1551" i="2"/>
  <c r="P1551" i="2"/>
  <c r="D1551" i="2"/>
  <c r="Q1550" i="2"/>
  <c r="P1550" i="2"/>
  <c r="D1550" i="2"/>
  <c r="Q1549" i="2"/>
  <c r="P1549" i="2"/>
  <c r="D1549" i="2"/>
  <c r="T1548" i="2"/>
  <c r="Q1548" i="2"/>
  <c r="P1548" i="2"/>
  <c r="D1548" i="2"/>
  <c r="T1547" i="2"/>
  <c r="Q1547" i="2"/>
  <c r="P1547" i="2"/>
  <c r="D1547" i="2"/>
  <c r="AB1546" i="2"/>
  <c r="W1546" i="2"/>
  <c r="Q1546" i="2"/>
  <c r="P1546" i="2"/>
  <c r="C1546" i="2"/>
  <c r="Q1545" i="2"/>
  <c r="P1545" i="2"/>
  <c r="D1545" i="2"/>
  <c r="Q1544" i="2"/>
  <c r="P1544" i="2"/>
  <c r="D1544" i="2"/>
  <c r="Q1543" i="2"/>
  <c r="P1543" i="2"/>
  <c r="D1543" i="2"/>
  <c r="T1542" i="2"/>
  <c r="Q1542" i="2"/>
  <c r="P1542" i="2"/>
  <c r="D1542" i="2"/>
  <c r="T1541" i="2"/>
  <c r="Q1541" i="2"/>
  <c r="P1541" i="2"/>
  <c r="D1541" i="2"/>
  <c r="AB1540" i="2"/>
  <c r="W1540" i="2"/>
  <c r="Q1540" i="2"/>
  <c r="P1540" i="2"/>
  <c r="C1540" i="2"/>
  <c r="C109" i="72"/>
  <c r="C108" i="72"/>
  <c r="V1539" i="2"/>
  <c r="Q1539" i="2"/>
  <c r="P1539" i="2"/>
  <c r="D1539" i="2"/>
  <c r="V1538" i="2"/>
  <c r="Q1538" i="2"/>
  <c r="P1538" i="2"/>
  <c r="D1538" i="2"/>
  <c r="V1537" i="2"/>
  <c r="T1537" i="2"/>
  <c r="Q1537" i="2"/>
  <c r="P1537" i="2"/>
  <c r="D1537" i="2"/>
  <c r="V1536" i="2"/>
  <c r="T1536" i="2"/>
  <c r="Q1536" i="2"/>
  <c r="P1536" i="2"/>
  <c r="D1536" i="2"/>
  <c r="AB1535" i="2"/>
  <c r="W1535" i="2"/>
  <c r="Q1535" i="2"/>
  <c r="P1535" i="2"/>
  <c r="C1535" i="2"/>
  <c r="V1534" i="2"/>
  <c r="Q1534" i="2"/>
  <c r="P1534" i="2"/>
  <c r="D1534" i="2"/>
  <c r="V1533" i="2"/>
  <c r="Q1533" i="2"/>
  <c r="P1533" i="2"/>
  <c r="D1533" i="2"/>
  <c r="V1532" i="2"/>
  <c r="T1532" i="2"/>
  <c r="Q1532" i="2"/>
  <c r="P1532" i="2"/>
  <c r="D1532" i="2"/>
  <c r="V1531" i="2"/>
  <c r="T1531" i="2"/>
  <c r="Q1531" i="2"/>
  <c r="P1531" i="2"/>
  <c r="D1531" i="2"/>
  <c r="AB1530" i="2"/>
  <c r="W1530" i="2"/>
  <c r="Q1530" i="2"/>
  <c r="P1530" i="2"/>
  <c r="C1530" i="2"/>
  <c r="Q1575" i="2"/>
  <c r="P1575" i="2"/>
  <c r="D1575" i="2"/>
  <c r="AB1574" i="2"/>
  <c r="W1574" i="2"/>
  <c r="Q1574" i="2"/>
  <c r="P1574" i="2"/>
  <c r="C1574" i="2"/>
  <c r="Q1503" i="2"/>
  <c r="P1503" i="2"/>
  <c r="D1503" i="2"/>
  <c r="AB1502" i="2"/>
  <c r="W1502" i="2"/>
  <c r="Q1502" i="2"/>
  <c r="P1502" i="2"/>
  <c r="C1502" i="2"/>
  <c r="V1482" i="2"/>
  <c r="V1487" i="2"/>
  <c r="V1486" i="2"/>
  <c r="V1485" i="2"/>
  <c r="V1484" i="2"/>
  <c r="V1479" i="2"/>
  <c r="V1480" i="2"/>
  <c r="V1481" i="2"/>
  <c r="C90" i="72"/>
  <c r="C89" i="72"/>
  <c r="Q1487" i="2"/>
  <c r="P1487" i="2"/>
  <c r="D1487" i="2"/>
  <c r="Q1486" i="2"/>
  <c r="P1486" i="2"/>
  <c r="D1486" i="2"/>
  <c r="T1485" i="2"/>
  <c r="Q1485" i="2"/>
  <c r="P1485" i="2"/>
  <c r="D1485" i="2"/>
  <c r="T1484" i="2"/>
  <c r="Q1484" i="2"/>
  <c r="P1484" i="2"/>
  <c r="D1484" i="2"/>
  <c r="AB1483" i="2"/>
  <c r="W1483" i="2"/>
  <c r="Q1483" i="2"/>
  <c r="P1483" i="2"/>
  <c r="C1483" i="2"/>
  <c r="U1498" i="2"/>
  <c r="C96" i="72" s="1"/>
  <c r="C271" i="61" l="1"/>
  <c r="G61" i="68"/>
  <c r="U1635" i="2"/>
  <c r="B77" i="68" s="1"/>
  <c r="C133" i="72"/>
  <c r="C86" i="72"/>
  <c r="U1703" i="2"/>
  <c r="U1574" i="2"/>
  <c r="B76" i="68" s="1"/>
  <c r="U1502" i="2"/>
  <c r="C98" i="72" l="1"/>
  <c r="B75" i="68"/>
  <c r="C164" i="72"/>
  <c r="B78" i="68"/>
  <c r="C142" i="72"/>
  <c r="C121" i="72"/>
  <c r="C78" i="68" l="1"/>
  <c r="C75" i="68"/>
  <c r="C77" i="68"/>
  <c r="C76" i="68"/>
  <c r="C79" i="68"/>
  <c r="Q1482" i="2" l="1"/>
  <c r="P1482" i="2"/>
  <c r="D1482" i="2"/>
  <c r="Q1481" i="2"/>
  <c r="P1481" i="2"/>
  <c r="D1481" i="2"/>
  <c r="T1480" i="2"/>
  <c r="Q1480" i="2"/>
  <c r="P1480" i="2"/>
  <c r="D1480" i="2"/>
  <c r="T1479" i="2"/>
  <c r="Q1479" i="2"/>
  <c r="P1479" i="2"/>
  <c r="D1479" i="2"/>
  <c r="AB1478" i="2"/>
  <c r="W1478" i="2"/>
  <c r="Q1478" i="2"/>
  <c r="P1478" i="2"/>
  <c r="C1478" i="2"/>
  <c r="AB1477" i="2"/>
  <c r="Y1477" i="2"/>
  <c r="D88" i="72" s="1"/>
  <c r="W1477" i="2"/>
  <c r="U1477" i="2"/>
  <c r="C88" i="72" s="1"/>
  <c r="Q1477" i="2"/>
  <c r="P1477" i="2"/>
  <c r="C1477" i="2"/>
  <c r="Q2147" i="2"/>
  <c r="D2147" i="2"/>
  <c r="AB2146" i="2"/>
  <c r="W2146" i="2"/>
  <c r="Q2146" i="2"/>
  <c r="C2146" i="2"/>
  <c r="AB2145" i="2"/>
  <c r="Y2145" i="2"/>
  <c r="W2145" i="2"/>
  <c r="U2145" i="2"/>
  <c r="Q2145" i="2"/>
  <c r="C2145" i="2"/>
  <c r="AB2144" i="2"/>
  <c r="Y2144" i="2"/>
  <c r="W2144" i="2"/>
  <c r="U2144" i="2"/>
  <c r="Q2144" i="2"/>
  <c r="C2144" i="2"/>
  <c r="AB2143" i="2"/>
  <c r="Y2143" i="2"/>
  <c r="W2143" i="2"/>
  <c r="U2143" i="2"/>
  <c r="Q2143" i="2"/>
  <c r="C2143" i="2"/>
  <c r="Q2060" i="2" l="1"/>
  <c r="P2060" i="2"/>
  <c r="D2060" i="2"/>
  <c r="AB2059" i="2"/>
  <c r="W2059" i="2"/>
  <c r="Q2059" i="2"/>
  <c r="P2059" i="2"/>
  <c r="C2059" i="2"/>
  <c r="AB2058" i="2"/>
  <c r="Y2058" i="2"/>
  <c r="W2058" i="2"/>
  <c r="U2058" i="2"/>
  <c r="Q2058" i="2"/>
  <c r="P2058" i="2"/>
  <c r="C2058" i="2"/>
  <c r="Q2057" i="2"/>
  <c r="P2057" i="2"/>
  <c r="D2057" i="2"/>
  <c r="Q2056" i="2"/>
  <c r="P2056" i="2"/>
  <c r="D2056" i="2"/>
  <c r="AB2055" i="2"/>
  <c r="W2055" i="2"/>
  <c r="Y2055" i="2" s="1"/>
  <c r="T2055" i="2"/>
  <c r="Q2055" i="2"/>
  <c r="P2055" i="2"/>
  <c r="D2055" i="2"/>
  <c r="AB2054" i="2"/>
  <c r="W2054" i="2"/>
  <c r="Q2054" i="2"/>
  <c r="P2054" i="2"/>
  <c r="C2054" i="2"/>
  <c r="Q2053" i="2"/>
  <c r="P2053" i="2"/>
  <c r="D2053" i="2"/>
  <c r="AB2052" i="2"/>
  <c r="W2052" i="2"/>
  <c r="U2052" i="2"/>
  <c r="Q2052" i="2"/>
  <c r="P2052" i="2"/>
  <c r="C2052" i="2"/>
  <c r="Q2051" i="2"/>
  <c r="P2051" i="2"/>
  <c r="D2051" i="2"/>
  <c r="Q2050" i="2"/>
  <c r="P2050" i="2"/>
  <c r="D2050" i="2"/>
  <c r="Q2049" i="2"/>
  <c r="P2049" i="2"/>
  <c r="D2049" i="2"/>
  <c r="AB2048" i="2"/>
  <c r="W2048" i="2"/>
  <c r="Q2048" i="2"/>
  <c r="P2048" i="2"/>
  <c r="C2048" i="2"/>
  <c r="Q2047" i="2"/>
  <c r="P2047" i="2"/>
  <c r="D2047" i="2"/>
  <c r="AB2046" i="2"/>
  <c r="W2046" i="2"/>
  <c r="Q2046" i="2"/>
  <c r="P2046" i="2"/>
  <c r="C2046" i="2"/>
  <c r="Q2045" i="2"/>
  <c r="P2045" i="2"/>
  <c r="D2045" i="2"/>
  <c r="Q2044" i="2"/>
  <c r="P2044" i="2"/>
  <c r="D2044" i="2"/>
  <c r="Q2043" i="2"/>
  <c r="P2043" i="2"/>
  <c r="D2043" i="2"/>
  <c r="Q2042" i="2"/>
  <c r="P2042" i="2"/>
  <c r="D2042" i="2"/>
  <c r="Q2041" i="2"/>
  <c r="P2041" i="2"/>
  <c r="D2041" i="2"/>
  <c r="Q2040" i="2"/>
  <c r="P2040" i="2"/>
  <c r="D2040" i="2"/>
  <c r="Q2039" i="2"/>
  <c r="P2039" i="2"/>
  <c r="D2039" i="2"/>
  <c r="Q2038" i="2"/>
  <c r="P2038" i="2"/>
  <c r="D2038" i="2"/>
  <c r="AB2037" i="2"/>
  <c r="W2037" i="2"/>
  <c r="Q2037" i="2"/>
  <c r="P2037" i="2"/>
  <c r="C2037" i="2"/>
  <c r="Q2036" i="2"/>
  <c r="P2036" i="2"/>
  <c r="D2036" i="2"/>
  <c r="Q2035" i="2"/>
  <c r="P2035" i="2"/>
  <c r="D2035" i="2"/>
  <c r="Q2034" i="2"/>
  <c r="P2034" i="2"/>
  <c r="D2034" i="2"/>
  <c r="Q2033" i="2"/>
  <c r="P2033" i="2"/>
  <c r="D2033" i="2"/>
  <c r="Q2032" i="2"/>
  <c r="P2032" i="2"/>
  <c r="D2032" i="2"/>
  <c r="Q2031" i="2"/>
  <c r="P2031" i="2"/>
  <c r="D2031" i="2"/>
  <c r="Q2030" i="2"/>
  <c r="P2030" i="2"/>
  <c r="D2030" i="2"/>
  <c r="Q2029" i="2"/>
  <c r="P2029" i="2"/>
  <c r="D2029" i="2"/>
  <c r="AB2028" i="2"/>
  <c r="W2028" i="2"/>
  <c r="Q2028" i="2"/>
  <c r="P2028" i="2"/>
  <c r="C2028" i="2"/>
  <c r="Q2027" i="2"/>
  <c r="P2027" i="2"/>
  <c r="D2027" i="2"/>
  <c r="Q2026" i="2"/>
  <c r="P2026" i="2"/>
  <c r="D2026" i="2"/>
  <c r="Q2025" i="2"/>
  <c r="P2025" i="2"/>
  <c r="D2025" i="2"/>
  <c r="Q2024" i="2"/>
  <c r="P2024" i="2"/>
  <c r="D2024" i="2"/>
  <c r="Q2023" i="2"/>
  <c r="P2023" i="2"/>
  <c r="D2023" i="2"/>
  <c r="Q2022" i="2"/>
  <c r="P2022" i="2"/>
  <c r="D2022" i="2"/>
  <c r="Q2021" i="2"/>
  <c r="P2021" i="2"/>
  <c r="D2021" i="2"/>
  <c r="Q2020" i="2"/>
  <c r="P2020" i="2"/>
  <c r="D2020" i="2"/>
  <c r="AB2019" i="2"/>
  <c r="W2019" i="2"/>
  <c r="Q2019" i="2"/>
  <c r="P2019" i="2"/>
  <c r="C2019" i="2"/>
  <c r="Q2018" i="2"/>
  <c r="P2018" i="2"/>
  <c r="D2018" i="2"/>
  <c r="Q2017" i="2"/>
  <c r="P2017" i="2"/>
  <c r="D2017" i="2"/>
  <c r="Q2016" i="2"/>
  <c r="P2016" i="2"/>
  <c r="D2016" i="2"/>
  <c r="Q2015" i="2"/>
  <c r="P2015" i="2"/>
  <c r="D2015" i="2"/>
  <c r="Q2014" i="2"/>
  <c r="P2014" i="2"/>
  <c r="D2014" i="2"/>
  <c r="Q2013" i="2"/>
  <c r="P2013" i="2"/>
  <c r="D2013" i="2"/>
  <c r="Q2012" i="2"/>
  <c r="P2012" i="2"/>
  <c r="D2012" i="2"/>
  <c r="Q2011" i="2"/>
  <c r="P2011" i="2"/>
  <c r="D2011" i="2"/>
  <c r="AB2010" i="2"/>
  <c r="W2010" i="2"/>
  <c r="Q2010" i="2"/>
  <c r="P2010" i="2"/>
  <c r="C2010" i="2"/>
  <c r="AB2009" i="2"/>
  <c r="Y2009" i="2"/>
  <c r="W2009" i="2"/>
  <c r="U2009" i="2"/>
  <c r="Q2009" i="2"/>
  <c r="P2009" i="2"/>
  <c r="C2009" i="2"/>
  <c r="AB2008" i="2"/>
  <c r="Y2008" i="2"/>
  <c r="W2008" i="2"/>
  <c r="U2008" i="2"/>
  <c r="Q2008" i="2"/>
  <c r="P2008" i="2"/>
  <c r="C2008" i="2"/>
  <c r="Q2007" i="2"/>
  <c r="P2007" i="2"/>
  <c r="D2007" i="2"/>
  <c r="AB2006" i="2"/>
  <c r="W2006" i="2"/>
  <c r="Q2006" i="2"/>
  <c r="P2006" i="2"/>
  <c r="C2006" i="2"/>
  <c r="AB2005" i="2"/>
  <c r="Y2005" i="2"/>
  <c r="W2005" i="2"/>
  <c r="U2005" i="2"/>
  <c r="Q2005" i="2"/>
  <c r="P2005" i="2"/>
  <c r="C2005" i="2"/>
  <c r="Q2004" i="2"/>
  <c r="P2004" i="2"/>
  <c r="D2004" i="2"/>
  <c r="Q2003" i="2"/>
  <c r="P2003" i="2"/>
  <c r="D2003" i="2"/>
  <c r="Q2002" i="2"/>
  <c r="P2002" i="2"/>
  <c r="D2002" i="2"/>
  <c r="Q2001" i="2"/>
  <c r="P2001" i="2"/>
  <c r="D2001" i="2"/>
  <c r="Q2000" i="2"/>
  <c r="P2000" i="2"/>
  <c r="D2000" i="2"/>
  <c r="Q1999" i="2"/>
  <c r="P1999" i="2"/>
  <c r="D1999" i="2"/>
  <c r="Q1998" i="2"/>
  <c r="P1998" i="2"/>
  <c r="D1998" i="2"/>
  <c r="Q1997" i="2"/>
  <c r="P1997" i="2"/>
  <c r="D1997" i="2"/>
  <c r="AB1996" i="2"/>
  <c r="W1996" i="2"/>
  <c r="Q1996" i="2"/>
  <c r="P1996" i="2"/>
  <c r="C1996" i="2"/>
  <c r="AB1995" i="2"/>
  <c r="Y1995" i="2"/>
  <c r="W1995" i="2"/>
  <c r="U1995" i="2"/>
  <c r="Q1995" i="2"/>
  <c r="P1995" i="2"/>
  <c r="C1995" i="2"/>
  <c r="AB1994" i="2"/>
  <c r="Y1994" i="2"/>
  <c r="W1994" i="2"/>
  <c r="U1994" i="2"/>
  <c r="Q1994" i="2"/>
  <c r="P1994" i="2"/>
  <c r="C1994" i="2"/>
  <c r="Q1993" i="2"/>
  <c r="P1993" i="2"/>
  <c r="D1993" i="2"/>
  <c r="AB1992" i="2"/>
  <c r="W1992" i="2"/>
  <c r="Q1992" i="2"/>
  <c r="P1992" i="2"/>
  <c r="C1992" i="2"/>
  <c r="AB1991" i="2"/>
  <c r="Y1991" i="2"/>
  <c r="W1991" i="2"/>
  <c r="U1991" i="2"/>
  <c r="Q1991" i="2"/>
  <c r="P1991" i="2"/>
  <c r="C1991" i="2"/>
  <c r="Q1990" i="2"/>
  <c r="P1990" i="2"/>
  <c r="D1990" i="2"/>
  <c r="Q1989" i="2"/>
  <c r="P1989" i="2"/>
  <c r="D1989" i="2"/>
  <c r="Q1988" i="2"/>
  <c r="P1988" i="2"/>
  <c r="D1988" i="2"/>
  <c r="AB1987" i="2"/>
  <c r="W1987" i="2"/>
  <c r="U1987" i="2"/>
  <c r="Q1987" i="2"/>
  <c r="P1987" i="2"/>
  <c r="C1987" i="2"/>
  <c r="Q1986" i="2"/>
  <c r="P1986" i="2"/>
  <c r="D1986" i="2"/>
  <c r="AB1985" i="2"/>
  <c r="W1985" i="2"/>
  <c r="Q1985" i="2"/>
  <c r="P1985" i="2"/>
  <c r="C1985" i="2"/>
  <c r="Q1984" i="2"/>
  <c r="P1984" i="2"/>
  <c r="D1984" i="2"/>
  <c r="Q1983" i="2"/>
  <c r="P1983" i="2"/>
  <c r="D1983" i="2"/>
  <c r="Q1982" i="2"/>
  <c r="P1982" i="2"/>
  <c r="D1982" i="2"/>
  <c r="Q1981" i="2"/>
  <c r="P1981" i="2"/>
  <c r="D1981" i="2"/>
  <c r="Q1980" i="2"/>
  <c r="P1980" i="2"/>
  <c r="D1980" i="2"/>
  <c r="Q1979" i="2"/>
  <c r="P1979" i="2"/>
  <c r="D1979" i="2"/>
  <c r="Q1978" i="2"/>
  <c r="P1978" i="2"/>
  <c r="D1978" i="2"/>
  <c r="Q1977" i="2"/>
  <c r="P1977" i="2"/>
  <c r="D1977" i="2"/>
  <c r="AB1976" i="2"/>
  <c r="W1976" i="2"/>
  <c r="Q1976" i="2"/>
  <c r="P1976" i="2"/>
  <c r="C1976" i="2"/>
  <c r="Q1975" i="2"/>
  <c r="P1975" i="2"/>
  <c r="D1975" i="2"/>
  <c r="Q1974" i="2"/>
  <c r="P1974" i="2"/>
  <c r="D1974" i="2"/>
  <c r="Q1973" i="2"/>
  <c r="P1973" i="2"/>
  <c r="D1973" i="2"/>
  <c r="Q1972" i="2"/>
  <c r="P1972" i="2"/>
  <c r="D1972" i="2"/>
  <c r="Q1971" i="2"/>
  <c r="P1971" i="2"/>
  <c r="D1971" i="2"/>
  <c r="Q1970" i="2"/>
  <c r="P1970" i="2"/>
  <c r="D1970" i="2"/>
  <c r="Q1969" i="2"/>
  <c r="P1969" i="2"/>
  <c r="D1969" i="2"/>
  <c r="Q1968" i="2"/>
  <c r="P1968" i="2"/>
  <c r="D1968" i="2"/>
  <c r="AB1967" i="2"/>
  <c r="W1967" i="2"/>
  <c r="Q1967" i="2"/>
  <c r="P1967" i="2"/>
  <c r="C1967" i="2"/>
  <c r="AB1966" i="2"/>
  <c r="Y1966" i="2"/>
  <c r="W1966" i="2"/>
  <c r="U1966" i="2"/>
  <c r="Q1966" i="2"/>
  <c r="P1966" i="2"/>
  <c r="C1966" i="2"/>
  <c r="AB1965" i="2"/>
  <c r="Y1965" i="2"/>
  <c r="W1965" i="2"/>
  <c r="U1965" i="2"/>
  <c r="Q1965" i="2"/>
  <c r="P1965" i="2"/>
  <c r="C1965" i="2"/>
  <c r="Q1964" i="2"/>
  <c r="P1964" i="2"/>
  <c r="D1964" i="2"/>
  <c r="AB1963" i="2"/>
  <c r="W1963" i="2"/>
  <c r="Q1963" i="2"/>
  <c r="P1963" i="2"/>
  <c r="C1963" i="2"/>
  <c r="AB1962" i="2"/>
  <c r="Y1962" i="2"/>
  <c r="W1962" i="2"/>
  <c r="U1962" i="2"/>
  <c r="Q1962" i="2"/>
  <c r="P1962" i="2"/>
  <c r="C1962" i="2"/>
  <c r="Q1961" i="2"/>
  <c r="P1961" i="2"/>
  <c r="D1961" i="2"/>
  <c r="AB1960" i="2"/>
  <c r="W1960" i="2"/>
  <c r="Q1960" i="2"/>
  <c r="P1960" i="2"/>
  <c r="C1960" i="2"/>
  <c r="AB1959" i="2"/>
  <c r="Y1959" i="2"/>
  <c r="W1959" i="2"/>
  <c r="U1959" i="2"/>
  <c r="Q1959" i="2"/>
  <c r="P1959" i="2"/>
  <c r="C1959" i="2"/>
  <c r="AB1958" i="2"/>
  <c r="Y1958" i="2"/>
  <c r="W1958" i="2"/>
  <c r="U1958" i="2"/>
  <c r="Q1958" i="2"/>
  <c r="P1958" i="2"/>
  <c r="C1958" i="2"/>
  <c r="AB1957" i="2"/>
  <c r="Y1957" i="2"/>
  <c r="W1957" i="2"/>
  <c r="U1957" i="2"/>
  <c r="Q1957" i="2"/>
  <c r="C1957" i="2"/>
  <c r="C83" i="72" l="1"/>
  <c r="Q1747" i="2"/>
  <c r="P1747" i="2"/>
  <c r="D1747" i="2"/>
  <c r="AB1746" i="2"/>
  <c r="W1746" i="2"/>
  <c r="Q1746" i="2"/>
  <c r="P1746" i="2"/>
  <c r="C1746" i="2"/>
  <c r="H397" i="5" l="1"/>
  <c r="G397" i="5"/>
  <c r="F397" i="5"/>
  <c r="E397" i="5"/>
  <c r="I397" i="5" s="1"/>
  <c r="D397" i="5"/>
  <c r="H396" i="5"/>
  <c r="G396" i="5"/>
  <c r="F396" i="5"/>
  <c r="E396" i="5"/>
  <c r="I396" i="5" s="1"/>
  <c r="D396" i="5"/>
  <c r="H395" i="5"/>
  <c r="G395" i="5"/>
  <c r="F395" i="5"/>
  <c r="E395" i="5"/>
  <c r="I395" i="5" s="1"/>
  <c r="D395" i="5"/>
  <c r="H394" i="5"/>
  <c r="G394" i="5"/>
  <c r="F394" i="5"/>
  <c r="E394" i="5"/>
  <c r="I394" i="5" s="1"/>
  <c r="D394" i="5"/>
  <c r="H393" i="5"/>
  <c r="G393" i="5"/>
  <c r="F393" i="5"/>
  <c r="E393" i="5"/>
  <c r="I393" i="5" s="1"/>
  <c r="D393" i="5"/>
  <c r="H392" i="5"/>
  <c r="G392" i="5"/>
  <c r="F392" i="5"/>
  <c r="E392" i="5"/>
  <c r="I392" i="5" s="1"/>
  <c r="D392" i="5"/>
  <c r="H391" i="5"/>
  <c r="G391" i="5"/>
  <c r="F391" i="5"/>
  <c r="E391" i="5"/>
  <c r="I391" i="5" s="1"/>
  <c r="J391" i="5" s="1"/>
  <c r="D391" i="5"/>
  <c r="H390" i="5"/>
  <c r="G390" i="5"/>
  <c r="F390" i="5"/>
  <c r="E390" i="5"/>
  <c r="I390" i="5" s="1"/>
  <c r="D390" i="5"/>
  <c r="H389" i="5"/>
  <c r="G389" i="5"/>
  <c r="F389" i="5"/>
  <c r="E389" i="5"/>
  <c r="I389" i="5" s="1"/>
  <c r="D389" i="5"/>
  <c r="H388" i="5"/>
  <c r="G388" i="5"/>
  <c r="F388" i="5"/>
  <c r="E388" i="5"/>
  <c r="I388" i="5" s="1"/>
  <c r="D388" i="5"/>
  <c r="H387" i="5"/>
  <c r="G387" i="5"/>
  <c r="F387" i="5"/>
  <c r="E387" i="5"/>
  <c r="I387" i="5" s="1"/>
  <c r="D387" i="5"/>
  <c r="H386" i="5"/>
  <c r="G386" i="5"/>
  <c r="F386" i="5"/>
  <c r="E386" i="5"/>
  <c r="I386" i="5" s="1"/>
  <c r="D386" i="5"/>
  <c r="H385" i="5"/>
  <c r="G385" i="5"/>
  <c r="F385" i="5"/>
  <c r="E385" i="5"/>
  <c r="I385" i="5" s="1"/>
  <c r="D385" i="5"/>
  <c r="H384" i="5"/>
  <c r="G384" i="5"/>
  <c r="F384" i="5"/>
  <c r="E384" i="5"/>
  <c r="I384" i="5" s="1"/>
  <c r="D384" i="5"/>
  <c r="H383" i="5"/>
  <c r="G383" i="5"/>
  <c r="F383" i="5"/>
  <c r="E383" i="5"/>
  <c r="I383" i="5" s="1"/>
  <c r="J383" i="5" s="1"/>
  <c r="D383" i="5"/>
  <c r="H382" i="5"/>
  <c r="G382" i="5"/>
  <c r="F382" i="5"/>
  <c r="E382" i="5"/>
  <c r="I382" i="5" s="1"/>
  <c r="D382" i="5"/>
  <c r="H381" i="5"/>
  <c r="G381" i="5"/>
  <c r="F381" i="5"/>
  <c r="E381" i="5"/>
  <c r="I381" i="5" s="1"/>
  <c r="D381" i="5"/>
  <c r="H380" i="5"/>
  <c r="G380" i="5"/>
  <c r="F380" i="5"/>
  <c r="E380" i="5"/>
  <c r="I380" i="5" s="1"/>
  <c r="D380" i="5"/>
  <c r="H379" i="5"/>
  <c r="G379" i="5"/>
  <c r="F379" i="5"/>
  <c r="E379" i="5"/>
  <c r="I379" i="5" s="1"/>
  <c r="D379" i="5"/>
  <c r="H378" i="5"/>
  <c r="G378" i="5"/>
  <c r="F378" i="5"/>
  <c r="E378" i="5"/>
  <c r="I378" i="5" s="1"/>
  <c r="D378" i="5"/>
  <c r="H377" i="5"/>
  <c r="G377" i="5"/>
  <c r="F377" i="5"/>
  <c r="E377" i="5"/>
  <c r="I377" i="5" s="1"/>
  <c r="D377" i="5"/>
  <c r="H376" i="5"/>
  <c r="G376" i="5"/>
  <c r="F376" i="5"/>
  <c r="E376" i="5"/>
  <c r="I376" i="5" s="1"/>
  <c r="D376" i="5"/>
  <c r="H375" i="5"/>
  <c r="G375" i="5"/>
  <c r="F375" i="5"/>
  <c r="E375" i="5"/>
  <c r="I375" i="5" s="1"/>
  <c r="J375" i="5" s="1"/>
  <c r="D375" i="5"/>
  <c r="H374" i="5"/>
  <c r="G374" i="5"/>
  <c r="F374" i="5"/>
  <c r="E374" i="5"/>
  <c r="I374" i="5" s="1"/>
  <c r="D374" i="5"/>
  <c r="H373" i="5"/>
  <c r="G373" i="5"/>
  <c r="F373" i="5"/>
  <c r="E373" i="5"/>
  <c r="I373" i="5" s="1"/>
  <c r="D373" i="5"/>
  <c r="H372" i="5"/>
  <c r="G372" i="5"/>
  <c r="F372" i="5"/>
  <c r="E372" i="5"/>
  <c r="I372" i="5" s="1"/>
  <c r="D372" i="5"/>
  <c r="H371" i="5"/>
  <c r="G371" i="5"/>
  <c r="F371" i="5"/>
  <c r="E371" i="5"/>
  <c r="I371" i="5" s="1"/>
  <c r="D371" i="5"/>
  <c r="H370" i="5"/>
  <c r="G370" i="5"/>
  <c r="F370" i="5"/>
  <c r="E370" i="5"/>
  <c r="I370" i="5" s="1"/>
  <c r="D370" i="5"/>
  <c r="H369" i="5"/>
  <c r="G369" i="5"/>
  <c r="F369" i="5"/>
  <c r="E369" i="5"/>
  <c r="I369" i="5" s="1"/>
  <c r="D369" i="5"/>
  <c r="H368" i="5"/>
  <c r="G368" i="5"/>
  <c r="F368" i="5"/>
  <c r="E368" i="5"/>
  <c r="I368" i="5" s="1"/>
  <c r="D368" i="5"/>
  <c r="H367" i="5"/>
  <c r="G367" i="5"/>
  <c r="F367" i="5"/>
  <c r="E367" i="5"/>
  <c r="I367" i="5" s="1"/>
  <c r="J367" i="5" s="1"/>
  <c r="D367" i="5"/>
  <c r="H366" i="5"/>
  <c r="G366" i="5"/>
  <c r="F366" i="5"/>
  <c r="E366" i="5"/>
  <c r="I366" i="5" s="1"/>
  <c r="D366" i="5"/>
  <c r="H365" i="5"/>
  <c r="G365" i="5"/>
  <c r="F365" i="5"/>
  <c r="E365" i="5"/>
  <c r="I365" i="5" s="1"/>
  <c r="D365" i="5"/>
  <c r="H364" i="5"/>
  <c r="G364" i="5"/>
  <c r="F364" i="5"/>
  <c r="E364" i="5"/>
  <c r="I364" i="5" s="1"/>
  <c r="D364" i="5"/>
  <c r="H363" i="5"/>
  <c r="G363" i="5"/>
  <c r="F363" i="5"/>
  <c r="E363" i="5"/>
  <c r="I363" i="5" s="1"/>
  <c r="D363" i="5"/>
  <c r="H362" i="5"/>
  <c r="G362" i="5"/>
  <c r="F362" i="5"/>
  <c r="E362" i="5"/>
  <c r="I362" i="5" s="1"/>
  <c r="D362" i="5"/>
  <c r="H361" i="5"/>
  <c r="G361" i="5"/>
  <c r="F361" i="5"/>
  <c r="E361" i="5"/>
  <c r="I361" i="5" s="1"/>
  <c r="D361" i="5"/>
  <c r="H360" i="5"/>
  <c r="G360" i="5"/>
  <c r="F360" i="5"/>
  <c r="E360" i="5"/>
  <c r="I360" i="5" s="1"/>
  <c r="D360" i="5"/>
  <c r="H359" i="5"/>
  <c r="G359" i="5"/>
  <c r="F359" i="5"/>
  <c r="E359" i="5"/>
  <c r="I359" i="5" s="1"/>
  <c r="J359" i="5" s="1"/>
  <c r="D359" i="5"/>
  <c r="H358" i="5"/>
  <c r="G358" i="5"/>
  <c r="F358" i="5"/>
  <c r="E358" i="5"/>
  <c r="I358" i="5" s="1"/>
  <c r="D358" i="5"/>
  <c r="H357" i="5"/>
  <c r="G357" i="5"/>
  <c r="F357" i="5"/>
  <c r="E357" i="5"/>
  <c r="I357" i="5" s="1"/>
  <c r="D357" i="5"/>
  <c r="Q1872" i="2"/>
  <c r="P1872" i="2"/>
  <c r="D1872" i="2"/>
  <c r="Q1871" i="2"/>
  <c r="P1871" i="2"/>
  <c r="D1871" i="2"/>
  <c r="AB1870" i="2"/>
  <c r="W1870" i="2"/>
  <c r="Q1870" i="2"/>
  <c r="P1870" i="2"/>
  <c r="C1870" i="2"/>
  <c r="Q1869" i="2"/>
  <c r="P1869" i="2"/>
  <c r="D1869" i="2"/>
  <c r="Q1868" i="2"/>
  <c r="P1868" i="2"/>
  <c r="D1868" i="2"/>
  <c r="AB1867" i="2"/>
  <c r="W1867" i="2"/>
  <c r="Q1867" i="2"/>
  <c r="P1867" i="2"/>
  <c r="C1867" i="2"/>
  <c r="Q1908" i="2"/>
  <c r="P1908" i="2"/>
  <c r="D1908" i="2"/>
  <c r="Q1907" i="2"/>
  <c r="P1907" i="2"/>
  <c r="D1907" i="2"/>
  <c r="AB1906" i="2"/>
  <c r="W1906" i="2"/>
  <c r="Q1906" i="2"/>
  <c r="P1906" i="2"/>
  <c r="C1906" i="2"/>
  <c r="Q1905" i="2"/>
  <c r="P1905" i="2"/>
  <c r="D1905" i="2"/>
  <c r="Q1904" i="2"/>
  <c r="P1904" i="2"/>
  <c r="D1904" i="2"/>
  <c r="AB1903" i="2"/>
  <c r="W1903" i="2"/>
  <c r="Q1903" i="2"/>
  <c r="P1903" i="2"/>
  <c r="C1903" i="2"/>
  <c r="Q1936" i="2"/>
  <c r="P1936" i="2"/>
  <c r="D1936" i="2"/>
  <c r="Q1935" i="2"/>
  <c r="P1935" i="2"/>
  <c r="D1935" i="2"/>
  <c r="AB1934" i="2"/>
  <c r="W1934" i="2"/>
  <c r="Q1934" i="2"/>
  <c r="P1934" i="2"/>
  <c r="C1934" i="2"/>
  <c r="J365" i="5" l="1"/>
  <c r="J371" i="5"/>
  <c r="J382" i="5"/>
  <c r="J358" i="5"/>
  <c r="J376" i="5"/>
  <c r="J381" i="5"/>
  <c r="J387" i="5"/>
  <c r="J363" i="5"/>
  <c r="J368" i="5"/>
  <c r="J397" i="5"/>
  <c r="J357" i="5"/>
  <c r="J374" i="5"/>
  <c r="J392" i="5"/>
  <c r="J373" i="5"/>
  <c r="J379" i="5"/>
  <c r="J390" i="5"/>
  <c r="J366" i="5"/>
  <c r="J384" i="5"/>
  <c r="J360" i="5"/>
  <c r="J389" i="5"/>
  <c r="J395" i="5"/>
  <c r="J361" i="5"/>
  <c r="J369" i="5"/>
  <c r="J377" i="5"/>
  <c r="J385" i="5"/>
  <c r="J393" i="5"/>
  <c r="J362" i="5"/>
  <c r="J370" i="5"/>
  <c r="J378" i="5"/>
  <c r="J386" i="5"/>
  <c r="J394" i="5"/>
  <c r="J364" i="5"/>
  <c r="J372" i="5"/>
  <c r="J380" i="5"/>
  <c r="J388" i="5"/>
  <c r="J396" i="5"/>
  <c r="U1858" i="2" l="1"/>
  <c r="Q1167" i="2" l="1"/>
  <c r="P1167" i="2"/>
  <c r="D1167" i="2"/>
  <c r="AB1166" i="2"/>
  <c r="W1166" i="2"/>
  <c r="Q1166" i="2"/>
  <c r="P1166" i="2"/>
  <c r="C1166" i="2"/>
  <c r="AB1165" i="2"/>
  <c r="Y1165" i="2"/>
  <c r="W1165" i="2"/>
  <c r="U1165" i="2"/>
  <c r="Q1165" i="2"/>
  <c r="P1165" i="2"/>
  <c r="C1165" i="2"/>
  <c r="S1164" i="2"/>
  <c r="Q1170" i="2"/>
  <c r="P1170" i="2"/>
  <c r="D1170" i="2"/>
  <c r="AB1169" i="2"/>
  <c r="W1169" i="2"/>
  <c r="Q1169" i="2"/>
  <c r="P1169" i="2"/>
  <c r="C1169" i="2"/>
  <c r="AB1168" i="2"/>
  <c r="Y1168" i="2"/>
  <c r="W1168" i="2"/>
  <c r="U1168" i="2"/>
  <c r="Q1168" i="2"/>
  <c r="P1168" i="2"/>
  <c r="C1168" i="2"/>
  <c r="Q1164" i="2"/>
  <c r="D1164" i="2"/>
  <c r="AB1163" i="2"/>
  <c r="W1163" i="2"/>
  <c r="Q1163" i="2"/>
  <c r="P1163" i="2"/>
  <c r="C1163" i="2"/>
  <c r="AB1162" i="2"/>
  <c r="Y1162" i="2"/>
  <c r="W1162" i="2"/>
  <c r="U1162" i="2"/>
  <c r="Q1162" i="2"/>
  <c r="P1162" i="2"/>
  <c r="C1162" i="2"/>
  <c r="AB1161" i="2"/>
  <c r="Y1161" i="2"/>
  <c r="W1161" i="2"/>
  <c r="U1161" i="2"/>
  <c r="Q1161" i="2"/>
  <c r="P1161" i="2"/>
  <c r="C1161" i="2"/>
  <c r="AB1160" i="2"/>
  <c r="Y1160" i="2"/>
  <c r="W1160" i="2"/>
  <c r="U1160" i="2"/>
  <c r="Q1160" i="2"/>
  <c r="C1160" i="2"/>
  <c r="D48" i="68"/>
  <c r="D47" i="68"/>
  <c r="D46" i="68"/>
  <c r="D45" i="68"/>
  <c r="D44" i="68"/>
  <c r="D50" i="68"/>
  <c r="D54" i="68"/>
  <c r="D53" i="68"/>
  <c r="D52" i="68"/>
  <c r="D51" i="68"/>
  <c r="Q1385" i="2"/>
  <c r="P1385" i="2"/>
  <c r="D1385" i="2"/>
  <c r="AB1384" i="2"/>
  <c r="W1384" i="2"/>
  <c r="Q1384" i="2"/>
  <c r="P1384" i="2"/>
  <c r="C1384" i="2"/>
  <c r="Q1410" i="2"/>
  <c r="P1410" i="2"/>
  <c r="D1410" i="2"/>
  <c r="AB1409" i="2"/>
  <c r="W1409" i="2"/>
  <c r="Q1409" i="2"/>
  <c r="P1409" i="2"/>
  <c r="C1409" i="2"/>
  <c r="Q1405" i="2"/>
  <c r="P1405" i="2"/>
  <c r="D1405" i="2"/>
  <c r="Q1403" i="2"/>
  <c r="P1403" i="2"/>
  <c r="D1403" i="2"/>
  <c r="C209" i="2" l="1"/>
  <c r="C206" i="2"/>
  <c r="C203" i="2"/>
  <c r="C170" i="2"/>
  <c r="C159" i="2"/>
  <c r="C1938" i="2"/>
  <c r="C1910" i="2"/>
  <c r="C1874" i="2"/>
  <c r="C1772" i="2"/>
  <c r="P1164" i="2"/>
  <c r="C2142" i="2"/>
  <c r="G44" i="68" a="1"/>
  <c r="G44" i="68" s="1"/>
  <c r="G50" i="68" a="1"/>
  <c r="G50" i="68" s="1"/>
  <c r="C274" i="61"/>
  <c r="C275" i="61"/>
  <c r="C3" i="68" l="1"/>
  <c r="C4" i="68" s="1"/>
  <c r="T2093" i="2" l="1"/>
  <c r="T1348" i="2"/>
  <c r="T1310" i="2"/>
  <c r="T1278" i="2"/>
  <c r="T1246" i="2"/>
  <c r="T1216" i="2"/>
  <c r="T1214" i="2"/>
  <c r="C10" i="72"/>
  <c r="Q824" i="2"/>
  <c r="P824" i="2"/>
  <c r="D824" i="2"/>
  <c r="AB823" i="2"/>
  <c r="W823" i="2"/>
  <c r="Q823" i="2"/>
  <c r="P823" i="2"/>
  <c r="C823" i="2"/>
  <c r="AB822" i="2"/>
  <c r="Y822" i="2"/>
  <c r="W822" i="2"/>
  <c r="U822" i="2"/>
  <c r="Q822" i="2"/>
  <c r="P822" i="2"/>
  <c r="C822" i="2"/>
  <c r="Q637" i="2" l="1"/>
  <c r="P637" i="2"/>
  <c r="D637" i="2"/>
  <c r="V636" i="2"/>
  <c r="Q636" i="2"/>
  <c r="P636" i="2"/>
  <c r="D636" i="2"/>
  <c r="AB635" i="2"/>
  <c r="W635" i="2"/>
  <c r="Q635" i="2"/>
  <c r="P635" i="2"/>
  <c r="C635" i="2"/>
  <c r="Q634" i="2"/>
  <c r="P634" i="2"/>
  <c r="D634" i="2"/>
  <c r="Q633" i="2"/>
  <c r="P633" i="2"/>
  <c r="D633" i="2"/>
  <c r="Q632" i="2"/>
  <c r="P632" i="2"/>
  <c r="D632" i="2"/>
  <c r="V631" i="2"/>
  <c r="Q631" i="2"/>
  <c r="P631" i="2"/>
  <c r="D631" i="2"/>
  <c r="AB630" i="2"/>
  <c r="W630" i="2"/>
  <c r="Q630" i="2"/>
  <c r="P630" i="2"/>
  <c r="C630" i="2"/>
  <c r="Q629" i="2"/>
  <c r="P629" i="2"/>
  <c r="D629" i="2"/>
  <c r="Q628" i="2"/>
  <c r="P628" i="2"/>
  <c r="D628" i="2"/>
  <c r="Q627" i="2"/>
  <c r="P627" i="2"/>
  <c r="D627" i="2"/>
  <c r="V626" i="2"/>
  <c r="Q626" i="2"/>
  <c r="P626" i="2"/>
  <c r="D626" i="2"/>
  <c r="AB625" i="2"/>
  <c r="W625" i="2"/>
  <c r="Q625" i="2"/>
  <c r="P625" i="2"/>
  <c r="C625" i="2"/>
  <c r="Q624" i="2"/>
  <c r="P624" i="2"/>
  <c r="D624" i="2"/>
  <c r="Q623" i="2"/>
  <c r="P623" i="2"/>
  <c r="D623" i="2"/>
  <c r="Q622" i="2"/>
  <c r="P622" i="2"/>
  <c r="D622" i="2"/>
  <c r="V621" i="2"/>
  <c r="Q621" i="2"/>
  <c r="P621" i="2"/>
  <c r="D621" i="2"/>
  <c r="AB620" i="2"/>
  <c r="W620" i="2"/>
  <c r="Q620" i="2"/>
  <c r="P620" i="2"/>
  <c r="C620" i="2"/>
  <c r="Q561" i="2"/>
  <c r="P561" i="2"/>
  <c r="D561" i="2"/>
  <c r="V560" i="2"/>
  <c r="Q560" i="2"/>
  <c r="P560" i="2"/>
  <c r="D560" i="2"/>
  <c r="AB559" i="2"/>
  <c r="W559" i="2"/>
  <c r="Q559" i="2"/>
  <c r="P559" i="2"/>
  <c r="C559" i="2"/>
  <c r="Q558" i="2"/>
  <c r="P558" i="2"/>
  <c r="D558" i="2"/>
  <c r="Q557" i="2"/>
  <c r="P557" i="2"/>
  <c r="D557" i="2"/>
  <c r="Q556" i="2"/>
  <c r="P556" i="2"/>
  <c r="D556" i="2"/>
  <c r="V555" i="2"/>
  <c r="Q555" i="2"/>
  <c r="P555" i="2"/>
  <c r="D555" i="2"/>
  <c r="AB554" i="2"/>
  <c r="W554" i="2"/>
  <c r="Q554" i="2"/>
  <c r="P554" i="2"/>
  <c r="C554" i="2"/>
  <c r="Q553" i="2"/>
  <c r="P553" i="2"/>
  <c r="D553" i="2"/>
  <c r="Q552" i="2"/>
  <c r="P552" i="2"/>
  <c r="D552" i="2"/>
  <c r="Q551" i="2"/>
  <c r="P551" i="2"/>
  <c r="D551" i="2"/>
  <c r="V550" i="2"/>
  <c r="Q550" i="2"/>
  <c r="P550" i="2"/>
  <c r="D550" i="2"/>
  <c r="AB549" i="2"/>
  <c r="W549" i="2"/>
  <c r="Q549" i="2"/>
  <c r="P549" i="2"/>
  <c r="C549" i="2"/>
  <c r="Q548" i="2"/>
  <c r="P548" i="2"/>
  <c r="D548" i="2"/>
  <c r="Q547" i="2"/>
  <c r="P547" i="2"/>
  <c r="D547" i="2"/>
  <c r="Q546" i="2"/>
  <c r="P546" i="2"/>
  <c r="D546" i="2"/>
  <c r="V545" i="2"/>
  <c r="Q545" i="2"/>
  <c r="P545" i="2"/>
  <c r="D545" i="2"/>
  <c r="AB544" i="2"/>
  <c r="W544" i="2"/>
  <c r="Q544" i="2"/>
  <c r="P544" i="2"/>
  <c r="C544" i="2"/>
  <c r="Q470" i="2"/>
  <c r="P470" i="2"/>
  <c r="D470" i="2"/>
  <c r="V469" i="2"/>
  <c r="Q469" i="2"/>
  <c r="P469" i="2"/>
  <c r="D469" i="2"/>
  <c r="AB468" i="2"/>
  <c r="W468" i="2"/>
  <c r="Q468" i="2"/>
  <c r="P468" i="2"/>
  <c r="C468" i="2"/>
  <c r="Q467" i="2"/>
  <c r="P467" i="2"/>
  <c r="D467" i="2"/>
  <c r="Q466" i="2"/>
  <c r="P466" i="2"/>
  <c r="D466" i="2"/>
  <c r="Q465" i="2"/>
  <c r="P465" i="2"/>
  <c r="D465" i="2"/>
  <c r="V464" i="2"/>
  <c r="Q464" i="2"/>
  <c r="P464" i="2"/>
  <c r="D464" i="2"/>
  <c r="AB463" i="2"/>
  <c r="W463" i="2"/>
  <c r="Q463" i="2"/>
  <c r="P463" i="2"/>
  <c r="C463" i="2"/>
  <c r="Q462" i="2"/>
  <c r="P462" i="2"/>
  <c r="D462" i="2"/>
  <c r="Q461" i="2"/>
  <c r="P461" i="2"/>
  <c r="D461" i="2"/>
  <c r="Q460" i="2"/>
  <c r="P460" i="2"/>
  <c r="D460" i="2"/>
  <c r="V459" i="2"/>
  <c r="Q459" i="2"/>
  <c r="P459" i="2"/>
  <c r="D459" i="2"/>
  <c r="AB458" i="2"/>
  <c r="W458" i="2"/>
  <c r="Q458" i="2"/>
  <c r="P458" i="2"/>
  <c r="C458" i="2"/>
  <c r="Q457" i="2"/>
  <c r="P457" i="2"/>
  <c r="D457" i="2"/>
  <c r="Q456" i="2"/>
  <c r="P456" i="2"/>
  <c r="D456" i="2"/>
  <c r="Q455" i="2"/>
  <c r="P455" i="2"/>
  <c r="D455" i="2"/>
  <c r="V454" i="2"/>
  <c r="Q454" i="2"/>
  <c r="P454" i="2"/>
  <c r="D454" i="2"/>
  <c r="AB453" i="2"/>
  <c r="W453" i="2"/>
  <c r="Q453" i="2"/>
  <c r="P453" i="2"/>
  <c r="C453" i="2"/>
  <c r="U367" i="2"/>
  <c r="U362" i="2"/>
  <c r="U377" i="2"/>
  <c r="Q379" i="2"/>
  <c r="P379" i="2"/>
  <c r="D379" i="2"/>
  <c r="V378" i="2"/>
  <c r="Q378" i="2"/>
  <c r="P378" i="2"/>
  <c r="D378" i="2"/>
  <c r="AB377" i="2"/>
  <c r="W377" i="2"/>
  <c r="Q377" i="2"/>
  <c r="P377" i="2"/>
  <c r="C377" i="2"/>
  <c r="Q376" i="2"/>
  <c r="P376" i="2"/>
  <c r="D376" i="2"/>
  <c r="Q375" i="2"/>
  <c r="P375" i="2"/>
  <c r="D375" i="2"/>
  <c r="Q374" i="2"/>
  <c r="P374" i="2"/>
  <c r="D374" i="2"/>
  <c r="V373" i="2"/>
  <c r="Q373" i="2"/>
  <c r="P373" i="2"/>
  <c r="D373" i="2"/>
  <c r="AB372" i="2"/>
  <c r="W372" i="2"/>
  <c r="Q372" i="2"/>
  <c r="P372" i="2"/>
  <c r="C372" i="2"/>
  <c r="Q371" i="2"/>
  <c r="P371" i="2"/>
  <c r="D371" i="2"/>
  <c r="Q370" i="2"/>
  <c r="P370" i="2"/>
  <c r="D370" i="2"/>
  <c r="Q369" i="2"/>
  <c r="P369" i="2"/>
  <c r="D369" i="2"/>
  <c r="V368" i="2"/>
  <c r="Q368" i="2"/>
  <c r="P368" i="2"/>
  <c r="D368" i="2"/>
  <c r="AB367" i="2"/>
  <c r="W367" i="2"/>
  <c r="Q367" i="2"/>
  <c r="P367" i="2"/>
  <c r="C367" i="2"/>
  <c r="Q366" i="2"/>
  <c r="P366" i="2"/>
  <c r="D366" i="2"/>
  <c r="Q365" i="2"/>
  <c r="P365" i="2"/>
  <c r="D365" i="2"/>
  <c r="Q364" i="2"/>
  <c r="P364" i="2"/>
  <c r="D364" i="2"/>
  <c r="V363" i="2"/>
  <c r="Q363" i="2"/>
  <c r="P363" i="2"/>
  <c r="D363" i="2"/>
  <c r="AB362" i="2"/>
  <c r="W362" i="2"/>
  <c r="Q362" i="2"/>
  <c r="P362" i="2"/>
  <c r="C362" i="2"/>
  <c r="U276" i="2"/>
  <c r="V282" i="2"/>
  <c r="C249" i="61"/>
  <c r="V267" i="2"/>
  <c r="V272" i="2"/>
  <c r="V277" i="2"/>
  <c r="Q283" i="2"/>
  <c r="P283" i="2"/>
  <c r="D283" i="2"/>
  <c r="Q280" i="2"/>
  <c r="P280" i="2"/>
  <c r="D280" i="2"/>
  <c r="Q279" i="2"/>
  <c r="P279" i="2"/>
  <c r="D279" i="2"/>
  <c r="Q278" i="2"/>
  <c r="P278" i="2"/>
  <c r="D278" i="2"/>
  <c r="Q277" i="2"/>
  <c r="P277" i="2"/>
  <c r="D277" i="2"/>
  <c r="AB276" i="2"/>
  <c r="W276" i="2"/>
  <c r="Q276" i="2"/>
  <c r="P276" i="2"/>
  <c r="C276" i="2"/>
  <c r="Q275" i="2"/>
  <c r="P275" i="2"/>
  <c r="D275" i="2"/>
  <c r="Q274" i="2"/>
  <c r="P274" i="2"/>
  <c r="D274" i="2"/>
  <c r="Q273" i="2"/>
  <c r="P273" i="2"/>
  <c r="D273" i="2"/>
  <c r="Q272" i="2"/>
  <c r="P272" i="2"/>
  <c r="D272" i="2"/>
  <c r="AB271" i="2"/>
  <c r="W271" i="2"/>
  <c r="Q271" i="2"/>
  <c r="P271" i="2"/>
  <c r="C271" i="2"/>
  <c r="U405" i="2" l="1"/>
  <c r="B8" i="68" s="1"/>
  <c r="AB182" i="2"/>
  <c r="Y182" i="2"/>
  <c r="W182" i="2"/>
  <c r="U182" i="2"/>
  <c r="Q182" i="2"/>
  <c r="P182" i="2"/>
  <c r="C182" i="2"/>
  <c r="AB177" i="2"/>
  <c r="Y177" i="2"/>
  <c r="W177" i="2"/>
  <c r="U177" i="2"/>
  <c r="Q177" i="2"/>
  <c r="P177" i="2"/>
  <c r="C177" i="2"/>
  <c r="AB227" i="2"/>
  <c r="Y227" i="2"/>
  <c r="W227" i="2"/>
  <c r="U227" i="2"/>
  <c r="Q227" i="2"/>
  <c r="P227" i="2"/>
  <c r="C227" i="2"/>
  <c r="AB218" i="2"/>
  <c r="Y218" i="2"/>
  <c r="W218" i="2"/>
  <c r="U218" i="2"/>
  <c r="Q218" i="2"/>
  <c r="P218" i="2"/>
  <c r="C218" i="2"/>
  <c r="Q233" i="2"/>
  <c r="P233" i="2"/>
  <c r="D233" i="2"/>
  <c r="AB232" i="2"/>
  <c r="W232" i="2"/>
  <c r="Q232" i="2"/>
  <c r="P232" i="2"/>
  <c r="C232" i="2"/>
  <c r="AB231" i="2"/>
  <c r="Y231" i="2"/>
  <c r="W231" i="2"/>
  <c r="U231" i="2"/>
  <c r="Q231" i="2"/>
  <c r="P231" i="2"/>
  <c r="C231" i="2"/>
  <c r="T230" i="2"/>
  <c r="Q230" i="2"/>
  <c r="P230" i="2"/>
  <c r="D230" i="2"/>
  <c r="T229" i="2"/>
  <c r="Q229" i="2"/>
  <c r="P229" i="2"/>
  <c r="D229" i="2"/>
  <c r="AB228" i="2"/>
  <c r="W228" i="2"/>
  <c r="Q228" i="2"/>
  <c r="P228" i="2"/>
  <c r="C228" i="2"/>
  <c r="Q226" i="2"/>
  <c r="P226" i="2"/>
  <c r="D226" i="2"/>
  <c r="T225" i="2"/>
  <c r="Q225" i="2"/>
  <c r="P225" i="2"/>
  <c r="D225" i="2"/>
  <c r="T224" i="2"/>
  <c r="Q224" i="2"/>
  <c r="P224" i="2"/>
  <c r="D224" i="2"/>
  <c r="AB223" i="2"/>
  <c r="W223" i="2"/>
  <c r="Q223" i="2"/>
  <c r="P223" i="2"/>
  <c r="C223" i="2"/>
  <c r="Q222" i="2"/>
  <c r="P222" i="2"/>
  <c r="D222" i="2"/>
  <c r="T221" i="2"/>
  <c r="Q221" i="2"/>
  <c r="P221" i="2"/>
  <c r="D221" i="2"/>
  <c r="T220" i="2"/>
  <c r="Q220" i="2"/>
  <c r="P220" i="2"/>
  <c r="D220" i="2"/>
  <c r="AB219" i="2"/>
  <c r="W219" i="2"/>
  <c r="Q219" i="2"/>
  <c r="P219" i="2"/>
  <c r="C219" i="2"/>
  <c r="Q217" i="2"/>
  <c r="P217" i="2"/>
  <c r="D217" i="2"/>
  <c r="Q216" i="2"/>
  <c r="P216" i="2"/>
  <c r="D216" i="2"/>
  <c r="Q215" i="2"/>
  <c r="P215" i="2"/>
  <c r="D215" i="2"/>
  <c r="Q214" i="2"/>
  <c r="P214" i="2"/>
  <c r="D214" i="2"/>
  <c r="Q213" i="2"/>
  <c r="P213" i="2"/>
  <c r="D213" i="2"/>
  <c r="Q212" i="2"/>
  <c r="P212" i="2"/>
  <c r="D212" i="2"/>
  <c r="AB211" i="2"/>
  <c r="W211" i="2"/>
  <c r="Q211" i="2"/>
  <c r="P211" i="2"/>
  <c r="C211" i="2"/>
  <c r="AB200" i="2"/>
  <c r="Y200" i="2"/>
  <c r="W200" i="2"/>
  <c r="U200" i="2"/>
  <c r="Q200" i="2"/>
  <c r="P200" i="2"/>
  <c r="C200" i="2"/>
  <c r="AB199" i="2"/>
  <c r="Y199" i="2"/>
  <c r="W199" i="2"/>
  <c r="U199" i="2"/>
  <c r="Q199" i="2"/>
  <c r="C199" i="2"/>
  <c r="Q198" i="2"/>
  <c r="P198" i="2"/>
  <c r="D198" i="2"/>
  <c r="AB197" i="2"/>
  <c r="W197" i="2"/>
  <c r="Q197" i="2"/>
  <c r="P197" i="2"/>
  <c r="C197" i="2"/>
  <c r="AB196" i="2"/>
  <c r="Y196" i="2"/>
  <c r="W196" i="2"/>
  <c r="U196" i="2"/>
  <c r="Q196" i="2"/>
  <c r="P196" i="2"/>
  <c r="C196" i="2"/>
  <c r="Q195" i="2"/>
  <c r="P195" i="2"/>
  <c r="D195" i="2"/>
  <c r="AB194" i="2"/>
  <c r="W194" i="2"/>
  <c r="Q194" i="2"/>
  <c r="P194" i="2"/>
  <c r="C194" i="2"/>
  <c r="AB184" i="2"/>
  <c r="W184" i="2"/>
  <c r="Y184" i="2" s="1"/>
  <c r="T184" i="2"/>
  <c r="Q184" i="2"/>
  <c r="P184" i="2"/>
  <c r="D184" i="2"/>
  <c r="AB183" i="2"/>
  <c r="W183" i="2"/>
  <c r="Q183" i="2"/>
  <c r="P183" i="2"/>
  <c r="C183" i="2"/>
  <c r="AB193" i="2"/>
  <c r="Y193" i="2"/>
  <c r="W193" i="2"/>
  <c r="U193" i="2"/>
  <c r="Q193" i="2"/>
  <c r="P193" i="2"/>
  <c r="C193" i="2"/>
  <c r="Q192" i="2"/>
  <c r="P192" i="2"/>
  <c r="D192" i="2"/>
  <c r="AB191" i="2"/>
  <c r="W191" i="2"/>
  <c r="Q191" i="2"/>
  <c r="P191" i="2"/>
  <c r="C191" i="2"/>
  <c r="AB190" i="2"/>
  <c r="Y190" i="2"/>
  <c r="W190" i="2"/>
  <c r="U190" i="2"/>
  <c r="Q190" i="2"/>
  <c r="P190" i="2"/>
  <c r="C190" i="2"/>
  <c r="Q189" i="2"/>
  <c r="P189" i="2"/>
  <c r="D189" i="2"/>
  <c r="AB188" i="2"/>
  <c r="W188" i="2"/>
  <c r="Q188" i="2"/>
  <c r="P188" i="2"/>
  <c r="C188" i="2"/>
  <c r="AB187" i="2"/>
  <c r="Y187" i="2"/>
  <c r="W187" i="2"/>
  <c r="U187" i="2"/>
  <c r="Q187" i="2"/>
  <c r="P187" i="2"/>
  <c r="C187" i="2"/>
  <c r="AB186" i="2"/>
  <c r="Y186" i="2"/>
  <c r="W186" i="2"/>
  <c r="U186" i="2"/>
  <c r="Q186" i="2"/>
  <c r="P186" i="2"/>
  <c r="C186" i="2"/>
  <c r="AB185" i="2"/>
  <c r="Y185" i="2"/>
  <c r="W185" i="2"/>
  <c r="U185" i="2"/>
  <c r="Q185" i="2"/>
  <c r="C185" i="2"/>
  <c r="W230" i="2"/>
  <c r="Y230" i="2" s="1"/>
  <c r="U823" i="2" l="1"/>
  <c r="U840" i="2" s="1"/>
  <c r="U232" i="2"/>
  <c r="AB162" i="2" l="1"/>
  <c r="W162" i="2"/>
  <c r="Q162" i="2"/>
  <c r="P162" i="2"/>
  <c r="C162" i="2"/>
  <c r="Q161" i="2"/>
  <c r="P161" i="2"/>
  <c r="D161" i="2"/>
  <c r="Q163" i="2"/>
  <c r="P163" i="2"/>
  <c r="D163" i="2"/>
  <c r="AB160" i="2"/>
  <c r="W160" i="2"/>
  <c r="Q160" i="2"/>
  <c r="P160" i="2"/>
  <c r="C160" i="2"/>
  <c r="Q165" i="2"/>
  <c r="P165" i="2"/>
  <c r="D165" i="2"/>
  <c r="Q170" i="2"/>
  <c r="P170" i="2"/>
  <c r="AB169" i="2"/>
  <c r="W169" i="2"/>
  <c r="U169" i="2"/>
  <c r="Q169" i="2"/>
  <c r="P169" i="2"/>
  <c r="C169" i="2"/>
  <c r="Q156" i="2" l="1"/>
  <c r="P156" i="2"/>
  <c r="D156" i="2"/>
  <c r="AB125" i="2"/>
  <c r="W125" i="2"/>
  <c r="U125" i="2"/>
  <c r="Q125" i="2"/>
  <c r="P125" i="2"/>
  <c r="C125" i="2"/>
  <c r="AB123" i="2"/>
  <c r="W123" i="2"/>
  <c r="U123" i="2"/>
  <c r="Q123" i="2"/>
  <c r="P123" i="2"/>
  <c r="C123" i="2"/>
  <c r="AB131" i="2"/>
  <c r="W131" i="2"/>
  <c r="U131" i="2"/>
  <c r="Q131" i="2"/>
  <c r="P131" i="2"/>
  <c r="C131" i="2"/>
  <c r="AB129" i="2"/>
  <c r="W129" i="2"/>
  <c r="U129" i="2"/>
  <c r="Q129" i="2"/>
  <c r="P129" i="2"/>
  <c r="C129" i="2"/>
  <c r="D130" i="2"/>
  <c r="P130" i="2"/>
  <c r="Q130" i="2"/>
  <c r="T130" i="2"/>
  <c r="W130" i="2"/>
  <c r="Y130" i="2" s="1"/>
  <c r="AB130" i="2"/>
  <c r="AB127" i="2"/>
  <c r="W127" i="2"/>
  <c r="U127" i="2"/>
  <c r="Q127" i="2"/>
  <c r="P127" i="2"/>
  <c r="C127" i="2"/>
  <c r="C58" i="61"/>
  <c r="C357" i="61" l="1"/>
  <c r="Q157" i="2" l="1"/>
  <c r="P157" i="2"/>
  <c r="D157" i="2"/>
  <c r="AB155" i="2"/>
  <c r="W155" i="2"/>
  <c r="Q155" i="2"/>
  <c r="P155" i="2"/>
  <c r="C155" i="2"/>
  <c r="V1822" i="2" l="1"/>
  <c r="V1800" i="2"/>
  <c r="V1780" i="2"/>
  <c r="V1776" i="2"/>
  <c r="V1758" i="2"/>
  <c r="V1754" i="2"/>
  <c r="V1733" i="2"/>
  <c r="C242" i="61"/>
  <c r="C330" i="61" l="1"/>
  <c r="AB101" i="2" l="1"/>
  <c r="W101" i="2"/>
  <c r="Y101" i="2" s="1"/>
  <c r="T101" i="2"/>
  <c r="Q101" i="2"/>
  <c r="P101" i="2"/>
  <c r="D101" i="2"/>
  <c r="AB100" i="2"/>
  <c r="W100" i="2"/>
  <c r="Y100" i="2" s="1"/>
  <c r="T100" i="2"/>
  <c r="Q100" i="2"/>
  <c r="P100" i="2"/>
  <c r="D100" i="2"/>
  <c r="AB99" i="2"/>
  <c r="W99" i="2"/>
  <c r="Y99" i="2" s="1"/>
  <c r="T99" i="2"/>
  <c r="Q99" i="2"/>
  <c r="P99" i="2"/>
  <c r="D99" i="2"/>
  <c r="AB98" i="2"/>
  <c r="W98" i="2"/>
  <c r="Y98" i="2" s="1"/>
  <c r="T98" i="2"/>
  <c r="Q98" i="2"/>
  <c r="P98" i="2"/>
  <c r="D98" i="2"/>
  <c r="AB97" i="2"/>
  <c r="W97" i="2"/>
  <c r="Y97" i="2" s="1"/>
  <c r="T97" i="2"/>
  <c r="Q97" i="2"/>
  <c r="P97" i="2"/>
  <c r="D97" i="2"/>
  <c r="U167" i="2" l="1"/>
  <c r="U135" i="2"/>
  <c r="U133" i="2"/>
  <c r="C224" i="61" l="1"/>
  <c r="Q154" i="2" l="1"/>
  <c r="P154" i="2"/>
  <c r="D154" i="2"/>
  <c r="C152" i="72" l="1"/>
  <c r="C151" i="72"/>
  <c r="Q1185" i="2" l="1"/>
  <c r="P1185" i="2"/>
  <c r="D1185" i="2"/>
  <c r="Q1184" i="2"/>
  <c r="P1184" i="2"/>
  <c r="D1184" i="2"/>
  <c r="Q1183" i="2"/>
  <c r="P1183" i="2"/>
  <c r="D1183" i="2"/>
  <c r="Q1182" i="2"/>
  <c r="P1182" i="2"/>
  <c r="D1182" i="2"/>
  <c r="Q1181" i="2"/>
  <c r="P1181" i="2"/>
  <c r="D1181" i="2"/>
  <c r="Q1180" i="2"/>
  <c r="P1180" i="2"/>
  <c r="D1180" i="2"/>
  <c r="Q1186" i="2"/>
  <c r="P1186" i="2"/>
  <c r="D1186" i="2"/>
  <c r="Q1179" i="2"/>
  <c r="P1179" i="2"/>
  <c r="D1179" i="2"/>
  <c r="AB1178" i="2"/>
  <c r="W1178" i="2"/>
  <c r="Q1178" i="2"/>
  <c r="P1178" i="2"/>
  <c r="C1178" i="2"/>
  <c r="Q176" i="2" l="1"/>
  <c r="P176" i="2"/>
  <c r="D176" i="2"/>
  <c r="AB175" i="2"/>
  <c r="Q175" i="2"/>
  <c r="P175" i="2"/>
  <c r="C175" i="2"/>
  <c r="Q989" i="2" l="1"/>
  <c r="P989" i="2"/>
  <c r="D989" i="2"/>
  <c r="AB988" i="2"/>
  <c r="W988" i="2"/>
  <c r="Q988" i="2"/>
  <c r="P988" i="2"/>
  <c r="C988" i="2"/>
  <c r="Q1008" i="2"/>
  <c r="P1008" i="2"/>
  <c r="D1008" i="2"/>
  <c r="AB1007" i="2"/>
  <c r="W1007" i="2"/>
  <c r="Q1007" i="2"/>
  <c r="P1007" i="2"/>
  <c r="C1007" i="2"/>
  <c r="Q1027" i="2"/>
  <c r="P1027" i="2"/>
  <c r="D1027" i="2"/>
  <c r="AB1026" i="2"/>
  <c r="W1026" i="2"/>
  <c r="Q1026" i="2"/>
  <c r="P1026" i="2"/>
  <c r="C1026" i="2"/>
  <c r="Q1046" i="2"/>
  <c r="P1046" i="2"/>
  <c r="D1046" i="2"/>
  <c r="AB1045" i="2"/>
  <c r="W1045" i="2"/>
  <c r="Q1045" i="2"/>
  <c r="P1045" i="2"/>
  <c r="C1045" i="2"/>
  <c r="Q1065" i="2"/>
  <c r="P1065" i="2"/>
  <c r="D1065" i="2"/>
  <c r="AB1064" i="2"/>
  <c r="W1064" i="2"/>
  <c r="Q1064" i="2"/>
  <c r="P1064" i="2"/>
  <c r="C1064" i="2"/>
  <c r="AB1454" i="2"/>
  <c r="W1454" i="2"/>
  <c r="Q1454" i="2"/>
  <c r="P1454" i="2"/>
  <c r="C1454" i="2"/>
  <c r="AB1445" i="2"/>
  <c r="W1445" i="2"/>
  <c r="Q1445" i="2"/>
  <c r="P1445" i="2"/>
  <c r="C1445" i="2"/>
  <c r="AB1427" i="2"/>
  <c r="W1427" i="2"/>
  <c r="Q1427" i="2"/>
  <c r="P1427" i="2"/>
  <c r="C1427" i="2"/>
  <c r="Q1455" i="2"/>
  <c r="P1455" i="2"/>
  <c r="D1455" i="2"/>
  <c r="Q1446" i="2"/>
  <c r="P1446" i="2"/>
  <c r="D1446" i="2"/>
  <c r="Q1428" i="2"/>
  <c r="P1428" i="2"/>
  <c r="D1428" i="2"/>
  <c r="Q1202" i="2"/>
  <c r="P1202" i="2"/>
  <c r="D1202" i="2"/>
  <c r="AB1201" i="2"/>
  <c r="W1201" i="2"/>
  <c r="Q1201" i="2"/>
  <c r="P1201" i="2"/>
  <c r="C1201" i="2"/>
  <c r="Q139" i="2"/>
  <c r="P139" i="2"/>
  <c r="D139" i="2"/>
  <c r="Q138" i="2"/>
  <c r="P138" i="2"/>
  <c r="D138" i="2"/>
  <c r="Q137" i="2"/>
  <c r="P137" i="2"/>
  <c r="D137" i="2"/>
  <c r="AB135" i="2" l="1"/>
  <c r="W135" i="2"/>
  <c r="Q135" i="2"/>
  <c r="P135" i="2"/>
  <c r="C135" i="2"/>
  <c r="Q136" i="2"/>
  <c r="P136" i="2"/>
  <c r="D136" i="2"/>
  <c r="Q294" i="2" l="1"/>
  <c r="P294" i="2"/>
  <c r="D294" i="2"/>
  <c r="Q393" i="2"/>
  <c r="P393" i="2"/>
  <c r="D393" i="2"/>
  <c r="AB1955" i="2" l="1"/>
  <c r="W1955" i="2"/>
  <c r="Q1955" i="2"/>
  <c r="P1955" i="2"/>
  <c r="C1955" i="2"/>
  <c r="AB1953" i="2"/>
  <c r="W1953" i="2"/>
  <c r="Q1953" i="2"/>
  <c r="P1953" i="2"/>
  <c r="C1953" i="2"/>
  <c r="AB1951" i="2"/>
  <c r="W1951" i="2"/>
  <c r="Q1951" i="2"/>
  <c r="P1951" i="2"/>
  <c r="C1951" i="2"/>
  <c r="AB1925" i="2"/>
  <c r="W1925" i="2"/>
  <c r="Q1925" i="2"/>
  <c r="P1925" i="2"/>
  <c r="C1925" i="2"/>
  <c r="Q1890" i="2"/>
  <c r="P1890" i="2"/>
  <c r="D1890" i="2"/>
  <c r="AB1889" i="2"/>
  <c r="W1889" i="2"/>
  <c r="Q1889" i="2"/>
  <c r="P1889" i="2"/>
  <c r="C1889" i="2"/>
  <c r="AB1858" i="2"/>
  <c r="W1858" i="2"/>
  <c r="Q1858" i="2"/>
  <c r="P1858" i="2"/>
  <c r="C1858" i="2"/>
  <c r="AB1856" i="2"/>
  <c r="W1856" i="2"/>
  <c r="Q1856" i="2"/>
  <c r="P1856" i="2"/>
  <c r="C1856" i="2"/>
  <c r="AB1891" i="2"/>
  <c r="W1891" i="2"/>
  <c r="Q1891" i="2"/>
  <c r="P1891" i="2"/>
  <c r="C1891" i="2"/>
  <c r="C390" i="64" l="1"/>
  <c r="B390" i="64"/>
  <c r="C389" i="64"/>
  <c r="B389" i="64"/>
  <c r="C388" i="64"/>
  <c r="B388" i="64"/>
  <c r="C387" i="64"/>
  <c r="B387" i="64"/>
  <c r="C386" i="64"/>
  <c r="B386" i="64"/>
  <c r="C385" i="64"/>
  <c r="B385" i="64"/>
  <c r="C384" i="64"/>
  <c r="B384" i="64"/>
  <c r="C383" i="64"/>
  <c r="B383" i="64"/>
  <c r="C382" i="64"/>
  <c r="B382" i="64"/>
  <c r="C381" i="64"/>
  <c r="B381" i="64"/>
  <c r="C380" i="64"/>
  <c r="B380" i="64"/>
  <c r="C379" i="64"/>
  <c r="B379" i="64"/>
  <c r="A93" i="61"/>
  <c r="AB209" i="2" l="1"/>
  <c r="W206" i="2"/>
  <c r="Y206" i="2" s="1"/>
  <c r="AB203" i="2"/>
  <c r="W209" i="2"/>
  <c r="Y209" i="2" s="1"/>
  <c r="AB206" i="2"/>
  <c r="T209" i="2"/>
  <c r="T206" i="2"/>
  <c r="W203" i="2"/>
  <c r="Y203" i="2" s="1"/>
  <c r="T203" i="2"/>
  <c r="T195" i="2"/>
  <c r="T192" i="2"/>
  <c r="T159" i="2"/>
  <c r="AB1938" i="2"/>
  <c r="W159" i="2"/>
  <c r="AB159" i="2"/>
  <c r="AB1910" i="2"/>
  <c r="W1938" i="2"/>
  <c r="W1910" i="2"/>
  <c r="T1938" i="2"/>
  <c r="T1910" i="2"/>
  <c r="W1874" i="2"/>
  <c r="T1874" i="2"/>
  <c r="AB1874" i="2"/>
  <c r="AB1772" i="2"/>
  <c r="T1772" i="2"/>
  <c r="T2142" i="2"/>
  <c r="AB2142" i="2"/>
  <c r="T109" i="2"/>
  <c r="W1713" i="2"/>
  <c r="Y1713" i="2" s="1"/>
  <c r="W1510" i="2"/>
  <c r="Y1510" i="2" s="1"/>
  <c r="AB1584" i="2"/>
  <c r="T1510" i="2"/>
  <c r="W1584" i="2"/>
  <c r="Y1584" i="2" s="1"/>
  <c r="W1645" i="2"/>
  <c r="Y1645" i="2" s="1"/>
  <c r="AB1645" i="2"/>
  <c r="T1584" i="2"/>
  <c r="AB1713" i="2"/>
  <c r="T1645" i="2"/>
  <c r="T1713" i="2"/>
  <c r="AB1510" i="2"/>
  <c r="AB1461" i="2"/>
  <c r="T1461" i="2"/>
  <c r="W1461" i="2"/>
  <c r="Y1461" i="2" s="1"/>
  <c r="T923" i="2"/>
  <c r="AB941" i="2"/>
  <c r="AB923" i="2"/>
  <c r="W941" i="2"/>
  <c r="T922" i="2"/>
  <c r="T941" i="2"/>
  <c r="W922" i="2"/>
  <c r="AB922" i="2"/>
  <c r="W923" i="2"/>
  <c r="T870" i="2"/>
  <c r="T835" i="2"/>
  <c r="AB905" i="2"/>
  <c r="AB888" i="2"/>
  <c r="AB887" i="2"/>
  <c r="AB835" i="2"/>
  <c r="AB818" i="2"/>
  <c r="AB817" i="2"/>
  <c r="T888" i="2"/>
  <c r="T887" i="2"/>
  <c r="T818" i="2"/>
  <c r="T817" i="2"/>
  <c r="W870" i="2"/>
  <c r="T905" i="2"/>
  <c r="AB870" i="2"/>
  <c r="W888" i="2"/>
  <c r="W835" i="2"/>
  <c r="W817" i="2"/>
  <c r="W887" i="2"/>
  <c r="W905" i="2"/>
  <c r="W818" i="2"/>
  <c r="T852" i="2"/>
  <c r="AB853" i="2"/>
  <c r="AB852" i="2"/>
  <c r="T853" i="2"/>
  <c r="W853" i="2"/>
  <c r="W852" i="2"/>
  <c r="W841" i="2"/>
  <c r="T841" i="2"/>
  <c r="AB841" i="2"/>
  <c r="W1442" i="2"/>
  <c r="Y1442" i="2" s="1"/>
  <c r="W1438" i="2"/>
  <c r="Y1438" i="2" s="1"/>
  <c r="W1424" i="2"/>
  <c r="Y1424" i="2" s="1"/>
  <c r="W1420" i="2"/>
  <c r="Y1420" i="2" s="1"/>
  <c r="AB1439" i="2"/>
  <c r="AB1425" i="2"/>
  <c r="AB1421" i="2"/>
  <c r="T1419" i="2"/>
  <c r="AB1443" i="2"/>
  <c r="T1442" i="2"/>
  <c r="T1438" i="2"/>
  <c r="T1424" i="2"/>
  <c r="T1420" i="2"/>
  <c r="AB1424" i="2"/>
  <c r="W1443" i="2"/>
  <c r="Y1443" i="2" s="1"/>
  <c r="W1439" i="2"/>
  <c r="Y1439" i="2" s="1"/>
  <c r="W1425" i="2"/>
  <c r="Y1425" i="2" s="1"/>
  <c r="W1421" i="2"/>
  <c r="Y1421" i="2" s="1"/>
  <c r="T1425" i="2"/>
  <c r="T1421" i="2"/>
  <c r="W1422" i="2"/>
  <c r="Y1422" i="2" s="1"/>
  <c r="T1443" i="2"/>
  <c r="AB1440" i="2"/>
  <c r="T1439" i="2"/>
  <c r="AB1422" i="2"/>
  <c r="W1440" i="2"/>
  <c r="Y1440" i="2" s="1"/>
  <c r="AB1420" i="2"/>
  <c r="T1440" i="2"/>
  <c r="AB1437" i="2"/>
  <c r="T1422" i="2"/>
  <c r="AB1419" i="2"/>
  <c r="T1437" i="2"/>
  <c r="W1437" i="2"/>
  <c r="Y1437" i="2" s="1"/>
  <c r="W1419" i="2"/>
  <c r="Y1419" i="2" s="1"/>
  <c r="AB1442" i="2"/>
  <c r="AB1438" i="2"/>
  <c r="T1404" i="2"/>
  <c r="AB1404" i="2"/>
  <c r="W1404" i="2"/>
  <c r="Y1404" i="2" s="1"/>
  <c r="W122" i="2"/>
  <c r="Y122" i="2" s="1"/>
  <c r="AB122" i="2"/>
  <c r="T117" i="2"/>
  <c r="W117" i="2"/>
  <c r="Y117" i="2" s="1"/>
  <c r="AB117" i="2"/>
  <c r="T122" i="2"/>
  <c r="W1401" i="2"/>
  <c r="Y1401" i="2" s="1"/>
  <c r="T1402" i="2"/>
  <c r="W1400" i="2"/>
  <c r="Y1400" i="2" s="1"/>
  <c r="T1401" i="2"/>
  <c r="W1399" i="2"/>
  <c r="Y1399" i="2" s="1"/>
  <c r="AB1402" i="2"/>
  <c r="T1400" i="2"/>
  <c r="AB1401" i="2"/>
  <c r="T1399" i="2"/>
  <c r="AB1400" i="2"/>
  <c r="AB1399" i="2"/>
  <c r="W1402" i="2"/>
  <c r="Y1402" i="2" s="1"/>
  <c r="W1685" i="2"/>
  <c r="Y1685" i="2" s="1"/>
  <c r="W1679" i="2"/>
  <c r="Y1679" i="2" s="1"/>
  <c r="W1673" i="2"/>
  <c r="Y1673" i="2" s="1"/>
  <c r="T1685" i="2"/>
  <c r="T1678" i="2"/>
  <c r="W1613" i="2"/>
  <c r="Y1613" i="2" s="1"/>
  <c r="W1607" i="2"/>
  <c r="Y1607" i="2" s="1"/>
  <c r="T1544" i="2"/>
  <c r="T1539" i="2"/>
  <c r="T1533" i="2"/>
  <c r="T1534" i="2"/>
  <c r="AB1704" i="2"/>
  <c r="T1679" i="2"/>
  <c r="T1673" i="2"/>
  <c r="T1612" i="2"/>
  <c r="AB1549" i="2"/>
  <c r="T1686" i="2"/>
  <c r="T1680" i="2"/>
  <c r="T1674" i="2"/>
  <c r="T1613" i="2"/>
  <c r="T1607" i="2"/>
  <c r="W1549" i="2"/>
  <c r="Y1549" i="2" s="1"/>
  <c r="T1545" i="2"/>
  <c r="T1614" i="2"/>
  <c r="T1608" i="2"/>
  <c r="AB1550" i="2"/>
  <c r="T1549" i="2"/>
  <c r="AB1533" i="2"/>
  <c r="AB1673" i="2"/>
  <c r="AB1612" i="2"/>
  <c r="AB1544" i="2"/>
  <c r="T1543" i="2"/>
  <c r="W1533" i="2"/>
  <c r="Y1533" i="2" s="1"/>
  <c r="AB1636" i="2"/>
  <c r="AB1684" i="2"/>
  <c r="W1550" i="2"/>
  <c r="Y1550" i="2" s="1"/>
  <c r="AB1543" i="2"/>
  <c r="AB1538" i="2"/>
  <c r="AB1613" i="2"/>
  <c r="T1551" i="2"/>
  <c r="W1684" i="2"/>
  <c r="Y1684" i="2" s="1"/>
  <c r="AB1678" i="2"/>
  <c r="T1550" i="2"/>
  <c r="W1543" i="2"/>
  <c r="Y1543" i="2" s="1"/>
  <c r="W1538" i="2"/>
  <c r="Y1538" i="2" s="1"/>
  <c r="W1612" i="2"/>
  <c r="Y1612" i="2" s="1"/>
  <c r="W1544" i="2"/>
  <c r="Y1544" i="2" s="1"/>
  <c r="AB1685" i="2"/>
  <c r="T1684" i="2"/>
  <c r="AB1679" i="2"/>
  <c r="W1678" i="2"/>
  <c r="Y1678" i="2" s="1"/>
  <c r="AB1607" i="2"/>
  <c r="T1538" i="2"/>
  <c r="AB1575" i="2"/>
  <c r="AB1503" i="2"/>
  <c r="T1487" i="2"/>
  <c r="AB1486" i="2"/>
  <c r="W1486" i="2"/>
  <c r="Y1486" i="2" s="1"/>
  <c r="T1486" i="2"/>
  <c r="W1481" i="2"/>
  <c r="Y1481" i="2" s="1"/>
  <c r="T1481" i="2"/>
  <c r="AB2147" i="2"/>
  <c r="T1482" i="2"/>
  <c r="T2147" i="2"/>
  <c r="AB1481" i="2"/>
  <c r="AB2060" i="2"/>
  <c r="T2051" i="2"/>
  <c r="AB2045" i="2"/>
  <c r="T2044" i="2"/>
  <c r="AB2041" i="2"/>
  <c r="T2040" i="2"/>
  <c r="W2033" i="2"/>
  <c r="Y2033" i="2" s="1"/>
  <c r="W2029" i="2"/>
  <c r="Y2029" i="2" s="1"/>
  <c r="AB2026" i="2"/>
  <c r="T2025" i="2"/>
  <c r="AB2022" i="2"/>
  <c r="T2021" i="2"/>
  <c r="W2018" i="2"/>
  <c r="Y2018" i="2" s="1"/>
  <c r="W2014" i="2"/>
  <c r="Y2014" i="2" s="1"/>
  <c r="W2003" i="2"/>
  <c r="Y2003" i="2" s="1"/>
  <c r="W1999" i="2"/>
  <c r="Y1999" i="2" s="1"/>
  <c r="W1990" i="2"/>
  <c r="Y1990" i="2" s="1"/>
  <c r="W1986" i="2"/>
  <c r="Y1986" i="2" s="1"/>
  <c r="W1982" i="2"/>
  <c r="Y1982" i="2" s="1"/>
  <c r="W1978" i="2"/>
  <c r="Y1978" i="2" s="1"/>
  <c r="AB1975" i="2"/>
  <c r="T1974" i="2"/>
  <c r="AB1971" i="2"/>
  <c r="T1970" i="2"/>
  <c r="T1961" i="2"/>
  <c r="T1978" i="2"/>
  <c r="W1971" i="2"/>
  <c r="Y1971" i="2" s="1"/>
  <c r="W1979" i="2"/>
  <c r="Y1979" i="2" s="1"/>
  <c r="AB1972" i="2"/>
  <c r="AB1968" i="2"/>
  <c r="T1984" i="2"/>
  <c r="AB1977" i="2"/>
  <c r="AB1961" i="2"/>
  <c r="W1961" i="2"/>
  <c r="Y1961" i="2" s="1"/>
  <c r="AB2056" i="2"/>
  <c r="W2045" i="2"/>
  <c r="Y2045" i="2" s="1"/>
  <c r="W2041" i="2"/>
  <c r="Y2041" i="2" s="1"/>
  <c r="AB2034" i="2"/>
  <c r="T2033" i="2"/>
  <c r="AB2030" i="2"/>
  <c r="T2029" i="2"/>
  <c r="W2026" i="2"/>
  <c r="Y2026" i="2" s="1"/>
  <c r="W2022" i="2"/>
  <c r="Y2022" i="2" s="1"/>
  <c r="T2018" i="2"/>
  <c r="AB2015" i="2"/>
  <c r="T2014" i="2"/>
  <c r="AB2011" i="2"/>
  <c r="AB2004" i="2"/>
  <c r="T2003" i="2"/>
  <c r="AB2000" i="2"/>
  <c r="T1999" i="2"/>
  <c r="T1990" i="2"/>
  <c r="T1986" i="2"/>
  <c r="AB1983" i="2"/>
  <c r="T1982" i="2"/>
  <c r="AB1979" i="2"/>
  <c r="W1975" i="2"/>
  <c r="Y1975" i="2" s="1"/>
  <c r="W1983" i="2"/>
  <c r="Y1983" i="2" s="1"/>
  <c r="T1975" i="2"/>
  <c r="T1971" i="2"/>
  <c r="AB1981" i="2"/>
  <c r="W1973" i="2"/>
  <c r="Y1973" i="2" s="1"/>
  <c r="T1964" i="2"/>
  <c r="W1974" i="2"/>
  <c r="Y1974" i="2" s="1"/>
  <c r="T2060" i="2"/>
  <c r="W2056" i="2"/>
  <c r="Y2056" i="2" s="1"/>
  <c r="AB2053" i="2"/>
  <c r="AB2049" i="2"/>
  <c r="T2045" i="2"/>
  <c r="AB2042" i="2"/>
  <c r="T2041" i="2"/>
  <c r="AB2038" i="2"/>
  <c r="W2034" i="2"/>
  <c r="Y2034" i="2" s="1"/>
  <c r="W2030" i="2"/>
  <c r="Y2030" i="2" s="1"/>
  <c r="AB2027" i="2"/>
  <c r="T2026" i="2"/>
  <c r="AB2023" i="2"/>
  <c r="T2022" i="2"/>
  <c r="W2015" i="2"/>
  <c r="Y2015" i="2" s="1"/>
  <c r="W2011" i="2"/>
  <c r="Y2011" i="2" s="1"/>
  <c r="AB2007" i="2"/>
  <c r="W2004" i="2"/>
  <c r="Y2004" i="2" s="1"/>
  <c r="W2000" i="2"/>
  <c r="Y2000" i="2" s="1"/>
  <c r="AB2057" i="2"/>
  <c r="T2056" i="2"/>
  <c r="W2053" i="2"/>
  <c r="Y2053" i="2" s="1"/>
  <c r="W2049" i="2"/>
  <c r="Y2049" i="2" s="1"/>
  <c r="W2042" i="2"/>
  <c r="Y2042" i="2" s="1"/>
  <c r="W2038" i="2"/>
  <c r="Y2038" i="2" s="1"/>
  <c r="AB2035" i="2"/>
  <c r="T2034" i="2"/>
  <c r="AB2031" i="2"/>
  <c r="T2030" i="2"/>
  <c r="W2027" i="2"/>
  <c r="Y2027" i="2" s="1"/>
  <c r="W2023" i="2"/>
  <c r="Y2023" i="2" s="1"/>
  <c r="AB2016" i="2"/>
  <c r="T2015" i="2"/>
  <c r="AB2012" i="2"/>
  <c r="T2011" i="2"/>
  <c r="T2004" i="2"/>
  <c r="AB2001" i="2"/>
  <c r="T2000" i="2"/>
  <c r="AB1997" i="2"/>
  <c r="AB1988" i="2"/>
  <c r="AB1984" i="2"/>
  <c r="T1983" i="2"/>
  <c r="AB1980" i="2"/>
  <c r="T1979" i="2"/>
  <c r="W1972" i="2"/>
  <c r="Y1972" i="2" s="1"/>
  <c r="W1968" i="2"/>
  <c r="Y1968" i="2" s="1"/>
  <c r="AB1964" i="2"/>
  <c r="AB1989" i="2"/>
  <c r="T1988" i="2"/>
  <c r="T1980" i="2"/>
  <c r="W1969" i="2"/>
  <c r="Y1969" i="2" s="1"/>
  <c r="W1970" i="2"/>
  <c r="Y1970" i="2" s="1"/>
  <c r="W2057" i="2"/>
  <c r="Y2057" i="2" s="1"/>
  <c r="T2053" i="2"/>
  <c r="AB2050" i="2"/>
  <c r="T2049" i="2"/>
  <c r="AB2043" i="2"/>
  <c r="T2042" i="2"/>
  <c r="AB2039" i="2"/>
  <c r="T2038" i="2"/>
  <c r="W2035" i="2"/>
  <c r="Y2035" i="2" s="1"/>
  <c r="W2031" i="2"/>
  <c r="Y2031" i="2" s="1"/>
  <c r="T2027" i="2"/>
  <c r="AB2024" i="2"/>
  <c r="T2023" i="2"/>
  <c r="AB2020" i="2"/>
  <c r="W2016" i="2"/>
  <c r="Y2016" i="2" s="1"/>
  <c r="W2012" i="2"/>
  <c r="Y2012" i="2" s="1"/>
  <c r="T2007" i="2"/>
  <c r="W2001" i="2"/>
  <c r="Y2001" i="2" s="1"/>
  <c r="W1997" i="2"/>
  <c r="Y1997" i="2" s="1"/>
  <c r="AB1993" i="2"/>
  <c r="W1988" i="2"/>
  <c r="Y1988" i="2" s="1"/>
  <c r="W1984" i="2"/>
  <c r="Y1984" i="2" s="1"/>
  <c r="W1980" i="2"/>
  <c r="Y1980" i="2" s="1"/>
  <c r="AB1973" i="2"/>
  <c r="T1972" i="2"/>
  <c r="AB1969" i="2"/>
  <c r="T1968" i="2"/>
  <c r="T2057" i="2"/>
  <c r="W2050" i="2"/>
  <c r="Y2050" i="2" s="1"/>
  <c r="AB2047" i="2"/>
  <c r="W2043" i="2"/>
  <c r="Y2043" i="2" s="1"/>
  <c r="W2039" i="2"/>
  <c r="Y2039" i="2" s="1"/>
  <c r="AB2036" i="2"/>
  <c r="T2035" i="2"/>
  <c r="AB2032" i="2"/>
  <c r="T2031" i="2"/>
  <c r="W2024" i="2"/>
  <c r="Y2024" i="2" s="1"/>
  <c r="W2020" i="2"/>
  <c r="Y2020" i="2" s="1"/>
  <c r="AB2017" i="2"/>
  <c r="T2016" i="2"/>
  <c r="AB2013" i="2"/>
  <c r="T2012" i="2"/>
  <c r="AB2002" i="2"/>
  <c r="T2001" i="2"/>
  <c r="AB1998" i="2"/>
  <c r="T1997" i="2"/>
  <c r="AB2051" i="2"/>
  <c r="T2050" i="2"/>
  <c r="W2047" i="2"/>
  <c r="Y2047" i="2" s="1"/>
  <c r="AB2044" i="2"/>
  <c r="T2043" i="2"/>
  <c r="AB2040" i="2"/>
  <c r="T2039" i="2"/>
  <c r="W2036" i="2"/>
  <c r="Y2036" i="2" s="1"/>
  <c r="W2032" i="2"/>
  <c r="Y2032" i="2" s="1"/>
  <c r="AB2025" i="2"/>
  <c r="T2024" i="2"/>
  <c r="AB2021" i="2"/>
  <c r="T2020" i="2"/>
  <c r="W2017" i="2"/>
  <c r="Y2017" i="2" s="1"/>
  <c r="W2013" i="2"/>
  <c r="Y2013" i="2" s="1"/>
  <c r="W2002" i="2"/>
  <c r="Y2002" i="2" s="1"/>
  <c r="W1998" i="2"/>
  <c r="Y1998" i="2" s="1"/>
  <c r="T1993" i="2"/>
  <c r="W1989" i="2"/>
  <c r="Y1989" i="2" s="1"/>
  <c r="W1981" i="2"/>
  <c r="Y1981" i="2" s="1"/>
  <c r="W1977" i="2"/>
  <c r="Y1977" i="2" s="1"/>
  <c r="AB1974" i="2"/>
  <c r="T1973" i="2"/>
  <c r="AB1970" i="2"/>
  <c r="T1969" i="2"/>
  <c r="W2051" i="2"/>
  <c r="Y2051" i="2" s="1"/>
  <c r="T2047" i="2"/>
  <c r="W2044" i="2"/>
  <c r="Y2044" i="2" s="1"/>
  <c r="W2040" i="2"/>
  <c r="Y2040" i="2" s="1"/>
  <c r="T2036" i="2"/>
  <c r="AB2033" i="2"/>
  <c r="T2032" i="2"/>
  <c r="AB2029" i="2"/>
  <c r="W2025" i="2"/>
  <c r="Y2025" i="2" s="1"/>
  <c r="W2021" i="2"/>
  <c r="Y2021" i="2" s="1"/>
  <c r="AB2018" i="2"/>
  <c r="T2017" i="2"/>
  <c r="AB2014" i="2"/>
  <c r="T2013" i="2"/>
  <c r="AB2003" i="2"/>
  <c r="T2002" i="2"/>
  <c r="AB1999" i="2"/>
  <c r="T1998" i="2"/>
  <c r="AB1990" i="2"/>
  <c r="T1989" i="2"/>
  <c r="AB1986" i="2"/>
  <c r="AB1982" i="2"/>
  <c r="T1981" i="2"/>
  <c r="AB1978" i="2"/>
  <c r="T1977" i="2"/>
  <c r="AB1747" i="2"/>
  <c r="T1747" i="2"/>
  <c r="AB1872" i="2"/>
  <c r="T1871" i="2"/>
  <c r="W1872" i="2"/>
  <c r="Y1872" i="2" s="1"/>
  <c r="AB1869" i="2"/>
  <c r="T1868" i="2"/>
  <c r="T1872" i="2"/>
  <c r="W1869" i="2"/>
  <c r="Y1869" i="2" s="1"/>
  <c r="AB1908" i="2"/>
  <c r="T1907" i="2"/>
  <c r="T1869" i="2"/>
  <c r="W1908" i="2"/>
  <c r="Y1908" i="2" s="1"/>
  <c r="AB1905" i="2"/>
  <c r="T1904" i="2"/>
  <c r="T1908" i="2"/>
  <c r="W1905" i="2"/>
  <c r="Y1905" i="2" s="1"/>
  <c r="W1904" i="2"/>
  <c r="Y1904" i="2" s="1"/>
  <c r="T1905" i="2"/>
  <c r="W1868" i="2"/>
  <c r="Y1868" i="2" s="1"/>
  <c r="W1907" i="2"/>
  <c r="Y1907" i="2" s="1"/>
  <c r="AB1871" i="2"/>
  <c r="W1871" i="2"/>
  <c r="Y1871" i="2" s="1"/>
  <c r="AB1868" i="2"/>
  <c r="AB1907" i="2"/>
  <c r="AB1904" i="2"/>
  <c r="W1935" i="2"/>
  <c r="Y1935" i="2" s="1"/>
  <c r="W1936" i="2"/>
  <c r="Y1936" i="2" s="1"/>
  <c r="T1935" i="2"/>
  <c r="T1936" i="2"/>
  <c r="AB1936" i="2"/>
  <c r="AB1935" i="2"/>
  <c r="AB1167" i="2"/>
  <c r="W1167" i="2"/>
  <c r="T1167" i="2"/>
  <c r="AB1164" i="2"/>
  <c r="W1164" i="2"/>
  <c r="T1164" i="2"/>
  <c r="AB1170" i="2"/>
  <c r="W1170" i="2"/>
  <c r="T1170" i="2"/>
  <c r="W1410" i="2"/>
  <c r="Y1410" i="2" s="1"/>
  <c r="T1405" i="2"/>
  <c r="AB1403" i="2"/>
  <c r="W1403" i="2"/>
  <c r="Y1403" i="2" s="1"/>
  <c r="T1410" i="2"/>
  <c r="W1385" i="2"/>
  <c r="Y1385" i="2" s="1"/>
  <c r="AB1405" i="2"/>
  <c r="AB1410" i="2"/>
  <c r="T1385" i="2"/>
  <c r="AB1385" i="2"/>
  <c r="W1405" i="2"/>
  <c r="Y1405" i="2" s="1"/>
  <c r="T1403" i="2"/>
  <c r="T824" i="2"/>
  <c r="AB824" i="2"/>
  <c r="W824" i="2"/>
  <c r="AB634" i="2"/>
  <c r="W632" i="2"/>
  <c r="Y632" i="2" s="1"/>
  <c r="W626" i="2"/>
  <c r="Y626" i="2" s="1"/>
  <c r="W560" i="2"/>
  <c r="Y560" i="2" s="1"/>
  <c r="AB556" i="2"/>
  <c r="AB551" i="2"/>
  <c r="W550" i="2"/>
  <c r="Y550" i="2" s="1"/>
  <c r="AB546" i="2"/>
  <c r="AB467" i="2"/>
  <c r="T466" i="2"/>
  <c r="W462" i="2"/>
  <c r="Y462" i="2" s="1"/>
  <c r="T457" i="2"/>
  <c r="AB454" i="2"/>
  <c r="W378" i="2"/>
  <c r="Y378" i="2" s="1"/>
  <c r="AB374" i="2"/>
  <c r="W369" i="2"/>
  <c r="Y369" i="2" s="1"/>
  <c r="T368" i="2"/>
  <c r="AB365" i="2"/>
  <c r="T364" i="2"/>
  <c r="W283" i="2"/>
  <c r="Y283" i="2" s="1"/>
  <c r="W277" i="2"/>
  <c r="Y277" i="2" s="1"/>
  <c r="W273" i="2"/>
  <c r="Y273" i="2" s="1"/>
  <c r="W370" i="2"/>
  <c r="Y370" i="2" s="1"/>
  <c r="AB366" i="2"/>
  <c r="W278" i="2"/>
  <c r="Y278" i="2" s="1"/>
  <c r="W274" i="2"/>
  <c r="Y274" i="2" s="1"/>
  <c r="W547" i="2"/>
  <c r="Y547" i="2" s="1"/>
  <c r="T546" i="2"/>
  <c r="T545" i="2"/>
  <c r="AB469" i="2"/>
  <c r="W464" i="2"/>
  <c r="Y464" i="2" s="1"/>
  <c r="AB460" i="2"/>
  <c r="W455" i="2"/>
  <c r="Y455" i="2" s="1"/>
  <c r="T454" i="2"/>
  <c r="W633" i="2"/>
  <c r="Y633" i="2" s="1"/>
  <c r="T632" i="2"/>
  <c r="T631" i="2"/>
  <c r="AB627" i="2"/>
  <c r="AB621" i="2"/>
  <c r="AB561" i="2"/>
  <c r="W556" i="2"/>
  <c r="Y556" i="2" s="1"/>
  <c r="T555" i="2"/>
  <c r="W545" i="2"/>
  <c r="Y545" i="2" s="1"/>
  <c r="W467" i="2"/>
  <c r="Y467" i="2" s="1"/>
  <c r="T462" i="2"/>
  <c r="AB459" i="2"/>
  <c r="W454" i="2"/>
  <c r="Y454" i="2" s="1"/>
  <c r="AB379" i="2"/>
  <c r="W374" i="2"/>
  <c r="Y374" i="2" s="1"/>
  <c r="T373" i="2"/>
  <c r="AB370" i="2"/>
  <c r="T369" i="2"/>
  <c r="W365" i="2"/>
  <c r="Y365" i="2" s="1"/>
  <c r="T283" i="2"/>
  <c r="AB278" i="2"/>
  <c r="T277" i="2"/>
  <c r="AB274" i="2"/>
  <c r="T273" i="2"/>
  <c r="AB552" i="2"/>
  <c r="W551" i="2"/>
  <c r="Y551" i="2" s="1"/>
  <c r="T550" i="2"/>
  <c r="AB547" i="2"/>
  <c r="W546" i="2"/>
  <c r="Y546" i="2" s="1"/>
  <c r="T467" i="2"/>
  <c r="AB464" i="2"/>
  <c r="W459" i="2"/>
  <c r="Y459" i="2" s="1"/>
  <c r="AB455" i="2"/>
  <c r="W379" i="2"/>
  <c r="Y379" i="2" s="1"/>
  <c r="T378" i="2"/>
  <c r="AB375" i="2"/>
  <c r="T374" i="2"/>
  <c r="W634" i="2"/>
  <c r="Y634" i="2" s="1"/>
  <c r="T633" i="2"/>
  <c r="AB628" i="2"/>
  <c r="W627" i="2"/>
  <c r="Y627" i="2" s="1"/>
  <c r="T626" i="2"/>
  <c r="AB622" i="2"/>
  <c r="W561" i="2"/>
  <c r="Y561" i="2" s="1"/>
  <c r="T560" i="2"/>
  <c r="AB557" i="2"/>
  <c r="T556" i="2"/>
  <c r="T365" i="2"/>
  <c r="AB636" i="2"/>
  <c r="T634" i="2"/>
  <c r="AB629" i="2"/>
  <c r="T627" i="2"/>
  <c r="AB623" i="2"/>
  <c r="W621" i="2"/>
  <c r="Y621" i="2" s="1"/>
  <c r="T561" i="2"/>
  <c r="W557" i="2"/>
  <c r="Y557" i="2" s="1"/>
  <c r="AB553" i="2"/>
  <c r="W552" i="2"/>
  <c r="Y552" i="2" s="1"/>
  <c r="T551" i="2"/>
  <c r="W636" i="2"/>
  <c r="Y636" i="2" s="1"/>
  <c r="W628" i="2"/>
  <c r="Y628" i="2" s="1"/>
  <c r="AB624" i="2"/>
  <c r="W622" i="2"/>
  <c r="Y622" i="2" s="1"/>
  <c r="AB558" i="2"/>
  <c r="T557" i="2"/>
  <c r="T552" i="2"/>
  <c r="AB548" i="2"/>
  <c r="T547" i="2"/>
  <c r="W469" i="2"/>
  <c r="Y469" i="2" s="1"/>
  <c r="AB465" i="2"/>
  <c r="W460" i="2"/>
  <c r="Y460" i="2" s="1"/>
  <c r="T459" i="2"/>
  <c r="AB456" i="2"/>
  <c r="T455" i="2"/>
  <c r="AB376" i="2"/>
  <c r="T375" i="2"/>
  <c r="W371" i="2"/>
  <c r="Y371" i="2" s="1"/>
  <c r="T366" i="2"/>
  <c r="AB363" i="2"/>
  <c r="W279" i="2"/>
  <c r="Y279" i="2" s="1"/>
  <c r="W275" i="2"/>
  <c r="Y275" i="2" s="1"/>
  <c r="W461" i="2"/>
  <c r="Y461" i="2" s="1"/>
  <c r="AB457" i="2"/>
  <c r="T456" i="2"/>
  <c r="T376" i="2"/>
  <c r="AB373" i="2"/>
  <c r="W368" i="2"/>
  <c r="Y368" i="2" s="1"/>
  <c r="AB364" i="2"/>
  <c r="W280" i="2"/>
  <c r="Y280" i="2" s="1"/>
  <c r="W272" i="2"/>
  <c r="Y272" i="2" s="1"/>
  <c r="W375" i="2"/>
  <c r="Y375" i="2" s="1"/>
  <c r="T370" i="2"/>
  <c r="AB279" i="2"/>
  <c r="T274" i="2"/>
  <c r="AB637" i="2"/>
  <c r="AB631" i="2"/>
  <c r="W629" i="2"/>
  <c r="Y629" i="2" s="1"/>
  <c r="T628" i="2"/>
  <c r="W623" i="2"/>
  <c r="Y623" i="2" s="1"/>
  <c r="T622" i="2"/>
  <c r="T621" i="2"/>
  <c r="W558" i="2"/>
  <c r="Y558" i="2" s="1"/>
  <c r="W553" i="2"/>
  <c r="Y553" i="2" s="1"/>
  <c r="W548" i="2"/>
  <c r="Y548" i="2" s="1"/>
  <c r="AB470" i="2"/>
  <c r="W465" i="2"/>
  <c r="Y465" i="2" s="1"/>
  <c r="T464" i="2"/>
  <c r="AB461" i="2"/>
  <c r="T460" i="2"/>
  <c r="W456" i="2"/>
  <c r="Y456" i="2" s="1"/>
  <c r="W376" i="2"/>
  <c r="Y376" i="2" s="1"/>
  <c r="T371" i="2"/>
  <c r="AB368" i="2"/>
  <c r="W363" i="2"/>
  <c r="Y363" i="2" s="1"/>
  <c r="AB280" i="2"/>
  <c r="T279" i="2"/>
  <c r="T275" i="2"/>
  <c r="AB272" i="2"/>
  <c r="W637" i="2"/>
  <c r="Y637" i="2" s="1"/>
  <c r="T636" i="2"/>
  <c r="AB632" i="2"/>
  <c r="T629" i="2"/>
  <c r="W624" i="2"/>
  <c r="Y624" i="2" s="1"/>
  <c r="T623" i="2"/>
  <c r="T558" i="2"/>
  <c r="AB555" i="2"/>
  <c r="T553" i="2"/>
  <c r="T548" i="2"/>
  <c r="W470" i="2"/>
  <c r="Y470" i="2" s="1"/>
  <c r="T469" i="2"/>
  <c r="AB466" i="2"/>
  <c r="T465" i="2"/>
  <c r="T637" i="2"/>
  <c r="AB633" i="2"/>
  <c r="W631" i="2"/>
  <c r="Y631" i="2" s="1"/>
  <c r="AB626" i="2"/>
  <c r="T624" i="2"/>
  <c r="AB560" i="2"/>
  <c r="W555" i="2"/>
  <c r="Y555" i="2" s="1"/>
  <c r="AB550" i="2"/>
  <c r="AB545" i="2"/>
  <c r="T470" i="2"/>
  <c r="W466" i="2"/>
  <c r="Y466" i="2" s="1"/>
  <c r="AB462" i="2"/>
  <c r="T461" i="2"/>
  <c r="W457" i="2"/>
  <c r="Y457" i="2" s="1"/>
  <c r="AB378" i="2"/>
  <c r="W373" i="2"/>
  <c r="Y373" i="2" s="1"/>
  <c r="AB369" i="2"/>
  <c r="W364" i="2"/>
  <c r="Y364" i="2" s="1"/>
  <c r="T363" i="2"/>
  <c r="AB283" i="2"/>
  <c r="T280" i="2"/>
  <c r="AB277" i="2"/>
  <c r="AB273" i="2"/>
  <c r="T272" i="2"/>
  <c r="T379" i="2"/>
  <c r="AB371" i="2"/>
  <c r="W366" i="2"/>
  <c r="Y366" i="2" s="1"/>
  <c r="T278" i="2"/>
  <c r="AB275" i="2"/>
  <c r="T212" i="2"/>
  <c r="AB212" i="2"/>
  <c r="W212" i="2"/>
  <c r="AB189" i="2"/>
  <c r="W189" i="2"/>
  <c r="T189" i="2"/>
  <c r="AB154" i="2"/>
  <c r="W154" i="2"/>
  <c r="Y154" i="2" s="1"/>
  <c r="T154" i="2"/>
  <c r="T233" i="2"/>
  <c r="T226" i="2"/>
  <c r="W222" i="2"/>
  <c r="AB217" i="2"/>
  <c r="T216" i="2"/>
  <c r="AB213" i="2"/>
  <c r="T222" i="2"/>
  <c r="W217" i="2"/>
  <c r="W213" i="2"/>
  <c r="T217" i="2"/>
  <c r="AB214" i="2"/>
  <c r="T213" i="2"/>
  <c r="W214" i="2"/>
  <c r="AB215" i="2"/>
  <c r="T214" i="2"/>
  <c r="W215" i="2"/>
  <c r="AB198" i="2"/>
  <c r="T215" i="2"/>
  <c r="T198" i="2"/>
  <c r="AB226" i="2"/>
  <c r="AB216" i="2"/>
  <c r="AB233" i="2"/>
  <c r="W226" i="2"/>
  <c r="AB222" i="2"/>
  <c r="W216" i="2"/>
  <c r="T161" i="2"/>
  <c r="T163" i="2"/>
  <c r="AB161" i="2"/>
  <c r="AB163" i="2"/>
  <c r="W161" i="2"/>
  <c r="W163" i="2"/>
  <c r="T165" i="2"/>
  <c r="AB165" i="2"/>
  <c r="W165" i="2"/>
  <c r="Y165" i="2" s="1"/>
  <c r="T170" i="2"/>
  <c r="AB170" i="2"/>
  <c r="W170" i="2"/>
  <c r="AB156" i="2"/>
  <c r="W156" i="2"/>
  <c r="Y156" i="2" s="1"/>
  <c r="T156" i="2"/>
  <c r="T157" i="2"/>
  <c r="AB157" i="2"/>
  <c r="W157" i="2"/>
  <c r="W1180" i="2"/>
  <c r="Y1180" i="2" s="1"/>
  <c r="T1185" i="2"/>
  <c r="T1182" i="2"/>
  <c r="W1179" i="2"/>
  <c r="Y1179" i="2" s="1"/>
  <c r="W1181" i="2"/>
  <c r="Y1181" i="2" s="1"/>
  <c r="AB1183" i="2"/>
  <c r="AB1181" i="2"/>
  <c r="W1186" i="2"/>
  <c r="Y1186" i="2" s="1"/>
  <c r="AB1182" i="2"/>
  <c r="W1182" i="2"/>
  <c r="Y1182" i="2" s="1"/>
  <c r="AB1180" i="2"/>
  <c r="AB1184" i="2"/>
  <c r="T1181" i="2"/>
  <c r="W1183" i="2"/>
  <c r="Y1183" i="2" s="1"/>
  <c r="T1183" i="2"/>
  <c r="T1180" i="2"/>
  <c r="T1184" i="2"/>
  <c r="AB1185" i="2"/>
  <c r="W1184" i="2"/>
  <c r="Y1184" i="2" s="1"/>
  <c r="W1185" i="2"/>
  <c r="Y1185" i="2" s="1"/>
  <c r="AB1179" i="2"/>
  <c r="T1179" i="2"/>
  <c r="AB1186" i="2"/>
  <c r="T1186" i="2"/>
  <c r="T176" i="2"/>
  <c r="AB176" i="2"/>
  <c r="AB1008" i="2"/>
  <c r="T1065" i="2"/>
  <c r="W1008" i="2"/>
  <c r="AB1046" i="2"/>
  <c r="T1008" i="2"/>
  <c r="W1046" i="2"/>
  <c r="W1065" i="2"/>
  <c r="T1046" i="2"/>
  <c r="AB989" i="2"/>
  <c r="W989" i="2"/>
  <c r="AB1027" i="2"/>
  <c r="T989" i="2"/>
  <c r="W1027" i="2"/>
  <c r="AB1065" i="2"/>
  <c r="T1027" i="2"/>
  <c r="T1455" i="2"/>
  <c r="W137" i="2"/>
  <c r="Y137" i="2" s="1"/>
  <c r="AB138" i="2"/>
  <c r="T137" i="2"/>
  <c r="AB1428" i="2"/>
  <c r="T1202" i="2"/>
  <c r="W138" i="2"/>
  <c r="Y138" i="2" s="1"/>
  <c r="W139" i="2"/>
  <c r="Y139" i="2" s="1"/>
  <c r="T139" i="2"/>
  <c r="AB137" i="2"/>
  <c r="AB139" i="2"/>
  <c r="T138" i="2"/>
  <c r="AB1455" i="2"/>
  <c r="T1446" i="2"/>
  <c r="AB1446" i="2"/>
  <c r="T1428" i="2"/>
  <c r="AB136" i="2"/>
  <c r="W136" i="2"/>
  <c r="Y136" i="2" s="1"/>
  <c r="T136" i="2"/>
  <c r="AB393" i="2"/>
  <c r="W393" i="2"/>
  <c r="Y393" i="2" s="1"/>
  <c r="AB294" i="2"/>
  <c r="T393" i="2"/>
  <c r="W294" i="2"/>
  <c r="Y294" i="2" s="1"/>
  <c r="T294" i="2"/>
  <c r="T1890" i="2"/>
  <c r="T1885" i="2"/>
  <c r="T114" i="2"/>
  <c r="Y1910" i="2" l="1"/>
  <c r="Y1938" i="2"/>
  <c r="Y159" i="2"/>
  <c r="Y1874" i="2"/>
  <c r="Y941" i="2"/>
  <c r="Y923" i="2"/>
  <c r="Y922" i="2"/>
  <c r="Y888" i="2"/>
  <c r="Y818" i="2"/>
  <c r="Y870" i="2"/>
  <c r="Y905" i="2"/>
  <c r="Y887" i="2"/>
  <c r="Y817" i="2"/>
  <c r="Y835" i="2"/>
  <c r="Y852" i="2"/>
  <c r="Y853" i="2"/>
  <c r="Y841" i="2"/>
  <c r="Y1167" i="2"/>
  <c r="Y1164" i="2"/>
  <c r="Y1170" i="2"/>
  <c r="Y824" i="2"/>
  <c r="Y189" i="2"/>
  <c r="Y212" i="2"/>
  <c r="W195" i="2"/>
  <c r="W229" i="2"/>
  <c r="Y216" i="2"/>
  <c r="Y213" i="2"/>
  <c r="AB229" i="2"/>
  <c r="AB195" i="2"/>
  <c r="Y217" i="2"/>
  <c r="Y226" i="2"/>
  <c r="Y215" i="2"/>
  <c r="Y222" i="2"/>
  <c r="Y214" i="2"/>
  <c r="Y163" i="2"/>
  <c r="Y161" i="2"/>
  <c r="Y170" i="2"/>
  <c r="Y157" i="2"/>
  <c r="Y1065" i="2"/>
  <c r="Y1008" i="2"/>
  <c r="Y989" i="2"/>
  <c r="Y1046" i="2"/>
  <c r="Y1027" i="2"/>
  <c r="W1190" i="2"/>
  <c r="Y1190" i="2" s="1"/>
  <c r="W1189" i="2"/>
  <c r="Y1189" i="2" s="1"/>
  <c r="W1176" i="2"/>
  <c r="W2113" i="2"/>
  <c r="Y2113" i="2" s="1"/>
  <c r="W2112" i="2"/>
  <c r="Y2112" i="2" s="1"/>
  <c r="W2106" i="2"/>
  <c r="Y2106" i="2" s="1"/>
  <c r="W2104" i="2"/>
  <c r="Y2104" i="2" s="1"/>
  <c r="W2101" i="2"/>
  <c r="Y2101" i="2" s="1"/>
  <c r="W2100" i="2"/>
  <c r="Y2100" i="2" s="1"/>
  <c r="W2099" i="2"/>
  <c r="Y2099" i="2" s="1"/>
  <c r="W2097" i="2"/>
  <c r="W2095" i="2"/>
  <c r="W2093" i="2"/>
  <c r="W2085" i="2"/>
  <c r="Y2085" i="2" s="1"/>
  <c r="W2082" i="2"/>
  <c r="Y2082" i="2" s="1"/>
  <c r="W2081" i="2"/>
  <c r="Y2081" i="2" s="1"/>
  <c r="W2080" i="2"/>
  <c r="Y2080" i="2" s="1"/>
  <c r="W2079" i="2"/>
  <c r="Y2079" i="2" s="1"/>
  <c r="W2077" i="2"/>
  <c r="Y2077" i="2" s="1"/>
  <c r="W2076" i="2"/>
  <c r="Y2076" i="2" s="1"/>
  <c r="W2075" i="2"/>
  <c r="Y2075" i="2" s="1"/>
  <c r="W2074" i="2"/>
  <c r="Y2074" i="2" s="1"/>
  <c r="W2072" i="2"/>
  <c r="Y2072" i="2" s="1"/>
  <c r="W2071" i="2"/>
  <c r="Y2071" i="2" s="1"/>
  <c r="W2070" i="2"/>
  <c r="Y2070" i="2" s="1"/>
  <c r="W2067" i="2"/>
  <c r="Y2067" i="2" s="1"/>
  <c r="W2066" i="2"/>
  <c r="Y2066" i="2" s="1"/>
  <c r="W2065" i="2"/>
  <c r="Y2065" i="2" s="1"/>
  <c r="W1950" i="2"/>
  <c r="W1945" i="2"/>
  <c r="Y1945" i="2" s="1"/>
  <c r="W1932" i="2"/>
  <c r="Y1932" i="2" s="1"/>
  <c r="W1929" i="2"/>
  <c r="Y1929" i="2" s="1"/>
  <c r="W1924" i="2"/>
  <c r="W1917" i="2"/>
  <c r="Y1917" i="2" s="1"/>
  <c r="W1901" i="2"/>
  <c r="Y1901" i="2" s="1"/>
  <c r="W1898" i="2"/>
  <c r="Y1898" i="2" s="1"/>
  <c r="W1895" i="2"/>
  <c r="Y1895" i="2" s="1"/>
  <c r="W1888" i="2"/>
  <c r="W1881" i="2"/>
  <c r="Y1881" i="2" s="1"/>
  <c r="W1865" i="2"/>
  <c r="Y1865" i="2" s="1"/>
  <c r="W1862" i="2"/>
  <c r="Y1862" i="2" s="1"/>
  <c r="W1855" i="2"/>
  <c r="W1850" i="2"/>
  <c r="Y1850" i="2" s="1"/>
  <c r="W1846" i="2"/>
  <c r="W1841" i="2"/>
  <c r="Y1841" i="2" s="1"/>
  <c r="W1829" i="2"/>
  <c r="Y1829" i="2" s="1"/>
  <c r="W1828" i="2"/>
  <c r="Y1828" i="2" s="1"/>
  <c r="W1827" i="2"/>
  <c r="Y1827" i="2" s="1"/>
  <c r="W1824" i="2"/>
  <c r="Y1824" i="2" s="1"/>
  <c r="W1823" i="2"/>
  <c r="Y1823" i="2" s="1"/>
  <c r="W1822" i="2"/>
  <c r="W1819" i="2"/>
  <c r="Y1819" i="2" s="1"/>
  <c r="W1818" i="2"/>
  <c r="Y1818" i="2" s="1"/>
  <c r="W1807" i="2"/>
  <c r="Y1807" i="2" s="1"/>
  <c r="W1806" i="2"/>
  <c r="Y1806" i="2" s="1"/>
  <c r="W1805" i="2"/>
  <c r="Y1805" i="2" s="1"/>
  <c r="W1802" i="2"/>
  <c r="Y1802" i="2" s="1"/>
  <c r="W1801" i="2"/>
  <c r="Y1801" i="2" s="1"/>
  <c r="W1800" i="2"/>
  <c r="W1797" i="2"/>
  <c r="Y1797" i="2" s="1"/>
  <c r="W1796" i="2"/>
  <c r="Y1796" i="2" s="1"/>
  <c r="W1787" i="2"/>
  <c r="Y1787" i="2" s="1"/>
  <c r="W1786" i="2"/>
  <c r="Y1786" i="2" s="1"/>
  <c r="W1785" i="2"/>
  <c r="Y1785" i="2" s="1"/>
  <c r="W1782" i="2"/>
  <c r="Y1782" i="2" s="1"/>
  <c r="W1781" i="2"/>
  <c r="Y1781" i="2" s="1"/>
  <c r="W1780" i="2"/>
  <c r="W1778" i="2"/>
  <c r="Y1778" i="2" s="1"/>
  <c r="W1777" i="2"/>
  <c r="Y1777" i="2" s="1"/>
  <c r="W1776" i="2"/>
  <c r="W1765" i="2"/>
  <c r="Y1765" i="2" s="1"/>
  <c r="W1764" i="2"/>
  <c r="Y1764" i="2" s="1"/>
  <c r="W1763" i="2"/>
  <c r="Y1763" i="2" s="1"/>
  <c r="W1760" i="2"/>
  <c r="Y1760" i="2" s="1"/>
  <c r="W1759" i="2"/>
  <c r="Y1759" i="2" s="1"/>
  <c r="W1758" i="2"/>
  <c r="W1756" i="2"/>
  <c r="Y1756" i="2" s="1"/>
  <c r="W1755" i="2"/>
  <c r="Y1755" i="2" s="1"/>
  <c r="W1754" i="2"/>
  <c r="W1751" i="2"/>
  <c r="Y1751" i="2" s="1"/>
  <c r="W1740" i="2"/>
  <c r="Y1740" i="2" s="1"/>
  <c r="W1739" i="2"/>
  <c r="Y1739" i="2" s="1"/>
  <c r="W1738" i="2"/>
  <c r="Y1738" i="2" s="1"/>
  <c r="W1735" i="2"/>
  <c r="Y1735" i="2" s="1"/>
  <c r="W1734" i="2"/>
  <c r="Y1734" i="2" s="1"/>
  <c r="W1733" i="2"/>
  <c r="W1730" i="2"/>
  <c r="Y1730" i="2" s="1"/>
  <c r="W1725" i="2"/>
  <c r="Y1725" i="2" s="1"/>
  <c r="W1720" i="2"/>
  <c r="Y1720" i="2" s="1"/>
  <c r="W1715" i="2"/>
  <c r="Y1715" i="2" s="1"/>
  <c r="W1712" i="2"/>
  <c r="Y1712" i="2" s="1"/>
  <c r="W1708" i="2"/>
  <c r="Y1708" i="2" s="1"/>
  <c r="W1706" i="2"/>
  <c r="Y1706" i="2" s="1"/>
  <c r="W1695" i="2"/>
  <c r="Y1695" i="2" s="1"/>
  <c r="W1690" i="2"/>
  <c r="Y1690" i="2" s="1"/>
  <c r="W1689" i="2"/>
  <c r="Y1689" i="2" s="1"/>
  <c r="W1688" i="2"/>
  <c r="Y1688" i="2" s="1"/>
  <c r="W1668" i="2"/>
  <c r="Y1668" i="2" s="1"/>
  <c r="W1667" i="2"/>
  <c r="Y1667" i="2" s="1"/>
  <c r="W1662" i="2"/>
  <c r="Y1662" i="2" s="1"/>
  <c r="W1661" i="2"/>
  <c r="Y1661" i="2" s="1"/>
  <c r="W1656" i="2"/>
  <c r="Y1656" i="2" s="1"/>
  <c r="W1655" i="2"/>
  <c r="Y1655" i="2" s="1"/>
  <c r="W1650" i="2"/>
  <c r="Y1650" i="2" s="1"/>
  <c r="W1644" i="2"/>
  <c r="Y1644" i="2" s="1"/>
  <c r="W1640" i="2"/>
  <c r="Y1640" i="2" s="1"/>
  <c r="W1638" i="2"/>
  <c r="Y1638" i="2" s="1"/>
  <c r="W1627" i="2"/>
  <c r="Y1627" i="2" s="1"/>
  <c r="W1621" i="2"/>
  <c r="Y1621" i="2" s="1"/>
  <c r="W1620" i="2"/>
  <c r="Y1620" i="2" s="1"/>
  <c r="W1618" i="2"/>
  <c r="Y1618" i="2" s="1"/>
  <c r="W1617" i="2"/>
  <c r="Y1617" i="2" s="1"/>
  <c r="W1616" i="2"/>
  <c r="Y1616" i="2" s="1"/>
  <c r="W1601" i="2"/>
  <c r="Y1601" i="2" s="1"/>
  <c r="W1600" i="2"/>
  <c r="Y1600" i="2" s="1"/>
  <c r="W1595" i="2"/>
  <c r="Y1595" i="2" s="1"/>
  <c r="W1594" i="2"/>
  <c r="Y1594" i="2" s="1"/>
  <c r="W1589" i="2"/>
  <c r="Y1589" i="2" s="1"/>
  <c r="W1583" i="2"/>
  <c r="Y1583" i="2" s="1"/>
  <c r="W1579" i="2"/>
  <c r="Y1579" i="2" s="1"/>
  <c r="W1577" i="2"/>
  <c r="Y1577" i="2" s="1"/>
  <c r="W1573" i="2"/>
  <c r="Y1573" i="2" s="1"/>
  <c r="W1564" i="2"/>
  <c r="Y1564" i="2" s="1"/>
  <c r="W1558" i="2"/>
  <c r="Y1558" i="2" s="1"/>
  <c r="W1557" i="2"/>
  <c r="Y1557" i="2" s="1"/>
  <c r="W1555" i="2"/>
  <c r="Y1555" i="2" s="1"/>
  <c r="W1554" i="2"/>
  <c r="Y1554" i="2" s="1"/>
  <c r="W1553" i="2"/>
  <c r="Y1553" i="2" s="1"/>
  <c r="W2135" i="2"/>
  <c r="Y2135" i="2" s="1"/>
  <c r="W2134" i="2"/>
  <c r="Y2134" i="2" s="1"/>
  <c r="W1527" i="2"/>
  <c r="Y1527" i="2" s="1"/>
  <c r="W1526" i="2"/>
  <c r="Y1526" i="2" s="1"/>
  <c r="W1521" i="2"/>
  <c r="Y1521" i="2" s="1"/>
  <c r="W1520" i="2"/>
  <c r="Y1520" i="2" s="1"/>
  <c r="W1515" i="2"/>
  <c r="Y1515" i="2" s="1"/>
  <c r="W1509" i="2"/>
  <c r="Y1509" i="2" s="1"/>
  <c r="W1505" i="2"/>
  <c r="Y1505" i="2" s="1"/>
  <c r="W1492" i="2"/>
  <c r="Y1492" i="2" s="1"/>
  <c r="W1475" i="2"/>
  <c r="Y1475" i="2" s="1"/>
  <c r="W1474" i="2"/>
  <c r="Y1474" i="2" s="1"/>
  <c r="W1469" i="2"/>
  <c r="Y1469" i="2" s="1"/>
  <c r="W1463" i="2"/>
  <c r="Y1463" i="2" s="1"/>
  <c r="W1460" i="2"/>
  <c r="Y1460" i="2" s="1"/>
  <c r="W1452" i="2"/>
  <c r="Y1452" i="2" s="1"/>
  <c r="W1450" i="2"/>
  <c r="Y1450" i="2" s="1"/>
  <c r="W1434" i="2"/>
  <c r="Y1434" i="2" s="1"/>
  <c r="W1432" i="2"/>
  <c r="Y1432" i="2" s="1"/>
  <c r="W1416" i="2"/>
  <c r="Y1416" i="2" s="1"/>
  <c r="W1414" i="2"/>
  <c r="Y1414" i="2" s="1"/>
  <c r="W1396" i="2"/>
  <c r="Y1396" i="2" s="1"/>
  <c r="W1395" i="2"/>
  <c r="Y1395" i="2" s="1"/>
  <c r="W1394" i="2"/>
  <c r="Y1394" i="2" s="1"/>
  <c r="W1393" i="2"/>
  <c r="Y1393" i="2" s="1"/>
  <c r="W1391" i="2"/>
  <c r="Y1391" i="2" s="1"/>
  <c r="W1389" i="2"/>
  <c r="Y1389" i="2" s="1"/>
  <c r="W1380" i="2"/>
  <c r="Y1380" i="2" s="1"/>
  <c r="W1379" i="2"/>
  <c r="Y1379" i="2" s="1"/>
  <c r="W1378" i="2"/>
  <c r="Y1378" i="2" s="1"/>
  <c r="W1377" i="2"/>
  <c r="Y1377" i="2" s="1"/>
  <c r="W1375" i="2"/>
  <c r="Y1375" i="2" s="1"/>
  <c r="W1373" i="2"/>
  <c r="Y1373" i="2" s="1"/>
  <c r="W1368" i="2"/>
  <c r="Y1368" i="2" s="1"/>
  <c r="W1361" i="2"/>
  <c r="Y1361" i="2" s="1"/>
  <c r="W1357" i="2"/>
  <c r="Y1357" i="2" s="1"/>
  <c r="W1356" i="2"/>
  <c r="Y1356" i="2" s="1"/>
  <c r="W1355" i="2"/>
  <c r="Y1355" i="2" s="1"/>
  <c r="W1354" i="2"/>
  <c r="Y1354" i="2" s="1"/>
  <c r="W1352" i="2"/>
  <c r="W1350" i="2"/>
  <c r="W1348" i="2"/>
  <c r="W1344" i="2"/>
  <c r="Y1344" i="2" s="1"/>
  <c r="W1335" i="2"/>
  <c r="Y1335" i="2" s="1"/>
  <c r="W1331" i="2"/>
  <c r="Y1331" i="2" s="1"/>
  <c r="W1326" i="2"/>
  <c r="Y1326" i="2" s="1"/>
  <c r="W1325" i="2"/>
  <c r="Y1325" i="2" s="1"/>
  <c r="W1319" i="2"/>
  <c r="Y1319" i="2" s="1"/>
  <c r="W1318" i="2"/>
  <c r="Y1318" i="2" s="1"/>
  <c r="W1317" i="2"/>
  <c r="Y1317" i="2" s="1"/>
  <c r="W1316" i="2"/>
  <c r="Y1316" i="2" s="1"/>
  <c r="W1314" i="2"/>
  <c r="W1312" i="2"/>
  <c r="W1310" i="2"/>
  <c r="W1306" i="2"/>
  <c r="Y1306" i="2" s="1"/>
  <c r="W1297" i="2"/>
  <c r="Y1297" i="2" s="1"/>
  <c r="W1293" i="2"/>
  <c r="Y1293" i="2" s="1"/>
  <c r="W1287" i="2"/>
  <c r="Y1287" i="2" s="1"/>
  <c r="W1286" i="2"/>
  <c r="Y1286" i="2" s="1"/>
  <c r="W1285" i="2"/>
  <c r="Y1285" i="2" s="1"/>
  <c r="W1284" i="2"/>
  <c r="Y1284" i="2" s="1"/>
  <c r="W1282" i="2"/>
  <c r="W1280" i="2"/>
  <c r="W1278" i="2"/>
  <c r="W1274" i="2"/>
  <c r="Y1274" i="2" s="1"/>
  <c r="W1265" i="2"/>
  <c r="Y1265" i="2" s="1"/>
  <c r="W1261" i="2"/>
  <c r="Y1261" i="2" s="1"/>
  <c r="W1255" i="2"/>
  <c r="Y1255" i="2" s="1"/>
  <c r="W1254" i="2"/>
  <c r="Y1254" i="2" s="1"/>
  <c r="W1253" i="2"/>
  <c r="Y1253" i="2" s="1"/>
  <c r="W1252" i="2"/>
  <c r="Y1252" i="2" s="1"/>
  <c r="W1250" i="2"/>
  <c r="W1248" i="2"/>
  <c r="W1246" i="2"/>
  <c r="W1242" i="2"/>
  <c r="Y1242" i="2" s="1"/>
  <c r="W1233" i="2"/>
  <c r="Y1233" i="2" s="1"/>
  <c r="W1229" i="2"/>
  <c r="Y1229" i="2" s="1"/>
  <c r="W1223" i="2"/>
  <c r="Y1223" i="2" s="1"/>
  <c r="W1222" i="2"/>
  <c r="Y1222" i="2" s="1"/>
  <c r="W1221" i="2"/>
  <c r="Y1221" i="2" s="1"/>
  <c r="W1220" i="2"/>
  <c r="Y1220" i="2" s="1"/>
  <c r="W1218" i="2"/>
  <c r="W1216" i="2"/>
  <c r="W1214" i="2"/>
  <c r="W972" i="2"/>
  <c r="Y972" i="2" s="1"/>
  <c r="W970" i="2"/>
  <c r="Y970" i="2" s="1"/>
  <c r="W968" i="2"/>
  <c r="Y968" i="2" s="1"/>
  <c r="W963" i="2"/>
  <c r="Y963" i="2" s="1"/>
  <c r="W962" i="2"/>
  <c r="Y962" i="2" s="1"/>
  <c r="W959" i="2"/>
  <c r="Y959" i="2" s="1"/>
  <c r="W956" i="2"/>
  <c r="Y956" i="2" s="1"/>
  <c r="W955" i="2"/>
  <c r="Y955" i="2" s="1"/>
  <c r="W951" i="2"/>
  <c r="Y951" i="2" s="1"/>
  <c r="W947" i="2"/>
  <c r="Y947" i="2" s="1"/>
  <c r="W945" i="2"/>
  <c r="Y945" i="2" s="1"/>
  <c r="W943" i="2"/>
  <c r="Y943" i="2" s="1"/>
  <c r="W939" i="2"/>
  <c r="Y939" i="2" s="1"/>
  <c r="W934" i="2"/>
  <c r="Y934" i="2" s="1"/>
  <c r="W933" i="2"/>
  <c r="Y933" i="2" s="1"/>
  <c r="W929" i="2"/>
  <c r="Y929" i="2" s="1"/>
  <c r="W926" i="2"/>
  <c r="Y926" i="2" s="1"/>
  <c r="W920" i="2"/>
  <c r="Y920" i="2" s="1"/>
  <c r="W919" i="2"/>
  <c r="Y919" i="2" s="1"/>
  <c r="W915" i="2"/>
  <c r="Y915" i="2" s="1"/>
  <c r="W911" i="2"/>
  <c r="Y911" i="2" s="1"/>
  <c r="W909" i="2"/>
  <c r="Y909" i="2" s="1"/>
  <c r="W907" i="2"/>
  <c r="Y907" i="2" s="1"/>
  <c r="W903" i="2"/>
  <c r="Y903" i="2" s="1"/>
  <c r="W898" i="2"/>
  <c r="Y898" i="2" s="1"/>
  <c r="W897" i="2"/>
  <c r="Y897" i="2" s="1"/>
  <c r="W894" i="2"/>
  <c r="Y894" i="2" s="1"/>
  <c r="W891" i="2"/>
  <c r="Y891" i="2" s="1"/>
  <c r="W885" i="2"/>
  <c r="Y885" i="2" s="1"/>
  <c r="W884" i="2"/>
  <c r="Y884" i="2" s="1"/>
  <c r="W880" i="2"/>
  <c r="Y880" i="2" s="1"/>
  <c r="W839" i="2"/>
  <c r="Y839" i="2" s="1"/>
  <c r="W837" i="2"/>
  <c r="Y837" i="2" s="1"/>
  <c r="W833" i="2"/>
  <c r="Y833" i="2" s="1"/>
  <c r="W828" i="2"/>
  <c r="Y828" i="2" s="1"/>
  <c r="W827" i="2"/>
  <c r="Y827" i="2" s="1"/>
  <c r="W821" i="2"/>
  <c r="Y821" i="2" s="1"/>
  <c r="W815" i="2"/>
  <c r="Y815" i="2" s="1"/>
  <c r="W814" i="2"/>
  <c r="Y814" i="2" s="1"/>
  <c r="W810" i="2"/>
  <c r="Y810" i="2" s="1"/>
  <c r="W876" i="2"/>
  <c r="Y876" i="2" s="1"/>
  <c r="W874" i="2"/>
  <c r="Y874" i="2" s="1"/>
  <c r="W872" i="2"/>
  <c r="Y872" i="2" s="1"/>
  <c r="W868" i="2"/>
  <c r="Y868" i="2" s="1"/>
  <c r="W863" i="2"/>
  <c r="Y863" i="2" s="1"/>
  <c r="W862" i="2"/>
  <c r="Y862" i="2" s="1"/>
  <c r="W859" i="2"/>
  <c r="Y859" i="2" s="1"/>
  <c r="W856" i="2"/>
  <c r="Y856" i="2" s="1"/>
  <c r="W850" i="2"/>
  <c r="Y850" i="2" s="1"/>
  <c r="W849" i="2"/>
  <c r="Y849" i="2" s="1"/>
  <c r="W845" i="2"/>
  <c r="Y845" i="2" s="1"/>
  <c r="W802" i="2"/>
  <c r="Y802" i="2" s="1"/>
  <c r="W801" i="2"/>
  <c r="Y801" i="2" s="1"/>
  <c r="W800" i="2"/>
  <c r="Y800" i="2" s="1"/>
  <c r="W799" i="2"/>
  <c r="Y799" i="2" s="1"/>
  <c r="W798" i="2"/>
  <c r="Y798" i="2" s="1"/>
  <c r="W796" i="2"/>
  <c r="Y796" i="2" s="1"/>
  <c r="W794" i="2"/>
  <c r="Y794" i="2" s="1"/>
  <c r="W792" i="2"/>
  <c r="Y792" i="2" s="1"/>
  <c r="W791" i="2"/>
  <c r="Y791" i="2" s="1"/>
  <c r="W790" i="2"/>
  <c r="Y790" i="2" s="1"/>
  <c r="W786" i="2"/>
  <c r="Y786" i="2" s="1"/>
  <c r="W779" i="2"/>
  <c r="Y779" i="2" s="1"/>
  <c r="W777" i="2"/>
  <c r="Y777" i="2" s="1"/>
  <c r="W776" i="2"/>
  <c r="Y776" i="2" s="1"/>
  <c r="W775" i="2"/>
  <c r="Y775" i="2" s="1"/>
  <c r="W773" i="2"/>
  <c r="Y773" i="2" s="1"/>
  <c r="W772" i="2"/>
  <c r="Y772" i="2" s="1"/>
  <c r="W771" i="2"/>
  <c r="Y771" i="2" s="1"/>
  <c r="W770" i="2"/>
  <c r="Y770" i="2" s="1"/>
  <c r="W769" i="2"/>
  <c r="Y769" i="2" s="1"/>
  <c r="W767" i="2"/>
  <c r="Y767" i="2" s="1"/>
  <c r="W763" i="2"/>
  <c r="Y763" i="2" s="1"/>
  <c r="W760" i="2"/>
  <c r="Y760" i="2" s="1"/>
  <c r="W758" i="2"/>
  <c r="Y758" i="2" s="1"/>
  <c r="W757" i="2"/>
  <c r="Y757" i="2" s="1"/>
  <c r="W750" i="2"/>
  <c r="Y750" i="2" s="1"/>
  <c r="W748" i="2"/>
  <c r="Y748" i="2" s="1"/>
  <c r="W747" i="2"/>
  <c r="Y747" i="2" s="1"/>
  <c r="W746" i="2"/>
  <c r="Y746" i="2" s="1"/>
  <c r="W744" i="2"/>
  <c r="Y744" i="2" s="1"/>
  <c r="W743" i="2"/>
  <c r="Y743" i="2" s="1"/>
  <c r="W742" i="2"/>
  <c r="Y742" i="2" s="1"/>
  <c r="W741" i="2"/>
  <c r="Y741" i="2" s="1"/>
  <c r="W740" i="2"/>
  <c r="Y740" i="2" s="1"/>
  <c r="W738" i="2"/>
  <c r="Y738" i="2" s="1"/>
  <c r="W734" i="2"/>
  <c r="Y734" i="2" s="1"/>
  <c r="W731" i="2"/>
  <c r="Y731" i="2" s="1"/>
  <c r="W729" i="2"/>
  <c r="Y729" i="2" s="1"/>
  <c r="W728" i="2"/>
  <c r="Y728" i="2" s="1"/>
  <c r="W721" i="2"/>
  <c r="Y721" i="2" s="1"/>
  <c r="W719" i="2"/>
  <c r="Y719" i="2" s="1"/>
  <c r="W718" i="2"/>
  <c r="Y718" i="2" s="1"/>
  <c r="W717" i="2"/>
  <c r="Y717" i="2" s="1"/>
  <c r="W715" i="2"/>
  <c r="Y715" i="2" s="1"/>
  <c r="W714" i="2"/>
  <c r="Y714" i="2" s="1"/>
  <c r="W713" i="2"/>
  <c r="Y713" i="2" s="1"/>
  <c r="W712" i="2"/>
  <c r="Y712" i="2" s="1"/>
  <c r="W711" i="2"/>
  <c r="Y711" i="2" s="1"/>
  <c r="W709" i="2"/>
  <c r="Y709" i="2" s="1"/>
  <c r="W706" i="2"/>
  <c r="Y706" i="2" s="1"/>
  <c r="W705" i="2"/>
  <c r="Y705" i="2" s="1"/>
  <c r="W701" i="2"/>
  <c r="Y701" i="2" s="1"/>
  <c r="W698" i="2"/>
  <c r="Y698" i="2" s="1"/>
  <c r="W696" i="2"/>
  <c r="Y696" i="2" s="1"/>
  <c r="W695" i="2"/>
  <c r="Y695" i="2" s="1"/>
  <c r="W688" i="2"/>
  <c r="Y688" i="2" s="1"/>
  <c r="W686" i="2"/>
  <c r="Y686" i="2" s="1"/>
  <c r="W685" i="2"/>
  <c r="Y685" i="2" s="1"/>
  <c r="W684" i="2"/>
  <c r="Y684" i="2" s="1"/>
  <c r="W682" i="2"/>
  <c r="Y682" i="2" s="1"/>
  <c r="W681" i="2"/>
  <c r="Y681" i="2" s="1"/>
  <c r="W680" i="2"/>
  <c r="Y680" i="2" s="1"/>
  <c r="W679" i="2"/>
  <c r="Y679" i="2" s="1"/>
  <c r="W678" i="2"/>
  <c r="Y678" i="2" s="1"/>
  <c r="W676" i="2"/>
  <c r="Y676" i="2" s="1"/>
  <c r="W672" i="2"/>
  <c r="Y672" i="2" s="1"/>
  <c r="W669" i="2"/>
  <c r="Y669" i="2" s="1"/>
  <c r="W667" i="2"/>
  <c r="Y667" i="2" s="1"/>
  <c r="W666" i="2"/>
  <c r="Y666" i="2" s="1"/>
  <c r="W657" i="2"/>
  <c r="Y657" i="2" s="1"/>
  <c r="W656" i="2"/>
  <c r="Y656" i="2" s="1"/>
  <c r="W653" i="2"/>
  <c r="Y653" i="2" s="1"/>
  <c r="W652" i="2"/>
  <c r="Y652" i="2" s="1"/>
  <c r="W651" i="2"/>
  <c r="Y651" i="2" s="1"/>
  <c r="W649" i="2"/>
  <c r="Y649" i="2" s="1"/>
  <c r="W648" i="2"/>
  <c r="Y648" i="2" s="1"/>
  <c r="W647" i="2"/>
  <c r="Y647" i="2" s="1"/>
  <c r="W646" i="2"/>
  <c r="Y646" i="2" s="1"/>
  <c r="W644" i="2"/>
  <c r="Y644" i="2" s="1"/>
  <c r="W643" i="2"/>
  <c r="Y643" i="2" s="1"/>
  <c r="W642" i="2"/>
  <c r="Y642" i="2" s="1"/>
  <c r="W640" i="2"/>
  <c r="Y640" i="2" s="1"/>
  <c r="W639" i="2"/>
  <c r="Y639" i="2" s="1"/>
  <c r="W618" i="2"/>
  <c r="Y618" i="2" s="1"/>
  <c r="W614" i="2"/>
  <c r="Y614" i="2" s="1"/>
  <c r="W610" i="2"/>
  <c r="Y610" i="2" s="1"/>
  <c r="W606" i="2"/>
  <c r="Y606" i="2" s="1"/>
  <c r="W602" i="2"/>
  <c r="Y602" i="2" s="1"/>
  <c r="W598" i="2"/>
  <c r="Y598" i="2" s="1"/>
  <c r="W594" i="2"/>
  <c r="Y594" i="2" s="1"/>
  <c r="W584" i="2"/>
  <c r="Y584" i="2" s="1"/>
  <c r="W583" i="2"/>
  <c r="Y583" i="2" s="1"/>
  <c r="W580" i="2"/>
  <c r="Y580" i="2" s="1"/>
  <c r="W579" i="2"/>
  <c r="Y579" i="2" s="1"/>
  <c r="W578" i="2"/>
  <c r="Y578" i="2" s="1"/>
  <c r="W576" i="2"/>
  <c r="Y576" i="2" s="1"/>
  <c r="W575" i="2"/>
  <c r="Y575" i="2" s="1"/>
  <c r="W574" i="2"/>
  <c r="Y574" i="2" s="1"/>
  <c r="W573" i="2"/>
  <c r="Y573" i="2" s="1"/>
  <c r="W571" i="2"/>
  <c r="Y571" i="2" s="1"/>
  <c r="W570" i="2"/>
  <c r="Y570" i="2" s="1"/>
  <c r="W569" i="2"/>
  <c r="Y569" i="2" s="1"/>
  <c r="W567" i="2"/>
  <c r="Y567" i="2" s="1"/>
  <c r="W566" i="2"/>
  <c r="Y566" i="2" s="1"/>
  <c r="W564" i="2"/>
  <c r="Y564" i="2" s="1"/>
  <c r="W563" i="2"/>
  <c r="Y563" i="2" s="1"/>
  <c r="W542" i="2"/>
  <c r="Y542" i="2" s="1"/>
  <c r="W540" i="2"/>
  <c r="Y540" i="2" s="1"/>
  <c r="W538" i="2"/>
  <c r="Y538" i="2" s="1"/>
  <c r="W534" i="2"/>
  <c r="Y534" i="2" s="1"/>
  <c r="W530" i="2"/>
  <c r="Y530" i="2" s="1"/>
  <c r="W526" i="2"/>
  <c r="Y526" i="2" s="1"/>
  <c r="W522" i="2"/>
  <c r="Y522" i="2" s="1"/>
  <c r="W518" i="2"/>
  <c r="Y518" i="2" s="1"/>
  <c r="W514" i="2"/>
  <c r="Y514" i="2" s="1"/>
  <c r="W493" i="2"/>
  <c r="Y493" i="2" s="1"/>
  <c r="W492" i="2"/>
  <c r="Y492" i="2" s="1"/>
  <c r="W489" i="2"/>
  <c r="Y489" i="2" s="1"/>
  <c r="W488" i="2"/>
  <c r="Y488" i="2" s="1"/>
  <c r="W487" i="2"/>
  <c r="Y487" i="2" s="1"/>
  <c r="W485" i="2"/>
  <c r="Y485" i="2" s="1"/>
  <c r="W484" i="2"/>
  <c r="Y484" i="2" s="1"/>
  <c r="W483" i="2"/>
  <c r="Y483" i="2" s="1"/>
  <c r="W482" i="2"/>
  <c r="Y482" i="2" s="1"/>
  <c r="W480" i="2"/>
  <c r="Y480" i="2" s="1"/>
  <c r="W479" i="2"/>
  <c r="Y479" i="2" s="1"/>
  <c r="W478" i="2"/>
  <c r="Y478" i="2" s="1"/>
  <c r="W476" i="2"/>
  <c r="Y476" i="2" s="1"/>
  <c r="W475" i="2"/>
  <c r="Y475" i="2" s="1"/>
  <c r="W473" i="2"/>
  <c r="Y473" i="2" s="1"/>
  <c r="W472" i="2"/>
  <c r="Y472" i="2" s="1"/>
  <c r="W451" i="2"/>
  <c r="Y451" i="2" s="1"/>
  <c r="W449" i="2"/>
  <c r="Y449" i="2" s="1"/>
  <c r="W447" i="2"/>
  <c r="Y447" i="2" s="1"/>
  <c r="W443" i="2"/>
  <c r="Y443" i="2" s="1"/>
  <c r="W439" i="2"/>
  <c r="Y439" i="2" s="1"/>
  <c r="W435" i="2"/>
  <c r="Y435" i="2" s="1"/>
  <c r="W431" i="2"/>
  <c r="Y431" i="2" s="1"/>
  <c r="W427" i="2"/>
  <c r="Y427" i="2" s="1"/>
  <c r="W423" i="2"/>
  <c r="Y423" i="2" s="1"/>
  <c r="W402" i="2"/>
  <c r="Y402" i="2" s="1"/>
  <c r="W401" i="2"/>
  <c r="Y401" i="2" s="1"/>
  <c r="W398" i="2"/>
  <c r="Y398" i="2" s="1"/>
  <c r="W397" i="2"/>
  <c r="Y397" i="2" s="1"/>
  <c r="W396" i="2"/>
  <c r="Y396" i="2" s="1"/>
  <c r="W394" i="2"/>
  <c r="Y394" i="2" s="1"/>
  <c r="W392" i="2"/>
  <c r="Y392" i="2" s="1"/>
  <c r="W391" i="2"/>
  <c r="Y391" i="2" s="1"/>
  <c r="W389" i="2"/>
  <c r="Y389" i="2" s="1"/>
  <c r="W388" i="2"/>
  <c r="Y388" i="2" s="1"/>
  <c r="W387" i="2"/>
  <c r="Y387" i="2" s="1"/>
  <c r="W385" i="2"/>
  <c r="Y385" i="2" s="1"/>
  <c r="W384" i="2"/>
  <c r="Y384" i="2" s="1"/>
  <c r="W382" i="2"/>
  <c r="Y382" i="2" s="1"/>
  <c r="W381" i="2"/>
  <c r="Y381" i="2" s="1"/>
  <c r="W360" i="2"/>
  <c r="Y360" i="2" s="1"/>
  <c r="W358" i="2"/>
  <c r="Y358" i="2" s="1"/>
  <c r="W356" i="2"/>
  <c r="Y356" i="2" s="1"/>
  <c r="W354" i="2"/>
  <c r="Y354" i="2" s="1"/>
  <c r="W352" i="2"/>
  <c r="Y352" i="2" s="1"/>
  <c r="W350" i="2"/>
  <c r="Y350" i="2" s="1"/>
  <c r="W348" i="2"/>
  <c r="Y348" i="2" s="1"/>
  <c r="W344" i="2"/>
  <c r="Y344" i="2" s="1"/>
  <c r="W340" i="2"/>
  <c r="Y340" i="2" s="1"/>
  <c r="W336" i="2"/>
  <c r="Y336" i="2" s="1"/>
  <c r="W332" i="2"/>
  <c r="Y332" i="2" s="1"/>
  <c r="W328" i="2"/>
  <c r="Y328" i="2" s="1"/>
  <c r="W324" i="2"/>
  <c r="Y324" i="2" s="1"/>
  <c r="W46" i="2"/>
  <c r="Y46" i="2" s="1"/>
  <c r="W303" i="2"/>
  <c r="Y303" i="2" s="1"/>
  <c r="W302" i="2"/>
  <c r="Y302" i="2" s="1"/>
  <c r="W299" i="2"/>
  <c r="Y299" i="2" s="1"/>
  <c r="W298" i="2"/>
  <c r="Y298" i="2" s="1"/>
  <c r="W297" i="2"/>
  <c r="Y297" i="2" s="1"/>
  <c r="W295" i="2"/>
  <c r="Y295" i="2" s="1"/>
  <c r="W293" i="2"/>
  <c r="Y293" i="2" s="1"/>
  <c r="W292" i="2"/>
  <c r="Y292" i="2" s="1"/>
  <c r="W290" i="2"/>
  <c r="Y290" i="2" s="1"/>
  <c r="W289" i="2"/>
  <c r="Y289" i="2" s="1"/>
  <c r="W288" i="2"/>
  <c r="Y288" i="2" s="1"/>
  <c r="W286" i="2"/>
  <c r="Y286" i="2" s="1"/>
  <c r="W285" i="2"/>
  <c r="Y285" i="2" s="1"/>
  <c r="W282" i="2"/>
  <c r="W270" i="2"/>
  <c r="Y270" i="2" s="1"/>
  <c r="W269" i="2"/>
  <c r="Y269" i="2" s="1"/>
  <c r="W268" i="2"/>
  <c r="Y268" i="2" s="1"/>
  <c r="W267" i="2"/>
  <c r="Y267" i="2" s="1"/>
  <c r="W264" i="2"/>
  <c r="Y264" i="2" s="1"/>
  <c r="W260" i="2"/>
  <c r="Y260" i="2" s="1"/>
  <c r="W256" i="2"/>
  <c r="Y256" i="2" s="1"/>
  <c r="W252" i="2"/>
  <c r="Y252" i="2" s="1"/>
  <c r="W248" i="2"/>
  <c r="Y248" i="2" s="1"/>
  <c r="W244" i="2"/>
  <c r="Y244" i="2" s="1"/>
  <c r="W240" i="2"/>
  <c r="Y240" i="2" s="1"/>
  <c r="W181" i="2"/>
  <c r="Y181" i="2" s="1"/>
  <c r="W179" i="2"/>
  <c r="Y179" i="2" s="1"/>
  <c r="W168" i="2"/>
  <c r="Y168" i="2" s="1"/>
  <c r="W148" i="2"/>
  <c r="Y148" i="2" s="1"/>
  <c r="W146" i="2"/>
  <c r="Y146" i="2" s="1"/>
  <c r="W128" i="2"/>
  <c r="Y128" i="2" s="1"/>
  <c r="W120" i="2"/>
  <c r="Y120" i="2" s="1"/>
  <c r="W114" i="2"/>
  <c r="Y114" i="2" s="1"/>
  <c r="W113" i="2"/>
  <c r="Y113" i="2" s="1"/>
  <c r="W106" i="2"/>
  <c r="Y106" i="2" s="1"/>
  <c r="W105" i="2"/>
  <c r="Y105" i="2" s="1"/>
  <c r="W104" i="2"/>
  <c r="Y104" i="2" s="1"/>
  <c r="W103" i="2"/>
  <c r="Y103" i="2" s="1"/>
  <c r="W96" i="2"/>
  <c r="Y96" i="2" s="1"/>
  <c r="W94" i="2"/>
  <c r="Y94" i="2" s="1"/>
  <c r="W93" i="2"/>
  <c r="Y93" i="2" s="1"/>
  <c r="W92" i="2"/>
  <c r="Y92" i="2" s="1"/>
  <c r="W90" i="2"/>
  <c r="Y90" i="2" s="1"/>
  <c r="W88" i="2"/>
  <c r="Y88" i="2" s="1"/>
  <c r="W86" i="2"/>
  <c r="Y86" i="2" s="1"/>
  <c r="W85" i="2"/>
  <c r="Y85" i="2" s="1"/>
  <c r="W84" i="2"/>
  <c r="Y84" i="2" s="1"/>
  <c r="W83" i="2"/>
  <c r="Y83" i="2" s="1"/>
  <c r="W82" i="2"/>
  <c r="Y82" i="2" s="1"/>
  <c r="W78" i="2"/>
  <c r="Y78" i="2" s="1"/>
  <c r="W77" i="2"/>
  <c r="Y77" i="2" s="1"/>
  <c r="W72" i="2"/>
  <c r="Y72" i="2" s="1"/>
  <c r="W70" i="2"/>
  <c r="Y70" i="2" s="1"/>
  <c r="W68" i="2"/>
  <c r="Y68" i="2" s="1"/>
  <c r="W66" i="2"/>
  <c r="Y66" i="2" s="1"/>
  <c r="W64" i="2"/>
  <c r="Y64" i="2" s="1"/>
  <c r="W62" i="2"/>
  <c r="Y62" i="2" s="1"/>
  <c r="W60" i="2"/>
  <c r="Y60" i="2" s="1"/>
  <c r="W56" i="2"/>
  <c r="Y56" i="2" s="1"/>
  <c r="W54" i="2"/>
  <c r="Y54" i="2" s="1"/>
  <c r="W50" i="2"/>
  <c r="Y50" i="2" s="1"/>
  <c r="W41" i="2"/>
  <c r="Y41" i="2" s="1"/>
  <c r="W38" i="2"/>
  <c r="Y38" i="2" s="1"/>
  <c r="W34" i="2"/>
  <c r="Y34" i="2" s="1"/>
  <c r="W32" i="2"/>
  <c r="Y32" i="2" s="1"/>
  <c r="W30" i="2"/>
  <c r="Y30" i="2" s="1"/>
  <c r="W28" i="2"/>
  <c r="Y28" i="2" s="1"/>
  <c r="W26" i="2"/>
  <c r="Y26" i="2" s="1"/>
  <c r="W24" i="2"/>
  <c r="Y24" i="2" s="1"/>
  <c r="W22" i="2"/>
  <c r="Y22" i="2" s="1"/>
  <c r="C109" i="2" l="1"/>
  <c r="C1713" i="2"/>
  <c r="C1645" i="2"/>
  <c r="C1584" i="2"/>
  <c r="C1510" i="2"/>
  <c r="C1461" i="2"/>
  <c r="C922" i="2"/>
  <c r="C941" i="2"/>
  <c r="C923" i="2"/>
  <c r="C870" i="2"/>
  <c r="C818" i="2"/>
  <c r="C905" i="2"/>
  <c r="C887" i="2"/>
  <c r="C817" i="2"/>
  <c r="C835" i="2"/>
  <c r="C888" i="2"/>
  <c r="C853" i="2"/>
  <c r="C852" i="2"/>
  <c r="C841" i="2"/>
  <c r="C1404" i="2"/>
  <c r="C1437" i="2"/>
  <c r="C1443" i="2"/>
  <c r="C1425" i="2"/>
  <c r="C1442" i="2"/>
  <c r="C1424" i="2"/>
  <c r="C1441" i="2"/>
  <c r="C1423" i="2"/>
  <c r="C1440" i="2"/>
  <c r="C1422" i="2"/>
  <c r="C1439" i="2"/>
  <c r="C1421" i="2"/>
  <c r="C1419" i="2"/>
  <c r="C1438" i="2"/>
  <c r="C1420" i="2"/>
  <c r="C122" i="2"/>
  <c r="C1402" i="2"/>
  <c r="C1401" i="2"/>
  <c r="C1400" i="2"/>
  <c r="C1399" i="2"/>
  <c r="C1704" i="2"/>
  <c r="C117" i="2"/>
  <c r="W1682" i="2"/>
  <c r="Y1682" i="2" s="1"/>
  <c r="W1541" i="2"/>
  <c r="Y1541" i="2" s="1"/>
  <c r="W1536" i="2"/>
  <c r="Y1536" i="2" s="1"/>
  <c r="W1605" i="2"/>
  <c r="Y1605" i="2" s="1"/>
  <c r="W1547" i="2"/>
  <c r="Y1547" i="2" s="1"/>
  <c r="W1676" i="2"/>
  <c r="Y1676" i="2" s="1"/>
  <c r="W1531" i="2"/>
  <c r="Y1531" i="2" s="1"/>
  <c r="W1671" i="2"/>
  <c r="Y1671" i="2" s="1"/>
  <c r="W1610" i="2"/>
  <c r="Y1610" i="2" s="1"/>
  <c r="C1684" i="2"/>
  <c r="C1674" i="2"/>
  <c r="C1683" i="2"/>
  <c r="C1679" i="2"/>
  <c r="C1682" i="2"/>
  <c r="C1673" i="2"/>
  <c r="C1678" i="2"/>
  <c r="C1672" i="2"/>
  <c r="C1677" i="2"/>
  <c r="C1686" i="2"/>
  <c r="C1671" i="2"/>
  <c r="C1685" i="2"/>
  <c r="C1680" i="2"/>
  <c r="C1676" i="2"/>
  <c r="C1614" i="2"/>
  <c r="C1610" i="2"/>
  <c r="C1605" i="2"/>
  <c r="C1608" i="2"/>
  <c r="C1613" i="2"/>
  <c r="C1607" i="2"/>
  <c r="C1612" i="2"/>
  <c r="C1606" i="2"/>
  <c r="C1636" i="2"/>
  <c r="C1611" i="2"/>
  <c r="C1547" i="2"/>
  <c r="C1545" i="2"/>
  <c r="C1544" i="2"/>
  <c r="C1538" i="2"/>
  <c r="C1531" i="2"/>
  <c r="C1543" i="2"/>
  <c r="C1532" i="2"/>
  <c r="C1542" i="2"/>
  <c r="C1537" i="2"/>
  <c r="C1575" i="2"/>
  <c r="C1551" i="2"/>
  <c r="C1541" i="2"/>
  <c r="C1549" i="2"/>
  <c r="C1550" i="2"/>
  <c r="C1536" i="2"/>
  <c r="C1548" i="2"/>
  <c r="C1539" i="2"/>
  <c r="C1533" i="2"/>
  <c r="C1534" i="2"/>
  <c r="C1503" i="2"/>
  <c r="W1484" i="2"/>
  <c r="Y1484" i="2" s="1"/>
  <c r="W1479" i="2"/>
  <c r="Y1479" i="2" s="1"/>
  <c r="C1484" i="2"/>
  <c r="C1487" i="2"/>
  <c r="C1485" i="2"/>
  <c r="C1486" i="2"/>
  <c r="C1479" i="2"/>
  <c r="C1482" i="2"/>
  <c r="C1480" i="2"/>
  <c r="C1481" i="2"/>
  <c r="C2147" i="2"/>
  <c r="C2056" i="2"/>
  <c r="C2051" i="2"/>
  <c r="C2039" i="2"/>
  <c r="C2050" i="2"/>
  <c r="C2049" i="2"/>
  <c r="C2047" i="2"/>
  <c r="C2045" i="2"/>
  <c r="C2035" i="2"/>
  <c r="C2044" i="2"/>
  <c r="C2034" i="2"/>
  <c r="C2043" i="2"/>
  <c r="C2033" i="2"/>
  <c r="C2032" i="2"/>
  <c r="C2021" i="2"/>
  <c r="C2055" i="2"/>
  <c r="C2053" i="2"/>
  <c r="C2036" i="2"/>
  <c r="C2031" i="2"/>
  <c r="C2057" i="2"/>
  <c r="C2030" i="2"/>
  <c r="C2027" i="2"/>
  <c r="C2017" i="2"/>
  <c r="C2040" i="2"/>
  <c r="C2015" i="2"/>
  <c r="C2038" i="2"/>
  <c r="C2029" i="2"/>
  <c r="C2024" i="2"/>
  <c r="C2014" i="2"/>
  <c r="C2042" i="2"/>
  <c r="C2041" i="2"/>
  <c r="C2060" i="2"/>
  <c r="C2026" i="2"/>
  <c r="C2025" i="2"/>
  <c r="C2022" i="2"/>
  <c r="C2023" i="2"/>
  <c r="C2011" i="2"/>
  <c r="C1998" i="2"/>
  <c r="C2016" i="2"/>
  <c r="C2007" i="2"/>
  <c r="C2020" i="2"/>
  <c r="C2012" i="2"/>
  <c r="C2003" i="2"/>
  <c r="C2002" i="2"/>
  <c r="C2001" i="2"/>
  <c r="C2000" i="2"/>
  <c r="C2018" i="2"/>
  <c r="C2013" i="2"/>
  <c r="C1999" i="2"/>
  <c r="C1990" i="2"/>
  <c r="C1984" i="2"/>
  <c r="C1978" i="2"/>
  <c r="C1968" i="2"/>
  <c r="C1997" i="2"/>
  <c r="C1993" i="2"/>
  <c r="C1989" i="2"/>
  <c r="C1977" i="2"/>
  <c r="C2004" i="2"/>
  <c r="C1988" i="2"/>
  <c r="C1974" i="2"/>
  <c r="C1973" i="2"/>
  <c r="C1982" i="2"/>
  <c r="C1972" i="2"/>
  <c r="C1969" i="2"/>
  <c r="C1975" i="2"/>
  <c r="C1983" i="2"/>
  <c r="C1981" i="2"/>
  <c r="C1971" i="2"/>
  <c r="C1980" i="2"/>
  <c r="C1970" i="2"/>
  <c r="C1964" i="2"/>
  <c r="C1961" i="2"/>
  <c r="C1986" i="2"/>
  <c r="C1979" i="2"/>
  <c r="C1747" i="2"/>
  <c r="C1871" i="2"/>
  <c r="C1872" i="2"/>
  <c r="C1869" i="2"/>
  <c r="C1868" i="2"/>
  <c r="C1908" i="2"/>
  <c r="C1907" i="2"/>
  <c r="C1905" i="2"/>
  <c r="C1904" i="2"/>
  <c r="C1935" i="2"/>
  <c r="C1936" i="2"/>
  <c r="C1167" i="2"/>
  <c r="C1170" i="2"/>
  <c r="C1164" i="2"/>
  <c r="C1403" i="2"/>
  <c r="C1410" i="2"/>
  <c r="C1405" i="2"/>
  <c r="C1385" i="2"/>
  <c r="C824" i="2"/>
  <c r="C624" i="2"/>
  <c r="C623" i="2"/>
  <c r="C622" i="2"/>
  <c r="C629" i="2"/>
  <c r="C628" i="2"/>
  <c r="C627" i="2"/>
  <c r="C621" i="2"/>
  <c r="C634" i="2"/>
  <c r="C633" i="2"/>
  <c r="C632" i="2"/>
  <c r="C626" i="2"/>
  <c r="C637" i="2"/>
  <c r="C631" i="2"/>
  <c r="C636" i="2"/>
  <c r="C548" i="2"/>
  <c r="C547" i="2"/>
  <c r="C546" i="2"/>
  <c r="C553" i="2"/>
  <c r="C552" i="2"/>
  <c r="C551" i="2"/>
  <c r="C545" i="2"/>
  <c r="C550" i="2"/>
  <c r="C558" i="2"/>
  <c r="C557" i="2"/>
  <c r="C561" i="2"/>
  <c r="C555" i="2"/>
  <c r="C560" i="2"/>
  <c r="C556" i="2"/>
  <c r="C457" i="2"/>
  <c r="C456" i="2"/>
  <c r="C462" i="2"/>
  <c r="C461" i="2"/>
  <c r="C460" i="2"/>
  <c r="C454" i="2"/>
  <c r="C467" i="2"/>
  <c r="C466" i="2"/>
  <c r="C465" i="2"/>
  <c r="C459" i="2"/>
  <c r="C470" i="2"/>
  <c r="C464" i="2"/>
  <c r="C469" i="2"/>
  <c r="C455" i="2"/>
  <c r="C283" i="2"/>
  <c r="C379" i="2"/>
  <c r="C373" i="2"/>
  <c r="C371" i="2"/>
  <c r="C369" i="2"/>
  <c r="C363" i="2"/>
  <c r="C376" i="2"/>
  <c r="C378" i="2"/>
  <c r="C365" i="2"/>
  <c r="C364" i="2"/>
  <c r="C370" i="2"/>
  <c r="C368" i="2"/>
  <c r="C366" i="2"/>
  <c r="C375" i="2"/>
  <c r="C374" i="2"/>
  <c r="C275" i="2"/>
  <c r="C273" i="2"/>
  <c r="C280" i="2"/>
  <c r="C277" i="2"/>
  <c r="C279" i="2"/>
  <c r="C278" i="2"/>
  <c r="C272" i="2"/>
  <c r="C274" i="2"/>
  <c r="Y229" i="2"/>
  <c r="Y195" i="2"/>
  <c r="C222" i="2"/>
  <c r="C212" i="2"/>
  <c r="C221" i="2"/>
  <c r="C220" i="2"/>
  <c r="C217" i="2"/>
  <c r="C230" i="2"/>
  <c r="C229" i="2"/>
  <c r="C226" i="2"/>
  <c r="C215" i="2"/>
  <c r="C224" i="2"/>
  <c r="C214" i="2"/>
  <c r="C213" i="2"/>
  <c r="C225" i="2"/>
  <c r="C216" i="2"/>
  <c r="C198" i="2"/>
  <c r="C233" i="2"/>
  <c r="C195" i="2"/>
  <c r="C184" i="2"/>
  <c r="C192" i="2"/>
  <c r="C189" i="2"/>
  <c r="C165" i="2"/>
  <c r="C163" i="2"/>
  <c r="C161" i="2"/>
  <c r="C130" i="2"/>
  <c r="C156" i="2"/>
  <c r="C157" i="2"/>
  <c r="C101" i="2"/>
  <c r="C100" i="2"/>
  <c r="C99" i="2"/>
  <c r="C98" i="2"/>
  <c r="C97" i="2"/>
  <c r="C154" i="2"/>
  <c r="W1592" i="2"/>
  <c r="Y1592" i="2" s="1"/>
  <c r="W1587" i="2"/>
  <c r="Y1587" i="2" s="1"/>
  <c r="W1518" i="2"/>
  <c r="Y1518" i="2" s="1"/>
  <c r="W1513" i="2"/>
  <c r="Y1513" i="2" s="1"/>
  <c r="W1659" i="2"/>
  <c r="Y1659" i="2" s="1"/>
  <c r="W1472" i="2"/>
  <c r="Y1472" i="2" s="1"/>
  <c r="W1598" i="2"/>
  <c r="Y1598" i="2" s="1"/>
  <c r="W1524" i="2"/>
  <c r="Y1524" i="2" s="1"/>
  <c r="W1665" i="2"/>
  <c r="Y1665" i="2" s="1"/>
  <c r="W1653" i="2"/>
  <c r="Y1653" i="2" s="1"/>
  <c r="W1648" i="2"/>
  <c r="Y1648" i="2" s="1"/>
  <c r="W1467" i="2"/>
  <c r="Y1467" i="2" s="1"/>
  <c r="AB126" i="2"/>
  <c r="T126" i="2"/>
  <c r="Q126" i="2"/>
  <c r="P126" i="2"/>
  <c r="D126" i="2"/>
  <c r="AB124" i="2"/>
  <c r="T124" i="2"/>
  <c r="Q124" i="2"/>
  <c r="P124" i="2"/>
  <c r="D124" i="2"/>
  <c r="W126" i="2"/>
  <c r="Y126" i="2" s="1"/>
  <c r="W124" i="2"/>
  <c r="Y124" i="2" s="1"/>
  <c r="AB114" i="2"/>
  <c r="Q114" i="2"/>
  <c r="P114" i="2"/>
  <c r="D114" i="2"/>
  <c r="AB120" i="2"/>
  <c r="T120" i="2"/>
  <c r="Q120" i="2"/>
  <c r="P120" i="2"/>
  <c r="D120" i="2"/>
  <c r="AB119" i="2"/>
  <c r="W119" i="2"/>
  <c r="Q119" i="2"/>
  <c r="P119" i="2"/>
  <c r="C119" i="2"/>
  <c r="W134" i="2"/>
  <c r="Y134" i="2" s="1"/>
  <c r="W132" i="2"/>
  <c r="Y132" i="2" s="1"/>
  <c r="W144" i="2" l="1"/>
  <c r="Y144" i="2" s="1"/>
  <c r="W142" i="2"/>
  <c r="Y142" i="2" s="1"/>
  <c r="W2125" i="2" l="1"/>
  <c r="Y2125" i="2" s="1"/>
  <c r="W2128" i="2"/>
  <c r="Y2128" i="2" s="1"/>
  <c r="W2138" i="2"/>
  <c r="Y2138" i="2" s="1"/>
  <c r="W2140" i="2"/>
  <c r="Y2140" i="2" s="1"/>
  <c r="Y282" i="2" l="1"/>
  <c r="AB270" i="2"/>
  <c r="T270" i="2"/>
  <c r="Q270" i="2"/>
  <c r="P270" i="2"/>
  <c r="D270" i="2"/>
  <c r="T1209" i="2" l="1"/>
  <c r="Q1209" i="2"/>
  <c r="P1209" i="2"/>
  <c r="D1209" i="2"/>
  <c r="T1198" i="2"/>
  <c r="Q1198" i="2"/>
  <c r="P1198" i="2"/>
  <c r="D1198" i="2"/>
  <c r="AB269" i="2"/>
  <c r="T269" i="2"/>
  <c r="Q269" i="2"/>
  <c r="P269" i="2"/>
  <c r="D269" i="2"/>
  <c r="W1198" i="2" l="1"/>
  <c r="Y1198" i="2" s="1"/>
  <c r="W1209" i="2"/>
  <c r="Y1209" i="2" s="1"/>
  <c r="AB1198" i="2" l="1"/>
  <c r="AB1209" i="2"/>
  <c r="Y2097" i="2" l="1"/>
  <c r="Y2095" i="2"/>
  <c r="Y2093" i="2"/>
  <c r="Y1218" i="2"/>
  <c r="Y1250" i="2"/>
  <c r="Y1282" i="2"/>
  <c r="Y1352" i="2"/>
  <c r="Y1314" i="2"/>
  <c r="Y1350" i="2"/>
  <c r="T1350" i="2"/>
  <c r="C71" i="72"/>
  <c r="Y1348" i="2"/>
  <c r="Y1312" i="2"/>
  <c r="T1312" i="2"/>
  <c r="C55" i="72"/>
  <c r="Y1310" i="2"/>
  <c r="Y1280" i="2"/>
  <c r="T1280" i="2"/>
  <c r="C40" i="72"/>
  <c r="Y1278" i="2"/>
  <c r="Y1248" i="2"/>
  <c r="T1248" i="2"/>
  <c r="C25" i="72"/>
  <c r="Y1246" i="2"/>
  <c r="C24" i="72"/>
  <c r="Y1216" i="2" l="1"/>
  <c r="Y1214" i="2"/>
  <c r="AB1682" i="2" l="1"/>
  <c r="AB1541" i="2"/>
  <c r="AB1536" i="2"/>
  <c r="AB1676" i="2"/>
  <c r="AB1531" i="2"/>
  <c r="AB1671" i="2"/>
  <c r="AB1610" i="2"/>
  <c r="AB1605" i="2"/>
  <c r="AB1547" i="2"/>
  <c r="W1548" i="2"/>
  <c r="Y1548" i="2" s="1"/>
  <c r="W1683" i="2"/>
  <c r="Y1683" i="2" s="1"/>
  <c r="W1542" i="2"/>
  <c r="Y1542" i="2" s="1"/>
  <c r="W1532" i="2"/>
  <c r="Y1532" i="2" s="1"/>
  <c r="W1672" i="2"/>
  <c r="Y1672" i="2" s="1"/>
  <c r="W1611" i="2"/>
  <c r="Y1611" i="2" s="1"/>
  <c r="W1537" i="2"/>
  <c r="Y1537" i="2" s="1"/>
  <c r="W1677" i="2"/>
  <c r="Y1677" i="2" s="1"/>
  <c r="W1606" i="2"/>
  <c r="Y1606" i="2" s="1"/>
  <c r="AB1683" i="2"/>
  <c r="AB1542" i="2"/>
  <c r="AB1537" i="2"/>
  <c r="AB1606" i="2"/>
  <c r="AB1677" i="2"/>
  <c r="AB1532" i="2"/>
  <c r="AB1672" i="2"/>
  <c r="AB1611" i="2"/>
  <c r="AB1548" i="2"/>
  <c r="AB1484" i="2"/>
  <c r="AB1479" i="2"/>
  <c r="W1485" i="2"/>
  <c r="Y1485" i="2" s="1"/>
  <c r="W1480" i="2"/>
  <c r="Y1480" i="2" s="1"/>
  <c r="AB1485" i="2"/>
  <c r="AB1480" i="2"/>
  <c r="W2111" i="2"/>
  <c r="Y2111" i="2" s="1"/>
  <c r="W1324" i="2"/>
  <c r="Y1324" i="2" s="1"/>
  <c r="W1660" i="2"/>
  <c r="Y1660" i="2" s="1"/>
  <c r="W1626" i="2"/>
  <c r="Y1626" i="2" s="1"/>
  <c r="W1473" i="2"/>
  <c r="Y1473" i="2" s="1"/>
  <c r="W1599" i="2"/>
  <c r="Y1599" i="2" s="1"/>
  <c r="W1525" i="2"/>
  <c r="Y1525" i="2" s="1"/>
  <c r="W1330" i="2"/>
  <c r="Y1330" i="2" s="1"/>
  <c r="W1694" i="2"/>
  <c r="Y1694" i="2" s="1"/>
  <c r="W1666" i="2"/>
  <c r="Y1666" i="2" s="1"/>
  <c r="W1491" i="2"/>
  <c r="Y1491" i="2" s="1"/>
  <c r="W1563" i="2"/>
  <c r="Y1563" i="2" s="1"/>
  <c r="W1719" i="2"/>
  <c r="Y1719" i="2" s="1"/>
  <c r="W1654" i="2"/>
  <c r="Y1654" i="2" s="1"/>
  <c r="W1649" i="2"/>
  <c r="Y1649" i="2" s="1"/>
  <c r="W1468" i="2"/>
  <c r="Y1468" i="2" s="1"/>
  <c r="W1593" i="2"/>
  <c r="Y1593" i="2" s="1"/>
  <c r="W1588" i="2"/>
  <c r="Y1588" i="2" s="1"/>
  <c r="W1519" i="2"/>
  <c r="Y1519" i="2" s="1"/>
  <c r="W1514" i="2"/>
  <c r="Y1514" i="2" s="1"/>
  <c r="W1292" i="2"/>
  <c r="Y1292" i="2" s="1"/>
  <c r="W1260" i="2"/>
  <c r="Y1260" i="2" s="1"/>
  <c r="W1228" i="2"/>
  <c r="Y1228" i="2" s="1"/>
  <c r="W1360" i="2"/>
  <c r="Y1360" i="2" s="1"/>
  <c r="W1334" i="2"/>
  <c r="Y1334" i="2" s="1"/>
  <c r="W1323" i="2"/>
  <c r="Y1323" i="2" s="1"/>
  <c r="W1291" i="2"/>
  <c r="Y1291" i="2" s="1"/>
  <c r="W1259" i="2"/>
  <c r="Y1259" i="2" s="1"/>
  <c r="W1227" i="2"/>
  <c r="Y1227" i="2" s="1"/>
  <c r="W1625" i="2"/>
  <c r="Y1625" i="2" s="1"/>
  <c r="W1329" i="2"/>
  <c r="Y1329" i="2" s="1"/>
  <c r="W1693" i="2"/>
  <c r="Y1693" i="2" s="1"/>
  <c r="W1490" i="2"/>
  <c r="Y1490" i="2" s="1"/>
  <c r="W1562" i="2"/>
  <c r="Y1562" i="2" s="1"/>
  <c r="W1296" i="2"/>
  <c r="Y1296" i="2" s="1"/>
  <c r="W1264" i="2"/>
  <c r="Y1264" i="2" s="1"/>
  <c r="W1232" i="2"/>
  <c r="Y1232" i="2" s="1"/>
  <c r="W2110" i="2"/>
  <c r="Y2110" i="2" s="1"/>
  <c r="W1718" i="2"/>
  <c r="Y1718" i="2" s="1"/>
  <c r="W702" i="2" l="1"/>
  <c r="Y702" i="2" s="1"/>
  <c r="W764" i="2"/>
  <c r="Y764" i="2" s="1"/>
  <c r="W673" i="2"/>
  <c r="Y673" i="2" s="1"/>
  <c r="W787" i="2"/>
  <c r="Y787" i="2" s="1"/>
  <c r="W735" i="2"/>
  <c r="Y735" i="2" s="1"/>
  <c r="W732" i="2"/>
  <c r="Y732" i="2" s="1"/>
  <c r="W699" i="2"/>
  <c r="Y699" i="2" s="1"/>
  <c r="W761" i="2"/>
  <c r="Y761" i="2" s="1"/>
  <c r="W670" i="2"/>
  <c r="Y670" i="2" s="1"/>
  <c r="W1208" i="2"/>
  <c r="Y1208" i="2" s="1"/>
  <c r="W1197" i="2" l="1"/>
  <c r="Y1197" i="2" s="1"/>
  <c r="W1139" i="2"/>
  <c r="Y1139" i="2" s="1"/>
  <c r="W1143" i="2"/>
  <c r="Y1143" i="2" s="1"/>
  <c r="W1147" i="2"/>
  <c r="Y1147" i="2" s="1"/>
  <c r="W1151" i="2" l="1"/>
  <c r="Y1151" i="2" s="1"/>
  <c r="W1155" i="2"/>
  <c r="Y1155" i="2" s="1"/>
  <c r="V507" i="2"/>
  <c r="V416" i="2"/>
  <c r="V317" i="2"/>
  <c r="V508" i="2"/>
  <c r="V417" i="2"/>
  <c r="V318" i="2"/>
  <c r="T508" i="2"/>
  <c r="Q508" i="2"/>
  <c r="P508" i="2"/>
  <c r="D508" i="2"/>
  <c r="T507" i="2"/>
  <c r="Q507" i="2"/>
  <c r="P507" i="2"/>
  <c r="D507" i="2"/>
  <c r="T417" i="2"/>
  <c r="Q417" i="2"/>
  <c r="P417" i="2"/>
  <c r="D417" i="2"/>
  <c r="T416" i="2"/>
  <c r="Q416" i="2"/>
  <c r="P416" i="2"/>
  <c r="D416" i="2"/>
  <c r="T318" i="2"/>
  <c r="Q318" i="2"/>
  <c r="P318" i="2"/>
  <c r="D318" i="2"/>
  <c r="T317" i="2"/>
  <c r="Q317" i="2"/>
  <c r="P317" i="2"/>
  <c r="D317" i="2"/>
  <c r="AB508" i="2"/>
  <c r="W416" i="2" l="1"/>
  <c r="Y416" i="2" s="1"/>
  <c r="W317" i="2"/>
  <c r="Y317" i="2" s="1"/>
  <c r="W507" i="2"/>
  <c r="Y507" i="2" s="1"/>
  <c r="W318" i="2"/>
  <c r="Y318" i="2" s="1"/>
  <c r="W508" i="2"/>
  <c r="Y508" i="2" s="1"/>
  <c r="W417" i="2"/>
  <c r="Y417" i="2" s="1"/>
  <c r="AB507" i="2"/>
  <c r="AB318" i="2"/>
  <c r="AB417" i="2"/>
  <c r="AB317" i="2"/>
  <c r="AB416" i="2"/>
  <c r="W1159" i="2" l="1"/>
  <c r="Y1159" i="2" s="1"/>
  <c r="W1128" i="2"/>
  <c r="Y1128" i="2" s="1"/>
  <c r="W1115" i="2"/>
  <c r="Y1115" i="2" s="1"/>
  <c r="W1102" i="2"/>
  <c r="Y1102" i="2" s="1"/>
  <c r="W1089" i="2"/>
  <c r="Y1089" i="2" s="1"/>
  <c r="W1076" i="2"/>
  <c r="Y1076" i="2" s="1"/>
  <c r="W1131" i="2"/>
  <c r="Y1131" i="2" s="1"/>
  <c r="W1118" i="2"/>
  <c r="Y1118" i="2" s="1"/>
  <c r="W1105" i="2"/>
  <c r="Y1105" i="2" s="1"/>
  <c r="W1092" i="2"/>
  <c r="Y1092" i="2" s="1"/>
  <c r="W1079" i="2"/>
  <c r="Y1079" i="2" s="1"/>
  <c r="W1125" i="2"/>
  <c r="Y1125" i="2" s="1"/>
  <c r="W1112" i="2"/>
  <c r="Y1112" i="2" s="1"/>
  <c r="W1099" i="2"/>
  <c r="Y1099" i="2" s="1"/>
  <c r="W1086" i="2"/>
  <c r="Y1086" i="2" s="1"/>
  <c r="W1073" i="2"/>
  <c r="Y1073" i="2" s="1"/>
  <c r="D6" i="68"/>
  <c r="E3" i="68"/>
  <c r="D5" i="68"/>
  <c r="C339" i="61" s="1"/>
  <c r="W503" i="2" l="1"/>
  <c r="Y503" i="2" s="1"/>
  <c r="W412" i="2"/>
  <c r="Y412" i="2" s="1"/>
  <c r="W313" i="2"/>
  <c r="Y313" i="2" s="1"/>
  <c r="W413" i="2"/>
  <c r="Y413" i="2" s="1"/>
  <c r="W314" i="2"/>
  <c r="Y314" i="2" s="1"/>
  <c r="W504" i="2"/>
  <c r="Y504" i="2" s="1"/>
  <c r="W501" i="2"/>
  <c r="Y501" i="2" s="1"/>
  <c r="W410" i="2"/>
  <c r="Y410" i="2" s="1"/>
  <c r="W311" i="2"/>
  <c r="Y311" i="2" s="1"/>
  <c r="W414" i="2"/>
  <c r="Y414" i="2" s="1"/>
  <c r="W315" i="2"/>
  <c r="Y315" i="2" s="1"/>
  <c r="W505" i="2"/>
  <c r="Y505" i="2" s="1"/>
  <c r="W312" i="2"/>
  <c r="Y312" i="2" s="1"/>
  <c r="W502" i="2"/>
  <c r="Y502" i="2" s="1"/>
  <c r="W411" i="2"/>
  <c r="Y411" i="2" s="1"/>
  <c r="W415" i="2"/>
  <c r="Y415" i="2" s="1"/>
  <c r="W316" i="2"/>
  <c r="Y316" i="2" s="1"/>
  <c r="W506" i="2"/>
  <c r="Y506" i="2" s="1"/>
  <c r="C5" i="68" l="1"/>
  <c r="C6" i="68" s="1"/>
  <c r="C12" i="68" s="1"/>
  <c r="C18" i="68" s="1"/>
  <c r="C24" i="68" s="1"/>
  <c r="C30" i="68" s="1"/>
  <c r="C61" i="68" s="1"/>
  <c r="C63" i="68" s="1"/>
  <c r="C64" i="68" s="1"/>
  <c r="C80" i="68" s="1"/>
  <c r="C82" i="68" s="1"/>
  <c r="C103" i="68" l="1"/>
  <c r="C109" i="68" s="1"/>
  <c r="E80" i="68"/>
  <c r="E4" i="68"/>
  <c r="E6" i="68" l="1"/>
  <c r="E5" i="68"/>
  <c r="U1207" i="2" l="1"/>
  <c r="AB1202" i="2" l="1"/>
  <c r="W1202" i="2"/>
  <c r="Y1202" i="2" l="1"/>
  <c r="W1206" i="2"/>
  <c r="Y1206" i="2" s="1"/>
  <c r="W1195" i="2"/>
  <c r="Y1195" i="2" s="1"/>
  <c r="AB1197" i="2"/>
  <c r="T1197" i="2"/>
  <c r="Q1197" i="2"/>
  <c r="P1197" i="2"/>
  <c r="D1197" i="2"/>
  <c r="AB1196" i="2"/>
  <c r="W1196" i="2"/>
  <c r="Q1196" i="2"/>
  <c r="P1196" i="2"/>
  <c r="C1196" i="2"/>
  <c r="U1135" i="2"/>
  <c r="D109" i="68"/>
  <c r="C352" i="61" s="1"/>
  <c r="D103" i="68"/>
  <c r="G103" i="68" s="1"/>
  <c r="D82" i="68"/>
  <c r="D64" i="68"/>
  <c r="D63" i="68"/>
  <c r="D30" i="68"/>
  <c r="D24" i="68"/>
  <c r="D18" i="68"/>
  <c r="D12" i="68"/>
  <c r="C107" i="68"/>
  <c r="D107" i="68" s="1"/>
  <c r="C106" i="68"/>
  <c r="D106" i="68" s="1"/>
  <c r="C105" i="68"/>
  <c r="D105" i="68" s="1"/>
  <c r="C104" i="68"/>
  <c r="D104" i="68" s="1"/>
  <c r="AB1240" i="2"/>
  <c r="T1240" i="2"/>
  <c r="Q1240" i="2"/>
  <c r="P1240" i="2"/>
  <c r="D1240" i="2"/>
  <c r="AB1239" i="2"/>
  <c r="W1239" i="2"/>
  <c r="Q1239" i="2"/>
  <c r="P1239" i="2"/>
  <c r="C1239" i="2"/>
  <c r="AB1272" i="2"/>
  <c r="T1272" i="2"/>
  <c r="Q1272" i="2"/>
  <c r="P1272" i="2"/>
  <c r="D1272" i="2"/>
  <c r="AB1271" i="2"/>
  <c r="W1271" i="2"/>
  <c r="Q1271" i="2"/>
  <c r="P1271" i="2"/>
  <c r="C1271" i="2"/>
  <c r="AB1304" i="2"/>
  <c r="T1304" i="2"/>
  <c r="Q1304" i="2"/>
  <c r="P1304" i="2"/>
  <c r="D1304" i="2"/>
  <c r="AB1303" i="2"/>
  <c r="W1303" i="2"/>
  <c r="Q1303" i="2"/>
  <c r="P1303" i="2"/>
  <c r="C1303" i="2"/>
  <c r="AB1342" i="2"/>
  <c r="T1342" i="2"/>
  <c r="Q1342" i="2"/>
  <c r="P1342" i="2"/>
  <c r="D1342" i="2"/>
  <c r="AB1341" i="2"/>
  <c r="W1341" i="2"/>
  <c r="Q1341" i="2"/>
  <c r="P1341" i="2"/>
  <c r="C1341" i="2"/>
  <c r="AB1702" i="2"/>
  <c r="T1702" i="2"/>
  <c r="Q1702" i="2"/>
  <c r="P1702" i="2"/>
  <c r="D1702" i="2"/>
  <c r="AB1701" i="2"/>
  <c r="W1701" i="2"/>
  <c r="Q1701" i="2"/>
  <c r="P1701" i="2"/>
  <c r="C1701" i="2"/>
  <c r="AB1700" i="2"/>
  <c r="T1700" i="2"/>
  <c r="Q1700" i="2"/>
  <c r="P1700" i="2"/>
  <c r="D1700" i="2"/>
  <c r="AB1699" i="2"/>
  <c r="W1699" i="2"/>
  <c r="Q1699" i="2"/>
  <c r="P1699" i="2"/>
  <c r="C1699" i="2"/>
  <c r="AB1634" i="2"/>
  <c r="T1634" i="2"/>
  <c r="Q1634" i="2"/>
  <c r="P1634" i="2"/>
  <c r="D1634" i="2"/>
  <c r="AB1633" i="2"/>
  <c r="W1633" i="2"/>
  <c r="Q1633" i="2"/>
  <c r="P1633" i="2"/>
  <c r="C1633" i="2"/>
  <c r="AB1632" i="2"/>
  <c r="T1632" i="2"/>
  <c r="Q1632" i="2"/>
  <c r="P1632" i="2"/>
  <c r="D1632" i="2"/>
  <c r="AB1631" i="2"/>
  <c r="W1631" i="2"/>
  <c r="Q1631" i="2"/>
  <c r="P1631" i="2"/>
  <c r="C1631" i="2"/>
  <c r="AB1571" i="2"/>
  <c r="T1571" i="2"/>
  <c r="Q1571" i="2"/>
  <c r="P1571" i="2"/>
  <c r="D1571" i="2"/>
  <c r="AB1570" i="2"/>
  <c r="W1570" i="2"/>
  <c r="Q1570" i="2"/>
  <c r="P1570" i="2"/>
  <c r="C1570" i="2"/>
  <c r="AB1569" i="2"/>
  <c r="T1569" i="2"/>
  <c r="Q1569" i="2"/>
  <c r="P1569" i="2"/>
  <c r="D1569" i="2"/>
  <c r="AB1568" i="2"/>
  <c r="W1568" i="2"/>
  <c r="Q1568" i="2"/>
  <c r="P1568" i="2"/>
  <c r="C1568" i="2"/>
  <c r="AB1499" i="2"/>
  <c r="T1499" i="2"/>
  <c r="Q1499" i="2"/>
  <c r="P1499" i="2"/>
  <c r="D1499" i="2"/>
  <c r="AB1498" i="2"/>
  <c r="W1498" i="2"/>
  <c r="Q1498" i="2"/>
  <c r="P1498" i="2"/>
  <c r="C1498" i="2"/>
  <c r="W2142" i="2" l="1"/>
  <c r="Y2142" i="2" s="1"/>
  <c r="U2006" i="2"/>
  <c r="U1963" i="2"/>
  <c r="U1992" i="2"/>
  <c r="U2059" i="2"/>
  <c r="C303" i="61"/>
  <c r="W2116" i="2"/>
  <c r="Y2116" i="2" s="1"/>
  <c r="W1964" i="2" l="1"/>
  <c r="Y1964" i="2" s="1"/>
  <c r="W2060" i="2"/>
  <c r="Y2060" i="2" s="1"/>
  <c r="W1993" i="2"/>
  <c r="Y1993" i="2" s="1"/>
  <c r="W2007" i="2"/>
  <c r="Y2007" i="2" s="1"/>
  <c r="AB44" i="2"/>
  <c r="T44" i="2"/>
  <c r="Q44" i="2"/>
  <c r="P44" i="2"/>
  <c r="D44" i="2"/>
  <c r="AB43" i="2"/>
  <c r="W43" i="2"/>
  <c r="Q43" i="2"/>
  <c r="P43" i="2"/>
  <c r="C43" i="2"/>
  <c r="AB42" i="2"/>
  <c r="Y42" i="2"/>
  <c r="W42" i="2"/>
  <c r="U42" i="2"/>
  <c r="Q42" i="2"/>
  <c r="P42" i="2"/>
  <c r="C42" i="2"/>
  <c r="AB46" i="2"/>
  <c r="T46" i="2"/>
  <c r="Q46" i="2"/>
  <c r="P46" i="2"/>
  <c r="D46" i="2"/>
  <c r="AB45" i="2"/>
  <c r="W45" i="2"/>
  <c r="Q45" i="2"/>
  <c r="P45" i="2"/>
  <c r="C45" i="2"/>
  <c r="Y1176" i="2"/>
  <c r="T1175" i="2"/>
  <c r="Q1175" i="2"/>
  <c r="P1175" i="2"/>
  <c r="D1175" i="2"/>
  <c r="E61" i="68" l="1"/>
  <c r="W1175" i="2"/>
  <c r="Y1175" i="2" s="1"/>
  <c r="AB1175" i="2"/>
  <c r="T2136" i="2" l="1"/>
  <c r="Q2136" i="2"/>
  <c r="P2136" i="2"/>
  <c r="D2136" i="2"/>
  <c r="U1578" i="2"/>
  <c r="C123" i="72" s="1"/>
  <c r="AB1579" i="2"/>
  <c r="T1579" i="2"/>
  <c r="Q1579" i="2"/>
  <c r="P1579" i="2"/>
  <c r="D1579" i="2"/>
  <c r="AB1578" i="2"/>
  <c r="W1578" i="2"/>
  <c r="Q1578" i="2"/>
  <c r="P1578" i="2"/>
  <c r="C1578" i="2"/>
  <c r="E109" i="68" l="1"/>
  <c r="AB2135" i="2"/>
  <c r="T2135" i="2"/>
  <c r="Q2135" i="2"/>
  <c r="P2135" i="2"/>
  <c r="D2135" i="2"/>
  <c r="AB2134" i="2"/>
  <c r="T2134" i="2"/>
  <c r="Q2134" i="2"/>
  <c r="P2134" i="2"/>
  <c r="D2134" i="2"/>
  <c r="AB2133" i="2"/>
  <c r="W2133" i="2"/>
  <c r="Q2133" i="2"/>
  <c r="P2133" i="2"/>
  <c r="C2133" i="2"/>
  <c r="AB2076" i="2"/>
  <c r="T2076" i="2"/>
  <c r="Q2076" i="2"/>
  <c r="P2076" i="2"/>
  <c r="D2076" i="2"/>
  <c r="U2078" i="2"/>
  <c r="U2073" i="2"/>
  <c r="AB2082" i="2"/>
  <c r="T2082" i="2"/>
  <c r="Q2082" i="2"/>
  <c r="P2082" i="2"/>
  <c r="D2082" i="2"/>
  <c r="AB2081" i="2"/>
  <c r="T2081" i="2"/>
  <c r="Q2081" i="2"/>
  <c r="P2081" i="2"/>
  <c r="D2081" i="2"/>
  <c r="AB2080" i="2"/>
  <c r="T2080" i="2"/>
  <c r="Q2080" i="2"/>
  <c r="P2080" i="2"/>
  <c r="D2080" i="2"/>
  <c r="AB2079" i="2"/>
  <c r="T2079" i="2"/>
  <c r="Q2079" i="2"/>
  <c r="P2079" i="2"/>
  <c r="D2079" i="2"/>
  <c r="AB2078" i="2"/>
  <c r="W2078" i="2"/>
  <c r="Q2078" i="2"/>
  <c r="P2078" i="2"/>
  <c r="C2078" i="2"/>
  <c r="AB2077" i="2"/>
  <c r="T2077" i="2"/>
  <c r="Q2077" i="2"/>
  <c r="P2077" i="2"/>
  <c r="D2077" i="2"/>
  <c r="AB2075" i="2"/>
  <c r="T2075" i="2"/>
  <c r="Q2075" i="2"/>
  <c r="P2075" i="2"/>
  <c r="D2075" i="2"/>
  <c r="AB2074" i="2"/>
  <c r="T2074" i="2"/>
  <c r="Q2074" i="2"/>
  <c r="P2074" i="2"/>
  <c r="D2074" i="2"/>
  <c r="AB2073" i="2"/>
  <c r="W2073" i="2"/>
  <c r="Q2073" i="2"/>
  <c r="P2073" i="2"/>
  <c r="C2073" i="2"/>
  <c r="AB2088" i="2"/>
  <c r="T2088" i="2"/>
  <c r="Q2088" i="2"/>
  <c r="P2088" i="2"/>
  <c r="D2088" i="2"/>
  <c r="AB2087" i="2"/>
  <c r="W2087" i="2"/>
  <c r="Q2087" i="2"/>
  <c r="P2087" i="2"/>
  <c r="C2087" i="2"/>
  <c r="AB2086" i="2"/>
  <c r="Y2086" i="2"/>
  <c r="W2086" i="2"/>
  <c r="U2086" i="2"/>
  <c r="Q2086" i="2"/>
  <c r="P2086" i="2"/>
  <c r="C2086" i="2"/>
  <c r="U2064" i="2"/>
  <c r="C361" i="61"/>
  <c r="W2069" i="2" s="1"/>
  <c r="Y2069" i="2" s="1"/>
  <c r="AB2072" i="2"/>
  <c r="T2072" i="2"/>
  <c r="Q2072" i="2"/>
  <c r="P2072" i="2"/>
  <c r="D2072" i="2"/>
  <c r="AB2071" i="2"/>
  <c r="T2071" i="2"/>
  <c r="Q2071" i="2"/>
  <c r="P2071" i="2"/>
  <c r="D2071" i="2"/>
  <c r="AB2070" i="2"/>
  <c r="T2070" i="2"/>
  <c r="Q2070" i="2"/>
  <c r="P2070" i="2"/>
  <c r="D2070" i="2"/>
  <c r="AB2065" i="2"/>
  <c r="T2065" i="2"/>
  <c r="Q2065" i="2"/>
  <c r="P2065" i="2"/>
  <c r="D2065" i="2"/>
  <c r="AB2069" i="2"/>
  <c r="T2069" i="2"/>
  <c r="Q2069" i="2"/>
  <c r="P2069" i="2"/>
  <c r="D2069" i="2"/>
  <c r="AB2068" i="2"/>
  <c r="W2068" i="2"/>
  <c r="Q2068" i="2"/>
  <c r="P2068" i="2"/>
  <c r="C2068" i="2"/>
  <c r="AB2067" i="2"/>
  <c r="T2067" i="2"/>
  <c r="Q2067" i="2"/>
  <c r="P2067" i="2"/>
  <c r="D2067" i="2"/>
  <c r="AB2066" i="2"/>
  <c r="T2066" i="2"/>
  <c r="Q2066" i="2"/>
  <c r="P2066" i="2"/>
  <c r="D2066" i="2"/>
  <c r="AB2064" i="2"/>
  <c r="W2064" i="2"/>
  <c r="Q2064" i="2"/>
  <c r="P2064" i="2"/>
  <c r="C2064" i="2"/>
  <c r="AB2063" i="2"/>
  <c r="Y2063" i="2"/>
  <c r="W2063" i="2"/>
  <c r="U2063" i="2"/>
  <c r="Q2063" i="2"/>
  <c r="P2063" i="2"/>
  <c r="C2063" i="2"/>
  <c r="U2087" i="2" l="1"/>
  <c r="U838" i="2" l="1"/>
  <c r="AB876" i="2"/>
  <c r="T876" i="2"/>
  <c r="Q876" i="2"/>
  <c r="P876" i="2"/>
  <c r="D876" i="2"/>
  <c r="AB875" i="2"/>
  <c r="W875" i="2"/>
  <c r="Q875" i="2"/>
  <c r="P875" i="2"/>
  <c r="C875" i="2"/>
  <c r="AB874" i="2"/>
  <c r="T874" i="2"/>
  <c r="Q874" i="2"/>
  <c r="P874" i="2"/>
  <c r="D874" i="2"/>
  <c r="AB873" i="2"/>
  <c r="W873" i="2"/>
  <c r="Q873" i="2"/>
  <c r="P873" i="2"/>
  <c r="C873" i="2"/>
  <c r="AB872" i="2"/>
  <c r="T872" i="2"/>
  <c r="Q872" i="2"/>
  <c r="P872" i="2"/>
  <c r="D872" i="2"/>
  <c r="AB871" i="2"/>
  <c r="W871" i="2"/>
  <c r="Q871" i="2"/>
  <c r="P871" i="2"/>
  <c r="C871" i="2"/>
  <c r="AB868" i="2"/>
  <c r="T868" i="2"/>
  <c r="Q868" i="2"/>
  <c r="P868" i="2"/>
  <c r="D868" i="2"/>
  <c r="AB867" i="2"/>
  <c r="W867" i="2"/>
  <c r="Q867" i="2"/>
  <c r="P867" i="2"/>
  <c r="C867" i="2"/>
  <c r="AB866" i="2"/>
  <c r="T866" i="2"/>
  <c r="Q866" i="2"/>
  <c r="P866" i="2"/>
  <c r="D866" i="2"/>
  <c r="AB865" i="2"/>
  <c r="W865" i="2"/>
  <c r="Q865" i="2"/>
  <c r="P865" i="2"/>
  <c r="C865" i="2"/>
  <c r="AB864" i="2"/>
  <c r="Y864" i="2"/>
  <c r="W864" i="2"/>
  <c r="U864" i="2"/>
  <c r="Q864" i="2"/>
  <c r="P864" i="2"/>
  <c r="C864" i="2"/>
  <c r="AB863" i="2"/>
  <c r="T863" i="2"/>
  <c r="Q863" i="2"/>
  <c r="P863" i="2"/>
  <c r="D863" i="2"/>
  <c r="AB862" i="2"/>
  <c r="T862" i="2"/>
  <c r="Q862" i="2"/>
  <c r="P862" i="2"/>
  <c r="D862" i="2"/>
  <c r="AB861" i="2"/>
  <c r="W861" i="2"/>
  <c r="Q861" i="2"/>
  <c r="P861" i="2"/>
  <c r="C861" i="2"/>
  <c r="AB860" i="2"/>
  <c r="Y860" i="2"/>
  <c r="W860" i="2"/>
  <c r="U860" i="2"/>
  <c r="Q860" i="2"/>
  <c r="P860" i="2"/>
  <c r="C860" i="2"/>
  <c r="AB859" i="2"/>
  <c r="T859" i="2"/>
  <c r="Q859" i="2"/>
  <c r="P859" i="2"/>
  <c r="D859" i="2"/>
  <c r="AB858" i="2"/>
  <c r="W858" i="2"/>
  <c r="U875" i="2"/>
  <c r="Q858" i="2"/>
  <c r="P858" i="2"/>
  <c r="C858" i="2"/>
  <c r="AB857" i="2"/>
  <c r="Y857" i="2"/>
  <c r="W857" i="2"/>
  <c r="U857" i="2"/>
  <c r="Q857" i="2"/>
  <c r="P857" i="2"/>
  <c r="C857" i="2"/>
  <c r="AB856" i="2"/>
  <c r="T856" i="2"/>
  <c r="Q856" i="2"/>
  <c r="P856" i="2"/>
  <c r="D856" i="2"/>
  <c r="AB855" i="2"/>
  <c r="W855" i="2"/>
  <c r="Q855" i="2"/>
  <c r="P855" i="2"/>
  <c r="C855" i="2"/>
  <c r="AB854" i="2"/>
  <c r="Y854" i="2"/>
  <c r="W854" i="2"/>
  <c r="U854" i="2"/>
  <c r="Q854" i="2"/>
  <c r="P854" i="2"/>
  <c r="C854" i="2"/>
  <c r="AB850" i="2"/>
  <c r="T850" i="2"/>
  <c r="Q850" i="2"/>
  <c r="P850" i="2"/>
  <c r="D850" i="2"/>
  <c r="AB849" i="2"/>
  <c r="T849" i="2"/>
  <c r="Q849" i="2"/>
  <c r="P849" i="2"/>
  <c r="D849" i="2"/>
  <c r="AB848" i="2"/>
  <c r="W848" i="2"/>
  <c r="Q848" i="2"/>
  <c r="P848" i="2"/>
  <c r="C848" i="2"/>
  <c r="AB847" i="2"/>
  <c r="Y847" i="2"/>
  <c r="W847" i="2"/>
  <c r="U847" i="2"/>
  <c r="Q847" i="2"/>
  <c r="P847" i="2"/>
  <c r="C847" i="2"/>
  <c r="T846" i="2"/>
  <c r="Q846" i="2"/>
  <c r="P846" i="2"/>
  <c r="D846" i="2"/>
  <c r="AB845" i="2"/>
  <c r="T845" i="2"/>
  <c r="Q845" i="2"/>
  <c r="P845" i="2"/>
  <c r="D845" i="2"/>
  <c r="AB844" i="2"/>
  <c r="W844" i="2"/>
  <c r="Q844" i="2"/>
  <c r="P844" i="2"/>
  <c r="C844" i="2"/>
  <c r="AB843" i="2"/>
  <c r="Y843" i="2"/>
  <c r="W843" i="2"/>
  <c r="U843" i="2"/>
  <c r="Q843" i="2"/>
  <c r="P843" i="2"/>
  <c r="C843" i="2"/>
  <c r="AB839" i="2"/>
  <c r="T839" i="2"/>
  <c r="Q839" i="2"/>
  <c r="P839" i="2"/>
  <c r="D839" i="2"/>
  <c r="AB838" i="2"/>
  <c r="W838" i="2"/>
  <c r="Q838" i="2"/>
  <c r="P838" i="2"/>
  <c r="C838" i="2"/>
  <c r="AB837" i="2"/>
  <c r="T837" i="2"/>
  <c r="Q837" i="2"/>
  <c r="P837" i="2"/>
  <c r="D837" i="2"/>
  <c r="AB836" i="2"/>
  <c r="W836" i="2"/>
  <c r="Q836" i="2"/>
  <c r="P836" i="2"/>
  <c r="C836" i="2"/>
  <c r="AB833" i="2"/>
  <c r="T833" i="2"/>
  <c r="Q833" i="2"/>
  <c r="P833" i="2"/>
  <c r="D833" i="2"/>
  <c r="AB832" i="2"/>
  <c r="W832" i="2"/>
  <c r="Q832" i="2"/>
  <c r="P832" i="2"/>
  <c r="C832" i="2"/>
  <c r="AB831" i="2"/>
  <c r="T831" i="2"/>
  <c r="Q831" i="2"/>
  <c r="P831" i="2"/>
  <c r="D831" i="2"/>
  <c r="AB830" i="2"/>
  <c r="W830" i="2"/>
  <c r="Q830" i="2"/>
  <c r="P830" i="2"/>
  <c r="C830" i="2"/>
  <c r="AB829" i="2"/>
  <c r="Y829" i="2"/>
  <c r="W829" i="2"/>
  <c r="U829" i="2"/>
  <c r="Q829" i="2"/>
  <c r="P829" i="2"/>
  <c r="C829" i="2"/>
  <c r="AB828" i="2"/>
  <c r="T828" i="2"/>
  <c r="Q828" i="2"/>
  <c r="P828" i="2"/>
  <c r="D828" i="2"/>
  <c r="AB827" i="2"/>
  <c r="T827" i="2"/>
  <c r="Q827" i="2"/>
  <c r="P827" i="2"/>
  <c r="D827" i="2"/>
  <c r="AB826" i="2"/>
  <c r="W826" i="2"/>
  <c r="Q826" i="2"/>
  <c r="P826" i="2"/>
  <c r="C826" i="2"/>
  <c r="AB825" i="2"/>
  <c r="Y825" i="2"/>
  <c r="W825" i="2"/>
  <c r="U825" i="2"/>
  <c r="Q825" i="2"/>
  <c r="P825" i="2"/>
  <c r="C825" i="2"/>
  <c r="AB821" i="2"/>
  <c r="T821" i="2"/>
  <c r="Q821" i="2"/>
  <c r="P821" i="2"/>
  <c r="D821" i="2"/>
  <c r="AB820" i="2"/>
  <c r="W820" i="2"/>
  <c r="Q820" i="2"/>
  <c r="P820" i="2"/>
  <c r="C820" i="2"/>
  <c r="AB819" i="2"/>
  <c r="Y819" i="2"/>
  <c r="W819" i="2"/>
  <c r="U819" i="2"/>
  <c r="Q819" i="2"/>
  <c r="P819" i="2"/>
  <c r="C819" i="2"/>
  <c r="AB815" i="2"/>
  <c r="T815" i="2"/>
  <c r="Q815" i="2"/>
  <c r="P815" i="2"/>
  <c r="D815" i="2"/>
  <c r="AB814" i="2"/>
  <c r="T814" i="2"/>
  <c r="Q814" i="2"/>
  <c r="P814" i="2"/>
  <c r="D814" i="2"/>
  <c r="AB813" i="2"/>
  <c r="W813" i="2"/>
  <c r="Q813" i="2"/>
  <c r="P813" i="2"/>
  <c r="C813" i="2"/>
  <c r="AB812" i="2"/>
  <c r="Y812" i="2"/>
  <c r="W812" i="2"/>
  <c r="U812" i="2"/>
  <c r="Q812" i="2"/>
  <c r="P812" i="2"/>
  <c r="C812" i="2"/>
  <c r="T811" i="2"/>
  <c r="Q811" i="2"/>
  <c r="P811" i="2"/>
  <c r="D811" i="2"/>
  <c r="AB810" i="2"/>
  <c r="T810" i="2"/>
  <c r="Q810" i="2"/>
  <c r="P810" i="2"/>
  <c r="D810" i="2"/>
  <c r="AB809" i="2"/>
  <c r="W809" i="2"/>
  <c r="Q809" i="2"/>
  <c r="P809" i="2"/>
  <c r="C809" i="2"/>
  <c r="AB808" i="2"/>
  <c r="Y808" i="2"/>
  <c r="W808" i="2"/>
  <c r="U808" i="2"/>
  <c r="Q808" i="2"/>
  <c r="P808" i="2"/>
  <c r="C808" i="2"/>
  <c r="U910" i="2"/>
  <c r="U908" i="2"/>
  <c r="AB911" i="2"/>
  <c r="T911" i="2"/>
  <c r="Q911" i="2"/>
  <c r="P911" i="2"/>
  <c r="D911" i="2"/>
  <c r="AB910" i="2"/>
  <c r="W910" i="2"/>
  <c r="Q910" i="2"/>
  <c r="P910" i="2"/>
  <c r="C910" i="2"/>
  <c r="AB909" i="2"/>
  <c r="T909" i="2"/>
  <c r="Q909" i="2"/>
  <c r="P909" i="2"/>
  <c r="D909" i="2"/>
  <c r="AB908" i="2"/>
  <c r="W908" i="2"/>
  <c r="Q908" i="2"/>
  <c r="P908" i="2"/>
  <c r="C908" i="2"/>
  <c r="AB907" i="2"/>
  <c r="T907" i="2"/>
  <c r="Q907" i="2"/>
  <c r="P907" i="2"/>
  <c r="D907" i="2"/>
  <c r="AB906" i="2"/>
  <c r="W906" i="2"/>
  <c r="Q906" i="2"/>
  <c r="P906" i="2"/>
  <c r="C906" i="2"/>
  <c r="AB903" i="2"/>
  <c r="T903" i="2"/>
  <c r="Q903" i="2"/>
  <c r="P903" i="2"/>
  <c r="D903" i="2"/>
  <c r="AB902" i="2"/>
  <c r="W902" i="2"/>
  <c r="Q902" i="2"/>
  <c r="P902" i="2"/>
  <c r="C902" i="2"/>
  <c r="AB901" i="2"/>
  <c r="T901" i="2"/>
  <c r="Q901" i="2"/>
  <c r="P901" i="2"/>
  <c r="D901" i="2"/>
  <c r="AB900" i="2"/>
  <c r="W900" i="2"/>
  <c r="Q900" i="2"/>
  <c r="P900" i="2"/>
  <c r="C900" i="2"/>
  <c r="AB899" i="2"/>
  <c r="Y899" i="2"/>
  <c r="W899" i="2"/>
  <c r="U899" i="2"/>
  <c r="Q899" i="2"/>
  <c r="P899" i="2"/>
  <c r="C899" i="2"/>
  <c r="AB898" i="2"/>
  <c r="T898" i="2"/>
  <c r="Q898" i="2"/>
  <c r="P898" i="2"/>
  <c r="D898" i="2"/>
  <c r="AB897" i="2"/>
  <c r="T897" i="2"/>
  <c r="Q897" i="2"/>
  <c r="P897" i="2"/>
  <c r="D897" i="2"/>
  <c r="AB896" i="2"/>
  <c r="W896" i="2"/>
  <c r="Q896" i="2"/>
  <c r="P896" i="2"/>
  <c r="C896" i="2"/>
  <c r="AB895" i="2"/>
  <c r="Y895" i="2"/>
  <c r="W895" i="2"/>
  <c r="U895" i="2"/>
  <c r="Q895" i="2"/>
  <c r="P895" i="2"/>
  <c r="C895" i="2"/>
  <c r="AB894" i="2"/>
  <c r="T894" i="2"/>
  <c r="Q894" i="2"/>
  <c r="P894" i="2"/>
  <c r="D894" i="2"/>
  <c r="AB893" i="2"/>
  <c r="W893" i="2"/>
  <c r="Q893" i="2"/>
  <c r="P893" i="2"/>
  <c r="C893" i="2"/>
  <c r="AB892" i="2"/>
  <c r="Y892" i="2"/>
  <c r="W892" i="2"/>
  <c r="U892" i="2"/>
  <c r="Q892" i="2"/>
  <c r="P892" i="2"/>
  <c r="C892" i="2"/>
  <c r="AB891" i="2"/>
  <c r="T891" i="2"/>
  <c r="Q891" i="2"/>
  <c r="P891" i="2"/>
  <c r="D891" i="2"/>
  <c r="AB890" i="2"/>
  <c r="W890" i="2"/>
  <c r="Q890" i="2"/>
  <c r="P890" i="2"/>
  <c r="C890" i="2"/>
  <c r="AB889" i="2"/>
  <c r="Y889" i="2"/>
  <c r="W889" i="2"/>
  <c r="U889" i="2"/>
  <c r="Q889" i="2"/>
  <c r="P889" i="2"/>
  <c r="C889" i="2"/>
  <c r="AB885" i="2"/>
  <c r="T885" i="2"/>
  <c r="Q885" i="2"/>
  <c r="P885" i="2"/>
  <c r="D885" i="2"/>
  <c r="AB884" i="2"/>
  <c r="T884" i="2"/>
  <c r="Q884" i="2"/>
  <c r="P884" i="2"/>
  <c r="D884" i="2"/>
  <c r="AB883" i="2"/>
  <c r="W883" i="2"/>
  <c r="Q883" i="2"/>
  <c r="P883" i="2"/>
  <c r="C883" i="2"/>
  <c r="AB882" i="2"/>
  <c r="Y882" i="2"/>
  <c r="W882" i="2"/>
  <c r="U882" i="2"/>
  <c r="Q882" i="2"/>
  <c r="P882" i="2"/>
  <c r="C882" i="2"/>
  <c r="T881" i="2"/>
  <c r="Q881" i="2"/>
  <c r="P881" i="2"/>
  <c r="D881" i="2"/>
  <c r="AB880" i="2"/>
  <c r="T880" i="2"/>
  <c r="Q880" i="2"/>
  <c r="P880" i="2"/>
  <c r="D880" i="2"/>
  <c r="AB879" i="2"/>
  <c r="W879" i="2"/>
  <c r="Q879" i="2"/>
  <c r="P879" i="2"/>
  <c r="C879" i="2"/>
  <c r="AB878" i="2"/>
  <c r="Y878" i="2"/>
  <c r="W878" i="2"/>
  <c r="U878" i="2"/>
  <c r="Q878" i="2"/>
  <c r="P878" i="2"/>
  <c r="C878" i="2"/>
  <c r="U967" i="2"/>
  <c r="AB972" i="2"/>
  <c r="T972" i="2"/>
  <c r="Q972" i="2"/>
  <c r="P972" i="2"/>
  <c r="D972" i="2"/>
  <c r="AB971" i="2"/>
  <c r="W971" i="2"/>
  <c r="Q971" i="2"/>
  <c r="P971" i="2"/>
  <c r="C971" i="2"/>
  <c r="AB970" i="2"/>
  <c r="T970" i="2"/>
  <c r="Q970" i="2"/>
  <c r="P970" i="2"/>
  <c r="D970" i="2"/>
  <c r="AB969" i="2"/>
  <c r="W969" i="2"/>
  <c r="Q969" i="2"/>
  <c r="P969" i="2"/>
  <c r="C969" i="2"/>
  <c r="AB968" i="2"/>
  <c r="T968" i="2"/>
  <c r="Q968" i="2"/>
  <c r="P968" i="2"/>
  <c r="D968" i="2"/>
  <c r="AB967" i="2"/>
  <c r="W967" i="2"/>
  <c r="Q967" i="2"/>
  <c r="P967" i="2"/>
  <c r="C967" i="2"/>
  <c r="AB966" i="2"/>
  <c r="T966" i="2"/>
  <c r="Q966" i="2"/>
  <c r="P966" i="2"/>
  <c r="D966" i="2"/>
  <c r="AB965" i="2"/>
  <c r="W965" i="2"/>
  <c r="Q965" i="2"/>
  <c r="P965" i="2"/>
  <c r="C965" i="2"/>
  <c r="AB964" i="2"/>
  <c r="Y964" i="2"/>
  <c r="W964" i="2"/>
  <c r="U964" i="2"/>
  <c r="Q964" i="2"/>
  <c r="P964" i="2"/>
  <c r="C964" i="2"/>
  <c r="AB963" i="2"/>
  <c r="T963" i="2"/>
  <c r="Q963" i="2"/>
  <c r="P963" i="2"/>
  <c r="D963" i="2"/>
  <c r="AB962" i="2"/>
  <c r="T962" i="2"/>
  <c r="Q962" i="2"/>
  <c r="P962" i="2"/>
  <c r="D962" i="2"/>
  <c r="AB961" i="2"/>
  <c r="W961" i="2"/>
  <c r="Q961" i="2"/>
  <c r="P961" i="2"/>
  <c r="C961" i="2"/>
  <c r="AB960" i="2"/>
  <c r="Y960" i="2"/>
  <c r="W960" i="2"/>
  <c r="U960" i="2"/>
  <c r="Q960" i="2"/>
  <c r="P960" i="2"/>
  <c r="C960" i="2"/>
  <c r="AB959" i="2"/>
  <c r="T959" i="2"/>
  <c r="Q959" i="2"/>
  <c r="P959" i="2"/>
  <c r="D959" i="2"/>
  <c r="AB958" i="2"/>
  <c r="W958" i="2"/>
  <c r="Q958" i="2"/>
  <c r="P958" i="2"/>
  <c r="C958" i="2"/>
  <c r="AB957" i="2"/>
  <c r="Y957" i="2"/>
  <c r="W957" i="2"/>
  <c r="U957" i="2"/>
  <c r="Q957" i="2"/>
  <c r="P957" i="2"/>
  <c r="C957" i="2"/>
  <c r="AB956" i="2"/>
  <c r="T956" i="2"/>
  <c r="Q956" i="2"/>
  <c r="P956" i="2"/>
  <c r="D956" i="2"/>
  <c r="AB955" i="2"/>
  <c r="T955" i="2"/>
  <c r="Q955" i="2"/>
  <c r="P955" i="2"/>
  <c r="D955" i="2"/>
  <c r="AB954" i="2"/>
  <c r="W954" i="2"/>
  <c r="Q954" i="2"/>
  <c r="P954" i="2"/>
  <c r="C954" i="2"/>
  <c r="AB953" i="2"/>
  <c r="Y953" i="2"/>
  <c r="W953" i="2"/>
  <c r="U953" i="2"/>
  <c r="Q953" i="2"/>
  <c r="P953" i="2"/>
  <c r="C953" i="2"/>
  <c r="T952" i="2"/>
  <c r="Q952" i="2"/>
  <c r="P952" i="2"/>
  <c r="D952" i="2"/>
  <c r="AB951" i="2"/>
  <c r="T951" i="2"/>
  <c r="Q951" i="2"/>
  <c r="P951" i="2"/>
  <c r="D951" i="2"/>
  <c r="AB950" i="2"/>
  <c r="W950" i="2"/>
  <c r="Q950" i="2"/>
  <c r="P950" i="2"/>
  <c r="C950" i="2"/>
  <c r="AB949" i="2"/>
  <c r="Y949" i="2"/>
  <c r="W949" i="2"/>
  <c r="U949" i="2"/>
  <c r="Q949" i="2"/>
  <c r="P949" i="2"/>
  <c r="C949" i="2"/>
  <c r="U938" i="2"/>
  <c r="C170" i="72"/>
  <c r="C169" i="72"/>
  <c r="AB1725" i="2"/>
  <c r="T1725" i="2"/>
  <c r="Q1725" i="2"/>
  <c r="P1725" i="2"/>
  <c r="D1725" i="2"/>
  <c r="AB1724" i="2"/>
  <c r="W1724" i="2"/>
  <c r="Q1724" i="2"/>
  <c r="P1724" i="2"/>
  <c r="C1724" i="2"/>
  <c r="AB1723" i="2"/>
  <c r="T1723" i="2"/>
  <c r="Q1723" i="2"/>
  <c r="P1723" i="2"/>
  <c r="D1723" i="2"/>
  <c r="AB1722" i="2"/>
  <c r="W1722" i="2"/>
  <c r="Q1722" i="2"/>
  <c r="P1722" i="2"/>
  <c r="C1722" i="2"/>
  <c r="AB1721" i="2"/>
  <c r="Y1721" i="2"/>
  <c r="D173" i="72" s="1"/>
  <c r="W1721" i="2"/>
  <c r="U1721" i="2"/>
  <c r="C173" i="72" s="1"/>
  <c r="Q1721" i="2"/>
  <c r="P1721" i="2"/>
  <c r="C1721" i="2"/>
  <c r="AB1720" i="2"/>
  <c r="T1720" i="2"/>
  <c r="Q1720" i="2"/>
  <c r="P1720" i="2"/>
  <c r="D1720" i="2"/>
  <c r="AB1719" i="2"/>
  <c r="T1719" i="2"/>
  <c r="Q1719" i="2"/>
  <c r="P1719" i="2"/>
  <c r="D1719" i="2"/>
  <c r="AB1718" i="2"/>
  <c r="T1718" i="2"/>
  <c r="Q1718" i="2"/>
  <c r="P1718" i="2"/>
  <c r="D1718" i="2"/>
  <c r="AB1717" i="2"/>
  <c r="W1717" i="2"/>
  <c r="Q1717" i="2"/>
  <c r="P1717" i="2"/>
  <c r="C1717" i="2"/>
  <c r="AB1716" i="2"/>
  <c r="Y1716" i="2"/>
  <c r="D171" i="72" s="1"/>
  <c r="W1716" i="2"/>
  <c r="U1716" i="2"/>
  <c r="C171" i="72" s="1"/>
  <c r="Q1716" i="2"/>
  <c r="P1716" i="2"/>
  <c r="C1716" i="2"/>
  <c r="AB1715" i="2"/>
  <c r="T1715" i="2"/>
  <c r="Q1715" i="2"/>
  <c r="P1715" i="2"/>
  <c r="D1715" i="2"/>
  <c r="AB1714" i="2"/>
  <c r="W1714" i="2"/>
  <c r="Q1714" i="2"/>
  <c r="P1714" i="2"/>
  <c r="C1714" i="2"/>
  <c r="AB1712" i="2"/>
  <c r="T1712" i="2"/>
  <c r="Q1712" i="2"/>
  <c r="P1712" i="2"/>
  <c r="D1712" i="2"/>
  <c r="AB1711" i="2"/>
  <c r="W1711" i="2"/>
  <c r="Q1711" i="2"/>
  <c r="P1711" i="2"/>
  <c r="C1711" i="2"/>
  <c r="AB1710" i="2"/>
  <c r="Y1710" i="2"/>
  <c r="D168" i="72" s="1"/>
  <c r="W1710" i="2"/>
  <c r="U1710" i="2"/>
  <c r="C168" i="72" s="1"/>
  <c r="Q1710" i="2"/>
  <c r="P1710" i="2"/>
  <c r="C1710" i="2"/>
  <c r="AB1475" i="2"/>
  <c r="T1475" i="2"/>
  <c r="Q1475" i="2"/>
  <c r="P1475" i="2"/>
  <c r="D1475" i="2"/>
  <c r="AB1474" i="2"/>
  <c r="T1474" i="2"/>
  <c r="Q1474" i="2"/>
  <c r="P1474" i="2"/>
  <c r="D1474" i="2"/>
  <c r="AB1521" i="2"/>
  <c r="T1521" i="2"/>
  <c r="Q1521" i="2"/>
  <c r="P1521" i="2"/>
  <c r="D1521" i="2"/>
  <c r="AB1520" i="2"/>
  <c r="T1520" i="2"/>
  <c r="Q1520" i="2"/>
  <c r="P1520" i="2"/>
  <c r="D1520" i="2"/>
  <c r="AB1527" i="2"/>
  <c r="T1527" i="2"/>
  <c r="Q1527" i="2"/>
  <c r="P1527" i="2"/>
  <c r="D1527" i="2"/>
  <c r="AB1526" i="2"/>
  <c r="T1526" i="2"/>
  <c r="Q1526" i="2"/>
  <c r="P1526" i="2"/>
  <c r="D1526" i="2"/>
  <c r="AB1595" i="2"/>
  <c r="T1595" i="2"/>
  <c r="Q1595" i="2"/>
  <c r="P1595" i="2"/>
  <c r="D1595" i="2"/>
  <c r="AB1594" i="2"/>
  <c r="T1594" i="2"/>
  <c r="Q1594" i="2"/>
  <c r="P1594" i="2"/>
  <c r="D1594" i="2"/>
  <c r="AB1601" i="2"/>
  <c r="T1601" i="2"/>
  <c r="Q1601" i="2"/>
  <c r="P1601" i="2"/>
  <c r="D1601" i="2"/>
  <c r="AB1600" i="2"/>
  <c r="T1600" i="2"/>
  <c r="Q1600" i="2"/>
  <c r="P1600" i="2"/>
  <c r="D1600" i="2"/>
  <c r="AB1655" i="2"/>
  <c r="T1655" i="2"/>
  <c r="Q1655" i="2"/>
  <c r="P1655" i="2"/>
  <c r="D1655" i="2"/>
  <c r="T1661" i="2"/>
  <c r="AB1661" i="2"/>
  <c r="Q1661" i="2"/>
  <c r="P1661" i="2"/>
  <c r="D1661" i="2"/>
  <c r="AB1668" i="2"/>
  <c r="T1668" i="2"/>
  <c r="Q1668" i="2"/>
  <c r="P1668" i="2"/>
  <c r="D1668" i="2"/>
  <c r="AB1667" i="2"/>
  <c r="T1667" i="2"/>
  <c r="Q1667" i="2"/>
  <c r="P1667" i="2"/>
  <c r="D1667" i="2"/>
  <c r="AB1666" i="2"/>
  <c r="T1666" i="2"/>
  <c r="Q1666" i="2"/>
  <c r="P1666" i="2"/>
  <c r="D1666" i="2"/>
  <c r="AB1665" i="2"/>
  <c r="T1665" i="2"/>
  <c r="Q1665" i="2"/>
  <c r="P1665" i="2"/>
  <c r="D1665" i="2"/>
  <c r="AB1664" i="2"/>
  <c r="W1664" i="2"/>
  <c r="Q1664" i="2"/>
  <c r="P1664" i="2"/>
  <c r="C1664" i="2"/>
  <c r="U1699" i="2"/>
  <c r="C162" i="72" s="1"/>
  <c r="AB1708" i="2"/>
  <c r="T1708" i="2"/>
  <c r="Q1708" i="2"/>
  <c r="P1708" i="2"/>
  <c r="D1708" i="2"/>
  <c r="AB1707" i="2"/>
  <c r="W1707" i="2"/>
  <c r="Q1707" i="2"/>
  <c r="P1707" i="2"/>
  <c r="C1707" i="2"/>
  <c r="AB1706" i="2"/>
  <c r="T1706" i="2"/>
  <c r="Q1706" i="2"/>
  <c r="P1706" i="2"/>
  <c r="D1706" i="2"/>
  <c r="AB1705" i="2"/>
  <c r="W1705" i="2"/>
  <c r="Q1705" i="2"/>
  <c r="P1705" i="2"/>
  <c r="C1705" i="2"/>
  <c r="AB1698" i="2"/>
  <c r="T1698" i="2"/>
  <c r="Q1698" i="2"/>
  <c r="P1698" i="2"/>
  <c r="D1698" i="2"/>
  <c r="AB1697" i="2"/>
  <c r="W1697" i="2"/>
  <c r="Q1697" i="2"/>
  <c r="P1697" i="2"/>
  <c r="C1697" i="2"/>
  <c r="AB1696" i="2"/>
  <c r="Y1696" i="2"/>
  <c r="D160" i="72" s="1"/>
  <c r="W1696" i="2"/>
  <c r="U1696" i="2"/>
  <c r="C160" i="72" s="1"/>
  <c r="Q1696" i="2"/>
  <c r="P1696" i="2"/>
  <c r="C1696" i="2"/>
  <c r="AB1695" i="2"/>
  <c r="T1695" i="2"/>
  <c r="Q1695" i="2"/>
  <c r="P1695" i="2"/>
  <c r="D1695" i="2"/>
  <c r="AB1694" i="2"/>
  <c r="T1694" i="2"/>
  <c r="Q1694" i="2"/>
  <c r="P1694" i="2"/>
  <c r="D1694" i="2"/>
  <c r="AB1693" i="2"/>
  <c r="T1693" i="2"/>
  <c r="Q1693" i="2"/>
  <c r="P1693" i="2"/>
  <c r="D1693" i="2"/>
  <c r="AB1692" i="2"/>
  <c r="W1692" i="2"/>
  <c r="Q1692" i="2"/>
  <c r="P1692" i="2"/>
  <c r="C1692" i="2"/>
  <c r="AB1691" i="2"/>
  <c r="Y1691" i="2"/>
  <c r="D158" i="72" s="1"/>
  <c r="W1691" i="2"/>
  <c r="U1691" i="2"/>
  <c r="C158" i="72" s="1"/>
  <c r="Q1691" i="2"/>
  <c r="P1691" i="2"/>
  <c r="C1691" i="2"/>
  <c r="AB1690" i="2"/>
  <c r="T1690" i="2"/>
  <c r="Q1690" i="2"/>
  <c r="P1690" i="2"/>
  <c r="D1690" i="2"/>
  <c r="AB1689" i="2"/>
  <c r="T1689" i="2"/>
  <c r="Q1689" i="2"/>
  <c r="P1689" i="2"/>
  <c r="D1689" i="2"/>
  <c r="AB1688" i="2"/>
  <c r="T1688" i="2"/>
  <c r="Q1688" i="2"/>
  <c r="P1688" i="2"/>
  <c r="D1688" i="2"/>
  <c r="AB1687" i="2"/>
  <c r="W1687" i="2"/>
  <c r="Q1687" i="2"/>
  <c r="P1687" i="2"/>
  <c r="C1687" i="2"/>
  <c r="AB1669" i="2"/>
  <c r="Y1669" i="2"/>
  <c r="D153" i="72" s="1"/>
  <c r="W1669" i="2"/>
  <c r="U1669" i="2"/>
  <c r="C153" i="72" s="1"/>
  <c r="Q1669" i="2"/>
  <c r="P1669" i="2"/>
  <c r="C1669" i="2"/>
  <c r="T1663" i="2"/>
  <c r="Q1663" i="2"/>
  <c r="P1663" i="2"/>
  <c r="D1663" i="2"/>
  <c r="AB1662" i="2"/>
  <c r="T1662" i="2"/>
  <c r="Q1662" i="2"/>
  <c r="P1662" i="2"/>
  <c r="D1662" i="2"/>
  <c r="AB1660" i="2"/>
  <c r="T1660" i="2"/>
  <c r="Q1660" i="2"/>
  <c r="P1660" i="2"/>
  <c r="D1660" i="2"/>
  <c r="AB1659" i="2"/>
  <c r="T1659" i="2"/>
  <c r="Q1659" i="2"/>
  <c r="P1659" i="2"/>
  <c r="D1659" i="2"/>
  <c r="AB1658" i="2"/>
  <c r="W1658" i="2"/>
  <c r="Q1658" i="2"/>
  <c r="P1658" i="2"/>
  <c r="C1658" i="2"/>
  <c r="T1657" i="2"/>
  <c r="Q1657" i="2"/>
  <c r="P1657" i="2"/>
  <c r="D1657" i="2"/>
  <c r="AB1656" i="2"/>
  <c r="T1656" i="2"/>
  <c r="Q1656" i="2"/>
  <c r="P1656" i="2"/>
  <c r="D1656" i="2"/>
  <c r="AB1654" i="2"/>
  <c r="T1654" i="2"/>
  <c r="Q1654" i="2"/>
  <c r="P1654" i="2"/>
  <c r="D1654" i="2"/>
  <c r="AB1653" i="2"/>
  <c r="T1653" i="2"/>
  <c r="Q1653" i="2"/>
  <c r="P1653" i="2"/>
  <c r="D1653" i="2"/>
  <c r="AB1652" i="2"/>
  <c r="W1652" i="2"/>
  <c r="Q1652" i="2"/>
  <c r="P1652" i="2"/>
  <c r="C1652" i="2"/>
  <c r="T1651" i="2"/>
  <c r="Q1651" i="2"/>
  <c r="P1651" i="2"/>
  <c r="D1651" i="2"/>
  <c r="AB1650" i="2"/>
  <c r="T1650" i="2"/>
  <c r="Q1650" i="2"/>
  <c r="P1650" i="2"/>
  <c r="D1650" i="2"/>
  <c r="AB1649" i="2"/>
  <c r="T1649" i="2"/>
  <c r="Q1649" i="2"/>
  <c r="P1649" i="2"/>
  <c r="D1649" i="2"/>
  <c r="AB1648" i="2"/>
  <c r="T1648" i="2"/>
  <c r="Q1648" i="2"/>
  <c r="P1648" i="2"/>
  <c r="D1648" i="2"/>
  <c r="AB1647" i="2"/>
  <c r="W1647" i="2"/>
  <c r="Q1647" i="2"/>
  <c r="P1647" i="2"/>
  <c r="C1647" i="2"/>
  <c r="AB1646" i="2"/>
  <c r="Y1646" i="2"/>
  <c r="D148" i="72" s="1"/>
  <c r="W1646" i="2"/>
  <c r="U1646" i="2"/>
  <c r="C148" i="72" s="1"/>
  <c r="Q1646" i="2"/>
  <c r="P1646" i="2"/>
  <c r="C1646" i="2"/>
  <c r="AB1644" i="2"/>
  <c r="T1644" i="2"/>
  <c r="Q1644" i="2"/>
  <c r="P1644" i="2"/>
  <c r="D1644" i="2"/>
  <c r="AB1643" i="2"/>
  <c r="W1643" i="2"/>
  <c r="Q1643" i="2"/>
  <c r="P1643" i="2"/>
  <c r="C1643" i="2"/>
  <c r="AB1642" i="2"/>
  <c r="Y1642" i="2"/>
  <c r="D146" i="72" s="1"/>
  <c r="W1642" i="2"/>
  <c r="U1642" i="2"/>
  <c r="C146" i="72" s="1"/>
  <c r="Q1642" i="2"/>
  <c r="P1642" i="2"/>
  <c r="C1642" i="2"/>
  <c r="C137" i="72"/>
  <c r="C130" i="72"/>
  <c r="C135" i="72"/>
  <c r="C134" i="72"/>
  <c r="U1631" i="2"/>
  <c r="C140" i="72" s="1"/>
  <c r="AB1640" i="2"/>
  <c r="T1640" i="2"/>
  <c r="Q1640" i="2"/>
  <c r="P1640" i="2"/>
  <c r="D1640" i="2"/>
  <c r="AB1639" i="2"/>
  <c r="W1639" i="2"/>
  <c r="Q1639" i="2"/>
  <c r="P1639" i="2"/>
  <c r="C1639" i="2"/>
  <c r="AB1638" i="2"/>
  <c r="T1638" i="2"/>
  <c r="Q1638" i="2"/>
  <c r="P1638" i="2"/>
  <c r="D1638" i="2"/>
  <c r="AB1637" i="2"/>
  <c r="W1637" i="2"/>
  <c r="Q1637" i="2"/>
  <c r="P1637" i="2"/>
  <c r="C1637" i="2"/>
  <c r="AB1630" i="2"/>
  <c r="T1630" i="2"/>
  <c r="Q1630" i="2"/>
  <c r="P1630" i="2"/>
  <c r="D1630" i="2"/>
  <c r="AB1629" i="2"/>
  <c r="W1629" i="2"/>
  <c r="Q1629" i="2"/>
  <c r="P1629" i="2"/>
  <c r="C1629" i="2"/>
  <c r="AB1628" i="2"/>
  <c r="Y1628" i="2"/>
  <c r="D138" i="72" s="1"/>
  <c r="W1628" i="2"/>
  <c r="U1628" i="2"/>
  <c r="C138" i="72" s="1"/>
  <c r="Q1628" i="2"/>
  <c r="P1628" i="2"/>
  <c r="C1628" i="2"/>
  <c r="AB1627" i="2"/>
  <c r="T1627" i="2"/>
  <c r="Q1627" i="2"/>
  <c r="P1627" i="2"/>
  <c r="D1627" i="2"/>
  <c r="AB1626" i="2"/>
  <c r="T1626" i="2"/>
  <c r="Q1626" i="2"/>
  <c r="P1626" i="2"/>
  <c r="D1626" i="2"/>
  <c r="AB1625" i="2"/>
  <c r="T1625" i="2"/>
  <c r="Q1625" i="2"/>
  <c r="P1625" i="2"/>
  <c r="D1625" i="2"/>
  <c r="AB1624" i="2"/>
  <c r="W1624" i="2"/>
  <c r="Q1624" i="2"/>
  <c r="P1624" i="2"/>
  <c r="C1624" i="2"/>
  <c r="AB1623" i="2"/>
  <c r="Y1623" i="2"/>
  <c r="D136" i="72" s="1"/>
  <c r="W1623" i="2"/>
  <c r="U1623" i="2"/>
  <c r="C136" i="72" s="1"/>
  <c r="Q1623" i="2"/>
  <c r="P1623" i="2"/>
  <c r="C1623" i="2"/>
  <c r="AB1622" i="2"/>
  <c r="T1622" i="2"/>
  <c r="Q1622" i="2"/>
  <c r="P1622" i="2"/>
  <c r="D1622" i="2"/>
  <c r="AB1621" i="2"/>
  <c r="T1621" i="2"/>
  <c r="Q1621" i="2"/>
  <c r="P1621" i="2"/>
  <c r="D1621" i="2"/>
  <c r="AB1620" i="2"/>
  <c r="T1620" i="2"/>
  <c r="Q1620" i="2"/>
  <c r="P1620" i="2"/>
  <c r="D1620" i="2"/>
  <c r="AB1619" i="2"/>
  <c r="W1619" i="2"/>
  <c r="Q1619" i="2"/>
  <c r="P1619" i="2"/>
  <c r="C1619" i="2"/>
  <c r="AB1618" i="2"/>
  <c r="T1618" i="2"/>
  <c r="Q1618" i="2"/>
  <c r="P1618" i="2"/>
  <c r="D1618" i="2"/>
  <c r="AB1617" i="2"/>
  <c r="T1617" i="2"/>
  <c r="Q1617" i="2"/>
  <c r="P1617" i="2"/>
  <c r="D1617" i="2"/>
  <c r="AB1616" i="2"/>
  <c r="T1616" i="2"/>
  <c r="Q1616" i="2"/>
  <c r="P1616" i="2"/>
  <c r="D1616" i="2"/>
  <c r="AB1615" i="2"/>
  <c r="W1615" i="2"/>
  <c r="Q1615" i="2"/>
  <c r="P1615" i="2"/>
  <c r="C1615" i="2"/>
  <c r="AB1603" i="2"/>
  <c r="Y1603" i="2"/>
  <c r="D131" i="72" s="1"/>
  <c r="W1603" i="2"/>
  <c r="U1603" i="2"/>
  <c r="C131" i="72" s="1"/>
  <c r="Q1603" i="2"/>
  <c r="P1603" i="2"/>
  <c r="C1603" i="2"/>
  <c r="T1602" i="2"/>
  <c r="Q1602" i="2"/>
  <c r="P1602" i="2"/>
  <c r="D1602" i="2"/>
  <c r="AB1599" i="2"/>
  <c r="T1599" i="2"/>
  <c r="Q1599" i="2"/>
  <c r="P1599" i="2"/>
  <c r="D1599" i="2"/>
  <c r="AB1598" i="2"/>
  <c r="T1598" i="2"/>
  <c r="Q1598" i="2"/>
  <c r="P1598" i="2"/>
  <c r="D1598" i="2"/>
  <c r="AB1597" i="2"/>
  <c r="W1597" i="2"/>
  <c r="Q1597" i="2"/>
  <c r="P1597" i="2"/>
  <c r="C1597" i="2"/>
  <c r="T1596" i="2"/>
  <c r="Q1596" i="2"/>
  <c r="P1596" i="2"/>
  <c r="D1596" i="2"/>
  <c r="AB1593" i="2"/>
  <c r="T1593" i="2"/>
  <c r="Q1593" i="2"/>
  <c r="P1593" i="2"/>
  <c r="D1593" i="2"/>
  <c r="AB1592" i="2"/>
  <c r="T1592" i="2"/>
  <c r="Q1592" i="2"/>
  <c r="P1592" i="2"/>
  <c r="D1592" i="2"/>
  <c r="AB1591" i="2"/>
  <c r="W1591" i="2"/>
  <c r="Q1591" i="2"/>
  <c r="P1591" i="2"/>
  <c r="C1591" i="2"/>
  <c r="T1590" i="2"/>
  <c r="Q1590" i="2"/>
  <c r="P1590" i="2"/>
  <c r="D1590" i="2"/>
  <c r="AB1589" i="2"/>
  <c r="T1589" i="2"/>
  <c r="Q1589" i="2"/>
  <c r="P1589" i="2"/>
  <c r="D1589" i="2"/>
  <c r="AB1588" i="2"/>
  <c r="T1588" i="2"/>
  <c r="Q1588" i="2"/>
  <c r="P1588" i="2"/>
  <c r="D1588" i="2"/>
  <c r="AB1587" i="2"/>
  <c r="T1587" i="2"/>
  <c r="Q1587" i="2"/>
  <c r="P1587" i="2"/>
  <c r="D1587" i="2"/>
  <c r="AB1586" i="2"/>
  <c r="W1586" i="2"/>
  <c r="Q1586" i="2"/>
  <c r="P1586" i="2"/>
  <c r="C1586" i="2"/>
  <c r="AB1585" i="2"/>
  <c r="Y1585" i="2"/>
  <c r="D127" i="72" s="1"/>
  <c r="W1585" i="2"/>
  <c r="U1585" i="2"/>
  <c r="C127" i="72" s="1"/>
  <c r="Q1585" i="2"/>
  <c r="P1585" i="2"/>
  <c r="C1585" i="2"/>
  <c r="AB1583" i="2"/>
  <c r="T1583" i="2"/>
  <c r="Q1583" i="2"/>
  <c r="P1583" i="2"/>
  <c r="D1583" i="2"/>
  <c r="AB1582" i="2"/>
  <c r="W1582" i="2"/>
  <c r="Q1582" i="2"/>
  <c r="P1582" i="2"/>
  <c r="C1582" i="2"/>
  <c r="AB1581" i="2"/>
  <c r="Y1581" i="2"/>
  <c r="D125" i="72" s="1"/>
  <c r="W1581" i="2"/>
  <c r="U1581" i="2"/>
  <c r="C125" i="72" s="1"/>
  <c r="Q1581" i="2"/>
  <c r="P1581" i="2"/>
  <c r="C1581" i="2"/>
  <c r="C337" i="61"/>
  <c r="U1568" i="2"/>
  <c r="C118" i="72" s="1"/>
  <c r="U832" i="2" l="1"/>
  <c r="U809" i="2"/>
  <c r="U830" i="2" s="1"/>
  <c r="U1629" i="2"/>
  <c r="C126" i="72"/>
  <c r="U1697" i="2"/>
  <c r="C147" i="72"/>
  <c r="U1707" i="2"/>
  <c r="C166" i="72" s="1"/>
  <c r="C159" i="72"/>
  <c r="U1705" i="2"/>
  <c r="C165" i="72" s="1"/>
  <c r="C157" i="72"/>
  <c r="U1724" i="2"/>
  <c r="C175" i="72" s="1"/>
  <c r="C172" i="72"/>
  <c r="U902" i="2"/>
  <c r="U879" i="2"/>
  <c r="U900" i="2" s="1"/>
  <c r="U896" i="2"/>
  <c r="U906" i="2" s="1"/>
  <c r="U861" i="2"/>
  <c r="U871" i="2" s="1"/>
  <c r="U844" i="2"/>
  <c r="U826" i="2"/>
  <c r="U836" i="2" s="1"/>
  <c r="W1622" i="2"/>
  <c r="Y1622" i="2" s="1"/>
  <c r="W1559" i="2"/>
  <c r="Y1559" i="2" s="1"/>
  <c r="U1701" i="2"/>
  <c r="C163" i="72" s="1"/>
  <c r="U1570" i="2"/>
  <c r="C119" i="72" s="1"/>
  <c r="U1633" i="2"/>
  <c r="C141" i="72" s="1"/>
  <c r="U873" i="2"/>
  <c r="U867" i="2"/>
  <c r="U961" i="2"/>
  <c r="U969" i="2" s="1"/>
  <c r="U950" i="2"/>
  <c r="U965" i="2" s="1"/>
  <c r="U971" i="2"/>
  <c r="U1722" i="2"/>
  <c r="U1639" i="2"/>
  <c r="C144" i="72" s="1"/>
  <c r="U1637" i="2"/>
  <c r="C143" i="72" s="1"/>
  <c r="C174" i="72" l="1"/>
  <c r="B60" i="68"/>
  <c r="C161" i="72"/>
  <c r="B59" i="68"/>
  <c r="C139" i="72"/>
  <c r="B58" i="68"/>
  <c r="B72" i="68"/>
  <c r="B71" i="68"/>
  <c r="B73" i="68"/>
  <c r="U865" i="2"/>
  <c r="C84" i="72" l="1"/>
  <c r="C113" i="72"/>
  <c r="C112" i="72"/>
  <c r="AB1555" i="2"/>
  <c r="T1555" i="2"/>
  <c r="Q1555" i="2"/>
  <c r="P1555" i="2"/>
  <c r="D1555" i="2"/>
  <c r="AB1554" i="2"/>
  <c r="T1554" i="2"/>
  <c r="Q1554" i="2"/>
  <c r="P1554" i="2"/>
  <c r="D1554" i="2"/>
  <c r="AB1553" i="2"/>
  <c r="T1553" i="2"/>
  <c r="Q1553" i="2"/>
  <c r="P1553" i="2"/>
  <c r="D1553" i="2"/>
  <c r="AB1552" i="2"/>
  <c r="W1552" i="2"/>
  <c r="Q1552" i="2"/>
  <c r="P1552" i="2"/>
  <c r="C1552" i="2"/>
  <c r="C115" i="72"/>
  <c r="T1528" i="2"/>
  <c r="Q1528" i="2"/>
  <c r="P1528" i="2"/>
  <c r="D1528" i="2"/>
  <c r="AB1525" i="2"/>
  <c r="T1525" i="2"/>
  <c r="Q1525" i="2"/>
  <c r="P1525" i="2"/>
  <c r="D1525" i="2"/>
  <c r="AB1524" i="2"/>
  <c r="T1524" i="2"/>
  <c r="Q1524" i="2"/>
  <c r="P1524" i="2"/>
  <c r="D1524" i="2"/>
  <c r="AB1523" i="2"/>
  <c r="W1523" i="2"/>
  <c r="Q1523" i="2"/>
  <c r="P1523" i="2"/>
  <c r="C1523" i="2"/>
  <c r="AB1577" i="2"/>
  <c r="T1577" i="2"/>
  <c r="Q1577" i="2"/>
  <c r="P1577" i="2"/>
  <c r="D1577" i="2"/>
  <c r="AB1576" i="2"/>
  <c r="W1576" i="2"/>
  <c r="Q1576" i="2"/>
  <c r="P1576" i="2"/>
  <c r="C1576" i="2"/>
  <c r="AB1573" i="2"/>
  <c r="T1573" i="2"/>
  <c r="Q1573" i="2"/>
  <c r="P1573" i="2"/>
  <c r="D1573" i="2"/>
  <c r="AB1572" i="2"/>
  <c r="W1572" i="2"/>
  <c r="Q1572" i="2"/>
  <c r="P1572" i="2"/>
  <c r="C1572" i="2"/>
  <c r="AB1567" i="2"/>
  <c r="T1567" i="2"/>
  <c r="Q1567" i="2"/>
  <c r="P1567" i="2"/>
  <c r="D1567" i="2"/>
  <c r="AB1566" i="2"/>
  <c r="W1566" i="2"/>
  <c r="Q1566" i="2"/>
  <c r="P1566" i="2"/>
  <c r="C1566" i="2"/>
  <c r="AB1565" i="2"/>
  <c r="Y1565" i="2"/>
  <c r="D116" i="72" s="1"/>
  <c r="W1565" i="2"/>
  <c r="U1565" i="2"/>
  <c r="C116" i="72" s="1"/>
  <c r="Q1565" i="2"/>
  <c r="P1565" i="2"/>
  <c r="C1565" i="2"/>
  <c r="AB1564" i="2"/>
  <c r="T1564" i="2"/>
  <c r="Q1564" i="2"/>
  <c r="P1564" i="2"/>
  <c r="D1564" i="2"/>
  <c r="AB1563" i="2"/>
  <c r="T1563" i="2"/>
  <c r="Q1563" i="2"/>
  <c r="P1563" i="2"/>
  <c r="D1563" i="2"/>
  <c r="AB1562" i="2"/>
  <c r="T1562" i="2"/>
  <c r="Q1562" i="2"/>
  <c r="P1562" i="2"/>
  <c r="D1562" i="2"/>
  <c r="AB1561" i="2"/>
  <c r="W1561" i="2"/>
  <c r="Q1561" i="2"/>
  <c r="P1561" i="2"/>
  <c r="C1561" i="2"/>
  <c r="AB1560" i="2"/>
  <c r="Y1560" i="2"/>
  <c r="D114" i="72" s="1"/>
  <c r="W1560" i="2"/>
  <c r="U1560" i="2"/>
  <c r="C114" i="72" s="1"/>
  <c r="Q1560" i="2"/>
  <c r="P1560" i="2"/>
  <c r="C1560" i="2"/>
  <c r="AB1559" i="2"/>
  <c r="T1559" i="2"/>
  <c r="Q1559" i="2"/>
  <c r="P1559" i="2"/>
  <c r="D1559" i="2"/>
  <c r="AB1558" i="2"/>
  <c r="T1558" i="2"/>
  <c r="Q1558" i="2"/>
  <c r="P1558" i="2"/>
  <c r="D1558" i="2"/>
  <c r="AB1557" i="2"/>
  <c r="T1557" i="2"/>
  <c r="Q1557" i="2"/>
  <c r="P1557" i="2"/>
  <c r="D1557" i="2"/>
  <c r="AB1556" i="2"/>
  <c r="W1556" i="2"/>
  <c r="Q1556" i="2"/>
  <c r="P1556" i="2"/>
  <c r="C1556" i="2"/>
  <c r="AB1529" i="2"/>
  <c r="Y1529" i="2"/>
  <c r="D107" i="72" s="1"/>
  <c r="W1529" i="2"/>
  <c r="U1529" i="2"/>
  <c r="C107" i="72" s="1"/>
  <c r="Q1529" i="2"/>
  <c r="P1529" i="2"/>
  <c r="C1529" i="2"/>
  <c r="T1522" i="2"/>
  <c r="Q1522" i="2"/>
  <c r="P1522" i="2"/>
  <c r="D1522" i="2"/>
  <c r="AB1519" i="2"/>
  <c r="T1519" i="2"/>
  <c r="Q1519" i="2"/>
  <c r="P1519" i="2"/>
  <c r="D1519" i="2"/>
  <c r="AB1518" i="2"/>
  <c r="T1518" i="2"/>
  <c r="Q1518" i="2"/>
  <c r="P1518" i="2"/>
  <c r="D1518" i="2"/>
  <c r="AB1517" i="2"/>
  <c r="W1517" i="2"/>
  <c r="Q1517" i="2"/>
  <c r="P1517" i="2"/>
  <c r="C1517" i="2"/>
  <c r="T1516" i="2"/>
  <c r="Q1516" i="2"/>
  <c r="P1516" i="2"/>
  <c r="D1516" i="2"/>
  <c r="AB1515" i="2"/>
  <c r="T1515" i="2"/>
  <c r="Q1515" i="2"/>
  <c r="P1515" i="2"/>
  <c r="D1515" i="2"/>
  <c r="AB1514" i="2"/>
  <c r="T1514" i="2"/>
  <c r="Q1514" i="2"/>
  <c r="P1514" i="2"/>
  <c r="D1514" i="2"/>
  <c r="AB1513" i="2"/>
  <c r="T1513" i="2"/>
  <c r="Q1513" i="2"/>
  <c r="P1513" i="2"/>
  <c r="D1513" i="2"/>
  <c r="AB1512" i="2"/>
  <c r="W1512" i="2"/>
  <c r="Q1512" i="2"/>
  <c r="P1512" i="2"/>
  <c r="C1512" i="2"/>
  <c r="AB1511" i="2"/>
  <c r="Y1511" i="2"/>
  <c r="D103" i="72" s="1"/>
  <c r="W1511" i="2"/>
  <c r="U1511" i="2"/>
  <c r="C103" i="72" s="1"/>
  <c r="Q1511" i="2"/>
  <c r="P1511" i="2"/>
  <c r="C1511" i="2"/>
  <c r="AB1509" i="2"/>
  <c r="T1509" i="2"/>
  <c r="Q1509" i="2"/>
  <c r="P1509" i="2"/>
  <c r="D1509" i="2"/>
  <c r="AB1508" i="2"/>
  <c r="W1508" i="2"/>
  <c r="Q1508" i="2"/>
  <c r="P1508" i="2"/>
  <c r="C1508" i="2"/>
  <c r="AB1507" i="2"/>
  <c r="Y1507" i="2"/>
  <c r="D101" i="72" s="1"/>
  <c r="W1507" i="2"/>
  <c r="U1507" i="2"/>
  <c r="C101" i="72" s="1"/>
  <c r="Q1507" i="2"/>
  <c r="P1507" i="2"/>
  <c r="C1507" i="2"/>
  <c r="T1470" i="2"/>
  <c r="Q1470" i="2"/>
  <c r="P1470" i="2"/>
  <c r="D1470" i="2"/>
  <c r="AB1469" i="2"/>
  <c r="T1469" i="2"/>
  <c r="Q1469" i="2"/>
  <c r="P1469" i="2"/>
  <c r="D1469" i="2"/>
  <c r="AB1468" i="2"/>
  <c r="T1468" i="2"/>
  <c r="Q1468" i="2"/>
  <c r="P1468" i="2"/>
  <c r="D1468" i="2"/>
  <c r="AB1467" i="2"/>
  <c r="T1467" i="2"/>
  <c r="Q1467" i="2"/>
  <c r="P1467" i="2"/>
  <c r="D1467" i="2"/>
  <c r="AB1466" i="2"/>
  <c r="W1466" i="2"/>
  <c r="Q1466" i="2"/>
  <c r="P1466" i="2"/>
  <c r="C1466" i="2"/>
  <c r="U1494" i="2"/>
  <c r="U1454" i="2"/>
  <c r="AB1453" i="2"/>
  <c r="Y1453" i="2"/>
  <c r="W1453" i="2"/>
  <c r="U1453" i="2"/>
  <c r="Q1453" i="2"/>
  <c r="P1453" i="2"/>
  <c r="C1453" i="2"/>
  <c r="AB1452" i="2"/>
  <c r="T1452" i="2"/>
  <c r="Q1452" i="2"/>
  <c r="P1452" i="2"/>
  <c r="D1452" i="2"/>
  <c r="AB1451" i="2"/>
  <c r="W1451" i="2"/>
  <c r="Q1451" i="2"/>
  <c r="P1451" i="2"/>
  <c r="C1451" i="2"/>
  <c r="AB1450" i="2"/>
  <c r="Q1450" i="2"/>
  <c r="P1450" i="2"/>
  <c r="D1450" i="2"/>
  <c r="AB1449" i="2"/>
  <c r="W1449" i="2"/>
  <c r="Q1449" i="2"/>
  <c r="P1449" i="2"/>
  <c r="C1449" i="2"/>
  <c r="AB1448" i="2"/>
  <c r="Y1448" i="2"/>
  <c r="W1448" i="2"/>
  <c r="U1448" i="2"/>
  <c r="Q1448" i="2"/>
  <c r="P1448" i="2"/>
  <c r="C1448" i="2"/>
  <c r="U1445" i="2"/>
  <c r="AB1444" i="2"/>
  <c r="Y1444" i="2"/>
  <c r="W1444" i="2"/>
  <c r="U1444" i="2"/>
  <c r="Q1444" i="2"/>
  <c r="P1444" i="2"/>
  <c r="C1444" i="2"/>
  <c r="AB1435" i="2"/>
  <c r="Y1435" i="2"/>
  <c r="W1435" i="2"/>
  <c r="U1435" i="2"/>
  <c r="Q1435" i="2"/>
  <c r="P1435" i="2"/>
  <c r="C1435" i="2"/>
  <c r="AB1434" i="2"/>
  <c r="T1434" i="2"/>
  <c r="Q1434" i="2"/>
  <c r="P1434" i="2"/>
  <c r="D1434" i="2"/>
  <c r="AB1433" i="2"/>
  <c r="W1433" i="2"/>
  <c r="Q1433" i="2"/>
  <c r="P1433" i="2"/>
  <c r="C1433" i="2"/>
  <c r="AB1432" i="2"/>
  <c r="Q1432" i="2"/>
  <c r="P1432" i="2"/>
  <c r="D1432" i="2"/>
  <c r="AB1431" i="2"/>
  <c r="W1431" i="2"/>
  <c r="Q1431" i="2"/>
  <c r="P1431" i="2"/>
  <c r="C1431" i="2"/>
  <c r="AB1430" i="2"/>
  <c r="Y1430" i="2"/>
  <c r="W1430" i="2"/>
  <c r="U1430" i="2"/>
  <c r="Q1430" i="2"/>
  <c r="P1430" i="2"/>
  <c r="C1430" i="2"/>
  <c r="U1427" i="2"/>
  <c r="AB1426" i="2"/>
  <c r="Y1426" i="2"/>
  <c r="W1426" i="2"/>
  <c r="U1426" i="2"/>
  <c r="Q1426" i="2"/>
  <c r="P1426" i="2"/>
  <c r="C1426" i="2"/>
  <c r="AB1417" i="2"/>
  <c r="Y1417" i="2"/>
  <c r="W1417" i="2"/>
  <c r="U1417" i="2"/>
  <c r="Q1417" i="2"/>
  <c r="P1417" i="2"/>
  <c r="C1417" i="2"/>
  <c r="AB1416" i="2"/>
  <c r="T1416" i="2"/>
  <c r="Q1416" i="2"/>
  <c r="P1416" i="2"/>
  <c r="D1416" i="2"/>
  <c r="AB1415" i="2"/>
  <c r="W1415" i="2"/>
  <c r="Q1415" i="2"/>
  <c r="P1415" i="2"/>
  <c r="C1415" i="2"/>
  <c r="AB1414" i="2"/>
  <c r="Q1414" i="2"/>
  <c r="P1414" i="2"/>
  <c r="D1414" i="2"/>
  <c r="AB1413" i="2"/>
  <c r="W1413" i="2"/>
  <c r="Q1413" i="2"/>
  <c r="P1413" i="2"/>
  <c r="C1413" i="2"/>
  <c r="AB1412" i="2"/>
  <c r="Y1412" i="2"/>
  <c r="W1412" i="2"/>
  <c r="U1412" i="2"/>
  <c r="Q1412" i="2"/>
  <c r="P1412" i="2"/>
  <c r="C1412" i="2"/>
  <c r="U1409" i="2"/>
  <c r="U1407" i="2"/>
  <c r="AB1408" i="2"/>
  <c r="T1408" i="2"/>
  <c r="Q1408" i="2"/>
  <c r="P1408" i="2"/>
  <c r="D1408" i="2"/>
  <c r="AB1407" i="2"/>
  <c r="W1407" i="2"/>
  <c r="Q1407" i="2"/>
  <c r="P1407" i="2"/>
  <c r="C1407" i="2"/>
  <c r="AB1406" i="2"/>
  <c r="Y1406" i="2"/>
  <c r="W1406" i="2"/>
  <c r="U1406" i="2"/>
  <c r="Q1406" i="2"/>
  <c r="P1406" i="2"/>
  <c r="C1406" i="2"/>
  <c r="AB1398" i="2"/>
  <c r="W1398" i="2"/>
  <c r="Q1398" i="2"/>
  <c r="P1398" i="2"/>
  <c r="C1398" i="2"/>
  <c r="AB1397" i="2"/>
  <c r="Y1397" i="2"/>
  <c r="W1397" i="2"/>
  <c r="U1397" i="2"/>
  <c r="Q1397" i="2"/>
  <c r="P1397" i="2"/>
  <c r="C1397" i="2"/>
  <c r="AB1396" i="2"/>
  <c r="T1396" i="2"/>
  <c r="Q1396" i="2"/>
  <c r="P1396" i="2"/>
  <c r="D1396" i="2"/>
  <c r="AB1395" i="2"/>
  <c r="T1395" i="2"/>
  <c r="Q1395" i="2"/>
  <c r="P1395" i="2"/>
  <c r="D1395" i="2"/>
  <c r="AB1394" i="2"/>
  <c r="T1394" i="2"/>
  <c r="Q1394" i="2"/>
  <c r="P1394" i="2"/>
  <c r="D1394" i="2"/>
  <c r="AB1393" i="2"/>
  <c r="T1393" i="2"/>
  <c r="Q1393" i="2"/>
  <c r="P1393" i="2"/>
  <c r="D1393" i="2"/>
  <c r="AB1392" i="2"/>
  <c r="W1392" i="2"/>
  <c r="Q1392" i="2"/>
  <c r="P1392" i="2"/>
  <c r="C1392" i="2"/>
  <c r="AB1391" i="2"/>
  <c r="T1391" i="2"/>
  <c r="Q1391" i="2"/>
  <c r="P1391" i="2"/>
  <c r="D1391" i="2"/>
  <c r="AB1390" i="2"/>
  <c r="W1390" i="2"/>
  <c r="Q1390" i="2"/>
  <c r="P1390" i="2"/>
  <c r="C1390" i="2"/>
  <c r="AB1389" i="2"/>
  <c r="Q1389" i="2"/>
  <c r="P1389" i="2"/>
  <c r="D1389" i="2"/>
  <c r="AB1388" i="2"/>
  <c r="W1388" i="2"/>
  <c r="Q1388" i="2"/>
  <c r="P1388" i="2"/>
  <c r="C1388" i="2"/>
  <c r="AB1387" i="2"/>
  <c r="Y1387" i="2"/>
  <c r="W1387" i="2"/>
  <c r="U1387" i="2"/>
  <c r="Q1387" i="2"/>
  <c r="P1387" i="2"/>
  <c r="C1387" i="2"/>
  <c r="T2140" i="2"/>
  <c r="T2138" i="2"/>
  <c r="T2131" i="2"/>
  <c r="T2128" i="2"/>
  <c r="T2125" i="2"/>
  <c r="T1190" i="2"/>
  <c r="T1189" i="2"/>
  <c r="T1176" i="2"/>
  <c r="T2120" i="2"/>
  <c r="T2118" i="2"/>
  <c r="T2116" i="2"/>
  <c r="T2113" i="2"/>
  <c r="T2112" i="2"/>
  <c r="T2111" i="2"/>
  <c r="T2110" i="2"/>
  <c r="T2109" i="2"/>
  <c r="T2106" i="2"/>
  <c r="T2104" i="2"/>
  <c r="T2101" i="2"/>
  <c r="T2100" i="2"/>
  <c r="T2099" i="2"/>
  <c r="T2097" i="2"/>
  <c r="T2095" i="2"/>
  <c r="T2085" i="2"/>
  <c r="T1956" i="2"/>
  <c r="T1954" i="2"/>
  <c r="T1952" i="2"/>
  <c r="T1950" i="2"/>
  <c r="T1947" i="2"/>
  <c r="T1945" i="2"/>
  <c r="T1941" i="2"/>
  <c r="T1933" i="2"/>
  <c r="T1932" i="2"/>
  <c r="T1930" i="2"/>
  <c r="T1929" i="2"/>
  <c r="T1926" i="2"/>
  <c r="T1924" i="2"/>
  <c r="T1919" i="2"/>
  <c r="T1917" i="2"/>
  <c r="T1913" i="2"/>
  <c r="T1902" i="2"/>
  <c r="T1901" i="2"/>
  <c r="T1899" i="2"/>
  <c r="T1898" i="2"/>
  <c r="T1896" i="2"/>
  <c r="T1895" i="2"/>
  <c r="T1892" i="2"/>
  <c r="T1888" i="2"/>
  <c r="T1883" i="2"/>
  <c r="T1881" i="2"/>
  <c r="T1877" i="2"/>
  <c r="T1866" i="2"/>
  <c r="T1865" i="2"/>
  <c r="T1863" i="2"/>
  <c r="T1862" i="2"/>
  <c r="T1859" i="2"/>
  <c r="T1857" i="2"/>
  <c r="T1855" i="2"/>
  <c r="T1852" i="2"/>
  <c r="T1850" i="2"/>
  <c r="T1846" i="2"/>
  <c r="T1843" i="2"/>
  <c r="T1841" i="2"/>
  <c r="T1836" i="2"/>
  <c r="T1834" i="2"/>
  <c r="T1832" i="2"/>
  <c r="T1829" i="2"/>
  <c r="T1828" i="2"/>
  <c r="T1827" i="2"/>
  <c r="T1824" i="2"/>
  <c r="T1823" i="2"/>
  <c r="T1822" i="2"/>
  <c r="T1819" i="2"/>
  <c r="T1818" i="2"/>
  <c r="T1814" i="2"/>
  <c r="T1812" i="2"/>
  <c r="T1810" i="2"/>
  <c r="T1807" i="2"/>
  <c r="T1806" i="2"/>
  <c r="T1805" i="2"/>
  <c r="T1802" i="2"/>
  <c r="T1801" i="2"/>
  <c r="T1800" i="2"/>
  <c r="T1797" i="2"/>
  <c r="T1796" i="2"/>
  <c r="T1792" i="2"/>
  <c r="T1790" i="2"/>
  <c r="T1787" i="2"/>
  <c r="T1786" i="2"/>
  <c r="T1785" i="2"/>
  <c r="T1782" i="2"/>
  <c r="T1781" i="2"/>
  <c r="T1780" i="2"/>
  <c r="T1778" i="2"/>
  <c r="T1777" i="2"/>
  <c r="T1776" i="2"/>
  <c r="T1770" i="2"/>
  <c r="T1768" i="2"/>
  <c r="T1765" i="2"/>
  <c r="T1764" i="2"/>
  <c r="T1763" i="2"/>
  <c r="T1760" i="2"/>
  <c r="T1759" i="2"/>
  <c r="T1758" i="2"/>
  <c r="T1756" i="2"/>
  <c r="T1755" i="2"/>
  <c r="T1754" i="2"/>
  <c r="T1751" i="2"/>
  <c r="T1745" i="2"/>
  <c r="T1743" i="2"/>
  <c r="T1740" i="2"/>
  <c r="T1739" i="2"/>
  <c r="T1738" i="2"/>
  <c r="T1735" i="2"/>
  <c r="T1734" i="2"/>
  <c r="T1733" i="2"/>
  <c r="T1730" i="2"/>
  <c r="T1505" i="2"/>
  <c r="T1501" i="2"/>
  <c r="T1497" i="2"/>
  <c r="T1495" i="2"/>
  <c r="T1492" i="2"/>
  <c r="T1491" i="2"/>
  <c r="T1490" i="2"/>
  <c r="T1476" i="2"/>
  <c r="T1473" i="2"/>
  <c r="T1472" i="2"/>
  <c r="T1464" i="2"/>
  <c r="T1463" i="2"/>
  <c r="T1460" i="2"/>
  <c r="T1383" i="2"/>
  <c r="T1380" i="2"/>
  <c r="T1379" i="2"/>
  <c r="T1378" i="2"/>
  <c r="T1377" i="2"/>
  <c r="T1375" i="2"/>
  <c r="T1368" i="2"/>
  <c r="T1366" i="2"/>
  <c r="T1364" i="2"/>
  <c r="T1361" i="2"/>
  <c r="T1360" i="2"/>
  <c r="T1357" i="2"/>
  <c r="T1356" i="2"/>
  <c r="T1355" i="2"/>
  <c r="T1354" i="2"/>
  <c r="T1352" i="2"/>
  <c r="T1344" i="2"/>
  <c r="T1340" i="2"/>
  <c r="T1338" i="2"/>
  <c r="T1335" i="2"/>
  <c r="T1334" i="2"/>
  <c r="T1331" i="2"/>
  <c r="T1330" i="2"/>
  <c r="T1329" i="2"/>
  <c r="T1328" i="2"/>
  <c r="T1326" i="2"/>
  <c r="T1325" i="2"/>
  <c r="T1324" i="2"/>
  <c r="T1323" i="2"/>
  <c r="T1319" i="2"/>
  <c r="T1318" i="2"/>
  <c r="T1317" i="2"/>
  <c r="T1316" i="2"/>
  <c r="T1314" i="2"/>
  <c r="T1306" i="2"/>
  <c r="T1302" i="2"/>
  <c r="T1300" i="2"/>
  <c r="T1297" i="2"/>
  <c r="T1296" i="2"/>
  <c r="T1293" i="2"/>
  <c r="T1292" i="2"/>
  <c r="T1291" i="2"/>
  <c r="T1290" i="2"/>
  <c r="T1287" i="2"/>
  <c r="T1286" i="2"/>
  <c r="T1285" i="2"/>
  <c r="T1284" i="2"/>
  <c r="T1282" i="2"/>
  <c r="T1274" i="2"/>
  <c r="T1270" i="2"/>
  <c r="T1268" i="2"/>
  <c r="T1265" i="2"/>
  <c r="T1264" i="2"/>
  <c r="T1261" i="2"/>
  <c r="T1260" i="2"/>
  <c r="T1259" i="2"/>
  <c r="T1258" i="2"/>
  <c r="T1255" i="2"/>
  <c r="T1254" i="2"/>
  <c r="T1253" i="2"/>
  <c r="T1252" i="2"/>
  <c r="T1250" i="2"/>
  <c r="T1242" i="2"/>
  <c r="T1238" i="2"/>
  <c r="T1236" i="2"/>
  <c r="T1233" i="2"/>
  <c r="T1232" i="2"/>
  <c r="T1229" i="2"/>
  <c r="T1228" i="2"/>
  <c r="T1227" i="2"/>
  <c r="T1226" i="2"/>
  <c r="T1223" i="2"/>
  <c r="T1222" i="2"/>
  <c r="T1221" i="2"/>
  <c r="T1220" i="2"/>
  <c r="T1218" i="2"/>
  <c r="T947" i="2"/>
  <c r="T945" i="2"/>
  <c r="T943" i="2"/>
  <c r="T939" i="2"/>
  <c r="T937" i="2"/>
  <c r="T934" i="2"/>
  <c r="T933" i="2"/>
  <c r="T929" i="2"/>
  <c r="T926" i="2"/>
  <c r="T920" i="2"/>
  <c r="T919" i="2"/>
  <c r="T916" i="2"/>
  <c r="T915" i="2"/>
  <c r="T1208" i="2"/>
  <c r="T1206" i="2"/>
  <c r="T1195" i="2"/>
  <c r="T1159" i="2"/>
  <c r="T1155" i="2"/>
  <c r="T1151" i="2"/>
  <c r="T1147" i="2"/>
  <c r="T1143" i="2"/>
  <c r="T1139" i="2"/>
  <c r="T1134" i="2"/>
  <c r="T1131" i="2"/>
  <c r="T1128" i="2"/>
  <c r="T1125" i="2"/>
  <c r="T1121" i="2"/>
  <c r="T1118" i="2"/>
  <c r="T1115" i="2"/>
  <c r="T1112" i="2"/>
  <c r="T1108" i="2"/>
  <c r="T1105" i="2"/>
  <c r="T1102" i="2"/>
  <c r="T1099" i="2"/>
  <c r="T1095" i="2"/>
  <c r="T1092" i="2"/>
  <c r="T1089" i="2"/>
  <c r="T1086" i="2"/>
  <c r="T1082" i="2"/>
  <c r="T1079" i="2"/>
  <c r="T1076" i="2"/>
  <c r="T1073" i="2"/>
  <c r="T1068" i="2"/>
  <c r="T1062" i="2"/>
  <c r="T1056" i="2"/>
  <c r="T1053" i="2"/>
  <c r="T1049" i="2"/>
  <c r="T1043" i="2"/>
  <c r="T1040" i="2"/>
  <c r="T1037" i="2"/>
  <c r="T1034" i="2"/>
  <c r="T1030" i="2"/>
  <c r="T1024" i="2"/>
  <c r="T1021" i="2"/>
  <c r="T1018" i="2"/>
  <c r="T1015" i="2"/>
  <c r="T1011" i="2"/>
  <c r="T1005" i="2"/>
  <c r="T1002" i="2"/>
  <c r="T999" i="2"/>
  <c r="T996" i="2"/>
  <c r="T992" i="2"/>
  <c r="T986" i="2"/>
  <c r="T983" i="2"/>
  <c r="T980" i="2"/>
  <c r="T977" i="2"/>
  <c r="T805" i="2"/>
  <c r="T802" i="2"/>
  <c r="T801" i="2"/>
  <c r="T800" i="2"/>
  <c r="T799" i="2"/>
  <c r="T798" i="2"/>
  <c r="T797" i="2"/>
  <c r="T796" i="2"/>
  <c r="T794" i="2"/>
  <c r="T792" i="2"/>
  <c r="T791" i="2"/>
  <c r="T790" i="2"/>
  <c r="T787" i="2"/>
  <c r="T786" i="2"/>
  <c r="T782" i="2"/>
  <c r="T779" i="2"/>
  <c r="T777" i="2"/>
  <c r="T776" i="2"/>
  <c r="T775" i="2"/>
  <c r="T773" i="2"/>
  <c r="T772" i="2"/>
  <c r="T771" i="2"/>
  <c r="T770" i="2"/>
  <c r="T769" i="2"/>
  <c r="T768" i="2"/>
  <c r="T767" i="2"/>
  <c r="T764" i="2"/>
  <c r="T763" i="2"/>
  <c r="T761" i="2"/>
  <c r="T760" i="2"/>
  <c r="T758" i="2"/>
  <c r="T757" i="2"/>
  <c r="T753" i="2"/>
  <c r="T750" i="2"/>
  <c r="T748" i="2"/>
  <c r="T747" i="2"/>
  <c r="T746" i="2"/>
  <c r="T744" i="2"/>
  <c r="T743" i="2"/>
  <c r="T742" i="2"/>
  <c r="T741" i="2"/>
  <c r="T740" i="2"/>
  <c r="T739" i="2"/>
  <c r="T738" i="2"/>
  <c r="T735" i="2"/>
  <c r="T734" i="2"/>
  <c r="T732" i="2"/>
  <c r="T731" i="2"/>
  <c r="T729" i="2"/>
  <c r="T728" i="2"/>
  <c r="T724" i="2"/>
  <c r="T721" i="2"/>
  <c r="T719" i="2"/>
  <c r="T718" i="2"/>
  <c r="T717" i="2"/>
  <c r="T715" i="2"/>
  <c r="T714" i="2"/>
  <c r="T713" i="2"/>
  <c r="T712" i="2"/>
  <c r="T711" i="2"/>
  <c r="T710" i="2"/>
  <c r="T709" i="2"/>
  <c r="T706" i="2"/>
  <c r="T705" i="2"/>
  <c r="T702" i="2"/>
  <c r="T701" i="2"/>
  <c r="T699" i="2"/>
  <c r="T698" i="2"/>
  <c r="T696" i="2"/>
  <c r="T695" i="2"/>
  <c r="T691" i="2"/>
  <c r="T688" i="2"/>
  <c r="T686" i="2"/>
  <c r="T685" i="2"/>
  <c r="T684" i="2"/>
  <c r="T682" i="2"/>
  <c r="T681" i="2"/>
  <c r="T680" i="2"/>
  <c r="T679" i="2"/>
  <c r="T678" i="2"/>
  <c r="T677" i="2"/>
  <c r="T676" i="2"/>
  <c r="T673" i="2"/>
  <c r="T672" i="2"/>
  <c r="T670" i="2"/>
  <c r="T669" i="2"/>
  <c r="T667" i="2"/>
  <c r="T666" i="2"/>
  <c r="T661" i="2"/>
  <c r="T658" i="2"/>
  <c r="T657" i="2"/>
  <c r="T656" i="2"/>
  <c r="T653" i="2"/>
  <c r="T652" i="2"/>
  <c r="T651" i="2"/>
  <c r="T649" i="2"/>
  <c r="T648" i="2"/>
  <c r="T647" i="2"/>
  <c r="T646" i="2"/>
  <c r="T644" i="2"/>
  <c r="T643" i="2"/>
  <c r="T642" i="2"/>
  <c r="T640" i="2"/>
  <c r="T639" i="2"/>
  <c r="T618" i="2"/>
  <c r="T617" i="2"/>
  <c r="T616" i="2"/>
  <c r="T614" i="2"/>
  <c r="T613" i="2"/>
  <c r="T612" i="2"/>
  <c r="T610" i="2"/>
  <c r="T609" i="2"/>
  <c r="T608" i="2"/>
  <c r="T606" i="2"/>
  <c r="T605" i="2"/>
  <c r="T604" i="2"/>
  <c r="T602" i="2"/>
  <c r="T601" i="2"/>
  <c r="T600" i="2"/>
  <c r="T598" i="2"/>
  <c r="T597" i="2"/>
  <c r="T596" i="2"/>
  <c r="T594" i="2"/>
  <c r="T593" i="2"/>
  <c r="T592" i="2"/>
  <c r="T588" i="2"/>
  <c r="T585" i="2"/>
  <c r="T584" i="2"/>
  <c r="T583" i="2"/>
  <c r="T580" i="2"/>
  <c r="T579" i="2"/>
  <c r="T578" i="2"/>
  <c r="T576" i="2"/>
  <c r="T575" i="2"/>
  <c r="T574" i="2"/>
  <c r="T573" i="2"/>
  <c r="T571" i="2"/>
  <c r="T570" i="2"/>
  <c r="T569" i="2"/>
  <c r="T567" i="2"/>
  <c r="T566" i="2"/>
  <c r="T564" i="2"/>
  <c r="T563" i="2"/>
  <c r="T542" i="2"/>
  <c r="T541" i="2"/>
  <c r="T540" i="2"/>
  <c r="T538" i="2"/>
  <c r="T537" i="2"/>
  <c r="T536" i="2"/>
  <c r="T534" i="2"/>
  <c r="T533" i="2"/>
  <c r="T532" i="2"/>
  <c r="T530" i="2"/>
  <c r="T529" i="2"/>
  <c r="T528" i="2"/>
  <c r="T526" i="2"/>
  <c r="T525" i="2"/>
  <c r="T524" i="2"/>
  <c r="T522" i="2"/>
  <c r="T521" i="2"/>
  <c r="T520" i="2"/>
  <c r="T518" i="2"/>
  <c r="T517" i="2"/>
  <c r="T516" i="2"/>
  <c r="T514" i="2"/>
  <c r="T513" i="2"/>
  <c r="T512" i="2"/>
  <c r="T510" i="2"/>
  <c r="T506" i="2"/>
  <c r="T505" i="2"/>
  <c r="T504" i="2"/>
  <c r="T503" i="2"/>
  <c r="T502" i="2"/>
  <c r="T501" i="2"/>
  <c r="T497" i="2"/>
  <c r="T494" i="2"/>
  <c r="T493" i="2"/>
  <c r="T492" i="2"/>
  <c r="T489" i="2"/>
  <c r="T488" i="2"/>
  <c r="T487" i="2"/>
  <c r="T485" i="2"/>
  <c r="T484" i="2"/>
  <c r="T483" i="2"/>
  <c r="T482" i="2"/>
  <c r="T480" i="2"/>
  <c r="T479" i="2"/>
  <c r="T478" i="2"/>
  <c r="T476" i="2"/>
  <c r="T475" i="2"/>
  <c r="T473" i="2"/>
  <c r="T472" i="2"/>
  <c r="T451" i="2"/>
  <c r="T450" i="2"/>
  <c r="T449" i="2"/>
  <c r="T447" i="2"/>
  <c r="T446" i="2"/>
  <c r="T445" i="2"/>
  <c r="T443" i="2"/>
  <c r="T442" i="2"/>
  <c r="T441" i="2"/>
  <c r="T439" i="2"/>
  <c r="T438" i="2"/>
  <c r="T437" i="2"/>
  <c r="T435" i="2"/>
  <c r="T434" i="2"/>
  <c r="T433" i="2"/>
  <c r="T431" i="2"/>
  <c r="T430" i="2"/>
  <c r="T429" i="2"/>
  <c r="T427" i="2"/>
  <c r="T426" i="2"/>
  <c r="T425" i="2"/>
  <c r="T423" i="2"/>
  <c r="T422" i="2"/>
  <c r="T421" i="2"/>
  <c r="T419" i="2"/>
  <c r="T415" i="2"/>
  <c r="T414" i="2"/>
  <c r="T413" i="2"/>
  <c r="T412" i="2"/>
  <c r="T411" i="2"/>
  <c r="T410" i="2"/>
  <c r="T406" i="2"/>
  <c r="T403" i="2"/>
  <c r="T402" i="2"/>
  <c r="T401" i="2"/>
  <c r="T398" i="2"/>
  <c r="T397" i="2"/>
  <c r="T396" i="2"/>
  <c r="T394" i="2"/>
  <c r="T392" i="2"/>
  <c r="T391" i="2"/>
  <c r="T389" i="2"/>
  <c r="T388" i="2"/>
  <c r="T387" i="2"/>
  <c r="T385" i="2"/>
  <c r="T384" i="2"/>
  <c r="T382" i="2"/>
  <c r="T381" i="2"/>
  <c r="T360" i="2"/>
  <c r="T359" i="2"/>
  <c r="T358" i="2"/>
  <c r="T356" i="2"/>
  <c r="T355" i="2"/>
  <c r="T354" i="2"/>
  <c r="T352" i="2"/>
  <c r="T351" i="2"/>
  <c r="T350" i="2"/>
  <c r="T348" i="2"/>
  <c r="T347" i="2"/>
  <c r="T346" i="2"/>
  <c r="T344" i="2"/>
  <c r="T343" i="2"/>
  <c r="T342" i="2"/>
  <c r="T340" i="2"/>
  <c r="T339" i="2"/>
  <c r="T338" i="2"/>
  <c r="T336" i="2"/>
  <c r="T335" i="2"/>
  <c r="T334" i="2"/>
  <c r="T332" i="2"/>
  <c r="T331" i="2"/>
  <c r="T330" i="2"/>
  <c r="T328" i="2"/>
  <c r="T327" i="2"/>
  <c r="T326" i="2"/>
  <c r="T324" i="2"/>
  <c r="T323" i="2"/>
  <c r="T322" i="2"/>
  <c r="T320" i="2"/>
  <c r="T316" i="2"/>
  <c r="T315" i="2"/>
  <c r="T314" i="2"/>
  <c r="T313" i="2"/>
  <c r="T312" i="2"/>
  <c r="T311" i="2"/>
  <c r="T307" i="2"/>
  <c r="T304" i="2"/>
  <c r="T303" i="2"/>
  <c r="T302" i="2"/>
  <c r="T299" i="2"/>
  <c r="T298" i="2"/>
  <c r="T297" i="2"/>
  <c r="T295" i="2"/>
  <c r="T293" i="2"/>
  <c r="T292" i="2"/>
  <c r="T290" i="2"/>
  <c r="T289" i="2"/>
  <c r="T288" i="2"/>
  <c r="T286" i="2"/>
  <c r="T285" i="2"/>
  <c r="T282" i="2"/>
  <c r="T268" i="2"/>
  <c r="T267" i="2"/>
  <c r="T264" i="2"/>
  <c r="T263" i="2"/>
  <c r="T262" i="2"/>
  <c r="T260" i="2"/>
  <c r="T259" i="2"/>
  <c r="T258" i="2"/>
  <c r="T256" i="2"/>
  <c r="T255" i="2"/>
  <c r="T254" i="2"/>
  <c r="T252" i="2"/>
  <c r="T251" i="2"/>
  <c r="T250" i="2"/>
  <c r="T248" i="2"/>
  <c r="T247" i="2"/>
  <c r="T246" i="2"/>
  <c r="T244" i="2"/>
  <c r="T243" i="2"/>
  <c r="T242" i="2"/>
  <c r="T240" i="2"/>
  <c r="T239" i="2"/>
  <c r="T238" i="2"/>
  <c r="T181" i="2"/>
  <c r="T179" i="2"/>
  <c r="T168" i="2"/>
  <c r="T150" i="2"/>
  <c r="T148" i="2"/>
  <c r="T146" i="2"/>
  <c r="T144" i="2"/>
  <c r="T142" i="2"/>
  <c r="T134" i="2"/>
  <c r="T132" i="2"/>
  <c r="T128" i="2"/>
  <c r="T113" i="2"/>
  <c r="T106" i="2"/>
  <c r="T105" i="2"/>
  <c r="T104" i="2"/>
  <c r="T103" i="2"/>
  <c r="T96" i="2"/>
  <c r="T94" i="2"/>
  <c r="T93" i="2"/>
  <c r="T92" i="2"/>
  <c r="T90" i="2"/>
  <c r="T88" i="2"/>
  <c r="T86" i="2"/>
  <c r="T85" i="2"/>
  <c r="T84" i="2"/>
  <c r="T83" i="2"/>
  <c r="T82" i="2"/>
  <c r="T81" i="2"/>
  <c r="T78" i="2"/>
  <c r="T77" i="2"/>
  <c r="T72" i="2"/>
  <c r="T70" i="2"/>
  <c r="T68" i="2"/>
  <c r="T66" i="2"/>
  <c r="T64" i="2"/>
  <c r="T62" i="2"/>
  <c r="T60" i="2"/>
  <c r="T58" i="2"/>
  <c r="T56" i="2"/>
  <c r="T54" i="2"/>
  <c r="T52" i="2"/>
  <c r="T50" i="2"/>
  <c r="T41" i="2"/>
  <c r="T38" i="2"/>
  <c r="T34" i="2"/>
  <c r="T32" i="2"/>
  <c r="T30" i="2"/>
  <c r="T28" i="2"/>
  <c r="T26" i="2"/>
  <c r="T24" i="2"/>
  <c r="T22" i="2"/>
  <c r="T19" i="2"/>
  <c r="T17" i="2"/>
  <c r="U1384" i="2"/>
  <c r="U1382" i="2"/>
  <c r="AB1373" i="2"/>
  <c r="Q1373" i="2"/>
  <c r="P1373" i="2"/>
  <c r="D1373" i="2"/>
  <c r="AB1372" i="2"/>
  <c r="W1372" i="2"/>
  <c r="Q1372" i="2"/>
  <c r="P1372" i="2"/>
  <c r="C1372" i="2"/>
  <c r="AB1375" i="2"/>
  <c r="Q1375" i="2"/>
  <c r="P1375" i="2"/>
  <c r="D1375" i="2"/>
  <c r="AB1374" i="2"/>
  <c r="W1374" i="2"/>
  <c r="Q1374" i="2"/>
  <c r="P1374" i="2"/>
  <c r="C1374" i="2"/>
  <c r="AB1745" i="2"/>
  <c r="Q1745" i="2"/>
  <c r="P1745" i="2"/>
  <c r="D1745" i="2"/>
  <c r="AB1744" i="2"/>
  <c r="W1744" i="2"/>
  <c r="Q1744" i="2"/>
  <c r="P1744" i="2"/>
  <c r="C1744" i="2"/>
  <c r="AB1743" i="2"/>
  <c r="Q1743" i="2"/>
  <c r="P1743" i="2"/>
  <c r="D1743" i="2"/>
  <c r="AB1742" i="2"/>
  <c r="W1742" i="2"/>
  <c r="Q1742" i="2"/>
  <c r="P1742" i="2"/>
  <c r="C1742" i="2"/>
  <c r="AB1770" i="2"/>
  <c r="Q1770" i="2"/>
  <c r="P1770" i="2"/>
  <c r="D1770" i="2"/>
  <c r="AB1769" i="2"/>
  <c r="W1769" i="2"/>
  <c r="Q1769" i="2"/>
  <c r="P1769" i="2"/>
  <c r="C1769" i="2"/>
  <c r="AB1768" i="2"/>
  <c r="Q1768" i="2"/>
  <c r="P1768" i="2"/>
  <c r="D1768" i="2"/>
  <c r="AB1767" i="2"/>
  <c r="W1767" i="2"/>
  <c r="Q1767" i="2"/>
  <c r="P1767" i="2"/>
  <c r="C1767" i="2"/>
  <c r="AB1792" i="2"/>
  <c r="Q1792" i="2"/>
  <c r="P1792" i="2"/>
  <c r="D1792" i="2"/>
  <c r="AB1791" i="2"/>
  <c r="W1791" i="2"/>
  <c r="Q1791" i="2"/>
  <c r="P1791" i="2"/>
  <c r="C1791" i="2"/>
  <c r="AB1790" i="2"/>
  <c r="Q1790" i="2"/>
  <c r="P1790" i="2"/>
  <c r="D1790" i="2"/>
  <c r="AB1789" i="2"/>
  <c r="W1789" i="2"/>
  <c r="Q1789" i="2"/>
  <c r="P1789" i="2"/>
  <c r="C1789" i="2"/>
  <c r="AB1814" i="2"/>
  <c r="Q1814" i="2"/>
  <c r="P1814" i="2"/>
  <c r="D1814" i="2"/>
  <c r="AB1813" i="2"/>
  <c r="W1813" i="2"/>
  <c r="Q1813" i="2"/>
  <c r="P1813" i="2"/>
  <c r="C1813" i="2"/>
  <c r="AB1812" i="2"/>
  <c r="Q1812" i="2"/>
  <c r="P1812" i="2"/>
  <c r="D1812" i="2"/>
  <c r="AB1811" i="2"/>
  <c r="W1811" i="2"/>
  <c r="Q1811" i="2"/>
  <c r="P1811" i="2"/>
  <c r="C1811" i="2"/>
  <c r="AB1810" i="2"/>
  <c r="Q1810" i="2"/>
  <c r="P1810" i="2"/>
  <c r="D1810" i="2"/>
  <c r="AB1809" i="2"/>
  <c r="W1809" i="2"/>
  <c r="Q1809" i="2"/>
  <c r="P1809" i="2"/>
  <c r="C1809" i="2"/>
  <c r="AB1836" i="2"/>
  <c r="Q1836" i="2"/>
  <c r="P1836" i="2"/>
  <c r="D1836" i="2"/>
  <c r="AB1835" i="2"/>
  <c r="W1835" i="2"/>
  <c r="Q1835" i="2"/>
  <c r="P1835" i="2"/>
  <c r="C1835" i="2"/>
  <c r="AB1834" i="2"/>
  <c r="Q1834" i="2"/>
  <c r="P1834" i="2"/>
  <c r="D1834" i="2"/>
  <c r="AB1833" i="2"/>
  <c r="W1833" i="2"/>
  <c r="Q1833" i="2"/>
  <c r="P1833" i="2"/>
  <c r="C1833" i="2"/>
  <c r="AB1832" i="2"/>
  <c r="Q1832" i="2"/>
  <c r="P1832" i="2"/>
  <c r="D1832" i="2"/>
  <c r="AB1831" i="2"/>
  <c r="W1831" i="2"/>
  <c r="Q1831" i="2"/>
  <c r="P1831" i="2"/>
  <c r="C1831" i="2"/>
  <c r="U1835" i="2"/>
  <c r="B100" i="68" s="1"/>
  <c r="AB1829" i="2"/>
  <c r="Q1829" i="2"/>
  <c r="P1829" i="2"/>
  <c r="D1829" i="2"/>
  <c r="AB1828" i="2"/>
  <c r="Q1828" i="2"/>
  <c r="P1828" i="2"/>
  <c r="D1828" i="2"/>
  <c r="AB1827" i="2"/>
  <c r="Q1827" i="2"/>
  <c r="P1827" i="2"/>
  <c r="D1827" i="2"/>
  <c r="AB1826" i="2"/>
  <c r="W1826" i="2"/>
  <c r="Q1826" i="2"/>
  <c r="P1826" i="2"/>
  <c r="C1826" i="2"/>
  <c r="U1813" i="2"/>
  <c r="B99" i="68" s="1"/>
  <c r="AB1807" i="2"/>
  <c r="Q1807" i="2"/>
  <c r="P1807" i="2"/>
  <c r="D1807" i="2"/>
  <c r="AB1806" i="2"/>
  <c r="Q1806" i="2"/>
  <c r="P1806" i="2"/>
  <c r="D1806" i="2"/>
  <c r="AB1805" i="2"/>
  <c r="Q1805" i="2"/>
  <c r="P1805" i="2"/>
  <c r="D1805" i="2"/>
  <c r="AB1804" i="2"/>
  <c r="W1804" i="2"/>
  <c r="Q1804" i="2"/>
  <c r="P1804" i="2"/>
  <c r="C1804" i="2"/>
  <c r="AB1787" i="2"/>
  <c r="Q1787" i="2"/>
  <c r="P1787" i="2"/>
  <c r="D1787" i="2"/>
  <c r="AB1786" i="2"/>
  <c r="Q1786" i="2"/>
  <c r="P1786" i="2"/>
  <c r="D1786" i="2"/>
  <c r="AB1785" i="2"/>
  <c r="Q1785" i="2"/>
  <c r="P1785" i="2"/>
  <c r="D1785" i="2"/>
  <c r="AB1784" i="2"/>
  <c r="W1784" i="2"/>
  <c r="Q1784" i="2"/>
  <c r="P1784" i="2"/>
  <c r="C1784" i="2"/>
  <c r="AB1765" i="2"/>
  <c r="Q1765" i="2"/>
  <c r="P1765" i="2"/>
  <c r="D1765" i="2"/>
  <c r="AB1764" i="2"/>
  <c r="Q1764" i="2"/>
  <c r="P1764" i="2"/>
  <c r="D1764" i="2"/>
  <c r="AB1763" i="2"/>
  <c r="Q1763" i="2"/>
  <c r="P1763" i="2"/>
  <c r="D1763" i="2"/>
  <c r="AB1762" i="2"/>
  <c r="W1762" i="2"/>
  <c r="Q1762" i="2"/>
  <c r="P1762" i="2"/>
  <c r="C1762" i="2"/>
  <c r="U1744" i="2"/>
  <c r="B96" i="68" s="1"/>
  <c r="D1738" i="2"/>
  <c r="P1738" i="2"/>
  <c r="Q1738" i="2"/>
  <c r="AB1738" i="2"/>
  <c r="D1739" i="2"/>
  <c r="P1739" i="2"/>
  <c r="Q1739" i="2"/>
  <c r="AB1739" i="2"/>
  <c r="U1833" i="2"/>
  <c r="B88" i="68" s="1"/>
  <c r="AB1824" i="2"/>
  <c r="Q1824" i="2"/>
  <c r="P1824" i="2"/>
  <c r="D1824" i="2"/>
  <c r="AB1823" i="2"/>
  <c r="Q1823" i="2"/>
  <c r="P1823" i="2"/>
  <c r="D1823" i="2"/>
  <c r="AB1822" i="2"/>
  <c r="Y1822" i="2"/>
  <c r="Q1822" i="2"/>
  <c r="P1822" i="2"/>
  <c r="D1822" i="2"/>
  <c r="AB1821" i="2"/>
  <c r="W1821" i="2"/>
  <c r="Q1821" i="2"/>
  <c r="P1821" i="2"/>
  <c r="C1821" i="2"/>
  <c r="U1811" i="2"/>
  <c r="B87" i="68" s="1"/>
  <c r="AB1802" i="2"/>
  <c r="Q1802" i="2"/>
  <c r="P1802" i="2"/>
  <c r="D1802" i="2"/>
  <c r="AB1801" i="2"/>
  <c r="Q1801" i="2"/>
  <c r="P1801" i="2"/>
  <c r="D1801" i="2"/>
  <c r="AB1800" i="2"/>
  <c r="Y1800" i="2"/>
  <c r="Q1800" i="2"/>
  <c r="P1800" i="2"/>
  <c r="D1800" i="2"/>
  <c r="AB1799" i="2"/>
  <c r="W1799" i="2"/>
  <c r="Q1799" i="2"/>
  <c r="P1799" i="2"/>
  <c r="C1799" i="2"/>
  <c r="AB1782" i="2"/>
  <c r="Q1782" i="2"/>
  <c r="P1782" i="2"/>
  <c r="D1782" i="2"/>
  <c r="AB1781" i="2"/>
  <c r="Q1781" i="2"/>
  <c r="P1781" i="2"/>
  <c r="D1781" i="2"/>
  <c r="AB1780" i="2"/>
  <c r="Y1780" i="2"/>
  <c r="Q1780" i="2"/>
  <c r="P1780" i="2"/>
  <c r="D1780" i="2"/>
  <c r="AB1779" i="2"/>
  <c r="W1779" i="2"/>
  <c r="Q1779" i="2"/>
  <c r="P1779" i="2"/>
  <c r="C1779" i="2"/>
  <c r="AB1778" i="2"/>
  <c r="Q1778" i="2"/>
  <c r="P1778" i="2"/>
  <c r="D1778" i="2"/>
  <c r="AB1777" i="2"/>
  <c r="Q1777" i="2"/>
  <c r="P1777" i="2"/>
  <c r="D1777" i="2"/>
  <c r="AB1776" i="2"/>
  <c r="Y1776" i="2"/>
  <c r="Q1776" i="2"/>
  <c r="P1776" i="2"/>
  <c r="D1776" i="2"/>
  <c r="AB1775" i="2"/>
  <c r="W1775" i="2"/>
  <c r="Q1775" i="2"/>
  <c r="P1775" i="2"/>
  <c r="C1775" i="2"/>
  <c r="U1742" i="2"/>
  <c r="B84" i="68" s="1"/>
  <c r="AB1760" i="2"/>
  <c r="Q1760" i="2"/>
  <c r="P1760" i="2"/>
  <c r="D1760" i="2"/>
  <c r="AB1759" i="2"/>
  <c r="Q1759" i="2"/>
  <c r="P1759" i="2"/>
  <c r="D1759" i="2"/>
  <c r="AB1758" i="2"/>
  <c r="Y1758" i="2"/>
  <c r="Q1758" i="2"/>
  <c r="P1758" i="2"/>
  <c r="D1758" i="2"/>
  <c r="AB1757" i="2"/>
  <c r="W1757" i="2"/>
  <c r="Q1757" i="2"/>
  <c r="P1757" i="2"/>
  <c r="C1757" i="2"/>
  <c r="AB1756" i="2"/>
  <c r="Q1756" i="2"/>
  <c r="P1756" i="2"/>
  <c r="D1756" i="2"/>
  <c r="AB1755" i="2"/>
  <c r="Q1755" i="2"/>
  <c r="P1755" i="2"/>
  <c r="D1755" i="2"/>
  <c r="AB1754" i="2"/>
  <c r="Y1754" i="2"/>
  <c r="Q1754" i="2"/>
  <c r="P1754" i="2"/>
  <c r="D1754" i="2"/>
  <c r="AB1753" i="2"/>
  <c r="W1753" i="2"/>
  <c r="Q1753" i="2"/>
  <c r="P1753" i="2"/>
  <c r="C1753" i="2"/>
  <c r="U1809" i="2"/>
  <c r="B93" i="68" s="1"/>
  <c r="U1831" i="2"/>
  <c r="B94" i="68" s="1"/>
  <c r="AB1751" i="2"/>
  <c r="Q1751" i="2"/>
  <c r="P1751" i="2"/>
  <c r="D1751" i="2"/>
  <c r="AB1750" i="2"/>
  <c r="W1750" i="2"/>
  <c r="Q1750" i="2"/>
  <c r="P1750" i="2"/>
  <c r="C1750" i="2"/>
  <c r="U1746" i="2"/>
  <c r="B90" i="68" s="1"/>
  <c r="Y1733" i="2"/>
  <c r="AB1735" i="2"/>
  <c r="Q1735" i="2"/>
  <c r="P1735" i="2"/>
  <c r="D1735" i="2"/>
  <c r="AB1734" i="2"/>
  <c r="Q1734" i="2"/>
  <c r="P1734" i="2"/>
  <c r="D1734" i="2"/>
  <c r="U914" i="2"/>
  <c r="U936" i="2" s="1"/>
  <c r="C59" i="72"/>
  <c r="AB1325" i="2"/>
  <c r="Q1325" i="2"/>
  <c r="P1325" i="2"/>
  <c r="D1325" i="2"/>
  <c r="C94" i="68" l="1"/>
  <c r="C93" i="68"/>
  <c r="C92" i="68"/>
  <c r="C90" i="68"/>
  <c r="C91" i="68"/>
  <c r="C94" i="72"/>
  <c r="U1500" i="2"/>
  <c r="C97" i="72" s="1"/>
  <c r="C87" i="72"/>
  <c r="U1566" i="2"/>
  <c r="C102" i="72"/>
  <c r="U1504" i="2"/>
  <c r="C99" i="72" s="1"/>
  <c r="C92" i="72"/>
  <c r="U1576" i="2"/>
  <c r="C122" i="72" s="1"/>
  <c r="U1572" i="2"/>
  <c r="C120" i="72" s="1"/>
  <c r="U1767" i="2"/>
  <c r="B85" i="68" s="1"/>
  <c r="U1769" i="2"/>
  <c r="B97" i="68" s="1"/>
  <c r="U1789" i="2"/>
  <c r="B86" i="68" s="1"/>
  <c r="U1791" i="2"/>
  <c r="B98" i="68" s="1"/>
  <c r="U932" i="2"/>
  <c r="U942" i="2" s="1"/>
  <c r="C88" i="68" l="1"/>
  <c r="D88" i="68" s="1"/>
  <c r="C98" i="68"/>
  <c r="D98" i="68" s="1"/>
  <c r="C86" i="68"/>
  <c r="D86" i="68" s="1"/>
  <c r="C96" i="68"/>
  <c r="D96" i="68" s="1"/>
  <c r="C100" i="68"/>
  <c r="D100" i="68" s="1"/>
  <c r="C97" i="68"/>
  <c r="D97" i="68" s="1"/>
  <c r="C84" i="68"/>
  <c r="D84" i="68" s="1"/>
  <c r="C85" i="68"/>
  <c r="D85" i="68" s="1"/>
  <c r="C87" i="68"/>
  <c r="D87" i="68" s="1"/>
  <c r="C99" i="68"/>
  <c r="D99" i="68" s="1"/>
  <c r="D90" i="68"/>
  <c r="D91" i="68"/>
  <c r="D92" i="68"/>
  <c r="D93" i="68"/>
  <c r="D94" i="68"/>
  <c r="C117" i="72"/>
  <c r="B57" i="68"/>
  <c r="B70" i="68"/>
  <c r="C1185" i="2"/>
  <c r="C1183" i="2"/>
  <c r="C1182" i="2"/>
  <c r="C1181" i="2"/>
  <c r="C1184" i="2"/>
  <c r="C1180" i="2"/>
  <c r="C1186" i="2"/>
  <c r="C1179" i="2"/>
  <c r="C176" i="2"/>
  <c r="C989" i="2"/>
  <c r="C1027" i="2"/>
  <c r="C1008" i="2"/>
  <c r="C1065" i="2"/>
  <c r="C1046" i="2"/>
  <c r="C1446" i="2"/>
  <c r="C1455" i="2"/>
  <c r="C1202" i="2"/>
  <c r="C1428" i="2"/>
  <c r="C137" i="2"/>
  <c r="C139" i="2"/>
  <c r="C138" i="2"/>
  <c r="C136" i="2"/>
  <c r="C294" i="2"/>
  <c r="C393" i="2"/>
  <c r="T1322" i="2"/>
  <c r="W1322" i="2"/>
  <c r="Y1322" i="2" s="1"/>
  <c r="AB1326" i="2"/>
  <c r="Q1326" i="2"/>
  <c r="P1326" i="2"/>
  <c r="D1326" i="2"/>
  <c r="AB1324" i="2"/>
  <c r="Q1324" i="2"/>
  <c r="P1324" i="2"/>
  <c r="D1324" i="2"/>
  <c r="AB1323" i="2"/>
  <c r="Q1323" i="2"/>
  <c r="P1323" i="2"/>
  <c r="D1323" i="2"/>
  <c r="AB1322" i="2"/>
  <c r="Q1322" i="2"/>
  <c r="P1322" i="2"/>
  <c r="D1322" i="2"/>
  <c r="AB1321" i="2"/>
  <c r="W1321" i="2"/>
  <c r="Q1321" i="2"/>
  <c r="P1321" i="2"/>
  <c r="C1321" i="2"/>
  <c r="C70" i="72"/>
  <c r="AB1368" i="2"/>
  <c r="Q1368" i="2"/>
  <c r="P1368" i="2"/>
  <c r="D1368" i="2"/>
  <c r="AB1367" i="2"/>
  <c r="W1367" i="2"/>
  <c r="Q1367" i="2"/>
  <c r="P1367" i="2"/>
  <c r="C1367" i="2"/>
  <c r="AB1366" i="2"/>
  <c r="Q1366" i="2"/>
  <c r="P1366" i="2"/>
  <c r="D1366" i="2"/>
  <c r="AB1365" i="2"/>
  <c r="W1365" i="2"/>
  <c r="Q1365" i="2"/>
  <c r="P1365" i="2"/>
  <c r="C1365" i="2"/>
  <c r="AB1364" i="2"/>
  <c r="Q1364" i="2"/>
  <c r="P1364" i="2"/>
  <c r="D1364" i="2"/>
  <c r="AB1363" i="2"/>
  <c r="W1363" i="2"/>
  <c r="Q1363" i="2"/>
  <c r="P1363" i="2"/>
  <c r="C1363" i="2"/>
  <c r="AB1362" i="2"/>
  <c r="Y1362" i="2"/>
  <c r="D76" i="72" s="1"/>
  <c r="W1362" i="2"/>
  <c r="U1362" i="2"/>
  <c r="C76" i="72" s="1"/>
  <c r="Q1362" i="2"/>
  <c r="P1362" i="2"/>
  <c r="C1362" i="2"/>
  <c r="AB1361" i="2"/>
  <c r="Q1361" i="2"/>
  <c r="P1361" i="2"/>
  <c r="D1361" i="2"/>
  <c r="AB1360" i="2"/>
  <c r="Q1360" i="2"/>
  <c r="P1360" i="2"/>
  <c r="D1360" i="2"/>
  <c r="AB1359" i="2"/>
  <c r="W1359" i="2"/>
  <c r="Q1359" i="2"/>
  <c r="P1359" i="2"/>
  <c r="C1359" i="2"/>
  <c r="AB1358" i="2"/>
  <c r="Y1358" i="2"/>
  <c r="D74" i="72" s="1"/>
  <c r="W1358" i="2"/>
  <c r="U1358" i="2"/>
  <c r="C74" i="72" s="1"/>
  <c r="Q1358" i="2"/>
  <c r="P1358" i="2"/>
  <c r="C1358" i="2"/>
  <c r="AB1357" i="2"/>
  <c r="Q1357" i="2"/>
  <c r="P1357" i="2"/>
  <c r="D1357" i="2"/>
  <c r="AB1356" i="2"/>
  <c r="Q1356" i="2"/>
  <c r="P1356" i="2"/>
  <c r="D1356" i="2"/>
  <c r="AB1355" i="2"/>
  <c r="Q1355" i="2"/>
  <c r="P1355" i="2"/>
  <c r="D1355" i="2"/>
  <c r="AB1354" i="2"/>
  <c r="Q1354" i="2"/>
  <c r="P1354" i="2"/>
  <c r="D1354" i="2"/>
  <c r="AB1353" i="2"/>
  <c r="W1353" i="2"/>
  <c r="Q1353" i="2"/>
  <c r="P1353" i="2"/>
  <c r="C1353" i="2"/>
  <c r="AB1352" i="2"/>
  <c r="Q1352" i="2"/>
  <c r="P1352" i="2"/>
  <c r="D1352" i="2"/>
  <c r="AB1351" i="2"/>
  <c r="W1351" i="2"/>
  <c r="Q1351" i="2"/>
  <c r="P1351" i="2"/>
  <c r="C1351" i="2"/>
  <c r="AB1350" i="2"/>
  <c r="Q1350" i="2"/>
  <c r="P1350" i="2"/>
  <c r="D1350" i="2"/>
  <c r="AB1349" i="2"/>
  <c r="W1349" i="2"/>
  <c r="Q1349" i="2"/>
  <c r="P1349" i="2"/>
  <c r="C1349" i="2"/>
  <c r="AB1348" i="2"/>
  <c r="Q1348" i="2"/>
  <c r="P1348" i="2"/>
  <c r="D1348" i="2"/>
  <c r="AB1347" i="2"/>
  <c r="W1347" i="2"/>
  <c r="Q1347" i="2"/>
  <c r="P1347" i="2"/>
  <c r="C1347" i="2"/>
  <c r="AB1346" i="2"/>
  <c r="Y1346" i="2"/>
  <c r="D69" i="72" s="1"/>
  <c r="W1346" i="2"/>
  <c r="U1346" i="2"/>
  <c r="C69" i="72" s="1"/>
  <c r="Q1346" i="2"/>
  <c r="P1346" i="2"/>
  <c r="C1346" i="2"/>
  <c r="C56" i="72"/>
  <c r="C54" i="72"/>
  <c r="AB1344" i="2"/>
  <c r="Q1344" i="2"/>
  <c r="P1344" i="2"/>
  <c r="D1344" i="2"/>
  <c r="AB1343" i="2"/>
  <c r="W1343" i="2"/>
  <c r="Q1343" i="2"/>
  <c r="P1343" i="2"/>
  <c r="C1343" i="2"/>
  <c r="AB1340" i="2"/>
  <c r="Q1340" i="2"/>
  <c r="P1340" i="2"/>
  <c r="D1340" i="2"/>
  <c r="AB1339" i="2"/>
  <c r="W1339" i="2"/>
  <c r="Q1339" i="2"/>
  <c r="P1339" i="2"/>
  <c r="C1339" i="2"/>
  <c r="AB1338" i="2"/>
  <c r="Q1338" i="2"/>
  <c r="P1338" i="2"/>
  <c r="D1338" i="2"/>
  <c r="AB1337" i="2"/>
  <c r="W1337" i="2"/>
  <c r="Q1337" i="2"/>
  <c r="P1337" i="2"/>
  <c r="C1337" i="2"/>
  <c r="AB1336" i="2"/>
  <c r="Y1336" i="2"/>
  <c r="D63" i="72" s="1"/>
  <c r="W1336" i="2"/>
  <c r="U1336" i="2"/>
  <c r="C63" i="72" s="1"/>
  <c r="Q1336" i="2"/>
  <c r="P1336" i="2"/>
  <c r="C1336" i="2"/>
  <c r="AB1335" i="2"/>
  <c r="Q1335" i="2"/>
  <c r="P1335" i="2"/>
  <c r="D1335" i="2"/>
  <c r="AB1334" i="2"/>
  <c r="Q1334" i="2"/>
  <c r="P1334" i="2"/>
  <c r="D1334" i="2"/>
  <c r="AB1333" i="2"/>
  <c r="W1333" i="2"/>
  <c r="Q1333" i="2"/>
  <c r="P1333" i="2"/>
  <c r="C1333" i="2"/>
  <c r="AB1332" i="2"/>
  <c r="Y1332" i="2"/>
  <c r="D61" i="72" s="1"/>
  <c r="W1332" i="2"/>
  <c r="U1332" i="2"/>
  <c r="C61" i="72" s="1"/>
  <c r="Q1332" i="2"/>
  <c r="P1332" i="2"/>
  <c r="C1332" i="2"/>
  <c r="AB1331" i="2"/>
  <c r="Q1331" i="2"/>
  <c r="P1331" i="2"/>
  <c r="D1331" i="2"/>
  <c r="AB1330" i="2"/>
  <c r="Q1330" i="2"/>
  <c r="P1330" i="2"/>
  <c r="D1330" i="2"/>
  <c r="AB1329" i="2"/>
  <c r="Q1329" i="2"/>
  <c r="P1329" i="2"/>
  <c r="D1329" i="2"/>
  <c r="Q1328" i="2"/>
  <c r="P1328" i="2"/>
  <c r="D1328" i="2"/>
  <c r="AB1327" i="2"/>
  <c r="W1327" i="2"/>
  <c r="Q1327" i="2"/>
  <c r="P1327" i="2"/>
  <c r="C1327" i="2"/>
  <c r="AB1320" i="2"/>
  <c r="Y1320" i="2"/>
  <c r="D58" i="72" s="1"/>
  <c r="W1320" i="2"/>
  <c r="U1320" i="2"/>
  <c r="C58" i="72" s="1"/>
  <c r="Q1320" i="2"/>
  <c r="P1320" i="2"/>
  <c r="C1320" i="2"/>
  <c r="AB1319" i="2"/>
  <c r="Q1319" i="2"/>
  <c r="P1319" i="2"/>
  <c r="D1319" i="2"/>
  <c r="AB1318" i="2"/>
  <c r="Q1318" i="2"/>
  <c r="P1318" i="2"/>
  <c r="D1318" i="2"/>
  <c r="AB1317" i="2"/>
  <c r="Q1317" i="2"/>
  <c r="P1317" i="2"/>
  <c r="D1317" i="2"/>
  <c r="AB1316" i="2"/>
  <c r="Q1316" i="2"/>
  <c r="P1316" i="2"/>
  <c r="D1316" i="2"/>
  <c r="AB1315" i="2"/>
  <c r="W1315" i="2"/>
  <c r="Q1315" i="2"/>
  <c r="P1315" i="2"/>
  <c r="C1315" i="2"/>
  <c r="AB1314" i="2"/>
  <c r="Q1314" i="2"/>
  <c r="P1314" i="2"/>
  <c r="D1314" i="2"/>
  <c r="AB1313" i="2"/>
  <c r="W1313" i="2"/>
  <c r="Q1313" i="2"/>
  <c r="P1313" i="2"/>
  <c r="C1313" i="2"/>
  <c r="AB1312" i="2"/>
  <c r="Q1312" i="2"/>
  <c r="P1312" i="2"/>
  <c r="D1312" i="2"/>
  <c r="AB1311" i="2"/>
  <c r="W1311" i="2"/>
  <c r="Q1311" i="2"/>
  <c r="P1311" i="2"/>
  <c r="C1311" i="2"/>
  <c r="AB1310" i="2"/>
  <c r="Q1310" i="2"/>
  <c r="P1310" i="2"/>
  <c r="D1310" i="2"/>
  <c r="AB1309" i="2"/>
  <c r="W1309" i="2"/>
  <c r="Q1309" i="2"/>
  <c r="P1309" i="2"/>
  <c r="C1309" i="2"/>
  <c r="AB1308" i="2"/>
  <c r="Y1308" i="2"/>
  <c r="D53" i="72" s="1"/>
  <c r="W1308" i="2"/>
  <c r="U1308" i="2"/>
  <c r="C53" i="72" s="1"/>
  <c r="Q1308" i="2"/>
  <c r="P1308" i="2"/>
  <c r="C1308" i="2"/>
  <c r="C355" i="61" l="1"/>
  <c r="C354" i="61"/>
  <c r="G96" i="68"/>
  <c r="C363" i="61"/>
  <c r="C356" i="61"/>
  <c r="G90" i="68"/>
  <c r="G84" i="68"/>
  <c r="U1367" i="2"/>
  <c r="C79" i="72" s="1"/>
  <c r="C75" i="72"/>
  <c r="U1339" i="2"/>
  <c r="C57" i="72"/>
  <c r="U1363" i="2"/>
  <c r="C72" i="72"/>
  <c r="U1341" i="2"/>
  <c r="C60" i="72"/>
  <c r="U1343" i="2"/>
  <c r="C67" i="72" s="1"/>
  <c r="C62" i="72"/>
  <c r="U1365" i="2"/>
  <c r="C73" i="72"/>
  <c r="U1337" i="2"/>
  <c r="C64" i="72" l="1"/>
  <c r="B35" i="68"/>
  <c r="C77" i="72"/>
  <c r="B36" i="68"/>
  <c r="W1772" i="2"/>
  <c r="Y1772" i="2" s="1"/>
  <c r="W1747" i="2"/>
  <c r="Y1747" i="2" s="1"/>
  <c r="C78" i="72"/>
  <c r="B42" i="68"/>
  <c r="C65" i="72"/>
  <c r="B41" i="68"/>
  <c r="C66" i="72"/>
  <c r="B68" i="68"/>
  <c r="C44" i="72"/>
  <c r="C41" i="72"/>
  <c r="C39" i="72"/>
  <c r="AB1306" i="2"/>
  <c r="Q1306" i="2"/>
  <c r="P1306" i="2"/>
  <c r="D1306" i="2"/>
  <c r="AB1305" i="2"/>
  <c r="W1305" i="2"/>
  <c r="Q1305" i="2"/>
  <c r="P1305" i="2"/>
  <c r="C1305" i="2"/>
  <c r="AB1302" i="2"/>
  <c r="Q1302" i="2"/>
  <c r="P1302" i="2"/>
  <c r="D1302" i="2"/>
  <c r="AB1301" i="2"/>
  <c r="W1301" i="2"/>
  <c r="Q1301" i="2"/>
  <c r="P1301" i="2"/>
  <c r="C1301" i="2"/>
  <c r="AB1300" i="2"/>
  <c r="Q1300" i="2"/>
  <c r="P1300" i="2"/>
  <c r="D1300" i="2"/>
  <c r="AB1299" i="2"/>
  <c r="W1299" i="2"/>
  <c r="Q1299" i="2"/>
  <c r="P1299" i="2"/>
  <c r="C1299" i="2"/>
  <c r="AB1298" i="2"/>
  <c r="Y1298" i="2"/>
  <c r="D47" i="72" s="1"/>
  <c r="W1298" i="2"/>
  <c r="U1298" i="2"/>
  <c r="C47" i="72" s="1"/>
  <c r="Q1298" i="2"/>
  <c r="P1298" i="2"/>
  <c r="C1298" i="2"/>
  <c r="AB1297" i="2"/>
  <c r="Q1297" i="2"/>
  <c r="P1297" i="2"/>
  <c r="D1297" i="2"/>
  <c r="AB1296" i="2"/>
  <c r="Q1296" i="2"/>
  <c r="P1296" i="2"/>
  <c r="D1296" i="2"/>
  <c r="AB1295" i="2"/>
  <c r="W1295" i="2"/>
  <c r="Q1295" i="2"/>
  <c r="P1295" i="2"/>
  <c r="C1295" i="2"/>
  <c r="AB1294" i="2"/>
  <c r="Y1294" i="2"/>
  <c r="D45" i="72" s="1"/>
  <c r="W1294" i="2"/>
  <c r="U1294" i="2"/>
  <c r="C45" i="72" s="1"/>
  <c r="Q1294" i="2"/>
  <c r="P1294" i="2"/>
  <c r="C1294" i="2"/>
  <c r="AB1293" i="2"/>
  <c r="Q1293" i="2"/>
  <c r="P1293" i="2"/>
  <c r="D1293" i="2"/>
  <c r="AB1292" i="2"/>
  <c r="Q1292" i="2"/>
  <c r="P1292" i="2"/>
  <c r="D1292" i="2"/>
  <c r="AB1291" i="2"/>
  <c r="Q1291" i="2"/>
  <c r="P1291" i="2"/>
  <c r="D1291" i="2"/>
  <c r="Q1290" i="2"/>
  <c r="P1290" i="2"/>
  <c r="D1290" i="2"/>
  <c r="AB1289" i="2"/>
  <c r="W1289" i="2"/>
  <c r="Q1289" i="2"/>
  <c r="P1289" i="2"/>
  <c r="C1289" i="2"/>
  <c r="AB1288" i="2"/>
  <c r="Y1288" i="2"/>
  <c r="D43" i="72" s="1"/>
  <c r="W1288" i="2"/>
  <c r="U1288" i="2"/>
  <c r="C43" i="72" s="1"/>
  <c r="Q1288" i="2"/>
  <c r="P1288" i="2"/>
  <c r="C1288" i="2"/>
  <c r="AB1287" i="2"/>
  <c r="Q1287" i="2"/>
  <c r="P1287" i="2"/>
  <c r="D1287" i="2"/>
  <c r="AB1286" i="2"/>
  <c r="Q1286" i="2"/>
  <c r="P1286" i="2"/>
  <c r="D1286" i="2"/>
  <c r="AB1285" i="2"/>
  <c r="Q1285" i="2"/>
  <c r="P1285" i="2"/>
  <c r="D1285" i="2"/>
  <c r="AB1284" i="2"/>
  <c r="Q1284" i="2"/>
  <c r="P1284" i="2"/>
  <c r="D1284" i="2"/>
  <c r="AB1283" i="2"/>
  <c r="W1283" i="2"/>
  <c r="Q1283" i="2"/>
  <c r="P1283" i="2"/>
  <c r="C1283" i="2"/>
  <c r="AB1282" i="2"/>
  <c r="Q1282" i="2"/>
  <c r="P1282" i="2"/>
  <c r="D1282" i="2"/>
  <c r="AB1281" i="2"/>
  <c r="W1281" i="2"/>
  <c r="Q1281" i="2"/>
  <c r="P1281" i="2"/>
  <c r="C1281" i="2"/>
  <c r="AB1280" i="2"/>
  <c r="Q1280" i="2"/>
  <c r="P1280" i="2"/>
  <c r="D1280" i="2"/>
  <c r="AB1279" i="2"/>
  <c r="W1279" i="2"/>
  <c r="Q1279" i="2"/>
  <c r="P1279" i="2"/>
  <c r="C1279" i="2"/>
  <c r="AB1278" i="2"/>
  <c r="Q1278" i="2"/>
  <c r="P1278" i="2"/>
  <c r="D1278" i="2"/>
  <c r="AB1277" i="2"/>
  <c r="W1277" i="2"/>
  <c r="Q1277" i="2"/>
  <c r="P1277" i="2"/>
  <c r="C1277" i="2"/>
  <c r="AB1276" i="2"/>
  <c r="Y1276" i="2"/>
  <c r="D38" i="72" s="1"/>
  <c r="W1276" i="2"/>
  <c r="U1276" i="2"/>
  <c r="C38" i="72" s="1"/>
  <c r="Q1276" i="2"/>
  <c r="P1276" i="2"/>
  <c r="C1276" i="2"/>
  <c r="C29" i="72"/>
  <c r="C27" i="72"/>
  <c r="AB1274" i="2"/>
  <c r="Q1274" i="2"/>
  <c r="P1274" i="2"/>
  <c r="D1274" i="2"/>
  <c r="AB1273" i="2"/>
  <c r="W1273" i="2"/>
  <c r="Q1273" i="2"/>
  <c r="P1273" i="2"/>
  <c r="C1273" i="2"/>
  <c r="AB1270" i="2"/>
  <c r="Q1270" i="2"/>
  <c r="P1270" i="2"/>
  <c r="D1270" i="2"/>
  <c r="AB1269" i="2"/>
  <c r="W1269" i="2"/>
  <c r="Q1269" i="2"/>
  <c r="P1269" i="2"/>
  <c r="C1269" i="2"/>
  <c r="AB1268" i="2"/>
  <c r="Q1268" i="2"/>
  <c r="P1268" i="2"/>
  <c r="D1268" i="2"/>
  <c r="AB1267" i="2"/>
  <c r="W1267" i="2"/>
  <c r="Q1267" i="2"/>
  <c r="P1267" i="2"/>
  <c r="C1267" i="2"/>
  <c r="AB1266" i="2"/>
  <c r="Y1266" i="2"/>
  <c r="D32" i="72" s="1"/>
  <c r="W1266" i="2"/>
  <c r="U1266" i="2"/>
  <c r="C32" i="72" s="1"/>
  <c r="Q1266" i="2"/>
  <c r="P1266" i="2"/>
  <c r="C1266" i="2"/>
  <c r="AB1265" i="2"/>
  <c r="Q1265" i="2"/>
  <c r="P1265" i="2"/>
  <c r="D1265" i="2"/>
  <c r="AB1264" i="2"/>
  <c r="Q1264" i="2"/>
  <c r="P1264" i="2"/>
  <c r="D1264" i="2"/>
  <c r="AB1263" i="2"/>
  <c r="W1263" i="2"/>
  <c r="Q1263" i="2"/>
  <c r="P1263" i="2"/>
  <c r="C1263" i="2"/>
  <c r="AB1262" i="2"/>
  <c r="Y1262" i="2"/>
  <c r="D30" i="72" s="1"/>
  <c r="W1262" i="2"/>
  <c r="U1262" i="2"/>
  <c r="C30" i="72" s="1"/>
  <c r="Q1262" i="2"/>
  <c r="P1262" i="2"/>
  <c r="C1262" i="2"/>
  <c r="AB1261" i="2"/>
  <c r="Q1261" i="2"/>
  <c r="P1261" i="2"/>
  <c r="D1261" i="2"/>
  <c r="AB1260" i="2"/>
  <c r="Q1260" i="2"/>
  <c r="P1260" i="2"/>
  <c r="D1260" i="2"/>
  <c r="AB1259" i="2"/>
  <c r="Q1259" i="2"/>
  <c r="P1259" i="2"/>
  <c r="D1259" i="2"/>
  <c r="Q1258" i="2"/>
  <c r="P1258" i="2"/>
  <c r="D1258" i="2"/>
  <c r="AB1257" i="2"/>
  <c r="W1257" i="2"/>
  <c r="Q1257" i="2"/>
  <c r="P1257" i="2"/>
  <c r="C1257" i="2"/>
  <c r="AB1256" i="2"/>
  <c r="Y1256" i="2"/>
  <c r="D28" i="72" s="1"/>
  <c r="W1256" i="2"/>
  <c r="U1256" i="2"/>
  <c r="C28" i="72" s="1"/>
  <c r="Q1256" i="2"/>
  <c r="P1256" i="2"/>
  <c r="C1256" i="2"/>
  <c r="AB1255" i="2"/>
  <c r="Q1255" i="2"/>
  <c r="P1255" i="2"/>
  <c r="D1255" i="2"/>
  <c r="AB1254" i="2"/>
  <c r="Q1254" i="2"/>
  <c r="P1254" i="2"/>
  <c r="D1254" i="2"/>
  <c r="AB1253" i="2"/>
  <c r="Q1253" i="2"/>
  <c r="P1253" i="2"/>
  <c r="D1253" i="2"/>
  <c r="AB1252" i="2"/>
  <c r="Q1252" i="2"/>
  <c r="P1252" i="2"/>
  <c r="D1252" i="2"/>
  <c r="AB1251" i="2"/>
  <c r="W1251" i="2"/>
  <c r="Q1251" i="2"/>
  <c r="P1251" i="2"/>
  <c r="C1251" i="2"/>
  <c r="AB1250" i="2"/>
  <c r="Q1250" i="2"/>
  <c r="P1250" i="2"/>
  <c r="D1250" i="2"/>
  <c r="AB1249" i="2"/>
  <c r="W1249" i="2"/>
  <c r="Q1249" i="2"/>
  <c r="P1249" i="2"/>
  <c r="C1249" i="2"/>
  <c r="AB1248" i="2"/>
  <c r="Q1248" i="2"/>
  <c r="P1248" i="2"/>
  <c r="D1248" i="2"/>
  <c r="AB1247" i="2"/>
  <c r="W1247" i="2"/>
  <c r="Q1247" i="2"/>
  <c r="P1247" i="2"/>
  <c r="C1247" i="2"/>
  <c r="AB1246" i="2"/>
  <c r="Q1246" i="2"/>
  <c r="P1246" i="2"/>
  <c r="D1246" i="2"/>
  <c r="AB1245" i="2"/>
  <c r="W1245" i="2"/>
  <c r="Q1245" i="2"/>
  <c r="P1245" i="2"/>
  <c r="C1245" i="2"/>
  <c r="AB1244" i="2"/>
  <c r="Y1244" i="2"/>
  <c r="D23" i="72" s="1"/>
  <c r="W1244" i="2"/>
  <c r="U1244" i="2"/>
  <c r="C23" i="72" s="1"/>
  <c r="Q1244" i="2"/>
  <c r="P1244" i="2"/>
  <c r="C1244" i="2"/>
  <c r="C9" i="72"/>
  <c r="U1273" i="2" l="1"/>
  <c r="C36" i="72" s="1"/>
  <c r="C31" i="72"/>
  <c r="U1235" i="2"/>
  <c r="C11" i="72"/>
  <c r="U1301" i="2"/>
  <c r="C42" i="72"/>
  <c r="U1237" i="2"/>
  <c r="C12" i="72"/>
  <c r="U1241" i="2"/>
  <c r="C21" i="72" s="1"/>
  <c r="C16" i="72"/>
  <c r="U1267" i="2"/>
  <c r="C26" i="72"/>
  <c r="U1305" i="2"/>
  <c r="C51" i="72" s="1"/>
  <c r="C46" i="72"/>
  <c r="U1271" i="2"/>
  <c r="U1303" i="2"/>
  <c r="U1299" i="2"/>
  <c r="U1269" i="2"/>
  <c r="C14" i="72"/>
  <c r="AB1229" i="2"/>
  <c r="Q1229" i="2"/>
  <c r="P1229" i="2"/>
  <c r="D1229" i="2"/>
  <c r="AB1228" i="2"/>
  <c r="Q1228" i="2"/>
  <c r="P1228" i="2"/>
  <c r="D1228" i="2"/>
  <c r="AB1227" i="2"/>
  <c r="Q1227" i="2"/>
  <c r="P1227" i="2"/>
  <c r="D1227" i="2"/>
  <c r="Q1226" i="2"/>
  <c r="P1226" i="2"/>
  <c r="D1226" i="2"/>
  <c r="AB1225" i="2"/>
  <c r="W1225" i="2"/>
  <c r="Q1225" i="2"/>
  <c r="P1225" i="2"/>
  <c r="C1225" i="2"/>
  <c r="AB1224" i="2"/>
  <c r="Y1224" i="2"/>
  <c r="D13" i="72" s="1"/>
  <c r="W1224" i="2"/>
  <c r="U1224" i="2"/>
  <c r="C13" i="72" s="1"/>
  <c r="Q1224" i="2"/>
  <c r="P1224" i="2"/>
  <c r="C1224" i="2"/>
  <c r="U789" i="2"/>
  <c r="U774" i="2"/>
  <c r="U745" i="2"/>
  <c r="U716" i="2"/>
  <c r="U683" i="2"/>
  <c r="AB1545" i="2"/>
  <c r="W1545" i="2"/>
  <c r="Y1545" i="2" s="1"/>
  <c r="C33" i="72" l="1"/>
  <c r="B33" i="68"/>
  <c r="C18" i="72"/>
  <c r="B32" i="68"/>
  <c r="C48" i="72"/>
  <c r="B34" i="68"/>
  <c r="U2119" i="2"/>
  <c r="B81" i="68"/>
  <c r="C34" i="72"/>
  <c r="B39" i="68"/>
  <c r="C49" i="72"/>
  <c r="B40" i="68"/>
  <c r="C19" i="72"/>
  <c r="B38" i="68"/>
  <c r="C35" i="72"/>
  <c r="B66" i="68"/>
  <c r="C50" i="72"/>
  <c r="B67" i="68"/>
  <c r="W1614" i="2"/>
  <c r="Y1614" i="2" s="1"/>
  <c r="W1551" i="2"/>
  <c r="Y1551" i="2" s="1"/>
  <c r="W1686" i="2"/>
  <c r="Y1686" i="2" s="1"/>
  <c r="W1680" i="2"/>
  <c r="Y1680" i="2" s="1"/>
  <c r="AB1680" i="2"/>
  <c r="AB1551" i="2"/>
  <c r="AB1614" i="2"/>
  <c r="AB1686" i="2"/>
  <c r="W1534" i="2"/>
  <c r="Y1534" i="2" s="1"/>
  <c r="W1674" i="2"/>
  <c r="Y1674" i="2" s="1"/>
  <c r="W1608" i="2"/>
  <c r="Y1608" i="2" s="1"/>
  <c r="W1539" i="2"/>
  <c r="Y1539" i="2" s="1"/>
  <c r="AB1674" i="2"/>
  <c r="AB1608" i="2"/>
  <c r="AB1539" i="2"/>
  <c r="AB1534" i="2"/>
  <c r="W1487" i="2"/>
  <c r="Y1487" i="2" s="1"/>
  <c r="W1482" i="2"/>
  <c r="Y1482" i="2" s="1"/>
  <c r="AB1487" i="2"/>
  <c r="AB1482" i="2"/>
  <c r="W1290" i="2"/>
  <c r="Y1290" i="2" s="1"/>
  <c r="W1258" i="2"/>
  <c r="Y1258" i="2" s="1"/>
  <c r="W1226" i="2"/>
  <c r="Y1226" i="2" s="1"/>
  <c r="W1651" i="2"/>
  <c r="Y1651" i="2" s="1"/>
  <c r="W1470" i="2"/>
  <c r="Y1470" i="2" s="1"/>
  <c r="W1590" i="2"/>
  <c r="Y1590" i="2" s="1"/>
  <c r="W1516" i="2"/>
  <c r="Y1516" i="2" s="1"/>
  <c r="W1663" i="2"/>
  <c r="Y1663" i="2" s="1"/>
  <c r="W2109" i="2"/>
  <c r="Y2109" i="2" s="1"/>
  <c r="W1602" i="2"/>
  <c r="Y1602" i="2" s="1"/>
  <c r="W1528" i="2"/>
  <c r="Y1528" i="2" s="1"/>
  <c r="W1657" i="2"/>
  <c r="Y1657" i="2" s="1"/>
  <c r="W1596" i="2"/>
  <c r="Y1596" i="2" s="1"/>
  <c r="W1522" i="2"/>
  <c r="Y1522" i="2" s="1"/>
  <c r="W1328" i="2"/>
  <c r="Y1328" i="2" s="1"/>
  <c r="W1476" i="2"/>
  <c r="Y1476" i="2" s="1"/>
  <c r="U1239" i="2"/>
  <c r="B65" i="68" s="1"/>
  <c r="AB1651" i="2"/>
  <c r="AB1590" i="2"/>
  <c r="AB1528" i="2"/>
  <c r="AB1602" i="2"/>
  <c r="AB1663" i="2"/>
  <c r="AB1657" i="2"/>
  <c r="AB1596" i="2"/>
  <c r="AB1226" i="2"/>
  <c r="AB1516" i="2"/>
  <c r="AB1470" i="2"/>
  <c r="AB1328" i="2"/>
  <c r="AB1522" i="2"/>
  <c r="AB1290" i="2"/>
  <c r="AB1258" i="2"/>
  <c r="AB2112" i="2"/>
  <c r="Q2112" i="2"/>
  <c r="P2112" i="2"/>
  <c r="D2112" i="2"/>
  <c r="AB2111" i="2"/>
  <c r="Q2111" i="2"/>
  <c r="P2111" i="2"/>
  <c r="D2111" i="2"/>
  <c r="C33" i="68" l="1"/>
  <c r="D33" i="68" s="1"/>
  <c r="C34" i="68"/>
  <c r="D34" i="68" s="1"/>
  <c r="C32" i="68"/>
  <c r="D32" i="68" s="1"/>
  <c r="C36" i="68"/>
  <c r="D36" i="68" s="1"/>
  <c r="C35" i="68"/>
  <c r="D35" i="68" s="1"/>
  <c r="C40" i="68"/>
  <c r="D40" i="68" s="1"/>
  <c r="C39" i="68"/>
  <c r="D39" i="68" s="1"/>
  <c r="C38" i="68"/>
  <c r="D38" i="68" s="1"/>
  <c r="C41" i="68"/>
  <c r="D41" i="68" s="1"/>
  <c r="C42" i="68"/>
  <c r="D42" i="68" s="1"/>
  <c r="C20" i="72"/>
  <c r="C66" i="68"/>
  <c r="D66" i="68" s="1"/>
  <c r="G80" i="68"/>
  <c r="C284" i="61"/>
  <c r="G30" i="68" l="1" a="1"/>
  <c r="G30" i="68" s="1"/>
  <c r="U2117" i="2"/>
  <c r="B102" i="68"/>
  <c r="C102" i="68" s="1"/>
  <c r="D102" i="68" s="1"/>
  <c r="G38" i="68" a="1"/>
  <c r="G38" i="68" s="1"/>
  <c r="C273" i="61"/>
  <c r="C69" i="68"/>
  <c r="D69" i="68" s="1"/>
  <c r="C65" i="68"/>
  <c r="D65" i="68" s="1"/>
  <c r="C70" i="68"/>
  <c r="D70" i="68" s="1"/>
  <c r="C68" i="68"/>
  <c r="D68" i="68" s="1"/>
  <c r="C67" i="68"/>
  <c r="D67" i="68" s="1"/>
  <c r="C74" i="68"/>
  <c r="C73" i="68"/>
  <c r="D73" i="68" s="1"/>
  <c r="C72" i="68"/>
  <c r="D72" i="68" s="1"/>
  <c r="C71" i="68"/>
  <c r="U2098" i="2"/>
  <c r="C353" i="61" l="1"/>
  <c r="G102" i="68"/>
  <c r="U2115" i="2"/>
  <c r="W1913" i="2" l="1"/>
  <c r="Y1913" i="2" s="1"/>
  <c r="W1941" i="2"/>
  <c r="Y1941" i="2" s="1"/>
  <c r="W1877" i="2"/>
  <c r="Y1877" i="2" s="1"/>
  <c r="Q1956" i="2"/>
  <c r="P1956" i="2"/>
  <c r="D1956" i="2"/>
  <c r="Q1954" i="2"/>
  <c r="P1954" i="2"/>
  <c r="D1954" i="2"/>
  <c r="Q1952" i="2"/>
  <c r="P1952" i="2"/>
  <c r="D1952" i="2"/>
  <c r="AB1950" i="2"/>
  <c r="Q1950" i="2"/>
  <c r="P1950" i="2"/>
  <c r="D1950" i="2"/>
  <c r="AB1949" i="2"/>
  <c r="W1949" i="2"/>
  <c r="Q1949" i="2"/>
  <c r="P1949" i="2"/>
  <c r="C1949" i="2"/>
  <c r="AB1948" i="2"/>
  <c r="Y1948" i="2"/>
  <c r="W1948" i="2"/>
  <c r="U1948" i="2"/>
  <c r="Q1948" i="2"/>
  <c r="P1948" i="2"/>
  <c r="C1948" i="2"/>
  <c r="Q1947" i="2"/>
  <c r="P1947" i="2"/>
  <c r="D1947" i="2"/>
  <c r="AB1946" i="2"/>
  <c r="W1946" i="2"/>
  <c r="Q1946" i="2"/>
  <c r="P1946" i="2"/>
  <c r="C1946" i="2"/>
  <c r="AB1945" i="2"/>
  <c r="Q1945" i="2"/>
  <c r="P1945" i="2"/>
  <c r="D1945" i="2"/>
  <c r="AB1944" i="2"/>
  <c r="W1944" i="2"/>
  <c r="Q1944" i="2"/>
  <c r="P1944" i="2"/>
  <c r="C1944" i="2"/>
  <c r="AB1943" i="2"/>
  <c r="Y1943" i="2"/>
  <c r="W1943" i="2"/>
  <c r="U1943" i="2"/>
  <c r="Q1943" i="2"/>
  <c r="P1943" i="2"/>
  <c r="C1943" i="2"/>
  <c r="AB1922" i="2"/>
  <c r="Y1922" i="2"/>
  <c r="W1922" i="2"/>
  <c r="U1922" i="2"/>
  <c r="Q1922" i="2"/>
  <c r="P1922" i="2"/>
  <c r="C1922" i="2"/>
  <c r="AB1886" i="2"/>
  <c r="Y1886" i="2"/>
  <c r="W1886" i="2"/>
  <c r="U1886" i="2"/>
  <c r="Q1886" i="2"/>
  <c r="P1886" i="2"/>
  <c r="C1886" i="2"/>
  <c r="AB1853" i="2"/>
  <c r="Y1853" i="2"/>
  <c r="W1853" i="2"/>
  <c r="U1853" i="2"/>
  <c r="Q1853" i="2"/>
  <c r="P1853" i="2"/>
  <c r="C1853" i="2"/>
  <c r="C1854" i="2"/>
  <c r="P1854" i="2"/>
  <c r="Q1854" i="2"/>
  <c r="W1854" i="2"/>
  <c r="AB1854" i="2"/>
  <c r="D1855" i="2"/>
  <c r="P1855" i="2"/>
  <c r="Q1855" i="2"/>
  <c r="AB1855" i="2"/>
  <c r="Q1859" i="2"/>
  <c r="P1859" i="2"/>
  <c r="D1859" i="2"/>
  <c r="Q1857" i="2"/>
  <c r="P1857" i="2"/>
  <c r="D1857" i="2"/>
  <c r="Q1892" i="2"/>
  <c r="P1892" i="2"/>
  <c r="D1892" i="2"/>
  <c r="Q1926" i="2"/>
  <c r="P1926" i="2"/>
  <c r="D1926" i="2"/>
  <c r="AB1941" i="2"/>
  <c r="Q1941" i="2"/>
  <c r="P1941" i="2"/>
  <c r="D1941" i="2"/>
  <c r="AB1940" i="2"/>
  <c r="W1940" i="2"/>
  <c r="Q1940" i="2"/>
  <c r="P1940" i="2"/>
  <c r="C1940" i="2"/>
  <c r="AB1939" i="2"/>
  <c r="Y1939" i="2"/>
  <c r="W1939" i="2"/>
  <c r="U1939" i="2"/>
  <c r="Q1939" i="2"/>
  <c r="P1939" i="2"/>
  <c r="C1939" i="2"/>
  <c r="Q1933" i="2"/>
  <c r="P1933" i="2"/>
  <c r="D1933" i="2"/>
  <c r="AB1932" i="2"/>
  <c r="Q1932" i="2"/>
  <c r="P1932" i="2"/>
  <c r="D1932" i="2"/>
  <c r="AB1931" i="2"/>
  <c r="W1931" i="2"/>
  <c r="Q1931" i="2"/>
  <c r="P1931" i="2"/>
  <c r="C1931" i="2"/>
  <c r="Q1930" i="2"/>
  <c r="P1930" i="2"/>
  <c r="D1930" i="2"/>
  <c r="AB1929" i="2"/>
  <c r="Q1929" i="2"/>
  <c r="P1929" i="2"/>
  <c r="D1929" i="2"/>
  <c r="AB1928" i="2"/>
  <c r="W1928" i="2"/>
  <c r="Q1928" i="2"/>
  <c r="P1928" i="2"/>
  <c r="C1928" i="2"/>
  <c r="AB1927" i="2"/>
  <c r="Y1927" i="2"/>
  <c r="W1927" i="2"/>
  <c r="U1927" i="2"/>
  <c r="Q1927" i="2"/>
  <c r="P1927" i="2"/>
  <c r="C1927" i="2"/>
  <c r="AB1924" i="2"/>
  <c r="Q1924" i="2"/>
  <c r="P1924" i="2"/>
  <c r="D1924" i="2"/>
  <c r="AB1923" i="2"/>
  <c r="W1923" i="2"/>
  <c r="Q1923" i="2"/>
  <c r="P1923" i="2"/>
  <c r="C1923" i="2"/>
  <c r="Q1921" i="2"/>
  <c r="P1921" i="2"/>
  <c r="D1921" i="2"/>
  <c r="AB1920" i="2"/>
  <c r="W1920" i="2"/>
  <c r="Q1920" i="2"/>
  <c r="P1920" i="2"/>
  <c r="C1920" i="2"/>
  <c r="Q1919" i="2"/>
  <c r="P1919" i="2"/>
  <c r="D1919" i="2"/>
  <c r="AB1918" i="2"/>
  <c r="W1918" i="2"/>
  <c r="Q1918" i="2"/>
  <c r="P1918" i="2"/>
  <c r="C1918" i="2"/>
  <c r="AB1917" i="2"/>
  <c r="Q1917" i="2"/>
  <c r="P1917" i="2"/>
  <c r="D1917" i="2"/>
  <c r="AB1916" i="2"/>
  <c r="W1916" i="2"/>
  <c r="Q1916" i="2"/>
  <c r="P1916" i="2"/>
  <c r="C1916" i="2"/>
  <c r="AB1915" i="2"/>
  <c r="Y1915" i="2"/>
  <c r="W1915" i="2"/>
  <c r="U1915" i="2"/>
  <c r="Q1915" i="2"/>
  <c r="P1915" i="2"/>
  <c r="C1915" i="2"/>
  <c r="AB1913" i="2" l="1"/>
  <c r="Q1913" i="2"/>
  <c r="P1913" i="2"/>
  <c r="D1913" i="2"/>
  <c r="AB1912" i="2"/>
  <c r="W1912" i="2"/>
  <c r="Q1912" i="2"/>
  <c r="P1912" i="2"/>
  <c r="C1912" i="2"/>
  <c r="AB1911" i="2"/>
  <c r="Y1911" i="2"/>
  <c r="W1911" i="2"/>
  <c r="U1911" i="2"/>
  <c r="Q1911" i="2"/>
  <c r="P1911" i="2"/>
  <c r="C1911" i="2"/>
  <c r="Q1902" i="2"/>
  <c r="P1902" i="2"/>
  <c r="D1902" i="2"/>
  <c r="AB1901" i="2"/>
  <c r="Q1901" i="2"/>
  <c r="P1901" i="2"/>
  <c r="D1901" i="2"/>
  <c r="AB1900" i="2"/>
  <c r="W1900" i="2"/>
  <c r="Q1900" i="2"/>
  <c r="P1900" i="2"/>
  <c r="C1900" i="2"/>
  <c r="Q1899" i="2"/>
  <c r="P1899" i="2"/>
  <c r="D1899" i="2"/>
  <c r="AB1898" i="2"/>
  <c r="Q1898" i="2"/>
  <c r="P1898" i="2"/>
  <c r="D1898" i="2"/>
  <c r="AB1897" i="2"/>
  <c r="W1897" i="2"/>
  <c r="Q1897" i="2"/>
  <c r="P1897" i="2"/>
  <c r="C1897" i="2"/>
  <c r="Q1896" i="2"/>
  <c r="P1896" i="2"/>
  <c r="D1896" i="2"/>
  <c r="AB1895" i="2"/>
  <c r="Q1895" i="2"/>
  <c r="P1895" i="2"/>
  <c r="D1895" i="2"/>
  <c r="AB1894" i="2"/>
  <c r="W1894" i="2"/>
  <c r="Q1894" i="2"/>
  <c r="P1894" i="2"/>
  <c r="C1894" i="2"/>
  <c r="AB1893" i="2"/>
  <c r="Y1893" i="2"/>
  <c r="W1893" i="2"/>
  <c r="U1893" i="2"/>
  <c r="Q1893" i="2"/>
  <c r="P1893" i="2"/>
  <c r="C1893" i="2"/>
  <c r="AB1888" i="2"/>
  <c r="Q1888" i="2"/>
  <c r="P1888" i="2"/>
  <c r="D1888" i="2"/>
  <c r="AB1887" i="2"/>
  <c r="W1887" i="2"/>
  <c r="Q1887" i="2"/>
  <c r="P1887" i="2"/>
  <c r="C1887" i="2"/>
  <c r="Q1885" i="2"/>
  <c r="P1885" i="2"/>
  <c r="D1885" i="2"/>
  <c r="AB1884" i="2"/>
  <c r="W1884" i="2"/>
  <c r="Q1884" i="2"/>
  <c r="P1884" i="2"/>
  <c r="C1884" i="2"/>
  <c r="Q1883" i="2"/>
  <c r="P1883" i="2"/>
  <c r="D1883" i="2"/>
  <c r="AB1882" i="2"/>
  <c r="W1882" i="2"/>
  <c r="Q1882" i="2"/>
  <c r="P1882" i="2"/>
  <c r="C1882" i="2"/>
  <c r="AB1881" i="2"/>
  <c r="Q1881" i="2"/>
  <c r="P1881" i="2"/>
  <c r="D1881" i="2"/>
  <c r="AB1880" i="2"/>
  <c r="W1880" i="2"/>
  <c r="Q1880" i="2"/>
  <c r="P1880" i="2"/>
  <c r="C1880" i="2"/>
  <c r="AB1879" i="2"/>
  <c r="Y1879" i="2"/>
  <c r="W1879" i="2"/>
  <c r="U1879" i="2"/>
  <c r="Q1879" i="2"/>
  <c r="P1879" i="2"/>
  <c r="C1879" i="2"/>
  <c r="Q1863" i="2"/>
  <c r="P1863" i="2"/>
  <c r="D1863" i="2"/>
  <c r="AB1862" i="2"/>
  <c r="Q1862" i="2"/>
  <c r="P1862" i="2"/>
  <c r="D1862" i="2"/>
  <c r="AB1861" i="2"/>
  <c r="W1861" i="2"/>
  <c r="Q1861" i="2"/>
  <c r="P1861" i="2"/>
  <c r="C1861" i="2"/>
  <c r="Q1843" i="2"/>
  <c r="P1843" i="2"/>
  <c r="D1843" i="2"/>
  <c r="U1867" i="2" l="1"/>
  <c r="U1903" i="2"/>
  <c r="U1876" i="2" l="1"/>
  <c r="U1870" i="2"/>
  <c r="U1906" i="2"/>
  <c r="U1912" i="2" l="1"/>
  <c r="U1940" i="2" l="1"/>
  <c r="U1934" i="2"/>
  <c r="Y1950" i="2"/>
  <c r="Y1855" i="2"/>
  <c r="Y1888" i="2"/>
  <c r="Y1924" i="2"/>
  <c r="Y1846" i="2" l="1"/>
  <c r="AB1846" i="2" l="1"/>
  <c r="Q1846" i="2"/>
  <c r="P1846" i="2"/>
  <c r="D1846" i="2"/>
  <c r="AB1845" i="2"/>
  <c r="W1845" i="2"/>
  <c r="Q1845" i="2"/>
  <c r="P1845" i="2"/>
  <c r="C1845" i="2"/>
  <c r="AB1844" i="2"/>
  <c r="Y1844" i="2"/>
  <c r="W1844" i="2"/>
  <c r="U1844" i="2"/>
  <c r="Q1844" i="2"/>
  <c r="P1844" i="2"/>
  <c r="C1844" i="2"/>
  <c r="AB1890" i="2"/>
  <c r="W1890" i="2"/>
  <c r="Y1890" i="2" s="1"/>
  <c r="W1859" i="2" l="1"/>
  <c r="Y1859" i="2" s="1"/>
  <c r="W1954" i="2"/>
  <c r="Y1954" i="2" s="1"/>
  <c r="W1896" i="2"/>
  <c r="Y1896" i="2" s="1"/>
  <c r="W1952" i="2"/>
  <c r="Y1952" i="2" s="1"/>
  <c r="W1926" i="2"/>
  <c r="Y1926" i="2" s="1"/>
  <c r="W1857" i="2"/>
  <c r="Y1857" i="2" s="1"/>
  <c r="W1956" i="2"/>
  <c r="Y1956" i="2" s="1"/>
  <c r="W1933" i="2"/>
  <c r="Y1933" i="2" s="1"/>
  <c r="W1892" i="2"/>
  <c r="Y1892" i="2" s="1"/>
  <c r="W1930" i="2"/>
  <c r="Y1930" i="2" s="1"/>
  <c r="W1866" i="2"/>
  <c r="Y1866" i="2" s="1"/>
  <c r="W1902" i="2"/>
  <c r="Y1902" i="2" s="1"/>
  <c r="W1899" i="2"/>
  <c r="Y1899" i="2" s="1"/>
  <c r="W1863" i="2"/>
  <c r="Y1863" i="2" s="1"/>
  <c r="AB1863" i="2"/>
  <c r="AB1899" i="2"/>
  <c r="AB1859" i="2"/>
  <c r="AB1954" i="2"/>
  <c r="AB1896" i="2"/>
  <c r="AB1956" i="2"/>
  <c r="AB1933" i="2"/>
  <c r="AB1857" i="2"/>
  <c r="AB1926" i="2"/>
  <c r="AB1952" i="2"/>
  <c r="AB1892" i="2"/>
  <c r="AB1930" i="2"/>
  <c r="AB1902" i="2"/>
  <c r="AB805" i="2" l="1"/>
  <c r="Q805" i="2"/>
  <c r="P805" i="2"/>
  <c r="D805" i="2"/>
  <c r="AB804" i="2"/>
  <c r="W804" i="2"/>
  <c r="Q804" i="2"/>
  <c r="P804" i="2"/>
  <c r="C804" i="2"/>
  <c r="AB803" i="2"/>
  <c r="Y803" i="2"/>
  <c r="W803" i="2"/>
  <c r="U803" i="2"/>
  <c r="Q803" i="2"/>
  <c r="P803" i="2"/>
  <c r="C803" i="2"/>
  <c r="AB787" i="2"/>
  <c r="Q787" i="2"/>
  <c r="P787" i="2"/>
  <c r="D787" i="2"/>
  <c r="AB786" i="2"/>
  <c r="Q786" i="2"/>
  <c r="P786" i="2"/>
  <c r="D786" i="2"/>
  <c r="AB785" i="2"/>
  <c r="W785" i="2"/>
  <c r="U804" i="2"/>
  <c r="B17" i="68" s="1"/>
  <c r="Q785" i="2"/>
  <c r="P785" i="2"/>
  <c r="C785" i="2"/>
  <c r="AB706" i="2" l="1"/>
  <c r="Q706" i="2"/>
  <c r="P706" i="2"/>
  <c r="D706" i="2"/>
  <c r="AB705" i="2"/>
  <c r="Q705" i="2"/>
  <c r="P705" i="2"/>
  <c r="D705" i="2"/>
  <c r="AB704" i="2"/>
  <c r="W704" i="2"/>
  <c r="Q704" i="2"/>
  <c r="P704" i="2"/>
  <c r="C704" i="2"/>
  <c r="AB703" i="2"/>
  <c r="Y703" i="2"/>
  <c r="W703" i="2"/>
  <c r="U703" i="2"/>
  <c r="Q703" i="2"/>
  <c r="P703" i="2"/>
  <c r="C703" i="2"/>
  <c r="AB782" i="2"/>
  <c r="Q782" i="2"/>
  <c r="P782" i="2"/>
  <c r="D782" i="2"/>
  <c r="AB781" i="2"/>
  <c r="W781" i="2"/>
  <c r="Q781" i="2"/>
  <c r="P781" i="2"/>
  <c r="C781" i="2"/>
  <c r="AB780" i="2"/>
  <c r="Y780" i="2"/>
  <c r="W780" i="2"/>
  <c r="U780" i="2"/>
  <c r="Q780" i="2"/>
  <c r="P780" i="2"/>
  <c r="C780" i="2"/>
  <c r="AB779" i="2"/>
  <c r="Q779" i="2"/>
  <c r="P779" i="2"/>
  <c r="D779" i="2"/>
  <c r="AB778" i="2"/>
  <c r="W778" i="2"/>
  <c r="Q778" i="2"/>
  <c r="P778" i="2"/>
  <c r="C778" i="2"/>
  <c r="AB777" i="2"/>
  <c r="Q777" i="2"/>
  <c r="P777" i="2"/>
  <c r="D777" i="2"/>
  <c r="AB776" i="2"/>
  <c r="Q776" i="2"/>
  <c r="P776" i="2"/>
  <c r="D776" i="2"/>
  <c r="AB775" i="2"/>
  <c r="Q775" i="2"/>
  <c r="P775" i="2"/>
  <c r="D775" i="2"/>
  <c r="AB774" i="2"/>
  <c r="W774" i="2"/>
  <c r="Q774" i="2"/>
  <c r="P774" i="2"/>
  <c r="C774" i="2"/>
  <c r="AB773" i="2"/>
  <c r="Q773" i="2"/>
  <c r="P773" i="2"/>
  <c r="D773" i="2"/>
  <c r="AB772" i="2"/>
  <c r="Q772" i="2"/>
  <c r="P772" i="2"/>
  <c r="D772" i="2"/>
  <c r="AB771" i="2"/>
  <c r="Q771" i="2"/>
  <c r="P771" i="2"/>
  <c r="D771" i="2"/>
  <c r="AB770" i="2"/>
  <c r="Q770" i="2"/>
  <c r="P770" i="2"/>
  <c r="D770" i="2"/>
  <c r="AB769" i="2"/>
  <c r="Q769" i="2"/>
  <c r="P769" i="2"/>
  <c r="D769" i="2"/>
  <c r="Q768" i="2"/>
  <c r="P768" i="2"/>
  <c r="D768" i="2"/>
  <c r="AB767" i="2"/>
  <c r="Q767" i="2"/>
  <c r="P767" i="2"/>
  <c r="D767" i="2"/>
  <c r="AB766" i="2"/>
  <c r="W766" i="2"/>
  <c r="Q766" i="2"/>
  <c r="P766" i="2"/>
  <c r="C766" i="2"/>
  <c r="AB765" i="2"/>
  <c r="Y765" i="2"/>
  <c r="W765" i="2"/>
  <c r="U765" i="2"/>
  <c r="Q765" i="2"/>
  <c r="P765" i="2"/>
  <c r="C765" i="2"/>
  <c r="AB764" i="2"/>
  <c r="Q764" i="2"/>
  <c r="P764" i="2"/>
  <c r="D764" i="2"/>
  <c r="AB763" i="2"/>
  <c r="Q763" i="2"/>
  <c r="P763" i="2"/>
  <c r="D763" i="2"/>
  <c r="AB762" i="2"/>
  <c r="W762" i="2"/>
  <c r="Q762" i="2"/>
  <c r="P762" i="2"/>
  <c r="C762" i="2"/>
  <c r="AB761" i="2"/>
  <c r="Q761" i="2"/>
  <c r="P761" i="2"/>
  <c r="D761" i="2"/>
  <c r="AB760" i="2"/>
  <c r="Q760" i="2"/>
  <c r="P760" i="2"/>
  <c r="D760" i="2"/>
  <c r="AB759" i="2"/>
  <c r="W759" i="2"/>
  <c r="Q759" i="2"/>
  <c r="P759" i="2"/>
  <c r="C759" i="2"/>
  <c r="AB758" i="2"/>
  <c r="Q758" i="2"/>
  <c r="P758" i="2"/>
  <c r="D758" i="2"/>
  <c r="AB757" i="2"/>
  <c r="Q757" i="2"/>
  <c r="P757" i="2"/>
  <c r="D757" i="2"/>
  <c r="AB756" i="2"/>
  <c r="W756" i="2"/>
  <c r="U781" i="2"/>
  <c r="B16" i="68" s="1"/>
  <c r="Q756" i="2"/>
  <c r="P756" i="2"/>
  <c r="C756" i="2"/>
  <c r="AB755" i="2"/>
  <c r="Y755" i="2"/>
  <c r="W755" i="2"/>
  <c r="U755" i="2"/>
  <c r="Q755" i="2"/>
  <c r="P755" i="2"/>
  <c r="C755" i="2"/>
  <c r="AB753" i="2"/>
  <c r="Q753" i="2"/>
  <c r="P753" i="2"/>
  <c r="D753" i="2"/>
  <c r="AB752" i="2"/>
  <c r="W752" i="2"/>
  <c r="Q752" i="2"/>
  <c r="P752" i="2"/>
  <c r="C752" i="2"/>
  <c r="AB751" i="2"/>
  <c r="Y751" i="2"/>
  <c r="W751" i="2"/>
  <c r="U751" i="2"/>
  <c r="Q751" i="2"/>
  <c r="P751" i="2"/>
  <c r="C751" i="2"/>
  <c r="AB750" i="2"/>
  <c r="Q750" i="2"/>
  <c r="P750" i="2"/>
  <c r="D750" i="2"/>
  <c r="AB749" i="2"/>
  <c r="W749" i="2"/>
  <c r="Q749" i="2"/>
  <c r="P749" i="2"/>
  <c r="C749" i="2"/>
  <c r="AB748" i="2"/>
  <c r="Q748" i="2"/>
  <c r="P748" i="2"/>
  <c r="D748" i="2"/>
  <c r="AB747" i="2"/>
  <c r="Q747" i="2"/>
  <c r="P747" i="2"/>
  <c r="D747" i="2"/>
  <c r="AB746" i="2"/>
  <c r="Q746" i="2"/>
  <c r="P746" i="2"/>
  <c r="D746" i="2"/>
  <c r="AB745" i="2"/>
  <c r="W745" i="2"/>
  <c r="Q745" i="2"/>
  <c r="P745" i="2"/>
  <c r="C745" i="2"/>
  <c r="AB744" i="2"/>
  <c r="Q744" i="2"/>
  <c r="P744" i="2"/>
  <c r="D744" i="2"/>
  <c r="AB743" i="2"/>
  <c r="Q743" i="2"/>
  <c r="P743" i="2"/>
  <c r="D743" i="2"/>
  <c r="AB742" i="2"/>
  <c r="Q742" i="2"/>
  <c r="P742" i="2"/>
  <c r="D742" i="2"/>
  <c r="AB741" i="2"/>
  <c r="Q741" i="2"/>
  <c r="P741" i="2"/>
  <c r="D741" i="2"/>
  <c r="AB740" i="2"/>
  <c r="Q740" i="2"/>
  <c r="P740" i="2"/>
  <c r="D740" i="2"/>
  <c r="Q739" i="2"/>
  <c r="P739" i="2"/>
  <c r="D739" i="2"/>
  <c r="AB738" i="2"/>
  <c r="Q738" i="2"/>
  <c r="P738" i="2"/>
  <c r="D738" i="2"/>
  <c r="AB737" i="2"/>
  <c r="W737" i="2"/>
  <c r="Q737" i="2"/>
  <c r="P737" i="2"/>
  <c r="C737" i="2"/>
  <c r="AB736" i="2"/>
  <c r="Y736" i="2"/>
  <c r="W736" i="2"/>
  <c r="U736" i="2"/>
  <c r="Q736" i="2"/>
  <c r="P736" i="2"/>
  <c r="C736" i="2"/>
  <c r="AB735" i="2"/>
  <c r="Q735" i="2"/>
  <c r="P735" i="2"/>
  <c r="D735" i="2"/>
  <c r="AB734" i="2"/>
  <c r="Q734" i="2"/>
  <c r="P734" i="2"/>
  <c r="D734" i="2"/>
  <c r="AB733" i="2"/>
  <c r="W733" i="2"/>
  <c r="Q733" i="2"/>
  <c r="P733" i="2"/>
  <c r="C733" i="2"/>
  <c r="AB732" i="2"/>
  <c r="Q732" i="2"/>
  <c r="P732" i="2"/>
  <c r="D732" i="2"/>
  <c r="AB731" i="2"/>
  <c r="Q731" i="2"/>
  <c r="P731" i="2"/>
  <c r="D731" i="2"/>
  <c r="AB730" i="2"/>
  <c r="W730" i="2"/>
  <c r="Q730" i="2"/>
  <c r="P730" i="2"/>
  <c r="C730" i="2"/>
  <c r="AB729" i="2"/>
  <c r="Q729" i="2"/>
  <c r="P729" i="2"/>
  <c r="D729" i="2"/>
  <c r="AB728" i="2"/>
  <c r="Q728" i="2"/>
  <c r="P728" i="2"/>
  <c r="D728" i="2"/>
  <c r="AB727" i="2"/>
  <c r="W727" i="2"/>
  <c r="Q727" i="2"/>
  <c r="P727" i="2"/>
  <c r="C727" i="2"/>
  <c r="AB726" i="2"/>
  <c r="Y726" i="2"/>
  <c r="W726" i="2"/>
  <c r="U726" i="2"/>
  <c r="Q726" i="2"/>
  <c r="P726" i="2"/>
  <c r="C726" i="2"/>
  <c r="AB724" i="2"/>
  <c r="Q724" i="2"/>
  <c r="P724" i="2"/>
  <c r="D724" i="2"/>
  <c r="AB723" i="2"/>
  <c r="W723" i="2"/>
  <c r="Q723" i="2"/>
  <c r="P723" i="2"/>
  <c r="C723" i="2"/>
  <c r="AB722" i="2"/>
  <c r="Y722" i="2"/>
  <c r="W722" i="2"/>
  <c r="U722" i="2"/>
  <c r="Q722" i="2"/>
  <c r="P722" i="2"/>
  <c r="C722" i="2"/>
  <c r="AB721" i="2"/>
  <c r="Q721" i="2"/>
  <c r="P721" i="2"/>
  <c r="D721" i="2"/>
  <c r="AB720" i="2"/>
  <c r="W720" i="2"/>
  <c r="Q720" i="2"/>
  <c r="P720" i="2"/>
  <c r="C720" i="2"/>
  <c r="AB719" i="2"/>
  <c r="Q719" i="2"/>
  <c r="P719" i="2"/>
  <c r="D719" i="2"/>
  <c r="AB718" i="2"/>
  <c r="Q718" i="2"/>
  <c r="P718" i="2"/>
  <c r="D718" i="2"/>
  <c r="AB717" i="2"/>
  <c r="Q717" i="2"/>
  <c r="P717" i="2"/>
  <c r="D717" i="2"/>
  <c r="AB716" i="2"/>
  <c r="W716" i="2"/>
  <c r="Q716" i="2"/>
  <c r="P716" i="2"/>
  <c r="C716" i="2"/>
  <c r="AB715" i="2"/>
  <c r="Q715" i="2"/>
  <c r="P715" i="2"/>
  <c r="D715" i="2"/>
  <c r="AB714" i="2"/>
  <c r="Q714" i="2"/>
  <c r="P714" i="2"/>
  <c r="D714" i="2"/>
  <c r="AB713" i="2"/>
  <c r="Q713" i="2"/>
  <c r="P713" i="2"/>
  <c r="D713" i="2"/>
  <c r="AB712" i="2"/>
  <c r="Q712" i="2"/>
  <c r="P712" i="2"/>
  <c r="D712" i="2"/>
  <c r="AB711" i="2"/>
  <c r="Q711" i="2"/>
  <c r="P711" i="2"/>
  <c r="D711" i="2"/>
  <c r="Q710" i="2"/>
  <c r="P710" i="2"/>
  <c r="D710" i="2"/>
  <c r="AB709" i="2"/>
  <c r="Q709" i="2"/>
  <c r="P709" i="2"/>
  <c r="D709" i="2"/>
  <c r="AB708" i="2"/>
  <c r="W708" i="2"/>
  <c r="Q708" i="2"/>
  <c r="P708" i="2"/>
  <c r="C708" i="2"/>
  <c r="AB707" i="2"/>
  <c r="Y707" i="2"/>
  <c r="W707" i="2"/>
  <c r="U707" i="2"/>
  <c r="Q707" i="2"/>
  <c r="P707" i="2"/>
  <c r="C707" i="2"/>
  <c r="AB702" i="2"/>
  <c r="Q702" i="2"/>
  <c r="P702" i="2"/>
  <c r="D702" i="2"/>
  <c r="AB701" i="2"/>
  <c r="Q701" i="2"/>
  <c r="P701" i="2"/>
  <c r="D701" i="2"/>
  <c r="AB700" i="2"/>
  <c r="W700" i="2"/>
  <c r="Q700" i="2"/>
  <c r="P700" i="2"/>
  <c r="C700" i="2"/>
  <c r="AB699" i="2"/>
  <c r="Q699" i="2"/>
  <c r="P699" i="2"/>
  <c r="D699" i="2"/>
  <c r="AB698" i="2"/>
  <c r="Q698" i="2"/>
  <c r="P698" i="2"/>
  <c r="D698" i="2"/>
  <c r="AB697" i="2"/>
  <c r="W697" i="2"/>
  <c r="Q697" i="2"/>
  <c r="P697" i="2"/>
  <c r="C697" i="2"/>
  <c r="AB696" i="2"/>
  <c r="Q696" i="2"/>
  <c r="P696" i="2"/>
  <c r="D696" i="2"/>
  <c r="AB695" i="2"/>
  <c r="Q695" i="2"/>
  <c r="P695" i="2"/>
  <c r="D695" i="2"/>
  <c r="AB694" i="2"/>
  <c r="W694" i="2"/>
  <c r="Q694" i="2"/>
  <c r="P694" i="2"/>
  <c r="C694" i="2"/>
  <c r="AB693" i="2"/>
  <c r="Y693" i="2"/>
  <c r="W693" i="2"/>
  <c r="U693" i="2"/>
  <c r="Q693" i="2"/>
  <c r="P693" i="2"/>
  <c r="C693" i="2"/>
  <c r="AB670" i="2"/>
  <c r="Q670" i="2"/>
  <c r="P670" i="2"/>
  <c r="D670" i="2"/>
  <c r="AB669" i="2"/>
  <c r="Q669" i="2"/>
  <c r="P669" i="2"/>
  <c r="D669" i="2"/>
  <c r="AB668" i="2"/>
  <c r="W668" i="2"/>
  <c r="Q668" i="2"/>
  <c r="P668" i="2"/>
  <c r="C668" i="2"/>
  <c r="U752" i="2" l="1"/>
  <c r="B15" i="68" s="1"/>
  <c r="B14" i="68"/>
  <c r="U690" i="2"/>
  <c r="B13" i="68" s="1"/>
  <c r="AB1082" i="2"/>
  <c r="Q1082" i="2"/>
  <c r="P1082" i="2"/>
  <c r="D1082" i="2"/>
  <c r="G12" i="68" l="1"/>
  <c r="C270" i="61"/>
  <c r="Q1852" i="2"/>
  <c r="P1852" i="2"/>
  <c r="D1852" i="2"/>
  <c r="W805" i="2" l="1"/>
  <c r="Y805" i="2" s="1"/>
  <c r="W724" i="2"/>
  <c r="Y724" i="2" s="1"/>
  <c r="W753" i="2"/>
  <c r="Y753" i="2" s="1"/>
  <c r="W691" i="2"/>
  <c r="Y691" i="2" s="1"/>
  <c r="W782" i="2"/>
  <c r="Y782" i="2" s="1"/>
  <c r="W1919" i="2"/>
  <c r="Y1919" i="2" s="1"/>
  <c r="W1852" i="2"/>
  <c r="Y1852" i="2" s="1"/>
  <c r="W1947" i="2"/>
  <c r="Y1947" i="2" s="1"/>
  <c r="W1883" i="2"/>
  <c r="Y1883" i="2" s="1"/>
  <c r="W1843" i="2"/>
  <c r="Y1843" i="2" s="1"/>
  <c r="U463" i="2"/>
  <c r="U468" i="2"/>
  <c r="U496" i="2" l="1"/>
  <c r="B9" i="68" s="1"/>
  <c r="U458" i="2"/>
  <c r="U453" i="2"/>
  <c r="W1885" i="2"/>
  <c r="Y1885" i="2" s="1"/>
  <c r="W1921" i="2"/>
  <c r="Y1921" i="2" s="1"/>
  <c r="AB1921" i="2"/>
  <c r="AB1885" i="2"/>
  <c r="AB1852" i="2"/>
  <c r="AB1919" i="2"/>
  <c r="AB1947" i="2"/>
  <c r="AB1883" i="2"/>
  <c r="AB1843" i="2"/>
  <c r="C349" i="61" l="1"/>
  <c r="W2088" i="2" s="1"/>
  <c r="Y2088" i="2" s="1"/>
  <c r="D4" i="68"/>
  <c r="D3" i="68"/>
  <c r="C193" i="61" s="1"/>
  <c r="C340" i="61" l="1"/>
  <c r="W2118" i="2"/>
  <c r="Y2118" i="2" s="1"/>
  <c r="W1832" i="2" l="1"/>
  <c r="Y1832" i="2" s="1"/>
  <c r="W1810" i="2"/>
  <c r="Y1810" i="2" s="1"/>
  <c r="W1836" i="2"/>
  <c r="Y1836" i="2" s="1"/>
  <c r="W1792" i="2"/>
  <c r="Y1792" i="2" s="1"/>
  <c r="W1745" i="2"/>
  <c r="Y1745" i="2" s="1"/>
  <c r="W1814" i="2"/>
  <c r="Y1814" i="2" s="1"/>
  <c r="W1770" i="2"/>
  <c r="Y1770" i="2" s="1"/>
  <c r="W1834" i="2"/>
  <c r="Y1834" i="2" s="1"/>
  <c r="W1790" i="2"/>
  <c r="Y1790" i="2" s="1"/>
  <c r="W1743" i="2"/>
  <c r="Y1743" i="2" s="1"/>
  <c r="W1812" i="2"/>
  <c r="Y1812" i="2" s="1"/>
  <c r="W1768" i="2"/>
  <c r="Y1768" i="2" s="1"/>
  <c r="AB2136" i="2"/>
  <c r="U630" i="2"/>
  <c r="U625" i="2"/>
  <c r="U620" i="2"/>
  <c r="U544" i="2"/>
  <c r="U271" i="2"/>
  <c r="U266" i="2"/>
  <c r="U281" i="2"/>
  <c r="U306" i="2" l="1"/>
  <c r="B7" i="68" s="1"/>
  <c r="W109" i="2"/>
  <c r="AB109" i="2"/>
  <c r="AB230" i="2"/>
  <c r="U559" i="2"/>
  <c r="U587" i="2" s="1"/>
  <c r="B10" i="68" s="1"/>
  <c r="U549" i="2"/>
  <c r="U554" i="2"/>
  <c r="U635" i="2"/>
  <c r="U660" i="2" s="1"/>
  <c r="B11" i="68" s="1"/>
  <c r="U372" i="2"/>
  <c r="AB192" i="2"/>
  <c r="AB220" i="2"/>
  <c r="W224" i="2"/>
  <c r="AB224" i="2"/>
  <c r="W192" i="2"/>
  <c r="W220" i="2"/>
  <c r="W225" i="2"/>
  <c r="W221" i="2"/>
  <c r="AB225" i="2"/>
  <c r="AB221" i="2"/>
  <c r="U45" i="2"/>
  <c r="W528" i="2"/>
  <c r="Y528" i="2" s="1"/>
  <c r="W254" i="2"/>
  <c r="Y254" i="2" s="1"/>
  <c r="W608" i="2"/>
  <c r="Y608" i="2" s="1"/>
  <c r="W437" i="2"/>
  <c r="Y437" i="2" s="1"/>
  <c r="W81" i="2"/>
  <c r="Y81" i="2" s="1"/>
  <c r="W338" i="2"/>
  <c r="Y338" i="2" s="1"/>
  <c r="W612" i="2"/>
  <c r="Y612" i="2" s="1"/>
  <c r="W441" i="2"/>
  <c r="Y441" i="2" s="1"/>
  <c r="W342" i="2"/>
  <c r="Y342" i="2" s="1"/>
  <c r="W532" i="2"/>
  <c r="Y532" i="2" s="1"/>
  <c r="W258" i="2"/>
  <c r="Y258" i="2" s="1"/>
  <c r="W881" i="2"/>
  <c r="Y881" i="2" s="1"/>
  <c r="W916" i="2"/>
  <c r="Y916" i="2" s="1"/>
  <c r="W2136" i="2"/>
  <c r="Y2136" i="2" s="1"/>
  <c r="W952" i="2"/>
  <c r="Y952" i="2" s="1"/>
  <c r="W846" i="2"/>
  <c r="Y846" i="2" s="1"/>
  <c r="W1464" i="2"/>
  <c r="Y1464" i="2" s="1"/>
  <c r="W811" i="2"/>
  <c r="Y811" i="2" s="1"/>
  <c r="W238" i="2"/>
  <c r="Y238" i="2" s="1"/>
  <c r="W592" i="2"/>
  <c r="Y592" i="2" s="1"/>
  <c r="W421" i="2"/>
  <c r="Y421" i="2" s="1"/>
  <c r="W322" i="2"/>
  <c r="Y322" i="2" s="1"/>
  <c r="W512" i="2"/>
  <c r="Y512" i="2" s="1"/>
  <c r="W520" i="2"/>
  <c r="Y520" i="2" s="1"/>
  <c r="W246" i="2"/>
  <c r="Y246" i="2" s="1"/>
  <c r="W600" i="2"/>
  <c r="Y600" i="2" s="1"/>
  <c r="W429" i="2"/>
  <c r="Y429" i="2" s="1"/>
  <c r="W330" i="2"/>
  <c r="Y330" i="2" s="1"/>
  <c r="W616" i="2"/>
  <c r="Y616" i="2" s="1"/>
  <c r="W445" i="2"/>
  <c r="Y445" i="2" s="1"/>
  <c r="W346" i="2"/>
  <c r="Y346" i="2" s="1"/>
  <c r="W536" i="2"/>
  <c r="Y536" i="2" s="1"/>
  <c r="W262" i="2"/>
  <c r="Y262" i="2" s="1"/>
  <c r="W605" i="2"/>
  <c r="Y605" i="2" s="1"/>
  <c r="W541" i="2"/>
  <c r="Y541" i="2" s="1"/>
  <c r="W434" i="2"/>
  <c r="Y434" i="2" s="1"/>
  <c r="W339" i="2"/>
  <c r="Y339" i="2" s="1"/>
  <c r="W259" i="2"/>
  <c r="Y259" i="2" s="1"/>
  <c r="W593" i="2"/>
  <c r="Y593" i="2" s="1"/>
  <c r="W529" i="2"/>
  <c r="Y529" i="2" s="1"/>
  <c r="W422" i="2"/>
  <c r="Y422" i="2" s="1"/>
  <c r="W613" i="2"/>
  <c r="Y613" i="2" s="1"/>
  <c r="W517" i="2"/>
  <c r="Y517" i="2" s="1"/>
  <c r="W442" i="2"/>
  <c r="Y442" i="2" s="1"/>
  <c r="W347" i="2"/>
  <c r="Y347" i="2" s="1"/>
  <c r="W601" i="2"/>
  <c r="Y601" i="2" s="1"/>
  <c r="W537" i="2"/>
  <c r="Y537" i="2" s="1"/>
  <c r="W430" i="2"/>
  <c r="Y430" i="2" s="1"/>
  <c r="W335" i="2"/>
  <c r="Y335" i="2" s="1"/>
  <c r="W255" i="2"/>
  <c r="Y255" i="2" s="1"/>
  <c r="W525" i="2"/>
  <c r="Y525" i="2" s="1"/>
  <c r="W450" i="2"/>
  <c r="Y450" i="2" s="1"/>
  <c r="W355" i="2"/>
  <c r="Y355" i="2" s="1"/>
  <c r="W323" i="2"/>
  <c r="Y323" i="2" s="1"/>
  <c r="W243" i="2"/>
  <c r="Y243" i="2" s="1"/>
  <c r="W609" i="2"/>
  <c r="Y609" i="2" s="1"/>
  <c r="W513" i="2"/>
  <c r="Y513" i="2" s="1"/>
  <c r="W438" i="2"/>
  <c r="Y438" i="2" s="1"/>
  <c r="W343" i="2"/>
  <c r="Y343" i="2" s="1"/>
  <c r="W263" i="2"/>
  <c r="Y263" i="2" s="1"/>
  <c r="W597" i="2"/>
  <c r="Y597" i="2" s="1"/>
  <c r="W533" i="2"/>
  <c r="Y533" i="2" s="1"/>
  <c r="W426" i="2"/>
  <c r="Y426" i="2" s="1"/>
  <c r="W331" i="2"/>
  <c r="Y331" i="2" s="1"/>
  <c r="W251" i="2"/>
  <c r="Y251" i="2" s="1"/>
  <c r="W617" i="2"/>
  <c r="Y617" i="2" s="1"/>
  <c r="W521" i="2"/>
  <c r="Y521" i="2" s="1"/>
  <c r="W446" i="2"/>
  <c r="Y446" i="2" s="1"/>
  <c r="W351" i="2"/>
  <c r="Y351" i="2" s="1"/>
  <c r="W247" i="2"/>
  <c r="Y247" i="2" s="1"/>
  <c r="W327" i="2"/>
  <c r="Y327" i="2" s="1"/>
  <c r="W239" i="2"/>
  <c r="Y239" i="2" s="1"/>
  <c r="W359" i="2"/>
  <c r="Y359" i="2" s="1"/>
  <c r="W797" i="2"/>
  <c r="Y797" i="2" s="1"/>
  <c r="W768" i="2"/>
  <c r="Y768" i="2" s="1"/>
  <c r="W677" i="2"/>
  <c r="Y677" i="2" s="1"/>
  <c r="W739" i="2"/>
  <c r="Y739" i="2" s="1"/>
  <c r="W710" i="2"/>
  <c r="Y710" i="2" s="1"/>
  <c r="W604" i="2"/>
  <c r="Y604" i="2" s="1"/>
  <c r="W433" i="2"/>
  <c r="Y433" i="2" s="1"/>
  <c r="W334" i="2"/>
  <c r="Y334" i="2" s="1"/>
  <c r="W524" i="2"/>
  <c r="Y524" i="2" s="1"/>
  <c r="W250" i="2"/>
  <c r="Y250" i="2" s="1"/>
  <c r="W510" i="2"/>
  <c r="Y510" i="2" s="1"/>
  <c r="W419" i="2"/>
  <c r="Y419" i="2" s="1"/>
  <c r="W320" i="2"/>
  <c r="Y320" i="2" s="1"/>
  <c r="W585" i="2"/>
  <c r="Y585" i="2" s="1"/>
  <c r="W403" i="2"/>
  <c r="Y403" i="2" s="1"/>
  <c r="W658" i="2"/>
  <c r="Y658" i="2" s="1"/>
  <c r="W494" i="2"/>
  <c r="Y494" i="2" s="1"/>
  <c r="W304" i="2"/>
  <c r="Y304" i="2" s="1"/>
  <c r="W326" i="2"/>
  <c r="Y326" i="2" s="1"/>
  <c r="W516" i="2"/>
  <c r="Y516" i="2" s="1"/>
  <c r="W242" i="2"/>
  <c r="Y242" i="2" s="1"/>
  <c r="W596" i="2"/>
  <c r="Y596" i="2" s="1"/>
  <c r="W425" i="2"/>
  <c r="Y425" i="2" s="1"/>
  <c r="AB846" i="2"/>
  <c r="AB811" i="2"/>
  <c r="AB952" i="2"/>
  <c r="AB881" i="2"/>
  <c r="AB768" i="2"/>
  <c r="AB710" i="2"/>
  <c r="AB739" i="2"/>
  <c r="AB510" i="2"/>
  <c r="Q510" i="2"/>
  <c r="P510" i="2"/>
  <c r="D510" i="2"/>
  <c r="AB509" i="2"/>
  <c r="W509" i="2"/>
  <c r="Q509" i="2"/>
  <c r="P509" i="2"/>
  <c r="C509" i="2"/>
  <c r="AB506" i="2"/>
  <c r="Q506" i="2"/>
  <c r="P506" i="2"/>
  <c r="D506" i="2"/>
  <c r="AB505" i="2"/>
  <c r="Q505" i="2"/>
  <c r="P505" i="2"/>
  <c r="D505" i="2"/>
  <c r="AB504" i="2"/>
  <c r="Q504" i="2"/>
  <c r="P504" i="2"/>
  <c r="D504" i="2"/>
  <c r="AB503" i="2"/>
  <c r="Q503" i="2"/>
  <c r="P503" i="2"/>
  <c r="D503" i="2"/>
  <c r="AB502" i="2"/>
  <c r="Q502" i="2"/>
  <c r="P502" i="2"/>
  <c r="D502" i="2"/>
  <c r="Q501" i="2"/>
  <c r="P501" i="2"/>
  <c r="D501" i="2"/>
  <c r="AB500" i="2"/>
  <c r="W500" i="2"/>
  <c r="Q500" i="2"/>
  <c r="P500" i="2"/>
  <c r="C500" i="2"/>
  <c r="AB419" i="2"/>
  <c r="Q419" i="2"/>
  <c r="P419" i="2"/>
  <c r="D419" i="2"/>
  <c r="AB418" i="2"/>
  <c r="W418" i="2"/>
  <c r="Q418" i="2"/>
  <c r="P418" i="2"/>
  <c r="C418" i="2"/>
  <c r="AB415" i="2"/>
  <c r="Q415" i="2"/>
  <c r="P415" i="2"/>
  <c r="D415" i="2"/>
  <c r="AB414" i="2"/>
  <c r="Q414" i="2"/>
  <c r="P414" i="2"/>
  <c r="D414" i="2"/>
  <c r="AB413" i="2"/>
  <c r="Q413" i="2"/>
  <c r="P413" i="2"/>
  <c r="D413" i="2"/>
  <c r="AB412" i="2"/>
  <c r="Q412" i="2"/>
  <c r="P412" i="2"/>
  <c r="D412" i="2"/>
  <c r="AB411" i="2"/>
  <c r="Q411" i="2"/>
  <c r="P411" i="2"/>
  <c r="D411" i="2"/>
  <c r="Q410" i="2"/>
  <c r="P410" i="2"/>
  <c r="D410" i="2"/>
  <c r="AB409" i="2"/>
  <c r="W409" i="2"/>
  <c r="Q409" i="2"/>
  <c r="P409" i="2"/>
  <c r="C409" i="2"/>
  <c r="G6" i="68" l="1"/>
  <c r="Y109" i="2"/>
  <c r="Y224" i="2"/>
  <c r="Y221" i="2"/>
  <c r="Y220" i="2"/>
  <c r="Y225" i="2"/>
  <c r="Y192" i="2"/>
  <c r="W198" i="2"/>
  <c r="Y198" i="2" s="1"/>
  <c r="E24" i="68"/>
  <c r="E12" i="68"/>
  <c r="E18" i="68" l="1"/>
  <c r="E30" i="68" l="1"/>
  <c r="E63" i="68" l="1"/>
  <c r="AB320" i="2"/>
  <c r="Q320" i="2"/>
  <c r="P320" i="2"/>
  <c r="D320" i="2"/>
  <c r="AB319" i="2"/>
  <c r="W319" i="2"/>
  <c r="Q319" i="2"/>
  <c r="P319" i="2"/>
  <c r="C319" i="2"/>
  <c r="AB316" i="2"/>
  <c r="Q316" i="2"/>
  <c r="P316" i="2"/>
  <c r="D316" i="2"/>
  <c r="AB315" i="2"/>
  <c r="Q315" i="2"/>
  <c r="P315" i="2"/>
  <c r="D315" i="2"/>
  <c r="AB314" i="2"/>
  <c r="Q314" i="2"/>
  <c r="P314" i="2"/>
  <c r="D314" i="2"/>
  <c r="AB313" i="2"/>
  <c r="Q313" i="2"/>
  <c r="P313" i="2"/>
  <c r="D313" i="2"/>
  <c r="AB312" i="2"/>
  <c r="Q312" i="2"/>
  <c r="P312" i="2"/>
  <c r="D312" i="2"/>
  <c r="Q311" i="2"/>
  <c r="P311" i="2"/>
  <c r="D311" i="2"/>
  <c r="AB310" i="2"/>
  <c r="W310" i="2"/>
  <c r="Q310" i="2"/>
  <c r="P310" i="2"/>
  <c r="C310" i="2"/>
  <c r="E64" i="68" l="1"/>
  <c r="E82" i="68" l="1"/>
  <c r="E103" i="68" l="1"/>
  <c r="Q585" i="2" l="1"/>
  <c r="P585" i="2"/>
  <c r="D585" i="2"/>
  <c r="AB584" i="2"/>
  <c r="Q584" i="2"/>
  <c r="P584" i="2"/>
  <c r="D584" i="2"/>
  <c r="AB583" i="2"/>
  <c r="Q583" i="2"/>
  <c r="P583" i="2"/>
  <c r="D583" i="2"/>
  <c r="AB582" i="2"/>
  <c r="W582" i="2"/>
  <c r="Q582" i="2"/>
  <c r="P582" i="2"/>
  <c r="C582" i="2"/>
  <c r="AB581" i="2"/>
  <c r="Y581" i="2"/>
  <c r="W581" i="2"/>
  <c r="Q581" i="2"/>
  <c r="P581" i="2"/>
  <c r="C581" i="2"/>
  <c r="AB580" i="2"/>
  <c r="Q580" i="2"/>
  <c r="P580" i="2"/>
  <c r="D580" i="2"/>
  <c r="AB579" i="2"/>
  <c r="Q579" i="2"/>
  <c r="P579" i="2"/>
  <c r="D579" i="2"/>
  <c r="AB578" i="2"/>
  <c r="Q578" i="2"/>
  <c r="P578" i="2"/>
  <c r="D578" i="2"/>
  <c r="AB577" i="2"/>
  <c r="W577" i="2"/>
  <c r="Q577" i="2"/>
  <c r="P577" i="2"/>
  <c r="C577" i="2"/>
  <c r="AB576" i="2"/>
  <c r="Q576" i="2"/>
  <c r="P576" i="2"/>
  <c r="D576" i="2"/>
  <c r="AB575" i="2"/>
  <c r="Q575" i="2"/>
  <c r="P575" i="2"/>
  <c r="D575" i="2"/>
  <c r="AB574" i="2"/>
  <c r="Q574" i="2"/>
  <c r="P574" i="2"/>
  <c r="D574" i="2"/>
  <c r="AB573" i="2"/>
  <c r="Q573" i="2"/>
  <c r="P573" i="2"/>
  <c r="D573" i="2"/>
  <c r="AB572" i="2"/>
  <c r="W572" i="2"/>
  <c r="Q572" i="2"/>
  <c r="P572" i="2"/>
  <c r="C572" i="2"/>
  <c r="AB571" i="2"/>
  <c r="Q571" i="2"/>
  <c r="P571" i="2"/>
  <c r="D571" i="2"/>
  <c r="AB570" i="2"/>
  <c r="Q570" i="2"/>
  <c r="P570" i="2"/>
  <c r="D570" i="2"/>
  <c r="AB569" i="2"/>
  <c r="Q569" i="2"/>
  <c r="P569" i="2"/>
  <c r="D569" i="2"/>
  <c r="AB568" i="2"/>
  <c r="W568" i="2"/>
  <c r="Q568" i="2"/>
  <c r="P568" i="2"/>
  <c r="C568" i="2"/>
  <c r="AB567" i="2"/>
  <c r="Q567" i="2"/>
  <c r="P567" i="2"/>
  <c r="D567" i="2"/>
  <c r="AB566" i="2"/>
  <c r="Q566" i="2"/>
  <c r="P566" i="2"/>
  <c r="D566" i="2"/>
  <c r="AB565" i="2"/>
  <c r="W565" i="2"/>
  <c r="Q565" i="2"/>
  <c r="P565" i="2"/>
  <c r="C565" i="2"/>
  <c r="AB564" i="2"/>
  <c r="Q564" i="2"/>
  <c r="P564" i="2"/>
  <c r="D564" i="2"/>
  <c r="AB563" i="2"/>
  <c r="Q563" i="2"/>
  <c r="P563" i="2"/>
  <c r="D563" i="2"/>
  <c r="AB562" i="2"/>
  <c r="W562" i="2"/>
  <c r="Q562" i="2"/>
  <c r="P562" i="2"/>
  <c r="C562" i="2"/>
  <c r="AB543" i="2"/>
  <c r="Y543" i="2"/>
  <c r="W543" i="2"/>
  <c r="U543" i="2"/>
  <c r="Q543" i="2"/>
  <c r="P543" i="2"/>
  <c r="C543" i="2"/>
  <c r="Q658" i="2"/>
  <c r="P658" i="2"/>
  <c r="D658" i="2"/>
  <c r="AB657" i="2"/>
  <c r="Q657" i="2"/>
  <c r="P657" i="2"/>
  <c r="D657" i="2"/>
  <c r="AB656" i="2"/>
  <c r="Q656" i="2"/>
  <c r="P656" i="2"/>
  <c r="D656" i="2"/>
  <c r="AB655" i="2"/>
  <c r="W655" i="2"/>
  <c r="Q655" i="2"/>
  <c r="P655" i="2"/>
  <c r="C655" i="2"/>
  <c r="AB654" i="2"/>
  <c r="Y654" i="2"/>
  <c r="W654" i="2"/>
  <c r="Q654" i="2"/>
  <c r="P654" i="2"/>
  <c r="C654" i="2"/>
  <c r="AB653" i="2"/>
  <c r="Q653" i="2"/>
  <c r="P653" i="2"/>
  <c r="D653" i="2"/>
  <c r="AB652" i="2"/>
  <c r="Q652" i="2"/>
  <c r="P652" i="2"/>
  <c r="D652" i="2"/>
  <c r="AB651" i="2"/>
  <c r="Q651" i="2"/>
  <c r="P651" i="2"/>
  <c r="D651" i="2"/>
  <c r="AB650" i="2"/>
  <c r="W650" i="2"/>
  <c r="Q650" i="2"/>
  <c r="P650" i="2"/>
  <c r="C650" i="2"/>
  <c r="AB649" i="2"/>
  <c r="Q649" i="2"/>
  <c r="P649" i="2"/>
  <c r="D649" i="2"/>
  <c r="AB648" i="2"/>
  <c r="Q648" i="2"/>
  <c r="P648" i="2"/>
  <c r="D648" i="2"/>
  <c r="AB647" i="2"/>
  <c r="Q647" i="2"/>
  <c r="P647" i="2"/>
  <c r="D647" i="2"/>
  <c r="AB646" i="2"/>
  <c r="Q646" i="2"/>
  <c r="P646" i="2"/>
  <c r="D646" i="2"/>
  <c r="AB645" i="2"/>
  <c r="W645" i="2"/>
  <c r="Q645" i="2"/>
  <c r="P645" i="2"/>
  <c r="C645" i="2"/>
  <c r="AB644" i="2"/>
  <c r="Q644" i="2"/>
  <c r="P644" i="2"/>
  <c r="D644" i="2"/>
  <c r="AB643" i="2"/>
  <c r="Q643" i="2"/>
  <c r="P643" i="2"/>
  <c r="D643" i="2"/>
  <c r="AB642" i="2"/>
  <c r="Q642" i="2"/>
  <c r="P642" i="2"/>
  <c r="D642" i="2"/>
  <c r="AB641" i="2"/>
  <c r="W641" i="2"/>
  <c r="Q641" i="2"/>
  <c r="P641" i="2"/>
  <c r="C641" i="2"/>
  <c r="AB640" i="2"/>
  <c r="Q640" i="2"/>
  <c r="P640" i="2"/>
  <c r="D640" i="2"/>
  <c r="AB639" i="2"/>
  <c r="Q639" i="2"/>
  <c r="P639" i="2"/>
  <c r="D639" i="2"/>
  <c r="AB638" i="2"/>
  <c r="W638" i="2"/>
  <c r="Q638" i="2"/>
  <c r="P638" i="2"/>
  <c r="C638" i="2"/>
  <c r="AB619" i="2"/>
  <c r="Y619" i="2"/>
  <c r="W619" i="2"/>
  <c r="U619" i="2"/>
  <c r="Q619" i="2"/>
  <c r="P619" i="2"/>
  <c r="C619" i="2"/>
  <c r="AB398" i="2"/>
  <c r="Q398" i="2"/>
  <c r="P398" i="2"/>
  <c r="D398" i="2"/>
  <c r="AB397" i="2"/>
  <c r="Q397" i="2"/>
  <c r="P397" i="2"/>
  <c r="D397" i="2"/>
  <c r="AB396" i="2"/>
  <c r="Q396" i="2"/>
  <c r="P396" i="2"/>
  <c r="D396" i="2"/>
  <c r="AB395" i="2"/>
  <c r="W395" i="2"/>
  <c r="Q395" i="2"/>
  <c r="P395" i="2"/>
  <c r="C395" i="2"/>
  <c r="AB394" i="2"/>
  <c r="Q394" i="2"/>
  <c r="P394" i="2"/>
  <c r="D394" i="2"/>
  <c r="AB392" i="2"/>
  <c r="Q392" i="2"/>
  <c r="P392" i="2"/>
  <c r="D392" i="2"/>
  <c r="AB391" i="2"/>
  <c r="Q391" i="2"/>
  <c r="P391" i="2"/>
  <c r="D391" i="2"/>
  <c r="AB390" i="2"/>
  <c r="W390" i="2"/>
  <c r="Q390" i="2"/>
  <c r="P390" i="2"/>
  <c r="C390" i="2"/>
  <c r="AB389" i="2"/>
  <c r="Q389" i="2"/>
  <c r="P389" i="2"/>
  <c r="D389" i="2"/>
  <c r="AB388" i="2"/>
  <c r="Q388" i="2"/>
  <c r="P388" i="2"/>
  <c r="D388" i="2"/>
  <c r="AB387" i="2"/>
  <c r="Q387" i="2"/>
  <c r="P387" i="2"/>
  <c r="D387" i="2"/>
  <c r="AB386" i="2"/>
  <c r="W386" i="2"/>
  <c r="Q386" i="2"/>
  <c r="P386" i="2"/>
  <c r="C386" i="2"/>
  <c r="AB385" i="2"/>
  <c r="Q385" i="2"/>
  <c r="P385" i="2"/>
  <c r="D385" i="2"/>
  <c r="AB384" i="2"/>
  <c r="Q384" i="2"/>
  <c r="P384" i="2"/>
  <c r="D384" i="2"/>
  <c r="AB383" i="2"/>
  <c r="W383" i="2"/>
  <c r="Q383" i="2"/>
  <c r="P383" i="2"/>
  <c r="C383" i="2"/>
  <c r="AB382" i="2"/>
  <c r="Q382" i="2"/>
  <c r="P382" i="2"/>
  <c r="D382" i="2"/>
  <c r="AB381" i="2"/>
  <c r="Q381" i="2"/>
  <c r="P381" i="2"/>
  <c r="D381" i="2"/>
  <c r="AB380" i="2"/>
  <c r="W380" i="2"/>
  <c r="Q380" i="2"/>
  <c r="P380" i="2"/>
  <c r="C380" i="2"/>
  <c r="AB361" i="2"/>
  <c r="Y361" i="2"/>
  <c r="W361" i="2"/>
  <c r="U361" i="2"/>
  <c r="Q361" i="2"/>
  <c r="P361" i="2"/>
  <c r="C361" i="2"/>
  <c r="Q494" i="2"/>
  <c r="P494" i="2"/>
  <c r="D494" i="2"/>
  <c r="AB493" i="2"/>
  <c r="Q493" i="2"/>
  <c r="P493" i="2"/>
  <c r="D493" i="2"/>
  <c r="AB492" i="2"/>
  <c r="Q492" i="2"/>
  <c r="P492" i="2"/>
  <c r="D492" i="2"/>
  <c r="AB491" i="2"/>
  <c r="W491" i="2"/>
  <c r="Q491" i="2"/>
  <c r="P491" i="2"/>
  <c r="C491" i="2"/>
  <c r="Q403" i="2"/>
  <c r="P403" i="2"/>
  <c r="D403" i="2"/>
  <c r="AB402" i="2"/>
  <c r="Q402" i="2"/>
  <c r="P402" i="2"/>
  <c r="D402" i="2"/>
  <c r="AB401" i="2"/>
  <c r="Q401" i="2"/>
  <c r="P401" i="2"/>
  <c r="D401" i="2"/>
  <c r="AB400" i="2"/>
  <c r="W400" i="2"/>
  <c r="Q400" i="2"/>
  <c r="P400" i="2"/>
  <c r="C400" i="2"/>
  <c r="AB473" i="2"/>
  <c r="Q473" i="2"/>
  <c r="P473" i="2"/>
  <c r="D473" i="2"/>
  <c r="AB472" i="2"/>
  <c r="Q472" i="2"/>
  <c r="P472" i="2"/>
  <c r="D472" i="2"/>
  <c r="AB471" i="2" l="1"/>
  <c r="W471" i="2"/>
  <c r="Q471" i="2"/>
  <c r="P471" i="2"/>
  <c r="C471" i="2"/>
  <c r="AB489" i="2" l="1"/>
  <c r="Q489" i="2"/>
  <c r="P489" i="2"/>
  <c r="D489" i="2"/>
  <c r="AB488" i="2"/>
  <c r="Q488" i="2"/>
  <c r="P488" i="2"/>
  <c r="D488" i="2"/>
  <c r="AB487" i="2"/>
  <c r="Q487" i="2"/>
  <c r="P487" i="2"/>
  <c r="D487" i="2"/>
  <c r="AB486" i="2"/>
  <c r="W486" i="2"/>
  <c r="Q486" i="2"/>
  <c r="P486" i="2"/>
  <c r="C486" i="2"/>
  <c r="AB485" i="2"/>
  <c r="Q485" i="2"/>
  <c r="P485" i="2"/>
  <c r="D485" i="2"/>
  <c r="AB484" i="2"/>
  <c r="Q484" i="2"/>
  <c r="P484" i="2"/>
  <c r="D484" i="2"/>
  <c r="AB483" i="2"/>
  <c r="Q483" i="2"/>
  <c r="P483" i="2"/>
  <c r="D483" i="2"/>
  <c r="AB482" i="2"/>
  <c r="Q482" i="2"/>
  <c r="P482" i="2"/>
  <c r="D482" i="2"/>
  <c r="AB481" i="2"/>
  <c r="W481" i="2"/>
  <c r="Q481" i="2"/>
  <c r="P481" i="2"/>
  <c r="C481" i="2"/>
  <c r="AB480" i="2"/>
  <c r="Q480" i="2"/>
  <c r="P480" i="2"/>
  <c r="D480" i="2"/>
  <c r="AB479" i="2"/>
  <c r="Q479" i="2"/>
  <c r="P479" i="2"/>
  <c r="D479" i="2"/>
  <c r="AB478" i="2"/>
  <c r="Q478" i="2"/>
  <c r="P478" i="2"/>
  <c r="D478" i="2"/>
  <c r="AB477" i="2"/>
  <c r="W477" i="2"/>
  <c r="Q477" i="2"/>
  <c r="P477" i="2"/>
  <c r="C477" i="2"/>
  <c r="AB476" i="2"/>
  <c r="Q476" i="2"/>
  <c r="P476" i="2"/>
  <c r="D476" i="2"/>
  <c r="AB475" i="2"/>
  <c r="Q475" i="2"/>
  <c r="P475" i="2"/>
  <c r="D475" i="2"/>
  <c r="AB474" i="2"/>
  <c r="W474" i="2"/>
  <c r="Q474" i="2"/>
  <c r="P474" i="2"/>
  <c r="C474" i="2"/>
  <c r="U399" i="2"/>
  <c r="U404" i="2"/>
  <c r="AB542" i="2"/>
  <c r="Q542" i="2"/>
  <c r="P542" i="2"/>
  <c r="D542" i="2"/>
  <c r="Q541" i="2"/>
  <c r="P541" i="2"/>
  <c r="D541" i="2"/>
  <c r="AB540" i="2"/>
  <c r="Q540" i="2"/>
  <c r="P540" i="2"/>
  <c r="D540" i="2"/>
  <c r="AB539" i="2"/>
  <c r="W539" i="2"/>
  <c r="Q539" i="2"/>
  <c r="P539" i="2"/>
  <c r="C539" i="2"/>
  <c r="AB360" i="2"/>
  <c r="Q360" i="2"/>
  <c r="P360" i="2"/>
  <c r="D360" i="2"/>
  <c r="Q359" i="2"/>
  <c r="P359" i="2"/>
  <c r="D359" i="2"/>
  <c r="AB358" i="2"/>
  <c r="Q358" i="2"/>
  <c r="P358" i="2"/>
  <c r="D358" i="2"/>
  <c r="AB357" i="2"/>
  <c r="W357" i="2"/>
  <c r="Q357" i="2"/>
  <c r="P357" i="2"/>
  <c r="C357" i="2"/>
  <c r="AB356" i="2"/>
  <c r="Q356" i="2"/>
  <c r="P356" i="2"/>
  <c r="D356" i="2"/>
  <c r="Q355" i="2"/>
  <c r="P355" i="2"/>
  <c r="D355" i="2"/>
  <c r="AB354" i="2"/>
  <c r="Q354" i="2"/>
  <c r="P354" i="2"/>
  <c r="D354" i="2"/>
  <c r="AB353" i="2"/>
  <c r="W353" i="2"/>
  <c r="Q353" i="2"/>
  <c r="P353" i="2"/>
  <c r="C353" i="2"/>
  <c r="AB352" i="2"/>
  <c r="Q352" i="2"/>
  <c r="P352" i="2"/>
  <c r="D352" i="2"/>
  <c r="Q351" i="2"/>
  <c r="P351" i="2"/>
  <c r="D351" i="2"/>
  <c r="AB350" i="2"/>
  <c r="Q350" i="2"/>
  <c r="P350" i="2"/>
  <c r="D350" i="2"/>
  <c r="AB349" i="2"/>
  <c r="W349" i="2"/>
  <c r="Q349" i="2"/>
  <c r="P349" i="2"/>
  <c r="C349" i="2"/>
  <c r="AB451" i="2"/>
  <c r="Q451" i="2"/>
  <c r="P451" i="2"/>
  <c r="D451" i="2"/>
  <c r="Q450" i="2"/>
  <c r="P450" i="2"/>
  <c r="D450" i="2"/>
  <c r="AB449" i="2"/>
  <c r="Q449" i="2"/>
  <c r="P449" i="2"/>
  <c r="D449" i="2"/>
  <c r="AB448" i="2"/>
  <c r="W448" i="2"/>
  <c r="Q448" i="2"/>
  <c r="P448" i="2"/>
  <c r="C448" i="2"/>
  <c r="C589" i="2" l="1"/>
  <c r="P589" i="2"/>
  <c r="Q589" i="2"/>
  <c r="U589" i="2"/>
  <c r="W589" i="2"/>
  <c r="Y589" i="2"/>
  <c r="AB589" i="2"/>
  <c r="C590" i="2"/>
  <c r="P590" i="2"/>
  <c r="Q590" i="2"/>
  <c r="U590" i="2"/>
  <c r="W590" i="2"/>
  <c r="Y590" i="2"/>
  <c r="AB590" i="2"/>
  <c r="C591" i="2"/>
  <c r="P591" i="2"/>
  <c r="Q591" i="2"/>
  <c r="W591" i="2"/>
  <c r="AB591" i="2"/>
  <c r="D592" i="2"/>
  <c r="P592" i="2"/>
  <c r="Q592" i="2"/>
  <c r="D593" i="2"/>
  <c r="P593" i="2"/>
  <c r="Q593" i="2"/>
  <c r="D594" i="2"/>
  <c r="P594" i="2"/>
  <c r="Q594" i="2"/>
  <c r="AB594" i="2"/>
  <c r="C595" i="2"/>
  <c r="P595" i="2"/>
  <c r="Q595" i="2"/>
  <c r="W595" i="2"/>
  <c r="AB595" i="2"/>
  <c r="D596" i="2"/>
  <c r="P596" i="2"/>
  <c r="Q596" i="2"/>
  <c r="D597" i="2"/>
  <c r="P597" i="2"/>
  <c r="Q597" i="2"/>
  <c r="D598" i="2"/>
  <c r="P598" i="2"/>
  <c r="Q598" i="2"/>
  <c r="AB598" i="2"/>
  <c r="C599" i="2"/>
  <c r="P599" i="2"/>
  <c r="Q599" i="2"/>
  <c r="W599" i="2"/>
  <c r="AB599" i="2"/>
  <c r="D600" i="2"/>
  <c r="P600" i="2"/>
  <c r="Q600" i="2"/>
  <c r="D601" i="2"/>
  <c r="P601" i="2"/>
  <c r="Q601" i="2"/>
  <c r="D602" i="2"/>
  <c r="P602" i="2"/>
  <c r="Q602" i="2"/>
  <c r="AB602" i="2"/>
  <c r="C603" i="2"/>
  <c r="P603" i="2"/>
  <c r="Q603" i="2"/>
  <c r="W603" i="2"/>
  <c r="AB603" i="2"/>
  <c r="D604" i="2"/>
  <c r="P604" i="2"/>
  <c r="Q604" i="2"/>
  <c r="D605" i="2"/>
  <c r="P605" i="2"/>
  <c r="Q605" i="2"/>
  <c r="D606" i="2"/>
  <c r="P606" i="2"/>
  <c r="Q606" i="2"/>
  <c r="AB606" i="2"/>
  <c r="C607" i="2"/>
  <c r="P607" i="2"/>
  <c r="Q607" i="2"/>
  <c r="W607" i="2"/>
  <c r="AB607" i="2"/>
  <c r="D608" i="2"/>
  <c r="P608" i="2"/>
  <c r="Q608" i="2"/>
  <c r="D609" i="2"/>
  <c r="P609" i="2"/>
  <c r="Q609" i="2"/>
  <c r="D610" i="2"/>
  <c r="P610" i="2"/>
  <c r="Q610" i="2"/>
  <c r="AB610" i="2"/>
  <c r="C611" i="2"/>
  <c r="P611" i="2"/>
  <c r="Q611" i="2"/>
  <c r="W611" i="2"/>
  <c r="AB611" i="2"/>
  <c r="D612" i="2"/>
  <c r="P612" i="2"/>
  <c r="Q612" i="2"/>
  <c r="D613" i="2"/>
  <c r="P613" i="2"/>
  <c r="Q613" i="2"/>
  <c r="D614" i="2"/>
  <c r="P614" i="2"/>
  <c r="Q614" i="2"/>
  <c r="AB614" i="2"/>
  <c r="C615" i="2"/>
  <c r="P615" i="2"/>
  <c r="Q615" i="2"/>
  <c r="W615" i="2"/>
  <c r="AB615" i="2"/>
  <c r="D616" i="2"/>
  <c r="P616" i="2"/>
  <c r="Q616" i="2"/>
  <c r="D617" i="2"/>
  <c r="P617" i="2"/>
  <c r="Q617" i="2"/>
  <c r="D618" i="2"/>
  <c r="P618" i="2"/>
  <c r="Q618" i="2"/>
  <c r="AB618" i="2"/>
  <c r="C659" i="2"/>
  <c r="P659" i="2"/>
  <c r="Q659" i="2"/>
  <c r="U659" i="2"/>
  <c r="W659" i="2"/>
  <c r="Y659" i="2"/>
  <c r="AB659" i="2"/>
  <c r="C783" i="2"/>
  <c r="P783" i="2"/>
  <c r="Q783" i="2"/>
  <c r="U783" i="2"/>
  <c r="W783" i="2"/>
  <c r="Y783" i="2"/>
  <c r="AB783" i="2"/>
  <c r="C784" i="2"/>
  <c r="P784" i="2"/>
  <c r="Q784" i="2"/>
  <c r="U784" i="2"/>
  <c r="W784" i="2"/>
  <c r="Y784" i="2"/>
  <c r="AB784" i="2"/>
  <c r="C788" i="2"/>
  <c r="P788" i="2"/>
  <c r="Q788" i="2"/>
  <c r="U788" i="2"/>
  <c r="W788" i="2"/>
  <c r="Y788" i="2"/>
  <c r="AB788" i="2"/>
  <c r="C789" i="2"/>
  <c r="P789" i="2"/>
  <c r="Q789" i="2"/>
  <c r="W789" i="2"/>
  <c r="AB789" i="2"/>
  <c r="D790" i="2"/>
  <c r="P790" i="2"/>
  <c r="Q790" i="2"/>
  <c r="AB790" i="2"/>
  <c r="D791" i="2"/>
  <c r="P791" i="2"/>
  <c r="Q791" i="2"/>
  <c r="AB791" i="2"/>
  <c r="D792" i="2"/>
  <c r="P792" i="2"/>
  <c r="Q792" i="2"/>
  <c r="AB792" i="2"/>
  <c r="C793" i="2"/>
  <c r="P793" i="2"/>
  <c r="Q793" i="2"/>
  <c r="W793" i="2"/>
  <c r="AB793" i="2"/>
  <c r="D794" i="2"/>
  <c r="P794" i="2"/>
  <c r="Q794" i="2"/>
  <c r="AB794" i="2"/>
  <c r="C795" i="2"/>
  <c r="P795" i="2"/>
  <c r="Q795" i="2"/>
  <c r="W795" i="2"/>
  <c r="AB795" i="2"/>
  <c r="D796" i="2"/>
  <c r="P796" i="2"/>
  <c r="Q796" i="2"/>
  <c r="AB796" i="2"/>
  <c r="D797" i="2"/>
  <c r="P797" i="2"/>
  <c r="Q797" i="2"/>
  <c r="D798" i="2"/>
  <c r="P798" i="2"/>
  <c r="Q798" i="2"/>
  <c r="AB798" i="2"/>
  <c r="D799" i="2"/>
  <c r="P799" i="2"/>
  <c r="Q799" i="2"/>
  <c r="AB799" i="2"/>
  <c r="D800" i="2"/>
  <c r="P800" i="2"/>
  <c r="Q800" i="2"/>
  <c r="AB800" i="2"/>
  <c r="D801" i="2"/>
  <c r="P801" i="2"/>
  <c r="Q801" i="2"/>
  <c r="AB801" i="2"/>
  <c r="D802" i="2"/>
  <c r="P802" i="2"/>
  <c r="Q802" i="2"/>
  <c r="AB802" i="2"/>
  <c r="C272" i="61" l="1"/>
  <c r="C13" i="68"/>
  <c r="D13" i="68" s="1"/>
  <c r="C15" i="68"/>
  <c r="D15" i="68" s="1"/>
  <c r="C14" i="68"/>
  <c r="D14" i="68" s="1"/>
  <c r="C17" i="68"/>
  <c r="D17" i="68" s="1"/>
  <c r="C16" i="68"/>
  <c r="D16" i="68" s="1"/>
  <c r="D108" i="68"/>
  <c r="C341" i="61"/>
  <c r="W36" i="2" s="1"/>
  <c r="Y36" i="2" s="1"/>
  <c r="C8" i="68"/>
  <c r="D8" i="68" s="1"/>
  <c r="C11" i="68"/>
  <c r="D11" i="68" s="1"/>
  <c r="C9" i="68"/>
  <c r="D9" i="68" s="1"/>
  <c r="C7" i="68"/>
  <c r="D7" i="68" s="1"/>
  <c r="C10" i="68"/>
  <c r="D10" i="68" s="1"/>
  <c r="W1338" i="2" l="1"/>
  <c r="Y1338" i="2" s="1"/>
  <c r="W1268" i="2"/>
  <c r="Y1268" i="2" s="1"/>
  <c r="W1236" i="2"/>
  <c r="Y1236" i="2" s="1"/>
  <c r="W1364" i="2"/>
  <c r="Y1364" i="2" s="1"/>
  <c r="W1300" i="2"/>
  <c r="Y1300" i="2" s="1"/>
  <c r="W406" i="2"/>
  <c r="Y406" i="2" s="1"/>
  <c r="W497" i="2"/>
  <c r="Y497" i="2" s="1"/>
  <c r="W588" i="2"/>
  <c r="Y588" i="2" s="1"/>
  <c r="W661" i="2"/>
  <c r="Y661" i="2" s="1"/>
  <c r="W307" i="2"/>
  <c r="Y307" i="2" s="1"/>
  <c r="W1455" i="2" l="1"/>
  <c r="Y1455" i="2" s="1"/>
  <c r="W1428" i="2"/>
  <c r="Y1428" i="2" s="1"/>
  <c r="W1446" i="2"/>
  <c r="Y1446" i="2" s="1"/>
  <c r="W1383" i="2"/>
  <c r="Y1383" i="2" s="1"/>
  <c r="W1270" i="2"/>
  <c r="Y1270" i="2" s="1"/>
  <c r="W1366" i="2"/>
  <c r="Y1366" i="2" s="1"/>
  <c r="W1408" i="2"/>
  <c r="Y1408" i="2" s="1"/>
  <c r="W1340" i="2"/>
  <c r="Y1340" i="2" s="1"/>
  <c r="W1302" i="2"/>
  <c r="Y1302" i="2" s="1"/>
  <c r="W1238" i="2"/>
  <c r="Y1238" i="2" s="1"/>
  <c r="C1097" i="2"/>
  <c r="P1097" i="2"/>
  <c r="Q1097" i="2"/>
  <c r="U1097" i="2"/>
  <c r="W1097" i="2"/>
  <c r="Y1097" i="2"/>
  <c r="AB1097" i="2"/>
  <c r="C1098" i="2"/>
  <c r="P1098" i="2"/>
  <c r="Q1098" i="2"/>
  <c r="W1098" i="2"/>
  <c r="AB1098" i="2"/>
  <c r="D1099" i="2"/>
  <c r="P1099" i="2"/>
  <c r="Q1099" i="2"/>
  <c r="AB1099" i="2"/>
  <c r="C1100" i="2"/>
  <c r="P1100" i="2"/>
  <c r="Q1100" i="2"/>
  <c r="U1100" i="2"/>
  <c r="W1100" i="2"/>
  <c r="Y1100" i="2"/>
  <c r="AB1100" i="2"/>
  <c r="C1101" i="2"/>
  <c r="P1101" i="2"/>
  <c r="Q1101" i="2"/>
  <c r="W1101" i="2"/>
  <c r="AB1101" i="2"/>
  <c r="D1102" i="2"/>
  <c r="P1102" i="2"/>
  <c r="Q1102" i="2"/>
  <c r="AB1102" i="2"/>
  <c r="C1103" i="2"/>
  <c r="P1103" i="2"/>
  <c r="Q1103" i="2"/>
  <c r="U1103" i="2"/>
  <c r="W1103" i="2"/>
  <c r="Y1103" i="2"/>
  <c r="AB1103" i="2"/>
  <c r="C1104" i="2"/>
  <c r="P1104" i="2"/>
  <c r="Q1104" i="2"/>
  <c r="W1104" i="2"/>
  <c r="AB1104" i="2"/>
  <c r="D1105" i="2"/>
  <c r="P1105" i="2"/>
  <c r="Q1105" i="2"/>
  <c r="AB1105" i="2"/>
  <c r="C1106" i="2"/>
  <c r="P1106" i="2"/>
  <c r="Q1106" i="2"/>
  <c r="U1106" i="2"/>
  <c r="W1106" i="2"/>
  <c r="Y1106" i="2"/>
  <c r="AB1106" i="2"/>
  <c r="C1107" i="2"/>
  <c r="P1107" i="2"/>
  <c r="Q1107" i="2"/>
  <c r="W1107" i="2"/>
  <c r="AB1107" i="2"/>
  <c r="D1108" i="2"/>
  <c r="P1108" i="2"/>
  <c r="Q1108" i="2"/>
  <c r="AB1108" i="2"/>
  <c r="C1110" i="2"/>
  <c r="P1110" i="2"/>
  <c r="Q1110" i="2"/>
  <c r="U1110" i="2"/>
  <c r="W1110" i="2"/>
  <c r="Y1110" i="2"/>
  <c r="AB1110" i="2"/>
  <c r="C1111" i="2"/>
  <c r="P1111" i="2"/>
  <c r="Q1111" i="2"/>
  <c r="W1111" i="2"/>
  <c r="AB1111" i="2"/>
  <c r="D1112" i="2"/>
  <c r="P1112" i="2"/>
  <c r="Q1112" i="2"/>
  <c r="AB1112" i="2"/>
  <c r="C1113" i="2"/>
  <c r="P1113" i="2"/>
  <c r="Q1113" i="2"/>
  <c r="U1113" i="2"/>
  <c r="W1113" i="2"/>
  <c r="Y1113" i="2"/>
  <c r="AB1113" i="2"/>
  <c r="C1114" i="2"/>
  <c r="P1114" i="2"/>
  <c r="Q1114" i="2"/>
  <c r="W1114" i="2"/>
  <c r="AB1114" i="2"/>
  <c r="D1115" i="2"/>
  <c r="P1115" i="2"/>
  <c r="Q1115" i="2"/>
  <c r="AB1115" i="2"/>
  <c r="C1116" i="2"/>
  <c r="P1116" i="2"/>
  <c r="Q1116" i="2"/>
  <c r="U1116" i="2"/>
  <c r="W1116" i="2"/>
  <c r="Y1116" i="2"/>
  <c r="AB1116" i="2"/>
  <c r="C1117" i="2"/>
  <c r="P1117" i="2"/>
  <c r="Q1117" i="2"/>
  <c r="W1117" i="2"/>
  <c r="AB1117" i="2"/>
  <c r="D1118" i="2"/>
  <c r="P1118" i="2"/>
  <c r="Q1118" i="2"/>
  <c r="AB1118" i="2"/>
  <c r="C1119" i="2"/>
  <c r="P1119" i="2"/>
  <c r="Q1119" i="2"/>
  <c r="U1119" i="2"/>
  <c r="W1119" i="2"/>
  <c r="Y1119" i="2"/>
  <c r="AB1119" i="2"/>
  <c r="C1120" i="2"/>
  <c r="P1120" i="2"/>
  <c r="Q1120" i="2"/>
  <c r="W1120" i="2"/>
  <c r="AB1120" i="2"/>
  <c r="D1121" i="2"/>
  <c r="P1121" i="2"/>
  <c r="Q1121" i="2"/>
  <c r="AB1121" i="2"/>
  <c r="C1084" i="2"/>
  <c r="P1084" i="2"/>
  <c r="Q1084" i="2"/>
  <c r="U1084" i="2"/>
  <c r="W1084" i="2"/>
  <c r="Y1084" i="2"/>
  <c r="AB1084" i="2"/>
  <c r="C1085" i="2"/>
  <c r="P1085" i="2"/>
  <c r="Q1085" i="2"/>
  <c r="W1085" i="2"/>
  <c r="AB1085" i="2"/>
  <c r="D1086" i="2"/>
  <c r="P1086" i="2"/>
  <c r="Q1086" i="2"/>
  <c r="AB1086" i="2"/>
  <c r="C1087" i="2"/>
  <c r="P1087" i="2"/>
  <c r="Q1087" i="2"/>
  <c r="U1087" i="2"/>
  <c r="W1087" i="2"/>
  <c r="Y1087" i="2"/>
  <c r="AB1087" i="2"/>
  <c r="C1088" i="2"/>
  <c r="P1088" i="2"/>
  <c r="Q1088" i="2"/>
  <c r="W1088" i="2"/>
  <c r="AB1088" i="2"/>
  <c r="D1089" i="2"/>
  <c r="P1089" i="2"/>
  <c r="Q1089" i="2"/>
  <c r="AB1089" i="2"/>
  <c r="C1090" i="2"/>
  <c r="P1090" i="2"/>
  <c r="Q1090" i="2"/>
  <c r="U1090" i="2"/>
  <c r="W1090" i="2"/>
  <c r="Y1090" i="2"/>
  <c r="AB1090" i="2"/>
  <c r="C1091" i="2"/>
  <c r="P1091" i="2"/>
  <c r="Q1091" i="2"/>
  <c r="W1091" i="2"/>
  <c r="AB1091" i="2"/>
  <c r="D1092" i="2"/>
  <c r="P1092" i="2"/>
  <c r="Q1092" i="2"/>
  <c r="AB1092" i="2"/>
  <c r="AB1068" i="2"/>
  <c r="Q1068" i="2"/>
  <c r="P1068" i="2"/>
  <c r="D1068" i="2"/>
  <c r="AB1067" i="2"/>
  <c r="W1067" i="2"/>
  <c r="Q1067" i="2"/>
  <c r="P1067" i="2"/>
  <c r="C1067" i="2"/>
  <c r="AB1066" i="2"/>
  <c r="Y1066" i="2"/>
  <c r="W1066" i="2"/>
  <c r="U1066" i="2"/>
  <c r="Q1066" i="2"/>
  <c r="P1066" i="2"/>
  <c r="C1066" i="2"/>
  <c r="AB1063" i="2"/>
  <c r="Y1063" i="2"/>
  <c r="W1063" i="2"/>
  <c r="U1063" i="2"/>
  <c r="Q1063" i="2"/>
  <c r="P1063" i="2"/>
  <c r="C1063" i="2"/>
  <c r="AB1062" i="2"/>
  <c r="Q1062" i="2"/>
  <c r="P1062" i="2"/>
  <c r="D1062" i="2"/>
  <c r="AB1061" i="2"/>
  <c r="W1061" i="2"/>
  <c r="Q1061" i="2"/>
  <c r="P1061" i="2"/>
  <c r="C1061" i="2"/>
  <c r="AB1060" i="2"/>
  <c r="Y1060" i="2"/>
  <c r="W1060" i="2"/>
  <c r="U1060" i="2"/>
  <c r="Q1060" i="2"/>
  <c r="P1060" i="2"/>
  <c r="C1060" i="2"/>
  <c r="Q1059" i="2"/>
  <c r="D1059" i="2"/>
  <c r="AB1058" i="2"/>
  <c r="W1058" i="2"/>
  <c r="Q1058" i="2"/>
  <c r="P1058" i="2"/>
  <c r="C1058" i="2"/>
  <c r="AB1057" i="2"/>
  <c r="Y1057" i="2"/>
  <c r="W1057" i="2"/>
  <c r="U1057" i="2"/>
  <c r="Q1057" i="2"/>
  <c r="P1057" i="2"/>
  <c r="C1057" i="2"/>
  <c r="AB1056" i="2"/>
  <c r="Q1056" i="2"/>
  <c r="P1056" i="2"/>
  <c r="D1056" i="2"/>
  <c r="AB1055" i="2"/>
  <c r="W1055" i="2"/>
  <c r="Q1055" i="2"/>
  <c r="P1055" i="2"/>
  <c r="C1055" i="2"/>
  <c r="AB1054" i="2"/>
  <c r="Y1054" i="2"/>
  <c r="W1054" i="2"/>
  <c r="U1054" i="2"/>
  <c r="Q1054" i="2"/>
  <c r="P1054" i="2"/>
  <c r="C1054" i="2"/>
  <c r="AB1053" i="2"/>
  <c r="Q1053" i="2"/>
  <c r="P1053" i="2"/>
  <c r="D1053" i="2"/>
  <c r="AB1052" i="2"/>
  <c r="W1052" i="2"/>
  <c r="Q1052" i="2"/>
  <c r="P1052" i="2"/>
  <c r="C1052" i="2"/>
  <c r="AB1051" i="2"/>
  <c r="Y1051" i="2"/>
  <c r="W1051" i="2"/>
  <c r="U1051" i="2"/>
  <c r="Q1051" i="2"/>
  <c r="P1051" i="2"/>
  <c r="C1051" i="2"/>
  <c r="AB1049" i="2"/>
  <c r="Q1049" i="2"/>
  <c r="P1049" i="2"/>
  <c r="D1049" i="2"/>
  <c r="AB1048" i="2"/>
  <c r="W1048" i="2"/>
  <c r="Q1048" i="2"/>
  <c r="P1048" i="2"/>
  <c r="C1048" i="2"/>
  <c r="AB1047" i="2"/>
  <c r="Y1047" i="2"/>
  <c r="W1047" i="2"/>
  <c r="U1047" i="2"/>
  <c r="Q1047" i="2"/>
  <c r="P1047" i="2"/>
  <c r="C1047" i="2"/>
  <c r="AB1044" i="2"/>
  <c r="Y1044" i="2"/>
  <c r="W1044" i="2"/>
  <c r="U1044" i="2"/>
  <c r="Q1044" i="2"/>
  <c r="P1044" i="2"/>
  <c r="C1044" i="2"/>
  <c r="AB1043" i="2"/>
  <c r="Q1043" i="2"/>
  <c r="P1043" i="2"/>
  <c r="D1043" i="2"/>
  <c r="AB1042" i="2"/>
  <c r="W1042" i="2"/>
  <c r="Q1042" i="2"/>
  <c r="P1042" i="2"/>
  <c r="C1042" i="2"/>
  <c r="AB1041" i="2"/>
  <c r="Y1041" i="2"/>
  <c r="W1041" i="2"/>
  <c r="U1041" i="2"/>
  <c r="Q1041" i="2"/>
  <c r="P1041" i="2"/>
  <c r="C1041" i="2"/>
  <c r="AB1040" i="2"/>
  <c r="Q1040" i="2"/>
  <c r="P1040" i="2"/>
  <c r="D1040" i="2"/>
  <c r="AB1039" i="2"/>
  <c r="W1039" i="2"/>
  <c r="Q1039" i="2"/>
  <c r="P1039" i="2"/>
  <c r="C1039" i="2"/>
  <c r="AB1038" i="2"/>
  <c r="Y1038" i="2"/>
  <c r="W1038" i="2"/>
  <c r="U1038" i="2"/>
  <c r="Q1038" i="2"/>
  <c r="P1038" i="2"/>
  <c r="C1038" i="2"/>
  <c r="AB1037" i="2"/>
  <c r="Q1037" i="2"/>
  <c r="P1037" i="2"/>
  <c r="D1037" i="2"/>
  <c r="AB1036" i="2"/>
  <c r="W1036" i="2"/>
  <c r="Q1036" i="2"/>
  <c r="P1036" i="2"/>
  <c r="C1036" i="2"/>
  <c r="AB1035" i="2"/>
  <c r="Y1035" i="2"/>
  <c r="W1035" i="2"/>
  <c r="U1035" i="2"/>
  <c r="Q1035" i="2"/>
  <c r="P1035" i="2"/>
  <c r="C1035" i="2"/>
  <c r="AB1034" i="2"/>
  <c r="Q1034" i="2"/>
  <c r="P1034" i="2"/>
  <c r="D1034" i="2"/>
  <c r="AB1033" i="2"/>
  <c r="W1033" i="2"/>
  <c r="Q1033" i="2"/>
  <c r="P1033" i="2"/>
  <c r="C1033" i="2"/>
  <c r="AB1032" i="2"/>
  <c r="Y1032" i="2"/>
  <c r="W1032" i="2"/>
  <c r="U1032" i="2"/>
  <c r="Q1032" i="2"/>
  <c r="P1032" i="2"/>
  <c r="C1032" i="2"/>
  <c r="AB1030" i="2"/>
  <c r="Q1030" i="2"/>
  <c r="P1030" i="2"/>
  <c r="D1030" i="2"/>
  <c r="AB1029" i="2"/>
  <c r="W1029" i="2"/>
  <c r="Q1029" i="2"/>
  <c r="P1029" i="2"/>
  <c r="C1029" i="2"/>
  <c r="AB1028" i="2"/>
  <c r="Y1028" i="2"/>
  <c r="W1028" i="2"/>
  <c r="U1028" i="2"/>
  <c r="Q1028" i="2"/>
  <c r="P1028" i="2"/>
  <c r="C1028" i="2"/>
  <c r="AB1025" i="2"/>
  <c r="Y1025" i="2"/>
  <c r="W1025" i="2"/>
  <c r="U1025" i="2"/>
  <c r="Q1025" i="2"/>
  <c r="P1025" i="2"/>
  <c r="C1025" i="2"/>
  <c r="AB1024" i="2"/>
  <c r="Q1024" i="2"/>
  <c r="P1024" i="2"/>
  <c r="D1024" i="2"/>
  <c r="AB1023" i="2"/>
  <c r="W1023" i="2"/>
  <c r="Q1023" i="2"/>
  <c r="P1023" i="2"/>
  <c r="C1023" i="2"/>
  <c r="AB1022" i="2"/>
  <c r="Y1022" i="2"/>
  <c r="W1022" i="2"/>
  <c r="U1022" i="2"/>
  <c r="Q1022" i="2"/>
  <c r="P1022" i="2"/>
  <c r="C1022" i="2"/>
  <c r="AB1021" i="2"/>
  <c r="Q1021" i="2"/>
  <c r="P1021" i="2"/>
  <c r="D1021" i="2"/>
  <c r="AB1020" i="2"/>
  <c r="W1020" i="2"/>
  <c r="Q1020" i="2"/>
  <c r="P1020" i="2"/>
  <c r="C1020" i="2"/>
  <c r="AB1019" i="2"/>
  <c r="Y1019" i="2"/>
  <c r="W1019" i="2"/>
  <c r="U1019" i="2"/>
  <c r="Q1019" i="2"/>
  <c r="P1019" i="2"/>
  <c r="C1019" i="2"/>
  <c r="AB1018" i="2"/>
  <c r="Q1018" i="2"/>
  <c r="P1018" i="2"/>
  <c r="D1018" i="2"/>
  <c r="AB1017" i="2"/>
  <c r="W1017" i="2"/>
  <c r="Q1017" i="2"/>
  <c r="P1017" i="2"/>
  <c r="C1017" i="2"/>
  <c r="AB1016" i="2"/>
  <c r="Y1016" i="2"/>
  <c r="W1016" i="2"/>
  <c r="U1016" i="2"/>
  <c r="Q1016" i="2"/>
  <c r="P1016" i="2"/>
  <c r="C1016" i="2"/>
  <c r="AB1015" i="2"/>
  <c r="Q1015" i="2"/>
  <c r="P1015" i="2"/>
  <c r="D1015" i="2"/>
  <c r="AB1014" i="2"/>
  <c r="W1014" i="2"/>
  <c r="Q1014" i="2"/>
  <c r="P1014" i="2"/>
  <c r="C1014" i="2"/>
  <c r="AB1013" i="2"/>
  <c r="Y1013" i="2"/>
  <c r="W1013" i="2"/>
  <c r="U1013" i="2"/>
  <c r="Q1013" i="2"/>
  <c r="P1013" i="2"/>
  <c r="C1013" i="2"/>
  <c r="AB501" i="2" l="1"/>
  <c r="AB410" i="2"/>
  <c r="AB311" i="2"/>
  <c r="AB658" i="2"/>
  <c r="AB585" i="2"/>
  <c r="AB494" i="2"/>
  <c r="AB403" i="2"/>
  <c r="AB355" i="2"/>
  <c r="AB450" i="2"/>
  <c r="AB359" i="2"/>
  <c r="AB351" i="2"/>
  <c r="AB541" i="2"/>
  <c r="AB605" i="2"/>
  <c r="AB609" i="2"/>
  <c r="AB601" i="2"/>
  <c r="AB593" i="2"/>
  <c r="AB617" i="2"/>
  <c r="AB597" i="2"/>
  <c r="AB613" i="2"/>
  <c r="AB797" i="2"/>
  <c r="AB612" i="2"/>
  <c r="AB616" i="2"/>
  <c r="AB146" i="2"/>
  <c r="Q146" i="2"/>
  <c r="P146" i="2"/>
  <c r="D146" i="2"/>
  <c r="AB608" i="2" l="1"/>
  <c r="AB600" i="2"/>
  <c r="AB604" i="2"/>
  <c r="AB596" i="2"/>
  <c r="AB592" i="2"/>
  <c r="AB148" i="2"/>
  <c r="Q148" i="2"/>
  <c r="P148" i="2"/>
  <c r="D148" i="2"/>
  <c r="AB147" i="2"/>
  <c r="W147" i="2"/>
  <c r="Q147" i="2"/>
  <c r="P147" i="2"/>
  <c r="C147" i="2"/>
  <c r="C212" i="61"/>
  <c r="AB77" i="2"/>
  <c r="Q77" i="2"/>
  <c r="P77" i="2"/>
  <c r="D77" i="2"/>
  <c r="Q36" i="2"/>
  <c r="D36" i="2"/>
  <c r="AB35" i="2"/>
  <c r="W35" i="2"/>
  <c r="Q35" i="2"/>
  <c r="P35" i="2"/>
  <c r="C35" i="2"/>
  <c r="AB72" i="2"/>
  <c r="Q72" i="2"/>
  <c r="P72" i="2"/>
  <c r="D72" i="2"/>
  <c r="AB71" i="2"/>
  <c r="W71" i="2"/>
  <c r="Q71" i="2"/>
  <c r="P71" i="2"/>
  <c r="C71" i="2"/>
  <c r="AB50" i="2"/>
  <c r="Q50" i="2"/>
  <c r="P50" i="2"/>
  <c r="D50" i="2"/>
  <c r="AB49" i="2"/>
  <c r="W49" i="2"/>
  <c r="Q49" i="2"/>
  <c r="P49" i="2"/>
  <c r="C49" i="2"/>
  <c r="C72" i="61"/>
  <c r="W52" i="2" s="1"/>
  <c r="Y52" i="2" s="1"/>
  <c r="AB68" i="2"/>
  <c r="Q68" i="2"/>
  <c r="P68" i="2"/>
  <c r="D68" i="2"/>
  <c r="AB67" i="2"/>
  <c r="W67" i="2"/>
  <c r="Q67" i="2"/>
  <c r="P67" i="2"/>
  <c r="C67" i="2"/>
  <c r="AB64" i="2"/>
  <c r="Q64" i="2"/>
  <c r="P64" i="2"/>
  <c r="D64" i="2"/>
  <c r="AB63" i="2"/>
  <c r="W63" i="2"/>
  <c r="Q63" i="2"/>
  <c r="P63" i="2"/>
  <c r="C63" i="2"/>
  <c r="AB66" i="2"/>
  <c r="Q66" i="2"/>
  <c r="P66" i="2"/>
  <c r="D66" i="2"/>
  <c r="AB65" i="2"/>
  <c r="W65" i="2"/>
  <c r="Q65" i="2"/>
  <c r="P65" i="2"/>
  <c r="C65" i="2"/>
  <c r="C217" i="61"/>
  <c r="W58" i="2" s="1"/>
  <c r="Y58" i="2" s="1"/>
  <c r="W80" i="2"/>
  <c r="S7" i="2"/>
  <c r="S6" i="2"/>
  <c r="D11" i="55"/>
  <c r="T36" i="2" l="1"/>
  <c r="AB36" i="2"/>
  <c r="P36" i="2"/>
  <c r="B3" i="55" l="1"/>
  <c r="A55" i="54"/>
  <c r="A26" i="54"/>
  <c r="A28" i="54"/>
  <c r="AB2140" i="2"/>
  <c r="AB2139" i="2"/>
  <c r="AB2138" i="2"/>
  <c r="AB2137" i="2"/>
  <c r="AB2132" i="2"/>
  <c r="AB2131" i="2"/>
  <c r="AB2130" i="2"/>
  <c r="AB2129" i="2"/>
  <c r="AB2128" i="2"/>
  <c r="AB2127" i="2"/>
  <c r="AB2126" i="2"/>
  <c r="AB2125" i="2"/>
  <c r="AB2124" i="2"/>
  <c r="AB2123" i="2"/>
  <c r="AB2122" i="2"/>
  <c r="AB2121" i="2"/>
  <c r="AB1190" i="2"/>
  <c r="AB1189" i="2"/>
  <c r="AB1188" i="2"/>
  <c r="AB1187" i="2"/>
  <c r="AB1177" i="2"/>
  <c r="AB1176" i="2"/>
  <c r="AB1174" i="2"/>
  <c r="AB1173" i="2"/>
  <c r="AB1172" i="2"/>
  <c r="AB1171" i="2"/>
  <c r="AB2120" i="2"/>
  <c r="AB2119" i="2"/>
  <c r="AB2118" i="2"/>
  <c r="AB2117" i="2"/>
  <c r="AB2116" i="2"/>
  <c r="AB2115" i="2"/>
  <c r="AB2114" i="2"/>
  <c r="AB2113" i="2"/>
  <c r="AB2110" i="2"/>
  <c r="AB2109" i="2"/>
  <c r="AB2108" i="2"/>
  <c r="AB2107" i="2"/>
  <c r="AB2106" i="2"/>
  <c r="AB2105" i="2"/>
  <c r="AB2104" i="2"/>
  <c r="AB2103" i="2"/>
  <c r="AB2102" i="2"/>
  <c r="AB2101" i="2"/>
  <c r="AB2100" i="2"/>
  <c r="AB2099" i="2"/>
  <c r="AB2098" i="2"/>
  <c r="AB2097" i="2"/>
  <c r="AB2096" i="2"/>
  <c r="AB2095" i="2"/>
  <c r="AB2094" i="2"/>
  <c r="AB2093" i="2"/>
  <c r="AB2092" i="2"/>
  <c r="AB2091" i="2"/>
  <c r="AB2090" i="2"/>
  <c r="AB2089" i="2"/>
  <c r="AB2085" i="2"/>
  <c r="AB2084" i="2"/>
  <c r="AB2083" i="2"/>
  <c r="AB2062" i="2"/>
  <c r="AB2061" i="2"/>
  <c r="AB1942" i="2"/>
  <c r="AB1914" i="2"/>
  <c r="AB1878" i="2"/>
  <c r="AB1877" i="2"/>
  <c r="AB1876" i="2"/>
  <c r="AB1875" i="2"/>
  <c r="AB1866" i="2"/>
  <c r="AB1865" i="2"/>
  <c r="AB1864" i="2"/>
  <c r="AB1860" i="2"/>
  <c r="AB1851" i="2"/>
  <c r="AB1850" i="2"/>
  <c r="AB1849" i="2"/>
  <c r="AB1848" i="2"/>
  <c r="AB1847" i="2"/>
  <c r="AB1842" i="2"/>
  <c r="AB1841" i="2"/>
  <c r="AB1840" i="2"/>
  <c r="AB1839" i="2"/>
  <c r="AB1838" i="2"/>
  <c r="AB1837" i="2"/>
  <c r="AB1830" i="2"/>
  <c r="AB1825" i="2"/>
  <c r="AB1820" i="2"/>
  <c r="AB1819" i="2"/>
  <c r="AB1818" i="2"/>
  <c r="AB1817" i="2"/>
  <c r="AB1816" i="2"/>
  <c r="AB1815" i="2"/>
  <c r="AB1808" i="2"/>
  <c r="AB1803" i="2"/>
  <c r="AB1798" i="2"/>
  <c r="AB1797" i="2"/>
  <c r="AB1796" i="2"/>
  <c r="AB1795" i="2"/>
  <c r="AB1794" i="2"/>
  <c r="AB1793" i="2"/>
  <c r="AB1788" i="2"/>
  <c r="AB1783" i="2"/>
  <c r="AB1774" i="2"/>
  <c r="AB1773" i="2"/>
  <c r="AB1766" i="2"/>
  <c r="AB1761" i="2"/>
  <c r="AB1752" i="2"/>
  <c r="AB1749" i="2"/>
  <c r="AB1748" i="2"/>
  <c r="AB1741" i="2"/>
  <c r="AB1740" i="2"/>
  <c r="AB1737" i="2"/>
  <c r="AB1736" i="2"/>
  <c r="AB1733" i="2"/>
  <c r="AB1732" i="2"/>
  <c r="AB1731" i="2"/>
  <c r="AB1730" i="2"/>
  <c r="AB1729" i="2"/>
  <c r="AB1728" i="2"/>
  <c r="AB1727" i="2"/>
  <c r="AB1726" i="2"/>
  <c r="AB1709" i="2"/>
  <c r="AB1641" i="2"/>
  <c r="AB1580" i="2"/>
  <c r="AB1506" i="2"/>
  <c r="AB1242" i="2"/>
  <c r="AB1241" i="2"/>
  <c r="AB1505" i="2"/>
  <c r="AB1504" i="2"/>
  <c r="AB1501" i="2"/>
  <c r="AB1500" i="2"/>
  <c r="AB1493" i="2"/>
  <c r="AB1233" i="2"/>
  <c r="AB1232" i="2"/>
  <c r="AB1231" i="2"/>
  <c r="AB1230" i="2"/>
  <c r="AB1492" i="2"/>
  <c r="AB1491" i="2"/>
  <c r="AB1490" i="2"/>
  <c r="AB1489" i="2"/>
  <c r="AB1488" i="2"/>
  <c r="AB1476" i="2"/>
  <c r="AB1473" i="2"/>
  <c r="AB1472" i="2"/>
  <c r="AB1471" i="2"/>
  <c r="AB1465" i="2"/>
  <c r="AB1457" i="2"/>
  <c r="AB1456" i="2"/>
  <c r="AB1447" i="2"/>
  <c r="AB1429" i="2"/>
  <c r="AB1411" i="2"/>
  <c r="AB1386" i="2"/>
  <c r="AB1383" i="2"/>
  <c r="AB1382" i="2"/>
  <c r="AB1381" i="2"/>
  <c r="AB1380" i="2"/>
  <c r="AB1379" i="2"/>
  <c r="AB1378" i="2"/>
  <c r="AB1377" i="2"/>
  <c r="AB1376" i="2"/>
  <c r="AB1371" i="2"/>
  <c r="AB1370" i="2"/>
  <c r="AB1369" i="2"/>
  <c r="AB1345" i="2"/>
  <c r="AB1307" i="2"/>
  <c r="AB1275" i="2"/>
  <c r="AB1495" i="2"/>
  <c r="AB1494" i="2"/>
  <c r="AB1243" i="2"/>
  <c r="AB1238" i="2"/>
  <c r="AB1237" i="2"/>
  <c r="AB1236" i="2"/>
  <c r="AB1235" i="2"/>
  <c r="AB1497" i="2"/>
  <c r="AB1496" i="2"/>
  <c r="AB1234" i="2"/>
  <c r="AB1223" i="2"/>
  <c r="AB1222" i="2"/>
  <c r="AB1221" i="2"/>
  <c r="AB1220" i="2"/>
  <c r="AB1219" i="2"/>
  <c r="AB1218" i="2"/>
  <c r="AB1217" i="2"/>
  <c r="AB1216" i="2"/>
  <c r="AB1215" i="2"/>
  <c r="AB1214" i="2"/>
  <c r="AB1213" i="2"/>
  <c r="AB1212" i="2"/>
  <c r="AB1464" i="2"/>
  <c r="AB1463" i="2"/>
  <c r="AB1462" i="2"/>
  <c r="AB1460" i="2"/>
  <c r="AB1459" i="2"/>
  <c r="AB1458" i="2"/>
  <c r="AB1211" i="2"/>
  <c r="AB1210" i="2"/>
  <c r="AB948" i="2"/>
  <c r="AB947" i="2"/>
  <c r="AB946" i="2"/>
  <c r="AB945" i="2"/>
  <c r="AB944" i="2"/>
  <c r="AB943" i="2"/>
  <c r="AB942" i="2"/>
  <c r="AB939" i="2"/>
  <c r="AB938" i="2"/>
  <c r="AB937" i="2"/>
  <c r="AB936" i="2"/>
  <c r="AB935" i="2"/>
  <c r="AB934" i="2"/>
  <c r="AB933" i="2"/>
  <c r="AB932" i="2"/>
  <c r="AB931" i="2"/>
  <c r="AB930" i="2"/>
  <c r="AB929" i="2"/>
  <c r="AB928" i="2"/>
  <c r="AB927" i="2"/>
  <c r="AB926" i="2"/>
  <c r="AB925" i="2"/>
  <c r="AB924" i="2"/>
  <c r="AB920" i="2"/>
  <c r="AB919" i="2"/>
  <c r="AB918" i="2"/>
  <c r="AB917" i="2"/>
  <c r="AB916" i="2"/>
  <c r="AB915" i="2"/>
  <c r="AB914" i="2"/>
  <c r="AB913" i="2"/>
  <c r="AB912" i="2"/>
  <c r="AB877" i="2"/>
  <c r="AB807" i="2"/>
  <c r="AB842" i="2"/>
  <c r="AB806" i="2"/>
  <c r="AB1208" i="2"/>
  <c r="AB1207" i="2"/>
  <c r="AB1206" i="2"/>
  <c r="AB1205" i="2"/>
  <c r="AB1204" i="2"/>
  <c r="AB1203" i="2"/>
  <c r="AB1200" i="2"/>
  <c r="AB1199" i="2"/>
  <c r="AB1195" i="2"/>
  <c r="AB1194" i="2"/>
  <c r="AB1193" i="2"/>
  <c r="AB1192" i="2"/>
  <c r="AB1191" i="2"/>
  <c r="AB1159" i="2"/>
  <c r="AB1158" i="2"/>
  <c r="AB1157" i="2"/>
  <c r="AB1156" i="2"/>
  <c r="AB1155" i="2"/>
  <c r="AB1154" i="2"/>
  <c r="AB1153" i="2"/>
  <c r="AB1152" i="2"/>
  <c r="AB1151" i="2"/>
  <c r="AB1150" i="2"/>
  <c r="AB1149" i="2"/>
  <c r="AB1148" i="2"/>
  <c r="AB1147" i="2"/>
  <c r="AB1146" i="2"/>
  <c r="AB1145" i="2"/>
  <c r="AB1144" i="2"/>
  <c r="AB1143" i="2"/>
  <c r="AB1142" i="2"/>
  <c r="AB1141" i="2"/>
  <c r="AB1140" i="2"/>
  <c r="AB1139" i="2"/>
  <c r="AB1138" i="2"/>
  <c r="AB1137" i="2"/>
  <c r="AB1136" i="2"/>
  <c r="AB1135" i="2"/>
  <c r="AB1134" i="2"/>
  <c r="AB1133" i="2"/>
  <c r="AB1132" i="2"/>
  <c r="AB1131" i="2"/>
  <c r="AB1130" i="2"/>
  <c r="AB1129" i="2"/>
  <c r="AB1128" i="2"/>
  <c r="AB1127" i="2"/>
  <c r="AB1126" i="2"/>
  <c r="AB1125" i="2"/>
  <c r="AB1124" i="2"/>
  <c r="AB1123" i="2"/>
  <c r="AB1122" i="2"/>
  <c r="AB1109" i="2"/>
  <c r="AB1096" i="2"/>
  <c r="AB1095" i="2"/>
  <c r="AB1094" i="2"/>
  <c r="AB1093" i="2"/>
  <c r="AB1083" i="2"/>
  <c r="AB1081" i="2"/>
  <c r="AB1080" i="2"/>
  <c r="AB1079" i="2"/>
  <c r="AB1078" i="2"/>
  <c r="AB1077" i="2"/>
  <c r="AB1076" i="2"/>
  <c r="AB1075" i="2"/>
  <c r="AB1074" i="2"/>
  <c r="AB1073" i="2"/>
  <c r="AB1072" i="2"/>
  <c r="AB1071" i="2"/>
  <c r="AB1070" i="2"/>
  <c r="AB1069" i="2"/>
  <c r="AB1050" i="2"/>
  <c r="AB1031" i="2"/>
  <c r="AB1012" i="2"/>
  <c r="AB1011" i="2"/>
  <c r="AB1010" i="2"/>
  <c r="AB1009" i="2"/>
  <c r="AB1006" i="2"/>
  <c r="AB1005" i="2"/>
  <c r="AB1004" i="2"/>
  <c r="AB1003" i="2"/>
  <c r="AB1002" i="2"/>
  <c r="AB1001" i="2"/>
  <c r="AB1000" i="2"/>
  <c r="AB999" i="2"/>
  <c r="AB998" i="2"/>
  <c r="AB997" i="2"/>
  <c r="AB996" i="2"/>
  <c r="AB995" i="2"/>
  <c r="AB994" i="2"/>
  <c r="AB993" i="2"/>
  <c r="AB992" i="2"/>
  <c r="AB991" i="2"/>
  <c r="AB990" i="2"/>
  <c r="AB987" i="2"/>
  <c r="AB986" i="2"/>
  <c r="AB985" i="2"/>
  <c r="AB984" i="2"/>
  <c r="AB983" i="2"/>
  <c r="AB982" i="2"/>
  <c r="AB981" i="2"/>
  <c r="AB980" i="2"/>
  <c r="AB979" i="2"/>
  <c r="AB978" i="2"/>
  <c r="AB977" i="2"/>
  <c r="AB976" i="2"/>
  <c r="AB975" i="2"/>
  <c r="AB974" i="2"/>
  <c r="AB973" i="2"/>
  <c r="AB754" i="2"/>
  <c r="AB725" i="2"/>
  <c r="AB692" i="2"/>
  <c r="AB691" i="2"/>
  <c r="AB690" i="2"/>
  <c r="AB689" i="2"/>
  <c r="AB688" i="2"/>
  <c r="AB687" i="2"/>
  <c r="AB686" i="2"/>
  <c r="AB685" i="2"/>
  <c r="AB684" i="2"/>
  <c r="AB683" i="2"/>
  <c r="AB682" i="2"/>
  <c r="AB681" i="2"/>
  <c r="AB680" i="2"/>
  <c r="AB679" i="2"/>
  <c r="AB678" i="2"/>
  <c r="AB677" i="2"/>
  <c r="AB676" i="2"/>
  <c r="AB675" i="2"/>
  <c r="AB674" i="2"/>
  <c r="AB673" i="2"/>
  <c r="AB672" i="2"/>
  <c r="AB671" i="2"/>
  <c r="AB667" i="2"/>
  <c r="AB666" i="2"/>
  <c r="AB665" i="2"/>
  <c r="AB664" i="2"/>
  <c r="AB663" i="2"/>
  <c r="AB662" i="2"/>
  <c r="AB661" i="2"/>
  <c r="AB660" i="2"/>
  <c r="AB588" i="2"/>
  <c r="AB587" i="2"/>
  <c r="AB586" i="2"/>
  <c r="AB538" i="2"/>
  <c r="AB537" i="2"/>
  <c r="AB536" i="2"/>
  <c r="AB535" i="2"/>
  <c r="AB534" i="2"/>
  <c r="AB533" i="2"/>
  <c r="AB532" i="2"/>
  <c r="AB531" i="2"/>
  <c r="AB530" i="2"/>
  <c r="AB529" i="2"/>
  <c r="AB528" i="2"/>
  <c r="AB527" i="2"/>
  <c r="AB526" i="2"/>
  <c r="AB525" i="2"/>
  <c r="AB524" i="2"/>
  <c r="AB523" i="2"/>
  <c r="AB522" i="2"/>
  <c r="AB521" i="2"/>
  <c r="AB520" i="2"/>
  <c r="AB519" i="2"/>
  <c r="AB518" i="2"/>
  <c r="AB517" i="2"/>
  <c r="AB516" i="2"/>
  <c r="AB515" i="2"/>
  <c r="AB514" i="2"/>
  <c r="AB513" i="2"/>
  <c r="AB512" i="2"/>
  <c r="AB511" i="2"/>
  <c r="AB499" i="2"/>
  <c r="AB498" i="2"/>
  <c r="AB497" i="2"/>
  <c r="AB496" i="2"/>
  <c r="AB495" i="2"/>
  <c r="AB490" i="2"/>
  <c r="AB452" i="2"/>
  <c r="AB447" i="2"/>
  <c r="AB446" i="2"/>
  <c r="AB445" i="2"/>
  <c r="AB444" i="2"/>
  <c r="AB443" i="2"/>
  <c r="AB442" i="2"/>
  <c r="AB441" i="2"/>
  <c r="AB440" i="2"/>
  <c r="AB439" i="2"/>
  <c r="AB438" i="2"/>
  <c r="AB437" i="2"/>
  <c r="AB436" i="2"/>
  <c r="AB435" i="2"/>
  <c r="AB434" i="2"/>
  <c r="AB433" i="2"/>
  <c r="AB432" i="2"/>
  <c r="AB431" i="2"/>
  <c r="AB430" i="2"/>
  <c r="AB429" i="2"/>
  <c r="AB428" i="2"/>
  <c r="AB427" i="2"/>
  <c r="AB426" i="2"/>
  <c r="AB425" i="2"/>
  <c r="AB424" i="2"/>
  <c r="AB423" i="2"/>
  <c r="AB422" i="2"/>
  <c r="AB421" i="2"/>
  <c r="AB420" i="2"/>
  <c r="AB408" i="2"/>
  <c r="AB407" i="2"/>
  <c r="AB406" i="2"/>
  <c r="AB405" i="2"/>
  <c r="AB404" i="2"/>
  <c r="AB39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3" i="2"/>
  <c r="AB332" i="2"/>
  <c r="AB331" i="2"/>
  <c r="AB330" i="2"/>
  <c r="AB329" i="2"/>
  <c r="AB328" i="2"/>
  <c r="AB327" i="2"/>
  <c r="AB326" i="2"/>
  <c r="AB325" i="2"/>
  <c r="AB324" i="2"/>
  <c r="AB323" i="2"/>
  <c r="AB322" i="2"/>
  <c r="AB321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3" i="2"/>
  <c r="AB292" i="2"/>
  <c r="AB291" i="2"/>
  <c r="AB290" i="2"/>
  <c r="AB289" i="2"/>
  <c r="AB288" i="2"/>
  <c r="AB287" i="2"/>
  <c r="AB286" i="2"/>
  <c r="AB285" i="2"/>
  <c r="AB284" i="2"/>
  <c r="AB282" i="2"/>
  <c r="AB281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181" i="2"/>
  <c r="AB180" i="2"/>
  <c r="AB179" i="2"/>
  <c r="AB178" i="2"/>
  <c r="AB174" i="2"/>
  <c r="AB173" i="2"/>
  <c r="AB172" i="2"/>
  <c r="AB171" i="2"/>
  <c r="AB164" i="2"/>
  <c r="AB168" i="2"/>
  <c r="AB167" i="2"/>
  <c r="AB166" i="2"/>
  <c r="AB153" i="2"/>
  <c r="AB152" i="2"/>
  <c r="AB151" i="2"/>
  <c r="AB150" i="2"/>
  <c r="AB149" i="2"/>
  <c r="AB145" i="2"/>
  <c r="AB144" i="2"/>
  <c r="AB143" i="2"/>
  <c r="AB142" i="2"/>
  <c r="AB141" i="2"/>
  <c r="AB140" i="2"/>
  <c r="AB134" i="2"/>
  <c r="AB133" i="2"/>
  <c r="AB132" i="2"/>
  <c r="AB128" i="2"/>
  <c r="AB118" i="2"/>
  <c r="AB113" i="2"/>
  <c r="AB112" i="2"/>
  <c r="AB111" i="2"/>
  <c r="AB110" i="2"/>
  <c r="AB106" i="2"/>
  <c r="AB105" i="2"/>
  <c r="AB104" i="2"/>
  <c r="AB103" i="2"/>
  <c r="AB102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6" i="2"/>
  <c r="AB75" i="2"/>
  <c r="AB74" i="2"/>
  <c r="AB73" i="2"/>
  <c r="AB70" i="2"/>
  <c r="AB69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48" i="2"/>
  <c r="AB47" i="2"/>
  <c r="AB41" i="2"/>
  <c r="AB40" i="2"/>
  <c r="AB39" i="2"/>
  <c r="AB38" i="2"/>
  <c r="AB37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6" i="2"/>
  <c r="AB15" i="2"/>
  <c r="AB14" i="2"/>
  <c r="AB13" i="2"/>
  <c r="AB12" i="2"/>
  <c r="AB17" i="2"/>
  <c r="C95" i="2"/>
  <c r="P95" i="2"/>
  <c r="Q95" i="2"/>
  <c r="W95" i="2"/>
  <c r="D96" i="2"/>
  <c r="P96" i="2"/>
  <c r="Q96" i="2"/>
  <c r="S5" i="2"/>
  <c r="S4" i="2"/>
  <c r="AF4" i="2" s="1"/>
  <c r="AE9" i="2" s="1"/>
  <c r="B292" i="65"/>
  <c r="B293" i="65"/>
  <c r="B294" i="65"/>
  <c r="B295" i="65"/>
  <c r="B296" i="65"/>
  <c r="B297" i="65"/>
  <c r="B298" i="65"/>
  <c r="B299" i="65"/>
  <c r="B300" i="65"/>
  <c r="B301" i="65"/>
  <c r="B302" i="65"/>
  <c r="B303" i="65"/>
  <c r="B304" i="65"/>
  <c r="B305" i="65"/>
  <c r="B306" i="65"/>
  <c r="B307" i="65"/>
  <c r="B308" i="65"/>
  <c r="B309" i="65"/>
  <c r="B310" i="65"/>
  <c r="B311" i="65"/>
  <c r="B312" i="65"/>
  <c r="B313" i="65"/>
  <c r="B314" i="65"/>
  <c r="B315" i="65"/>
  <c r="B316" i="65"/>
  <c r="B317" i="65"/>
  <c r="B318" i="65"/>
  <c r="B319" i="65"/>
  <c r="B320" i="65"/>
  <c r="B321" i="65"/>
  <c r="B322" i="65"/>
  <c r="B323" i="65"/>
  <c r="B324" i="65"/>
  <c r="B325" i="65"/>
  <c r="B326" i="65"/>
  <c r="B327" i="65"/>
  <c r="B328" i="65"/>
  <c r="B329" i="65"/>
  <c r="B330" i="65"/>
  <c r="B331" i="65"/>
  <c r="B332" i="65"/>
  <c r="B333" i="65"/>
  <c r="B334" i="65"/>
  <c r="B335" i="65"/>
  <c r="B336" i="65"/>
  <c r="B337" i="65"/>
  <c r="B338" i="65"/>
  <c r="B339" i="65"/>
  <c r="B340" i="65"/>
  <c r="B341" i="65"/>
  <c r="B342" i="65"/>
  <c r="B343" i="65"/>
  <c r="B344" i="65"/>
  <c r="B345" i="65"/>
  <c r="B346" i="65"/>
  <c r="B347" i="65"/>
  <c r="B348" i="65"/>
  <c r="B349" i="65"/>
  <c r="B350" i="65"/>
  <c r="B351" i="65"/>
  <c r="B352" i="65"/>
  <c r="B353" i="65"/>
  <c r="B354" i="65"/>
  <c r="B355" i="65"/>
  <c r="B356" i="65"/>
  <c r="B357" i="65"/>
  <c r="B358" i="65"/>
  <c r="B359" i="65"/>
  <c r="B360" i="65"/>
  <c r="B361" i="65"/>
  <c r="B362" i="65"/>
  <c r="B363" i="65"/>
  <c r="B364" i="65"/>
  <c r="B365" i="65"/>
  <c r="B366" i="65"/>
  <c r="B367" i="65"/>
  <c r="B368" i="65"/>
  <c r="B369" i="65"/>
  <c r="B370" i="65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7" i="2"/>
  <c r="Q38" i="2"/>
  <c r="Q39" i="2"/>
  <c r="Q40" i="2"/>
  <c r="Q41" i="2"/>
  <c r="Q47" i="2"/>
  <c r="Q48" i="2"/>
  <c r="Q51" i="2"/>
  <c r="Q52" i="2"/>
  <c r="Q53" i="2"/>
  <c r="Q54" i="2"/>
  <c r="Q55" i="2"/>
  <c r="Q56" i="2"/>
  <c r="Q57" i="2"/>
  <c r="Q58" i="2"/>
  <c r="Q59" i="2"/>
  <c r="Q60" i="2"/>
  <c r="Q61" i="2"/>
  <c r="Q62" i="2"/>
  <c r="Q69" i="2"/>
  <c r="Q70" i="2"/>
  <c r="Q73" i="2"/>
  <c r="Q74" i="2"/>
  <c r="Q75" i="2"/>
  <c r="Q76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102" i="2"/>
  <c r="Q103" i="2"/>
  <c r="Q104" i="2"/>
  <c r="Q105" i="2"/>
  <c r="Q106" i="2"/>
  <c r="Q110" i="2"/>
  <c r="Q111" i="2"/>
  <c r="Q112" i="2"/>
  <c r="Q113" i="2"/>
  <c r="Q118" i="2"/>
  <c r="Q128" i="2"/>
  <c r="Q132" i="2"/>
  <c r="Q133" i="2"/>
  <c r="Q134" i="2"/>
  <c r="Q140" i="2"/>
  <c r="Q141" i="2"/>
  <c r="Q142" i="2"/>
  <c r="Q143" i="2"/>
  <c r="Q144" i="2"/>
  <c r="Q145" i="2"/>
  <c r="Q149" i="2"/>
  <c r="Q150" i="2"/>
  <c r="Q151" i="2"/>
  <c r="Q152" i="2"/>
  <c r="Q153" i="2"/>
  <c r="Q166" i="2"/>
  <c r="Q167" i="2"/>
  <c r="Q168" i="2"/>
  <c r="Q164" i="2"/>
  <c r="Q171" i="2"/>
  <c r="Q172" i="2"/>
  <c r="Q173" i="2"/>
  <c r="Q174" i="2"/>
  <c r="Q178" i="2"/>
  <c r="Q179" i="2"/>
  <c r="Q180" i="2"/>
  <c r="Q181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81" i="2"/>
  <c r="Q282" i="2"/>
  <c r="Q284" i="2"/>
  <c r="Q285" i="2"/>
  <c r="Q286" i="2"/>
  <c r="Q287" i="2"/>
  <c r="Q288" i="2"/>
  <c r="Q289" i="2"/>
  <c r="Q290" i="2"/>
  <c r="Q291" i="2"/>
  <c r="Q292" i="2"/>
  <c r="Q293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99" i="2"/>
  <c r="Q404" i="2"/>
  <c r="Q405" i="2"/>
  <c r="Q406" i="2"/>
  <c r="Q407" i="2"/>
  <c r="Q408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52" i="2"/>
  <c r="Q490" i="2"/>
  <c r="Q495" i="2"/>
  <c r="Q496" i="2"/>
  <c r="Q497" i="2"/>
  <c r="Q498" i="2"/>
  <c r="Q499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86" i="2"/>
  <c r="Q587" i="2"/>
  <c r="Q588" i="2"/>
  <c r="Q660" i="2"/>
  <c r="Q661" i="2"/>
  <c r="Q662" i="2"/>
  <c r="Q663" i="2"/>
  <c r="Q664" i="2"/>
  <c r="Q665" i="2"/>
  <c r="Q666" i="2"/>
  <c r="Q667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725" i="2"/>
  <c r="Q754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9" i="2"/>
  <c r="Q1010" i="2"/>
  <c r="Q1011" i="2"/>
  <c r="Q1012" i="2"/>
  <c r="Q1031" i="2"/>
  <c r="Q1050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3" i="2"/>
  <c r="Q1093" i="2"/>
  <c r="Q1094" i="2"/>
  <c r="Q1095" i="2"/>
  <c r="Q1096" i="2"/>
  <c r="Q1109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91" i="2"/>
  <c r="Q1192" i="2"/>
  <c r="Q1193" i="2"/>
  <c r="Q1194" i="2"/>
  <c r="Q1195" i="2"/>
  <c r="Q1199" i="2"/>
  <c r="Q1200" i="2"/>
  <c r="Q1203" i="2"/>
  <c r="Q1204" i="2"/>
  <c r="Q1205" i="2"/>
  <c r="Q1206" i="2"/>
  <c r="Q1207" i="2"/>
  <c r="Q1208" i="2"/>
  <c r="Q806" i="2"/>
  <c r="Q842" i="2"/>
  <c r="Q807" i="2"/>
  <c r="Q877" i="2"/>
  <c r="Q912" i="2"/>
  <c r="Q913" i="2"/>
  <c r="Q914" i="2"/>
  <c r="Q915" i="2"/>
  <c r="Q916" i="2"/>
  <c r="Q917" i="2"/>
  <c r="Q918" i="2"/>
  <c r="Q919" i="2"/>
  <c r="Q920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2" i="2"/>
  <c r="Q943" i="2"/>
  <c r="Q944" i="2"/>
  <c r="Q945" i="2"/>
  <c r="Q946" i="2"/>
  <c r="Q947" i="2"/>
  <c r="Q948" i="2"/>
  <c r="Q1210" i="2"/>
  <c r="Q1211" i="2"/>
  <c r="Q1458" i="2"/>
  <c r="Q1459" i="2"/>
  <c r="Q1460" i="2"/>
  <c r="Q1462" i="2"/>
  <c r="Q1463" i="2"/>
  <c r="Q1464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34" i="2"/>
  <c r="Q1496" i="2"/>
  <c r="Q1497" i="2"/>
  <c r="Q1235" i="2"/>
  <c r="Q1236" i="2"/>
  <c r="Q1237" i="2"/>
  <c r="Q1238" i="2"/>
  <c r="Q1243" i="2"/>
  <c r="Q1494" i="2"/>
  <c r="Q1495" i="2"/>
  <c r="Q1275" i="2"/>
  <c r="Q1307" i="2"/>
  <c r="Q1345" i="2"/>
  <c r="Q1369" i="2"/>
  <c r="Q1370" i="2"/>
  <c r="Q1371" i="2"/>
  <c r="Q1376" i="2"/>
  <c r="Q1377" i="2"/>
  <c r="Q1378" i="2"/>
  <c r="Q1379" i="2"/>
  <c r="Q1380" i="2"/>
  <c r="Q1381" i="2"/>
  <c r="Q1382" i="2"/>
  <c r="Q1383" i="2"/>
  <c r="Q1386" i="2"/>
  <c r="Q1411" i="2"/>
  <c r="Q1429" i="2"/>
  <c r="Q1447" i="2"/>
  <c r="Q1456" i="2"/>
  <c r="Q1457" i="2"/>
  <c r="Q1465" i="2"/>
  <c r="Q1471" i="2"/>
  <c r="Q1472" i="2"/>
  <c r="Q1473" i="2"/>
  <c r="Q1476" i="2"/>
  <c r="Q1488" i="2"/>
  <c r="Q1489" i="2"/>
  <c r="Q1490" i="2"/>
  <c r="Q1491" i="2"/>
  <c r="Q1492" i="2"/>
  <c r="Q1230" i="2"/>
  <c r="Q1231" i="2"/>
  <c r="Q1232" i="2"/>
  <c r="Q1233" i="2"/>
  <c r="Q1493" i="2"/>
  <c r="Q1500" i="2"/>
  <c r="Q1501" i="2"/>
  <c r="Q1504" i="2"/>
  <c r="Q1505" i="2"/>
  <c r="Q1241" i="2"/>
  <c r="Q1242" i="2"/>
  <c r="Q1506" i="2"/>
  <c r="Q1580" i="2"/>
  <c r="Q1641" i="2"/>
  <c r="Q1709" i="2"/>
  <c r="Q1726" i="2"/>
  <c r="Q1727" i="2"/>
  <c r="Q1728" i="2"/>
  <c r="Q1729" i="2"/>
  <c r="Q1730" i="2"/>
  <c r="Q1731" i="2"/>
  <c r="Q1732" i="2"/>
  <c r="Q1733" i="2"/>
  <c r="Q1736" i="2"/>
  <c r="Q1737" i="2"/>
  <c r="Q1740" i="2"/>
  <c r="Q1741" i="2"/>
  <c r="Q1748" i="2"/>
  <c r="Q1749" i="2"/>
  <c r="Q1752" i="2"/>
  <c r="Q1761" i="2"/>
  <c r="Q1766" i="2"/>
  <c r="Q1773" i="2"/>
  <c r="Q1774" i="2"/>
  <c r="Q1783" i="2"/>
  <c r="Q1788" i="2"/>
  <c r="Q1793" i="2"/>
  <c r="Q1794" i="2"/>
  <c r="Q1795" i="2"/>
  <c r="Q1796" i="2"/>
  <c r="Q1797" i="2"/>
  <c r="Q1798" i="2"/>
  <c r="Q1803" i="2"/>
  <c r="Q1808" i="2"/>
  <c r="Q1815" i="2"/>
  <c r="Q1816" i="2"/>
  <c r="Q1817" i="2"/>
  <c r="Q1818" i="2"/>
  <c r="Q1819" i="2"/>
  <c r="Q1820" i="2"/>
  <c r="Q1825" i="2"/>
  <c r="Q1830" i="2"/>
  <c r="Q1837" i="2"/>
  <c r="Q1838" i="2"/>
  <c r="Q1839" i="2"/>
  <c r="Q1840" i="2"/>
  <c r="Q1841" i="2"/>
  <c r="Q1842" i="2"/>
  <c r="Q1847" i="2"/>
  <c r="Q1848" i="2"/>
  <c r="Q1849" i="2"/>
  <c r="Q1850" i="2"/>
  <c r="Q1851" i="2"/>
  <c r="Q1860" i="2"/>
  <c r="Q1864" i="2"/>
  <c r="Q1865" i="2"/>
  <c r="Q1866" i="2"/>
  <c r="Q1875" i="2"/>
  <c r="Q1876" i="2"/>
  <c r="Q1877" i="2"/>
  <c r="Q1878" i="2"/>
  <c r="Q1914" i="2"/>
  <c r="Q1942" i="2"/>
  <c r="Q2061" i="2"/>
  <c r="Q2062" i="2"/>
  <c r="Q2083" i="2"/>
  <c r="Q2084" i="2"/>
  <c r="Q2085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3" i="2"/>
  <c r="Q2114" i="2"/>
  <c r="Q2115" i="2"/>
  <c r="Q2116" i="2"/>
  <c r="Q2117" i="2"/>
  <c r="Q2118" i="2"/>
  <c r="Q2119" i="2"/>
  <c r="Q2120" i="2"/>
  <c r="Q1171" i="2"/>
  <c r="Q1172" i="2"/>
  <c r="Q1173" i="2"/>
  <c r="Q1174" i="2"/>
  <c r="Q1176" i="2"/>
  <c r="Q1177" i="2"/>
  <c r="Q1187" i="2"/>
  <c r="Q1188" i="2"/>
  <c r="Q1189" i="2"/>
  <c r="Q119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7" i="2"/>
  <c r="Q2138" i="2"/>
  <c r="Q2139" i="2"/>
  <c r="Q2140" i="2"/>
  <c r="Q16" i="2"/>
  <c r="Q15" i="2"/>
  <c r="Q14" i="2"/>
  <c r="Q13" i="2"/>
  <c r="Q12" i="2"/>
  <c r="C370" i="65"/>
  <c r="C369" i="65"/>
  <c r="C368" i="65"/>
  <c r="C367" i="65"/>
  <c r="C366" i="65"/>
  <c r="C365" i="65"/>
  <c r="C364" i="65"/>
  <c r="C363" i="65"/>
  <c r="C362" i="65"/>
  <c r="C361" i="65"/>
  <c r="C360" i="65"/>
  <c r="C359" i="65"/>
  <c r="C358" i="65"/>
  <c r="C357" i="65"/>
  <c r="C356" i="65"/>
  <c r="C355" i="65"/>
  <c r="C354" i="65"/>
  <c r="C353" i="65"/>
  <c r="C352" i="65"/>
  <c r="C351" i="65"/>
  <c r="C350" i="65"/>
  <c r="C349" i="65"/>
  <c r="C348" i="65"/>
  <c r="C347" i="65"/>
  <c r="C346" i="65"/>
  <c r="C345" i="65"/>
  <c r="C344" i="65"/>
  <c r="C343" i="65"/>
  <c r="C342" i="65"/>
  <c r="C341" i="65"/>
  <c r="C340" i="65"/>
  <c r="C339" i="65"/>
  <c r="C338" i="65"/>
  <c r="C337" i="65"/>
  <c r="C336" i="65"/>
  <c r="C335" i="65"/>
  <c r="C334" i="65"/>
  <c r="C333" i="65"/>
  <c r="C332" i="65"/>
  <c r="C331" i="65"/>
  <c r="C330" i="65"/>
  <c r="C329" i="65"/>
  <c r="C328" i="65"/>
  <c r="C327" i="65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7" i="2"/>
  <c r="P38" i="2"/>
  <c r="P39" i="2"/>
  <c r="P40" i="2"/>
  <c r="P41" i="2"/>
  <c r="P47" i="2"/>
  <c r="P48" i="2"/>
  <c r="P51" i="2"/>
  <c r="P52" i="2"/>
  <c r="P53" i="2"/>
  <c r="P54" i="2"/>
  <c r="P55" i="2"/>
  <c r="P56" i="2"/>
  <c r="P57" i="2"/>
  <c r="P58" i="2"/>
  <c r="P59" i="2"/>
  <c r="P60" i="2"/>
  <c r="P61" i="2"/>
  <c r="P62" i="2"/>
  <c r="P69" i="2"/>
  <c r="P70" i="2"/>
  <c r="P74" i="2"/>
  <c r="P75" i="2"/>
  <c r="P76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102" i="2"/>
  <c r="P103" i="2"/>
  <c r="P104" i="2"/>
  <c r="P105" i="2"/>
  <c r="P106" i="2"/>
  <c r="P110" i="2"/>
  <c r="P111" i="2"/>
  <c r="P112" i="2"/>
  <c r="P113" i="2"/>
  <c r="P118" i="2"/>
  <c r="P128" i="2"/>
  <c r="P132" i="2"/>
  <c r="P133" i="2"/>
  <c r="P134" i="2"/>
  <c r="P140" i="2"/>
  <c r="P141" i="2"/>
  <c r="P142" i="2"/>
  <c r="P143" i="2"/>
  <c r="P144" i="2"/>
  <c r="P145" i="2"/>
  <c r="P149" i="2"/>
  <c r="P150" i="2"/>
  <c r="P151" i="2"/>
  <c r="P152" i="2"/>
  <c r="P153" i="2"/>
  <c r="P166" i="2"/>
  <c r="P167" i="2"/>
  <c r="P168" i="2"/>
  <c r="P164" i="2"/>
  <c r="P173" i="2"/>
  <c r="P174" i="2"/>
  <c r="P178" i="2"/>
  <c r="P179" i="2"/>
  <c r="P180" i="2"/>
  <c r="P181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81" i="2"/>
  <c r="P282" i="2"/>
  <c r="P284" i="2"/>
  <c r="P285" i="2"/>
  <c r="P286" i="2"/>
  <c r="P287" i="2"/>
  <c r="P288" i="2"/>
  <c r="P289" i="2"/>
  <c r="P290" i="2"/>
  <c r="P291" i="2"/>
  <c r="P292" i="2"/>
  <c r="P293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99" i="2"/>
  <c r="P404" i="2"/>
  <c r="P405" i="2"/>
  <c r="P406" i="2"/>
  <c r="P407" i="2"/>
  <c r="P408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52" i="2"/>
  <c r="P490" i="2"/>
  <c r="P495" i="2"/>
  <c r="P496" i="2"/>
  <c r="P497" i="2"/>
  <c r="P498" i="2"/>
  <c r="P499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86" i="2"/>
  <c r="P587" i="2"/>
  <c r="P588" i="2"/>
  <c r="P660" i="2"/>
  <c r="P661" i="2"/>
  <c r="P663" i="2"/>
  <c r="P664" i="2"/>
  <c r="P665" i="2"/>
  <c r="P666" i="2"/>
  <c r="P667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725" i="2"/>
  <c r="P754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9" i="2"/>
  <c r="P1010" i="2"/>
  <c r="P1011" i="2"/>
  <c r="P1012" i="2"/>
  <c r="P1031" i="2"/>
  <c r="P1050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3" i="2"/>
  <c r="P1093" i="2"/>
  <c r="P1094" i="2"/>
  <c r="P1095" i="2"/>
  <c r="P1096" i="2"/>
  <c r="P1109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92" i="2"/>
  <c r="P1193" i="2"/>
  <c r="P1194" i="2"/>
  <c r="P1195" i="2"/>
  <c r="P1199" i="2"/>
  <c r="P1200" i="2"/>
  <c r="P1203" i="2"/>
  <c r="P1204" i="2"/>
  <c r="P1205" i="2"/>
  <c r="P1206" i="2"/>
  <c r="P1207" i="2"/>
  <c r="P1208" i="2"/>
  <c r="P842" i="2"/>
  <c r="P807" i="2"/>
  <c r="P877" i="2"/>
  <c r="P912" i="2"/>
  <c r="P913" i="2"/>
  <c r="P914" i="2"/>
  <c r="P915" i="2"/>
  <c r="P916" i="2"/>
  <c r="P917" i="2"/>
  <c r="P918" i="2"/>
  <c r="P919" i="2"/>
  <c r="P920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2" i="2"/>
  <c r="P943" i="2"/>
  <c r="P944" i="2"/>
  <c r="P945" i="2"/>
  <c r="P946" i="2"/>
  <c r="P947" i="2"/>
  <c r="P948" i="2"/>
  <c r="P1211" i="2"/>
  <c r="P1458" i="2"/>
  <c r="P1459" i="2"/>
  <c r="P1460" i="2"/>
  <c r="P1462" i="2"/>
  <c r="P1463" i="2"/>
  <c r="P1464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34" i="2"/>
  <c r="P1496" i="2"/>
  <c r="P1497" i="2"/>
  <c r="P1235" i="2"/>
  <c r="P1236" i="2"/>
  <c r="P1237" i="2"/>
  <c r="P1238" i="2"/>
  <c r="P1243" i="2"/>
  <c r="P1494" i="2"/>
  <c r="P1495" i="2"/>
  <c r="P1275" i="2"/>
  <c r="P1307" i="2"/>
  <c r="P1345" i="2"/>
  <c r="P1370" i="2"/>
  <c r="P1371" i="2"/>
  <c r="P1376" i="2"/>
  <c r="P1377" i="2"/>
  <c r="P1378" i="2"/>
  <c r="P1379" i="2"/>
  <c r="P1380" i="2"/>
  <c r="P1381" i="2"/>
  <c r="P1382" i="2"/>
  <c r="P1383" i="2"/>
  <c r="P1386" i="2"/>
  <c r="P1411" i="2"/>
  <c r="P1429" i="2"/>
  <c r="P1447" i="2"/>
  <c r="P1457" i="2"/>
  <c r="P1465" i="2"/>
  <c r="P1471" i="2"/>
  <c r="P1472" i="2"/>
  <c r="P1473" i="2"/>
  <c r="P1476" i="2"/>
  <c r="P1488" i="2"/>
  <c r="P1489" i="2"/>
  <c r="P1490" i="2"/>
  <c r="P1491" i="2"/>
  <c r="P1492" i="2"/>
  <c r="P1230" i="2"/>
  <c r="P1231" i="2"/>
  <c r="P1232" i="2"/>
  <c r="P1233" i="2"/>
  <c r="P1493" i="2"/>
  <c r="P1500" i="2"/>
  <c r="P1501" i="2"/>
  <c r="P1504" i="2"/>
  <c r="P1505" i="2"/>
  <c r="P1241" i="2"/>
  <c r="P1242" i="2"/>
  <c r="P1506" i="2"/>
  <c r="P1580" i="2"/>
  <c r="P1641" i="2"/>
  <c r="P1709" i="2"/>
  <c r="P1727" i="2"/>
  <c r="P1728" i="2"/>
  <c r="P1729" i="2"/>
  <c r="P1730" i="2"/>
  <c r="P1731" i="2"/>
  <c r="P1732" i="2"/>
  <c r="P1733" i="2"/>
  <c r="P1736" i="2"/>
  <c r="P1737" i="2"/>
  <c r="P1740" i="2"/>
  <c r="P1741" i="2"/>
  <c r="P1748" i="2"/>
  <c r="P1749" i="2"/>
  <c r="P1752" i="2"/>
  <c r="P1761" i="2"/>
  <c r="P1766" i="2"/>
  <c r="P1773" i="2"/>
  <c r="P1774" i="2"/>
  <c r="P1783" i="2"/>
  <c r="P1788" i="2"/>
  <c r="P1793" i="2"/>
  <c r="P1794" i="2"/>
  <c r="P1795" i="2"/>
  <c r="P1796" i="2"/>
  <c r="P1797" i="2"/>
  <c r="P1798" i="2"/>
  <c r="P1803" i="2"/>
  <c r="P1808" i="2"/>
  <c r="P1815" i="2"/>
  <c r="P1816" i="2"/>
  <c r="P1817" i="2"/>
  <c r="P1818" i="2"/>
  <c r="P1819" i="2"/>
  <c r="P1820" i="2"/>
  <c r="P1825" i="2"/>
  <c r="P1830" i="2"/>
  <c r="P1838" i="2"/>
  <c r="P1839" i="2"/>
  <c r="P1840" i="2"/>
  <c r="P1841" i="2"/>
  <c r="P1842" i="2"/>
  <c r="P1847" i="2"/>
  <c r="P1848" i="2"/>
  <c r="P1849" i="2"/>
  <c r="P1850" i="2"/>
  <c r="P1851" i="2"/>
  <c r="P1860" i="2"/>
  <c r="P1864" i="2"/>
  <c r="P1865" i="2"/>
  <c r="P1866" i="2"/>
  <c r="P1875" i="2"/>
  <c r="P1876" i="2"/>
  <c r="P1877" i="2"/>
  <c r="P1878" i="2"/>
  <c r="P1914" i="2"/>
  <c r="P1942" i="2"/>
  <c r="P2062" i="2"/>
  <c r="P2083" i="2"/>
  <c r="P2084" i="2"/>
  <c r="P2085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3" i="2"/>
  <c r="P2114" i="2"/>
  <c r="P2115" i="2"/>
  <c r="P2116" i="2"/>
  <c r="P2117" i="2"/>
  <c r="P2118" i="2"/>
  <c r="P2119" i="2"/>
  <c r="P2120" i="2"/>
  <c r="P1172" i="2"/>
  <c r="P1173" i="2"/>
  <c r="P1174" i="2"/>
  <c r="P1176" i="2"/>
  <c r="P1177" i="2"/>
  <c r="P1187" i="2"/>
  <c r="P1188" i="2"/>
  <c r="P1189" i="2"/>
  <c r="P1190" i="2"/>
  <c r="P2122" i="2"/>
  <c r="P2123" i="2"/>
  <c r="P2124" i="2"/>
  <c r="P2125" i="2"/>
  <c r="P2126" i="2"/>
  <c r="P2127" i="2"/>
  <c r="P2128" i="2"/>
  <c r="P2129" i="2"/>
  <c r="P2130" i="2"/>
  <c r="P2131" i="2"/>
  <c r="P2132" i="2"/>
  <c r="P2137" i="2"/>
  <c r="P2138" i="2"/>
  <c r="P2139" i="2"/>
  <c r="P2140" i="2"/>
  <c r="P12" i="2"/>
  <c r="U20" i="2"/>
  <c r="U39" i="2"/>
  <c r="U47" i="2"/>
  <c r="U48" i="2"/>
  <c r="U73" i="2"/>
  <c r="U74" i="2"/>
  <c r="U75" i="2"/>
  <c r="U79" i="2"/>
  <c r="U110" i="2"/>
  <c r="U111" i="2"/>
  <c r="U118" i="2"/>
  <c r="U140" i="2"/>
  <c r="U151" i="2"/>
  <c r="U152" i="2"/>
  <c r="U166" i="2"/>
  <c r="U171" i="2"/>
  <c r="U172" i="2"/>
  <c r="U173" i="2"/>
  <c r="U174" i="2"/>
  <c r="U234" i="2"/>
  <c r="U235" i="2"/>
  <c r="U236" i="2"/>
  <c r="U265" i="2"/>
  <c r="U300" i="2"/>
  <c r="U305" i="2"/>
  <c r="U308" i="2"/>
  <c r="U309" i="2"/>
  <c r="U407" i="2"/>
  <c r="U408" i="2"/>
  <c r="U452" i="2"/>
  <c r="U495" i="2"/>
  <c r="U498" i="2"/>
  <c r="U499" i="2"/>
  <c r="U586" i="2"/>
  <c r="U662" i="2"/>
  <c r="U663" i="2"/>
  <c r="U664" i="2"/>
  <c r="U674" i="2"/>
  <c r="U689" i="2"/>
  <c r="U692" i="2"/>
  <c r="AF7" i="2"/>
  <c r="AF6" i="2"/>
  <c r="AF5" i="2"/>
  <c r="D2140" i="2"/>
  <c r="W2139" i="2"/>
  <c r="C2139" i="2"/>
  <c r="D2138" i="2"/>
  <c r="W2137" i="2"/>
  <c r="C2137" i="2"/>
  <c r="W2132" i="2"/>
  <c r="Y2132" i="2" s="1"/>
  <c r="C2132" i="2"/>
  <c r="D2131" i="2"/>
  <c r="W2130" i="2"/>
  <c r="C2130" i="2"/>
  <c r="W2129" i="2"/>
  <c r="Y2129" i="2" s="1"/>
  <c r="C2129" i="2"/>
  <c r="D2128" i="2"/>
  <c r="W2127" i="2"/>
  <c r="C2127" i="2"/>
  <c r="Y2126" i="2"/>
  <c r="W2126" i="2"/>
  <c r="C2126" i="2"/>
  <c r="D2125" i="2"/>
  <c r="W2124" i="2"/>
  <c r="C2124" i="2"/>
  <c r="Y2123" i="2"/>
  <c r="W2123" i="2"/>
  <c r="C2123" i="2"/>
  <c r="Y2122" i="2"/>
  <c r="W2122" i="2"/>
  <c r="C2122" i="2"/>
  <c r="W2121" i="2"/>
  <c r="Y2121" i="2" s="1"/>
  <c r="C2121" i="2"/>
  <c r="D1190" i="2"/>
  <c r="D1189" i="2"/>
  <c r="W1188" i="2"/>
  <c r="C1188" i="2"/>
  <c r="W1187" i="2"/>
  <c r="Y1187" i="2" s="1"/>
  <c r="C1187" i="2"/>
  <c r="Y1177" i="2"/>
  <c r="W1177" i="2"/>
  <c r="C1177" i="2"/>
  <c r="D1176" i="2"/>
  <c r="W1174" i="2"/>
  <c r="C1174" i="2"/>
  <c r="Y1173" i="2"/>
  <c r="W1173" i="2"/>
  <c r="C1173" i="2"/>
  <c r="Y1172" i="2"/>
  <c r="W1172" i="2"/>
  <c r="C1172" i="2"/>
  <c r="W1171" i="2"/>
  <c r="Y1171" i="2" s="1"/>
  <c r="C1171" i="2"/>
  <c r="D2120" i="2"/>
  <c r="W2119" i="2"/>
  <c r="C2119" i="2"/>
  <c r="D2118" i="2"/>
  <c r="W2117" i="2"/>
  <c r="C2117" i="2"/>
  <c r="D2116" i="2"/>
  <c r="W2115" i="2"/>
  <c r="C2115" i="2"/>
  <c r="Y2114" i="2"/>
  <c r="W2114" i="2"/>
  <c r="C2114" i="2"/>
  <c r="D2113" i="2"/>
  <c r="D2110" i="2"/>
  <c r="D2109" i="2"/>
  <c r="W2108" i="2"/>
  <c r="C2108" i="2"/>
  <c r="Y2107" i="2"/>
  <c r="W2107" i="2"/>
  <c r="C2107" i="2"/>
  <c r="D2106" i="2"/>
  <c r="W2105" i="2"/>
  <c r="C2105" i="2"/>
  <c r="D2104" i="2"/>
  <c r="W2103" i="2"/>
  <c r="C2103" i="2"/>
  <c r="W2102" i="2"/>
  <c r="Y2102" i="2" s="1"/>
  <c r="C2102" i="2"/>
  <c r="D2101" i="2"/>
  <c r="D2100" i="2"/>
  <c r="D2099" i="2"/>
  <c r="W2098" i="2"/>
  <c r="C2098" i="2"/>
  <c r="D2097" i="2"/>
  <c r="W2096" i="2"/>
  <c r="C2096" i="2"/>
  <c r="D2095" i="2"/>
  <c r="W2094" i="2"/>
  <c r="C2094" i="2"/>
  <c r="D2093" i="2"/>
  <c r="W2092" i="2"/>
  <c r="C2092" i="2"/>
  <c r="Y2091" i="2"/>
  <c r="W2091" i="2"/>
  <c r="C2091" i="2"/>
  <c r="W2090" i="2"/>
  <c r="Y2090" i="2" s="1"/>
  <c r="C2090" i="2"/>
  <c r="W2089" i="2"/>
  <c r="Y2089" i="2" s="1"/>
  <c r="C2089" i="2"/>
  <c r="D2085" i="2"/>
  <c r="W2084" i="2"/>
  <c r="C2084" i="2"/>
  <c r="Y2083" i="2"/>
  <c r="W2083" i="2"/>
  <c r="C2083" i="2"/>
  <c r="W2062" i="2"/>
  <c r="Y2062" i="2" s="1"/>
  <c r="C2062" i="2"/>
  <c r="W2061" i="2"/>
  <c r="Y2061" i="2" s="1"/>
  <c r="C2061" i="2"/>
  <c r="Y1942" i="2"/>
  <c r="W1942" i="2"/>
  <c r="C1942" i="2"/>
  <c r="W1914" i="2"/>
  <c r="Y1914" i="2" s="1"/>
  <c r="C1914" i="2"/>
  <c r="W1878" i="2"/>
  <c r="Y1878" i="2" s="1"/>
  <c r="C1878" i="2"/>
  <c r="D1877" i="2"/>
  <c r="W1876" i="2"/>
  <c r="C1876" i="2"/>
  <c r="Y1875" i="2"/>
  <c r="W1875" i="2"/>
  <c r="C1875" i="2"/>
  <c r="D1866" i="2"/>
  <c r="D1865" i="2"/>
  <c r="W1864" i="2"/>
  <c r="C1864" i="2"/>
  <c r="W1860" i="2"/>
  <c r="Y1860" i="2" s="1"/>
  <c r="C1860" i="2"/>
  <c r="W1851" i="2"/>
  <c r="C1851" i="2"/>
  <c r="D1850" i="2"/>
  <c r="W1849" i="2"/>
  <c r="C1849" i="2"/>
  <c r="W1848" i="2"/>
  <c r="Y1848" i="2" s="1"/>
  <c r="C1848" i="2"/>
  <c r="W1847" i="2"/>
  <c r="Y1847" i="2" s="1"/>
  <c r="C1847" i="2"/>
  <c r="W1842" i="2"/>
  <c r="C1842" i="2"/>
  <c r="D1841" i="2"/>
  <c r="W1840" i="2"/>
  <c r="C1840" i="2"/>
  <c r="W1839" i="2"/>
  <c r="Y1839" i="2" s="1"/>
  <c r="C1839" i="2"/>
  <c r="W1838" i="2"/>
  <c r="Y1838" i="2" s="1"/>
  <c r="C1838" i="2"/>
  <c r="W1837" i="2"/>
  <c r="Y1837" i="2" s="1"/>
  <c r="C1837" i="2"/>
  <c r="Y1830" i="2"/>
  <c r="W1830" i="2"/>
  <c r="C1830" i="2"/>
  <c r="W1825" i="2"/>
  <c r="Y1825" i="2" s="1"/>
  <c r="C1825" i="2"/>
  <c r="Y1820" i="2"/>
  <c r="W1820" i="2"/>
  <c r="C1820" i="2"/>
  <c r="D1819" i="2"/>
  <c r="D1818" i="2"/>
  <c r="W1817" i="2"/>
  <c r="C1817" i="2"/>
  <c r="W1816" i="2"/>
  <c r="Y1816" i="2" s="1"/>
  <c r="C1816" i="2"/>
  <c r="W1815" i="2"/>
  <c r="Y1815" i="2" s="1"/>
  <c r="C1815" i="2"/>
  <c r="Y1808" i="2"/>
  <c r="W1808" i="2"/>
  <c r="C1808" i="2"/>
  <c r="W1803" i="2"/>
  <c r="Y1803" i="2" s="1"/>
  <c r="C1803" i="2"/>
  <c r="W1798" i="2"/>
  <c r="Y1798" i="2" s="1"/>
  <c r="C1798" i="2"/>
  <c r="D1797" i="2"/>
  <c r="D1796" i="2"/>
  <c r="W1795" i="2"/>
  <c r="C1795" i="2"/>
  <c r="W1794" i="2"/>
  <c r="Y1794" i="2" s="1"/>
  <c r="C1794" i="2"/>
  <c r="Y1793" i="2"/>
  <c r="W1793" i="2"/>
  <c r="C1793" i="2"/>
  <c r="W1788" i="2"/>
  <c r="Y1788" i="2" s="1"/>
  <c r="C1788" i="2"/>
  <c r="W1783" i="2"/>
  <c r="Y1783" i="2" s="1"/>
  <c r="C1783" i="2"/>
  <c r="W1774" i="2"/>
  <c r="Y1774" i="2" s="1"/>
  <c r="C1774" i="2"/>
  <c r="W1773" i="2"/>
  <c r="Y1773" i="2" s="1"/>
  <c r="C1773" i="2"/>
  <c r="Y1766" i="2"/>
  <c r="W1766" i="2"/>
  <c r="C1766" i="2"/>
  <c r="Y1761" i="2"/>
  <c r="W1761" i="2"/>
  <c r="C1761" i="2"/>
  <c r="Y1752" i="2"/>
  <c r="W1752" i="2"/>
  <c r="C1752" i="2"/>
  <c r="W1749" i="2"/>
  <c r="Y1749" i="2" s="1"/>
  <c r="C1749" i="2"/>
  <c r="Y1748" i="2"/>
  <c r="W1748" i="2"/>
  <c r="C1748" i="2"/>
  <c r="W1741" i="2"/>
  <c r="Y1741" i="2" s="1"/>
  <c r="C1741" i="2"/>
  <c r="D1740" i="2"/>
  <c r="W1737" i="2"/>
  <c r="C1737" i="2"/>
  <c r="W1736" i="2"/>
  <c r="Y1736" i="2" s="1"/>
  <c r="C1736" i="2"/>
  <c r="D1733" i="2"/>
  <c r="W1732" i="2"/>
  <c r="C1732" i="2"/>
  <c r="W1731" i="2"/>
  <c r="Y1731" i="2" s="1"/>
  <c r="C1731" i="2"/>
  <c r="D1730" i="2"/>
  <c r="W1729" i="2"/>
  <c r="C1729" i="2"/>
  <c r="Y1728" i="2"/>
  <c r="W1728" i="2"/>
  <c r="C1728" i="2"/>
  <c r="W1727" i="2"/>
  <c r="Y1727" i="2" s="1"/>
  <c r="C1727" i="2"/>
  <c r="W1726" i="2"/>
  <c r="Y1726" i="2" s="1"/>
  <c r="C1726" i="2"/>
  <c r="Y1709" i="2"/>
  <c r="D167" i="72" s="1"/>
  <c r="W1709" i="2"/>
  <c r="C1709" i="2"/>
  <c r="U15" i="2"/>
  <c r="U14" i="2"/>
  <c r="U13" i="2"/>
  <c r="D588" i="2"/>
  <c r="D538" i="2"/>
  <c r="D537" i="2"/>
  <c r="D536" i="2"/>
  <c r="D534" i="2"/>
  <c r="D533" i="2"/>
  <c r="D532" i="2"/>
  <c r="D530" i="2"/>
  <c r="D529" i="2"/>
  <c r="D528" i="2"/>
  <c r="D526" i="2"/>
  <c r="D525" i="2"/>
  <c r="D524" i="2"/>
  <c r="D522" i="2"/>
  <c r="D521" i="2"/>
  <c r="D520" i="2"/>
  <c r="D518" i="2"/>
  <c r="D517" i="2"/>
  <c r="D516" i="2"/>
  <c r="D514" i="2"/>
  <c r="D513" i="2"/>
  <c r="D512" i="2"/>
  <c r="D497" i="2"/>
  <c r="D447" i="2"/>
  <c r="D446" i="2"/>
  <c r="D443" i="2"/>
  <c r="D439" i="2"/>
  <c r="D437" i="2"/>
  <c r="D431" i="2"/>
  <c r="D429" i="2"/>
  <c r="D426" i="2"/>
  <c r="D425" i="2"/>
  <c r="D423" i="2"/>
  <c r="D422" i="2"/>
  <c r="D421" i="2"/>
  <c r="D406" i="2"/>
  <c r="D348" i="2"/>
  <c r="D347" i="2"/>
  <c r="D346" i="2"/>
  <c r="D344" i="2"/>
  <c r="D343" i="2"/>
  <c r="D342" i="2"/>
  <c r="D340" i="2"/>
  <c r="D339" i="2"/>
  <c r="D338" i="2"/>
  <c r="D336" i="2"/>
  <c r="D335" i="2"/>
  <c r="D334" i="2"/>
  <c r="D332" i="2"/>
  <c r="D331" i="2"/>
  <c r="D330" i="2"/>
  <c r="D328" i="2"/>
  <c r="D327" i="2"/>
  <c r="D326" i="2"/>
  <c r="D307" i="2"/>
  <c r="D303" i="2"/>
  <c r="D302" i="2"/>
  <c r="D299" i="2"/>
  <c r="D298" i="2"/>
  <c r="D295" i="2"/>
  <c r="D293" i="2"/>
  <c r="D290" i="2"/>
  <c r="D289" i="2"/>
  <c r="D288" i="2"/>
  <c r="D286" i="2"/>
  <c r="D282" i="2"/>
  <c r="D267" i="2"/>
  <c r="D264" i="2"/>
  <c r="D263" i="2"/>
  <c r="D260" i="2"/>
  <c r="D259" i="2"/>
  <c r="D254" i="2"/>
  <c r="D252" i="2"/>
  <c r="D250" i="2"/>
  <c r="D248" i="2"/>
  <c r="D246" i="2"/>
  <c r="D244" i="2"/>
  <c r="D242" i="2"/>
  <c r="D240" i="2"/>
  <c r="D238" i="2"/>
  <c r="D181" i="2"/>
  <c r="D179" i="2"/>
  <c r="D168" i="2"/>
  <c r="D113" i="2"/>
  <c r="D105" i="2"/>
  <c r="D104" i="2"/>
  <c r="D103" i="2"/>
  <c r="D94" i="2"/>
  <c r="D93" i="2"/>
  <c r="D90" i="2"/>
  <c r="D86" i="2"/>
  <c r="D84" i="2"/>
  <c r="D83" i="2"/>
  <c r="D82" i="2"/>
  <c r="D81" i="2"/>
  <c r="D62" i="2"/>
  <c r="D60" i="2"/>
  <c r="D58" i="2"/>
  <c r="D56" i="2"/>
  <c r="D54" i="2"/>
  <c r="D52" i="2"/>
  <c r="D41" i="2"/>
  <c r="D38" i="2"/>
  <c r="D34" i="2"/>
  <c r="D32" i="2"/>
  <c r="D30" i="2"/>
  <c r="D28" i="2"/>
  <c r="D26" i="2"/>
  <c r="D24" i="2"/>
  <c r="D22" i="2"/>
  <c r="D19" i="2"/>
  <c r="D17" i="2"/>
  <c r="Y1641" i="2"/>
  <c r="D145" i="72" s="1"/>
  <c r="W1641" i="2"/>
  <c r="C1641" i="2"/>
  <c r="W1580" i="2"/>
  <c r="Y1580" i="2" s="1"/>
  <c r="D124" i="72" s="1"/>
  <c r="C1580" i="2"/>
  <c r="W1506" i="2"/>
  <c r="Y1506" i="2" s="1"/>
  <c r="D100" i="72" s="1"/>
  <c r="C1506" i="2"/>
  <c r="D1242" i="2"/>
  <c r="W1241" i="2"/>
  <c r="C1241" i="2"/>
  <c r="D1505" i="2"/>
  <c r="W1504" i="2"/>
  <c r="C1504" i="2"/>
  <c r="D1501" i="2"/>
  <c r="W1500" i="2"/>
  <c r="C1500" i="2"/>
  <c r="W1493" i="2"/>
  <c r="Y1493" i="2" s="1"/>
  <c r="D93" i="72" s="1"/>
  <c r="C1493" i="2"/>
  <c r="D1233" i="2"/>
  <c r="D1232" i="2"/>
  <c r="W1231" i="2"/>
  <c r="C1231" i="2"/>
  <c r="W1230" i="2"/>
  <c r="Y1230" i="2" s="1"/>
  <c r="D15" i="72" s="1"/>
  <c r="C1230" i="2"/>
  <c r="D1492" i="2"/>
  <c r="D1491" i="2"/>
  <c r="D1490" i="2"/>
  <c r="W1489" i="2"/>
  <c r="C1489" i="2"/>
  <c r="Y1488" i="2"/>
  <c r="D91" i="72" s="1"/>
  <c r="W1488" i="2"/>
  <c r="C1488" i="2"/>
  <c r="D1476" i="2"/>
  <c r="D1473" i="2"/>
  <c r="D1472" i="2"/>
  <c r="W1471" i="2"/>
  <c r="C1471" i="2"/>
  <c r="W1465" i="2"/>
  <c r="Y1465" i="2" s="1"/>
  <c r="D85" i="72" s="1"/>
  <c r="C1465" i="2"/>
  <c r="Y1457" i="2"/>
  <c r="D81" i="72" s="1"/>
  <c r="W1457" i="2"/>
  <c r="C1457" i="2"/>
  <c r="W1456" i="2"/>
  <c r="Y1456" i="2" s="1"/>
  <c r="D80" i="72" s="1"/>
  <c r="C1456" i="2"/>
  <c r="W1447" i="2"/>
  <c r="Y1447" i="2" s="1"/>
  <c r="C1447" i="2"/>
  <c r="W1429" i="2"/>
  <c r="Y1429" i="2" s="1"/>
  <c r="C1429" i="2"/>
  <c r="W1411" i="2"/>
  <c r="Y1411" i="2" s="1"/>
  <c r="C1411" i="2"/>
  <c r="W1386" i="2"/>
  <c r="Y1386" i="2" s="1"/>
  <c r="C1386" i="2"/>
  <c r="D1383" i="2"/>
  <c r="W1382" i="2"/>
  <c r="C1382" i="2"/>
  <c r="W1381" i="2"/>
  <c r="Y1381" i="2" s="1"/>
  <c r="C1381" i="2"/>
  <c r="D1380" i="2"/>
  <c r="D1379" i="2"/>
  <c r="D1378" i="2"/>
  <c r="D1377" i="2"/>
  <c r="W1376" i="2"/>
  <c r="C1376" i="2"/>
  <c r="W1371" i="2"/>
  <c r="Y1371" i="2" s="1"/>
  <c r="C1371" i="2"/>
  <c r="Y1370" i="2"/>
  <c r="W1370" i="2"/>
  <c r="C1370" i="2"/>
  <c r="W1369" i="2"/>
  <c r="Y1369" i="2" s="1"/>
  <c r="C1369" i="2"/>
  <c r="W1345" i="2"/>
  <c r="Y1345" i="2" s="1"/>
  <c r="D68" i="72" s="1"/>
  <c r="C1345" i="2"/>
  <c r="W1307" i="2"/>
  <c r="Y1307" i="2" s="1"/>
  <c r="D52" i="72" s="1"/>
  <c r="C1307" i="2"/>
  <c r="W1275" i="2"/>
  <c r="Y1275" i="2" s="1"/>
  <c r="D37" i="72" s="1"/>
  <c r="C1275" i="2"/>
  <c r="D1495" i="2"/>
  <c r="W1494" i="2"/>
  <c r="C1494" i="2"/>
  <c r="W1243" i="2"/>
  <c r="Y1243" i="2" s="1"/>
  <c r="D22" i="72" s="1"/>
  <c r="C1243" i="2"/>
  <c r="D1238" i="2"/>
  <c r="W1237" i="2"/>
  <c r="C1237" i="2"/>
  <c r="D1236" i="2"/>
  <c r="W1235" i="2"/>
  <c r="C1235" i="2"/>
  <c r="D1497" i="2"/>
  <c r="W1496" i="2"/>
  <c r="C1496" i="2"/>
  <c r="W1234" i="2"/>
  <c r="Y1234" i="2" s="1"/>
  <c r="D17" i="72" s="1"/>
  <c r="C1234" i="2"/>
  <c r="D1223" i="2"/>
  <c r="D1222" i="2"/>
  <c r="D1221" i="2"/>
  <c r="D1220" i="2"/>
  <c r="W1219" i="2"/>
  <c r="C1219" i="2"/>
  <c r="D1218" i="2"/>
  <c r="W1217" i="2"/>
  <c r="C1217" i="2"/>
  <c r="D1216" i="2"/>
  <c r="W1215" i="2"/>
  <c r="C1215" i="2"/>
  <c r="D1214" i="2"/>
  <c r="W1213" i="2"/>
  <c r="C1213" i="2"/>
  <c r="W1212" i="2"/>
  <c r="Y1212" i="2" s="1"/>
  <c r="D8" i="72" s="1"/>
  <c r="C1212" i="2"/>
  <c r="D1464" i="2"/>
  <c r="D1463" i="2"/>
  <c r="W1462" i="2"/>
  <c r="C1462" i="2"/>
  <c r="D1460" i="2"/>
  <c r="W1459" i="2"/>
  <c r="C1459" i="2"/>
  <c r="W1458" i="2"/>
  <c r="Y1458" i="2" s="1"/>
  <c r="D82" i="72" s="1"/>
  <c r="C1458" i="2"/>
  <c r="W1211" i="2"/>
  <c r="Y1211" i="2" s="1"/>
  <c r="D7" i="72" s="1"/>
  <c r="C1211" i="2"/>
  <c r="W1210" i="2"/>
  <c r="Y1210" i="2" s="1"/>
  <c r="D6" i="72" s="1"/>
  <c r="C1210" i="2"/>
  <c r="W948" i="2"/>
  <c r="Y948" i="2" s="1"/>
  <c r="C948" i="2"/>
  <c r="D947" i="2"/>
  <c r="W946" i="2"/>
  <c r="C946" i="2"/>
  <c r="D945" i="2"/>
  <c r="W944" i="2"/>
  <c r="C944" i="2"/>
  <c r="D943" i="2"/>
  <c r="W942" i="2"/>
  <c r="C942" i="2"/>
  <c r="D939" i="2"/>
  <c r="W938" i="2"/>
  <c r="C938" i="2"/>
  <c r="D937" i="2"/>
  <c r="W936" i="2"/>
  <c r="C936" i="2"/>
  <c r="W935" i="2"/>
  <c r="Y935" i="2" s="1"/>
  <c r="C935" i="2"/>
  <c r="D934" i="2"/>
  <c r="D933" i="2"/>
  <c r="W932" i="2"/>
  <c r="C932" i="2"/>
  <c r="Y931" i="2"/>
  <c r="W931" i="2"/>
  <c r="C931" i="2"/>
  <c r="W930" i="2"/>
  <c r="Y930" i="2" s="1"/>
  <c r="C930" i="2"/>
  <c r="D929" i="2"/>
  <c r="W928" i="2"/>
  <c r="C928" i="2"/>
  <c r="W927" i="2"/>
  <c r="Y927" i="2" s="1"/>
  <c r="C927" i="2"/>
  <c r="D926" i="2"/>
  <c r="W925" i="2"/>
  <c r="C925" i="2"/>
  <c r="W924" i="2"/>
  <c r="Y924" i="2" s="1"/>
  <c r="C924" i="2"/>
  <c r="D920" i="2"/>
  <c r="D919" i="2"/>
  <c r="W918" i="2"/>
  <c r="C918" i="2"/>
  <c r="W917" i="2"/>
  <c r="Y917" i="2" s="1"/>
  <c r="C917" i="2"/>
  <c r="D916" i="2"/>
  <c r="D915" i="2"/>
  <c r="W914" i="2"/>
  <c r="C914" i="2"/>
  <c r="W913" i="2"/>
  <c r="Y913" i="2" s="1"/>
  <c r="C913" i="2"/>
  <c r="W912" i="2"/>
  <c r="Y912" i="2" s="1"/>
  <c r="C912" i="2"/>
  <c r="W877" i="2"/>
  <c r="Y877" i="2" s="1"/>
  <c r="C877" i="2"/>
  <c r="W807" i="2"/>
  <c r="Y807" i="2" s="1"/>
  <c r="C807" i="2"/>
  <c r="W842" i="2"/>
  <c r="Y842" i="2" s="1"/>
  <c r="C842" i="2"/>
  <c r="W806" i="2"/>
  <c r="Y806" i="2" s="1"/>
  <c r="C806" i="2"/>
  <c r="D1208" i="2"/>
  <c r="W1207" i="2"/>
  <c r="C1207" i="2"/>
  <c r="D1206" i="2"/>
  <c r="W1205" i="2"/>
  <c r="C1205" i="2"/>
  <c r="W1204" i="2"/>
  <c r="Y1204" i="2" s="1"/>
  <c r="C1204" i="2"/>
  <c r="W1203" i="2"/>
  <c r="Y1203" i="2" s="1"/>
  <c r="C1203" i="2"/>
  <c r="W1200" i="2"/>
  <c r="Y1200" i="2" s="1"/>
  <c r="C1200" i="2"/>
  <c r="W1199" i="2"/>
  <c r="Y1199" i="2" s="1"/>
  <c r="C1199" i="2"/>
  <c r="D1195" i="2"/>
  <c r="W1194" i="2"/>
  <c r="C1194" i="2"/>
  <c r="W1193" i="2"/>
  <c r="Y1193" i="2" s="1"/>
  <c r="C1193" i="2"/>
  <c r="W1192" i="2"/>
  <c r="Y1192" i="2" s="1"/>
  <c r="C1192" i="2"/>
  <c r="W1191" i="2"/>
  <c r="Y1191" i="2" s="1"/>
  <c r="C1191" i="2"/>
  <c r="D1159" i="2"/>
  <c r="W1158" i="2"/>
  <c r="C1158" i="2"/>
  <c r="W1157" i="2"/>
  <c r="Y1157" i="2" s="1"/>
  <c r="C1157" i="2"/>
  <c r="W1156" i="2"/>
  <c r="Y1156" i="2" s="1"/>
  <c r="C1156" i="2"/>
  <c r="D1155" i="2"/>
  <c r="W1154" i="2"/>
  <c r="C1154" i="2"/>
  <c r="W1153" i="2"/>
  <c r="Y1153" i="2" s="1"/>
  <c r="C1153" i="2"/>
  <c r="W1152" i="2"/>
  <c r="Y1152" i="2" s="1"/>
  <c r="C1152" i="2"/>
  <c r="D1151" i="2"/>
  <c r="W1150" i="2"/>
  <c r="C1150" i="2"/>
  <c r="W1149" i="2"/>
  <c r="Y1149" i="2" s="1"/>
  <c r="C1149" i="2"/>
  <c r="W1148" i="2"/>
  <c r="Y1148" i="2" s="1"/>
  <c r="C1148" i="2"/>
  <c r="D1147" i="2"/>
  <c r="W1146" i="2"/>
  <c r="C1146" i="2"/>
  <c r="W1145" i="2"/>
  <c r="Y1145" i="2" s="1"/>
  <c r="C1145" i="2"/>
  <c r="W1144" i="2"/>
  <c r="Y1144" i="2" s="1"/>
  <c r="C1144" i="2"/>
  <c r="D1143" i="2"/>
  <c r="W1142" i="2"/>
  <c r="C1142" i="2"/>
  <c r="W1141" i="2"/>
  <c r="Y1141" i="2" s="1"/>
  <c r="C1141" i="2"/>
  <c r="Y1140" i="2"/>
  <c r="W1140" i="2"/>
  <c r="C1140" i="2"/>
  <c r="D1139" i="2"/>
  <c r="W1138" i="2"/>
  <c r="C1138" i="2"/>
  <c r="W1137" i="2"/>
  <c r="Y1137" i="2" s="1"/>
  <c r="C1137" i="2"/>
  <c r="W1136" i="2"/>
  <c r="Y1136" i="2" s="1"/>
  <c r="C1136" i="2"/>
  <c r="W1135" i="2"/>
  <c r="Y1135" i="2" s="1"/>
  <c r="C1135" i="2"/>
  <c r="D1134" i="2"/>
  <c r="W1133" i="2"/>
  <c r="C1133" i="2"/>
  <c r="W1132" i="2"/>
  <c r="Y1132" i="2" s="1"/>
  <c r="C1132" i="2"/>
  <c r="D1131" i="2"/>
  <c r="W1130" i="2"/>
  <c r="C1130" i="2"/>
  <c r="W1129" i="2"/>
  <c r="Y1129" i="2" s="1"/>
  <c r="C1129" i="2"/>
  <c r="D1128" i="2"/>
  <c r="W1127" i="2"/>
  <c r="C1127" i="2"/>
  <c r="W1126" i="2"/>
  <c r="Y1126" i="2" s="1"/>
  <c r="C1126" i="2"/>
  <c r="D1125" i="2"/>
  <c r="W1124" i="2"/>
  <c r="C1124" i="2"/>
  <c r="W1123" i="2"/>
  <c r="Y1123" i="2" s="1"/>
  <c r="C1123" i="2"/>
  <c r="W1122" i="2"/>
  <c r="Y1122" i="2" s="1"/>
  <c r="C1122" i="2"/>
  <c r="W1109" i="2"/>
  <c r="Y1109" i="2" s="1"/>
  <c r="C1109" i="2"/>
  <c r="W1096" i="2"/>
  <c r="Y1096" i="2" s="1"/>
  <c r="C1096" i="2"/>
  <c r="D1095" i="2"/>
  <c r="W1094" i="2"/>
  <c r="C1094" i="2"/>
  <c r="W1093" i="2"/>
  <c r="Y1093" i="2" s="1"/>
  <c r="C1093" i="2"/>
  <c r="W1083" i="2"/>
  <c r="Y1083" i="2" s="1"/>
  <c r="C1083" i="2"/>
  <c r="W1081" i="2"/>
  <c r="C1081" i="2"/>
  <c r="W1080" i="2"/>
  <c r="Y1080" i="2" s="1"/>
  <c r="C1080" i="2"/>
  <c r="D1079" i="2"/>
  <c r="W1078" i="2"/>
  <c r="C1078" i="2"/>
  <c r="W1077" i="2"/>
  <c r="Y1077" i="2" s="1"/>
  <c r="C1077" i="2"/>
  <c r="D1076" i="2"/>
  <c r="W1075" i="2"/>
  <c r="C1075" i="2"/>
  <c r="W1074" i="2"/>
  <c r="Y1074" i="2" s="1"/>
  <c r="C1074" i="2"/>
  <c r="D1073" i="2"/>
  <c r="W1072" i="2"/>
  <c r="C1072" i="2"/>
  <c r="W1071" i="2"/>
  <c r="Y1071" i="2" s="1"/>
  <c r="C1071" i="2"/>
  <c r="W1070" i="2"/>
  <c r="Y1070" i="2" s="1"/>
  <c r="C1070" i="2"/>
  <c r="W1069" i="2"/>
  <c r="Y1069" i="2" s="1"/>
  <c r="C1069" i="2"/>
  <c r="W1050" i="2"/>
  <c r="Y1050" i="2" s="1"/>
  <c r="C1050" i="2"/>
  <c r="W1031" i="2"/>
  <c r="Y1031" i="2" s="1"/>
  <c r="C1031" i="2"/>
  <c r="W1012" i="2"/>
  <c r="Y1012" i="2" s="1"/>
  <c r="C1012" i="2"/>
  <c r="D1011" i="2"/>
  <c r="W1010" i="2"/>
  <c r="C1010" i="2"/>
  <c r="W1009" i="2"/>
  <c r="Y1009" i="2" s="1"/>
  <c r="C1009" i="2"/>
  <c r="W1006" i="2"/>
  <c r="Y1006" i="2" s="1"/>
  <c r="C1006" i="2"/>
  <c r="D1005" i="2"/>
  <c r="W1004" i="2"/>
  <c r="C1004" i="2"/>
  <c r="W1003" i="2"/>
  <c r="Y1003" i="2" s="1"/>
  <c r="C1003" i="2"/>
  <c r="D1002" i="2"/>
  <c r="W1001" i="2"/>
  <c r="C1001" i="2"/>
  <c r="W1000" i="2"/>
  <c r="Y1000" i="2" s="1"/>
  <c r="C1000" i="2"/>
  <c r="D999" i="2"/>
  <c r="W998" i="2"/>
  <c r="C998" i="2"/>
  <c r="W997" i="2"/>
  <c r="Y997" i="2" s="1"/>
  <c r="C997" i="2"/>
  <c r="D996" i="2"/>
  <c r="W995" i="2"/>
  <c r="C995" i="2"/>
  <c r="W994" i="2"/>
  <c r="Y994" i="2" s="1"/>
  <c r="C994" i="2"/>
  <c r="W993" i="2"/>
  <c r="Y993" i="2" s="1"/>
  <c r="C993" i="2"/>
  <c r="D992" i="2"/>
  <c r="W991" i="2"/>
  <c r="C991" i="2"/>
  <c r="W990" i="2"/>
  <c r="Y990" i="2" s="1"/>
  <c r="C990" i="2"/>
  <c r="W987" i="2"/>
  <c r="Y987" i="2" s="1"/>
  <c r="C987" i="2"/>
  <c r="D986" i="2"/>
  <c r="W985" i="2"/>
  <c r="C985" i="2"/>
  <c r="W984" i="2"/>
  <c r="Y984" i="2" s="1"/>
  <c r="C984" i="2"/>
  <c r="D983" i="2"/>
  <c r="W982" i="2"/>
  <c r="C982" i="2"/>
  <c r="W981" i="2"/>
  <c r="Y981" i="2" s="1"/>
  <c r="C981" i="2"/>
  <c r="D980" i="2"/>
  <c r="W979" i="2"/>
  <c r="C979" i="2"/>
  <c r="W978" i="2"/>
  <c r="Y978" i="2" s="1"/>
  <c r="C978" i="2"/>
  <c r="D977" i="2"/>
  <c r="W976" i="2"/>
  <c r="C976" i="2"/>
  <c r="W975" i="2"/>
  <c r="Y975" i="2" s="1"/>
  <c r="C975" i="2"/>
  <c r="W974" i="2"/>
  <c r="Y974" i="2" s="1"/>
  <c r="C974" i="2"/>
  <c r="W973" i="2"/>
  <c r="Y973" i="2" s="1"/>
  <c r="C973" i="2"/>
  <c r="W754" i="2"/>
  <c r="Y754" i="2" s="1"/>
  <c r="C754" i="2"/>
  <c r="W725" i="2"/>
  <c r="Y725" i="2" s="1"/>
  <c r="C725" i="2"/>
  <c r="W692" i="2"/>
  <c r="Y692" i="2" s="1"/>
  <c r="C692" i="2"/>
  <c r="D691" i="2"/>
  <c r="W690" i="2"/>
  <c r="C690" i="2"/>
  <c r="W689" i="2"/>
  <c r="Y689" i="2" s="1"/>
  <c r="C689" i="2"/>
  <c r="D688" i="2"/>
  <c r="W687" i="2"/>
  <c r="C687" i="2"/>
  <c r="D686" i="2"/>
  <c r="D685" i="2"/>
  <c r="D684" i="2"/>
  <c r="W683" i="2"/>
  <c r="C683" i="2"/>
  <c r="D682" i="2"/>
  <c r="D681" i="2"/>
  <c r="D680" i="2"/>
  <c r="D679" i="2"/>
  <c r="D678" i="2"/>
  <c r="D677" i="2"/>
  <c r="D676" i="2"/>
  <c r="W675" i="2"/>
  <c r="C675" i="2"/>
  <c r="W674" i="2"/>
  <c r="Y674" i="2" s="1"/>
  <c r="C674" i="2"/>
  <c r="D673" i="2"/>
  <c r="D672" i="2"/>
  <c r="W671" i="2"/>
  <c r="C671" i="2"/>
  <c r="D667" i="2"/>
  <c r="D666" i="2"/>
  <c r="W665" i="2"/>
  <c r="C665" i="2"/>
  <c r="W664" i="2"/>
  <c r="Y664" i="2" s="1"/>
  <c r="C664" i="2"/>
  <c r="W663" i="2"/>
  <c r="Y663" i="2" s="1"/>
  <c r="C663" i="2"/>
  <c r="W662" i="2"/>
  <c r="Y662" i="2" s="1"/>
  <c r="C662" i="2"/>
  <c r="D661" i="2"/>
  <c r="W660" i="2"/>
  <c r="C660" i="2"/>
  <c r="W587" i="2"/>
  <c r="C587" i="2"/>
  <c r="Y586" i="2"/>
  <c r="W586" i="2"/>
  <c r="C586" i="2"/>
  <c r="W535" i="2"/>
  <c r="C535" i="2"/>
  <c r="W531" i="2"/>
  <c r="C531" i="2"/>
  <c r="W527" i="2"/>
  <c r="C527" i="2"/>
  <c r="W523" i="2"/>
  <c r="C523" i="2"/>
  <c r="W519" i="2"/>
  <c r="C519" i="2"/>
  <c r="W515" i="2"/>
  <c r="C515" i="2"/>
  <c r="W511" i="2"/>
  <c r="C511" i="2"/>
  <c r="W499" i="2"/>
  <c r="Y499" i="2" s="1"/>
  <c r="C499" i="2"/>
  <c r="W498" i="2"/>
  <c r="Y498" i="2" s="1"/>
  <c r="C498" i="2"/>
  <c r="C496" i="2"/>
  <c r="C495" i="2"/>
  <c r="C490" i="2"/>
  <c r="C452" i="2"/>
  <c r="C444" i="2"/>
  <c r="C440" i="2"/>
  <c r="C436" i="2"/>
  <c r="C432" i="2"/>
  <c r="C428" i="2"/>
  <c r="C424" i="2"/>
  <c r="C420" i="2"/>
  <c r="C408" i="2"/>
  <c r="C407" i="2"/>
  <c r="C405" i="2"/>
  <c r="C404" i="2"/>
  <c r="C399" i="2"/>
  <c r="C345" i="2"/>
  <c r="C341" i="2"/>
  <c r="C337" i="2"/>
  <c r="C333" i="2"/>
  <c r="C329" i="2"/>
  <c r="C325" i="2"/>
  <c r="C321" i="2"/>
  <c r="C309" i="2"/>
  <c r="C308" i="2"/>
  <c r="C306" i="2"/>
  <c r="C305" i="2"/>
  <c r="C301" i="2"/>
  <c r="C300" i="2"/>
  <c r="C296" i="2"/>
  <c r="C291" i="2"/>
  <c r="C287" i="2"/>
  <c r="C284" i="2"/>
  <c r="C281" i="2"/>
  <c r="C266" i="2"/>
  <c r="C265" i="2"/>
  <c r="C261" i="2"/>
  <c r="C257" i="2"/>
  <c r="C253" i="2"/>
  <c r="C249" i="2"/>
  <c r="C245" i="2"/>
  <c r="C241" i="2"/>
  <c r="C237" i="2"/>
  <c r="C236" i="2"/>
  <c r="C235" i="2"/>
  <c r="C234" i="2"/>
  <c r="C180" i="2"/>
  <c r="C178" i="2"/>
  <c r="C174" i="2"/>
  <c r="C173" i="2"/>
  <c r="C164" i="2"/>
  <c r="C167" i="2"/>
  <c r="C166" i="2"/>
  <c r="C153" i="2"/>
  <c r="C152" i="2"/>
  <c r="C151" i="2"/>
  <c r="C149" i="2"/>
  <c r="C145" i="2"/>
  <c r="C143" i="2"/>
  <c r="C141" i="2"/>
  <c r="C140" i="2"/>
  <c r="C133" i="2"/>
  <c r="C118" i="2"/>
  <c r="C112" i="2"/>
  <c r="C111" i="2"/>
  <c r="C110" i="2"/>
  <c r="C102" i="2"/>
  <c r="C91" i="2"/>
  <c r="C89" i="2"/>
  <c r="C87" i="2"/>
  <c r="C80" i="2"/>
  <c r="C79" i="2"/>
  <c r="C76" i="2"/>
  <c r="C75" i="2"/>
  <c r="C74" i="2"/>
  <c r="C73" i="2"/>
  <c r="C69" i="2"/>
  <c r="C61" i="2"/>
  <c r="C59" i="2"/>
  <c r="C57" i="2"/>
  <c r="C55" i="2"/>
  <c r="C53" i="2"/>
  <c r="C51" i="2"/>
  <c r="C48" i="2"/>
  <c r="C47" i="2"/>
  <c r="C40" i="2"/>
  <c r="C39" i="2"/>
  <c r="C37" i="2"/>
  <c r="C33" i="2"/>
  <c r="C31" i="2"/>
  <c r="C29" i="2"/>
  <c r="C27" i="2"/>
  <c r="C25" i="2"/>
  <c r="C23" i="2"/>
  <c r="C21" i="2"/>
  <c r="C20" i="2"/>
  <c r="C18" i="2"/>
  <c r="C16" i="2"/>
  <c r="C15" i="2"/>
  <c r="C14" i="2"/>
  <c r="C13" i="2"/>
  <c r="C12" i="2"/>
  <c r="W496" i="2"/>
  <c r="W495" i="2"/>
  <c r="W490" i="2"/>
  <c r="W452" i="2"/>
  <c r="W444" i="2"/>
  <c r="W440" i="2"/>
  <c r="W436" i="2"/>
  <c r="W432" i="2"/>
  <c r="W428" i="2"/>
  <c r="W424" i="2"/>
  <c r="W420" i="2"/>
  <c r="W408" i="2"/>
  <c r="W407" i="2"/>
  <c r="W405" i="2"/>
  <c r="W404" i="2"/>
  <c r="W399" i="2"/>
  <c r="W345" i="2"/>
  <c r="W341" i="2"/>
  <c r="W337" i="2"/>
  <c r="W333" i="2"/>
  <c r="W329" i="2"/>
  <c r="W325" i="2"/>
  <c r="W321" i="2"/>
  <c r="W309" i="2"/>
  <c r="W308" i="2"/>
  <c r="W306" i="2"/>
  <c r="W305" i="2"/>
  <c r="W301" i="2"/>
  <c r="W300" i="2"/>
  <c r="W296" i="2"/>
  <c r="W291" i="2"/>
  <c r="W287" i="2"/>
  <c r="W284" i="2"/>
  <c r="W281" i="2"/>
  <c r="W266" i="2"/>
  <c r="W265" i="2"/>
  <c r="W261" i="2"/>
  <c r="W257" i="2"/>
  <c r="W253" i="2"/>
  <c r="W249" i="2"/>
  <c r="W245" i="2"/>
  <c r="W241" i="2"/>
  <c r="W237" i="2"/>
  <c r="W236" i="2"/>
  <c r="W235" i="2"/>
  <c r="W234" i="2"/>
  <c r="W180" i="2"/>
  <c r="W178" i="2"/>
  <c r="W174" i="2"/>
  <c r="W173" i="2"/>
  <c r="W172" i="2"/>
  <c r="W171" i="2"/>
  <c r="W164" i="2"/>
  <c r="W167" i="2"/>
  <c r="W166" i="2"/>
  <c r="W153" i="2"/>
  <c r="W152" i="2"/>
  <c r="W151" i="2"/>
  <c r="W149" i="2"/>
  <c r="W145" i="2"/>
  <c r="W143" i="2"/>
  <c r="W141" i="2"/>
  <c r="W140" i="2"/>
  <c r="W133" i="2"/>
  <c r="W118" i="2"/>
  <c r="W112" i="2"/>
  <c r="W111" i="2"/>
  <c r="W110" i="2"/>
  <c r="W102" i="2"/>
  <c r="W91" i="2"/>
  <c r="W89" i="2"/>
  <c r="W87" i="2"/>
  <c r="W79" i="2"/>
  <c r="W76" i="2"/>
  <c r="W75" i="2"/>
  <c r="W74" i="2"/>
  <c r="W73" i="2"/>
  <c r="W69" i="2"/>
  <c r="W61" i="2"/>
  <c r="W59" i="2"/>
  <c r="W57" i="2"/>
  <c r="W55" i="2"/>
  <c r="W53" i="2"/>
  <c r="W51" i="2"/>
  <c r="W48" i="2"/>
  <c r="W47" i="2"/>
  <c r="W40" i="2"/>
  <c r="W39" i="2"/>
  <c r="W37" i="2"/>
  <c r="W33" i="2"/>
  <c r="W31" i="2"/>
  <c r="W29" i="2"/>
  <c r="W27" i="2"/>
  <c r="W25" i="2"/>
  <c r="W23" i="2"/>
  <c r="W21" i="2"/>
  <c r="W20" i="2"/>
  <c r="W18" i="2"/>
  <c r="W16" i="2"/>
  <c r="W15" i="2"/>
  <c r="W14" i="2"/>
  <c r="W13" i="2"/>
  <c r="W12" i="2"/>
  <c r="A2" i="65" l="1" a="1"/>
  <c r="B291" i="65" s="1"/>
  <c r="U112" i="2"/>
  <c r="A2" i="65" l="1"/>
  <c r="B2" i="65" s="1"/>
  <c r="C326" i="65"/>
  <c r="A2" i="2" l="1"/>
  <c r="G17" i="28" l="1"/>
  <c r="G27" i="28" l="1"/>
  <c r="G11" i="28" l="1"/>
  <c r="G64" i="28" l="1"/>
  <c r="G66" i="28"/>
  <c r="G67" i="28"/>
  <c r="G59" i="28" l="1"/>
  <c r="G8" i="28"/>
  <c r="G65" i="28" l="1"/>
  <c r="C2" i="65" l="1"/>
  <c r="D70" i="2" l="1"/>
  <c r="D85" i="2" l="1"/>
  <c r="D78" i="2" l="1"/>
  <c r="D88" i="2" l="1"/>
  <c r="D92" i="2" l="1"/>
  <c r="D106" i="2" l="1"/>
  <c r="Y73" i="2" l="1"/>
  <c r="B2" i="55"/>
  <c r="B1" i="55"/>
  <c r="Y13" i="2" l="1"/>
  <c r="Y14" i="2"/>
  <c r="Y15" i="2"/>
  <c r="U12" i="2" l="1"/>
  <c r="G43" i="28" l="1"/>
  <c r="D128" i="2" l="1"/>
  <c r="Y12" i="2" l="1"/>
  <c r="D132" i="2" l="1"/>
  <c r="H60" i="28"/>
  <c r="F59" i="28"/>
  <c r="F55" i="28"/>
  <c r="H55" i="28" s="1"/>
  <c r="H56" i="28" s="1"/>
  <c r="H47" i="28"/>
  <c r="H48" i="28" s="1"/>
  <c r="F43" i="28"/>
  <c r="F42" i="28"/>
  <c r="G41" i="28"/>
  <c r="F41" i="28"/>
  <c r="H37" i="28"/>
  <c r="H36" i="28"/>
  <c r="F31" i="28"/>
  <c r="F29" i="28"/>
  <c r="G28" i="28"/>
  <c r="H28" i="28" s="1"/>
  <c r="G26" i="28"/>
  <c r="H26" i="28" s="1"/>
  <c r="C26" i="28"/>
  <c r="C27" i="28" s="1"/>
  <c r="C28" i="28" s="1"/>
  <c r="C29" i="28" s="1"/>
  <c r="C30" i="28" s="1"/>
  <c r="C31" i="28" s="1"/>
  <c r="C32" i="28" s="1"/>
  <c r="G25" i="28"/>
  <c r="H25" i="28" s="1"/>
  <c r="H38" i="28" l="1"/>
  <c r="H59" i="28"/>
  <c r="H61" i="28" s="1"/>
  <c r="H41" i="28"/>
  <c r="H43" i="28"/>
  <c r="G68" i="28"/>
  <c r="G29" i="28"/>
  <c r="C36" i="28"/>
  <c r="G42" i="28"/>
  <c r="H42" i="28" l="1"/>
  <c r="H44" i="28" s="1"/>
  <c r="H64" i="28"/>
  <c r="H68" i="28"/>
  <c r="H29" i="28"/>
  <c r="G51" i="28"/>
  <c r="G69" i="28"/>
  <c r="C37" i="28"/>
  <c r="C41" i="28"/>
  <c r="C42" i="28" s="1"/>
  <c r="C43" i="28" s="1"/>
  <c r="C47" i="28" s="1"/>
  <c r="C51" i="28" s="1"/>
  <c r="C55" i="28" s="1"/>
  <c r="C59" i="28" s="1"/>
  <c r="C60" i="28" s="1"/>
  <c r="C64" i="28" s="1"/>
  <c r="C65" i="28" s="1"/>
  <c r="C66" i="28" s="1"/>
  <c r="C67" i="28" s="1"/>
  <c r="C68" i="28" s="1"/>
  <c r="C69" i="28" s="1"/>
  <c r="H66" i="28" l="1"/>
  <c r="H67" i="28"/>
  <c r="H69" i="28"/>
  <c r="H51" i="28"/>
  <c r="H52" i="28" s="1"/>
  <c r="H27" i="28"/>
  <c r="D134" i="2" l="1"/>
  <c r="H65" i="28" l="1"/>
  <c r="H70" i="28" s="1"/>
  <c r="D142" i="2" l="1"/>
  <c r="D144" i="2" l="1"/>
  <c r="D150" i="2" l="1"/>
  <c r="Y452" i="2" l="1"/>
  <c r="Y404" i="2"/>
  <c r="Y495" i="2"/>
  <c r="Y407" i="2"/>
  <c r="Y79" i="2"/>
  <c r="Y110" i="2"/>
  <c r="Y309" i="2" l="1"/>
  <c r="Y265" i="2"/>
  <c r="Y300" i="2"/>
  <c r="Y308" i="2"/>
  <c r="Y234" i="2"/>
  <c r="Y236" i="2"/>
  <c r="Y174" i="2"/>
  <c r="Y172" i="2"/>
  <c r="Y151" i="2"/>
  <c r="Y166" i="2"/>
  <c r="Y39" i="2"/>
  <c r="Y111" i="2"/>
  <c r="Y20" i="2"/>
  <c r="Y48" i="2"/>
  <c r="Y75" i="2"/>
  <c r="C312" i="65" l="1"/>
  <c r="C314" i="65"/>
  <c r="C297" i="65"/>
  <c r="C306" i="65"/>
  <c r="C311" i="65"/>
  <c r="C296" i="65"/>
  <c r="G30" i="28" l="1"/>
  <c r="H30" i="28" s="1"/>
  <c r="G31" i="28" l="1"/>
  <c r="G32" i="28"/>
  <c r="H32" i="28" l="1"/>
  <c r="H31" i="28"/>
  <c r="H33" i="28" s="1"/>
  <c r="D239" i="2" l="1"/>
  <c r="H72" i="28"/>
  <c r="D243" i="2" l="1"/>
  <c r="D247" i="2" l="1"/>
  <c r="D251" i="2" l="1"/>
  <c r="D255" i="2" l="1"/>
  <c r="D256" i="2" l="1"/>
  <c r="D258" i="2" l="1"/>
  <c r="D262" i="2" l="1"/>
  <c r="D268" i="2" l="1"/>
  <c r="D285" i="2" l="1"/>
  <c r="D292" i="2" l="1"/>
  <c r="D297" i="2" l="1"/>
  <c r="D304" i="2" l="1"/>
  <c r="D322" i="2" l="1"/>
  <c r="D323" i="2" l="1"/>
  <c r="D324" i="2" l="1"/>
  <c r="D427" i="2" l="1"/>
  <c r="D430" i="2" l="1"/>
  <c r="D433" i="2" l="1"/>
  <c r="D434" i="2" l="1"/>
  <c r="D435" i="2" l="1"/>
  <c r="D438" i="2" l="1"/>
  <c r="D441" i="2" l="1"/>
  <c r="D442" i="2" l="1"/>
  <c r="D445" i="2" l="1"/>
  <c r="Y74" i="2" l="1"/>
  <c r="Y171" i="2"/>
  <c r="Y47" i="2"/>
  <c r="Y118" i="2" l="1"/>
  <c r="Y408" i="2"/>
  <c r="Y399" i="2"/>
  <c r="C317" i="65" l="1"/>
  <c r="U725" i="2" l="1"/>
  <c r="U754" i="2" l="1"/>
  <c r="U973" i="2" l="1"/>
  <c r="U974" i="2" l="1"/>
  <c r="U975" i="2" l="1"/>
  <c r="U978" i="2" l="1"/>
  <c r="U981" i="2" l="1"/>
  <c r="U984" i="2" l="1"/>
  <c r="U987" i="2" l="1"/>
  <c r="U990" i="2" l="1"/>
  <c r="U993" i="2" l="1"/>
  <c r="U994" i="2" l="1"/>
  <c r="U997" i="2" l="1"/>
  <c r="U1000" i="2" l="1"/>
  <c r="U1003" i="2" l="1"/>
  <c r="U1006" i="2" l="1"/>
  <c r="U1009" i="2" l="1"/>
  <c r="U1012" i="2" l="1"/>
  <c r="U1031" i="2" l="1"/>
  <c r="U1050" i="2" l="1"/>
  <c r="Y490" i="2" l="1"/>
  <c r="Y235" i="2" l="1"/>
  <c r="Y305" i="2"/>
  <c r="Y173" i="2"/>
  <c r="U1069" i="2" l="1"/>
  <c r="U1070" i="2" l="1"/>
  <c r="U1071" i="2" l="1"/>
  <c r="Y140" i="2" l="1"/>
  <c r="U1074" i="2" l="1"/>
  <c r="U1077" i="2" l="1"/>
  <c r="U1080" i="2" l="1"/>
  <c r="U1083" i="2" l="1"/>
  <c r="U1093" i="2" l="1"/>
  <c r="U1096" i="2" l="1"/>
  <c r="U1109" i="2" l="1"/>
  <c r="U1122" i="2" l="1"/>
  <c r="U1123" i="2" l="1"/>
  <c r="U1126" i="2" l="1"/>
  <c r="U1129" i="2" l="1"/>
  <c r="U1132" i="2" l="1"/>
  <c r="U1136" i="2" l="1"/>
  <c r="U1137" i="2" l="1"/>
  <c r="U1140" i="2" l="1"/>
  <c r="U1141" i="2" l="1"/>
  <c r="U1144" i="2" l="1"/>
  <c r="U1145" i="2" l="1"/>
  <c r="U1148" i="2" l="1"/>
  <c r="U1149" i="2" l="1"/>
  <c r="U1152" i="2" l="1"/>
  <c r="U1153" i="2" l="1"/>
  <c r="U1156" i="2" l="1"/>
  <c r="U1157" i="2" l="1"/>
  <c r="U1191" i="2" l="1"/>
  <c r="U1192" i="2" l="1"/>
  <c r="U1193" i="2" l="1"/>
  <c r="U1199" i="2" l="1"/>
  <c r="U1200" i="2" l="1"/>
  <c r="U1203" i="2" l="1"/>
  <c r="U1204" i="2" l="1"/>
  <c r="U806" i="2" l="1"/>
  <c r="U842" i="2" l="1"/>
  <c r="U807" i="2" l="1"/>
  <c r="U877" i="2" l="1"/>
  <c r="U912" i="2" l="1"/>
  <c r="U913" i="2" l="1"/>
  <c r="U917" i="2" l="1"/>
  <c r="U924" i="2" l="1"/>
  <c r="U944" i="2" l="1"/>
  <c r="U927" i="2" l="1"/>
  <c r="U946" i="2" l="1"/>
  <c r="U930" i="2" l="1"/>
  <c r="W966" i="2" l="1"/>
  <c r="Y966" i="2" s="1"/>
  <c r="W937" i="2"/>
  <c r="Y937" i="2" s="1"/>
  <c r="W901" i="2"/>
  <c r="Y901" i="2" s="1"/>
  <c r="W831" i="2"/>
  <c r="Y831" i="2" s="1"/>
  <c r="W866" i="2"/>
  <c r="Y866" i="2" s="1"/>
  <c r="U931" i="2"/>
  <c r="U935" i="2" l="1"/>
  <c r="U948" i="2" l="1"/>
  <c r="U1210" i="2" l="1"/>
  <c r="C6" i="72" s="1"/>
  <c r="U1211" i="2" l="1"/>
  <c r="C7" i="72" s="1"/>
  <c r="U1458" i="2" l="1"/>
  <c r="C82" i="72" s="1"/>
  <c r="U1496" i="2" l="1"/>
  <c r="C95" i="72" l="1"/>
  <c r="B56" i="68"/>
  <c r="U1212" i="2"/>
  <c r="C8" i="72" s="1"/>
  <c r="C60" i="68" l="1"/>
  <c r="D60" i="68" s="1"/>
  <c r="C58" i="68"/>
  <c r="D58" i="68" s="1"/>
  <c r="C56" i="68"/>
  <c r="D56" i="68" s="1"/>
  <c r="C59" i="68"/>
  <c r="D59" i="68" s="1"/>
  <c r="C57" i="68"/>
  <c r="D57" i="68" s="1"/>
  <c r="U1234" i="2"/>
  <c r="C17" i="72" s="1"/>
  <c r="G56" i="68" l="1" a="1"/>
  <c r="G56" i="68" s="1"/>
  <c r="C279" i="61"/>
  <c r="W1497" i="2" s="1"/>
  <c r="Y1497" i="2" s="1"/>
  <c r="C276" i="61"/>
  <c r="U1243" i="2"/>
  <c r="C22" i="72" s="1"/>
  <c r="W1630" i="2" l="1"/>
  <c r="Y1630" i="2" s="1"/>
  <c r="W1567" i="2"/>
  <c r="Y1567" i="2" s="1"/>
  <c r="W1698" i="2"/>
  <c r="Y1698" i="2" s="1"/>
  <c r="W1495" i="2"/>
  <c r="Y1495" i="2" s="1"/>
  <c r="W1723" i="2"/>
  <c r="Y1723" i="2" s="1"/>
  <c r="U1275" i="2"/>
  <c r="C37" i="72" s="1"/>
  <c r="U1307" i="2" l="1"/>
  <c r="C52" i="72" s="1"/>
  <c r="U1345" i="2" l="1"/>
  <c r="C68" i="72" s="1"/>
  <c r="U1369" i="2" l="1"/>
  <c r="U1370" i="2" l="1"/>
  <c r="U1371" i="2" l="1"/>
  <c r="U1381" i="2" l="1"/>
  <c r="U1386" i="2" l="1"/>
  <c r="U1411" i="2" l="1"/>
  <c r="U1429" i="2" l="1"/>
  <c r="U1447" i="2" l="1"/>
  <c r="U1456" i="2" l="1"/>
  <c r="C80" i="72" s="1"/>
  <c r="U1457" i="2" l="1"/>
  <c r="C81" i="72" s="1"/>
  <c r="U1465" i="2" l="1"/>
  <c r="C85" i="72" s="1"/>
  <c r="C300" i="65" l="1"/>
  <c r="U1488" i="2" l="1"/>
  <c r="C91" i="72" s="1"/>
  <c r="U1230" i="2" l="1"/>
  <c r="C15" i="72" s="1"/>
  <c r="U1493" i="2" l="1"/>
  <c r="C93" i="72" s="1"/>
  <c r="U1506" i="2" l="1"/>
  <c r="C100" i="72" s="1"/>
  <c r="U1580" i="2" l="1"/>
  <c r="C124" i="72" s="1"/>
  <c r="U1641" i="2" l="1"/>
  <c r="C145" i="72" s="1"/>
  <c r="U1709" i="2" l="1"/>
  <c r="C167" i="72" s="1"/>
  <c r="U1726" i="2" l="1"/>
  <c r="U1727" i="2" l="1"/>
  <c r="U1728" i="2" l="1"/>
  <c r="C322" i="65" l="1"/>
  <c r="U1731" i="2" l="1"/>
  <c r="U1736" i="2" l="1"/>
  <c r="U1741" i="2" l="1"/>
  <c r="U1748" i="2" l="1"/>
  <c r="U1749" i="2" l="1"/>
  <c r="U1752" i="2" l="1"/>
  <c r="U1761" i="2" l="1"/>
  <c r="U1766" i="2" l="1"/>
  <c r="U1773" i="2" l="1"/>
  <c r="U1774" i="2" l="1"/>
  <c r="U1783" i="2" l="1"/>
  <c r="U1788" i="2" l="1"/>
  <c r="U1793" i="2" l="1"/>
  <c r="U1794" i="2" l="1"/>
  <c r="U1798" i="2" l="1"/>
  <c r="U1803" i="2" l="1"/>
  <c r="U1808" i="2" l="1"/>
  <c r="U1815" i="2" l="1"/>
  <c r="U1816" i="2" l="1"/>
  <c r="U1820" i="2" l="1"/>
  <c r="U1825" i="2" l="1"/>
  <c r="U1830" i="2" l="1"/>
  <c r="U1837" i="2" l="1"/>
  <c r="U1838" i="2" l="1"/>
  <c r="U1839" i="2" l="1"/>
  <c r="U1847" i="2" l="1"/>
  <c r="U1848" i="2" l="1"/>
  <c r="U1860" i="2" l="1"/>
  <c r="U1875" i="2" l="1"/>
  <c r="U1878" i="2" l="1"/>
  <c r="U1914" i="2" l="1"/>
  <c r="U1942" i="2" l="1"/>
  <c r="U2061" i="2" l="1"/>
  <c r="U2062" i="2" l="1"/>
  <c r="U2083" i="2" l="1"/>
  <c r="C324" i="65" l="1"/>
  <c r="U2089" i="2" l="1"/>
  <c r="U2090" i="2" l="1"/>
  <c r="U2091" i="2" l="1"/>
  <c r="U2102" i="2" l="1"/>
  <c r="U2107" i="2" l="1"/>
  <c r="C291" i="65" l="1"/>
  <c r="C292" i="65" l="1"/>
  <c r="U2114" i="2"/>
  <c r="U1171" i="2" l="1"/>
  <c r="U1172" i="2" l="1"/>
  <c r="U1173" i="2" l="1"/>
  <c r="U1177" i="2" l="1"/>
  <c r="C303" i="65" l="1"/>
  <c r="C305" i="65" l="1"/>
  <c r="C304" i="65" l="1"/>
  <c r="U1187" i="2"/>
  <c r="U2121" i="2" l="1"/>
  <c r="U2122" i="2" l="1"/>
  <c r="U2123" i="2" l="1"/>
  <c r="U2126" i="2" l="1"/>
  <c r="U2129" i="2" l="1"/>
  <c r="U2132" i="2" l="1"/>
  <c r="C315" i="65" l="1"/>
  <c r="C316" i="65"/>
  <c r="C308" i="65"/>
  <c r="C294" i="65"/>
  <c r="C293" i="65"/>
  <c r="C321" i="65"/>
  <c r="C299" i="65"/>
  <c r="C319" i="65"/>
  <c r="C298" i="65"/>
  <c r="C320" i="65"/>
  <c r="C313" i="65" l="1"/>
  <c r="C302" i="65"/>
  <c r="C323" i="65" l="1"/>
  <c r="C309" i="65" l="1"/>
  <c r="C307" i="65"/>
  <c r="C301" i="65"/>
  <c r="C318" i="65" l="1"/>
  <c r="C325" i="65" l="1"/>
  <c r="C310" i="65"/>
  <c r="C295" i="65"/>
  <c r="Y152" i="2" l="1"/>
  <c r="W2131" i="2" l="1"/>
  <c r="Y2131" i="2" s="1"/>
  <c r="W233" i="2" l="1"/>
  <c r="B357" i="64"/>
  <c r="C357" i="64" s="1"/>
  <c r="B358" i="64"/>
  <c r="C358" i="64" s="1"/>
  <c r="Y233" i="2" l="1"/>
  <c r="B375" i="64"/>
  <c r="C375" i="64" s="1"/>
  <c r="B360" i="64"/>
  <c r="C360" i="64" s="1"/>
  <c r="B361" i="64" l="1"/>
  <c r="C361" i="64" s="1"/>
  <c r="B362" i="64"/>
  <c r="C362" i="64" s="1"/>
  <c r="B376" i="64" l="1"/>
  <c r="C376" i="64" s="1"/>
  <c r="B365" i="64"/>
  <c r="C365" i="64" s="1"/>
  <c r="B366" i="64"/>
  <c r="C366" i="64" s="1"/>
  <c r="B377" i="64"/>
  <c r="C377" i="64" s="1"/>
  <c r="B368" i="64" l="1"/>
  <c r="C368" i="64" s="1"/>
  <c r="B372" i="64" l="1"/>
  <c r="C372" i="64" s="1"/>
  <c r="B373" i="64"/>
  <c r="C373" i="64" s="1"/>
  <c r="B374" i="64" l="1"/>
  <c r="C374" i="64" s="1"/>
  <c r="B371" i="64" l="1"/>
  <c r="C371" i="64" s="1"/>
  <c r="B369" i="64" l="1"/>
  <c r="C369" i="64" s="1"/>
  <c r="B370" i="64"/>
  <c r="C370" i="64" s="1"/>
  <c r="B367" i="64" l="1"/>
  <c r="C367" i="64" s="1"/>
  <c r="B363" i="64" l="1"/>
  <c r="C363" i="64" s="1"/>
  <c r="B359" i="64"/>
  <c r="C359" i="64" s="1"/>
  <c r="B364" i="64" l="1"/>
  <c r="C364" i="64" s="1"/>
  <c r="B350" i="64"/>
  <c r="C350" i="64" s="1"/>
  <c r="B351" i="64"/>
  <c r="C351" i="64"/>
  <c r="B352" i="64"/>
  <c r="C352" i="64"/>
  <c r="B353" i="64"/>
  <c r="C353" i="64"/>
  <c r="B354" i="64"/>
  <c r="C354" i="64"/>
  <c r="B355" i="64"/>
  <c r="C355" i="64"/>
  <c r="B356" i="64"/>
  <c r="C356" i="64"/>
  <c r="B349" i="64" l="1"/>
  <c r="C349" i="64" s="1"/>
  <c r="B348" i="64" l="1"/>
  <c r="C348" i="64" s="1"/>
  <c r="T1059" i="2" l="1"/>
  <c r="C1890" i="2"/>
  <c r="P1059" i="2"/>
  <c r="A2" i="64" s="1" a="1"/>
  <c r="AB1059" i="2"/>
  <c r="C126" i="2"/>
  <c r="C416" i="2"/>
  <c r="C1632" i="2"/>
  <c r="C1209" i="2"/>
  <c r="C417" i="2"/>
  <c r="C1197" i="2"/>
  <c r="C1571" i="2"/>
  <c r="C124" i="2"/>
  <c r="C114" i="2"/>
  <c r="C269" i="2"/>
  <c r="C120" i="2"/>
  <c r="C1198" i="2"/>
  <c r="C1342" i="2"/>
  <c r="C1634" i="2"/>
  <c r="C317" i="2"/>
  <c r="C318" i="2"/>
  <c r="C507" i="2"/>
  <c r="C1272" i="2"/>
  <c r="C1499" i="2"/>
  <c r="C1579" i="2"/>
  <c r="C508" i="2"/>
  <c r="C2079" i="2"/>
  <c r="C2069" i="2"/>
  <c r="C863" i="2"/>
  <c r="C859" i="2"/>
  <c r="C828" i="2"/>
  <c r="C810" i="2"/>
  <c r="C898" i="2"/>
  <c r="C880" i="2"/>
  <c r="C963" i="2"/>
  <c r="C959" i="2"/>
  <c r="C1475" i="2"/>
  <c r="C1601" i="2"/>
  <c r="C1660" i="2"/>
  <c r="C1650" i="2"/>
  <c r="C1630" i="2"/>
  <c r="C1621" i="2"/>
  <c r="C1596" i="2"/>
  <c r="C1616" i="2"/>
  <c r="C1553" i="2"/>
  <c r="C1514" i="2"/>
  <c r="C1519" i="2"/>
  <c r="C1467" i="2"/>
  <c r="C1394" i="2"/>
  <c r="C1768" i="2"/>
  <c r="C1814" i="2"/>
  <c r="C1782" i="2"/>
  <c r="C1326" i="2"/>
  <c r="C1350" i="2"/>
  <c r="C1334" i="2"/>
  <c r="C1344" i="2"/>
  <c r="C1282" i="2"/>
  <c r="C1284" i="2"/>
  <c r="C1265" i="2"/>
  <c r="C1250" i="2"/>
  <c r="C2112" i="2"/>
  <c r="C1945" i="2"/>
  <c r="C1932" i="2"/>
  <c r="C1941" i="2"/>
  <c r="C1888" i="2"/>
  <c r="C787" i="2"/>
  <c r="C705" i="2"/>
  <c r="C763" i="2"/>
  <c r="C743" i="2"/>
  <c r="C748" i="2"/>
  <c r="C46" i="2"/>
  <c r="C2074" i="2"/>
  <c r="C2065" i="2"/>
  <c r="C862" i="2"/>
  <c r="C872" i="2"/>
  <c r="C827" i="2"/>
  <c r="C837" i="2"/>
  <c r="C897" i="2"/>
  <c r="C907" i="2"/>
  <c r="C962" i="2"/>
  <c r="C970" i="2"/>
  <c r="C1474" i="2"/>
  <c r="C1600" i="2"/>
  <c r="C1695" i="2"/>
  <c r="C1708" i="2"/>
  <c r="C1649" i="2"/>
  <c r="C1620" i="2"/>
  <c r="C1528" i="2"/>
  <c r="C1559" i="2"/>
  <c r="C1513" i="2"/>
  <c r="C1452" i="2"/>
  <c r="C1393" i="2"/>
  <c r="C1375" i="2"/>
  <c r="C1790" i="2"/>
  <c r="C1807" i="2"/>
  <c r="C1829" i="2"/>
  <c r="C1800" i="2"/>
  <c r="C1754" i="2"/>
  <c r="C1325" i="2"/>
  <c r="C1357" i="2"/>
  <c r="C1348" i="2"/>
  <c r="C1331" i="2"/>
  <c r="C1330" i="2"/>
  <c r="C1302" i="2"/>
  <c r="C1291" i="2"/>
  <c r="C1268" i="2"/>
  <c r="C1258" i="2"/>
  <c r="C1229" i="2"/>
  <c r="C1855" i="2"/>
  <c r="C1892" i="2"/>
  <c r="C1921" i="2"/>
  <c r="C1898" i="2"/>
  <c r="C1883" i="2"/>
  <c r="C786" i="2"/>
  <c r="C777" i="2"/>
  <c r="C1240" i="2"/>
  <c r="C2076" i="2"/>
  <c r="C2088" i="2"/>
  <c r="C874" i="2"/>
  <c r="C850" i="2"/>
  <c r="C839" i="2"/>
  <c r="C821" i="2"/>
  <c r="C909" i="2"/>
  <c r="C901" i="2"/>
  <c r="C1521" i="2"/>
  <c r="C1655" i="2"/>
  <c r="C1694" i="2"/>
  <c r="C1698" i="2"/>
  <c r="C1689" i="2"/>
  <c r="C1648" i="2"/>
  <c r="C1625" i="2"/>
  <c r="C1589" i="2"/>
  <c r="C1588" i="2"/>
  <c r="C1525" i="2"/>
  <c r="C1564" i="2"/>
  <c r="C1432" i="2"/>
  <c r="C1389" i="2"/>
  <c r="C1812" i="2"/>
  <c r="C1806" i="2"/>
  <c r="C1763" i="2"/>
  <c r="C1801" i="2"/>
  <c r="C1776" i="2"/>
  <c r="C1759" i="2"/>
  <c r="C1355" i="2"/>
  <c r="C1318" i="2"/>
  <c r="C1317" i="2"/>
  <c r="C1286" i="2"/>
  <c r="C1290" i="2"/>
  <c r="C1261" i="2"/>
  <c r="C1246" i="2"/>
  <c r="C1228" i="2"/>
  <c r="C1933" i="2"/>
  <c r="C1917" i="2"/>
  <c r="C1901" i="2"/>
  <c r="C805" i="2"/>
  <c r="C769" i="2"/>
  <c r="C1304" i="2"/>
  <c r="C2077" i="2"/>
  <c r="C2071" i="2"/>
  <c r="C849" i="2"/>
  <c r="C831" i="2"/>
  <c r="C891" i="2"/>
  <c r="C966" i="2"/>
  <c r="C1725" i="2"/>
  <c r="C1520" i="2"/>
  <c r="C1661" i="2"/>
  <c r="C1693" i="2"/>
  <c r="C1653" i="2"/>
  <c r="C1618" i="2"/>
  <c r="C1617" i="2"/>
  <c r="C1592" i="2"/>
  <c r="C1524" i="2"/>
  <c r="C1567" i="2"/>
  <c r="C1562" i="2"/>
  <c r="C1522" i="2"/>
  <c r="C1516" i="2"/>
  <c r="C1373" i="2"/>
  <c r="C1745" i="2"/>
  <c r="C1836" i="2"/>
  <c r="C1764" i="2"/>
  <c r="C1802" i="2"/>
  <c r="C1777" i="2"/>
  <c r="C1755" i="2"/>
  <c r="C1734" i="2"/>
  <c r="C1366" i="2"/>
  <c r="C1312" i="2"/>
  <c r="C1335" i="2"/>
  <c r="C1280" i="2"/>
  <c r="C1293" i="2"/>
  <c r="C1254" i="2"/>
  <c r="C1253" i="2"/>
  <c r="C1227" i="2"/>
  <c r="C1952" i="2"/>
  <c r="C1929" i="2"/>
  <c r="C1899" i="2"/>
  <c r="C1881" i="2"/>
  <c r="C775" i="2"/>
  <c r="C761" i="2"/>
  <c r="C773" i="2"/>
  <c r="C738" i="2"/>
  <c r="C1569" i="2"/>
  <c r="C1175" i="2"/>
  <c r="C2075" i="2"/>
  <c r="C2072" i="2"/>
  <c r="C866" i="2"/>
  <c r="C833" i="2"/>
  <c r="C903" i="2"/>
  <c r="C968" i="2"/>
  <c r="C1527" i="2"/>
  <c r="C1668" i="2"/>
  <c r="C1663" i="2"/>
  <c r="C1688" i="2"/>
  <c r="C1662" i="2"/>
  <c r="C1659" i="2"/>
  <c r="C1602" i="2"/>
  <c r="C1583" i="2"/>
  <c r="C1558" i="2"/>
  <c r="C1450" i="2"/>
  <c r="C1416" i="2"/>
  <c r="C1391" i="2"/>
  <c r="C1770" i="2"/>
  <c r="C1765" i="2"/>
  <c r="C1824" i="2"/>
  <c r="C1778" i="2"/>
  <c r="C1756" i="2"/>
  <c r="C1751" i="2"/>
  <c r="C1735" i="2"/>
  <c r="C1352" i="2"/>
  <c r="C1354" i="2"/>
  <c r="C1338" i="2"/>
  <c r="C1328" i="2"/>
  <c r="C1287" i="2"/>
  <c r="C1285" i="2"/>
  <c r="C1248" i="2"/>
  <c r="C1252" i="2"/>
  <c r="C1226" i="2"/>
  <c r="C1950" i="2"/>
  <c r="C1859" i="2"/>
  <c r="C1924" i="2"/>
  <c r="C1895" i="2"/>
  <c r="C1862" i="2"/>
  <c r="C767" i="2"/>
  <c r="C706" i="2"/>
  <c r="C757" i="2"/>
  <c r="C732" i="2"/>
  <c r="C734" i="2"/>
  <c r="C1702" i="2"/>
  <c r="C2136" i="2"/>
  <c r="C2082" i="2"/>
  <c r="C2070" i="2"/>
  <c r="C846" i="2"/>
  <c r="C856" i="2"/>
  <c r="C911" i="2"/>
  <c r="C956" i="2"/>
  <c r="C952" i="2"/>
  <c r="C1720" i="2"/>
  <c r="C1723" i="2"/>
  <c r="C1712" i="2"/>
  <c r="C1526" i="2"/>
  <c r="C1667" i="2"/>
  <c r="C1690" i="2"/>
  <c r="C1654" i="2"/>
  <c r="C1656" i="2"/>
  <c r="C1638" i="2"/>
  <c r="C1627" i="2"/>
  <c r="C1587" i="2"/>
  <c r="C1563" i="2"/>
  <c r="C1470" i="2"/>
  <c r="C1408" i="2"/>
  <c r="C1828" i="2"/>
  <c r="C1785" i="2"/>
  <c r="C1738" i="2"/>
  <c r="C1760" i="2"/>
  <c r="C1322" i="2"/>
  <c r="C1368" i="2"/>
  <c r="C1364" i="2"/>
  <c r="C1319" i="2"/>
  <c r="C1310" i="2"/>
  <c r="C1306" i="2"/>
  <c r="C1278" i="2"/>
  <c r="C1270" i="2"/>
  <c r="C1255" i="2"/>
  <c r="C1954" i="2"/>
  <c r="C1857" i="2"/>
  <c r="C1919" i="2"/>
  <c r="C1902" i="2"/>
  <c r="C1863" i="2"/>
  <c r="C776" i="2"/>
  <c r="C770" i="2"/>
  <c r="C782" i="2"/>
  <c r="C753" i="2"/>
  <c r="C735" i="2"/>
  <c r="C709" i="2"/>
  <c r="C696" i="2"/>
  <c r="C1700" i="2"/>
  <c r="C2134" i="2"/>
  <c r="C2081" i="2"/>
  <c r="C2067" i="2"/>
  <c r="C845" i="2"/>
  <c r="C868" i="2"/>
  <c r="C815" i="2"/>
  <c r="C885" i="2"/>
  <c r="C894" i="2"/>
  <c r="C955" i="2"/>
  <c r="C951" i="2"/>
  <c r="C1719" i="2"/>
  <c r="C1715" i="2"/>
  <c r="C1595" i="2"/>
  <c r="C1666" i="2"/>
  <c r="C1657" i="2"/>
  <c r="C1651" i="2"/>
  <c r="C1640" i="2"/>
  <c r="C1599" i="2"/>
  <c r="C1593" i="2"/>
  <c r="C1555" i="2"/>
  <c r="C1557" i="2"/>
  <c r="C1577" i="2"/>
  <c r="C1518" i="2"/>
  <c r="C1515" i="2"/>
  <c r="C1469" i="2"/>
  <c r="C1396" i="2"/>
  <c r="C1810" i="2"/>
  <c r="C1834" i="2"/>
  <c r="C1805" i="2"/>
  <c r="C1786" i="2"/>
  <c r="C1739" i="2"/>
  <c r="C1822" i="2"/>
  <c r="C1780" i="2"/>
  <c r="C1323" i="2"/>
  <c r="C1360" i="2"/>
  <c r="C1314" i="2"/>
  <c r="C1329" i="2"/>
  <c r="C1296" i="2"/>
  <c r="C1292" i="2"/>
  <c r="C1274" i="2"/>
  <c r="C1259" i="2"/>
  <c r="C1956" i="2"/>
  <c r="C1913" i="2"/>
  <c r="C1843" i="2"/>
  <c r="C768" i="2"/>
  <c r="C771" i="2"/>
  <c r="C758" i="2"/>
  <c r="C747" i="2"/>
  <c r="C731" i="2"/>
  <c r="C699" i="2"/>
  <c r="C698" i="2"/>
  <c r="C270" i="2"/>
  <c r="C44" i="2"/>
  <c r="C2135" i="2"/>
  <c r="C2080" i="2"/>
  <c r="C2066" i="2"/>
  <c r="C876" i="2"/>
  <c r="C814" i="2"/>
  <c r="C811" i="2"/>
  <c r="C884" i="2"/>
  <c r="C881" i="2"/>
  <c r="C972" i="2"/>
  <c r="C1718" i="2"/>
  <c r="C1594" i="2"/>
  <c r="C1665" i="2"/>
  <c r="C1706" i="2"/>
  <c r="C1644" i="2"/>
  <c r="C1622" i="2"/>
  <c r="C1598" i="2"/>
  <c r="C1626" i="2"/>
  <c r="C1590" i="2"/>
  <c r="C1554" i="2"/>
  <c r="C1573" i="2"/>
  <c r="C1509" i="2"/>
  <c r="C1468" i="2"/>
  <c r="C1434" i="2"/>
  <c r="C1414" i="2"/>
  <c r="C1395" i="2"/>
  <c r="C1316" i="2"/>
  <c r="C1930" i="2"/>
  <c r="C750" i="2"/>
  <c r="C729" i="2"/>
  <c r="C712" i="2"/>
  <c r="C670" i="2"/>
  <c r="C501" i="2"/>
  <c r="C412" i="2"/>
  <c r="C312" i="2"/>
  <c r="C578" i="2"/>
  <c r="C570" i="2"/>
  <c r="C658" i="2"/>
  <c r="C394" i="2"/>
  <c r="C403" i="2"/>
  <c r="C492" i="2"/>
  <c r="C488" i="2"/>
  <c r="C479" i="2"/>
  <c r="C358" i="2"/>
  <c r="C355" i="2"/>
  <c r="C597" i="2"/>
  <c r="C609" i="2"/>
  <c r="C601" i="2"/>
  <c r="C801" i="2"/>
  <c r="C1049" i="2"/>
  <c r="C1121" i="2"/>
  <c r="C1068" i="2"/>
  <c r="C1743" i="2"/>
  <c r="C1781" i="2"/>
  <c r="C1297" i="2"/>
  <c r="C1896" i="2"/>
  <c r="C744" i="2"/>
  <c r="C721" i="2"/>
  <c r="C713" i="2"/>
  <c r="C502" i="2"/>
  <c r="C413" i="2"/>
  <c r="C314" i="2"/>
  <c r="C575" i="2"/>
  <c r="C580" i="2"/>
  <c r="C564" i="2"/>
  <c r="C652" i="2"/>
  <c r="C643" i="2"/>
  <c r="C384" i="2"/>
  <c r="C387" i="2"/>
  <c r="C382" i="2"/>
  <c r="C388" i="2"/>
  <c r="C483" i="2"/>
  <c r="C541" i="2"/>
  <c r="C352" i="2"/>
  <c r="C451" i="2"/>
  <c r="C604" i="2"/>
  <c r="C617" i="2"/>
  <c r="C608" i="2"/>
  <c r="C794" i="2"/>
  <c r="C1034" i="2"/>
  <c r="C1037" i="2"/>
  <c r="C1056" i="2"/>
  <c r="C66" i="2"/>
  <c r="C146" i="2"/>
  <c r="C1832" i="2"/>
  <c r="C1758" i="2"/>
  <c r="C1300" i="2"/>
  <c r="C1885" i="2"/>
  <c r="C746" i="2"/>
  <c r="C714" i="2"/>
  <c r="C702" i="2"/>
  <c r="C503" i="2"/>
  <c r="C414" i="2"/>
  <c r="C313" i="2"/>
  <c r="C566" i="2"/>
  <c r="C656" i="2"/>
  <c r="C647" i="2"/>
  <c r="C644" i="2"/>
  <c r="C396" i="2"/>
  <c r="C381" i="2"/>
  <c r="C494" i="2"/>
  <c r="C472" i="2"/>
  <c r="C359" i="2"/>
  <c r="C606" i="2"/>
  <c r="C610" i="2"/>
  <c r="C799" i="2"/>
  <c r="C1021" i="2"/>
  <c r="C1024" i="2"/>
  <c r="C1053" i="2"/>
  <c r="C1043" i="2"/>
  <c r="C36" i="2"/>
  <c r="C1792" i="2"/>
  <c r="C1264" i="2"/>
  <c r="C1846" i="2"/>
  <c r="C739" i="2"/>
  <c r="C715" i="2"/>
  <c r="C695" i="2"/>
  <c r="C1082" i="2"/>
  <c r="C504" i="2"/>
  <c r="C415" i="2"/>
  <c r="C315" i="2"/>
  <c r="C584" i="2"/>
  <c r="C585" i="2"/>
  <c r="C569" i="2"/>
  <c r="C639" i="2"/>
  <c r="C649" i="2"/>
  <c r="C653" i="2"/>
  <c r="C391" i="2"/>
  <c r="C402" i="2"/>
  <c r="C473" i="2"/>
  <c r="C489" i="2"/>
  <c r="C480" i="2"/>
  <c r="C360" i="2"/>
  <c r="C618" i="2"/>
  <c r="C605" i="2"/>
  <c r="C798" i="2"/>
  <c r="C616" i="2"/>
  <c r="C1040" i="2"/>
  <c r="C1015" i="2"/>
  <c r="C1030" i="2"/>
  <c r="C68" i="2"/>
  <c r="C1827" i="2"/>
  <c r="C1324" i="2"/>
  <c r="C1260" i="2"/>
  <c r="C760" i="2"/>
  <c r="C740" i="2"/>
  <c r="C717" i="2"/>
  <c r="C711" i="2"/>
  <c r="C50" i="2"/>
  <c r="C505" i="2"/>
  <c r="C410" i="2"/>
  <c r="C573" i="2"/>
  <c r="C579" i="2"/>
  <c r="C563" i="2"/>
  <c r="C657" i="2"/>
  <c r="C642" i="2"/>
  <c r="C385" i="2"/>
  <c r="C487" i="2"/>
  <c r="C484" i="2"/>
  <c r="C475" i="2"/>
  <c r="C354" i="2"/>
  <c r="C594" i="2"/>
  <c r="C592" i="2"/>
  <c r="C600" i="2"/>
  <c r="C800" i="2"/>
  <c r="C791" i="2"/>
  <c r="C1018" i="2"/>
  <c r="C1092" i="2"/>
  <c r="C1099" i="2"/>
  <c r="C64" i="2"/>
  <c r="C1787" i="2"/>
  <c r="C1361" i="2"/>
  <c r="C2111" i="2"/>
  <c r="C779" i="2"/>
  <c r="C741" i="2"/>
  <c r="C724" i="2"/>
  <c r="C701" i="2"/>
  <c r="C419" i="2"/>
  <c r="C316" i="2"/>
  <c r="C583" i="2"/>
  <c r="C651" i="2"/>
  <c r="C389" i="2"/>
  <c r="C482" i="2"/>
  <c r="C356" i="2"/>
  <c r="C598" i="2"/>
  <c r="C593" i="2"/>
  <c r="C596" i="2"/>
  <c r="C797" i="2"/>
  <c r="C792" i="2"/>
  <c r="C1115" i="2"/>
  <c r="C1105" i="2"/>
  <c r="C1112" i="2"/>
  <c r="C1108" i="2"/>
  <c r="C72" i="2"/>
  <c r="C1356" i="2"/>
  <c r="C1947" i="2"/>
  <c r="C772" i="2"/>
  <c r="C728" i="2"/>
  <c r="C718" i="2"/>
  <c r="C719" i="2"/>
  <c r="C506" i="2"/>
  <c r="C311" i="2"/>
  <c r="C571" i="2"/>
  <c r="C576" i="2"/>
  <c r="C646" i="2"/>
  <c r="C397" i="2"/>
  <c r="C493" i="2"/>
  <c r="C401" i="2"/>
  <c r="C476" i="2"/>
  <c r="C485" i="2"/>
  <c r="C540" i="2"/>
  <c r="C350" i="2"/>
  <c r="C450" i="2"/>
  <c r="C602" i="2"/>
  <c r="C796" i="2"/>
  <c r="C612" i="2"/>
  <c r="C790" i="2"/>
  <c r="C1118" i="2"/>
  <c r="C1086" i="2"/>
  <c r="C148" i="2"/>
  <c r="C1823" i="2"/>
  <c r="C1340" i="2"/>
  <c r="C1926" i="2"/>
  <c r="C764" i="2"/>
  <c r="C742" i="2"/>
  <c r="C710" i="2"/>
  <c r="C669" i="2"/>
  <c r="C1852" i="2"/>
  <c r="C510" i="2"/>
  <c r="C411" i="2"/>
  <c r="C320" i="2"/>
  <c r="C567" i="2"/>
  <c r="C574" i="2"/>
  <c r="C640" i="2"/>
  <c r="C648" i="2"/>
  <c r="C392" i="2"/>
  <c r="C398" i="2"/>
  <c r="C478" i="2"/>
  <c r="C542" i="2"/>
  <c r="C351" i="2"/>
  <c r="C449" i="2"/>
  <c r="C613" i="2"/>
  <c r="C614" i="2"/>
  <c r="C802" i="2"/>
  <c r="C1059" i="2"/>
  <c r="C1062" i="2"/>
  <c r="C1102" i="2"/>
  <c r="C1089" i="2"/>
  <c r="C77" i="2"/>
  <c r="C1176" i="2"/>
  <c r="C2120" i="2"/>
  <c r="C2104" i="2"/>
  <c r="C2100" i="2"/>
  <c r="C1233" i="2"/>
  <c r="C1492" i="2"/>
  <c r="C1380" i="2"/>
  <c r="C929" i="2"/>
  <c r="C1131" i="2"/>
  <c r="C1095" i="2"/>
  <c r="C1076" i="2"/>
  <c r="C1002" i="2"/>
  <c r="C986" i="2"/>
  <c r="C688" i="2"/>
  <c r="C684" i="2"/>
  <c r="C680" i="2"/>
  <c r="C676" i="2"/>
  <c r="C672" i="2"/>
  <c r="C661" i="2"/>
  <c r="C532" i="2"/>
  <c r="C526" i="2"/>
  <c r="C513" i="2"/>
  <c r="C441" i="2"/>
  <c r="C433" i="2"/>
  <c r="C425" i="2"/>
  <c r="C348" i="2"/>
  <c r="C340" i="2"/>
  <c r="C332" i="2"/>
  <c r="C324" i="2"/>
  <c r="C304" i="2"/>
  <c r="C289" i="2"/>
  <c r="C268" i="2"/>
  <c r="C56" i="2"/>
  <c r="C2125" i="2"/>
  <c r="C2113" i="2"/>
  <c r="C2085" i="2"/>
  <c r="C1877" i="2"/>
  <c r="C1818" i="2"/>
  <c r="C1236" i="2"/>
  <c r="C1220" i="2"/>
  <c r="C1216" i="2"/>
  <c r="C1460" i="2"/>
  <c r="C945" i="2"/>
  <c r="C937" i="2"/>
  <c r="C933" i="2"/>
  <c r="C1139" i="2"/>
  <c r="C538" i="2"/>
  <c r="C525" i="2"/>
  <c r="C512" i="2"/>
  <c r="C347" i="2"/>
  <c r="C339" i="2"/>
  <c r="C331" i="2"/>
  <c r="C323" i="2"/>
  <c r="C303" i="2"/>
  <c r="C288" i="2"/>
  <c r="C260" i="2"/>
  <c r="C252" i="2"/>
  <c r="C244" i="2"/>
  <c r="C150" i="2"/>
  <c r="C134" i="2"/>
  <c r="C94" i="2"/>
  <c r="C86" i="2"/>
  <c r="C32" i="2"/>
  <c r="C24" i="2"/>
  <c r="C93" i="2"/>
  <c r="C106" i="2"/>
  <c r="C2140" i="2"/>
  <c r="C2128" i="2"/>
  <c r="C2116" i="2"/>
  <c r="C2099" i="2"/>
  <c r="C2095" i="2"/>
  <c r="C1797" i="2"/>
  <c r="C1740" i="2"/>
  <c r="C1242" i="2"/>
  <c r="C1505" i="2"/>
  <c r="C1501" i="2"/>
  <c r="C1232" i="2"/>
  <c r="C1491" i="2"/>
  <c r="C1383" i="2"/>
  <c r="C1379" i="2"/>
  <c r="C1206" i="2"/>
  <c r="C1151" i="2"/>
  <c r="C1134" i="2"/>
  <c r="C1079" i="2"/>
  <c r="C1005" i="2"/>
  <c r="C977" i="2"/>
  <c r="C691" i="2"/>
  <c r="C679" i="2"/>
  <c r="C537" i="2"/>
  <c r="C524" i="2"/>
  <c r="C518" i="2"/>
  <c r="C447" i="2"/>
  <c r="C439" i="2"/>
  <c r="C431" i="2"/>
  <c r="C423" i="2"/>
  <c r="C346" i="2"/>
  <c r="C338" i="2"/>
  <c r="C330" i="2"/>
  <c r="C322" i="2"/>
  <c r="C307" i="2"/>
  <c r="C302" i="2"/>
  <c r="C267" i="2"/>
  <c r="C259" i="2"/>
  <c r="C251" i="2"/>
  <c r="C243" i="2"/>
  <c r="C85" i="2"/>
  <c r="C62" i="2"/>
  <c r="C54" i="2"/>
  <c r="C83" i="2"/>
  <c r="C104" i="2"/>
  <c r="C17" i="2"/>
  <c r="C2110" i="2"/>
  <c r="C1476" i="2"/>
  <c r="C1223" i="2"/>
  <c r="C1464" i="2"/>
  <c r="C588" i="2"/>
  <c r="C536" i="2"/>
  <c r="C530" i="2"/>
  <c r="C517" i="2"/>
  <c r="C446" i="2"/>
  <c r="C438" i="2"/>
  <c r="C430" i="2"/>
  <c r="C422" i="2"/>
  <c r="C295" i="2"/>
  <c r="C286" i="2"/>
  <c r="C258" i="2"/>
  <c r="C250" i="2"/>
  <c r="C242" i="2"/>
  <c r="C92" i="2"/>
  <c r="C84" i="2"/>
  <c r="C78" i="2"/>
  <c r="C38" i="2"/>
  <c r="C30" i="2"/>
  <c r="C22" i="2"/>
  <c r="C168" i="2"/>
  <c r="C52" i="2"/>
  <c r="C58" i="2"/>
  <c r="C41" i="2"/>
  <c r="C2131" i="2"/>
  <c r="C2118" i="2"/>
  <c r="C2106" i="2"/>
  <c r="C1866" i="2"/>
  <c r="C1796" i="2"/>
  <c r="C1733" i="2"/>
  <c r="C1730" i="2"/>
  <c r="C1490" i="2"/>
  <c r="C1378" i="2"/>
  <c r="C920" i="2"/>
  <c r="C916" i="2"/>
  <c r="C1195" i="2"/>
  <c r="C1155" i="2"/>
  <c r="C1143" i="2"/>
  <c r="C1125" i="2"/>
  <c r="C996" i="2"/>
  <c r="C992" i="2"/>
  <c r="C980" i="2"/>
  <c r="C686" i="2"/>
  <c r="C682" i="2"/>
  <c r="C678" i="2"/>
  <c r="C667" i="2"/>
  <c r="C529" i="2"/>
  <c r="C516" i="2"/>
  <c r="C445" i="2"/>
  <c r="C437" i="2"/>
  <c r="C429" i="2"/>
  <c r="C421" i="2"/>
  <c r="C406" i="2"/>
  <c r="C344" i="2"/>
  <c r="C336" i="2"/>
  <c r="C328" i="2"/>
  <c r="C293" i="2"/>
  <c r="C285" i="2"/>
  <c r="C144" i="2"/>
  <c r="C60" i="2"/>
  <c r="C81" i="2"/>
  <c r="C70" i="2"/>
  <c r="C1190" i="2"/>
  <c r="C2109" i="2"/>
  <c r="C1841" i="2"/>
  <c r="C1473" i="2"/>
  <c r="C1238" i="2"/>
  <c r="C1497" i="2"/>
  <c r="C1222" i="2"/>
  <c r="C1218" i="2"/>
  <c r="C1214" i="2"/>
  <c r="C1463" i="2"/>
  <c r="C947" i="2"/>
  <c r="C943" i="2"/>
  <c r="C939" i="2"/>
  <c r="C528" i="2"/>
  <c r="C522" i="2"/>
  <c r="C497" i="2"/>
  <c r="C343" i="2"/>
  <c r="C335" i="2"/>
  <c r="C327" i="2"/>
  <c r="C299" i="2"/>
  <c r="C292" i="2"/>
  <c r="C264" i="2"/>
  <c r="C256" i="2"/>
  <c r="C248" i="2"/>
  <c r="C240" i="2"/>
  <c r="C181" i="2"/>
  <c r="C132" i="2"/>
  <c r="C105" i="2"/>
  <c r="C90" i="2"/>
  <c r="C82" i="2"/>
  <c r="C28" i="2"/>
  <c r="C2138" i="2"/>
  <c r="C2101" i="2"/>
  <c r="C2097" i="2"/>
  <c r="C2093" i="2"/>
  <c r="C1865" i="2"/>
  <c r="C1850" i="2"/>
  <c r="C1377" i="2"/>
  <c r="C926" i="2"/>
  <c r="C919" i="2"/>
  <c r="C915" i="2"/>
  <c r="C1208" i="2"/>
  <c r="C1159" i="2"/>
  <c r="C1128" i="2"/>
  <c r="C1073" i="2"/>
  <c r="C1011" i="2"/>
  <c r="C999" i="2"/>
  <c r="C983" i="2"/>
  <c r="C685" i="2"/>
  <c r="C681" i="2"/>
  <c r="C677" i="2"/>
  <c r="C673" i="2"/>
  <c r="C666" i="2"/>
  <c r="C534" i="2"/>
  <c r="C521" i="2"/>
  <c r="C443" i="2"/>
  <c r="C435" i="2"/>
  <c r="C427" i="2"/>
  <c r="C342" i="2"/>
  <c r="C334" i="2"/>
  <c r="C326" i="2"/>
  <c r="C298" i="2"/>
  <c r="C282" i="2"/>
  <c r="C263" i="2"/>
  <c r="C255" i="2"/>
  <c r="C247" i="2"/>
  <c r="C239" i="2"/>
  <c r="C142" i="2"/>
  <c r="C19" i="2"/>
  <c r="C113" i="2"/>
  <c r="C96" i="2"/>
  <c r="C1189" i="2"/>
  <c r="C1819" i="2"/>
  <c r="C1472" i="2"/>
  <c r="C1495" i="2"/>
  <c r="C1221" i="2"/>
  <c r="C934" i="2"/>
  <c r="C1147" i="2"/>
  <c r="C533" i="2"/>
  <c r="C520" i="2"/>
  <c r="C514" i="2"/>
  <c r="C442" i="2"/>
  <c r="C434" i="2"/>
  <c r="C426" i="2"/>
  <c r="C297" i="2"/>
  <c r="C290" i="2"/>
  <c r="C262" i="2"/>
  <c r="C254" i="2"/>
  <c r="C246" i="2"/>
  <c r="C238" i="2"/>
  <c r="C179" i="2"/>
  <c r="C128" i="2"/>
  <c r="C103" i="2"/>
  <c r="C88" i="2"/>
  <c r="C34" i="2"/>
  <c r="C26" i="2"/>
  <c r="B378" i="64" l="1"/>
  <c r="C378" i="64" s="1"/>
  <c r="A2" i="64"/>
  <c r="B347" i="64"/>
  <c r="C347" i="64" s="1"/>
  <c r="B344" i="64" l="1"/>
  <c r="C344" i="64" s="1"/>
  <c r="B346" i="64" l="1"/>
  <c r="C346" i="64" s="1"/>
  <c r="B343" i="64" l="1"/>
  <c r="C343" i="64" s="1"/>
  <c r="B345" i="64" l="1"/>
  <c r="C345" i="64" s="1"/>
  <c r="B342" i="64" l="1"/>
  <c r="C342" i="64" s="1"/>
  <c r="B341" i="64" l="1"/>
  <c r="C341" i="64" s="1"/>
  <c r="C281" i="61" l="1" a="1"/>
  <c r="C281" i="61" s="1"/>
  <c r="D74" i="68"/>
  <c r="D71" i="68"/>
  <c r="C283" i="61" l="1" a="1"/>
  <c r="C283" i="61" s="1"/>
  <c r="W1634" i="2" s="1"/>
  <c r="C282" i="61" a="1"/>
  <c r="C282" i="61" s="1"/>
  <c r="W1499" i="2" s="1"/>
  <c r="G70" i="68"/>
  <c r="G65" i="68"/>
  <c r="W1304" i="2"/>
  <c r="W1342" i="2"/>
  <c r="W1272" i="2"/>
  <c r="W1240" i="2"/>
  <c r="W1501" i="2"/>
  <c r="W1571" i="2"/>
  <c r="W2120" i="2"/>
  <c r="W1702" i="2" l="1"/>
  <c r="Y1702" i="2" s="1"/>
  <c r="W1569" i="2"/>
  <c r="Y1569" i="2" s="1"/>
  <c r="W1632" i="2"/>
  <c r="Y1632" i="2" s="1"/>
  <c r="W1700" i="2"/>
  <c r="Y1700" i="2" s="1"/>
  <c r="Y2120" i="2"/>
  <c r="Y1240" i="2"/>
  <c r="Y1272" i="2"/>
  <c r="Y1634" i="2"/>
  <c r="Y1342" i="2"/>
  <c r="Y1571" i="2"/>
  <c r="Y1304" i="2"/>
  <c r="Y1501" i="2"/>
  <c r="Y1499" i="2"/>
  <c r="B2" i="64" l="1"/>
  <c r="C2" i="64" s="1"/>
  <c r="W1053" i="2" l="1"/>
  <c r="W1034" i="2"/>
  <c r="W1015" i="2"/>
  <c r="W996" i="2"/>
  <c r="W977" i="2"/>
  <c r="W1002" i="2"/>
  <c r="W983" i="2"/>
  <c r="W1040" i="2"/>
  <c r="W1021" i="2"/>
  <c r="W1059" i="2"/>
  <c r="W1037" i="2"/>
  <c r="W1018" i="2"/>
  <c r="W999" i="2"/>
  <c r="W980" i="2"/>
  <c r="W1056" i="2"/>
  <c r="W1024" i="2"/>
  <c r="W1005" i="2"/>
  <c r="W986" i="2"/>
  <c r="W1062" i="2"/>
  <c r="W1043" i="2"/>
  <c r="Y980" i="2" l="1"/>
  <c r="Y983" i="2"/>
  <c r="Y1043" i="2"/>
  <c r="Y999" i="2"/>
  <c r="Y1002" i="2"/>
  <c r="Y1062" i="2"/>
  <c r="Y1018" i="2"/>
  <c r="Y986" i="2"/>
  <c r="Y1037" i="2"/>
  <c r="Y977" i="2"/>
  <c r="Y1005" i="2"/>
  <c r="Y996" i="2"/>
  <c r="Y1024" i="2"/>
  <c r="Y1059" i="2"/>
  <c r="Y1015" i="2"/>
  <c r="Y1021" i="2"/>
  <c r="Y1034" i="2"/>
  <c r="Y1056" i="2"/>
  <c r="Y1040" i="2"/>
  <c r="Y1053" i="2"/>
  <c r="D398" i="5"/>
  <c r="E398" i="5"/>
  <c r="I398" i="5" s="1"/>
  <c r="F398" i="5"/>
  <c r="G398" i="5"/>
  <c r="H398" i="5"/>
  <c r="J398" i="5" l="1"/>
  <c r="D75" i="68" l="1"/>
  <c r="D79" i="68"/>
  <c r="D78" i="68"/>
  <c r="D76" i="68"/>
  <c r="B340" i="64" l="1"/>
  <c r="C340" i="64" s="1"/>
  <c r="B337" i="64"/>
  <c r="C337" i="64" s="1"/>
  <c r="B339" i="64"/>
  <c r="C339" i="64" s="1"/>
  <c r="B338" i="64" l="1"/>
  <c r="C338" i="64" s="1"/>
  <c r="B287" i="65" l="1"/>
  <c r="C287" i="65" s="1"/>
  <c r="B289" i="65"/>
  <c r="C289" i="65" s="1"/>
  <c r="B286" i="65"/>
  <c r="C286" i="65" s="1"/>
  <c r="B290" i="65"/>
  <c r="C290" i="65" s="1"/>
  <c r="B285" i="65"/>
  <c r="C285" i="65" s="1"/>
  <c r="B288" i="65"/>
  <c r="C288" i="65" s="1"/>
  <c r="B284" i="65"/>
  <c r="C284" i="65" s="1"/>
  <c r="D313" i="73" l="1"/>
  <c r="E313" i="73"/>
  <c r="F313" i="73"/>
  <c r="G313" i="73"/>
  <c r="H313" i="73"/>
  <c r="D314" i="73"/>
  <c r="E314" i="73"/>
  <c r="F314" i="73"/>
  <c r="G314" i="73"/>
  <c r="H314" i="73"/>
  <c r="D315" i="73"/>
  <c r="E315" i="73"/>
  <c r="F315" i="73"/>
  <c r="G315" i="73"/>
  <c r="H315" i="73"/>
  <c r="D316" i="73"/>
  <c r="E316" i="73"/>
  <c r="F316" i="73"/>
  <c r="G316" i="73"/>
  <c r="H316" i="73"/>
  <c r="I314" i="73" l="1"/>
  <c r="J314" i="73" s="1"/>
  <c r="I313" i="73"/>
  <c r="J313" i="73" s="1"/>
  <c r="I315" i="73"/>
  <c r="J315" i="73" s="1"/>
  <c r="I316" i="73"/>
  <c r="J316" i="73" s="1"/>
  <c r="B346" i="5"/>
  <c r="K346" i="5"/>
  <c r="B347" i="5"/>
  <c r="K347" i="5"/>
  <c r="B348" i="5"/>
  <c r="K348" i="5"/>
  <c r="B349" i="5"/>
  <c r="K349" i="5"/>
  <c r="B350" i="5"/>
  <c r="K350" i="5"/>
  <c r="B351" i="5"/>
  <c r="K351" i="5"/>
  <c r="B352" i="5"/>
  <c r="K352" i="5"/>
  <c r="B353" i="5"/>
  <c r="K353" i="5"/>
  <c r="B354" i="5"/>
  <c r="K354" i="5"/>
  <c r="B355" i="5"/>
  <c r="K355" i="5"/>
  <c r="B356" i="5"/>
  <c r="K356" i="5"/>
  <c r="B357" i="5"/>
  <c r="K357" i="5"/>
  <c r="B358" i="5"/>
  <c r="K358" i="5"/>
  <c r="B359" i="5"/>
  <c r="K359" i="5"/>
  <c r="B360" i="5"/>
  <c r="K360" i="5"/>
  <c r="B361" i="5"/>
  <c r="K361" i="5"/>
  <c r="B362" i="5"/>
  <c r="K362" i="5"/>
  <c r="B363" i="5"/>
  <c r="K363" i="5"/>
  <c r="B364" i="5"/>
  <c r="K364" i="5"/>
  <c r="B365" i="5"/>
  <c r="K365" i="5"/>
  <c r="B366" i="5"/>
  <c r="K366" i="5"/>
  <c r="B367" i="5"/>
  <c r="K367" i="5"/>
  <c r="B368" i="5"/>
  <c r="K368" i="5"/>
  <c r="B369" i="5"/>
  <c r="K369" i="5"/>
  <c r="B370" i="5"/>
  <c r="K370" i="5"/>
  <c r="B371" i="5"/>
  <c r="K371" i="5"/>
  <c r="B372" i="5"/>
  <c r="K372" i="5"/>
  <c r="B373" i="5"/>
  <c r="K373" i="5"/>
  <c r="B374" i="5"/>
  <c r="K374" i="5"/>
  <c r="B375" i="5"/>
  <c r="K375" i="5"/>
  <c r="B376" i="5"/>
  <c r="K376" i="5"/>
  <c r="B377" i="5"/>
  <c r="K377" i="5"/>
  <c r="B378" i="5"/>
  <c r="K378" i="5"/>
  <c r="B379" i="5"/>
  <c r="K379" i="5"/>
  <c r="B380" i="5"/>
  <c r="K380" i="5"/>
  <c r="B381" i="5"/>
  <c r="K381" i="5"/>
  <c r="B382" i="5"/>
  <c r="K382" i="5"/>
  <c r="B383" i="5"/>
  <c r="K383" i="5"/>
  <c r="B384" i="5"/>
  <c r="K384" i="5"/>
  <c r="B385" i="5"/>
  <c r="K385" i="5"/>
  <c r="B386" i="5"/>
  <c r="K386" i="5"/>
  <c r="B387" i="5"/>
  <c r="K387" i="5"/>
  <c r="B388" i="5"/>
  <c r="K388" i="5"/>
  <c r="B389" i="5"/>
  <c r="K389" i="5"/>
  <c r="B390" i="5"/>
  <c r="K390" i="5"/>
  <c r="B391" i="5"/>
  <c r="K391" i="5"/>
  <c r="B392" i="5"/>
  <c r="K392" i="5"/>
  <c r="B393" i="5"/>
  <c r="K393" i="5"/>
  <c r="B394" i="5"/>
  <c r="K394" i="5"/>
  <c r="B395" i="5"/>
  <c r="K395" i="5"/>
  <c r="B396" i="5"/>
  <c r="K396" i="5"/>
  <c r="B397" i="5"/>
  <c r="K397" i="5"/>
  <c r="B398" i="5"/>
  <c r="K398" i="5"/>
  <c r="B283" i="65" l="1"/>
  <c r="C283" i="65" s="1"/>
  <c r="D312" i="73" l="1"/>
  <c r="E312" i="73"/>
  <c r="F312" i="73"/>
  <c r="G312" i="73"/>
  <c r="H312" i="73"/>
  <c r="I312" i="73" l="1"/>
  <c r="J312" i="73" s="1"/>
  <c r="B282" i="65"/>
  <c r="C282" i="65" s="1"/>
  <c r="D311" i="73" l="1"/>
  <c r="E311" i="73"/>
  <c r="F311" i="73"/>
  <c r="G311" i="73"/>
  <c r="H311" i="73"/>
  <c r="I311" i="73" l="1"/>
  <c r="J311" i="73" s="1"/>
  <c r="B281" i="65"/>
  <c r="C281" i="65" s="1"/>
  <c r="W44" i="2" l="1"/>
  <c r="Y44" i="2" s="1"/>
  <c r="W17" i="2"/>
  <c r="Y17" i="2" s="1"/>
  <c r="W176" i="2" l="1"/>
  <c r="Y176" i="2" s="1"/>
  <c r="W19" i="2"/>
  <c r="Y19" i="2" s="1"/>
  <c r="W150" i="2"/>
  <c r="Y150" i="2" s="1"/>
  <c r="D310" i="73"/>
  <c r="E310" i="73"/>
  <c r="F310" i="73"/>
  <c r="G310" i="73"/>
  <c r="H310" i="73"/>
  <c r="I310" i="73" l="1"/>
  <c r="J310" i="73" s="1"/>
  <c r="D307" i="73" l="1"/>
  <c r="E307" i="73"/>
  <c r="F307" i="73"/>
  <c r="G307" i="73"/>
  <c r="H307" i="73"/>
  <c r="I307" i="73"/>
  <c r="J307" i="73" s="1"/>
  <c r="D308" i="73"/>
  <c r="E308" i="73"/>
  <c r="F308" i="73"/>
  <c r="G308" i="73"/>
  <c r="H308" i="73"/>
  <c r="D309" i="73"/>
  <c r="E309" i="73"/>
  <c r="F309" i="73"/>
  <c r="G309" i="73"/>
  <c r="H309" i="73"/>
  <c r="I309" i="73" l="1"/>
  <c r="J309" i="73" s="1"/>
  <c r="I308" i="73"/>
  <c r="J308" i="73" s="1"/>
  <c r="D303" i="73" l="1"/>
  <c r="E303" i="73"/>
  <c r="F303" i="73"/>
  <c r="G303" i="73"/>
  <c r="H303" i="73"/>
  <c r="D304" i="73"/>
  <c r="E304" i="73"/>
  <c r="F304" i="73"/>
  <c r="G304" i="73"/>
  <c r="H304" i="73"/>
  <c r="D305" i="73"/>
  <c r="E305" i="73"/>
  <c r="F305" i="73"/>
  <c r="G305" i="73"/>
  <c r="H305" i="73"/>
  <c r="D306" i="73"/>
  <c r="E306" i="73"/>
  <c r="F306" i="73"/>
  <c r="G306" i="73"/>
  <c r="H306" i="73"/>
  <c r="B290" i="73"/>
  <c r="B291" i="73"/>
  <c r="B292" i="73"/>
  <c r="B293" i="73"/>
  <c r="B294" i="73"/>
  <c r="B295" i="73"/>
  <c r="B296" i="73"/>
  <c r="B297" i="73"/>
  <c r="B298" i="73"/>
  <c r="B299" i="73"/>
  <c r="B300" i="73"/>
  <c r="B301" i="73"/>
  <c r="B302" i="73"/>
  <c r="B303" i="73"/>
  <c r="I305" i="73" l="1"/>
  <c r="J305" i="73" s="1"/>
  <c r="I304" i="73"/>
  <c r="J304" i="73" s="1"/>
  <c r="I306" i="73"/>
  <c r="J306" i="73" s="1"/>
  <c r="I303" i="73"/>
  <c r="J303" i="73" s="1"/>
  <c r="B304" i="73" l="1"/>
  <c r="B305" i="73"/>
  <c r="B306" i="73"/>
  <c r="B307" i="73"/>
  <c r="B308" i="73"/>
  <c r="B309" i="73"/>
  <c r="B310" i="73"/>
  <c r="B311" i="73"/>
  <c r="B312" i="73"/>
  <c r="B313" i="73"/>
  <c r="B314" i="73"/>
  <c r="B315" i="73"/>
  <c r="B316" i="73"/>
  <c r="E12" i="2" l="1"/>
  <c r="E13" i="2" s="1"/>
  <c r="E14" i="2" s="1"/>
  <c r="E15" i="2" s="1"/>
  <c r="F12" i="2"/>
  <c r="G12" i="2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H12" i="2"/>
  <c r="H13" i="2" s="1"/>
  <c r="H14" i="2" s="1"/>
  <c r="I12" i="2"/>
  <c r="J12" i="2"/>
  <c r="K12" i="2"/>
  <c r="K13" i="2" s="1"/>
  <c r="L12" i="2"/>
  <c r="L13" i="2" s="1"/>
  <c r="M12" i="2"/>
  <c r="M13" i="2" s="1"/>
  <c r="M14" i="2" s="1"/>
  <c r="N12" i="2"/>
  <c r="N13" i="2" s="1"/>
  <c r="N14" i="2" s="1"/>
  <c r="O12" i="2"/>
  <c r="O13" i="2" s="1"/>
  <c r="O14" i="2" s="1"/>
  <c r="O15" i="2" s="1"/>
  <c r="R12" i="2"/>
  <c r="X12" i="2" s="1"/>
  <c r="I13" i="2"/>
  <c r="I14" i="2" s="1"/>
  <c r="I15" i="2" s="1"/>
  <c r="I16" i="2" s="1"/>
  <c r="I17" i="2" s="1"/>
  <c r="J13" i="2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K14" i="2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M15" i="2"/>
  <c r="N15" i="2"/>
  <c r="N16" i="2" s="1"/>
  <c r="N17" i="2" s="1"/>
  <c r="N18" i="2" s="1"/>
  <c r="N19" i="2" s="1"/>
  <c r="O16" i="2"/>
  <c r="O17" i="2" s="1"/>
  <c r="R16" i="2"/>
  <c r="X16" i="2" s="1"/>
  <c r="O18" i="2"/>
  <c r="O19" i="2" s="1"/>
  <c r="O20" i="2" s="1"/>
  <c r="R18" i="2"/>
  <c r="X18" i="2" s="1"/>
  <c r="M20" i="2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O21" i="2"/>
  <c r="O22" i="2" s="1"/>
  <c r="R21" i="2"/>
  <c r="O23" i="2"/>
  <c r="O24" i="2" s="1"/>
  <c r="R23" i="2"/>
  <c r="X23" i="2" s="1"/>
  <c r="O25" i="2"/>
  <c r="O26" i="2" s="1"/>
  <c r="R25" i="2"/>
  <c r="O27" i="2"/>
  <c r="O28" i="2" s="1"/>
  <c r="R27" i="2"/>
  <c r="X27" i="2" s="1"/>
  <c r="O29" i="2"/>
  <c r="O30" i="2" s="1"/>
  <c r="R29" i="2"/>
  <c r="R30" i="2" s="1"/>
  <c r="O31" i="2"/>
  <c r="O32" i="2" s="1"/>
  <c r="R31" i="2"/>
  <c r="X31" i="2" s="1"/>
  <c r="O33" i="2"/>
  <c r="O34" i="2" s="1"/>
  <c r="R33" i="2"/>
  <c r="X33" i="2" s="1"/>
  <c r="O35" i="2"/>
  <c r="O36" i="2" s="1"/>
  <c r="R35" i="2"/>
  <c r="R36" i="2" s="1"/>
  <c r="U36" i="2" s="1"/>
  <c r="O37" i="2"/>
  <c r="O38" i="2" s="1"/>
  <c r="O39" i="2" s="1"/>
  <c r="R37" i="2"/>
  <c r="X37" i="2" s="1"/>
  <c r="M39" i="2"/>
  <c r="N39" i="2"/>
  <c r="N40" i="2" s="1"/>
  <c r="N41" i="2" s="1"/>
  <c r="O40" i="2"/>
  <c r="O41" i="2" s="1"/>
  <c r="O42" i="2" s="1"/>
  <c r="R40" i="2"/>
  <c r="M42" i="2"/>
  <c r="N42" i="2"/>
  <c r="N43" i="2" s="1"/>
  <c r="N44" i="2" s="1"/>
  <c r="N45" i="2" s="1"/>
  <c r="N46" i="2" s="1"/>
  <c r="N47" i="2" s="1"/>
  <c r="O43" i="2"/>
  <c r="O44" i="2" s="1"/>
  <c r="R43" i="2"/>
  <c r="X43" i="2" s="1"/>
  <c r="O45" i="2"/>
  <c r="O46" i="2" s="1"/>
  <c r="O47" i="2" s="1"/>
  <c r="O48" i="2" s="1"/>
  <c r="R45" i="2"/>
  <c r="R46" i="2" s="1"/>
  <c r="K47" i="2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L47" i="2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M48" i="2"/>
  <c r="N48" i="2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O49" i="2"/>
  <c r="O50" i="2" s="1"/>
  <c r="R49" i="2"/>
  <c r="X49" i="2" s="1"/>
  <c r="O51" i="2"/>
  <c r="O52" i="2" s="1"/>
  <c r="R51" i="2"/>
  <c r="X51" i="2" s="1"/>
  <c r="O53" i="2"/>
  <c r="O54" i="2" s="1"/>
  <c r="R53" i="2"/>
  <c r="O55" i="2"/>
  <c r="O56" i="2" s="1"/>
  <c r="R55" i="2"/>
  <c r="X55" i="2" s="1"/>
  <c r="O57" i="2"/>
  <c r="O58" i="2" s="1"/>
  <c r="R57" i="2"/>
  <c r="O59" i="2"/>
  <c r="O60" i="2" s="1"/>
  <c r="R59" i="2"/>
  <c r="X59" i="2" s="1"/>
  <c r="O61" i="2"/>
  <c r="O62" i="2" s="1"/>
  <c r="R61" i="2"/>
  <c r="X61" i="2" s="1"/>
  <c r="O63" i="2"/>
  <c r="O64" i="2" s="1"/>
  <c r="R63" i="2"/>
  <c r="X63" i="2" s="1"/>
  <c r="O65" i="2"/>
  <c r="O66" i="2" s="1"/>
  <c r="R65" i="2"/>
  <c r="O67" i="2"/>
  <c r="O68" i="2" s="1"/>
  <c r="R67" i="2"/>
  <c r="X67" i="2" s="1"/>
  <c r="O69" i="2"/>
  <c r="O70" i="2" s="1"/>
  <c r="R69" i="2"/>
  <c r="O71" i="2"/>
  <c r="O72" i="2" s="1"/>
  <c r="O73" i="2" s="1"/>
  <c r="O74" i="2" s="1"/>
  <c r="O75" i="2" s="1"/>
  <c r="R71" i="2"/>
  <c r="I73" i="2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J73" i="2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K74" i="2"/>
  <c r="L74" i="2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M75" i="2"/>
  <c r="M76" i="2" s="1"/>
  <c r="M77" i="2" s="1"/>
  <c r="M78" i="2" s="1"/>
  <c r="N75" i="2"/>
  <c r="N76" i="2" s="1"/>
  <c r="N77" i="2" s="1"/>
  <c r="N78" i="2" s="1"/>
  <c r="O76" i="2"/>
  <c r="O77" i="2" s="1"/>
  <c r="O78" i="2" s="1"/>
  <c r="O79" i="2" s="1"/>
  <c r="R76" i="2"/>
  <c r="R77" i="2" s="1"/>
  <c r="M79" i="2"/>
  <c r="N79" i="2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O80" i="2"/>
  <c r="O81" i="2" s="1"/>
  <c r="O82" i="2" s="1"/>
  <c r="O83" i="2" s="1"/>
  <c r="O84" i="2" s="1"/>
  <c r="O85" i="2" s="1"/>
  <c r="O86" i="2" s="1"/>
  <c r="R80" i="2"/>
  <c r="O87" i="2"/>
  <c r="O88" i="2" s="1"/>
  <c r="R87" i="2"/>
  <c r="O89" i="2"/>
  <c r="O90" i="2" s="1"/>
  <c r="R89" i="2"/>
  <c r="X89" i="2" s="1"/>
  <c r="O91" i="2"/>
  <c r="O92" i="2" s="1"/>
  <c r="O93" i="2" s="1"/>
  <c r="O94" i="2" s="1"/>
  <c r="R91" i="2"/>
  <c r="X91" i="2" s="1"/>
  <c r="O95" i="2"/>
  <c r="O96" i="2" s="1"/>
  <c r="O97" i="2" s="1"/>
  <c r="O98" i="2" s="1"/>
  <c r="O99" i="2" s="1"/>
  <c r="O100" i="2" s="1"/>
  <c r="O101" i="2" s="1"/>
  <c r="R95" i="2"/>
  <c r="X95" i="2" s="1"/>
  <c r="O102" i="2"/>
  <c r="O103" i="2" s="1"/>
  <c r="O104" i="2" s="1"/>
  <c r="O105" i="2" s="1"/>
  <c r="O106" i="2" s="1"/>
  <c r="O107" i="2" s="1"/>
  <c r="R102" i="2"/>
  <c r="R103" i="2" s="1"/>
  <c r="M107" i="2"/>
  <c r="N107" i="2"/>
  <c r="N108" i="2" s="1"/>
  <c r="N109" i="2" s="1"/>
  <c r="N110" i="2" s="1"/>
  <c r="O108" i="2"/>
  <c r="O109" i="2" s="1"/>
  <c r="O110" i="2" s="1"/>
  <c r="O111" i="2" s="1"/>
  <c r="R108" i="2"/>
  <c r="X108" i="2" s="1"/>
  <c r="K110" i="2"/>
  <c r="K111" i="2" s="1"/>
  <c r="K112" i="2" s="1"/>
  <c r="K113" i="2" s="1"/>
  <c r="K114" i="2" s="1"/>
  <c r="K115" i="2" s="1"/>
  <c r="L110" i="2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M111" i="2"/>
  <c r="M112" i="2" s="1"/>
  <c r="M113" i="2" s="1"/>
  <c r="M114" i="2" s="1"/>
  <c r="N111" i="2"/>
  <c r="N112" i="2" s="1"/>
  <c r="N113" i="2" s="1"/>
  <c r="N114" i="2" s="1"/>
  <c r="O112" i="2"/>
  <c r="O113" i="2" s="1"/>
  <c r="O114" i="2" s="1"/>
  <c r="O115" i="2" s="1"/>
  <c r="R112" i="2"/>
  <c r="X112" i="2" s="1"/>
  <c r="M115" i="2"/>
  <c r="M116" i="2" s="1"/>
  <c r="M117" i="2" s="1"/>
  <c r="N115" i="2"/>
  <c r="N116" i="2" s="1"/>
  <c r="N117" i="2" s="1"/>
  <c r="O116" i="2"/>
  <c r="O117" i="2" s="1"/>
  <c r="O118" i="2" s="1"/>
  <c r="R116" i="2"/>
  <c r="X116" i="2" s="1"/>
  <c r="M118" i="2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N118" i="2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O119" i="2"/>
  <c r="O120" i="2" s="1"/>
  <c r="R119" i="2"/>
  <c r="X119" i="2" s="1"/>
  <c r="O121" i="2"/>
  <c r="O122" i="2" s="1"/>
  <c r="R121" i="2"/>
  <c r="X121" i="2" s="1"/>
  <c r="O123" i="2"/>
  <c r="O124" i="2" s="1"/>
  <c r="R123" i="2"/>
  <c r="X123" i="2" s="1"/>
  <c r="O125" i="2"/>
  <c r="O126" i="2" s="1"/>
  <c r="R125" i="2"/>
  <c r="R126" i="2" s="1"/>
  <c r="O127" i="2"/>
  <c r="O128" i="2" s="1"/>
  <c r="R127" i="2"/>
  <c r="X127" i="2" s="1"/>
  <c r="O129" i="2"/>
  <c r="O130" i="2" s="1"/>
  <c r="R129" i="2"/>
  <c r="O131" i="2"/>
  <c r="O132" i="2" s="1"/>
  <c r="R131" i="2"/>
  <c r="X131" i="2" s="1"/>
  <c r="O133" i="2"/>
  <c r="O134" i="2" s="1"/>
  <c r="R133" i="2"/>
  <c r="R134" i="2" s="1"/>
  <c r="O135" i="2"/>
  <c r="O136" i="2" s="1"/>
  <c r="O137" i="2" s="1"/>
  <c r="O138" i="2" s="1"/>
  <c r="O139" i="2" s="1"/>
  <c r="O140" i="2" s="1"/>
  <c r="R135" i="2"/>
  <c r="X135" i="2" s="1"/>
  <c r="M140" i="2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N140" i="2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O141" i="2"/>
  <c r="O142" i="2" s="1"/>
  <c r="R141" i="2"/>
  <c r="O143" i="2"/>
  <c r="O144" i="2" s="1"/>
  <c r="R143" i="2"/>
  <c r="X143" i="2" s="1"/>
  <c r="O145" i="2"/>
  <c r="O146" i="2" s="1"/>
  <c r="R145" i="2"/>
  <c r="R146" i="2" s="1"/>
  <c r="O147" i="2"/>
  <c r="O148" i="2" s="1"/>
  <c r="R147" i="2"/>
  <c r="X147" i="2" s="1"/>
  <c r="O149" i="2"/>
  <c r="O150" i="2" s="1"/>
  <c r="O151" i="2" s="1"/>
  <c r="O152" i="2" s="1"/>
  <c r="R149" i="2"/>
  <c r="R150" i="2" s="1"/>
  <c r="R151" i="2" s="1"/>
  <c r="K151" i="2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L151" i="2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M152" i="2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N152" i="2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O153" i="2"/>
  <c r="O154" i="2" s="1"/>
  <c r="R153" i="2"/>
  <c r="X153" i="2" s="1"/>
  <c r="O155" i="2"/>
  <c r="O156" i="2" s="1"/>
  <c r="O157" i="2" s="1"/>
  <c r="R155" i="2"/>
  <c r="X155" i="2" s="1"/>
  <c r="O158" i="2"/>
  <c r="O159" i="2" s="1"/>
  <c r="R158" i="2"/>
  <c r="O160" i="2"/>
  <c r="O161" i="2" s="1"/>
  <c r="R160" i="2"/>
  <c r="O162" i="2"/>
  <c r="O163" i="2" s="1"/>
  <c r="R162" i="2"/>
  <c r="X162" i="2" s="1"/>
  <c r="O164" i="2"/>
  <c r="O165" i="2" s="1"/>
  <c r="O166" i="2" s="1"/>
  <c r="R164" i="2"/>
  <c r="X164" i="2" s="1"/>
  <c r="M166" i="2"/>
  <c r="M167" i="2" s="1"/>
  <c r="M168" i="2" s="1"/>
  <c r="M169" i="2" s="1"/>
  <c r="M170" i="2" s="1"/>
  <c r="M171" i="2" s="1"/>
  <c r="M172" i="2" s="1"/>
  <c r="M173" i="2" s="1"/>
  <c r="N166" i="2"/>
  <c r="N167" i="2" s="1"/>
  <c r="N168" i="2" s="1"/>
  <c r="N169" i="2" s="1"/>
  <c r="N170" i="2" s="1"/>
  <c r="N171" i="2" s="1"/>
  <c r="N172" i="2" s="1"/>
  <c r="N173" i="2" s="1"/>
  <c r="O167" i="2"/>
  <c r="O168" i="2" s="1"/>
  <c r="R167" i="2"/>
  <c r="X167" i="2" s="1"/>
  <c r="O169" i="2"/>
  <c r="O170" i="2" s="1"/>
  <c r="O171" i="2" s="1"/>
  <c r="O172" i="2" s="1"/>
  <c r="O173" i="2" s="1"/>
  <c r="O174" i="2" s="1"/>
  <c r="R169" i="2"/>
  <c r="G171" i="2"/>
  <c r="G172" i="2" s="1"/>
  <c r="G173" i="2" s="1"/>
  <c r="H171" i="2"/>
  <c r="H172" i="2" s="1"/>
  <c r="D172" i="2" s="1"/>
  <c r="I172" i="2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J172" i="2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K173" i="2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L173" i="2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M174" i="2"/>
  <c r="M175" i="2" s="1"/>
  <c r="M176" i="2" s="1"/>
  <c r="N174" i="2"/>
  <c r="N175" i="2" s="1"/>
  <c r="N176" i="2" s="1"/>
  <c r="O175" i="2"/>
  <c r="O176" i="2" s="1"/>
  <c r="O177" i="2" s="1"/>
  <c r="R175" i="2"/>
  <c r="X175" i="2" s="1"/>
  <c r="M177" i="2"/>
  <c r="M178" i="2" s="1"/>
  <c r="M179" i="2" s="1"/>
  <c r="M180" i="2" s="1"/>
  <c r="M181" i="2" s="1"/>
  <c r="N177" i="2"/>
  <c r="N178" i="2" s="1"/>
  <c r="N179" i="2" s="1"/>
  <c r="N180" i="2" s="1"/>
  <c r="N181" i="2" s="1"/>
  <c r="O178" i="2"/>
  <c r="O179" i="2" s="1"/>
  <c r="R178" i="2"/>
  <c r="O180" i="2"/>
  <c r="O181" i="2" s="1"/>
  <c r="O182" i="2" s="1"/>
  <c r="R180" i="2"/>
  <c r="X180" i="2" s="1"/>
  <c r="M182" i="2"/>
  <c r="M183" i="2" s="1"/>
  <c r="M184" i="2" s="1"/>
  <c r="M185" i="2" s="1"/>
  <c r="M186" i="2" s="1"/>
  <c r="N182" i="2"/>
  <c r="N183" i="2" s="1"/>
  <c r="N184" i="2" s="1"/>
  <c r="N185" i="2" s="1"/>
  <c r="N186" i="2" s="1"/>
  <c r="O183" i="2"/>
  <c r="O184" i="2" s="1"/>
  <c r="O185" i="2" s="1"/>
  <c r="O186" i="2" s="1"/>
  <c r="O187" i="2" s="1"/>
  <c r="R183" i="2"/>
  <c r="X183" i="2" s="1"/>
  <c r="I185" i="2"/>
  <c r="J185" i="2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K186" i="2"/>
  <c r="K187" i="2" s="1"/>
  <c r="K188" i="2" s="1"/>
  <c r="K189" i="2" s="1"/>
  <c r="K190" i="2" s="1"/>
  <c r="L186" i="2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M187" i="2"/>
  <c r="M188" i="2" s="1"/>
  <c r="M189" i="2" s="1"/>
  <c r="N187" i="2"/>
  <c r="N188" i="2" s="1"/>
  <c r="N189" i="2" s="1"/>
  <c r="O188" i="2"/>
  <c r="O189" i="2" s="1"/>
  <c r="O190" i="2" s="1"/>
  <c r="R188" i="2"/>
  <c r="X188" i="2" s="1"/>
  <c r="M190" i="2"/>
  <c r="M191" i="2" s="1"/>
  <c r="M192" i="2" s="1"/>
  <c r="N190" i="2"/>
  <c r="N191" i="2" s="1"/>
  <c r="N192" i="2" s="1"/>
  <c r="O191" i="2"/>
  <c r="O192" i="2" s="1"/>
  <c r="O193" i="2" s="1"/>
  <c r="R191" i="2"/>
  <c r="R192" i="2" s="1"/>
  <c r="U192" i="2" s="1"/>
  <c r="M193" i="2"/>
  <c r="M194" i="2" s="1"/>
  <c r="M195" i="2" s="1"/>
  <c r="N193" i="2"/>
  <c r="N194" i="2" s="1"/>
  <c r="N195" i="2" s="1"/>
  <c r="O194" i="2"/>
  <c r="O195" i="2" s="1"/>
  <c r="O196" i="2" s="1"/>
  <c r="R194" i="2"/>
  <c r="X194" i="2" s="1"/>
  <c r="M196" i="2"/>
  <c r="M197" i="2" s="1"/>
  <c r="M198" i="2" s="1"/>
  <c r="M199" i="2" s="1"/>
  <c r="M200" i="2" s="1"/>
  <c r="N196" i="2"/>
  <c r="N197" i="2" s="1"/>
  <c r="N198" i="2" s="1"/>
  <c r="N199" i="2" s="1"/>
  <c r="N200" i="2" s="1"/>
  <c r="O197" i="2"/>
  <c r="O198" i="2" s="1"/>
  <c r="O199" i="2" s="1"/>
  <c r="O200" i="2" s="1"/>
  <c r="O201" i="2" s="1"/>
  <c r="R197" i="2"/>
  <c r="R198" i="2" s="1"/>
  <c r="U198" i="2" s="1"/>
  <c r="I199" i="2"/>
  <c r="J199" i="2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K200" i="2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L200" i="2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M201" i="2"/>
  <c r="M202" i="2" s="1"/>
  <c r="M203" i="2" s="1"/>
  <c r="N201" i="2"/>
  <c r="N202" i="2" s="1"/>
  <c r="N203" i="2" s="1"/>
  <c r="O202" i="2"/>
  <c r="O203" i="2" s="1"/>
  <c r="O204" i="2" s="1"/>
  <c r="R202" i="2"/>
  <c r="X202" i="2" s="1"/>
  <c r="M204" i="2"/>
  <c r="N204" i="2"/>
  <c r="N205" i="2" s="1"/>
  <c r="N206" i="2" s="1"/>
  <c r="O205" i="2"/>
  <c r="O206" i="2" s="1"/>
  <c r="O207" i="2" s="1"/>
  <c r="R205" i="2"/>
  <c r="X205" i="2" s="1"/>
  <c r="M207" i="2"/>
  <c r="M208" i="2" s="1"/>
  <c r="M209" i="2" s="1"/>
  <c r="N207" i="2"/>
  <c r="N208" i="2" s="1"/>
  <c r="N209" i="2" s="1"/>
  <c r="O208" i="2"/>
  <c r="O209" i="2" s="1"/>
  <c r="O210" i="2" s="1"/>
  <c r="R208" i="2"/>
  <c r="X208" i="2" s="1"/>
  <c r="M210" i="2"/>
  <c r="N210" i="2"/>
  <c r="N211" i="2" s="1"/>
  <c r="N212" i="2" s="1"/>
  <c r="N213" i="2" s="1"/>
  <c r="N214" i="2" s="1"/>
  <c r="N215" i="2" s="1"/>
  <c r="N216" i="2" s="1"/>
  <c r="N217" i="2" s="1"/>
  <c r="O211" i="2"/>
  <c r="O212" i="2" s="1"/>
  <c r="O213" i="2" s="1"/>
  <c r="O214" i="2" s="1"/>
  <c r="O215" i="2" s="1"/>
  <c r="O216" i="2" s="1"/>
  <c r="O217" i="2" s="1"/>
  <c r="O218" i="2" s="1"/>
  <c r="R211" i="2"/>
  <c r="X211" i="2" s="1"/>
  <c r="M218" i="2"/>
  <c r="M219" i="2" s="1"/>
  <c r="M220" i="2" s="1"/>
  <c r="M221" i="2" s="1"/>
  <c r="M222" i="2" s="1"/>
  <c r="M223" i="2" s="1"/>
  <c r="M224" i="2" s="1"/>
  <c r="M225" i="2" s="1"/>
  <c r="M226" i="2" s="1"/>
  <c r="N218" i="2"/>
  <c r="N219" i="2" s="1"/>
  <c r="N220" i="2" s="1"/>
  <c r="N221" i="2" s="1"/>
  <c r="N222" i="2" s="1"/>
  <c r="N223" i="2" s="1"/>
  <c r="N224" i="2" s="1"/>
  <c r="N225" i="2" s="1"/>
  <c r="N226" i="2" s="1"/>
  <c r="O219" i="2"/>
  <c r="O220" i="2" s="1"/>
  <c r="O221" i="2" s="1"/>
  <c r="O222" i="2" s="1"/>
  <c r="R219" i="2"/>
  <c r="R220" i="2" s="1"/>
  <c r="O223" i="2"/>
  <c r="O224" i="2" s="1"/>
  <c r="O225" i="2" s="1"/>
  <c r="O226" i="2" s="1"/>
  <c r="O227" i="2" s="1"/>
  <c r="R223" i="2"/>
  <c r="M227" i="2"/>
  <c r="M228" i="2" s="1"/>
  <c r="M229" i="2" s="1"/>
  <c r="M230" i="2" s="1"/>
  <c r="N227" i="2"/>
  <c r="N228" i="2" s="1"/>
  <c r="N229" i="2" s="1"/>
  <c r="N230" i="2" s="1"/>
  <c r="O228" i="2"/>
  <c r="O229" i="2" s="1"/>
  <c r="O230" i="2" s="1"/>
  <c r="O231" i="2" s="1"/>
  <c r="R228" i="2"/>
  <c r="M231" i="2"/>
  <c r="M232" i="2" s="1"/>
  <c r="M233" i="2" s="1"/>
  <c r="M234" i="2" s="1"/>
  <c r="M235" i="2" s="1"/>
  <c r="N231" i="2"/>
  <c r="N232" i="2" s="1"/>
  <c r="N233" i="2" s="1"/>
  <c r="N234" i="2" s="1"/>
  <c r="N235" i="2" s="1"/>
  <c r="O232" i="2"/>
  <c r="O233" i="2" s="1"/>
  <c r="O234" i="2" s="1"/>
  <c r="O235" i="2" s="1"/>
  <c r="O236" i="2" s="1"/>
  <c r="R232" i="2"/>
  <c r="R233" i="2" s="1"/>
  <c r="R234" i="2" s="1"/>
  <c r="I234" i="2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J234" i="2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K235" i="2"/>
  <c r="K236" i="2" s="1"/>
  <c r="L235" i="2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M236" i="2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N236" i="2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O237" i="2"/>
  <c r="O238" i="2" s="1"/>
  <c r="O239" i="2" s="1"/>
  <c r="O240" i="2" s="1"/>
  <c r="R237" i="2"/>
  <c r="O241" i="2"/>
  <c r="O242" i="2" s="1"/>
  <c r="O243" i="2" s="1"/>
  <c r="O244" i="2" s="1"/>
  <c r="R241" i="2"/>
  <c r="O245" i="2"/>
  <c r="O246" i="2" s="1"/>
  <c r="O247" i="2" s="1"/>
  <c r="O248" i="2" s="1"/>
  <c r="R245" i="2"/>
  <c r="X245" i="2" s="1"/>
  <c r="O249" i="2"/>
  <c r="O250" i="2" s="1"/>
  <c r="O251" i="2" s="1"/>
  <c r="O252" i="2" s="1"/>
  <c r="R249" i="2"/>
  <c r="R250" i="2" s="1"/>
  <c r="Z250" i="2" s="1"/>
  <c r="O253" i="2"/>
  <c r="O254" i="2" s="1"/>
  <c r="O255" i="2" s="1"/>
  <c r="O256" i="2" s="1"/>
  <c r="R253" i="2"/>
  <c r="O257" i="2"/>
  <c r="O258" i="2" s="1"/>
  <c r="O259" i="2" s="1"/>
  <c r="O260" i="2" s="1"/>
  <c r="R257" i="2"/>
  <c r="X257" i="2" s="1"/>
  <c r="O261" i="2"/>
  <c r="O262" i="2" s="1"/>
  <c r="O263" i="2" s="1"/>
  <c r="O264" i="2" s="1"/>
  <c r="O265" i="2" s="1"/>
  <c r="R261" i="2"/>
  <c r="R262" i="2" s="1"/>
  <c r="M265" i="2"/>
  <c r="N265" i="2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O266" i="2"/>
  <c r="O267" i="2" s="1"/>
  <c r="O268" i="2" s="1"/>
  <c r="O269" i="2" s="1"/>
  <c r="O270" i="2" s="1"/>
  <c r="R266" i="2"/>
  <c r="R267" i="2" s="1"/>
  <c r="Z267" i="2" s="1"/>
  <c r="AE267" i="2" s="1"/>
  <c r="O271" i="2"/>
  <c r="O272" i="2" s="1"/>
  <c r="O273" i="2" s="1"/>
  <c r="O274" i="2" s="1"/>
  <c r="O275" i="2" s="1"/>
  <c r="R271" i="2"/>
  <c r="R272" i="2" s="1"/>
  <c r="O276" i="2"/>
  <c r="O277" i="2" s="1"/>
  <c r="O278" i="2" s="1"/>
  <c r="O279" i="2" s="1"/>
  <c r="O280" i="2" s="1"/>
  <c r="R276" i="2"/>
  <c r="R277" i="2" s="1"/>
  <c r="O281" i="2"/>
  <c r="O282" i="2" s="1"/>
  <c r="O283" i="2" s="1"/>
  <c r="R281" i="2"/>
  <c r="O284" i="2"/>
  <c r="O285" i="2" s="1"/>
  <c r="O286" i="2" s="1"/>
  <c r="R284" i="2"/>
  <c r="X284" i="2" s="1"/>
  <c r="O287" i="2"/>
  <c r="O288" i="2" s="1"/>
  <c r="O289" i="2" s="1"/>
  <c r="O290" i="2" s="1"/>
  <c r="R287" i="2"/>
  <c r="R288" i="2" s="1"/>
  <c r="O291" i="2"/>
  <c r="O292" i="2" s="1"/>
  <c r="O293" i="2" s="1"/>
  <c r="O294" i="2" s="1"/>
  <c r="O295" i="2" s="1"/>
  <c r="R291" i="2"/>
  <c r="X291" i="2" s="1"/>
  <c r="O296" i="2"/>
  <c r="O297" i="2" s="1"/>
  <c r="O298" i="2" s="1"/>
  <c r="O299" i="2" s="1"/>
  <c r="O300" i="2" s="1"/>
  <c r="R296" i="2"/>
  <c r="X296" i="2" s="1"/>
  <c r="M300" i="2"/>
  <c r="M301" i="2" s="1"/>
  <c r="M302" i="2" s="1"/>
  <c r="M303" i="2" s="1"/>
  <c r="M304" i="2" s="1"/>
  <c r="N300" i="2"/>
  <c r="N301" i="2" s="1"/>
  <c r="N302" i="2" s="1"/>
  <c r="N303" i="2" s="1"/>
  <c r="N304" i="2" s="1"/>
  <c r="O301" i="2"/>
  <c r="O302" i="2" s="1"/>
  <c r="O303" i="2" s="1"/>
  <c r="O304" i="2" s="1"/>
  <c r="O305" i="2" s="1"/>
  <c r="R301" i="2"/>
  <c r="M305" i="2"/>
  <c r="N305" i="2"/>
  <c r="N306" i="2" s="1"/>
  <c r="N307" i="2" s="1"/>
  <c r="N308" i="2" s="1"/>
  <c r="O306" i="2"/>
  <c r="O307" i="2" s="1"/>
  <c r="O308" i="2" s="1"/>
  <c r="O309" i="2" s="1"/>
  <c r="R306" i="2"/>
  <c r="K308" i="2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L308" i="2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M309" i="2"/>
  <c r="N309" i="2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O310" i="2"/>
  <c r="O311" i="2" s="1"/>
  <c r="O312" i="2" s="1"/>
  <c r="O313" i="2" s="1"/>
  <c r="O314" i="2" s="1"/>
  <c r="O315" i="2" s="1"/>
  <c r="O316" i="2" s="1"/>
  <c r="O317" i="2" s="1"/>
  <c r="O318" i="2" s="1"/>
  <c r="R310" i="2"/>
  <c r="X310" i="2" s="1"/>
  <c r="O319" i="2"/>
  <c r="O320" i="2" s="1"/>
  <c r="R319" i="2"/>
  <c r="X319" i="2" s="1"/>
  <c r="O321" i="2"/>
  <c r="O322" i="2" s="1"/>
  <c r="O323" i="2" s="1"/>
  <c r="O324" i="2" s="1"/>
  <c r="R321" i="2"/>
  <c r="R322" i="2" s="1"/>
  <c r="O325" i="2"/>
  <c r="O326" i="2" s="1"/>
  <c r="O327" i="2" s="1"/>
  <c r="O328" i="2" s="1"/>
  <c r="R325" i="2"/>
  <c r="X325" i="2" s="1"/>
  <c r="O329" i="2"/>
  <c r="O330" i="2" s="1"/>
  <c r="O331" i="2" s="1"/>
  <c r="O332" i="2" s="1"/>
  <c r="R329" i="2"/>
  <c r="X329" i="2" s="1"/>
  <c r="O333" i="2"/>
  <c r="O334" i="2" s="1"/>
  <c r="O335" i="2" s="1"/>
  <c r="O336" i="2" s="1"/>
  <c r="R333" i="2"/>
  <c r="X333" i="2" s="1"/>
  <c r="O337" i="2"/>
  <c r="O338" i="2" s="1"/>
  <c r="O339" i="2" s="1"/>
  <c r="O340" i="2" s="1"/>
  <c r="R337" i="2"/>
  <c r="O341" i="2"/>
  <c r="O342" i="2" s="1"/>
  <c r="O343" i="2" s="1"/>
  <c r="O344" i="2" s="1"/>
  <c r="R341" i="2"/>
  <c r="R342" i="2" s="1"/>
  <c r="X342" i="2" s="1"/>
  <c r="O345" i="2"/>
  <c r="O346" i="2" s="1"/>
  <c r="O347" i="2" s="1"/>
  <c r="O348" i="2" s="1"/>
  <c r="R345" i="2"/>
  <c r="X345" i="2" s="1"/>
  <c r="O349" i="2"/>
  <c r="O350" i="2" s="1"/>
  <c r="O351" i="2" s="1"/>
  <c r="O352" i="2" s="1"/>
  <c r="R349" i="2"/>
  <c r="X349" i="2" s="1"/>
  <c r="O353" i="2"/>
  <c r="O354" i="2" s="1"/>
  <c r="O355" i="2" s="1"/>
  <c r="O356" i="2" s="1"/>
  <c r="R353" i="2"/>
  <c r="R354" i="2" s="1"/>
  <c r="Z354" i="2" s="1"/>
  <c r="O357" i="2"/>
  <c r="O358" i="2" s="1"/>
  <c r="O359" i="2" s="1"/>
  <c r="O360" i="2" s="1"/>
  <c r="O361" i="2" s="1"/>
  <c r="R357" i="2"/>
  <c r="X357" i="2" s="1"/>
  <c r="M361" i="2"/>
  <c r="N361" i="2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O362" i="2"/>
  <c r="O363" i="2" s="1"/>
  <c r="O364" i="2" s="1"/>
  <c r="O365" i="2" s="1"/>
  <c r="O366" i="2" s="1"/>
  <c r="R362" i="2"/>
  <c r="X362" i="2" s="1"/>
  <c r="O367" i="2"/>
  <c r="O368" i="2" s="1"/>
  <c r="O369" i="2" s="1"/>
  <c r="O370" i="2" s="1"/>
  <c r="O371" i="2" s="1"/>
  <c r="R367" i="2"/>
  <c r="X367" i="2" s="1"/>
  <c r="O372" i="2"/>
  <c r="O373" i="2" s="1"/>
  <c r="O374" i="2" s="1"/>
  <c r="O375" i="2" s="1"/>
  <c r="O376" i="2" s="1"/>
  <c r="R372" i="2"/>
  <c r="X372" i="2" s="1"/>
  <c r="O377" i="2"/>
  <c r="O378" i="2" s="1"/>
  <c r="O379" i="2" s="1"/>
  <c r="R377" i="2"/>
  <c r="O380" i="2"/>
  <c r="O381" i="2" s="1"/>
  <c r="O382" i="2" s="1"/>
  <c r="R380" i="2"/>
  <c r="X380" i="2" s="1"/>
  <c r="O383" i="2"/>
  <c r="O384" i="2" s="1"/>
  <c r="O385" i="2" s="1"/>
  <c r="R383" i="2"/>
  <c r="O386" i="2"/>
  <c r="O387" i="2" s="1"/>
  <c r="O388" i="2" s="1"/>
  <c r="O389" i="2" s="1"/>
  <c r="R386" i="2"/>
  <c r="X386" i="2" s="1"/>
  <c r="O390" i="2"/>
  <c r="O391" i="2" s="1"/>
  <c r="O392" i="2" s="1"/>
  <c r="O393" i="2" s="1"/>
  <c r="O394" i="2" s="1"/>
  <c r="R390" i="2"/>
  <c r="X390" i="2" s="1"/>
  <c r="O395" i="2"/>
  <c r="O396" i="2" s="1"/>
  <c r="O397" i="2" s="1"/>
  <c r="O398" i="2" s="1"/>
  <c r="O399" i="2" s="1"/>
  <c r="R395" i="2"/>
  <c r="X395" i="2" s="1"/>
  <c r="M399" i="2"/>
  <c r="M400" i="2" s="1"/>
  <c r="M401" i="2" s="1"/>
  <c r="M402" i="2" s="1"/>
  <c r="M403" i="2" s="1"/>
  <c r="N399" i="2"/>
  <c r="N400" i="2" s="1"/>
  <c r="N401" i="2" s="1"/>
  <c r="N402" i="2" s="1"/>
  <c r="N403" i="2" s="1"/>
  <c r="O400" i="2"/>
  <c r="O401" i="2" s="1"/>
  <c r="O402" i="2" s="1"/>
  <c r="O403" i="2" s="1"/>
  <c r="O404" i="2" s="1"/>
  <c r="R400" i="2"/>
  <c r="M404" i="2"/>
  <c r="M405" i="2" s="1"/>
  <c r="M406" i="2" s="1"/>
  <c r="M407" i="2" s="1"/>
  <c r="N404" i="2"/>
  <c r="N405" i="2" s="1"/>
  <c r="N406" i="2" s="1"/>
  <c r="N407" i="2" s="1"/>
  <c r="O405" i="2"/>
  <c r="O406" i="2" s="1"/>
  <c r="O407" i="2" s="1"/>
  <c r="O408" i="2" s="1"/>
  <c r="R405" i="2"/>
  <c r="X405" i="2" s="1"/>
  <c r="K407" i="2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L407" i="2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M408" i="2"/>
  <c r="M409" i="2" s="1"/>
  <c r="M410" i="2" s="1"/>
  <c r="M411" i="2" s="1"/>
  <c r="M412" i="2" s="1"/>
  <c r="M413" i="2" s="1"/>
  <c r="M414" i="2" s="1"/>
  <c r="M415" i="2" s="1"/>
  <c r="M416" i="2" s="1"/>
  <c r="M417" i="2" s="1"/>
  <c r="M418" i="2" s="1"/>
  <c r="M419" i="2" s="1"/>
  <c r="M420" i="2" s="1"/>
  <c r="M421" i="2" s="1"/>
  <c r="M422" i="2" s="1"/>
  <c r="M423" i="2" s="1"/>
  <c r="M424" i="2" s="1"/>
  <c r="M425" i="2" s="1"/>
  <c r="M426" i="2" s="1"/>
  <c r="M427" i="2" s="1"/>
  <c r="M428" i="2" s="1"/>
  <c r="M429" i="2" s="1"/>
  <c r="M430" i="2" s="1"/>
  <c r="M431" i="2" s="1"/>
  <c r="M432" i="2" s="1"/>
  <c r="M433" i="2" s="1"/>
  <c r="M434" i="2" s="1"/>
  <c r="M435" i="2" s="1"/>
  <c r="M436" i="2" s="1"/>
  <c r="M437" i="2" s="1"/>
  <c r="M438" i="2" s="1"/>
  <c r="M439" i="2" s="1"/>
  <c r="M440" i="2" s="1"/>
  <c r="M441" i="2" s="1"/>
  <c r="M442" i="2" s="1"/>
  <c r="M443" i="2" s="1"/>
  <c r="M444" i="2" s="1"/>
  <c r="M445" i="2" s="1"/>
  <c r="M446" i="2" s="1"/>
  <c r="M447" i="2" s="1"/>
  <c r="M448" i="2" s="1"/>
  <c r="M449" i="2" s="1"/>
  <c r="M450" i="2" s="1"/>
  <c r="M451" i="2" s="1"/>
  <c r="N408" i="2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O409" i="2"/>
  <c r="O410" i="2" s="1"/>
  <c r="O411" i="2" s="1"/>
  <c r="O412" i="2" s="1"/>
  <c r="O413" i="2" s="1"/>
  <c r="O414" i="2" s="1"/>
  <c r="O415" i="2" s="1"/>
  <c r="O416" i="2" s="1"/>
  <c r="O417" i="2" s="1"/>
  <c r="R409" i="2"/>
  <c r="X409" i="2" s="1"/>
  <c r="O418" i="2"/>
  <c r="O419" i="2" s="1"/>
  <c r="R418" i="2"/>
  <c r="X418" i="2" s="1"/>
  <c r="O420" i="2"/>
  <c r="O421" i="2" s="1"/>
  <c r="O422" i="2" s="1"/>
  <c r="O423" i="2" s="1"/>
  <c r="R420" i="2"/>
  <c r="R421" i="2" s="1"/>
  <c r="U421" i="2" s="1"/>
  <c r="O424" i="2"/>
  <c r="O425" i="2" s="1"/>
  <c r="O426" i="2" s="1"/>
  <c r="O427" i="2" s="1"/>
  <c r="R424" i="2"/>
  <c r="X424" i="2" s="1"/>
  <c r="O428" i="2"/>
  <c r="O429" i="2" s="1"/>
  <c r="O430" i="2" s="1"/>
  <c r="O431" i="2" s="1"/>
  <c r="R428" i="2"/>
  <c r="X428" i="2" s="1"/>
  <c r="O432" i="2"/>
  <c r="O433" i="2" s="1"/>
  <c r="O434" i="2" s="1"/>
  <c r="O435" i="2" s="1"/>
  <c r="R432" i="2"/>
  <c r="X432" i="2" s="1"/>
  <c r="O436" i="2"/>
  <c r="O437" i="2" s="1"/>
  <c r="O438" i="2" s="1"/>
  <c r="O439" i="2" s="1"/>
  <c r="R436" i="2"/>
  <c r="X436" i="2" s="1"/>
  <c r="O440" i="2"/>
  <c r="O441" i="2" s="1"/>
  <c r="O442" i="2" s="1"/>
  <c r="O443" i="2" s="1"/>
  <c r="R440" i="2"/>
  <c r="X440" i="2" s="1"/>
  <c r="O444" i="2"/>
  <c r="O445" i="2" s="1"/>
  <c r="O446" i="2" s="1"/>
  <c r="O447" i="2" s="1"/>
  <c r="R444" i="2"/>
  <c r="X444" i="2" s="1"/>
  <c r="O448" i="2"/>
  <c r="O449" i="2" s="1"/>
  <c r="O450" i="2" s="1"/>
  <c r="O451" i="2" s="1"/>
  <c r="O452" i="2" s="1"/>
  <c r="R448" i="2"/>
  <c r="X448" i="2" s="1"/>
  <c r="M452" i="2"/>
  <c r="M453" i="2" s="1"/>
  <c r="M454" i="2" s="1"/>
  <c r="M455" i="2" s="1"/>
  <c r="M456" i="2" s="1"/>
  <c r="M457" i="2" s="1"/>
  <c r="M458" i="2" s="1"/>
  <c r="M459" i="2" s="1"/>
  <c r="M460" i="2" s="1"/>
  <c r="M461" i="2" s="1"/>
  <c r="M462" i="2" s="1"/>
  <c r="M463" i="2" s="1"/>
  <c r="M464" i="2" s="1"/>
  <c r="M465" i="2" s="1"/>
  <c r="M466" i="2" s="1"/>
  <c r="M467" i="2" s="1"/>
  <c r="M468" i="2" s="1"/>
  <c r="M469" i="2" s="1"/>
  <c r="M470" i="2" s="1"/>
  <c r="M471" i="2" s="1"/>
  <c r="M472" i="2" s="1"/>
  <c r="M473" i="2" s="1"/>
  <c r="M474" i="2" s="1"/>
  <c r="M475" i="2" s="1"/>
  <c r="M476" i="2" s="1"/>
  <c r="M477" i="2" s="1"/>
  <c r="M478" i="2" s="1"/>
  <c r="M479" i="2" s="1"/>
  <c r="M480" i="2" s="1"/>
  <c r="M481" i="2" s="1"/>
  <c r="M482" i="2" s="1"/>
  <c r="M483" i="2" s="1"/>
  <c r="M484" i="2" s="1"/>
  <c r="M485" i="2" s="1"/>
  <c r="M486" i="2" s="1"/>
  <c r="M487" i="2" s="1"/>
  <c r="M488" i="2" s="1"/>
  <c r="M489" i="2" s="1"/>
  <c r="N452" i="2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O453" i="2"/>
  <c r="O454" i="2" s="1"/>
  <c r="O455" i="2" s="1"/>
  <c r="O456" i="2" s="1"/>
  <c r="O457" i="2" s="1"/>
  <c r="R453" i="2"/>
  <c r="X453" i="2" s="1"/>
  <c r="O458" i="2"/>
  <c r="O459" i="2" s="1"/>
  <c r="O460" i="2" s="1"/>
  <c r="O461" i="2" s="1"/>
  <c r="O462" i="2" s="1"/>
  <c r="R458" i="2"/>
  <c r="X458" i="2" s="1"/>
  <c r="O463" i="2"/>
  <c r="O464" i="2" s="1"/>
  <c r="O465" i="2" s="1"/>
  <c r="O466" i="2" s="1"/>
  <c r="O467" i="2" s="1"/>
  <c r="R463" i="2"/>
  <c r="X463" i="2" s="1"/>
  <c r="O468" i="2"/>
  <c r="O469" i="2" s="1"/>
  <c r="O470" i="2" s="1"/>
  <c r="R468" i="2"/>
  <c r="X468" i="2" s="1"/>
  <c r="O471" i="2"/>
  <c r="O472" i="2" s="1"/>
  <c r="O473" i="2" s="1"/>
  <c r="R471" i="2"/>
  <c r="X471" i="2" s="1"/>
  <c r="O474" i="2"/>
  <c r="O475" i="2" s="1"/>
  <c r="O476" i="2" s="1"/>
  <c r="R474" i="2"/>
  <c r="X474" i="2" s="1"/>
  <c r="O477" i="2"/>
  <c r="O478" i="2" s="1"/>
  <c r="O479" i="2" s="1"/>
  <c r="O480" i="2" s="1"/>
  <c r="R477" i="2"/>
  <c r="X477" i="2" s="1"/>
  <c r="O481" i="2"/>
  <c r="O482" i="2" s="1"/>
  <c r="O483" i="2" s="1"/>
  <c r="O484" i="2" s="1"/>
  <c r="O485" i="2" s="1"/>
  <c r="R481" i="2"/>
  <c r="X481" i="2" s="1"/>
  <c r="O486" i="2"/>
  <c r="O487" i="2" s="1"/>
  <c r="O488" i="2" s="1"/>
  <c r="O489" i="2" s="1"/>
  <c r="O490" i="2" s="1"/>
  <c r="R486" i="2"/>
  <c r="X486" i="2" s="1"/>
  <c r="M490" i="2"/>
  <c r="M491" i="2" s="1"/>
  <c r="M492" i="2" s="1"/>
  <c r="M493" i="2" s="1"/>
  <c r="M494" i="2" s="1"/>
  <c r="N490" i="2"/>
  <c r="N491" i="2" s="1"/>
  <c r="N492" i="2" s="1"/>
  <c r="N493" i="2" s="1"/>
  <c r="N494" i="2" s="1"/>
  <c r="O491" i="2"/>
  <c r="O492" i="2" s="1"/>
  <c r="O493" i="2" s="1"/>
  <c r="O494" i="2" s="1"/>
  <c r="O495" i="2" s="1"/>
  <c r="R491" i="2"/>
  <c r="M495" i="2"/>
  <c r="M496" i="2" s="1"/>
  <c r="M497" i="2" s="1"/>
  <c r="M498" i="2" s="1"/>
  <c r="N495" i="2"/>
  <c r="N496" i="2" s="1"/>
  <c r="N497" i="2" s="1"/>
  <c r="N498" i="2" s="1"/>
  <c r="O496" i="2"/>
  <c r="O497" i="2" s="1"/>
  <c r="O498" i="2" s="1"/>
  <c r="O499" i="2" s="1"/>
  <c r="R496" i="2"/>
  <c r="X496" i="2" s="1"/>
  <c r="K498" i="2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L498" i="2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M499" i="2"/>
  <c r="M500" i="2" s="1"/>
  <c r="M501" i="2" s="1"/>
  <c r="M502" i="2" s="1"/>
  <c r="M503" i="2" s="1"/>
  <c r="M504" i="2" s="1"/>
  <c r="M505" i="2" s="1"/>
  <c r="M506" i="2" s="1"/>
  <c r="M507" i="2" s="1"/>
  <c r="M508" i="2" s="1"/>
  <c r="M509" i="2" s="1"/>
  <c r="M510" i="2" s="1"/>
  <c r="M511" i="2" s="1"/>
  <c r="M512" i="2" s="1"/>
  <c r="M513" i="2" s="1"/>
  <c r="M514" i="2" s="1"/>
  <c r="M515" i="2" s="1"/>
  <c r="M516" i="2" s="1"/>
  <c r="M517" i="2" s="1"/>
  <c r="M518" i="2" s="1"/>
  <c r="M519" i="2" s="1"/>
  <c r="M520" i="2" s="1"/>
  <c r="M521" i="2" s="1"/>
  <c r="M522" i="2" s="1"/>
  <c r="M523" i="2" s="1"/>
  <c r="M524" i="2" s="1"/>
  <c r="M525" i="2" s="1"/>
  <c r="M526" i="2" s="1"/>
  <c r="M527" i="2" s="1"/>
  <c r="M528" i="2" s="1"/>
  <c r="M529" i="2" s="1"/>
  <c r="M530" i="2" s="1"/>
  <c r="M531" i="2" s="1"/>
  <c r="M532" i="2" s="1"/>
  <c r="M533" i="2" s="1"/>
  <c r="M534" i="2" s="1"/>
  <c r="M535" i="2" s="1"/>
  <c r="M536" i="2" s="1"/>
  <c r="M537" i="2" s="1"/>
  <c r="M538" i="2" s="1"/>
  <c r="M539" i="2" s="1"/>
  <c r="M540" i="2" s="1"/>
  <c r="M541" i="2" s="1"/>
  <c r="M542" i="2" s="1"/>
  <c r="N499" i="2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O500" i="2"/>
  <c r="O501" i="2" s="1"/>
  <c r="O502" i="2" s="1"/>
  <c r="O503" i="2" s="1"/>
  <c r="O504" i="2" s="1"/>
  <c r="O505" i="2" s="1"/>
  <c r="O506" i="2" s="1"/>
  <c r="O507" i="2" s="1"/>
  <c r="O508" i="2" s="1"/>
  <c r="R500" i="2"/>
  <c r="X500" i="2" s="1"/>
  <c r="O509" i="2"/>
  <c r="O510" i="2" s="1"/>
  <c r="R509" i="2"/>
  <c r="X509" i="2" s="1"/>
  <c r="O511" i="2"/>
  <c r="O512" i="2" s="1"/>
  <c r="O513" i="2" s="1"/>
  <c r="O514" i="2" s="1"/>
  <c r="R511" i="2"/>
  <c r="X511" i="2" s="1"/>
  <c r="O515" i="2"/>
  <c r="O516" i="2" s="1"/>
  <c r="O517" i="2" s="1"/>
  <c r="O518" i="2" s="1"/>
  <c r="R515" i="2"/>
  <c r="X515" i="2" s="1"/>
  <c r="O519" i="2"/>
  <c r="O520" i="2" s="1"/>
  <c r="O521" i="2" s="1"/>
  <c r="O522" i="2" s="1"/>
  <c r="R519" i="2"/>
  <c r="X519" i="2" s="1"/>
  <c r="O523" i="2"/>
  <c r="O524" i="2" s="1"/>
  <c r="O525" i="2" s="1"/>
  <c r="O526" i="2" s="1"/>
  <c r="R523" i="2"/>
  <c r="O527" i="2"/>
  <c r="O528" i="2" s="1"/>
  <c r="O529" i="2" s="1"/>
  <c r="O530" i="2" s="1"/>
  <c r="R527" i="2"/>
  <c r="X527" i="2" s="1"/>
  <c r="O531" i="2"/>
  <c r="O532" i="2" s="1"/>
  <c r="O533" i="2" s="1"/>
  <c r="O534" i="2" s="1"/>
  <c r="R531" i="2"/>
  <c r="X531" i="2" s="1"/>
  <c r="O535" i="2"/>
  <c r="O536" i="2" s="1"/>
  <c r="O537" i="2" s="1"/>
  <c r="O538" i="2" s="1"/>
  <c r="R535" i="2"/>
  <c r="X535" i="2" s="1"/>
  <c r="O539" i="2"/>
  <c r="O540" i="2" s="1"/>
  <c r="O541" i="2" s="1"/>
  <c r="O542" i="2" s="1"/>
  <c r="O543" i="2" s="1"/>
  <c r="R539" i="2"/>
  <c r="M543" i="2"/>
  <c r="M544" i="2" s="1"/>
  <c r="M545" i="2" s="1"/>
  <c r="M546" i="2" s="1"/>
  <c r="M547" i="2" s="1"/>
  <c r="M548" i="2" s="1"/>
  <c r="M549" i="2" s="1"/>
  <c r="M550" i="2" s="1"/>
  <c r="M551" i="2" s="1"/>
  <c r="M552" i="2" s="1"/>
  <c r="M553" i="2" s="1"/>
  <c r="M554" i="2" s="1"/>
  <c r="M555" i="2" s="1"/>
  <c r="M556" i="2" s="1"/>
  <c r="M557" i="2" s="1"/>
  <c r="M558" i="2" s="1"/>
  <c r="M559" i="2" s="1"/>
  <c r="M560" i="2" s="1"/>
  <c r="M561" i="2" s="1"/>
  <c r="M562" i="2" s="1"/>
  <c r="M563" i="2" s="1"/>
  <c r="M564" i="2" s="1"/>
  <c r="M565" i="2" s="1"/>
  <c r="M566" i="2" s="1"/>
  <c r="M567" i="2" s="1"/>
  <c r="M568" i="2" s="1"/>
  <c r="M569" i="2" s="1"/>
  <c r="M570" i="2" s="1"/>
  <c r="M571" i="2" s="1"/>
  <c r="M572" i="2" s="1"/>
  <c r="M573" i="2" s="1"/>
  <c r="M574" i="2" s="1"/>
  <c r="M575" i="2" s="1"/>
  <c r="M576" i="2" s="1"/>
  <c r="M577" i="2" s="1"/>
  <c r="M578" i="2" s="1"/>
  <c r="M579" i="2" s="1"/>
  <c r="M580" i="2" s="1"/>
  <c r="N543" i="2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O544" i="2"/>
  <c r="O545" i="2" s="1"/>
  <c r="O546" i="2" s="1"/>
  <c r="O547" i="2" s="1"/>
  <c r="O548" i="2" s="1"/>
  <c r="R544" i="2"/>
  <c r="X544" i="2" s="1"/>
  <c r="O549" i="2"/>
  <c r="O550" i="2" s="1"/>
  <c r="O551" i="2" s="1"/>
  <c r="O552" i="2" s="1"/>
  <c r="O553" i="2" s="1"/>
  <c r="R549" i="2"/>
  <c r="X549" i="2" s="1"/>
  <c r="O554" i="2"/>
  <c r="O555" i="2" s="1"/>
  <c r="O556" i="2" s="1"/>
  <c r="O557" i="2" s="1"/>
  <c r="O558" i="2" s="1"/>
  <c r="R554" i="2"/>
  <c r="O559" i="2"/>
  <c r="O560" i="2" s="1"/>
  <c r="O561" i="2" s="1"/>
  <c r="R559" i="2"/>
  <c r="X559" i="2" s="1"/>
  <c r="O562" i="2"/>
  <c r="O563" i="2" s="1"/>
  <c r="O564" i="2" s="1"/>
  <c r="R562" i="2"/>
  <c r="X562" i="2" s="1"/>
  <c r="O565" i="2"/>
  <c r="O566" i="2" s="1"/>
  <c r="O567" i="2" s="1"/>
  <c r="R565" i="2"/>
  <c r="X565" i="2" s="1"/>
  <c r="O568" i="2"/>
  <c r="O569" i="2" s="1"/>
  <c r="O570" i="2" s="1"/>
  <c r="O571" i="2" s="1"/>
  <c r="R568" i="2"/>
  <c r="X568" i="2" s="1"/>
  <c r="O572" i="2"/>
  <c r="O573" i="2" s="1"/>
  <c r="O574" i="2" s="1"/>
  <c r="O575" i="2" s="1"/>
  <c r="O576" i="2" s="1"/>
  <c r="R572" i="2"/>
  <c r="X572" i="2" s="1"/>
  <c r="O577" i="2"/>
  <c r="O578" i="2" s="1"/>
  <c r="O579" i="2" s="1"/>
  <c r="O580" i="2" s="1"/>
  <c r="O581" i="2" s="1"/>
  <c r="R577" i="2"/>
  <c r="X577" i="2" s="1"/>
  <c r="M581" i="2"/>
  <c r="M582" i="2" s="1"/>
  <c r="M583" i="2" s="1"/>
  <c r="M584" i="2" s="1"/>
  <c r="M585" i="2" s="1"/>
  <c r="N581" i="2"/>
  <c r="N582" i="2" s="1"/>
  <c r="N583" i="2" s="1"/>
  <c r="N584" i="2" s="1"/>
  <c r="N585" i="2" s="1"/>
  <c r="O582" i="2"/>
  <c r="O583" i="2" s="1"/>
  <c r="O584" i="2" s="1"/>
  <c r="O585" i="2" s="1"/>
  <c r="O586" i="2" s="1"/>
  <c r="R582" i="2"/>
  <c r="X582" i="2" s="1"/>
  <c r="M586" i="2"/>
  <c r="M587" i="2" s="1"/>
  <c r="M588" i="2" s="1"/>
  <c r="M589" i="2" s="1"/>
  <c r="N586" i="2"/>
  <c r="N587" i="2" s="1"/>
  <c r="N588" i="2" s="1"/>
  <c r="N589" i="2" s="1"/>
  <c r="O587" i="2"/>
  <c r="O588" i="2" s="1"/>
  <c r="O589" i="2" s="1"/>
  <c r="O590" i="2" s="1"/>
  <c r="R587" i="2"/>
  <c r="X587" i="2" s="1"/>
  <c r="K589" i="2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L589" i="2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M590" i="2"/>
  <c r="N590" i="2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O591" i="2"/>
  <c r="O592" i="2" s="1"/>
  <c r="O593" i="2" s="1"/>
  <c r="O594" i="2" s="1"/>
  <c r="R591" i="2"/>
  <c r="X591" i="2" s="1"/>
  <c r="O595" i="2"/>
  <c r="O596" i="2" s="1"/>
  <c r="O597" i="2" s="1"/>
  <c r="O598" i="2" s="1"/>
  <c r="R595" i="2"/>
  <c r="X595" i="2" s="1"/>
  <c r="O599" i="2"/>
  <c r="O600" i="2" s="1"/>
  <c r="O601" i="2" s="1"/>
  <c r="O602" i="2" s="1"/>
  <c r="R599" i="2"/>
  <c r="X599" i="2" s="1"/>
  <c r="O603" i="2"/>
  <c r="O604" i="2" s="1"/>
  <c r="O605" i="2" s="1"/>
  <c r="O606" i="2" s="1"/>
  <c r="R603" i="2"/>
  <c r="X603" i="2" s="1"/>
  <c r="O607" i="2"/>
  <c r="O608" i="2" s="1"/>
  <c r="O609" i="2" s="1"/>
  <c r="O610" i="2" s="1"/>
  <c r="R607" i="2"/>
  <c r="X607" i="2" s="1"/>
  <c r="O611" i="2"/>
  <c r="O612" i="2" s="1"/>
  <c r="O613" i="2" s="1"/>
  <c r="O614" i="2" s="1"/>
  <c r="R611" i="2"/>
  <c r="X611" i="2" s="1"/>
  <c r="O615" i="2"/>
  <c r="O616" i="2" s="1"/>
  <c r="O617" i="2" s="1"/>
  <c r="O618" i="2" s="1"/>
  <c r="O619" i="2" s="1"/>
  <c r="R615" i="2"/>
  <c r="X615" i="2" s="1"/>
  <c r="M619" i="2"/>
  <c r="M620" i="2" s="1"/>
  <c r="M621" i="2" s="1"/>
  <c r="M622" i="2" s="1"/>
  <c r="M623" i="2" s="1"/>
  <c r="M624" i="2" s="1"/>
  <c r="M625" i="2" s="1"/>
  <c r="M626" i="2" s="1"/>
  <c r="M627" i="2" s="1"/>
  <c r="M628" i="2" s="1"/>
  <c r="M629" i="2" s="1"/>
  <c r="M630" i="2" s="1"/>
  <c r="M631" i="2" s="1"/>
  <c r="M632" i="2" s="1"/>
  <c r="M633" i="2" s="1"/>
  <c r="M634" i="2" s="1"/>
  <c r="M635" i="2" s="1"/>
  <c r="M636" i="2" s="1"/>
  <c r="M637" i="2" s="1"/>
  <c r="M638" i="2" s="1"/>
  <c r="M639" i="2" s="1"/>
  <c r="M640" i="2" s="1"/>
  <c r="M641" i="2" s="1"/>
  <c r="M642" i="2" s="1"/>
  <c r="M643" i="2" s="1"/>
  <c r="M644" i="2" s="1"/>
  <c r="M645" i="2" s="1"/>
  <c r="M646" i="2" s="1"/>
  <c r="M647" i="2" s="1"/>
  <c r="M648" i="2" s="1"/>
  <c r="M649" i="2" s="1"/>
  <c r="M650" i="2" s="1"/>
  <c r="M651" i="2" s="1"/>
  <c r="M652" i="2" s="1"/>
  <c r="M653" i="2" s="1"/>
  <c r="N619" i="2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O620" i="2"/>
  <c r="O621" i="2" s="1"/>
  <c r="O622" i="2" s="1"/>
  <c r="O623" i="2" s="1"/>
  <c r="O624" i="2" s="1"/>
  <c r="R620" i="2"/>
  <c r="X620" i="2" s="1"/>
  <c r="O625" i="2"/>
  <c r="O626" i="2" s="1"/>
  <c r="O627" i="2" s="1"/>
  <c r="O628" i="2" s="1"/>
  <c r="O629" i="2" s="1"/>
  <c r="R625" i="2"/>
  <c r="X625" i="2" s="1"/>
  <c r="O630" i="2"/>
  <c r="O631" i="2" s="1"/>
  <c r="O632" i="2" s="1"/>
  <c r="O633" i="2" s="1"/>
  <c r="O634" i="2" s="1"/>
  <c r="R630" i="2"/>
  <c r="O635" i="2"/>
  <c r="O636" i="2" s="1"/>
  <c r="O637" i="2" s="1"/>
  <c r="R635" i="2"/>
  <c r="X635" i="2" s="1"/>
  <c r="O638" i="2"/>
  <c r="O639" i="2" s="1"/>
  <c r="O640" i="2" s="1"/>
  <c r="R638" i="2"/>
  <c r="X638" i="2" s="1"/>
  <c r="O641" i="2"/>
  <c r="O642" i="2" s="1"/>
  <c r="O643" i="2" s="1"/>
  <c r="O644" i="2" s="1"/>
  <c r="R641" i="2"/>
  <c r="X641" i="2" s="1"/>
  <c r="O645" i="2"/>
  <c r="O646" i="2" s="1"/>
  <c r="O647" i="2" s="1"/>
  <c r="O648" i="2" s="1"/>
  <c r="O649" i="2" s="1"/>
  <c r="R645" i="2"/>
  <c r="O650" i="2"/>
  <c r="O651" i="2" s="1"/>
  <c r="O652" i="2" s="1"/>
  <c r="O653" i="2" s="1"/>
  <c r="O654" i="2" s="1"/>
  <c r="R650" i="2"/>
  <c r="X650" i="2" s="1"/>
  <c r="M654" i="2"/>
  <c r="M655" i="2" s="1"/>
  <c r="M656" i="2" s="1"/>
  <c r="M657" i="2" s="1"/>
  <c r="M658" i="2" s="1"/>
  <c r="N654" i="2"/>
  <c r="N655" i="2" s="1"/>
  <c r="N656" i="2" s="1"/>
  <c r="N657" i="2" s="1"/>
  <c r="N658" i="2" s="1"/>
  <c r="O655" i="2"/>
  <c r="O656" i="2" s="1"/>
  <c r="O657" i="2" s="1"/>
  <c r="O658" i="2" s="1"/>
  <c r="O659" i="2" s="1"/>
  <c r="R655" i="2"/>
  <c r="X655" i="2" s="1"/>
  <c r="M659" i="2"/>
  <c r="M660" i="2" s="1"/>
  <c r="M661" i="2" s="1"/>
  <c r="M662" i="2" s="1"/>
  <c r="M663" i="2" s="1"/>
  <c r="N659" i="2"/>
  <c r="N660" i="2" s="1"/>
  <c r="N661" i="2" s="1"/>
  <c r="N662" i="2" s="1"/>
  <c r="N663" i="2" s="1"/>
  <c r="O660" i="2"/>
  <c r="O661" i="2" s="1"/>
  <c r="O662" i="2" s="1"/>
  <c r="O663" i="2" s="1"/>
  <c r="O664" i="2" s="1"/>
  <c r="R660" i="2"/>
  <c r="I662" i="2"/>
  <c r="J662" i="2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K663" i="2"/>
  <c r="K664" i="2" s="1"/>
  <c r="L663" i="2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M664" i="2"/>
  <c r="M665" i="2" s="1"/>
  <c r="M666" i="2" s="1"/>
  <c r="M667" i="2" s="1"/>
  <c r="M668" i="2" s="1"/>
  <c r="M669" i="2" s="1"/>
  <c r="M670" i="2" s="1"/>
  <c r="M671" i="2" s="1"/>
  <c r="M672" i="2" s="1"/>
  <c r="M673" i="2" s="1"/>
  <c r="N664" i="2"/>
  <c r="N665" i="2" s="1"/>
  <c r="N666" i="2" s="1"/>
  <c r="N667" i="2" s="1"/>
  <c r="N668" i="2" s="1"/>
  <c r="N669" i="2" s="1"/>
  <c r="N670" i="2" s="1"/>
  <c r="N671" i="2" s="1"/>
  <c r="N672" i="2" s="1"/>
  <c r="N673" i="2" s="1"/>
  <c r="O665" i="2"/>
  <c r="O666" i="2" s="1"/>
  <c r="O667" i="2" s="1"/>
  <c r="R665" i="2"/>
  <c r="X665" i="2" s="1"/>
  <c r="O668" i="2"/>
  <c r="O669" i="2" s="1"/>
  <c r="O670" i="2" s="1"/>
  <c r="R668" i="2"/>
  <c r="X668" i="2" s="1"/>
  <c r="O671" i="2"/>
  <c r="O672" i="2" s="1"/>
  <c r="O673" i="2" s="1"/>
  <c r="O674" i="2" s="1"/>
  <c r="R671" i="2"/>
  <c r="X671" i="2" s="1"/>
  <c r="M674" i="2"/>
  <c r="N674" i="2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O675" i="2"/>
  <c r="O676" i="2" s="1"/>
  <c r="O677" i="2" s="1"/>
  <c r="O678" i="2" s="1"/>
  <c r="O679" i="2" s="1"/>
  <c r="O680" i="2" s="1"/>
  <c r="O681" i="2" s="1"/>
  <c r="O682" i="2" s="1"/>
  <c r="R675" i="2"/>
  <c r="R676" i="2" s="1"/>
  <c r="O683" i="2"/>
  <c r="O684" i="2" s="1"/>
  <c r="O685" i="2" s="1"/>
  <c r="O686" i="2" s="1"/>
  <c r="R683" i="2"/>
  <c r="O687" i="2"/>
  <c r="O688" i="2" s="1"/>
  <c r="O689" i="2" s="1"/>
  <c r="R687" i="2"/>
  <c r="M689" i="2"/>
  <c r="N689" i="2"/>
  <c r="N690" i="2" s="1"/>
  <c r="N691" i="2" s="1"/>
  <c r="N692" i="2" s="1"/>
  <c r="O690" i="2"/>
  <c r="O691" i="2" s="1"/>
  <c r="O692" i="2" s="1"/>
  <c r="O693" i="2" s="1"/>
  <c r="R690" i="2"/>
  <c r="R691" i="2" s="1"/>
  <c r="K692" i="2"/>
  <c r="L692" i="2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M693" i="2"/>
  <c r="N693" i="2"/>
  <c r="N694" i="2" s="1"/>
  <c r="N695" i="2" s="1"/>
  <c r="N696" i="2" s="1"/>
  <c r="N697" i="2" s="1"/>
  <c r="N698" i="2" s="1"/>
  <c r="N699" i="2" s="1"/>
  <c r="N700" i="2" s="1"/>
  <c r="N701" i="2" s="1"/>
  <c r="N702" i="2" s="1"/>
  <c r="O694" i="2"/>
  <c r="O695" i="2" s="1"/>
  <c r="O696" i="2" s="1"/>
  <c r="R694" i="2"/>
  <c r="X694" i="2" s="1"/>
  <c r="O697" i="2"/>
  <c r="O698" i="2" s="1"/>
  <c r="O699" i="2" s="1"/>
  <c r="R697" i="2"/>
  <c r="X697" i="2" s="1"/>
  <c r="O700" i="2"/>
  <c r="O701" i="2" s="1"/>
  <c r="O702" i="2" s="1"/>
  <c r="O703" i="2" s="1"/>
  <c r="R700" i="2"/>
  <c r="X700" i="2" s="1"/>
  <c r="M703" i="2"/>
  <c r="M704" i="2" s="1"/>
  <c r="M705" i="2" s="1"/>
  <c r="M706" i="2" s="1"/>
  <c r="N703" i="2"/>
  <c r="N704" i="2" s="1"/>
  <c r="N705" i="2" s="1"/>
  <c r="N706" i="2" s="1"/>
  <c r="O704" i="2"/>
  <c r="O705" i="2" s="1"/>
  <c r="O706" i="2" s="1"/>
  <c r="O707" i="2" s="1"/>
  <c r="R704" i="2"/>
  <c r="X704" i="2" s="1"/>
  <c r="M707" i="2"/>
  <c r="M708" i="2" s="1"/>
  <c r="M709" i="2" s="1"/>
  <c r="M710" i="2" s="1"/>
  <c r="M711" i="2" s="1"/>
  <c r="M712" i="2" s="1"/>
  <c r="M713" i="2" s="1"/>
  <c r="M714" i="2" s="1"/>
  <c r="M715" i="2" s="1"/>
  <c r="M716" i="2" s="1"/>
  <c r="M717" i="2" s="1"/>
  <c r="M718" i="2" s="1"/>
  <c r="M719" i="2" s="1"/>
  <c r="M720" i="2" s="1"/>
  <c r="M721" i="2" s="1"/>
  <c r="N707" i="2"/>
  <c r="N708" i="2" s="1"/>
  <c r="N709" i="2" s="1"/>
  <c r="N710" i="2" s="1"/>
  <c r="N711" i="2" s="1"/>
  <c r="N712" i="2" s="1"/>
  <c r="N713" i="2" s="1"/>
  <c r="N714" i="2" s="1"/>
  <c r="N715" i="2" s="1"/>
  <c r="N716" i="2" s="1"/>
  <c r="N717" i="2" s="1"/>
  <c r="N718" i="2" s="1"/>
  <c r="N719" i="2" s="1"/>
  <c r="N720" i="2" s="1"/>
  <c r="N721" i="2" s="1"/>
  <c r="O708" i="2"/>
  <c r="O709" i="2" s="1"/>
  <c r="O710" i="2" s="1"/>
  <c r="O711" i="2" s="1"/>
  <c r="O712" i="2" s="1"/>
  <c r="O713" i="2" s="1"/>
  <c r="O714" i="2" s="1"/>
  <c r="O715" i="2" s="1"/>
  <c r="R708" i="2"/>
  <c r="O716" i="2"/>
  <c r="O717" i="2" s="1"/>
  <c r="O718" i="2" s="1"/>
  <c r="O719" i="2" s="1"/>
  <c r="R716" i="2"/>
  <c r="R717" i="2" s="1"/>
  <c r="Z717" i="2" s="1"/>
  <c r="O720" i="2"/>
  <c r="O721" i="2" s="1"/>
  <c r="O722" i="2" s="1"/>
  <c r="R720" i="2"/>
  <c r="R721" i="2" s="1"/>
  <c r="U721" i="2" s="1"/>
  <c r="M722" i="2"/>
  <c r="M723" i="2" s="1"/>
  <c r="M724" i="2" s="1"/>
  <c r="M725" i="2" s="1"/>
  <c r="N722" i="2"/>
  <c r="N723" i="2" s="1"/>
  <c r="N724" i="2" s="1"/>
  <c r="N725" i="2" s="1"/>
  <c r="O723" i="2"/>
  <c r="O724" i="2" s="1"/>
  <c r="O725" i="2" s="1"/>
  <c r="O726" i="2" s="1"/>
  <c r="R723" i="2"/>
  <c r="K725" i="2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L725" i="2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M726" i="2"/>
  <c r="M727" i="2" s="1"/>
  <c r="M728" i="2" s="1"/>
  <c r="M729" i="2" s="1"/>
  <c r="M730" i="2" s="1"/>
  <c r="M731" i="2" s="1"/>
  <c r="M732" i="2" s="1"/>
  <c r="M733" i="2" s="1"/>
  <c r="M734" i="2" s="1"/>
  <c r="M735" i="2" s="1"/>
  <c r="N726" i="2"/>
  <c r="N727" i="2" s="1"/>
  <c r="N728" i="2" s="1"/>
  <c r="N729" i="2" s="1"/>
  <c r="N730" i="2" s="1"/>
  <c r="N731" i="2" s="1"/>
  <c r="N732" i="2" s="1"/>
  <c r="N733" i="2" s="1"/>
  <c r="N734" i="2" s="1"/>
  <c r="N735" i="2" s="1"/>
  <c r="O727" i="2"/>
  <c r="O728" i="2" s="1"/>
  <c r="O729" i="2" s="1"/>
  <c r="R727" i="2"/>
  <c r="X727" i="2" s="1"/>
  <c r="O730" i="2"/>
  <c r="O731" i="2" s="1"/>
  <c r="O732" i="2" s="1"/>
  <c r="R730" i="2"/>
  <c r="X730" i="2" s="1"/>
  <c r="O733" i="2"/>
  <c r="O734" i="2" s="1"/>
  <c r="O735" i="2" s="1"/>
  <c r="O736" i="2" s="1"/>
  <c r="R733" i="2"/>
  <c r="X733" i="2" s="1"/>
  <c r="M736" i="2"/>
  <c r="M737" i="2" s="1"/>
  <c r="M738" i="2" s="1"/>
  <c r="M739" i="2" s="1"/>
  <c r="M740" i="2" s="1"/>
  <c r="M741" i="2" s="1"/>
  <c r="M742" i="2" s="1"/>
  <c r="M743" i="2" s="1"/>
  <c r="M744" i="2" s="1"/>
  <c r="M745" i="2" s="1"/>
  <c r="M746" i="2" s="1"/>
  <c r="M747" i="2" s="1"/>
  <c r="M748" i="2" s="1"/>
  <c r="M749" i="2" s="1"/>
  <c r="M750" i="2" s="1"/>
  <c r="N736" i="2"/>
  <c r="N737" i="2" s="1"/>
  <c r="N738" i="2" s="1"/>
  <c r="N739" i="2" s="1"/>
  <c r="N740" i="2" s="1"/>
  <c r="N741" i="2" s="1"/>
  <c r="N742" i="2" s="1"/>
  <c r="N743" i="2" s="1"/>
  <c r="N744" i="2" s="1"/>
  <c r="N745" i="2" s="1"/>
  <c r="N746" i="2" s="1"/>
  <c r="N747" i="2" s="1"/>
  <c r="N748" i="2" s="1"/>
  <c r="N749" i="2" s="1"/>
  <c r="N750" i="2" s="1"/>
  <c r="O737" i="2"/>
  <c r="O738" i="2" s="1"/>
  <c r="O739" i="2" s="1"/>
  <c r="O740" i="2" s="1"/>
  <c r="O741" i="2" s="1"/>
  <c r="O742" i="2" s="1"/>
  <c r="O743" i="2" s="1"/>
  <c r="O744" i="2" s="1"/>
  <c r="R737" i="2"/>
  <c r="O745" i="2"/>
  <c r="O746" i="2" s="1"/>
  <c r="O747" i="2" s="1"/>
  <c r="O748" i="2" s="1"/>
  <c r="R745" i="2"/>
  <c r="O749" i="2"/>
  <c r="O750" i="2" s="1"/>
  <c r="O751" i="2" s="1"/>
  <c r="R749" i="2"/>
  <c r="M751" i="2"/>
  <c r="N751" i="2"/>
  <c r="N752" i="2" s="1"/>
  <c r="N753" i="2" s="1"/>
  <c r="N754" i="2" s="1"/>
  <c r="O752" i="2"/>
  <c r="O753" i="2" s="1"/>
  <c r="O754" i="2" s="1"/>
  <c r="O755" i="2" s="1"/>
  <c r="R752" i="2"/>
  <c r="X752" i="2" s="1"/>
  <c r="K754" i="2"/>
  <c r="K755" i="2" s="1"/>
  <c r="L754" i="2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M755" i="2"/>
  <c r="M756" i="2" s="1"/>
  <c r="M757" i="2" s="1"/>
  <c r="M758" i="2" s="1"/>
  <c r="M759" i="2" s="1"/>
  <c r="M760" i="2" s="1"/>
  <c r="M761" i="2" s="1"/>
  <c r="M762" i="2" s="1"/>
  <c r="M763" i="2" s="1"/>
  <c r="M764" i="2" s="1"/>
  <c r="N755" i="2"/>
  <c r="N756" i="2" s="1"/>
  <c r="N757" i="2" s="1"/>
  <c r="N758" i="2" s="1"/>
  <c r="N759" i="2" s="1"/>
  <c r="N760" i="2" s="1"/>
  <c r="N761" i="2" s="1"/>
  <c r="N762" i="2" s="1"/>
  <c r="N763" i="2" s="1"/>
  <c r="N764" i="2" s="1"/>
  <c r="O756" i="2"/>
  <c r="O757" i="2" s="1"/>
  <c r="O758" i="2" s="1"/>
  <c r="R756" i="2"/>
  <c r="X756" i="2" s="1"/>
  <c r="O759" i="2"/>
  <c r="O760" i="2" s="1"/>
  <c r="O761" i="2" s="1"/>
  <c r="R759" i="2"/>
  <c r="X759" i="2" s="1"/>
  <c r="O762" i="2"/>
  <c r="O763" i="2" s="1"/>
  <c r="O764" i="2" s="1"/>
  <c r="O765" i="2" s="1"/>
  <c r="R762" i="2"/>
  <c r="X762" i="2" s="1"/>
  <c r="M765" i="2"/>
  <c r="M766" i="2" s="1"/>
  <c r="M767" i="2" s="1"/>
  <c r="M768" i="2" s="1"/>
  <c r="M769" i="2" s="1"/>
  <c r="M770" i="2" s="1"/>
  <c r="M771" i="2" s="1"/>
  <c r="M772" i="2" s="1"/>
  <c r="M773" i="2" s="1"/>
  <c r="M774" i="2" s="1"/>
  <c r="M775" i="2" s="1"/>
  <c r="M776" i="2" s="1"/>
  <c r="M777" i="2" s="1"/>
  <c r="M778" i="2" s="1"/>
  <c r="M779" i="2" s="1"/>
  <c r="N765" i="2"/>
  <c r="N766" i="2" s="1"/>
  <c r="N767" i="2" s="1"/>
  <c r="N768" i="2" s="1"/>
  <c r="N769" i="2" s="1"/>
  <c r="N770" i="2" s="1"/>
  <c r="N771" i="2" s="1"/>
  <c r="N772" i="2" s="1"/>
  <c r="N773" i="2" s="1"/>
  <c r="N774" i="2" s="1"/>
  <c r="N775" i="2" s="1"/>
  <c r="N776" i="2" s="1"/>
  <c r="N777" i="2" s="1"/>
  <c r="N778" i="2" s="1"/>
  <c r="N779" i="2" s="1"/>
  <c r="O766" i="2"/>
  <c r="O767" i="2" s="1"/>
  <c r="O768" i="2" s="1"/>
  <c r="O769" i="2" s="1"/>
  <c r="O770" i="2" s="1"/>
  <c r="O771" i="2" s="1"/>
  <c r="O772" i="2" s="1"/>
  <c r="O773" i="2" s="1"/>
  <c r="R766" i="2"/>
  <c r="X766" i="2" s="1"/>
  <c r="O774" i="2"/>
  <c r="O775" i="2" s="1"/>
  <c r="O776" i="2" s="1"/>
  <c r="O777" i="2" s="1"/>
  <c r="R774" i="2"/>
  <c r="R775" i="2" s="1"/>
  <c r="O778" i="2"/>
  <c r="O779" i="2" s="1"/>
  <c r="O780" i="2" s="1"/>
  <c r="R778" i="2"/>
  <c r="X778" i="2" s="1"/>
  <c r="M780" i="2"/>
  <c r="M781" i="2" s="1"/>
  <c r="M782" i="2" s="1"/>
  <c r="M783" i="2" s="1"/>
  <c r="N780" i="2"/>
  <c r="N781" i="2" s="1"/>
  <c r="N782" i="2" s="1"/>
  <c r="N783" i="2" s="1"/>
  <c r="O781" i="2"/>
  <c r="O782" i="2" s="1"/>
  <c r="O783" i="2" s="1"/>
  <c r="O784" i="2" s="1"/>
  <c r="R781" i="2"/>
  <c r="K783" i="2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L783" i="2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M784" i="2"/>
  <c r="M785" i="2" s="1"/>
  <c r="M786" i="2" s="1"/>
  <c r="M787" i="2" s="1"/>
  <c r="N784" i="2"/>
  <c r="N785" i="2" s="1"/>
  <c r="N786" i="2" s="1"/>
  <c r="N787" i="2" s="1"/>
  <c r="O785" i="2"/>
  <c r="O786" i="2" s="1"/>
  <c r="O787" i="2" s="1"/>
  <c r="O788" i="2" s="1"/>
  <c r="R785" i="2"/>
  <c r="M788" i="2"/>
  <c r="M789" i="2" s="1"/>
  <c r="M790" i="2" s="1"/>
  <c r="M791" i="2" s="1"/>
  <c r="M792" i="2" s="1"/>
  <c r="M793" i="2" s="1"/>
  <c r="M794" i="2" s="1"/>
  <c r="M795" i="2" s="1"/>
  <c r="M796" i="2" s="1"/>
  <c r="M797" i="2" s="1"/>
  <c r="M798" i="2" s="1"/>
  <c r="M799" i="2" s="1"/>
  <c r="M800" i="2" s="1"/>
  <c r="M801" i="2" s="1"/>
  <c r="M802" i="2" s="1"/>
  <c r="N788" i="2"/>
  <c r="N789" i="2" s="1"/>
  <c r="N790" i="2" s="1"/>
  <c r="N791" i="2" s="1"/>
  <c r="N792" i="2" s="1"/>
  <c r="N793" i="2" s="1"/>
  <c r="N794" i="2" s="1"/>
  <c r="N795" i="2" s="1"/>
  <c r="N796" i="2" s="1"/>
  <c r="N797" i="2" s="1"/>
  <c r="N798" i="2" s="1"/>
  <c r="N799" i="2" s="1"/>
  <c r="N800" i="2" s="1"/>
  <c r="N801" i="2" s="1"/>
  <c r="N802" i="2" s="1"/>
  <c r="O789" i="2"/>
  <c r="O790" i="2" s="1"/>
  <c r="O791" i="2" s="1"/>
  <c r="O792" i="2" s="1"/>
  <c r="R789" i="2"/>
  <c r="X789" i="2" s="1"/>
  <c r="O793" i="2"/>
  <c r="O794" i="2" s="1"/>
  <c r="R793" i="2"/>
  <c r="R794" i="2" s="1"/>
  <c r="O795" i="2"/>
  <c r="O796" i="2" s="1"/>
  <c r="O797" i="2" s="1"/>
  <c r="O798" i="2" s="1"/>
  <c r="O799" i="2" s="1"/>
  <c r="O800" i="2" s="1"/>
  <c r="O801" i="2" s="1"/>
  <c r="O802" i="2" s="1"/>
  <c r="O803" i="2" s="1"/>
  <c r="R795" i="2"/>
  <c r="R796" i="2" s="1"/>
  <c r="M803" i="2"/>
  <c r="N803" i="2"/>
  <c r="N804" i="2" s="1"/>
  <c r="N805" i="2" s="1"/>
  <c r="N806" i="2" s="1"/>
  <c r="N807" i="2" s="1"/>
  <c r="O804" i="2"/>
  <c r="O805" i="2" s="1"/>
  <c r="O806" i="2" s="1"/>
  <c r="O807" i="2" s="1"/>
  <c r="O808" i="2" s="1"/>
  <c r="R804" i="2"/>
  <c r="X804" i="2" s="1"/>
  <c r="I806" i="2"/>
  <c r="J806" i="2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K807" i="2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L807" i="2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M808" i="2"/>
  <c r="M809" i="2" s="1"/>
  <c r="M810" i="2" s="1"/>
  <c r="M811" i="2" s="1"/>
  <c r="N808" i="2"/>
  <c r="N809" i="2" s="1"/>
  <c r="N810" i="2" s="1"/>
  <c r="N811" i="2" s="1"/>
  <c r="O809" i="2"/>
  <c r="O810" i="2" s="1"/>
  <c r="O811" i="2" s="1"/>
  <c r="O812" i="2" s="1"/>
  <c r="R809" i="2"/>
  <c r="X809" i="2" s="1"/>
  <c r="M812" i="2"/>
  <c r="M813" i="2" s="1"/>
  <c r="M814" i="2" s="1"/>
  <c r="M815" i="2" s="1"/>
  <c r="M816" i="2" s="1"/>
  <c r="M817" i="2" s="1"/>
  <c r="M818" i="2" s="1"/>
  <c r="N812" i="2"/>
  <c r="N813" i="2" s="1"/>
  <c r="N814" i="2" s="1"/>
  <c r="N815" i="2" s="1"/>
  <c r="N816" i="2" s="1"/>
  <c r="N817" i="2" s="1"/>
  <c r="N818" i="2" s="1"/>
  <c r="O813" i="2"/>
  <c r="O814" i="2" s="1"/>
  <c r="O815" i="2" s="1"/>
  <c r="R813" i="2"/>
  <c r="R814" i="2" s="1"/>
  <c r="O816" i="2"/>
  <c r="O817" i="2" s="1"/>
  <c r="O818" i="2" s="1"/>
  <c r="O819" i="2" s="1"/>
  <c r="R816" i="2"/>
  <c r="M819" i="2"/>
  <c r="M820" i="2" s="1"/>
  <c r="M821" i="2" s="1"/>
  <c r="N819" i="2"/>
  <c r="N820" i="2" s="1"/>
  <c r="N821" i="2" s="1"/>
  <c r="O820" i="2"/>
  <c r="O821" i="2" s="1"/>
  <c r="O822" i="2" s="1"/>
  <c r="R820" i="2"/>
  <c r="X820" i="2" s="1"/>
  <c r="M822" i="2"/>
  <c r="M823" i="2" s="1"/>
  <c r="M824" i="2" s="1"/>
  <c r="N822" i="2"/>
  <c r="N823" i="2" s="1"/>
  <c r="N824" i="2" s="1"/>
  <c r="O823" i="2"/>
  <c r="O824" i="2" s="1"/>
  <c r="O825" i="2" s="1"/>
  <c r="R823" i="2"/>
  <c r="X823" i="2" s="1"/>
  <c r="M825" i="2"/>
  <c r="M826" i="2" s="1"/>
  <c r="M827" i="2" s="1"/>
  <c r="M828" i="2" s="1"/>
  <c r="N825" i="2"/>
  <c r="N826" i="2" s="1"/>
  <c r="N827" i="2" s="1"/>
  <c r="N828" i="2" s="1"/>
  <c r="O826" i="2"/>
  <c r="O827" i="2" s="1"/>
  <c r="O828" i="2" s="1"/>
  <c r="O829" i="2" s="1"/>
  <c r="R826" i="2"/>
  <c r="X826" i="2" s="1"/>
  <c r="M829" i="2"/>
  <c r="N829" i="2"/>
  <c r="N830" i="2" s="1"/>
  <c r="N831" i="2" s="1"/>
  <c r="N832" i="2" s="1"/>
  <c r="N833" i="2" s="1"/>
  <c r="N834" i="2" s="1"/>
  <c r="N835" i="2" s="1"/>
  <c r="N836" i="2" s="1"/>
  <c r="N837" i="2" s="1"/>
  <c r="N838" i="2" s="1"/>
  <c r="N839" i="2" s="1"/>
  <c r="N840" i="2" s="1"/>
  <c r="N841" i="2" s="1"/>
  <c r="N842" i="2" s="1"/>
  <c r="O830" i="2"/>
  <c r="O831" i="2" s="1"/>
  <c r="R830" i="2"/>
  <c r="X830" i="2" s="1"/>
  <c r="O832" i="2"/>
  <c r="O833" i="2" s="1"/>
  <c r="R832" i="2"/>
  <c r="R833" i="2" s="1"/>
  <c r="U833" i="2" s="1"/>
  <c r="O834" i="2"/>
  <c r="O835" i="2" s="1"/>
  <c r="R834" i="2"/>
  <c r="R835" i="2" s="1"/>
  <c r="O836" i="2"/>
  <c r="O837" i="2" s="1"/>
  <c r="R836" i="2"/>
  <c r="O838" i="2"/>
  <c r="O839" i="2" s="1"/>
  <c r="R838" i="2"/>
  <c r="X838" i="2" s="1"/>
  <c r="O840" i="2"/>
  <c r="O841" i="2" s="1"/>
  <c r="O842" i="2" s="1"/>
  <c r="O843" i="2" s="1"/>
  <c r="R840" i="2"/>
  <c r="X840" i="2" s="1"/>
  <c r="K842" i="2"/>
  <c r="K843" i="2" s="1"/>
  <c r="K844" i="2" s="1"/>
  <c r="K845" i="2" s="1"/>
  <c r="K846" i="2" s="1"/>
  <c r="K847" i="2" s="1"/>
  <c r="L842" i="2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M843" i="2"/>
  <c r="M844" i="2" s="1"/>
  <c r="M845" i="2" s="1"/>
  <c r="M846" i="2" s="1"/>
  <c r="N843" i="2"/>
  <c r="N844" i="2" s="1"/>
  <c r="N845" i="2" s="1"/>
  <c r="N846" i="2" s="1"/>
  <c r="O844" i="2"/>
  <c r="O845" i="2" s="1"/>
  <c r="O846" i="2" s="1"/>
  <c r="O847" i="2" s="1"/>
  <c r="R844" i="2"/>
  <c r="X844" i="2" s="1"/>
  <c r="M847" i="2"/>
  <c r="M848" i="2" s="1"/>
  <c r="M849" i="2" s="1"/>
  <c r="M850" i="2" s="1"/>
  <c r="M851" i="2" s="1"/>
  <c r="M852" i="2" s="1"/>
  <c r="M853" i="2" s="1"/>
  <c r="N847" i="2"/>
  <c r="N848" i="2" s="1"/>
  <c r="N849" i="2" s="1"/>
  <c r="N850" i="2" s="1"/>
  <c r="N851" i="2" s="1"/>
  <c r="N852" i="2" s="1"/>
  <c r="N853" i="2" s="1"/>
  <c r="O848" i="2"/>
  <c r="O849" i="2" s="1"/>
  <c r="O850" i="2" s="1"/>
  <c r="R848" i="2"/>
  <c r="X848" i="2" s="1"/>
  <c r="O851" i="2"/>
  <c r="O852" i="2" s="1"/>
  <c r="O853" i="2" s="1"/>
  <c r="O854" i="2" s="1"/>
  <c r="R851" i="2"/>
  <c r="X851" i="2" s="1"/>
  <c r="M854" i="2"/>
  <c r="N854" i="2"/>
  <c r="N855" i="2" s="1"/>
  <c r="N856" i="2" s="1"/>
  <c r="O855" i="2"/>
  <c r="O856" i="2" s="1"/>
  <c r="O857" i="2" s="1"/>
  <c r="R855" i="2"/>
  <c r="X855" i="2" s="1"/>
  <c r="M857" i="2"/>
  <c r="M858" i="2" s="1"/>
  <c r="M859" i="2" s="1"/>
  <c r="N857" i="2"/>
  <c r="N858" i="2" s="1"/>
  <c r="N859" i="2" s="1"/>
  <c r="O858" i="2"/>
  <c r="O859" i="2" s="1"/>
  <c r="O860" i="2" s="1"/>
  <c r="R858" i="2"/>
  <c r="X858" i="2" s="1"/>
  <c r="M860" i="2"/>
  <c r="N860" i="2"/>
  <c r="N861" i="2" s="1"/>
  <c r="N862" i="2" s="1"/>
  <c r="N863" i="2" s="1"/>
  <c r="O861" i="2"/>
  <c r="O862" i="2" s="1"/>
  <c r="O863" i="2" s="1"/>
  <c r="O864" i="2" s="1"/>
  <c r="R861" i="2"/>
  <c r="X861" i="2" s="1"/>
  <c r="M864" i="2"/>
  <c r="M865" i="2" s="1"/>
  <c r="M866" i="2" s="1"/>
  <c r="M867" i="2" s="1"/>
  <c r="M868" i="2" s="1"/>
  <c r="M869" i="2" s="1"/>
  <c r="M870" i="2" s="1"/>
  <c r="M871" i="2" s="1"/>
  <c r="M872" i="2" s="1"/>
  <c r="M873" i="2" s="1"/>
  <c r="M874" i="2" s="1"/>
  <c r="M875" i="2" s="1"/>
  <c r="M876" i="2" s="1"/>
  <c r="M877" i="2" s="1"/>
  <c r="N864" i="2"/>
  <c r="N865" i="2" s="1"/>
  <c r="N866" i="2" s="1"/>
  <c r="N867" i="2" s="1"/>
  <c r="N868" i="2" s="1"/>
  <c r="N869" i="2" s="1"/>
  <c r="N870" i="2" s="1"/>
  <c r="N871" i="2" s="1"/>
  <c r="N872" i="2" s="1"/>
  <c r="N873" i="2" s="1"/>
  <c r="N874" i="2" s="1"/>
  <c r="N875" i="2" s="1"/>
  <c r="N876" i="2" s="1"/>
  <c r="N877" i="2" s="1"/>
  <c r="O865" i="2"/>
  <c r="O866" i="2" s="1"/>
  <c r="R865" i="2"/>
  <c r="R866" i="2" s="1"/>
  <c r="O867" i="2"/>
  <c r="O868" i="2" s="1"/>
  <c r="R867" i="2"/>
  <c r="O869" i="2"/>
  <c r="O870" i="2" s="1"/>
  <c r="R869" i="2"/>
  <c r="R870" i="2" s="1"/>
  <c r="U870" i="2" s="1"/>
  <c r="O871" i="2"/>
  <c r="O872" i="2" s="1"/>
  <c r="R871" i="2"/>
  <c r="R872" i="2" s="1"/>
  <c r="X872" i="2" s="1"/>
  <c r="O873" i="2"/>
  <c r="O874" i="2" s="1"/>
  <c r="R873" i="2"/>
  <c r="X873" i="2" s="1"/>
  <c r="O875" i="2"/>
  <c r="O876" i="2" s="1"/>
  <c r="O877" i="2" s="1"/>
  <c r="O878" i="2" s="1"/>
  <c r="R875" i="2"/>
  <c r="X875" i="2" s="1"/>
  <c r="K877" i="2"/>
  <c r="K878" i="2" s="1"/>
  <c r="K879" i="2" s="1"/>
  <c r="K880" i="2" s="1"/>
  <c r="K881" i="2" s="1"/>
  <c r="K882" i="2" s="1"/>
  <c r="L877" i="2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M878" i="2"/>
  <c r="M879" i="2" s="1"/>
  <c r="M880" i="2" s="1"/>
  <c r="M881" i="2" s="1"/>
  <c r="N878" i="2"/>
  <c r="N879" i="2" s="1"/>
  <c r="N880" i="2" s="1"/>
  <c r="N881" i="2" s="1"/>
  <c r="O879" i="2"/>
  <c r="O880" i="2" s="1"/>
  <c r="O881" i="2" s="1"/>
  <c r="O882" i="2" s="1"/>
  <c r="R879" i="2"/>
  <c r="X879" i="2" s="1"/>
  <c r="M882" i="2"/>
  <c r="M883" i="2" s="1"/>
  <c r="M884" i="2" s="1"/>
  <c r="M885" i="2" s="1"/>
  <c r="M886" i="2" s="1"/>
  <c r="M887" i="2" s="1"/>
  <c r="M888" i="2" s="1"/>
  <c r="N882" i="2"/>
  <c r="N883" i="2" s="1"/>
  <c r="N884" i="2" s="1"/>
  <c r="N885" i="2" s="1"/>
  <c r="N886" i="2" s="1"/>
  <c r="N887" i="2" s="1"/>
  <c r="N888" i="2" s="1"/>
  <c r="O883" i="2"/>
  <c r="O884" i="2" s="1"/>
  <c r="O885" i="2" s="1"/>
  <c r="R883" i="2"/>
  <c r="X883" i="2" s="1"/>
  <c r="O886" i="2"/>
  <c r="O887" i="2" s="1"/>
  <c r="O888" i="2" s="1"/>
  <c r="O889" i="2" s="1"/>
  <c r="R886" i="2"/>
  <c r="M889" i="2"/>
  <c r="M890" i="2" s="1"/>
  <c r="M891" i="2" s="1"/>
  <c r="N889" i="2"/>
  <c r="N890" i="2" s="1"/>
  <c r="N891" i="2" s="1"/>
  <c r="O890" i="2"/>
  <c r="O891" i="2" s="1"/>
  <c r="O892" i="2" s="1"/>
  <c r="R890" i="2"/>
  <c r="M892" i="2"/>
  <c r="M893" i="2" s="1"/>
  <c r="M894" i="2" s="1"/>
  <c r="N892" i="2"/>
  <c r="N893" i="2" s="1"/>
  <c r="N894" i="2" s="1"/>
  <c r="O893" i="2"/>
  <c r="O894" i="2" s="1"/>
  <c r="O895" i="2" s="1"/>
  <c r="R893" i="2"/>
  <c r="M895" i="2"/>
  <c r="M896" i="2" s="1"/>
  <c r="M897" i="2" s="1"/>
  <c r="M898" i="2" s="1"/>
  <c r="N895" i="2"/>
  <c r="N896" i="2" s="1"/>
  <c r="N897" i="2" s="1"/>
  <c r="N898" i="2" s="1"/>
  <c r="O896" i="2"/>
  <c r="O897" i="2" s="1"/>
  <c r="O898" i="2" s="1"/>
  <c r="O899" i="2" s="1"/>
  <c r="R896" i="2"/>
  <c r="X896" i="2" s="1"/>
  <c r="M899" i="2"/>
  <c r="M900" i="2" s="1"/>
  <c r="M901" i="2" s="1"/>
  <c r="M902" i="2" s="1"/>
  <c r="M903" i="2" s="1"/>
  <c r="M904" i="2" s="1"/>
  <c r="M905" i="2" s="1"/>
  <c r="M906" i="2" s="1"/>
  <c r="M907" i="2" s="1"/>
  <c r="M908" i="2" s="1"/>
  <c r="M909" i="2" s="1"/>
  <c r="M910" i="2" s="1"/>
  <c r="M911" i="2" s="1"/>
  <c r="M912" i="2" s="1"/>
  <c r="N899" i="2"/>
  <c r="N900" i="2" s="1"/>
  <c r="N901" i="2" s="1"/>
  <c r="N902" i="2" s="1"/>
  <c r="N903" i="2" s="1"/>
  <c r="N904" i="2" s="1"/>
  <c r="N905" i="2" s="1"/>
  <c r="N906" i="2" s="1"/>
  <c r="N907" i="2" s="1"/>
  <c r="N908" i="2" s="1"/>
  <c r="N909" i="2" s="1"/>
  <c r="N910" i="2" s="1"/>
  <c r="N911" i="2" s="1"/>
  <c r="N912" i="2" s="1"/>
  <c r="O900" i="2"/>
  <c r="O901" i="2" s="1"/>
  <c r="R900" i="2"/>
  <c r="O902" i="2"/>
  <c r="O903" i="2" s="1"/>
  <c r="R902" i="2"/>
  <c r="X902" i="2" s="1"/>
  <c r="O904" i="2"/>
  <c r="O905" i="2" s="1"/>
  <c r="R904" i="2"/>
  <c r="O906" i="2"/>
  <c r="O907" i="2" s="1"/>
  <c r="R906" i="2"/>
  <c r="X906" i="2" s="1"/>
  <c r="O908" i="2"/>
  <c r="O909" i="2" s="1"/>
  <c r="R908" i="2"/>
  <c r="R909" i="2" s="1"/>
  <c r="U909" i="2" s="1"/>
  <c r="O910" i="2"/>
  <c r="O911" i="2" s="1"/>
  <c r="O912" i="2" s="1"/>
  <c r="O913" i="2" s="1"/>
  <c r="R910" i="2"/>
  <c r="X910" i="2" s="1"/>
  <c r="K912" i="2"/>
  <c r="L912" i="2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L931" i="2" s="1"/>
  <c r="L932" i="2" s="1"/>
  <c r="L933" i="2" s="1"/>
  <c r="L934" i="2" s="1"/>
  <c r="L935" i="2" s="1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M913" i="2"/>
  <c r="M914" i="2" s="1"/>
  <c r="M915" i="2" s="1"/>
  <c r="M916" i="2" s="1"/>
  <c r="N913" i="2"/>
  <c r="N914" i="2" s="1"/>
  <c r="N915" i="2" s="1"/>
  <c r="N916" i="2" s="1"/>
  <c r="O914" i="2"/>
  <c r="O915" i="2" s="1"/>
  <c r="O916" i="2" s="1"/>
  <c r="O917" i="2" s="1"/>
  <c r="R914" i="2"/>
  <c r="M917" i="2"/>
  <c r="M918" i="2" s="1"/>
  <c r="M919" i="2" s="1"/>
  <c r="M920" i="2" s="1"/>
  <c r="M921" i="2" s="1"/>
  <c r="M922" i="2" s="1"/>
  <c r="M923" i="2" s="1"/>
  <c r="N917" i="2"/>
  <c r="N918" i="2" s="1"/>
  <c r="N919" i="2" s="1"/>
  <c r="N920" i="2" s="1"/>
  <c r="N921" i="2" s="1"/>
  <c r="N922" i="2" s="1"/>
  <c r="N923" i="2" s="1"/>
  <c r="O918" i="2"/>
  <c r="O919" i="2" s="1"/>
  <c r="O920" i="2" s="1"/>
  <c r="R918" i="2"/>
  <c r="X918" i="2" s="1"/>
  <c r="O921" i="2"/>
  <c r="O922" i="2" s="1"/>
  <c r="O923" i="2" s="1"/>
  <c r="O924" i="2" s="1"/>
  <c r="R921" i="2"/>
  <c r="X921" i="2" s="1"/>
  <c r="M924" i="2"/>
  <c r="M925" i="2" s="1"/>
  <c r="M926" i="2" s="1"/>
  <c r="N924" i="2"/>
  <c r="N925" i="2" s="1"/>
  <c r="N926" i="2" s="1"/>
  <c r="O925" i="2"/>
  <c r="O926" i="2" s="1"/>
  <c r="O927" i="2" s="1"/>
  <c r="R925" i="2"/>
  <c r="R926" i="2" s="1"/>
  <c r="U926" i="2" s="1"/>
  <c r="M927" i="2"/>
  <c r="M928" i="2" s="1"/>
  <c r="M929" i="2" s="1"/>
  <c r="N927" i="2"/>
  <c r="N928" i="2" s="1"/>
  <c r="N929" i="2" s="1"/>
  <c r="O928" i="2"/>
  <c r="O929" i="2" s="1"/>
  <c r="O930" i="2" s="1"/>
  <c r="O931" i="2" s="1"/>
  <c r="R928" i="2"/>
  <c r="X928" i="2" s="1"/>
  <c r="M930" i="2"/>
  <c r="N930" i="2"/>
  <c r="M931" i="2"/>
  <c r="M932" i="2" s="1"/>
  <c r="M933" i="2" s="1"/>
  <c r="M934" i="2" s="1"/>
  <c r="N931" i="2"/>
  <c r="N932" i="2" s="1"/>
  <c r="N933" i="2" s="1"/>
  <c r="N934" i="2" s="1"/>
  <c r="O932" i="2"/>
  <c r="O933" i="2" s="1"/>
  <c r="O934" i="2" s="1"/>
  <c r="O935" i="2" s="1"/>
  <c r="R932" i="2"/>
  <c r="R933" i="2" s="1"/>
  <c r="M935" i="2"/>
  <c r="N935" i="2"/>
  <c r="N936" i="2" s="1"/>
  <c r="N937" i="2" s="1"/>
  <c r="N938" i="2" s="1"/>
  <c r="N939" i="2" s="1"/>
  <c r="N940" i="2" s="1"/>
  <c r="N941" i="2" s="1"/>
  <c r="N942" i="2" s="1"/>
  <c r="N943" i="2" s="1"/>
  <c r="N944" i="2" s="1"/>
  <c r="N945" i="2" s="1"/>
  <c r="N946" i="2" s="1"/>
  <c r="N947" i="2" s="1"/>
  <c r="N948" i="2" s="1"/>
  <c r="O936" i="2"/>
  <c r="O937" i="2" s="1"/>
  <c r="R936" i="2"/>
  <c r="O938" i="2"/>
  <c r="O939" i="2" s="1"/>
  <c r="R938" i="2"/>
  <c r="X938" i="2" s="1"/>
  <c r="O940" i="2"/>
  <c r="O941" i="2" s="1"/>
  <c r="R940" i="2"/>
  <c r="R941" i="2" s="1"/>
  <c r="O942" i="2"/>
  <c r="O943" i="2" s="1"/>
  <c r="R942" i="2"/>
  <c r="O944" i="2"/>
  <c r="O945" i="2" s="1"/>
  <c r="R944" i="2"/>
  <c r="X944" i="2" s="1"/>
  <c r="O946" i="2"/>
  <c r="O947" i="2" s="1"/>
  <c r="O948" i="2" s="1"/>
  <c r="O949" i="2" s="1"/>
  <c r="R946" i="2"/>
  <c r="X946" i="2" s="1"/>
  <c r="K948" i="2"/>
  <c r="K949" i="2" s="1"/>
  <c r="K950" i="2" s="1"/>
  <c r="K951" i="2" s="1"/>
  <c r="K952" i="2" s="1"/>
  <c r="K953" i="2" s="1"/>
  <c r="K954" i="2" s="1"/>
  <c r="K955" i="2" s="1"/>
  <c r="K956" i="2" s="1"/>
  <c r="K957" i="2" s="1"/>
  <c r="L948" i="2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M949" i="2"/>
  <c r="M950" i="2" s="1"/>
  <c r="M951" i="2" s="1"/>
  <c r="M952" i="2" s="1"/>
  <c r="N949" i="2"/>
  <c r="N950" i="2" s="1"/>
  <c r="N951" i="2" s="1"/>
  <c r="N952" i="2" s="1"/>
  <c r="O950" i="2"/>
  <c r="O951" i="2" s="1"/>
  <c r="O952" i="2" s="1"/>
  <c r="O953" i="2" s="1"/>
  <c r="R950" i="2"/>
  <c r="R951" i="2" s="1"/>
  <c r="X951" i="2" s="1"/>
  <c r="M953" i="2"/>
  <c r="M954" i="2" s="1"/>
  <c r="M955" i="2" s="1"/>
  <c r="M956" i="2" s="1"/>
  <c r="N953" i="2"/>
  <c r="N954" i="2" s="1"/>
  <c r="N955" i="2" s="1"/>
  <c r="N956" i="2" s="1"/>
  <c r="O954" i="2"/>
  <c r="O955" i="2" s="1"/>
  <c r="O956" i="2" s="1"/>
  <c r="O957" i="2" s="1"/>
  <c r="R954" i="2"/>
  <c r="X954" i="2" s="1"/>
  <c r="M957" i="2"/>
  <c r="M958" i="2" s="1"/>
  <c r="M959" i="2" s="1"/>
  <c r="N957" i="2"/>
  <c r="N958" i="2" s="1"/>
  <c r="N959" i="2" s="1"/>
  <c r="O958" i="2"/>
  <c r="O959" i="2" s="1"/>
  <c r="O960" i="2" s="1"/>
  <c r="R958" i="2"/>
  <c r="X958" i="2" s="1"/>
  <c r="M960" i="2"/>
  <c r="N960" i="2"/>
  <c r="N961" i="2" s="1"/>
  <c r="N962" i="2" s="1"/>
  <c r="N963" i="2" s="1"/>
  <c r="O961" i="2"/>
  <c r="O962" i="2" s="1"/>
  <c r="O963" i="2" s="1"/>
  <c r="O964" i="2" s="1"/>
  <c r="R961" i="2"/>
  <c r="X961" i="2" s="1"/>
  <c r="M964" i="2"/>
  <c r="M965" i="2" s="1"/>
  <c r="M966" i="2" s="1"/>
  <c r="M967" i="2" s="1"/>
  <c r="M968" i="2" s="1"/>
  <c r="M969" i="2" s="1"/>
  <c r="M970" i="2" s="1"/>
  <c r="M971" i="2" s="1"/>
  <c r="M972" i="2" s="1"/>
  <c r="M973" i="2" s="1"/>
  <c r="M974" i="2" s="1"/>
  <c r="N964" i="2"/>
  <c r="N965" i="2" s="1"/>
  <c r="N966" i="2" s="1"/>
  <c r="N967" i="2" s="1"/>
  <c r="N968" i="2" s="1"/>
  <c r="N969" i="2" s="1"/>
  <c r="N970" i="2" s="1"/>
  <c r="N971" i="2" s="1"/>
  <c r="N972" i="2" s="1"/>
  <c r="N973" i="2" s="1"/>
  <c r="N974" i="2" s="1"/>
  <c r="O965" i="2"/>
  <c r="O966" i="2" s="1"/>
  <c r="R965" i="2"/>
  <c r="R966" i="2" s="1"/>
  <c r="Z966" i="2" s="1"/>
  <c r="O967" i="2"/>
  <c r="O968" i="2" s="1"/>
  <c r="R967" i="2"/>
  <c r="X967" i="2" s="1"/>
  <c r="O969" i="2"/>
  <c r="O970" i="2" s="1"/>
  <c r="R969" i="2"/>
  <c r="X969" i="2" s="1"/>
  <c r="O971" i="2"/>
  <c r="O972" i="2" s="1"/>
  <c r="O973" i="2" s="1"/>
  <c r="O974" i="2" s="1"/>
  <c r="O975" i="2" s="1"/>
  <c r="R971" i="2"/>
  <c r="R972" i="2" s="1"/>
  <c r="X972" i="2" s="1"/>
  <c r="I973" i="2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J973" i="2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K974" i="2"/>
  <c r="K975" i="2" s="1"/>
  <c r="K976" i="2" s="1"/>
  <c r="K977" i="2" s="1"/>
  <c r="K978" i="2" s="1"/>
  <c r="K979" i="2" s="1"/>
  <c r="K980" i="2" s="1"/>
  <c r="K981" i="2" s="1"/>
  <c r="L974" i="2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L989" i="2" s="1"/>
  <c r="L990" i="2" s="1"/>
  <c r="L991" i="2" s="1"/>
  <c r="L992" i="2" s="1"/>
  <c r="M975" i="2"/>
  <c r="M976" i="2" s="1"/>
  <c r="M977" i="2" s="1"/>
  <c r="N975" i="2"/>
  <c r="N976" i="2" s="1"/>
  <c r="N977" i="2" s="1"/>
  <c r="O976" i="2"/>
  <c r="O977" i="2" s="1"/>
  <c r="O978" i="2" s="1"/>
  <c r="R976" i="2"/>
  <c r="X976" i="2" s="1"/>
  <c r="M978" i="2"/>
  <c r="N978" i="2"/>
  <c r="N979" i="2" s="1"/>
  <c r="N980" i="2" s="1"/>
  <c r="O979" i="2"/>
  <c r="O980" i="2" s="1"/>
  <c r="O981" i="2" s="1"/>
  <c r="R979" i="2"/>
  <c r="R980" i="2" s="1"/>
  <c r="M981" i="2"/>
  <c r="M982" i="2" s="1"/>
  <c r="M983" i="2" s="1"/>
  <c r="N981" i="2"/>
  <c r="N982" i="2" s="1"/>
  <c r="N983" i="2" s="1"/>
  <c r="O982" i="2"/>
  <c r="O983" i="2" s="1"/>
  <c r="O984" i="2" s="1"/>
  <c r="R982" i="2"/>
  <c r="X982" i="2" s="1"/>
  <c r="M984" i="2"/>
  <c r="N984" i="2"/>
  <c r="N985" i="2" s="1"/>
  <c r="N986" i="2" s="1"/>
  <c r="O985" i="2"/>
  <c r="O986" i="2" s="1"/>
  <c r="O987" i="2" s="1"/>
  <c r="R985" i="2"/>
  <c r="X985" i="2" s="1"/>
  <c r="M987" i="2"/>
  <c r="M988" i="2" s="1"/>
  <c r="M989" i="2" s="1"/>
  <c r="N987" i="2"/>
  <c r="N988" i="2" s="1"/>
  <c r="N989" i="2" s="1"/>
  <c r="O988" i="2"/>
  <c r="O989" i="2" s="1"/>
  <c r="O990" i="2" s="1"/>
  <c r="R988" i="2"/>
  <c r="M990" i="2"/>
  <c r="N990" i="2"/>
  <c r="N991" i="2" s="1"/>
  <c r="N992" i="2" s="1"/>
  <c r="N993" i="2" s="1"/>
  <c r="O991" i="2"/>
  <c r="O992" i="2" s="1"/>
  <c r="O993" i="2" s="1"/>
  <c r="O994" i="2" s="1"/>
  <c r="K993" i="2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L993" i="2"/>
  <c r="L994" i="2" s="1"/>
  <c r="L995" i="2" s="1"/>
  <c r="L996" i="2" s="1"/>
  <c r="L997" i="2" s="1"/>
  <c r="L998" i="2" s="1"/>
  <c r="L999" i="2" s="1"/>
  <c r="L1000" i="2" s="1"/>
  <c r="L1001" i="2" s="1"/>
  <c r="L1002" i="2" s="1"/>
  <c r="L1003" i="2" s="1"/>
  <c r="L1004" i="2" s="1"/>
  <c r="L1005" i="2" s="1"/>
  <c r="L1006" i="2" s="1"/>
  <c r="L1007" i="2" s="1"/>
  <c r="L1008" i="2" s="1"/>
  <c r="L1009" i="2" s="1"/>
  <c r="L1010" i="2" s="1"/>
  <c r="L1011" i="2" s="1"/>
  <c r="M994" i="2"/>
  <c r="N994" i="2"/>
  <c r="N995" i="2" s="1"/>
  <c r="N996" i="2" s="1"/>
  <c r="O995" i="2"/>
  <c r="O996" i="2" s="1"/>
  <c r="O997" i="2" s="1"/>
  <c r="R995" i="2"/>
  <c r="X995" i="2" s="1"/>
  <c r="M997" i="2"/>
  <c r="M998" i="2" s="1"/>
  <c r="M999" i="2" s="1"/>
  <c r="N997" i="2"/>
  <c r="N998" i="2" s="1"/>
  <c r="N999" i="2" s="1"/>
  <c r="O998" i="2"/>
  <c r="O999" i="2" s="1"/>
  <c r="O1000" i="2" s="1"/>
  <c r="R998" i="2"/>
  <c r="M1000" i="2"/>
  <c r="N1000" i="2"/>
  <c r="N1001" i="2" s="1"/>
  <c r="N1002" i="2" s="1"/>
  <c r="O1001" i="2"/>
  <c r="O1002" i="2" s="1"/>
  <c r="O1003" i="2" s="1"/>
  <c r="R1001" i="2"/>
  <c r="X1001" i="2" s="1"/>
  <c r="M1003" i="2"/>
  <c r="M1004" i="2" s="1"/>
  <c r="M1005" i="2" s="1"/>
  <c r="N1003" i="2"/>
  <c r="N1004" i="2" s="1"/>
  <c r="N1005" i="2" s="1"/>
  <c r="O1004" i="2"/>
  <c r="O1005" i="2" s="1"/>
  <c r="O1006" i="2" s="1"/>
  <c r="R1004" i="2"/>
  <c r="M1006" i="2"/>
  <c r="N1006" i="2"/>
  <c r="N1007" i="2" s="1"/>
  <c r="N1008" i="2" s="1"/>
  <c r="O1007" i="2"/>
  <c r="O1008" i="2" s="1"/>
  <c r="O1009" i="2" s="1"/>
  <c r="R1007" i="2"/>
  <c r="X1007" i="2" s="1"/>
  <c r="M1009" i="2"/>
  <c r="M1010" i="2" s="1"/>
  <c r="M1011" i="2" s="1"/>
  <c r="M1012" i="2" s="1"/>
  <c r="N1009" i="2"/>
  <c r="N1010" i="2" s="1"/>
  <c r="N1011" i="2" s="1"/>
  <c r="N1012" i="2" s="1"/>
  <c r="O1010" i="2"/>
  <c r="O1011" i="2" s="1"/>
  <c r="O1012" i="2" s="1"/>
  <c r="O1013" i="2" s="1"/>
  <c r="K1012" i="2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L1012" i="2"/>
  <c r="L1013" i="2" s="1"/>
  <c r="L1014" i="2" s="1"/>
  <c r="L1015" i="2" s="1"/>
  <c r="L1016" i="2" s="1"/>
  <c r="L1017" i="2" s="1"/>
  <c r="L1018" i="2" s="1"/>
  <c r="L1019" i="2" s="1"/>
  <c r="L1020" i="2" s="1"/>
  <c r="L1021" i="2" s="1"/>
  <c r="L1022" i="2" s="1"/>
  <c r="L1023" i="2" s="1"/>
  <c r="L1024" i="2" s="1"/>
  <c r="L1025" i="2" s="1"/>
  <c r="L1026" i="2" s="1"/>
  <c r="L1027" i="2" s="1"/>
  <c r="L1028" i="2" s="1"/>
  <c r="L1029" i="2" s="1"/>
  <c r="L1030" i="2" s="1"/>
  <c r="M1013" i="2"/>
  <c r="M1014" i="2" s="1"/>
  <c r="M1015" i="2" s="1"/>
  <c r="N1013" i="2"/>
  <c r="N1014" i="2" s="1"/>
  <c r="N1015" i="2" s="1"/>
  <c r="O1014" i="2"/>
  <c r="O1015" i="2" s="1"/>
  <c r="O1016" i="2" s="1"/>
  <c r="R1014" i="2"/>
  <c r="M1016" i="2"/>
  <c r="N1016" i="2"/>
  <c r="N1017" i="2" s="1"/>
  <c r="N1018" i="2" s="1"/>
  <c r="O1017" i="2"/>
  <c r="O1018" i="2" s="1"/>
  <c r="O1019" i="2" s="1"/>
  <c r="R1017" i="2"/>
  <c r="X1017" i="2" s="1"/>
  <c r="M1019" i="2"/>
  <c r="M1020" i="2" s="1"/>
  <c r="M1021" i="2" s="1"/>
  <c r="N1019" i="2"/>
  <c r="N1020" i="2" s="1"/>
  <c r="N1021" i="2" s="1"/>
  <c r="O1020" i="2"/>
  <c r="O1021" i="2" s="1"/>
  <c r="O1022" i="2" s="1"/>
  <c r="R1020" i="2"/>
  <c r="M1022" i="2"/>
  <c r="N1022" i="2"/>
  <c r="N1023" i="2" s="1"/>
  <c r="N1024" i="2" s="1"/>
  <c r="O1023" i="2"/>
  <c r="O1024" i="2" s="1"/>
  <c r="O1025" i="2" s="1"/>
  <c r="R1023" i="2"/>
  <c r="X1023" i="2" s="1"/>
  <c r="M1025" i="2"/>
  <c r="M1026" i="2" s="1"/>
  <c r="M1027" i="2" s="1"/>
  <c r="N1025" i="2"/>
  <c r="N1026" i="2" s="1"/>
  <c r="N1027" i="2" s="1"/>
  <c r="O1026" i="2"/>
  <c r="O1027" i="2" s="1"/>
  <c r="O1028" i="2" s="1"/>
  <c r="R1026" i="2"/>
  <c r="M1028" i="2"/>
  <c r="N1028" i="2"/>
  <c r="N1029" i="2" s="1"/>
  <c r="N1030" i="2" s="1"/>
  <c r="N1031" i="2" s="1"/>
  <c r="O1029" i="2"/>
  <c r="O1030" i="2" s="1"/>
  <c r="O1031" i="2" s="1"/>
  <c r="O1032" i="2" s="1"/>
  <c r="K1031" i="2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L1031" i="2"/>
  <c r="L1032" i="2" s="1"/>
  <c r="L1033" i="2" s="1"/>
  <c r="L1034" i="2" s="1"/>
  <c r="L1035" i="2" s="1"/>
  <c r="L1036" i="2" s="1"/>
  <c r="L1037" i="2" s="1"/>
  <c r="L1038" i="2" s="1"/>
  <c r="L1039" i="2" s="1"/>
  <c r="L1040" i="2" s="1"/>
  <c r="L1041" i="2" s="1"/>
  <c r="L1042" i="2" s="1"/>
  <c r="L1043" i="2" s="1"/>
  <c r="L1044" i="2" s="1"/>
  <c r="L1045" i="2" s="1"/>
  <c r="L1046" i="2" s="1"/>
  <c r="L1047" i="2" s="1"/>
  <c r="L1048" i="2" s="1"/>
  <c r="L1049" i="2" s="1"/>
  <c r="M1032" i="2"/>
  <c r="N1032" i="2"/>
  <c r="N1033" i="2" s="1"/>
  <c r="N1034" i="2" s="1"/>
  <c r="O1033" i="2"/>
  <c r="O1034" i="2" s="1"/>
  <c r="O1035" i="2" s="1"/>
  <c r="R1033" i="2"/>
  <c r="X1033" i="2" s="1"/>
  <c r="M1035" i="2"/>
  <c r="M1036" i="2" s="1"/>
  <c r="M1037" i="2" s="1"/>
  <c r="N1035" i="2"/>
  <c r="N1036" i="2" s="1"/>
  <c r="N1037" i="2" s="1"/>
  <c r="O1036" i="2"/>
  <c r="O1037" i="2" s="1"/>
  <c r="O1038" i="2" s="1"/>
  <c r="R1036" i="2"/>
  <c r="M1038" i="2"/>
  <c r="N1038" i="2"/>
  <c r="N1039" i="2" s="1"/>
  <c r="N1040" i="2" s="1"/>
  <c r="O1039" i="2"/>
  <c r="O1040" i="2" s="1"/>
  <c r="O1041" i="2" s="1"/>
  <c r="R1039" i="2"/>
  <c r="X1039" i="2" s="1"/>
  <c r="M1041" i="2"/>
  <c r="M1042" i="2" s="1"/>
  <c r="M1043" i="2" s="1"/>
  <c r="N1041" i="2"/>
  <c r="N1042" i="2" s="1"/>
  <c r="N1043" i="2" s="1"/>
  <c r="O1042" i="2"/>
  <c r="O1043" i="2" s="1"/>
  <c r="O1044" i="2" s="1"/>
  <c r="R1042" i="2"/>
  <c r="M1044" i="2"/>
  <c r="N1044" i="2"/>
  <c r="N1045" i="2" s="1"/>
  <c r="N1046" i="2" s="1"/>
  <c r="O1045" i="2"/>
  <c r="O1046" i="2" s="1"/>
  <c r="O1047" i="2" s="1"/>
  <c r="R1045" i="2"/>
  <c r="X1045" i="2" s="1"/>
  <c r="M1047" i="2"/>
  <c r="M1048" i="2" s="1"/>
  <c r="M1049" i="2" s="1"/>
  <c r="M1050" i="2" s="1"/>
  <c r="N1047" i="2"/>
  <c r="N1048" i="2" s="1"/>
  <c r="N1049" i="2" s="1"/>
  <c r="N1050" i="2" s="1"/>
  <c r="O1048" i="2"/>
  <c r="O1049" i="2" s="1"/>
  <c r="O1050" i="2" s="1"/>
  <c r="O1051" i="2" s="1"/>
  <c r="K1050" i="2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L1050" i="2"/>
  <c r="L1051" i="2" s="1"/>
  <c r="L1052" i="2" s="1"/>
  <c r="L1053" i="2" s="1"/>
  <c r="L1054" i="2" s="1"/>
  <c r="L1055" i="2" s="1"/>
  <c r="L1056" i="2" s="1"/>
  <c r="L1057" i="2" s="1"/>
  <c r="L1058" i="2" s="1"/>
  <c r="L1059" i="2" s="1"/>
  <c r="L1060" i="2" s="1"/>
  <c r="L1061" i="2" s="1"/>
  <c r="L1062" i="2" s="1"/>
  <c r="L1063" i="2" s="1"/>
  <c r="L1064" i="2" s="1"/>
  <c r="L1065" i="2" s="1"/>
  <c r="L1066" i="2" s="1"/>
  <c r="L1067" i="2" s="1"/>
  <c r="L1068" i="2" s="1"/>
  <c r="L1069" i="2" s="1"/>
  <c r="M1051" i="2"/>
  <c r="M1052" i="2" s="1"/>
  <c r="M1053" i="2" s="1"/>
  <c r="N1051" i="2"/>
  <c r="N1052" i="2" s="1"/>
  <c r="N1053" i="2" s="1"/>
  <c r="O1052" i="2"/>
  <c r="O1053" i="2" s="1"/>
  <c r="O1054" i="2" s="1"/>
  <c r="R1052" i="2"/>
  <c r="M1054" i="2"/>
  <c r="N1054" i="2"/>
  <c r="N1055" i="2" s="1"/>
  <c r="N1056" i="2" s="1"/>
  <c r="O1055" i="2"/>
  <c r="O1056" i="2" s="1"/>
  <c r="O1057" i="2" s="1"/>
  <c r="R1055" i="2"/>
  <c r="X1055" i="2" s="1"/>
  <c r="M1057" i="2"/>
  <c r="M1058" i="2" s="1"/>
  <c r="M1059" i="2" s="1"/>
  <c r="N1057" i="2"/>
  <c r="N1058" i="2" s="1"/>
  <c r="N1059" i="2" s="1"/>
  <c r="O1058" i="2"/>
  <c r="O1059" i="2" s="1"/>
  <c r="O1060" i="2" s="1"/>
  <c r="R1058" i="2"/>
  <c r="M1060" i="2"/>
  <c r="N1060" i="2"/>
  <c r="N1061" i="2" s="1"/>
  <c r="N1062" i="2" s="1"/>
  <c r="O1061" i="2"/>
  <c r="O1062" i="2" s="1"/>
  <c r="O1063" i="2" s="1"/>
  <c r="R1061" i="2"/>
  <c r="X1061" i="2" s="1"/>
  <c r="M1063" i="2"/>
  <c r="M1064" i="2" s="1"/>
  <c r="M1065" i="2" s="1"/>
  <c r="N1063" i="2"/>
  <c r="N1064" i="2" s="1"/>
  <c r="N1065" i="2" s="1"/>
  <c r="O1064" i="2"/>
  <c r="O1065" i="2" s="1"/>
  <c r="O1066" i="2" s="1"/>
  <c r="R1064" i="2"/>
  <c r="M1066" i="2"/>
  <c r="N1066" i="2"/>
  <c r="N1067" i="2" s="1"/>
  <c r="N1068" i="2" s="1"/>
  <c r="N1069" i="2" s="1"/>
  <c r="N1070" i="2" s="1"/>
  <c r="O1067" i="2"/>
  <c r="O1068" i="2" s="1"/>
  <c r="O1069" i="2" s="1"/>
  <c r="O1070" i="2" s="1"/>
  <c r="O1071" i="2" s="1"/>
  <c r="I1069" i="2"/>
  <c r="J1069" i="2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K1070" i="2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L1070" i="2"/>
  <c r="L1071" i="2" s="1"/>
  <c r="L1072" i="2" s="1"/>
  <c r="L1073" i="2" s="1"/>
  <c r="L1074" i="2" s="1"/>
  <c r="L1075" i="2" s="1"/>
  <c r="L1076" i="2" s="1"/>
  <c r="L1077" i="2" s="1"/>
  <c r="L1078" i="2" s="1"/>
  <c r="L1079" i="2" s="1"/>
  <c r="L1080" i="2" s="1"/>
  <c r="L1081" i="2" s="1"/>
  <c r="L1082" i="2" s="1"/>
  <c r="M1071" i="2"/>
  <c r="M1072" i="2" s="1"/>
  <c r="M1073" i="2" s="1"/>
  <c r="N1071" i="2"/>
  <c r="N1072" i="2" s="1"/>
  <c r="N1073" i="2" s="1"/>
  <c r="O1072" i="2"/>
  <c r="O1073" i="2" s="1"/>
  <c r="O1074" i="2" s="1"/>
  <c r="R1072" i="2"/>
  <c r="X1072" i="2" s="1"/>
  <c r="M1074" i="2"/>
  <c r="M1075" i="2" s="1"/>
  <c r="M1076" i="2" s="1"/>
  <c r="N1074" i="2"/>
  <c r="N1075" i="2" s="1"/>
  <c r="N1076" i="2" s="1"/>
  <c r="O1075" i="2"/>
  <c r="O1076" i="2" s="1"/>
  <c r="O1077" i="2" s="1"/>
  <c r="R1075" i="2"/>
  <c r="M1077" i="2"/>
  <c r="N1077" i="2"/>
  <c r="N1078" i="2" s="1"/>
  <c r="N1079" i="2" s="1"/>
  <c r="O1078" i="2"/>
  <c r="O1079" i="2" s="1"/>
  <c r="O1080" i="2" s="1"/>
  <c r="R1078" i="2"/>
  <c r="M1080" i="2"/>
  <c r="M1081" i="2" s="1"/>
  <c r="M1082" i="2" s="1"/>
  <c r="M1083" i="2" s="1"/>
  <c r="N1080" i="2"/>
  <c r="N1081" i="2" s="1"/>
  <c r="N1082" i="2" s="1"/>
  <c r="N1083" i="2" s="1"/>
  <c r="O1081" i="2"/>
  <c r="O1082" i="2" s="1"/>
  <c r="O1083" i="2" s="1"/>
  <c r="O1084" i="2" s="1"/>
  <c r="K1083" i="2"/>
  <c r="K1084" i="2" s="1"/>
  <c r="L1083" i="2"/>
  <c r="L1084" i="2" s="1"/>
  <c r="L1085" i="2" s="1"/>
  <c r="L1086" i="2" s="1"/>
  <c r="L1087" i="2" s="1"/>
  <c r="L1088" i="2" s="1"/>
  <c r="L1089" i="2" s="1"/>
  <c r="L1090" i="2" s="1"/>
  <c r="L1091" i="2" s="1"/>
  <c r="L1092" i="2" s="1"/>
  <c r="L1093" i="2" s="1"/>
  <c r="L1094" i="2" s="1"/>
  <c r="L1095" i="2" s="1"/>
  <c r="M1084" i="2"/>
  <c r="M1085" i="2" s="1"/>
  <c r="M1086" i="2" s="1"/>
  <c r="N1084" i="2"/>
  <c r="N1085" i="2" s="1"/>
  <c r="N1086" i="2" s="1"/>
  <c r="O1085" i="2"/>
  <c r="O1086" i="2" s="1"/>
  <c r="O1087" i="2" s="1"/>
  <c r="R1085" i="2"/>
  <c r="M1087" i="2"/>
  <c r="M1088" i="2" s="1"/>
  <c r="M1089" i="2" s="1"/>
  <c r="N1087" i="2"/>
  <c r="N1088" i="2" s="1"/>
  <c r="N1089" i="2" s="1"/>
  <c r="O1088" i="2"/>
  <c r="O1089" i="2" s="1"/>
  <c r="O1090" i="2" s="1"/>
  <c r="R1088" i="2"/>
  <c r="X1088" i="2" s="1"/>
  <c r="M1090" i="2"/>
  <c r="M1091" i="2" s="1"/>
  <c r="M1092" i="2" s="1"/>
  <c r="N1090" i="2"/>
  <c r="N1091" i="2" s="1"/>
  <c r="N1092" i="2" s="1"/>
  <c r="O1091" i="2"/>
  <c r="O1092" i="2" s="1"/>
  <c r="O1093" i="2" s="1"/>
  <c r="R1091" i="2"/>
  <c r="X1091" i="2" s="1"/>
  <c r="M1093" i="2"/>
  <c r="M1094" i="2" s="1"/>
  <c r="M1095" i="2" s="1"/>
  <c r="M1096" i="2" s="1"/>
  <c r="N1093" i="2"/>
  <c r="N1094" i="2" s="1"/>
  <c r="N1095" i="2" s="1"/>
  <c r="N1096" i="2" s="1"/>
  <c r="O1094" i="2"/>
  <c r="O1095" i="2" s="1"/>
  <c r="O1096" i="2" s="1"/>
  <c r="O1097" i="2" s="1"/>
  <c r="K1096" i="2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L1096" i="2"/>
  <c r="L1097" i="2" s="1"/>
  <c r="L1098" i="2" s="1"/>
  <c r="L1099" i="2" s="1"/>
  <c r="L1100" i="2" s="1"/>
  <c r="L1101" i="2" s="1"/>
  <c r="L1102" i="2" s="1"/>
  <c r="L1103" i="2" s="1"/>
  <c r="L1104" i="2" s="1"/>
  <c r="L1105" i="2" s="1"/>
  <c r="L1106" i="2" s="1"/>
  <c r="L1107" i="2" s="1"/>
  <c r="L1108" i="2" s="1"/>
  <c r="M1097" i="2"/>
  <c r="N1097" i="2"/>
  <c r="N1098" i="2" s="1"/>
  <c r="N1099" i="2" s="1"/>
  <c r="O1098" i="2"/>
  <c r="O1099" i="2" s="1"/>
  <c r="O1100" i="2" s="1"/>
  <c r="R1098" i="2"/>
  <c r="X1098" i="2" s="1"/>
  <c r="M1100" i="2"/>
  <c r="M1101" i="2" s="1"/>
  <c r="M1102" i="2" s="1"/>
  <c r="N1100" i="2"/>
  <c r="N1101" i="2" s="1"/>
  <c r="N1102" i="2" s="1"/>
  <c r="O1101" i="2"/>
  <c r="O1102" i="2" s="1"/>
  <c r="O1103" i="2" s="1"/>
  <c r="R1101" i="2"/>
  <c r="X1101" i="2" s="1"/>
  <c r="M1103" i="2"/>
  <c r="N1103" i="2"/>
  <c r="N1104" i="2" s="1"/>
  <c r="N1105" i="2" s="1"/>
  <c r="O1104" i="2"/>
  <c r="O1105" i="2" s="1"/>
  <c r="O1106" i="2" s="1"/>
  <c r="R1104" i="2"/>
  <c r="X1104" i="2" s="1"/>
  <c r="M1106" i="2"/>
  <c r="M1107" i="2" s="1"/>
  <c r="M1108" i="2" s="1"/>
  <c r="M1109" i="2" s="1"/>
  <c r="N1106" i="2"/>
  <c r="N1107" i="2" s="1"/>
  <c r="N1108" i="2" s="1"/>
  <c r="N1109" i="2" s="1"/>
  <c r="O1107" i="2"/>
  <c r="O1108" i="2" s="1"/>
  <c r="O1109" i="2" s="1"/>
  <c r="O1110" i="2" s="1"/>
  <c r="K1109" i="2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L1109" i="2"/>
  <c r="L1110" i="2" s="1"/>
  <c r="L1111" i="2" s="1"/>
  <c r="L1112" i="2" s="1"/>
  <c r="L1113" i="2" s="1"/>
  <c r="L1114" i="2" s="1"/>
  <c r="L1115" i="2" s="1"/>
  <c r="L1116" i="2" s="1"/>
  <c r="L1117" i="2" s="1"/>
  <c r="L1118" i="2" s="1"/>
  <c r="L1119" i="2" s="1"/>
  <c r="L1120" i="2" s="1"/>
  <c r="L1121" i="2" s="1"/>
  <c r="M1110" i="2"/>
  <c r="M1111" i="2" s="1"/>
  <c r="M1112" i="2" s="1"/>
  <c r="N1110" i="2"/>
  <c r="N1111" i="2" s="1"/>
  <c r="N1112" i="2" s="1"/>
  <c r="O1111" i="2"/>
  <c r="O1112" i="2" s="1"/>
  <c r="O1113" i="2" s="1"/>
  <c r="R1111" i="2"/>
  <c r="X1111" i="2" s="1"/>
  <c r="M1113" i="2"/>
  <c r="N1113" i="2"/>
  <c r="N1114" i="2" s="1"/>
  <c r="N1115" i="2" s="1"/>
  <c r="O1114" i="2"/>
  <c r="O1115" i="2" s="1"/>
  <c r="O1116" i="2" s="1"/>
  <c r="R1114" i="2"/>
  <c r="X1114" i="2" s="1"/>
  <c r="M1116" i="2"/>
  <c r="M1117" i="2" s="1"/>
  <c r="M1118" i="2" s="1"/>
  <c r="N1116" i="2"/>
  <c r="N1117" i="2" s="1"/>
  <c r="N1118" i="2" s="1"/>
  <c r="O1117" i="2"/>
  <c r="O1118" i="2" s="1"/>
  <c r="O1119" i="2" s="1"/>
  <c r="R1117" i="2"/>
  <c r="X1117" i="2" s="1"/>
  <c r="M1119" i="2"/>
  <c r="N1119" i="2"/>
  <c r="N1120" i="2" s="1"/>
  <c r="N1121" i="2" s="1"/>
  <c r="N1122" i="2" s="1"/>
  <c r="O1120" i="2"/>
  <c r="O1121" i="2" s="1"/>
  <c r="O1122" i="2" s="1"/>
  <c r="O1123" i="2" s="1"/>
  <c r="K1122" i="2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L1122" i="2"/>
  <c r="L1123" i="2" s="1"/>
  <c r="L1124" i="2" s="1"/>
  <c r="L1125" i="2" s="1"/>
  <c r="L1126" i="2" s="1"/>
  <c r="L1127" i="2" s="1"/>
  <c r="L1128" i="2" s="1"/>
  <c r="L1129" i="2" s="1"/>
  <c r="L1130" i="2" s="1"/>
  <c r="L1131" i="2" s="1"/>
  <c r="L1132" i="2" s="1"/>
  <c r="L1133" i="2" s="1"/>
  <c r="L1134" i="2" s="1"/>
  <c r="L1135" i="2" s="1"/>
  <c r="M1123" i="2"/>
  <c r="N1123" i="2"/>
  <c r="N1124" i="2" s="1"/>
  <c r="N1125" i="2" s="1"/>
  <c r="O1124" i="2"/>
  <c r="O1125" i="2" s="1"/>
  <c r="O1126" i="2" s="1"/>
  <c r="R1124" i="2"/>
  <c r="X1124" i="2" s="1"/>
  <c r="M1126" i="2"/>
  <c r="M1127" i="2" s="1"/>
  <c r="M1128" i="2" s="1"/>
  <c r="N1126" i="2"/>
  <c r="N1127" i="2" s="1"/>
  <c r="N1128" i="2" s="1"/>
  <c r="O1127" i="2"/>
  <c r="O1128" i="2" s="1"/>
  <c r="O1129" i="2" s="1"/>
  <c r="R1127" i="2"/>
  <c r="X1127" i="2" s="1"/>
  <c r="M1129" i="2"/>
  <c r="N1129" i="2"/>
  <c r="N1130" i="2" s="1"/>
  <c r="N1131" i="2" s="1"/>
  <c r="O1130" i="2"/>
  <c r="O1131" i="2" s="1"/>
  <c r="O1132" i="2" s="1"/>
  <c r="R1130" i="2"/>
  <c r="X1130" i="2" s="1"/>
  <c r="M1132" i="2"/>
  <c r="M1133" i="2" s="1"/>
  <c r="M1134" i="2" s="1"/>
  <c r="M1135" i="2" s="1"/>
  <c r="M1136" i="2" s="1"/>
  <c r="N1132" i="2"/>
  <c r="N1133" i="2" s="1"/>
  <c r="N1134" i="2" s="1"/>
  <c r="N1135" i="2" s="1"/>
  <c r="N1136" i="2" s="1"/>
  <c r="O1133" i="2"/>
  <c r="O1134" i="2" s="1"/>
  <c r="O1135" i="2" s="1"/>
  <c r="O1136" i="2" s="1"/>
  <c r="O1137" i="2" s="1"/>
  <c r="I1135" i="2"/>
  <c r="J1135" i="2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K1136" i="2"/>
  <c r="K1137" i="2" s="1"/>
  <c r="K1138" i="2" s="1"/>
  <c r="K1139" i="2" s="1"/>
  <c r="L1136" i="2"/>
  <c r="L1137" i="2" s="1"/>
  <c r="L1138" i="2" s="1"/>
  <c r="L1139" i="2" s="1"/>
  <c r="M1137" i="2"/>
  <c r="M1138" i="2" s="1"/>
  <c r="M1139" i="2" s="1"/>
  <c r="M1140" i="2" s="1"/>
  <c r="N1137" i="2"/>
  <c r="N1138" i="2" s="1"/>
  <c r="N1139" i="2" s="1"/>
  <c r="N1140" i="2" s="1"/>
  <c r="O1138" i="2"/>
  <c r="O1139" i="2" s="1"/>
  <c r="O1140" i="2" s="1"/>
  <c r="O1141" i="2" s="1"/>
  <c r="R1138" i="2"/>
  <c r="X1138" i="2" s="1"/>
  <c r="K1140" i="2"/>
  <c r="L1140" i="2"/>
  <c r="L1141" i="2" s="1"/>
  <c r="L1142" i="2" s="1"/>
  <c r="L1143" i="2" s="1"/>
  <c r="M1141" i="2"/>
  <c r="M1142" i="2" s="1"/>
  <c r="M1143" i="2" s="1"/>
  <c r="M1144" i="2" s="1"/>
  <c r="N1141" i="2"/>
  <c r="N1142" i="2" s="1"/>
  <c r="N1143" i="2" s="1"/>
  <c r="N1144" i="2" s="1"/>
  <c r="O1142" i="2"/>
  <c r="O1143" i="2" s="1"/>
  <c r="O1144" i="2" s="1"/>
  <c r="O1145" i="2" s="1"/>
  <c r="R1142" i="2"/>
  <c r="K1144" i="2"/>
  <c r="K1145" i="2" s="1"/>
  <c r="K1146" i="2" s="1"/>
  <c r="K1147" i="2" s="1"/>
  <c r="L1144" i="2"/>
  <c r="L1145" i="2" s="1"/>
  <c r="L1146" i="2" s="1"/>
  <c r="L1147" i="2" s="1"/>
  <c r="M1145" i="2"/>
  <c r="N1145" i="2"/>
  <c r="N1146" i="2" s="1"/>
  <c r="N1147" i="2" s="1"/>
  <c r="N1148" i="2" s="1"/>
  <c r="O1146" i="2"/>
  <c r="O1147" i="2" s="1"/>
  <c r="O1148" i="2" s="1"/>
  <c r="O1149" i="2" s="1"/>
  <c r="R1146" i="2"/>
  <c r="K1148" i="2"/>
  <c r="K1149" i="2" s="1"/>
  <c r="K1150" i="2" s="1"/>
  <c r="K1151" i="2" s="1"/>
  <c r="L1148" i="2"/>
  <c r="L1149" i="2" s="1"/>
  <c r="L1150" i="2" s="1"/>
  <c r="L1151" i="2" s="1"/>
  <c r="M1149" i="2"/>
  <c r="M1150" i="2" s="1"/>
  <c r="M1151" i="2" s="1"/>
  <c r="M1152" i="2" s="1"/>
  <c r="N1149" i="2"/>
  <c r="N1150" i="2" s="1"/>
  <c r="N1151" i="2" s="1"/>
  <c r="N1152" i="2" s="1"/>
  <c r="O1150" i="2"/>
  <c r="O1151" i="2" s="1"/>
  <c r="O1152" i="2" s="1"/>
  <c r="O1153" i="2" s="1"/>
  <c r="R1150" i="2"/>
  <c r="X1150" i="2" s="1"/>
  <c r="K1152" i="2"/>
  <c r="K1153" i="2" s="1"/>
  <c r="K1154" i="2" s="1"/>
  <c r="K1155" i="2" s="1"/>
  <c r="L1152" i="2"/>
  <c r="L1153" i="2" s="1"/>
  <c r="L1154" i="2" s="1"/>
  <c r="L1155" i="2" s="1"/>
  <c r="M1153" i="2"/>
  <c r="N1153" i="2"/>
  <c r="N1154" i="2" s="1"/>
  <c r="N1155" i="2" s="1"/>
  <c r="N1156" i="2" s="1"/>
  <c r="O1154" i="2"/>
  <c r="O1155" i="2" s="1"/>
  <c r="O1156" i="2" s="1"/>
  <c r="O1157" i="2" s="1"/>
  <c r="R1154" i="2"/>
  <c r="X1154" i="2" s="1"/>
  <c r="K1156" i="2"/>
  <c r="L1156" i="2"/>
  <c r="L1157" i="2" s="1"/>
  <c r="L1158" i="2" s="1"/>
  <c r="L1159" i="2" s="1"/>
  <c r="L1160" i="2" s="1"/>
  <c r="M1157" i="2"/>
  <c r="M1158" i="2" s="1"/>
  <c r="M1159" i="2" s="1"/>
  <c r="M1160" i="2" s="1"/>
  <c r="M1161" i="2" s="1"/>
  <c r="N1157" i="2"/>
  <c r="N1158" i="2" s="1"/>
  <c r="N1159" i="2" s="1"/>
  <c r="N1160" i="2" s="1"/>
  <c r="N1161" i="2" s="1"/>
  <c r="O1158" i="2"/>
  <c r="O1159" i="2" s="1"/>
  <c r="O1160" i="2" s="1"/>
  <c r="O1161" i="2" s="1"/>
  <c r="O1162" i="2" s="1"/>
  <c r="R1158" i="2"/>
  <c r="I1160" i="2"/>
  <c r="I1161" i="2" s="1"/>
  <c r="J1160" i="2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K1161" i="2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L1161" i="2"/>
  <c r="L1162" i="2" s="1"/>
  <c r="L1163" i="2" s="1"/>
  <c r="L1164" i="2" s="1"/>
  <c r="L1165" i="2" s="1"/>
  <c r="L1166" i="2" s="1"/>
  <c r="L1167" i="2" s="1"/>
  <c r="L1168" i="2" s="1"/>
  <c r="L1169" i="2" s="1"/>
  <c r="L1170" i="2" s="1"/>
  <c r="L1171" i="2" s="1"/>
  <c r="M1162" i="2"/>
  <c r="M1163" i="2" s="1"/>
  <c r="M1164" i="2" s="1"/>
  <c r="N1162" i="2"/>
  <c r="N1163" i="2" s="1"/>
  <c r="N1164" i="2" s="1"/>
  <c r="O1163" i="2"/>
  <c r="O1164" i="2" s="1"/>
  <c r="O1165" i="2" s="1"/>
  <c r="R1163" i="2"/>
  <c r="X1163" i="2" s="1"/>
  <c r="M1165" i="2"/>
  <c r="N1165" i="2"/>
  <c r="N1166" i="2" s="1"/>
  <c r="N1167" i="2" s="1"/>
  <c r="O1166" i="2"/>
  <c r="O1167" i="2" s="1"/>
  <c r="O1168" i="2" s="1"/>
  <c r="R1166" i="2"/>
  <c r="X1166" i="2" s="1"/>
  <c r="M1168" i="2"/>
  <c r="M1169" i="2" s="1"/>
  <c r="M1170" i="2" s="1"/>
  <c r="M1171" i="2" s="1"/>
  <c r="M1172" i="2" s="1"/>
  <c r="N1168" i="2"/>
  <c r="N1169" i="2" s="1"/>
  <c r="N1170" i="2" s="1"/>
  <c r="N1171" i="2" s="1"/>
  <c r="N1172" i="2" s="1"/>
  <c r="O1169" i="2"/>
  <c r="O1170" i="2" s="1"/>
  <c r="O1171" i="2" s="1"/>
  <c r="O1172" i="2" s="1"/>
  <c r="O1173" i="2" s="1"/>
  <c r="R1169" i="2"/>
  <c r="X1169" i="2" s="1"/>
  <c r="I1171" i="2"/>
  <c r="J1171" i="2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K1172" i="2"/>
  <c r="L1172" i="2"/>
  <c r="L1173" i="2" s="1"/>
  <c r="L1174" i="2" s="1"/>
  <c r="L1175" i="2" s="1"/>
  <c r="L1176" i="2" s="1"/>
  <c r="L1177" i="2" s="1"/>
  <c r="L1178" i="2" s="1"/>
  <c r="L1179" i="2" s="1"/>
  <c r="L1180" i="2" s="1"/>
  <c r="L1181" i="2" s="1"/>
  <c r="L1182" i="2" s="1"/>
  <c r="L1183" i="2" s="1"/>
  <c r="L1184" i="2" s="1"/>
  <c r="L1185" i="2" s="1"/>
  <c r="L1186" i="2" s="1"/>
  <c r="L1187" i="2" s="1"/>
  <c r="L1188" i="2" s="1"/>
  <c r="L1189" i="2" s="1"/>
  <c r="L1190" i="2" s="1"/>
  <c r="L1191" i="2" s="1"/>
  <c r="M1173" i="2"/>
  <c r="M1174" i="2" s="1"/>
  <c r="M1175" i="2" s="1"/>
  <c r="M1176" i="2" s="1"/>
  <c r="N1173" i="2"/>
  <c r="N1174" i="2" s="1"/>
  <c r="N1175" i="2" s="1"/>
  <c r="N1176" i="2" s="1"/>
  <c r="O1174" i="2"/>
  <c r="O1175" i="2" s="1"/>
  <c r="O1176" i="2" s="1"/>
  <c r="O1177" i="2" s="1"/>
  <c r="R1174" i="2"/>
  <c r="M1177" i="2"/>
  <c r="N1177" i="2"/>
  <c r="N1178" i="2" s="1"/>
  <c r="N1179" i="2" s="1"/>
  <c r="N1180" i="2" s="1"/>
  <c r="N1181" i="2" s="1"/>
  <c r="N1182" i="2" s="1"/>
  <c r="N1183" i="2" s="1"/>
  <c r="N1184" i="2" s="1"/>
  <c r="N1185" i="2" s="1"/>
  <c r="N1186" i="2" s="1"/>
  <c r="O1178" i="2"/>
  <c r="O1179" i="2" s="1"/>
  <c r="O1180" i="2" s="1"/>
  <c r="O1181" i="2" s="1"/>
  <c r="O1182" i="2" s="1"/>
  <c r="O1183" i="2" s="1"/>
  <c r="O1184" i="2" s="1"/>
  <c r="O1185" i="2" s="1"/>
  <c r="O1186" i="2" s="1"/>
  <c r="O1187" i="2" s="1"/>
  <c r="R1178" i="2"/>
  <c r="M1187" i="2"/>
  <c r="M1188" i="2" s="1"/>
  <c r="M1189" i="2" s="1"/>
  <c r="M1190" i="2" s="1"/>
  <c r="M1191" i="2" s="1"/>
  <c r="M1192" i="2" s="1"/>
  <c r="N1187" i="2"/>
  <c r="N1188" i="2" s="1"/>
  <c r="N1189" i="2" s="1"/>
  <c r="N1190" i="2" s="1"/>
  <c r="N1191" i="2" s="1"/>
  <c r="N1192" i="2" s="1"/>
  <c r="O1188" i="2"/>
  <c r="O1189" i="2" s="1"/>
  <c r="O1190" i="2" s="1"/>
  <c r="O1191" i="2" s="1"/>
  <c r="O1192" i="2" s="1"/>
  <c r="O1193" i="2" s="1"/>
  <c r="R1188" i="2"/>
  <c r="R1189" i="2" s="1"/>
  <c r="I1191" i="2"/>
  <c r="J1191" i="2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K1192" i="2"/>
  <c r="K1193" i="2" s="1"/>
  <c r="K1194" i="2" s="1"/>
  <c r="K1195" i="2" s="1"/>
  <c r="K1196" i="2" s="1"/>
  <c r="K1197" i="2" s="1"/>
  <c r="K1198" i="2" s="1"/>
  <c r="L1192" i="2"/>
  <c r="L1193" i="2" s="1"/>
  <c r="L1194" i="2" s="1"/>
  <c r="L1195" i="2" s="1"/>
  <c r="L1196" i="2" s="1"/>
  <c r="L1197" i="2" s="1"/>
  <c r="L1198" i="2" s="1"/>
  <c r="M1193" i="2"/>
  <c r="N1193" i="2"/>
  <c r="N1194" i="2" s="1"/>
  <c r="N1195" i="2" s="1"/>
  <c r="N1196" i="2" s="1"/>
  <c r="N1197" i="2" s="1"/>
  <c r="N1198" i="2" s="1"/>
  <c r="N1199" i="2" s="1"/>
  <c r="O1194" i="2"/>
  <c r="O1195" i="2" s="1"/>
  <c r="R1194" i="2"/>
  <c r="X1194" i="2" s="1"/>
  <c r="O1196" i="2"/>
  <c r="O1197" i="2" s="1"/>
  <c r="O1198" i="2" s="1"/>
  <c r="O1199" i="2" s="1"/>
  <c r="O1200" i="2" s="1"/>
  <c r="R1196" i="2"/>
  <c r="X1196" i="2" s="1"/>
  <c r="K1199" i="2"/>
  <c r="L1199" i="2"/>
  <c r="L1200" i="2" s="1"/>
  <c r="L1201" i="2" s="1"/>
  <c r="L1202" i="2" s="1"/>
  <c r="M1200" i="2"/>
  <c r="M1201" i="2" s="1"/>
  <c r="M1202" i="2" s="1"/>
  <c r="M1203" i="2" s="1"/>
  <c r="N1200" i="2"/>
  <c r="N1201" i="2" s="1"/>
  <c r="N1202" i="2" s="1"/>
  <c r="N1203" i="2" s="1"/>
  <c r="O1201" i="2"/>
  <c r="O1202" i="2" s="1"/>
  <c r="O1203" i="2" s="1"/>
  <c r="O1204" i="2" s="1"/>
  <c r="R1201" i="2"/>
  <c r="X1201" i="2" s="1"/>
  <c r="K1203" i="2"/>
  <c r="K1204" i="2" s="1"/>
  <c r="K1205" i="2" s="1"/>
  <c r="K1206" i="2" s="1"/>
  <c r="K1207" i="2" s="1"/>
  <c r="K1208" i="2" s="1"/>
  <c r="K1209" i="2" s="1"/>
  <c r="K1210" i="2" s="1"/>
  <c r="L1203" i="2"/>
  <c r="L1204" i="2" s="1"/>
  <c r="L1205" i="2" s="1"/>
  <c r="L1206" i="2" s="1"/>
  <c r="L1207" i="2" s="1"/>
  <c r="L1208" i="2" s="1"/>
  <c r="L1209" i="2" s="1"/>
  <c r="L1210" i="2" s="1"/>
  <c r="M1204" i="2"/>
  <c r="M1205" i="2" s="1"/>
  <c r="M1206" i="2" s="1"/>
  <c r="M1207" i="2" s="1"/>
  <c r="M1208" i="2" s="1"/>
  <c r="M1209" i="2" s="1"/>
  <c r="M1210" i="2" s="1"/>
  <c r="M1211" i="2" s="1"/>
  <c r="N1204" i="2"/>
  <c r="N1205" i="2" s="1"/>
  <c r="N1206" i="2" s="1"/>
  <c r="N1207" i="2" s="1"/>
  <c r="N1208" i="2" s="1"/>
  <c r="N1209" i="2" s="1"/>
  <c r="N1210" i="2" s="1"/>
  <c r="N1211" i="2" s="1"/>
  <c r="O1205" i="2"/>
  <c r="O1206" i="2" s="1"/>
  <c r="R1205" i="2"/>
  <c r="O1207" i="2"/>
  <c r="O1208" i="2" s="1"/>
  <c r="O1209" i="2" s="1"/>
  <c r="O1210" i="2" s="1"/>
  <c r="O1211" i="2" s="1"/>
  <c r="O1212" i="2" s="1"/>
  <c r="R1207" i="2"/>
  <c r="X1207" i="2" s="1"/>
  <c r="I1210" i="2"/>
  <c r="J1210" i="2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K1211" i="2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L1211" i="2"/>
  <c r="L1212" i="2" s="1"/>
  <c r="L1213" i="2" s="1"/>
  <c r="L1214" i="2" s="1"/>
  <c r="L1215" i="2" s="1"/>
  <c r="L1216" i="2" s="1"/>
  <c r="L1217" i="2" s="1"/>
  <c r="L1218" i="2" s="1"/>
  <c r="L1219" i="2" s="1"/>
  <c r="L1220" i="2" s="1"/>
  <c r="L1221" i="2" s="1"/>
  <c r="L1222" i="2" s="1"/>
  <c r="L1223" i="2" s="1"/>
  <c r="L1224" i="2" s="1"/>
  <c r="L1225" i="2" s="1"/>
  <c r="L1226" i="2" s="1"/>
  <c r="L1227" i="2" s="1"/>
  <c r="L1228" i="2" s="1"/>
  <c r="L1229" i="2" s="1"/>
  <c r="L1230" i="2" s="1"/>
  <c r="L1231" i="2" s="1"/>
  <c r="L1232" i="2" s="1"/>
  <c r="L1233" i="2" s="1"/>
  <c r="L1234" i="2" s="1"/>
  <c r="L1235" i="2" s="1"/>
  <c r="L1236" i="2" s="1"/>
  <c r="L1237" i="2" s="1"/>
  <c r="L1238" i="2" s="1"/>
  <c r="L1239" i="2" s="1"/>
  <c r="L1240" i="2" s="1"/>
  <c r="L1241" i="2" s="1"/>
  <c r="L1242" i="2" s="1"/>
  <c r="M1212" i="2"/>
  <c r="N1212" i="2"/>
  <c r="N1213" i="2" s="1"/>
  <c r="N1214" i="2" s="1"/>
  <c r="N1215" i="2" s="1"/>
  <c r="N1216" i="2" s="1"/>
  <c r="N1217" i="2" s="1"/>
  <c r="N1218" i="2" s="1"/>
  <c r="N1219" i="2" s="1"/>
  <c r="N1220" i="2" s="1"/>
  <c r="N1221" i="2" s="1"/>
  <c r="N1222" i="2" s="1"/>
  <c r="N1223" i="2" s="1"/>
  <c r="O1213" i="2"/>
  <c r="O1214" i="2" s="1"/>
  <c r="R1213" i="2"/>
  <c r="X1213" i="2" s="1"/>
  <c r="O1215" i="2"/>
  <c r="O1216" i="2" s="1"/>
  <c r="R1215" i="2"/>
  <c r="X1215" i="2" s="1"/>
  <c r="O1217" i="2"/>
  <c r="O1218" i="2" s="1"/>
  <c r="R1217" i="2"/>
  <c r="X1217" i="2" s="1"/>
  <c r="O1219" i="2"/>
  <c r="O1220" i="2" s="1"/>
  <c r="O1221" i="2" s="1"/>
  <c r="O1222" i="2" s="1"/>
  <c r="O1223" i="2" s="1"/>
  <c r="O1224" i="2" s="1"/>
  <c r="R1219" i="2"/>
  <c r="X1219" i="2" s="1"/>
  <c r="M1224" i="2"/>
  <c r="N1224" i="2"/>
  <c r="N1225" i="2" s="1"/>
  <c r="N1226" i="2" s="1"/>
  <c r="N1227" i="2" s="1"/>
  <c r="N1228" i="2" s="1"/>
  <c r="N1229" i="2" s="1"/>
  <c r="O1225" i="2"/>
  <c r="O1226" i="2" s="1"/>
  <c r="O1227" i="2" s="1"/>
  <c r="O1228" i="2" s="1"/>
  <c r="O1229" i="2" s="1"/>
  <c r="O1230" i="2" s="1"/>
  <c r="R1225" i="2"/>
  <c r="X1225" i="2" s="1"/>
  <c r="M1230" i="2"/>
  <c r="N1230" i="2"/>
  <c r="N1231" i="2" s="1"/>
  <c r="N1232" i="2" s="1"/>
  <c r="N1233" i="2" s="1"/>
  <c r="O1231" i="2"/>
  <c r="O1232" i="2" s="1"/>
  <c r="O1233" i="2" s="1"/>
  <c r="O1234" i="2" s="1"/>
  <c r="R1231" i="2"/>
  <c r="M1234" i="2"/>
  <c r="M1235" i="2" s="1"/>
  <c r="M1236" i="2" s="1"/>
  <c r="M1237" i="2" s="1"/>
  <c r="M1238" i="2" s="1"/>
  <c r="M1239" i="2" s="1"/>
  <c r="M1240" i="2" s="1"/>
  <c r="M1241" i="2" s="1"/>
  <c r="M1242" i="2" s="1"/>
  <c r="M1243" i="2" s="1"/>
  <c r="N1234" i="2"/>
  <c r="N1235" i="2" s="1"/>
  <c r="N1236" i="2" s="1"/>
  <c r="N1237" i="2" s="1"/>
  <c r="N1238" i="2" s="1"/>
  <c r="N1239" i="2" s="1"/>
  <c r="N1240" i="2" s="1"/>
  <c r="N1241" i="2" s="1"/>
  <c r="N1242" i="2" s="1"/>
  <c r="N1243" i="2" s="1"/>
  <c r="O1235" i="2"/>
  <c r="O1236" i="2" s="1"/>
  <c r="R1235" i="2"/>
  <c r="X1235" i="2" s="1"/>
  <c r="O1237" i="2"/>
  <c r="O1238" i="2" s="1"/>
  <c r="R1237" i="2"/>
  <c r="O1239" i="2"/>
  <c r="O1240" i="2" s="1"/>
  <c r="R1239" i="2"/>
  <c r="R1240" i="2" s="1"/>
  <c r="O1241" i="2"/>
  <c r="O1242" i="2" s="1"/>
  <c r="O1243" i="2" s="1"/>
  <c r="O1244" i="2" s="1"/>
  <c r="R1241" i="2"/>
  <c r="K1243" i="2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L1243" i="2"/>
  <c r="L1244" i="2" s="1"/>
  <c r="L1245" i="2" s="1"/>
  <c r="L1246" i="2" s="1"/>
  <c r="L1247" i="2" s="1"/>
  <c r="L1248" i="2" s="1"/>
  <c r="L1249" i="2" s="1"/>
  <c r="L1250" i="2" s="1"/>
  <c r="L1251" i="2" s="1"/>
  <c r="L1252" i="2" s="1"/>
  <c r="L1253" i="2" s="1"/>
  <c r="L1254" i="2" s="1"/>
  <c r="L1255" i="2" s="1"/>
  <c r="L1256" i="2" s="1"/>
  <c r="L1257" i="2" s="1"/>
  <c r="L1258" i="2" s="1"/>
  <c r="L1259" i="2" s="1"/>
  <c r="L1260" i="2" s="1"/>
  <c r="L1261" i="2" s="1"/>
  <c r="L1262" i="2" s="1"/>
  <c r="L1263" i="2" s="1"/>
  <c r="L1264" i="2" s="1"/>
  <c r="L1265" i="2" s="1"/>
  <c r="L1266" i="2" s="1"/>
  <c r="L1267" i="2" s="1"/>
  <c r="L1268" i="2" s="1"/>
  <c r="L1269" i="2" s="1"/>
  <c r="L1270" i="2" s="1"/>
  <c r="L1271" i="2" s="1"/>
  <c r="L1272" i="2" s="1"/>
  <c r="L1273" i="2" s="1"/>
  <c r="L1274" i="2" s="1"/>
  <c r="M1244" i="2"/>
  <c r="M1245" i="2" s="1"/>
  <c r="M1246" i="2" s="1"/>
  <c r="M1247" i="2" s="1"/>
  <c r="M1248" i="2" s="1"/>
  <c r="M1249" i="2" s="1"/>
  <c r="M1250" i="2" s="1"/>
  <c r="M1251" i="2" s="1"/>
  <c r="M1252" i="2" s="1"/>
  <c r="M1253" i="2" s="1"/>
  <c r="M1254" i="2" s="1"/>
  <c r="M1255" i="2" s="1"/>
  <c r="N1244" i="2"/>
  <c r="N1245" i="2" s="1"/>
  <c r="N1246" i="2" s="1"/>
  <c r="N1247" i="2" s="1"/>
  <c r="N1248" i="2" s="1"/>
  <c r="N1249" i="2" s="1"/>
  <c r="N1250" i="2" s="1"/>
  <c r="N1251" i="2" s="1"/>
  <c r="N1252" i="2" s="1"/>
  <c r="N1253" i="2" s="1"/>
  <c r="N1254" i="2" s="1"/>
  <c r="N1255" i="2" s="1"/>
  <c r="O1245" i="2"/>
  <c r="O1246" i="2" s="1"/>
  <c r="R1245" i="2"/>
  <c r="R1246" i="2" s="1"/>
  <c r="O1247" i="2"/>
  <c r="O1248" i="2" s="1"/>
  <c r="R1247" i="2"/>
  <c r="X1247" i="2" s="1"/>
  <c r="O1249" i="2"/>
  <c r="O1250" i="2" s="1"/>
  <c r="R1249" i="2"/>
  <c r="X1249" i="2" s="1"/>
  <c r="O1251" i="2"/>
  <c r="O1252" i="2" s="1"/>
  <c r="O1253" i="2" s="1"/>
  <c r="O1254" i="2" s="1"/>
  <c r="O1255" i="2" s="1"/>
  <c r="O1256" i="2" s="1"/>
  <c r="R1251" i="2"/>
  <c r="M1256" i="2"/>
  <c r="M1257" i="2" s="1"/>
  <c r="M1258" i="2" s="1"/>
  <c r="M1259" i="2" s="1"/>
  <c r="M1260" i="2" s="1"/>
  <c r="M1261" i="2" s="1"/>
  <c r="N1256" i="2"/>
  <c r="N1257" i="2" s="1"/>
  <c r="N1258" i="2" s="1"/>
  <c r="N1259" i="2" s="1"/>
  <c r="N1260" i="2" s="1"/>
  <c r="N1261" i="2" s="1"/>
  <c r="O1257" i="2"/>
  <c r="O1258" i="2" s="1"/>
  <c r="O1259" i="2" s="1"/>
  <c r="O1260" i="2" s="1"/>
  <c r="O1261" i="2" s="1"/>
  <c r="O1262" i="2" s="1"/>
  <c r="R1257" i="2"/>
  <c r="M1262" i="2"/>
  <c r="M1263" i="2" s="1"/>
  <c r="M1264" i="2" s="1"/>
  <c r="M1265" i="2" s="1"/>
  <c r="N1262" i="2"/>
  <c r="N1263" i="2" s="1"/>
  <c r="N1264" i="2" s="1"/>
  <c r="N1265" i="2" s="1"/>
  <c r="O1263" i="2"/>
  <c r="O1264" i="2" s="1"/>
  <c r="O1265" i="2" s="1"/>
  <c r="O1266" i="2" s="1"/>
  <c r="R1263" i="2"/>
  <c r="X1263" i="2" s="1"/>
  <c r="M1266" i="2"/>
  <c r="N1266" i="2"/>
  <c r="N1267" i="2" s="1"/>
  <c r="N1268" i="2" s="1"/>
  <c r="N1269" i="2" s="1"/>
  <c r="N1270" i="2" s="1"/>
  <c r="N1271" i="2" s="1"/>
  <c r="N1272" i="2" s="1"/>
  <c r="N1273" i="2" s="1"/>
  <c r="N1274" i="2" s="1"/>
  <c r="N1275" i="2" s="1"/>
  <c r="O1267" i="2"/>
  <c r="O1268" i="2" s="1"/>
  <c r="R1267" i="2"/>
  <c r="X1267" i="2" s="1"/>
  <c r="O1269" i="2"/>
  <c r="O1270" i="2" s="1"/>
  <c r="R1269" i="2"/>
  <c r="X1269" i="2" s="1"/>
  <c r="O1271" i="2"/>
  <c r="O1272" i="2" s="1"/>
  <c r="R1271" i="2"/>
  <c r="X1271" i="2" s="1"/>
  <c r="O1273" i="2"/>
  <c r="O1274" i="2" s="1"/>
  <c r="O1275" i="2" s="1"/>
  <c r="O1276" i="2" s="1"/>
  <c r="R1273" i="2"/>
  <c r="X1273" i="2" s="1"/>
  <c r="K1275" i="2"/>
  <c r="L1275" i="2"/>
  <c r="L1276" i="2" s="1"/>
  <c r="L1277" i="2" s="1"/>
  <c r="L1278" i="2" s="1"/>
  <c r="L1279" i="2" s="1"/>
  <c r="L1280" i="2" s="1"/>
  <c r="L1281" i="2" s="1"/>
  <c r="L1282" i="2" s="1"/>
  <c r="L1283" i="2" s="1"/>
  <c r="L1284" i="2" s="1"/>
  <c r="L1285" i="2" s="1"/>
  <c r="L1286" i="2" s="1"/>
  <c r="L1287" i="2" s="1"/>
  <c r="L1288" i="2" s="1"/>
  <c r="L1289" i="2" s="1"/>
  <c r="L1290" i="2" s="1"/>
  <c r="L1291" i="2" s="1"/>
  <c r="L1292" i="2" s="1"/>
  <c r="L1293" i="2" s="1"/>
  <c r="L1294" i="2" s="1"/>
  <c r="L1295" i="2" s="1"/>
  <c r="L1296" i="2" s="1"/>
  <c r="L1297" i="2" s="1"/>
  <c r="L1298" i="2" s="1"/>
  <c r="L1299" i="2" s="1"/>
  <c r="L1300" i="2" s="1"/>
  <c r="L1301" i="2" s="1"/>
  <c r="L1302" i="2" s="1"/>
  <c r="L1303" i="2" s="1"/>
  <c r="L1304" i="2" s="1"/>
  <c r="L1305" i="2" s="1"/>
  <c r="L1306" i="2" s="1"/>
  <c r="M1276" i="2"/>
  <c r="N1276" i="2"/>
  <c r="N1277" i="2" s="1"/>
  <c r="N1278" i="2" s="1"/>
  <c r="N1279" i="2" s="1"/>
  <c r="N1280" i="2" s="1"/>
  <c r="N1281" i="2" s="1"/>
  <c r="N1282" i="2" s="1"/>
  <c r="N1283" i="2" s="1"/>
  <c r="N1284" i="2" s="1"/>
  <c r="N1285" i="2" s="1"/>
  <c r="N1286" i="2" s="1"/>
  <c r="N1287" i="2" s="1"/>
  <c r="O1277" i="2"/>
  <c r="O1278" i="2" s="1"/>
  <c r="R1277" i="2"/>
  <c r="R1278" i="2" s="1"/>
  <c r="O1279" i="2"/>
  <c r="O1280" i="2" s="1"/>
  <c r="R1279" i="2"/>
  <c r="X1279" i="2" s="1"/>
  <c r="O1281" i="2"/>
  <c r="O1282" i="2" s="1"/>
  <c r="R1281" i="2"/>
  <c r="R1282" i="2" s="1"/>
  <c r="U1282" i="2" s="1"/>
  <c r="O1283" i="2"/>
  <c r="O1284" i="2" s="1"/>
  <c r="O1285" i="2" s="1"/>
  <c r="O1286" i="2" s="1"/>
  <c r="O1287" i="2" s="1"/>
  <c r="O1288" i="2" s="1"/>
  <c r="R1283" i="2"/>
  <c r="X1283" i="2" s="1"/>
  <c r="M1288" i="2"/>
  <c r="N1288" i="2"/>
  <c r="N1289" i="2" s="1"/>
  <c r="N1290" i="2" s="1"/>
  <c r="N1291" i="2" s="1"/>
  <c r="N1292" i="2" s="1"/>
  <c r="N1293" i="2" s="1"/>
  <c r="O1289" i="2"/>
  <c r="O1290" i="2" s="1"/>
  <c r="O1291" i="2" s="1"/>
  <c r="O1292" i="2" s="1"/>
  <c r="O1293" i="2" s="1"/>
  <c r="O1294" i="2" s="1"/>
  <c r="R1289" i="2"/>
  <c r="X1289" i="2" s="1"/>
  <c r="M1294" i="2"/>
  <c r="N1294" i="2"/>
  <c r="N1295" i="2" s="1"/>
  <c r="N1296" i="2" s="1"/>
  <c r="N1297" i="2" s="1"/>
  <c r="O1295" i="2"/>
  <c r="O1296" i="2" s="1"/>
  <c r="O1297" i="2" s="1"/>
  <c r="O1298" i="2" s="1"/>
  <c r="R1295" i="2"/>
  <c r="X1295" i="2" s="1"/>
  <c r="M1298" i="2"/>
  <c r="M1299" i="2" s="1"/>
  <c r="M1300" i="2" s="1"/>
  <c r="M1301" i="2" s="1"/>
  <c r="M1302" i="2" s="1"/>
  <c r="M1303" i="2" s="1"/>
  <c r="M1304" i="2" s="1"/>
  <c r="M1305" i="2" s="1"/>
  <c r="M1306" i="2" s="1"/>
  <c r="M1307" i="2" s="1"/>
  <c r="N1298" i="2"/>
  <c r="N1299" i="2" s="1"/>
  <c r="N1300" i="2" s="1"/>
  <c r="N1301" i="2" s="1"/>
  <c r="N1302" i="2" s="1"/>
  <c r="N1303" i="2" s="1"/>
  <c r="N1304" i="2" s="1"/>
  <c r="N1305" i="2" s="1"/>
  <c r="N1306" i="2" s="1"/>
  <c r="N1307" i="2" s="1"/>
  <c r="O1299" i="2"/>
  <c r="O1300" i="2" s="1"/>
  <c r="R1299" i="2"/>
  <c r="X1299" i="2" s="1"/>
  <c r="O1301" i="2"/>
  <c r="O1302" i="2" s="1"/>
  <c r="R1301" i="2"/>
  <c r="X1301" i="2" s="1"/>
  <c r="O1303" i="2"/>
  <c r="O1304" i="2" s="1"/>
  <c r="R1303" i="2"/>
  <c r="O1305" i="2"/>
  <c r="O1306" i="2" s="1"/>
  <c r="O1307" i="2" s="1"/>
  <c r="O1308" i="2" s="1"/>
  <c r="R1305" i="2"/>
  <c r="X1305" i="2" s="1"/>
  <c r="K1307" i="2"/>
  <c r="L1307" i="2"/>
  <c r="L1308" i="2" s="1"/>
  <c r="L1309" i="2" s="1"/>
  <c r="L1310" i="2" s="1"/>
  <c r="L1311" i="2" s="1"/>
  <c r="L1312" i="2" s="1"/>
  <c r="L1313" i="2" s="1"/>
  <c r="L1314" i="2" s="1"/>
  <c r="L1315" i="2" s="1"/>
  <c r="L1316" i="2" s="1"/>
  <c r="L1317" i="2" s="1"/>
  <c r="L1318" i="2" s="1"/>
  <c r="L1319" i="2" s="1"/>
  <c r="L1320" i="2" s="1"/>
  <c r="L1321" i="2" s="1"/>
  <c r="L1322" i="2" s="1"/>
  <c r="L1323" i="2" s="1"/>
  <c r="L1324" i="2" s="1"/>
  <c r="L1325" i="2" s="1"/>
  <c r="L1326" i="2" s="1"/>
  <c r="L1327" i="2" s="1"/>
  <c r="L1328" i="2" s="1"/>
  <c r="L1329" i="2" s="1"/>
  <c r="L1330" i="2" s="1"/>
  <c r="L1331" i="2" s="1"/>
  <c r="L1332" i="2" s="1"/>
  <c r="L1333" i="2" s="1"/>
  <c r="L1334" i="2" s="1"/>
  <c r="L1335" i="2" s="1"/>
  <c r="L1336" i="2" s="1"/>
  <c r="L1337" i="2" s="1"/>
  <c r="L1338" i="2" s="1"/>
  <c r="L1339" i="2" s="1"/>
  <c r="L1340" i="2" s="1"/>
  <c r="L1341" i="2" s="1"/>
  <c r="L1342" i="2" s="1"/>
  <c r="L1343" i="2" s="1"/>
  <c r="L1344" i="2" s="1"/>
  <c r="M1308" i="2"/>
  <c r="M1309" i="2" s="1"/>
  <c r="M1310" i="2" s="1"/>
  <c r="M1311" i="2" s="1"/>
  <c r="M1312" i="2" s="1"/>
  <c r="M1313" i="2" s="1"/>
  <c r="M1314" i="2" s="1"/>
  <c r="M1315" i="2" s="1"/>
  <c r="M1316" i="2" s="1"/>
  <c r="M1317" i="2" s="1"/>
  <c r="M1318" i="2" s="1"/>
  <c r="M1319" i="2" s="1"/>
  <c r="N1308" i="2"/>
  <c r="N1309" i="2" s="1"/>
  <c r="N1310" i="2" s="1"/>
  <c r="N1311" i="2" s="1"/>
  <c r="N1312" i="2" s="1"/>
  <c r="N1313" i="2" s="1"/>
  <c r="N1314" i="2" s="1"/>
  <c r="N1315" i="2" s="1"/>
  <c r="N1316" i="2" s="1"/>
  <c r="N1317" i="2" s="1"/>
  <c r="N1318" i="2" s="1"/>
  <c r="N1319" i="2" s="1"/>
  <c r="O1309" i="2"/>
  <c r="O1310" i="2" s="1"/>
  <c r="R1309" i="2"/>
  <c r="O1311" i="2"/>
  <c r="O1312" i="2" s="1"/>
  <c r="R1311" i="2"/>
  <c r="X1311" i="2" s="1"/>
  <c r="O1313" i="2"/>
  <c r="O1314" i="2" s="1"/>
  <c r="R1313" i="2"/>
  <c r="X1313" i="2" s="1"/>
  <c r="O1315" i="2"/>
  <c r="O1316" i="2" s="1"/>
  <c r="O1317" i="2" s="1"/>
  <c r="O1318" i="2" s="1"/>
  <c r="O1319" i="2" s="1"/>
  <c r="O1320" i="2" s="1"/>
  <c r="R1315" i="2"/>
  <c r="X1315" i="2" s="1"/>
  <c r="M1320" i="2"/>
  <c r="M1321" i="2" s="1"/>
  <c r="M1322" i="2" s="1"/>
  <c r="M1323" i="2" s="1"/>
  <c r="M1324" i="2" s="1"/>
  <c r="M1325" i="2" s="1"/>
  <c r="M1326" i="2" s="1"/>
  <c r="M1327" i="2" s="1"/>
  <c r="M1328" i="2" s="1"/>
  <c r="M1329" i="2" s="1"/>
  <c r="M1330" i="2" s="1"/>
  <c r="M1331" i="2" s="1"/>
  <c r="N1320" i="2"/>
  <c r="N1321" i="2" s="1"/>
  <c r="N1322" i="2" s="1"/>
  <c r="N1323" i="2" s="1"/>
  <c r="N1324" i="2" s="1"/>
  <c r="N1325" i="2" s="1"/>
  <c r="N1326" i="2" s="1"/>
  <c r="N1327" i="2" s="1"/>
  <c r="N1328" i="2" s="1"/>
  <c r="N1329" i="2" s="1"/>
  <c r="N1330" i="2" s="1"/>
  <c r="N1331" i="2" s="1"/>
  <c r="O1321" i="2"/>
  <c r="O1322" i="2" s="1"/>
  <c r="O1323" i="2" s="1"/>
  <c r="O1324" i="2" s="1"/>
  <c r="O1325" i="2" s="1"/>
  <c r="O1326" i="2" s="1"/>
  <c r="R1321" i="2"/>
  <c r="R1322" i="2" s="1"/>
  <c r="U1322" i="2" s="1"/>
  <c r="O1327" i="2"/>
  <c r="O1328" i="2" s="1"/>
  <c r="O1329" i="2" s="1"/>
  <c r="O1330" i="2" s="1"/>
  <c r="O1331" i="2" s="1"/>
  <c r="O1332" i="2" s="1"/>
  <c r="R1327" i="2"/>
  <c r="X1327" i="2" s="1"/>
  <c r="M1332" i="2"/>
  <c r="N1332" i="2"/>
  <c r="N1333" i="2" s="1"/>
  <c r="N1334" i="2" s="1"/>
  <c r="N1335" i="2" s="1"/>
  <c r="O1333" i="2"/>
  <c r="O1334" i="2" s="1"/>
  <c r="O1335" i="2" s="1"/>
  <c r="O1336" i="2" s="1"/>
  <c r="R1333" i="2"/>
  <c r="X1333" i="2" s="1"/>
  <c r="M1336" i="2"/>
  <c r="M1337" i="2" s="1"/>
  <c r="M1338" i="2" s="1"/>
  <c r="M1339" i="2" s="1"/>
  <c r="M1340" i="2" s="1"/>
  <c r="M1341" i="2" s="1"/>
  <c r="M1342" i="2" s="1"/>
  <c r="M1343" i="2" s="1"/>
  <c r="M1344" i="2" s="1"/>
  <c r="M1345" i="2" s="1"/>
  <c r="N1336" i="2"/>
  <c r="N1337" i="2" s="1"/>
  <c r="N1338" i="2" s="1"/>
  <c r="N1339" i="2" s="1"/>
  <c r="N1340" i="2" s="1"/>
  <c r="N1341" i="2" s="1"/>
  <c r="N1342" i="2" s="1"/>
  <c r="N1343" i="2" s="1"/>
  <c r="N1344" i="2" s="1"/>
  <c r="N1345" i="2" s="1"/>
  <c r="O1337" i="2"/>
  <c r="O1338" i="2" s="1"/>
  <c r="R1337" i="2"/>
  <c r="R1338" i="2" s="1"/>
  <c r="U1338" i="2" s="1"/>
  <c r="O1339" i="2"/>
  <c r="O1340" i="2" s="1"/>
  <c r="R1339" i="2"/>
  <c r="R1340" i="2" s="1"/>
  <c r="X1340" i="2" s="1"/>
  <c r="O1341" i="2"/>
  <c r="O1342" i="2" s="1"/>
  <c r="R1341" i="2"/>
  <c r="X1341" i="2" s="1"/>
  <c r="O1343" i="2"/>
  <c r="O1344" i="2" s="1"/>
  <c r="O1345" i="2" s="1"/>
  <c r="O1346" i="2" s="1"/>
  <c r="R1343" i="2"/>
  <c r="K1345" i="2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L1345" i="2"/>
  <c r="L1346" i="2" s="1"/>
  <c r="L1347" i="2" s="1"/>
  <c r="L1348" i="2" s="1"/>
  <c r="L1349" i="2" s="1"/>
  <c r="L1350" i="2" s="1"/>
  <c r="L1351" i="2" s="1"/>
  <c r="L1352" i="2" s="1"/>
  <c r="L1353" i="2" s="1"/>
  <c r="L1354" i="2" s="1"/>
  <c r="L1355" i="2" s="1"/>
  <c r="L1356" i="2" s="1"/>
  <c r="L1357" i="2" s="1"/>
  <c r="L1358" i="2" s="1"/>
  <c r="L1359" i="2" s="1"/>
  <c r="L1360" i="2" s="1"/>
  <c r="L1361" i="2" s="1"/>
  <c r="L1362" i="2" s="1"/>
  <c r="L1363" i="2" s="1"/>
  <c r="L1364" i="2" s="1"/>
  <c r="L1365" i="2" s="1"/>
  <c r="L1366" i="2" s="1"/>
  <c r="L1367" i="2" s="1"/>
  <c r="L1368" i="2" s="1"/>
  <c r="L1369" i="2" s="1"/>
  <c r="M1346" i="2"/>
  <c r="M1347" i="2" s="1"/>
  <c r="M1348" i="2" s="1"/>
  <c r="M1349" i="2" s="1"/>
  <c r="M1350" i="2" s="1"/>
  <c r="M1351" i="2" s="1"/>
  <c r="M1352" i="2" s="1"/>
  <c r="M1353" i="2" s="1"/>
  <c r="M1354" i="2" s="1"/>
  <c r="M1355" i="2" s="1"/>
  <c r="M1356" i="2" s="1"/>
  <c r="M1357" i="2" s="1"/>
  <c r="N1346" i="2"/>
  <c r="N1347" i="2" s="1"/>
  <c r="N1348" i="2" s="1"/>
  <c r="N1349" i="2" s="1"/>
  <c r="N1350" i="2" s="1"/>
  <c r="N1351" i="2" s="1"/>
  <c r="N1352" i="2" s="1"/>
  <c r="N1353" i="2" s="1"/>
  <c r="N1354" i="2" s="1"/>
  <c r="N1355" i="2" s="1"/>
  <c r="N1356" i="2" s="1"/>
  <c r="N1357" i="2" s="1"/>
  <c r="O1347" i="2"/>
  <c r="O1348" i="2" s="1"/>
  <c r="R1347" i="2"/>
  <c r="X1347" i="2" s="1"/>
  <c r="O1349" i="2"/>
  <c r="O1350" i="2" s="1"/>
  <c r="R1349" i="2"/>
  <c r="O1351" i="2"/>
  <c r="O1352" i="2" s="1"/>
  <c r="R1351" i="2"/>
  <c r="X1351" i="2" s="1"/>
  <c r="O1353" i="2"/>
  <c r="O1354" i="2" s="1"/>
  <c r="O1355" i="2" s="1"/>
  <c r="O1356" i="2" s="1"/>
  <c r="O1357" i="2" s="1"/>
  <c r="O1358" i="2" s="1"/>
  <c r="R1353" i="2"/>
  <c r="X1353" i="2" s="1"/>
  <c r="M1358" i="2"/>
  <c r="M1359" i="2" s="1"/>
  <c r="M1360" i="2" s="1"/>
  <c r="M1361" i="2" s="1"/>
  <c r="N1358" i="2"/>
  <c r="N1359" i="2" s="1"/>
  <c r="N1360" i="2" s="1"/>
  <c r="N1361" i="2" s="1"/>
  <c r="O1359" i="2"/>
  <c r="O1360" i="2" s="1"/>
  <c r="O1361" i="2" s="1"/>
  <c r="O1362" i="2" s="1"/>
  <c r="R1359" i="2"/>
  <c r="X1359" i="2" s="1"/>
  <c r="M1362" i="2"/>
  <c r="N1362" i="2"/>
  <c r="N1363" i="2" s="1"/>
  <c r="N1364" i="2" s="1"/>
  <c r="N1365" i="2" s="1"/>
  <c r="N1366" i="2" s="1"/>
  <c r="N1367" i="2" s="1"/>
  <c r="N1368" i="2" s="1"/>
  <c r="N1369" i="2" s="1"/>
  <c r="N1370" i="2" s="1"/>
  <c r="O1363" i="2"/>
  <c r="O1364" i="2" s="1"/>
  <c r="R1363" i="2"/>
  <c r="X1363" i="2" s="1"/>
  <c r="O1365" i="2"/>
  <c r="O1366" i="2" s="1"/>
  <c r="R1365" i="2"/>
  <c r="X1365" i="2" s="1"/>
  <c r="O1367" i="2"/>
  <c r="O1368" i="2" s="1"/>
  <c r="O1369" i="2" s="1"/>
  <c r="O1370" i="2" s="1"/>
  <c r="O1371" i="2" s="1"/>
  <c r="R1367" i="2"/>
  <c r="X1367" i="2" s="1"/>
  <c r="I1369" i="2"/>
  <c r="I1370" i="2" s="1"/>
  <c r="J1369" i="2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K1370" i="2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L1370" i="2"/>
  <c r="L1371" i="2" s="1"/>
  <c r="L1372" i="2" s="1"/>
  <c r="L1373" i="2" s="1"/>
  <c r="L1374" i="2" s="1"/>
  <c r="L1375" i="2" s="1"/>
  <c r="L1376" i="2" s="1"/>
  <c r="L1377" i="2" s="1"/>
  <c r="L1378" i="2" s="1"/>
  <c r="L1379" i="2" s="1"/>
  <c r="L1380" i="2" s="1"/>
  <c r="L1381" i="2" s="1"/>
  <c r="L1382" i="2" s="1"/>
  <c r="L1383" i="2" s="1"/>
  <c r="L1384" i="2" s="1"/>
  <c r="L1385" i="2" s="1"/>
  <c r="M1371" i="2"/>
  <c r="M1372" i="2" s="1"/>
  <c r="M1373" i="2" s="1"/>
  <c r="M1374" i="2" s="1"/>
  <c r="M1375" i="2" s="1"/>
  <c r="M1376" i="2" s="1"/>
  <c r="M1377" i="2" s="1"/>
  <c r="M1378" i="2" s="1"/>
  <c r="M1379" i="2" s="1"/>
  <c r="M1380" i="2" s="1"/>
  <c r="N1371" i="2"/>
  <c r="N1372" i="2" s="1"/>
  <c r="N1373" i="2" s="1"/>
  <c r="N1374" i="2" s="1"/>
  <c r="N1375" i="2" s="1"/>
  <c r="N1376" i="2" s="1"/>
  <c r="N1377" i="2" s="1"/>
  <c r="N1378" i="2" s="1"/>
  <c r="N1379" i="2" s="1"/>
  <c r="N1380" i="2" s="1"/>
  <c r="O1372" i="2"/>
  <c r="O1373" i="2" s="1"/>
  <c r="R1372" i="2"/>
  <c r="X1372" i="2" s="1"/>
  <c r="O1374" i="2"/>
  <c r="O1375" i="2" s="1"/>
  <c r="R1374" i="2"/>
  <c r="O1376" i="2"/>
  <c r="O1377" i="2" s="1"/>
  <c r="O1378" i="2" s="1"/>
  <c r="O1379" i="2" s="1"/>
  <c r="O1380" i="2" s="1"/>
  <c r="O1381" i="2" s="1"/>
  <c r="R1376" i="2"/>
  <c r="M1381" i="2"/>
  <c r="M1382" i="2" s="1"/>
  <c r="M1383" i="2" s="1"/>
  <c r="M1384" i="2" s="1"/>
  <c r="M1385" i="2" s="1"/>
  <c r="M1386" i="2" s="1"/>
  <c r="N1381" i="2"/>
  <c r="N1382" i="2" s="1"/>
  <c r="N1383" i="2" s="1"/>
  <c r="N1384" i="2" s="1"/>
  <c r="N1385" i="2" s="1"/>
  <c r="N1386" i="2" s="1"/>
  <c r="O1382" i="2"/>
  <c r="O1383" i="2" s="1"/>
  <c r="R1382" i="2"/>
  <c r="X1382" i="2" s="1"/>
  <c r="O1384" i="2"/>
  <c r="O1385" i="2" s="1"/>
  <c r="O1386" i="2" s="1"/>
  <c r="O1387" i="2" s="1"/>
  <c r="R1384" i="2"/>
  <c r="X1384" i="2" s="1"/>
  <c r="K1386" i="2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L1386" i="2"/>
  <c r="L1387" i="2" s="1"/>
  <c r="L1388" i="2" s="1"/>
  <c r="L1389" i="2" s="1"/>
  <c r="L1390" i="2" s="1"/>
  <c r="L1391" i="2" s="1"/>
  <c r="L1392" i="2" s="1"/>
  <c r="L1393" i="2" s="1"/>
  <c r="L1394" i="2" s="1"/>
  <c r="L1395" i="2" s="1"/>
  <c r="L1396" i="2" s="1"/>
  <c r="L1397" i="2" s="1"/>
  <c r="L1398" i="2" s="1"/>
  <c r="L1399" i="2" s="1"/>
  <c r="L1400" i="2" s="1"/>
  <c r="L1401" i="2" s="1"/>
  <c r="L1402" i="2" s="1"/>
  <c r="L1403" i="2" s="1"/>
  <c r="L1404" i="2" s="1"/>
  <c r="L1405" i="2" s="1"/>
  <c r="L1406" i="2" s="1"/>
  <c r="L1407" i="2" s="1"/>
  <c r="L1408" i="2" s="1"/>
  <c r="L1409" i="2" s="1"/>
  <c r="L1410" i="2" s="1"/>
  <c r="M1387" i="2"/>
  <c r="M1388" i="2" s="1"/>
  <c r="M1389" i="2" s="1"/>
  <c r="M1390" i="2" s="1"/>
  <c r="M1391" i="2" s="1"/>
  <c r="M1392" i="2" s="1"/>
  <c r="M1393" i="2" s="1"/>
  <c r="M1394" i="2" s="1"/>
  <c r="M1395" i="2" s="1"/>
  <c r="M1396" i="2" s="1"/>
  <c r="N1387" i="2"/>
  <c r="N1388" i="2" s="1"/>
  <c r="N1389" i="2" s="1"/>
  <c r="N1390" i="2" s="1"/>
  <c r="N1391" i="2" s="1"/>
  <c r="N1392" i="2" s="1"/>
  <c r="N1393" i="2" s="1"/>
  <c r="N1394" i="2" s="1"/>
  <c r="N1395" i="2" s="1"/>
  <c r="N1396" i="2" s="1"/>
  <c r="O1388" i="2"/>
  <c r="O1389" i="2" s="1"/>
  <c r="R1388" i="2"/>
  <c r="X1388" i="2" s="1"/>
  <c r="O1390" i="2"/>
  <c r="O1391" i="2" s="1"/>
  <c r="R1390" i="2"/>
  <c r="X1390" i="2" s="1"/>
  <c r="O1392" i="2"/>
  <c r="O1393" i="2" s="1"/>
  <c r="O1394" i="2" s="1"/>
  <c r="O1395" i="2" s="1"/>
  <c r="O1396" i="2" s="1"/>
  <c r="O1397" i="2" s="1"/>
  <c r="R1392" i="2"/>
  <c r="M1397" i="2"/>
  <c r="M1398" i="2" s="1"/>
  <c r="M1399" i="2" s="1"/>
  <c r="M1400" i="2" s="1"/>
  <c r="M1401" i="2" s="1"/>
  <c r="M1402" i="2" s="1"/>
  <c r="M1403" i="2" s="1"/>
  <c r="M1404" i="2" s="1"/>
  <c r="M1405" i="2" s="1"/>
  <c r="N1397" i="2"/>
  <c r="N1398" i="2" s="1"/>
  <c r="N1399" i="2" s="1"/>
  <c r="N1400" i="2" s="1"/>
  <c r="N1401" i="2" s="1"/>
  <c r="N1402" i="2" s="1"/>
  <c r="N1403" i="2" s="1"/>
  <c r="N1404" i="2" s="1"/>
  <c r="N1405" i="2" s="1"/>
  <c r="O1398" i="2"/>
  <c r="O1399" i="2" s="1"/>
  <c r="O1400" i="2" s="1"/>
  <c r="O1401" i="2" s="1"/>
  <c r="O1402" i="2" s="1"/>
  <c r="O1403" i="2" s="1"/>
  <c r="O1404" i="2" s="1"/>
  <c r="O1405" i="2" s="1"/>
  <c r="O1406" i="2" s="1"/>
  <c r="R1398" i="2"/>
  <c r="X1398" i="2" s="1"/>
  <c r="M1406" i="2"/>
  <c r="N1406" i="2"/>
  <c r="N1407" i="2" s="1"/>
  <c r="N1408" i="2" s="1"/>
  <c r="N1409" i="2" s="1"/>
  <c r="N1410" i="2" s="1"/>
  <c r="N1411" i="2" s="1"/>
  <c r="O1407" i="2"/>
  <c r="O1408" i="2" s="1"/>
  <c r="R1407" i="2"/>
  <c r="R1408" i="2" s="1"/>
  <c r="O1409" i="2"/>
  <c r="O1410" i="2" s="1"/>
  <c r="O1411" i="2" s="1"/>
  <c r="O1412" i="2" s="1"/>
  <c r="R1409" i="2"/>
  <c r="K1411" i="2"/>
  <c r="L1411" i="2"/>
  <c r="L1412" i="2" s="1"/>
  <c r="L1413" i="2" s="1"/>
  <c r="L1414" i="2" s="1"/>
  <c r="L1415" i="2" s="1"/>
  <c r="L1416" i="2" s="1"/>
  <c r="L1417" i="2" s="1"/>
  <c r="L1418" i="2" s="1"/>
  <c r="L1419" i="2" s="1"/>
  <c r="L1420" i="2" s="1"/>
  <c r="L1421" i="2" s="1"/>
  <c r="L1422" i="2" s="1"/>
  <c r="L1423" i="2" s="1"/>
  <c r="L1424" i="2" s="1"/>
  <c r="L1425" i="2" s="1"/>
  <c r="L1426" i="2" s="1"/>
  <c r="L1427" i="2" s="1"/>
  <c r="L1428" i="2" s="1"/>
  <c r="M1412" i="2"/>
  <c r="N1412" i="2"/>
  <c r="N1413" i="2" s="1"/>
  <c r="N1414" i="2" s="1"/>
  <c r="N1415" i="2" s="1"/>
  <c r="N1416" i="2" s="1"/>
  <c r="O1413" i="2"/>
  <c r="O1414" i="2" s="1"/>
  <c r="R1413" i="2"/>
  <c r="O1415" i="2"/>
  <c r="O1416" i="2" s="1"/>
  <c r="O1417" i="2" s="1"/>
  <c r="R1415" i="2"/>
  <c r="M1417" i="2"/>
  <c r="N1417" i="2"/>
  <c r="N1418" i="2" s="1"/>
  <c r="N1419" i="2" s="1"/>
  <c r="N1420" i="2" s="1"/>
  <c r="N1421" i="2" s="1"/>
  <c r="N1422" i="2" s="1"/>
  <c r="N1423" i="2" s="1"/>
  <c r="N1424" i="2" s="1"/>
  <c r="N1425" i="2" s="1"/>
  <c r="O1418" i="2"/>
  <c r="O1419" i="2" s="1"/>
  <c r="O1420" i="2" s="1"/>
  <c r="O1421" i="2" s="1"/>
  <c r="O1422" i="2" s="1"/>
  <c r="O1423" i="2" s="1"/>
  <c r="O1424" i="2" s="1"/>
  <c r="O1425" i="2" s="1"/>
  <c r="O1426" i="2" s="1"/>
  <c r="R1418" i="2"/>
  <c r="M1426" i="2"/>
  <c r="N1426" i="2"/>
  <c r="N1427" i="2" s="1"/>
  <c r="N1428" i="2" s="1"/>
  <c r="N1429" i="2" s="1"/>
  <c r="O1427" i="2"/>
  <c r="O1428" i="2" s="1"/>
  <c r="O1429" i="2" s="1"/>
  <c r="O1430" i="2" s="1"/>
  <c r="R1427" i="2"/>
  <c r="K1429" i="2"/>
  <c r="L1429" i="2"/>
  <c r="L1430" i="2" s="1"/>
  <c r="L1431" i="2" s="1"/>
  <c r="L1432" i="2" s="1"/>
  <c r="L1433" i="2" s="1"/>
  <c r="L1434" i="2" s="1"/>
  <c r="L1435" i="2" s="1"/>
  <c r="L1436" i="2" s="1"/>
  <c r="L1437" i="2" s="1"/>
  <c r="L1438" i="2" s="1"/>
  <c r="L1439" i="2" s="1"/>
  <c r="L1440" i="2" s="1"/>
  <c r="L1441" i="2" s="1"/>
  <c r="L1442" i="2" s="1"/>
  <c r="L1443" i="2" s="1"/>
  <c r="L1444" i="2" s="1"/>
  <c r="L1445" i="2" s="1"/>
  <c r="L1446" i="2" s="1"/>
  <c r="M1430" i="2"/>
  <c r="M1431" i="2" s="1"/>
  <c r="M1432" i="2" s="1"/>
  <c r="M1433" i="2" s="1"/>
  <c r="M1434" i="2" s="1"/>
  <c r="N1430" i="2"/>
  <c r="N1431" i="2" s="1"/>
  <c r="N1432" i="2" s="1"/>
  <c r="N1433" i="2" s="1"/>
  <c r="N1434" i="2" s="1"/>
  <c r="O1431" i="2"/>
  <c r="O1432" i="2" s="1"/>
  <c r="R1431" i="2"/>
  <c r="R1432" i="2" s="1"/>
  <c r="X1432" i="2" s="1"/>
  <c r="O1433" i="2"/>
  <c r="O1434" i="2" s="1"/>
  <c r="O1435" i="2" s="1"/>
  <c r="R1433" i="2"/>
  <c r="M1435" i="2"/>
  <c r="N1435" i="2"/>
  <c r="N1436" i="2" s="1"/>
  <c r="N1437" i="2" s="1"/>
  <c r="N1438" i="2" s="1"/>
  <c r="N1439" i="2" s="1"/>
  <c r="N1440" i="2" s="1"/>
  <c r="N1441" i="2" s="1"/>
  <c r="N1442" i="2" s="1"/>
  <c r="N1443" i="2" s="1"/>
  <c r="O1436" i="2"/>
  <c r="O1437" i="2" s="1"/>
  <c r="O1438" i="2" s="1"/>
  <c r="O1439" i="2" s="1"/>
  <c r="O1440" i="2" s="1"/>
  <c r="O1441" i="2" s="1"/>
  <c r="O1442" i="2" s="1"/>
  <c r="O1443" i="2" s="1"/>
  <c r="O1444" i="2" s="1"/>
  <c r="R1436" i="2"/>
  <c r="X1436" i="2" s="1"/>
  <c r="M1444" i="2"/>
  <c r="M1445" i="2" s="1"/>
  <c r="M1446" i="2" s="1"/>
  <c r="M1447" i="2" s="1"/>
  <c r="N1444" i="2"/>
  <c r="N1445" i="2" s="1"/>
  <c r="N1446" i="2" s="1"/>
  <c r="N1447" i="2" s="1"/>
  <c r="O1445" i="2"/>
  <c r="O1446" i="2" s="1"/>
  <c r="O1447" i="2" s="1"/>
  <c r="O1448" i="2" s="1"/>
  <c r="R1445" i="2"/>
  <c r="K1447" i="2"/>
  <c r="K1448" i="2" s="1"/>
  <c r="K1449" i="2" s="1"/>
  <c r="K1450" i="2" s="1"/>
  <c r="K1451" i="2" s="1"/>
  <c r="K1452" i="2" s="1"/>
  <c r="K1453" i="2" s="1"/>
  <c r="L1447" i="2"/>
  <c r="L1448" i="2" s="1"/>
  <c r="L1449" i="2" s="1"/>
  <c r="L1450" i="2" s="1"/>
  <c r="L1451" i="2" s="1"/>
  <c r="L1452" i="2" s="1"/>
  <c r="L1453" i="2" s="1"/>
  <c r="L1454" i="2" s="1"/>
  <c r="L1455" i="2" s="1"/>
  <c r="L1456" i="2" s="1"/>
  <c r="M1448" i="2"/>
  <c r="M1449" i="2" s="1"/>
  <c r="M1450" i="2" s="1"/>
  <c r="M1451" i="2" s="1"/>
  <c r="M1452" i="2" s="1"/>
  <c r="N1448" i="2"/>
  <c r="N1449" i="2" s="1"/>
  <c r="N1450" i="2" s="1"/>
  <c r="N1451" i="2" s="1"/>
  <c r="N1452" i="2" s="1"/>
  <c r="O1449" i="2"/>
  <c r="O1450" i="2" s="1"/>
  <c r="R1449" i="2"/>
  <c r="X1449" i="2" s="1"/>
  <c r="O1451" i="2"/>
  <c r="O1452" i="2" s="1"/>
  <c r="O1453" i="2" s="1"/>
  <c r="R1451" i="2"/>
  <c r="R1452" i="2" s="1"/>
  <c r="U1452" i="2" s="1"/>
  <c r="M1453" i="2"/>
  <c r="M1454" i="2" s="1"/>
  <c r="M1455" i="2" s="1"/>
  <c r="M1456" i="2" s="1"/>
  <c r="M1457" i="2" s="1"/>
  <c r="N1453" i="2"/>
  <c r="N1454" i="2" s="1"/>
  <c r="N1455" i="2" s="1"/>
  <c r="N1456" i="2" s="1"/>
  <c r="N1457" i="2" s="1"/>
  <c r="O1454" i="2"/>
  <c r="O1455" i="2" s="1"/>
  <c r="O1456" i="2" s="1"/>
  <c r="O1457" i="2" s="1"/>
  <c r="O1458" i="2" s="1"/>
  <c r="R1454" i="2"/>
  <c r="R1455" i="2" s="1"/>
  <c r="U1455" i="2" s="1"/>
  <c r="I1456" i="2"/>
  <c r="I1457" i="2" s="1"/>
  <c r="J1456" i="2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K1457" i="2"/>
  <c r="K1458" i="2" s="1"/>
  <c r="K1459" i="2" s="1"/>
  <c r="K1460" i="2" s="1"/>
  <c r="K1461" i="2" s="1"/>
  <c r="K1462" i="2" s="1"/>
  <c r="K1463" i="2" s="1"/>
  <c r="K1464" i="2" s="1"/>
  <c r="K1465" i="2" s="1"/>
  <c r="L1457" i="2"/>
  <c r="L1458" i="2" s="1"/>
  <c r="L1459" i="2" s="1"/>
  <c r="L1460" i="2" s="1"/>
  <c r="L1461" i="2" s="1"/>
  <c r="L1462" i="2" s="1"/>
  <c r="L1463" i="2" s="1"/>
  <c r="L1464" i="2" s="1"/>
  <c r="L1465" i="2" s="1"/>
  <c r="L1466" i="2" s="1"/>
  <c r="L1467" i="2" s="1"/>
  <c r="L1468" i="2" s="1"/>
  <c r="L1469" i="2" s="1"/>
  <c r="L1470" i="2" s="1"/>
  <c r="L1471" i="2" s="1"/>
  <c r="L1472" i="2" s="1"/>
  <c r="L1473" i="2" s="1"/>
  <c r="L1474" i="2" s="1"/>
  <c r="L1475" i="2" s="1"/>
  <c r="L1476" i="2" s="1"/>
  <c r="L1477" i="2" s="1"/>
  <c r="L1478" i="2" s="1"/>
  <c r="L1479" i="2" s="1"/>
  <c r="L1480" i="2" s="1"/>
  <c r="L1481" i="2" s="1"/>
  <c r="L1482" i="2" s="1"/>
  <c r="L1483" i="2" s="1"/>
  <c r="L1484" i="2" s="1"/>
  <c r="L1485" i="2" s="1"/>
  <c r="L1486" i="2" s="1"/>
  <c r="L1487" i="2" s="1"/>
  <c r="L1488" i="2" s="1"/>
  <c r="L1489" i="2" s="1"/>
  <c r="L1490" i="2" s="1"/>
  <c r="L1491" i="2" s="1"/>
  <c r="L1492" i="2" s="1"/>
  <c r="L1493" i="2" s="1"/>
  <c r="L1494" i="2" s="1"/>
  <c r="L1495" i="2" s="1"/>
  <c r="L1496" i="2" s="1"/>
  <c r="L1497" i="2" s="1"/>
  <c r="L1498" i="2" s="1"/>
  <c r="L1499" i="2" s="1"/>
  <c r="L1500" i="2" s="1"/>
  <c r="L1501" i="2" s="1"/>
  <c r="L1502" i="2" s="1"/>
  <c r="L1503" i="2" s="1"/>
  <c r="L1504" i="2" s="1"/>
  <c r="L1505" i="2" s="1"/>
  <c r="M1458" i="2"/>
  <c r="M1459" i="2" s="1"/>
  <c r="M1460" i="2" s="1"/>
  <c r="M1461" i="2" s="1"/>
  <c r="M1462" i="2" s="1"/>
  <c r="M1463" i="2" s="1"/>
  <c r="M1464" i="2" s="1"/>
  <c r="N1458" i="2"/>
  <c r="N1459" i="2" s="1"/>
  <c r="N1460" i="2" s="1"/>
  <c r="N1461" i="2" s="1"/>
  <c r="N1462" i="2" s="1"/>
  <c r="N1463" i="2" s="1"/>
  <c r="N1464" i="2" s="1"/>
  <c r="O1459" i="2"/>
  <c r="O1460" i="2" s="1"/>
  <c r="O1461" i="2" s="1"/>
  <c r="R1459" i="2"/>
  <c r="X1459" i="2" s="1"/>
  <c r="O1462" i="2"/>
  <c r="O1463" i="2" s="1"/>
  <c r="O1464" i="2" s="1"/>
  <c r="O1465" i="2" s="1"/>
  <c r="R1462" i="2"/>
  <c r="X1462" i="2" s="1"/>
  <c r="M1465" i="2"/>
  <c r="M1466" i="2" s="1"/>
  <c r="M1467" i="2" s="1"/>
  <c r="M1468" i="2" s="1"/>
  <c r="M1469" i="2" s="1"/>
  <c r="M1470" i="2" s="1"/>
  <c r="M1471" i="2" s="1"/>
  <c r="M1472" i="2" s="1"/>
  <c r="M1473" i="2" s="1"/>
  <c r="M1474" i="2" s="1"/>
  <c r="M1475" i="2" s="1"/>
  <c r="M1476" i="2" s="1"/>
  <c r="N1465" i="2"/>
  <c r="N1466" i="2" s="1"/>
  <c r="N1467" i="2" s="1"/>
  <c r="N1468" i="2" s="1"/>
  <c r="N1469" i="2" s="1"/>
  <c r="N1470" i="2" s="1"/>
  <c r="N1471" i="2" s="1"/>
  <c r="N1472" i="2" s="1"/>
  <c r="N1473" i="2" s="1"/>
  <c r="N1474" i="2" s="1"/>
  <c r="N1475" i="2" s="1"/>
  <c r="N1476" i="2" s="1"/>
  <c r="O1466" i="2"/>
  <c r="O1467" i="2" s="1"/>
  <c r="O1468" i="2" s="1"/>
  <c r="O1469" i="2" s="1"/>
  <c r="O1470" i="2" s="1"/>
  <c r="R1466" i="2"/>
  <c r="X1466" i="2" s="1"/>
  <c r="O1471" i="2"/>
  <c r="O1472" i="2" s="1"/>
  <c r="O1473" i="2" s="1"/>
  <c r="O1474" i="2" s="1"/>
  <c r="O1475" i="2" s="1"/>
  <c r="O1476" i="2" s="1"/>
  <c r="O1477" i="2" s="1"/>
  <c r="R1471" i="2"/>
  <c r="X1471" i="2" s="1"/>
  <c r="M1477" i="2"/>
  <c r="N1477" i="2"/>
  <c r="N1478" i="2" s="1"/>
  <c r="N1479" i="2" s="1"/>
  <c r="N1480" i="2" s="1"/>
  <c r="N1481" i="2" s="1"/>
  <c r="N1482" i="2" s="1"/>
  <c r="N1483" i="2" s="1"/>
  <c r="N1484" i="2" s="1"/>
  <c r="N1485" i="2" s="1"/>
  <c r="N1486" i="2" s="1"/>
  <c r="N1487" i="2" s="1"/>
  <c r="O1478" i="2"/>
  <c r="O1479" i="2" s="1"/>
  <c r="O1480" i="2" s="1"/>
  <c r="O1481" i="2" s="1"/>
  <c r="O1482" i="2" s="1"/>
  <c r="R1478" i="2"/>
  <c r="X1478" i="2" s="1"/>
  <c r="O1483" i="2"/>
  <c r="O1484" i="2" s="1"/>
  <c r="O1485" i="2" s="1"/>
  <c r="O1486" i="2" s="1"/>
  <c r="O1487" i="2" s="1"/>
  <c r="O1488" i="2" s="1"/>
  <c r="R1483" i="2"/>
  <c r="R1484" i="2" s="1"/>
  <c r="U1484" i="2" s="1"/>
  <c r="M1488" i="2"/>
  <c r="M1489" i="2" s="1"/>
  <c r="M1490" i="2" s="1"/>
  <c r="M1491" i="2" s="1"/>
  <c r="M1492" i="2" s="1"/>
  <c r="N1488" i="2"/>
  <c r="N1489" i="2" s="1"/>
  <c r="N1490" i="2" s="1"/>
  <c r="N1491" i="2" s="1"/>
  <c r="N1492" i="2" s="1"/>
  <c r="O1489" i="2"/>
  <c r="O1490" i="2" s="1"/>
  <c r="O1491" i="2" s="1"/>
  <c r="O1492" i="2" s="1"/>
  <c r="O1493" i="2" s="1"/>
  <c r="R1489" i="2"/>
  <c r="X1489" i="2" s="1"/>
  <c r="M1493" i="2"/>
  <c r="M1494" i="2" s="1"/>
  <c r="M1495" i="2" s="1"/>
  <c r="M1496" i="2" s="1"/>
  <c r="M1497" i="2" s="1"/>
  <c r="M1498" i="2" s="1"/>
  <c r="M1499" i="2" s="1"/>
  <c r="M1500" i="2" s="1"/>
  <c r="M1501" i="2" s="1"/>
  <c r="M1502" i="2" s="1"/>
  <c r="M1503" i="2" s="1"/>
  <c r="M1504" i="2" s="1"/>
  <c r="M1505" i="2" s="1"/>
  <c r="M1506" i="2" s="1"/>
  <c r="N1493" i="2"/>
  <c r="N1494" i="2" s="1"/>
  <c r="N1495" i="2" s="1"/>
  <c r="N1496" i="2" s="1"/>
  <c r="N1497" i="2" s="1"/>
  <c r="N1498" i="2" s="1"/>
  <c r="N1499" i="2" s="1"/>
  <c r="N1500" i="2" s="1"/>
  <c r="N1501" i="2" s="1"/>
  <c r="N1502" i="2" s="1"/>
  <c r="N1503" i="2" s="1"/>
  <c r="N1504" i="2" s="1"/>
  <c r="N1505" i="2" s="1"/>
  <c r="N1506" i="2" s="1"/>
  <c r="O1494" i="2"/>
  <c r="O1495" i="2" s="1"/>
  <c r="R1494" i="2"/>
  <c r="R1495" i="2" s="1"/>
  <c r="U1495" i="2" s="1"/>
  <c r="O1496" i="2"/>
  <c r="O1497" i="2" s="1"/>
  <c r="R1496" i="2"/>
  <c r="O1498" i="2"/>
  <c r="O1499" i="2" s="1"/>
  <c r="R1498" i="2"/>
  <c r="X1498" i="2" s="1"/>
  <c r="O1500" i="2"/>
  <c r="O1501" i="2" s="1"/>
  <c r="R1500" i="2"/>
  <c r="X1500" i="2" s="1"/>
  <c r="O1502" i="2"/>
  <c r="O1503" i="2" s="1"/>
  <c r="R1502" i="2"/>
  <c r="X1502" i="2" s="1"/>
  <c r="O1504" i="2"/>
  <c r="O1505" i="2" s="1"/>
  <c r="O1506" i="2" s="1"/>
  <c r="O1507" i="2" s="1"/>
  <c r="R1504" i="2"/>
  <c r="R1505" i="2" s="1"/>
  <c r="X1505" i="2" s="1"/>
  <c r="K1506" i="2"/>
  <c r="K1507" i="2" s="1"/>
  <c r="L1506" i="2"/>
  <c r="L1507" i="2" s="1"/>
  <c r="L1508" i="2" s="1"/>
  <c r="L1509" i="2" s="1"/>
  <c r="L1510" i="2" s="1"/>
  <c r="L1511" i="2" s="1"/>
  <c r="L1512" i="2" s="1"/>
  <c r="L1513" i="2" s="1"/>
  <c r="L1514" i="2" s="1"/>
  <c r="L1515" i="2" s="1"/>
  <c r="L1516" i="2" s="1"/>
  <c r="L1517" i="2" s="1"/>
  <c r="L1518" i="2" s="1"/>
  <c r="L1519" i="2" s="1"/>
  <c r="L1520" i="2" s="1"/>
  <c r="L1521" i="2" s="1"/>
  <c r="L1522" i="2" s="1"/>
  <c r="L1523" i="2" s="1"/>
  <c r="L1524" i="2" s="1"/>
  <c r="L1525" i="2" s="1"/>
  <c r="L1526" i="2" s="1"/>
  <c r="L1527" i="2" s="1"/>
  <c r="L1528" i="2" s="1"/>
  <c r="L1529" i="2" s="1"/>
  <c r="L1530" i="2" s="1"/>
  <c r="L1531" i="2" s="1"/>
  <c r="L1532" i="2" s="1"/>
  <c r="L1533" i="2" s="1"/>
  <c r="L1534" i="2" s="1"/>
  <c r="L1535" i="2" s="1"/>
  <c r="L1536" i="2" s="1"/>
  <c r="L1537" i="2" s="1"/>
  <c r="L1538" i="2" s="1"/>
  <c r="L1539" i="2" s="1"/>
  <c r="L1540" i="2" s="1"/>
  <c r="L1541" i="2" s="1"/>
  <c r="L1542" i="2" s="1"/>
  <c r="L1543" i="2" s="1"/>
  <c r="L1544" i="2" s="1"/>
  <c r="L1545" i="2" s="1"/>
  <c r="L1546" i="2" s="1"/>
  <c r="L1547" i="2" s="1"/>
  <c r="L1548" i="2" s="1"/>
  <c r="L1549" i="2" s="1"/>
  <c r="L1550" i="2" s="1"/>
  <c r="L1551" i="2" s="1"/>
  <c r="L1552" i="2" s="1"/>
  <c r="L1553" i="2" s="1"/>
  <c r="L1554" i="2" s="1"/>
  <c r="L1555" i="2" s="1"/>
  <c r="L1556" i="2" s="1"/>
  <c r="L1557" i="2" s="1"/>
  <c r="L1558" i="2" s="1"/>
  <c r="L1559" i="2" s="1"/>
  <c r="L1560" i="2" s="1"/>
  <c r="L1561" i="2" s="1"/>
  <c r="L1562" i="2" s="1"/>
  <c r="L1563" i="2" s="1"/>
  <c r="L1564" i="2" s="1"/>
  <c r="L1565" i="2" s="1"/>
  <c r="L1566" i="2" s="1"/>
  <c r="L1567" i="2" s="1"/>
  <c r="L1568" i="2" s="1"/>
  <c r="L1569" i="2" s="1"/>
  <c r="L1570" i="2" s="1"/>
  <c r="L1571" i="2" s="1"/>
  <c r="L1572" i="2" s="1"/>
  <c r="L1573" i="2" s="1"/>
  <c r="L1574" i="2" s="1"/>
  <c r="L1575" i="2" s="1"/>
  <c r="L1576" i="2" s="1"/>
  <c r="L1577" i="2" s="1"/>
  <c r="L1578" i="2" s="1"/>
  <c r="L1579" i="2" s="1"/>
  <c r="M1507" i="2"/>
  <c r="M1508" i="2" s="1"/>
  <c r="M1509" i="2" s="1"/>
  <c r="M1510" i="2" s="1"/>
  <c r="N1507" i="2"/>
  <c r="N1508" i="2" s="1"/>
  <c r="N1509" i="2" s="1"/>
  <c r="N1510" i="2" s="1"/>
  <c r="O1508" i="2"/>
  <c r="O1509" i="2" s="1"/>
  <c r="O1510" i="2" s="1"/>
  <c r="O1511" i="2" s="1"/>
  <c r="R1508" i="2"/>
  <c r="X1508" i="2" s="1"/>
  <c r="M1511" i="2"/>
  <c r="M1512" i="2" s="1"/>
  <c r="M1513" i="2" s="1"/>
  <c r="M1514" i="2" s="1"/>
  <c r="M1515" i="2" s="1"/>
  <c r="M1516" i="2" s="1"/>
  <c r="M1517" i="2" s="1"/>
  <c r="M1518" i="2" s="1"/>
  <c r="M1519" i="2" s="1"/>
  <c r="M1520" i="2" s="1"/>
  <c r="M1521" i="2" s="1"/>
  <c r="M1522" i="2" s="1"/>
  <c r="M1523" i="2" s="1"/>
  <c r="M1524" i="2" s="1"/>
  <c r="M1525" i="2" s="1"/>
  <c r="M1526" i="2" s="1"/>
  <c r="M1527" i="2" s="1"/>
  <c r="M1528" i="2" s="1"/>
  <c r="N1511" i="2"/>
  <c r="N1512" i="2" s="1"/>
  <c r="N1513" i="2" s="1"/>
  <c r="N1514" i="2" s="1"/>
  <c r="N1515" i="2" s="1"/>
  <c r="N1516" i="2" s="1"/>
  <c r="N1517" i="2" s="1"/>
  <c r="N1518" i="2" s="1"/>
  <c r="N1519" i="2" s="1"/>
  <c r="N1520" i="2" s="1"/>
  <c r="N1521" i="2" s="1"/>
  <c r="N1522" i="2" s="1"/>
  <c r="N1523" i="2" s="1"/>
  <c r="N1524" i="2" s="1"/>
  <c r="N1525" i="2" s="1"/>
  <c r="N1526" i="2" s="1"/>
  <c r="N1527" i="2" s="1"/>
  <c r="N1528" i="2" s="1"/>
  <c r="O1512" i="2"/>
  <c r="O1513" i="2" s="1"/>
  <c r="O1514" i="2" s="1"/>
  <c r="O1515" i="2" s="1"/>
  <c r="O1516" i="2" s="1"/>
  <c r="R1512" i="2"/>
  <c r="X1512" i="2" s="1"/>
  <c r="O1517" i="2"/>
  <c r="O1518" i="2" s="1"/>
  <c r="O1519" i="2" s="1"/>
  <c r="O1520" i="2" s="1"/>
  <c r="O1521" i="2" s="1"/>
  <c r="O1522" i="2" s="1"/>
  <c r="R1517" i="2"/>
  <c r="X1517" i="2" s="1"/>
  <c r="O1523" i="2"/>
  <c r="O1524" i="2" s="1"/>
  <c r="O1525" i="2" s="1"/>
  <c r="O1526" i="2" s="1"/>
  <c r="O1527" i="2" s="1"/>
  <c r="O1528" i="2" s="1"/>
  <c r="O1529" i="2" s="1"/>
  <c r="R1523" i="2"/>
  <c r="X1523" i="2" s="1"/>
  <c r="M1529" i="2"/>
  <c r="M1530" i="2" s="1"/>
  <c r="M1531" i="2" s="1"/>
  <c r="M1532" i="2" s="1"/>
  <c r="M1533" i="2" s="1"/>
  <c r="M1534" i="2" s="1"/>
  <c r="M1535" i="2" s="1"/>
  <c r="M1536" i="2" s="1"/>
  <c r="M1537" i="2" s="1"/>
  <c r="M1538" i="2" s="1"/>
  <c r="M1539" i="2" s="1"/>
  <c r="M1540" i="2" s="1"/>
  <c r="M1541" i="2" s="1"/>
  <c r="M1542" i="2" s="1"/>
  <c r="M1543" i="2" s="1"/>
  <c r="M1544" i="2" s="1"/>
  <c r="M1545" i="2" s="1"/>
  <c r="M1546" i="2" s="1"/>
  <c r="M1547" i="2" s="1"/>
  <c r="M1548" i="2" s="1"/>
  <c r="M1549" i="2" s="1"/>
  <c r="M1550" i="2" s="1"/>
  <c r="M1551" i="2" s="1"/>
  <c r="M1552" i="2" s="1"/>
  <c r="M1553" i="2" s="1"/>
  <c r="M1554" i="2" s="1"/>
  <c r="M1555" i="2" s="1"/>
  <c r="M1556" i="2" s="1"/>
  <c r="M1557" i="2" s="1"/>
  <c r="M1558" i="2" s="1"/>
  <c r="M1559" i="2" s="1"/>
  <c r="N1529" i="2"/>
  <c r="N1530" i="2" s="1"/>
  <c r="N1531" i="2" s="1"/>
  <c r="N1532" i="2" s="1"/>
  <c r="N1533" i="2" s="1"/>
  <c r="N1534" i="2" s="1"/>
  <c r="N1535" i="2" s="1"/>
  <c r="N1536" i="2" s="1"/>
  <c r="N1537" i="2" s="1"/>
  <c r="N1538" i="2" s="1"/>
  <c r="N1539" i="2" s="1"/>
  <c r="N1540" i="2" s="1"/>
  <c r="N1541" i="2" s="1"/>
  <c r="N1542" i="2" s="1"/>
  <c r="N1543" i="2" s="1"/>
  <c r="N1544" i="2" s="1"/>
  <c r="N1545" i="2" s="1"/>
  <c r="N1546" i="2" s="1"/>
  <c r="N1547" i="2" s="1"/>
  <c r="N1548" i="2" s="1"/>
  <c r="N1549" i="2" s="1"/>
  <c r="N1550" i="2" s="1"/>
  <c r="N1551" i="2" s="1"/>
  <c r="N1552" i="2" s="1"/>
  <c r="N1553" i="2" s="1"/>
  <c r="N1554" i="2" s="1"/>
  <c r="N1555" i="2" s="1"/>
  <c r="N1556" i="2" s="1"/>
  <c r="N1557" i="2" s="1"/>
  <c r="N1558" i="2" s="1"/>
  <c r="N1559" i="2" s="1"/>
  <c r="O1530" i="2"/>
  <c r="O1531" i="2" s="1"/>
  <c r="O1532" i="2" s="1"/>
  <c r="O1533" i="2" s="1"/>
  <c r="O1534" i="2" s="1"/>
  <c r="R1530" i="2"/>
  <c r="X1530" i="2" s="1"/>
  <c r="O1535" i="2"/>
  <c r="O1536" i="2" s="1"/>
  <c r="O1537" i="2" s="1"/>
  <c r="O1538" i="2" s="1"/>
  <c r="O1539" i="2" s="1"/>
  <c r="R1535" i="2"/>
  <c r="R1536" i="2" s="1"/>
  <c r="U1536" i="2" s="1"/>
  <c r="O1540" i="2"/>
  <c r="O1541" i="2" s="1"/>
  <c r="O1542" i="2" s="1"/>
  <c r="O1543" i="2" s="1"/>
  <c r="O1544" i="2" s="1"/>
  <c r="O1545" i="2" s="1"/>
  <c r="R1540" i="2"/>
  <c r="X1540" i="2" s="1"/>
  <c r="O1546" i="2"/>
  <c r="O1547" i="2" s="1"/>
  <c r="O1548" i="2" s="1"/>
  <c r="O1549" i="2" s="1"/>
  <c r="O1550" i="2" s="1"/>
  <c r="O1551" i="2" s="1"/>
  <c r="R1546" i="2"/>
  <c r="X1546" i="2" s="1"/>
  <c r="O1552" i="2"/>
  <c r="O1553" i="2" s="1"/>
  <c r="O1554" i="2" s="1"/>
  <c r="O1555" i="2" s="1"/>
  <c r="R1552" i="2"/>
  <c r="X1552" i="2" s="1"/>
  <c r="O1556" i="2"/>
  <c r="O1557" i="2" s="1"/>
  <c r="O1558" i="2" s="1"/>
  <c r="O1559" i="2" s="1"/>
  <c r="O1560" i="2" s="1"/>
  <c r="R1556" i="2"/>
  <c r="X1556" i="2" s="1"/>
  <c r="M1560" i="2"/>
  <c r="M1561" i="2" s="1"/>
  <c r="M1562" i="2" s="1"/>
  <c r="M1563" i="2" s="1"/>
  <c r="M1564" i="2" s="1"/>
  <c r="N1560" i="2"/>
  <c r="N1561" i="2" s="1"/>
  <c r="N1562" i="2" s="1"/>
  <c r="N1563" i="2" s="1"/>
  <c r="N1564" i="2" s="1"/>
  <c r="O1561" i="2"/>
  <c r="O1562" i="2" s="1"/>
  <c r="O1563" i="2" s="1"/>
  <c r="O1564" i="2" s="1"/>
  <c r="O1565" i="2" s="1"/>
  <c r="R1561" i="2"/>
  <c r="X1561" i="2" s="1"/>
  <c r="M1565" i="2"/>
  <c r="M1566" i="2" s="1"/>
  <c r="M1567" i="2" s="1"/>
  <c r="M1568" i="2" s="1"/>
  <c r="M1569" i="2" s="1"/>
  <c r="M1570" i="2" s="1"/>
  <c r="M1571" i="2" s="1"/>
  <c r="M1572" i="2" s="1"/>
  <c r="M1573" i="2" s="1"/>
  <c r="M1574" i="2" s="1"/>
  <c r="M1575" i="2" s="1"/>
  <c r="M1576" i="2" s="1"/>
  <c r="M1577" i="2" s="1"/>
  <c r="M1578" i="2" s="1"/>
  <c r="M1579" i="2" s="1"/>
  <c r="M1580" i="2" s="1"/>
  <c r="N1565" i="2"/>
  <c r="N1566" i="2" s="1"/>
  <c r="N1567" i="2" s="1"/>
  <c r="N1568" i="2" s="1"/>
  <c r="N1569" i="2" s="1"/>
  <c r="N1570" i="2" s="1"/>
  <c r="N1571" i="2" s="1"/>
  <c r="N1572" i="2" s="1"/>
  <c r="N1573" i="2" s="1"/>
  <c r="N1574" i="2" s="1"/>
  <c r="N1575" i="2" s="1"/>
  <c r="N1576" i="2" s="1"/>
  <c r="N1577" i="2" s="1"/>
  <c r="N1578" i="2" s="1"/>
  <c r="N1579" i="2" s="1"/>
  <c r="N1580" i="2" s="1"/>
  <c r="O1566" i="2"/>
  <c r="O1567" i="2" s="1"/>
  <c r="R1566" i="2"/>
  <c r="X1566" i="2" s="1"/>
  <c r="O1568" i="2"/>
  <c r="O1569" i="2" s="1"/>
  <c r="R1568" i="2"/>
  <c r="X1568" i="2" s="1"/>
  <c r="O1570" i="2"/>
  <c r="O1571" i="2" s="1"/>
  <c r="R1570" i="2"/>
  <c r="O1572" i="2"/>
  <c r="O1573" i="2" s="1"/>
  <c r="R1572" i="2"/>
  <c r="O1574" i="2"/>
  <c r="O1575" i="2" s="1"/>
  <c r="R1574" i="2"/>
  <c r="X1574" i="2" s="1"/>
  <c r="O1576" i="2"/>
  <c r="O1577" i="2" s="1"/>
  <c r="R1576" i="2"/>
  <c r="X1576" i="2" s="1"/>
  <c r="O1578" i="2"/>
  <c r="O1579" i="2" s="1"/>
  <c r="O1580" i="2" s="1"/>
  <c r="O1581" i="2" s="1"/>
  <c r="R1578" i="2"/>
  <c r="R1579" i="2" s="1"/>
  <c r="X1579" i="2" s="1"/>
  <c r="K1580" i="2"/>
  <c r="L1580" i="2"/>
  <c r="L1581" i="2" s="1"/>
  <c r="L1582" i="2" s="1"/>
  <c r="L1583" i="2" s="1"/>
  <c r="L1584" i="2" s="1"/>
  <c r="L1585" i="2" s="1"/>
  <c r="L1586" i="2" s="1"/>
  <c r="L1587" i="2" s="1"/>
  <c r="L1588" i="2" s="1"/>
  <c r="L1589" i="2" s="1"/>
  <c r="L1590" i="2" s="1"/>
  <c r="L1591" i="2" s="1"/>
  <c r="L1592" i="2" s="1"/>
  <c r="L1593" i="2" s="1"/>
  <c r="L1594" i="2" s="1"/>
  <c r="L1595" i="2" s="1"/>
  <c r="L1596" i="2" s="1"/>
  <c r="L1597" i="2" s="1"/>
  <c r="L1598" i="2" s="1"/>
  <c r="L1599" i="2" s="1"/>
  <c r="L1600" i="2" s="1"/>
  <c r="L1601" i="2" s="1"/>
  <c r="L1602" i="2" s="1"/>
  <c r="L1603" i="2" s="1"/>
  <c r="L1604" i="2" s="1"/>
  <c r="L1605" i="2" s="1"/>
  <c r="L1606" i="2" s="1"/>
  <c r="L1607" i="2" s="1"/>
  <c r="L1608" i="2" s="1"/>
  <c r="L1609" i="2" s="1"/>
  <c r="L1610" i="2" s="1"/>
  <c r="L1611" i="2" s="1"/>
  <c r="L1612" i="2" s="1"/>
  <c r="L1613" i="2" s="1"/>
  <c r="L1614" i="2" s="1"/>
  <c r="L1615" i="2" s="1"/>
  <c r="L1616" i="2" s="1"/>
  <c r="L1617" i="2" s="1"/>
  <c r="L1618" i="2" s="1"/>
  <c r="L1619" i="2" s="1"/>
  <c r="L1620" i="2" s="1"/>
  <c r="L1621" i="2" s="1"/>
  <c r="L1622" i="2" s="1"/>
  <c r="L1623" i="2" s="1"/>
  <c r="L1624" i="2" s="1"/>
  <c r="L1625" i="2" s="1"/>
  <c r="L1626" i="2" s="1"/>
  <c r="L1627" i="2" s="1"/>
  <c r="L1628" i="2" s="1"/>
  <c r="L1629" i="2" s="1"/>
  <c r="L1630" i="2" s="1"/>
  <c r="L1631" i="2" s="1"/>
  <c r="L1632" i="2" s="1"/>
  <c r="L1633" i="2" s="1"/>
  <c r="L1634" i="2" s="1"/>
  <c r="L1635" i="2" s="1"/>
  <c r="L1636" i="2" s="1"/>
  <c r="L1637" i="2" s="1"/>
  <c r="L1638" i="2" s="1"/>
  <c r="L1639" i="2" s="1"/>
  <c r="L1640" i="2" s="1"/>
  <c r="M1581" i="2"/>
  <c r="M1582" i="2" s="1"/>
  <c r="M1583" i="2" s="1"/>
  <c r="M1584" i="2" s="1"/>
  <c r="N1581" i="2"/>
  <c r="N1582" i="2" s="1"/>
  <c r="N1583" i="2" s="1"/>
  <c r="N1584" i="2" s="1"/>
  <c r="O1582" i="2"/>
  <c r="O1583" i="2" s="1"/>
  <c r="O1584" i="2" s="1"/>
  <c r="O1585" i="2" s="1"/>
  <c r="R1582" i="2"/>
  <c r="R1583" i="2" s="1"/>
  <c r="U1583" i="2" s="1"/>
  <c r="M1585" i="2"/>
  <c r="N1585" i="2"/>
  <c r="N1586" i="2" s="1"/>
  <c r="N1587" i="2" s="1"/>
  <c r="N1588" i="2" s="1"/>
  <c r="N1589" i="2" s="1"/>
  <c r="N1590" i="2" s="1"/>
  <c r="N1591" i="2" s="1"/>
  <c r="N1592" i="2" s="1"/>
  <c r="N1593" i="2" s="1"/>
  <c r="N1594" i="2" s="1"/>
  <c r="N1595" i="2" s="1"/>
  <c r="N1596" i="2" s="1"/>
  <c r="N1597" i="2" s="1"/>
  <c r="N1598" i="2" s="1"/>
  <c r="N1599" i="2" s="1"/>
  <c r="N1600" i="2" s="1"/>
  <c r="N1601" i="2" s="1"/>
  <c r="N1602" i="2" s="1"/>
  <c r="O1586" i="2"/>
  <c r="O1587" i="2" s="1"/>
  <c r="O1588" i="2" s="1"/>
  <c r="O1589" i="2" s="1"/>
  <c r="O1590" i="2" s="1"/>
  <c r="R1586" i="2"/>
  <c r="X1586" i="2" s="1"/>
  <c r="O1591" i="2"/>
  <c r="O1592" i="2" s="1"/>
  <c r="O1593" i="2" s="1"/>
  <c r="O1594" i="2" s="1"/>
  <c r="O1595" i="2" s="1"/>
  <c r="O1596" i="2" s="1"/>
  <c r="R1591" i="2"/>
  <c r="R1592" i="2" s="1"/>
  <c r="O1597" i="2"/>
  <c r="O1598" i="2" s="1"/>
  <c r="O1599" i="2" s="1"/>
  <c r="O1600" i="2" s="1"/>
  <c r="O1601" i="2" s="1"/>
  <c r="O1602" i="2" s="1"/>
  <c r="O1603" i="2" s="1"/>
  <c r="R1597" i="2"/>
  <c r="X1597" i="2" s="1"/>
  <c r="M1603" i="2"/>
  <c r="M1604" i="2" s="1"/>
  <c r="M1605" i="2" s="1"/>
  <c r="M1606" i="2" s="1"/>
  <c r="M1607" i="2" s="1"/>
  <c r="M1608" i="2" s="1"/>
  <c r="M1609" i="2" s="1"/>
  <c r="M1610" i="2" s="1"/>
  <c r="M1611" i="2" s="1"/>
  <c r="M1612" i="2" s="1"/>
  <c r="M1613" i="2" s="1"/>
  <c r="M1614" i="2" s="1"/>
  <c r="M1615" i="2" s="1"/>
  <c r="M1616" i="2" s="1"/>
  <c r="M1617" i="2" s="1"/>
  <c r="M1618" i="2" s="1"/>
  <c r="M1619" i="2" s="1"/>
  <c r="M1620" i="2" s="1"/>
  <c r="M1621" i="2" s="1"/>
  <c r="M1622" i="2" s="1"/>
  <c r="N1603" i="2"/>
  <c r="N1604" i="2" s="1"/>
  <c r="N1605" i="2" s="1"/>
  <c r="N1606" i="2" s="1"/>
  <c r="N1607" i="2" s="1"/>
  <c r="N1608" i="2" s="1"/>
  <c r="N1609" i="2" s="1"/>
  <c r="N1610" i="2" s="1"/>
  <c r="N1611" i="2" s="1"/>
  <c r="N1612" i="2" s="1"/>
  <c r="N1613" i="2" s="1"/>
  <c r="N1614" i="2" s="1"/>
  <c r="N1615" i="2" s="1"/>
  <c r="N1616" i="2" s="1"/>
  <c r="N1617" i="2" s="1"/>
  <c r="N1618" i="2" s="1"/>
  <c r="N1619" i="2" s="1"/>
  <c r="N1620" i="2" s="1"/>
  <c r="N1621" i="2" s="1"/>
  <c r="N1622" i="2" s="1"/>
  <c r="O1604" i="2"/>
  <c r="O1605" i="2" s="1"/>
  <c r="O1606" i="2" s="1"/>
  <c r="O1607" i="2" s="1"/>
  <c r="O1608" i="2" s="1"/>
  <c r="R1604" i="2"/>
  <c r="X1604" i="2" s="1"/>
  <c r="O1609" i="2"/>
  <c r="O1610" i="2" s="1"/>
  <c r="O1611" i="2" s="1"/>
  <c r="O1612" i="2" s="1"/>
  <c r="O1613" i="2" s="1"/>
  <c r="O1614" i="2" s="1"/>
  <c r="R1609" i="2"/>
  <c r="X1609" i="2" s="1"/>
  <c r="O1615" i="2"/>
  <c r="O1616" i="2" s="1"/>
  <c r="O1617" i="2" s="1"/>
  <c r="O1618" i="2" s="1"/>
  <c r="R1615" i="2"/>
  <c r="R1616" i="2" s="1"/>
  <c r="O1619" i="2"/>
  <c r="O1620" i="2" s="1"/>
  <c r="O1621" i="2" s="1"/>
  <c r="O1622" i="2" s="1"/>
  <c r="O1623" i="2" s="1"/>
  <c r="R1619" i="2"/>
  <c r="R1620" i="2" s="1"/>
  <c r="M1623" i="2"/>
  <c r="M1624" i="2" s="1"/>
  <c r="M1625" i="2" s="1"/>
  <c r="M1626" i="2" s="1"/>
  <c r="M1627" i="2" s="1"/>
  <c r="N1623" i="2"/>
  <c r="N1624" i="2" s="1"/>
  <c r="N1625" i="2" s="1"/>
  <c r="N1626" i="2" s="1"/>
  <c r="N1627" i="2" s="1"/>
  <c r="O1624" i="2"/>
  <c r="O1625" i="2" s="1"/>
  <c r="O1626" i="2" s="1"/>
  <c r="O1627" i="2" s="1"/>
  <c r="O1628" i="2" s="1"/>
  <c r="R1624" i="2"/>
  <c r="R1625" i="2" s="1"/>
  <c r="M1628" i="2"/>
  <c r="M1629" i="2" s="1"/>
  <c r="M1630" i="2" s="1"/>
  <c r="M1631" i="2" s="1"/>
  <c r="M1632" i="2" s="1"/>
  <c r="M1633" i="2" s="1"/>
  <c r="M1634" i="2" s="1"/>
  <c r="M1635" i="2" s="1"/>
  <c r="M1636" i="2" s="1"/>
  <c r="M1637" i="2" s="1"/>
  <c r="M1638" i="2" s="1"/>
  <c r="M1639" i="2" s="1"/>
  <c r="M1640" i="2" s="1"/>
  <c r="M1641" i="2" s="1"/>
  <c r="N1628" i="2"/>
  <c r="N1629" i="2" s="1"/>
  <c r="N1630" i="2" s="1"/>
  <c r="N1631" i="2" s="1"/>
  <c r="N1632" i="2" s="1"/>
  <c r="N1633" i="2" s="1"/>
  <c r="N1634" i="2" s="1"/>
  <c r="N1635" i="2" s="1"/>
  <c r="N1636" i="2" s="1"/>
  <c r="N1637" i="2" s="1"/>
  <c r="N1638" i="2" s="1"/>
  <c r="N1639" i="2" s="1"/>
  <c r="N1640" i="2" s="1"/>
  <c r="N1641" i="2" s="1"/>
  <c r="O1629" i="2"/>
  <c r="O1630" i="2" s="1"/>
  <c r="R1629" i="2"/>
  <c r="X1629" i="2" s="1"/>
  <c r="O1631" i="2"/>
  <c r="O1632" i="2" s="1"/>
  <c r="R1631" i="2"/>
  <c r="R1632" i="2" s="1"/>
  <c r="U1632" i="2" s="1"/>
  <c r="O1633" i="2"/>
  <c r="O1634" i="2" s="1"/>
  <c r="R1633" i="2"/>
  <c r="O1635" i="2"/>
  <c r="O1636" i="2" s="1"/>
  <c r="R1635" i="2"/>
  <c r="O1637" i="2"/>
  <c r="O1638" i="2" s="1"/>
  <c r="R1637" i="2"/>
  <c r="X1637" i="2" s="1"/>
  <c r="O1639" i="2"/>
  <c r="O1640" i="2" s="1"/>
  <c r="O1641" i="2" s="1"/>
  <c r="O1642" i="2" s="1"/>
  <c r="R1639" i="2"/>
  <c r="X1639" i="2" s="1"/>
  <c r="K1641" i="2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L1641" i="2"/>
  <c r="L1642" i="2" s="1"/>
  <c r="L1643" i="2" s="1"/>
  <c r="L1644" i="2" s="1"/>
  <c r="L1645" i="2" s="1"/>
  <c r="L1646" i="2" s="1"/>
  <c r="L1647" i="2" s="1"/>
  <c r="L1648" i="2" s="1"/>
  <c r="L1649" i="2" s="1"/>
  <c r="L1650" i="2" s="1"/>
  <c r="L1651" i="2" s="1"/>
  <c r="L1652" i="2" s="1"/>
  <c r="L1653" i="2" s="1"/>
  <c r="L1654" i="2" s="1"/>
  <c r="L1655" i="2" s="1"/>
  <c r="L1656" i="2" s="1"/>
  <c r="L1657" i="2" s="1"/>
  <c r="L1658" i="2" s="1"/>
  <c r="L1659" i="2" s="1"/>
  <c r="L1660" i="2" s="1"/>
  <c r="L1661" i="2" s="1"/>
  <c r="L1662" i="2" s="1"/>
  <c r="L1663" i="2" s="1"/>
  <c r="L1664" i="2" s="1"/>
  <c r="L1665" i="2" s="1"/>
  <c r="L1666" i="2" s="1"/>
  <c r="L1667" i="2" s="1"/>
  <c r="L1668" i="2" s="1"/>
  <c r="L1669" i="2" s="1"/>
  <c r="L1670" i="2" s="1"/>
  <c r="L1671" i="2" s="1"/>
  <c r="L1672" i="2" s="1"/>
  <c r="L1673" i="2" s="1"/>
  <c r="L1674" i="2" s="1"/>
  <c r="L1675" i="2" s="1"/>
  <c r="L1676" i="2" s="1"/>
  <c r="L1677" i="2" s="1"/>
  <c r="L1678" i="2" s="1"/>
  <c r="L1679" i="2" s="1"/>
  <c r="L1680" i="2" s="1"/>
  <c r="L1681" i="2" s="1"/>
  <c r="L1682" i="2" s="1"/>
  <c r="L1683" i="2" s="1"/>
  <c r="L1684" i="2" s="1"/>
  <c r="L1685" i="2" s="1"/>
  <c r="L1686" i="2" s="1"/>
  <c r="L1687" i="2" s="1"/>
  <c r="L1688" i="2" s="1"/>
  <c r="L1689" i="2" s="1"/>
  <c r="L1690" i="2" s="1"/>
  <c r="L1691" i="2" s="1"/>
  <c r="L1692" i="2" s="1"/>
  <c r="L1693" i="2" s="1"/>
  <c r="L1694" i="2" s="1"/>
  <c r="L1695" i="2" s="1"/>
  <c r="L1696" i="2" s="1"/>
  <c r="L1697" i="2" s="1"/>
  <c r="L1698" i="2" s="1"/>
  <c r="L1699" i="2" s="1"/>
  <c r="L1700" i="2" s="1"/>
  <c r="L1701" i="2" s="1"/>
  <c r="L1702" i="2" s="1"/>
  <c r="L1703" i="2" s="1"/>
  <c r="L1704" i="2" s="1"/>
  <c r="L1705" i="2" s="1"/>
  <c r="L1706" i="2" s="1"/>
  <c r="L1707" i="2" s="1"/>
  <c r="L1708" i="2" s="1"/>
  <c r="M1642" i="2"/>
  <c r="M1643" i="2" s="1"/>
  <c r="M1644" i="2" s="1"/>
  <c r="M1645" i="2" s="1"/>
  <c r="N1642" i="2"/>
  <c r="N1643" i="2" s="1"/>
  <c r="N1644" i="2" s="1"/>
  <c r="N1645" i="2" s="1"/>
  <c r="O1643" i="2"/>
  <c r="O1644" i="2" s="1"/>
  <c r="O1645" i="2" s="1"/>
  <c r="O1646" i="2" s="1"/>
  <c r="R1643" i="2"/>
  <c r="X1643" i="2" s="1"/>
  <c r="M1646" i="2"/>
  <c r="N1646" i="2"/>
  <c r="N1647" i="2" s="1"/>
  <c r="N1648" i="2" s="1"/>
  <c r="N1649" i="2" s="1"/>
  <c r="N1650" i="2" s="1"/>
  <c r="N1651" i="2" s="1"/>
  <c r="N1652" i="2" s="1"/>
  <c r="N1653" i="2" s="1"/>
  <c r="N1654" i="2" s="1"/>
  <c r="N1655" i="2" s="1"/>
  <c r="N1656" i="2" s="1"/>
  <c r="N1657" i="2" s="1"/>
  <c r="N1658" i="2" s="1"/>
  <c r="N1659" i="2" s="1"/>
  <c r="N1660" i="2" s="1"/>
  <c r="N1661" i="2" s="1"/>
  <c r="N1662" i="2" s="1"/>
  <c r="N1663" i="2" s="1"/>
  <c r="N1664" i="2" s="1"/>
  <c r="N1665" i="2" s="1"/>
  <c r="N1666" i="2" s="1"/>
  <c r="N1667" i="2" s="1"/>
  <c r="N1668" i="2" s="1"/>
  <c r="O1647" i="2"/>
  <c r="O1648" i="2" s="1"/>
  <c r="O1649" i="2" s="1"/>
  <c r="O1650" i="2" s="1"/>
  <c r="O1651" i="2" s="1"/>
  <c r="R1647" i="2"/>
  <c r="O1652" i="2"/>
  <c r="O1653" i="2" s="1"/>
  <c r="O1654" i="2" s="1"/>
  <c r="O1655" i="2" s="1"/>
  <c r="O1656" i="2" s="1"/>
  <c r="O1657" i="2" s="1"/>
  <c r="R1652" i="2"/>
  <c r="O1658" i="2"/>
  <c r="O1659" i="2" s="1"/>
  <c r="O1660" i="2" s="1"/>
  <c r="O1661" i="2" s="1"/>
  <c r="O1662" i="2" s="1"/>
  <c r="O1663" i="2" s="1"/>
  <c r="R1658" i="2"/>
  <c r="X1658" i="2" s="1"/>
  <c r="O1664" i="2"/>
  <c r="O1665" i="2" s="1"/>
  <c r="O1666" i="2" s="1"/>
  <c r="O1667" i="2" s="1"/>
  <c r="O1668" i="2" s="1"/>
  <c r="O1669" i="2" s="1"/>
  <c r="R1664" i="2"/>
  <c r="X1664" i="2" s="1"/>
  <c r="M1669" i="2"/>
  <c r="N1669" i="2"/>
  <c r="N1670" i="2" s="1"/>
  <c r="N1671" i="2" s="1"/>
  <c r="N1672" i="2" s="1"/>
  <c r="N1673" i="2" s="1"/>
  <c r="N1674" i="2" s="1"/>
  <c r="N1675" i="2" s="1"/>
  <c r="N1676" i="2" s="1"/>
  <c r="N1677" i="2" s="1"/>
  <c r="N1678" i="2" s="1"/>
  <c r="N1679" i="2" s="1"/>
  <c r="N1680" i="2" s="1"/>
  <c r="N1681" i="2" s="1"/>
  <c r="N1682" i="2" s="1"/>
  <c r="N1683" i="2" s="1"/>
  <c r="N1684" i="2" s="1"/>
  <c r="N1685" i="2" s="1"/>
  <c r="N1686" i="2" s="1"/>
  <c r="N1687" i="2" s="1"/>
  <c r="N1688" i="2" s="1"/>
  <c r="N1689" i="2" s="1"/>
  <c r="N1690" i="2" s="1"/>
  <c r="O1670" i="2"/>
  <c r="O1671" i="2" s="1"/>
  <c r="O1672" i="2" s="1"/>
  <c r="O1673" i="2" s="1"/>
  <c r="O1674" i="2" s="1"/>
  <c r="R1670" i="2"/>
  <c r="X1670" i="2" s="1"/>
  <c r="O1675" i="2"/>
  <c r="O1676" i="2" s="1"/>
  <c r="O1677" i="2" s="1"/>
  <c r="O1678" i="2" s="1"/>
  <c r="O1679" i="2" s="1"/>
  <c r="O1680" i="2" s="1"/>
  <c r="R1675" i="2"/>
  <c r="X1675" i="2" s="1"/>
  <c r="O1681" i="2"/>
  <c r="O1682" i="2" s="1"/>
  <c r="O1683" i="2" s="1"/>
  <c r="O1684" i="2" s="1"/>
  <c r="O1685" i="2" s="1"/>
  <c r="O1686" i="2" s="1"/>
  <c r="R1681" i="2"/>
  <c r="X1681" i="2" s="1"/>
  <c r="O1687" i="2"/>
  <c r="O1688" i="2" s="1"/>
  <c r="O1689" i="2" s="1"/>
  <c r="O1690" i="2" s="1"/>
  <c r="O1691" i="2" s="1"/>
  <c r="R1687" i="2"/>
  <c r="X1687" i="2" s="1"/>
  <c r="M1691" i="2"/>
  <c r="N1691" i="2"/>
  <c r="N1692" i="2" s="1"/>
  <c r="N1693" i="2" s="1"/>
  <c r="N1694" i="2" s="1"/>
  <c r="N1695" i="2" s="1"/>
  <c r="O1692" i="2"/>
  <c r="O1693" i="2" s="1"/>
  <c r="O1694" i="2" s="1"/>
  <c r="O1695" i="2" s="1"/>
  <c r="O1696" i="2" s="1"/>
  <c r="R1692" i="2"/>
  <c r="X1692" i="2" s="1"/>
  <c r="M1696" i="2"/>
  <c r="N1696" i="2"/>
  <c r="N1697" i="2" s="1"/>
  <c r="N1698" i="2" s="1"/>
  <c r="N1699" i="2" s="1"/>
  <c r="N1700" i="2" s="1"/>
  <c r="N1701" i="2" s="1"/>
  <c r="N1702" i="2" s="1"/>
  <c r="N1703" i="2" s="1"/>
  <c r="N1704" i="2" s="1"/>
  <c r="N1705" i="2" s="1"/>
  <c r="N1706" i="2" s="1"/>
  <c r="N1707" i="2" s="1"/>
  <c r="N1708" i="2" s="1"/>
  <c r="N1709" i="2" s="1"/>
  <c r="O1697" i="2"/>
  <c r="O1698" i="2" s="1"/>
  <c r="R1697" i="2"/>
  <c r="X1697" i="2" s="1"/>
  <c r="O1699" i="2"/>
  <c r="O1700" i="2" s="1"/>
  <c r="R1699" i="2"/>
  <c r="R1700" i="2" s="1"/>
  <c r="U1700" i="2" s="1"/>
  <c r="O1701" i="2"/>
  <c r="O1702" i="2" s="1"/>
  <c r="R1701" i="2"/>
  <c r="X1701" i="2" s="1"/>
  <c r="O1703" i="2"/>
  <c r="O1704" i="2" s="1"/>
  <c r="R1703" i="2"/>
  <c r="X1703" i="2" s="1"/>
  <c r="O1705" i="2"/>
  <c r="O1706" i="2" s="1"/>
  <c r="R1705" i="2"/>
  <c r="X1705" i="2" s="1"/>
  <c r="O1707" i="2"/>
  <c r="O1708" i="2" s="1"/>
  <c r="O1709" i="2" s="1"/>
  <c r="O1710" i="2" s="1"/>
  <c r="R1707" i="2"/>
  <c r="R1708" i="2" s="1"/>
  <c r="U1708" i="2" s="1"/>
  <c r="K1709" i="2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L1709" i="2"/>
  <c r="L1710" i="2" s="1"/>
  <c r="L1711" i="2" s="1"/>
  <c r="L1712" i="2" s="1"/>
  <c r="L1713" i="2" s="1"/>
  <c r="L1714" i="2" s="1"/>
  <c r="L1715" i="2" s="1"/>
  <c r="L1716" i="2" s="1"/>
  <c r="L1717" i="2" s="1"/>
  <c r="L1718" i="2" s="1"/>
  <c r="L1719" i="2" s="1"/>
  <c r="L1720" i="2" s="1"/>
  <c r="L1721" i="2" s="1"/>
  <c r="L1722" i="2" s="1"/>
  <c r="L1723" i="2" s="1"/>
  <c r="L1724" i="2" s="1"/>
  <c r="L1725" i="2" s="1"/>
  <c r="L1726" i="2" s="1"/>
  <c r="M1710" i="2"/>
  <c r="M1711" i="2" s="1"/>
  <c r="M1712" i="2" s="1"/>
  <c r="M1713" i="2" s="1"/>
  <c r="M1714" i="2" s="1"/>
  <c r="M1715" i="2" s="1"/>
  <c r="N1710" i="2"/>
  <c r="N1711" i="2" s="1"/>
  <c r="N1712" i="2" s="1"/>
  <c r="N1713" i="2" s="1"/>
  <c r="N1714" i="2" s="1"/>
  <c r="N1715" i="2" s="1"/>
  <c r="O1711" i="2"/>
  <c r="O1712" i="2" s="1"/>
  <c r="O1713" i="2" s="1"/>
  <c r="R1711" i="2"/>
  <c r="X1711" i="2" s="1"/>
  <c r="O1714" i="2"/>
  <c r="O1715" i="2" s="1"/>
  <c r="O1716" i="2" s="1"/>
  <c r="R1714" i="2"/>
  <c r="X1714" i="2" s="1"/>
  <c r="M1716" i="2"/>
  <c r="M1717" i="2" s="1"/>
  <c r="M1718" i="2" s="1"/>
  <c r="M1719" i="2" s="1"/>
  <c r="M1720" i="2" s="1"/>
  <c r="N1716" i="2"/>
  <c r="N1717" i="2" s="1"/>
  <c r="N1718" i="2" s="1"/>
  <c r="N1719" i="2" s="1"/>
  <c r="N1720" i="2" s="1"/>
  <c r="O1717" i="2"/>
  <c r="O1718" i="2" s="1"/>
  <c r="O1719" i="2" s="1"/>
  <c r="O1720" i="2" s="1"/>
  <c r="O1721" i="2" s="1"/>
  <c r="R1717" i="2"/>
  <c r="X1717" i="2" s="1"/>
  <c r="M1721" i="2"/>
  <c r="N1721" i="2"/>
  <c r="N1722" i="2" s="1"/>
  <c r="N1723" i="2" s="1"/>
  <c r="N1724" i="2" s="1"/>
  <c r="N1725" i="2" s="1"/>
  <c r="N1726" i="2" s="1"/>
  <c r="N1727" i="2" s="1"/>
  <c r="O1722" i="2"/>
  <c r="O1723" i="2" s="1"/>
  <c r="R1722" i="2"/>
  <c r="X1722" i="2" s="1"/>
  <c r="O1724" i="2"/>
  <c r="O1725" i="2" s="1"/>
  <c r="O1726" i="2" s="1"/>
  <c r="O1727" i="2" s="1"/>
  <c r="O1728" i="2" s="1"/>
  <c r="R1724" i="2"/>
  <c r="R1725" i="2" s="1"/>
  <c r="R1726" i="2" s="1"/>
  <c r="X1726" i="2" s="1"/>
  <c r="I1726" i="2"/>
  <c r="I1727" i="2" s="1"/>
  <c r="I1728" i="2" s="1"/>
  <c r="I1729" i="2" s="1"/>
  <c r="I1730" i="2" s="1"/>
  <c r="I1731" i="2" s="1"/>
  <c r="I1732" i="2" s="1"/>
  <c r="I1733" i="2" s="1"/>
  <c r="I1734" i="2" s="1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J1726" i="2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K1727" i="2"/>
  <c r="L1727" i="2"/>
  <c r="L1728" i="2" s="1"/>
  <c r="L1729" i="2" s="1"/>
  <c r="L1730" i="2" s="1"/>
  <c r="L1731" i="2" s="1"/>
  <c r="L1732" i="2" s="1"/>
  <c r="L1733" i="2" s="1"/>
  <c r="L1734" i="2" s="1"/>
  <c r="L1735" i="2" s="1"/>
  <c r="L1736" i="2" s="1"/>
  <c r="L1737" i="2" s="1"/>
  <c r="L1738" i="2" s="1"/>
  <c r="L1739" i="2" s="1"/>
  <c r="L1740" i="2" s="1"/>
  <c r="L1741" i="2" s="1"/>
  <c r="L1742" i="2" s="1"/>
  <c r="L1743" i="2" s="1"/>
  <c r="L1744" i="2" s="1"/>
  <c r="L1745" i="2" s="1"/>
  <c r="L1746" i="2" s="1"/>
  <c r="L1747" i="2" s="1"/>
  <c r="M1728" i="2"/>
  <c r="M1729" i="2" s="1"/>
  <c r="M1730" i="2" s="1"/>
  <c r="N1728" i="2"/>
  <c r="N1729" i="2" s="1"/>
  <c r="N1730" i="2" s="1"/>
  <c r="O1729" i="2"/>
  <c r="O1730" i="2" s="1"/>
  <c r="O1731" i="2" s="1"/>
  <c r="R1729" i="2"/>
  <c r="R1730" i="2" s="1"/>
  <c r="U1730" i="2" s="1"/>
  <c r="M1731" i="2"/>
  <c r="M1732" i="2" s="1"/>
  <c r="M1733" i="2" s="1"/>
  <c r="M1734" i="2" s="1"/>
  <c r="M1735" i="2" s="1"/>
  <c r="N1731" i="2"/>
  <c r="N1732" i="2" s="1"/>
  <c r="N1733" i="2" s="1"/>
  <c r="N1734" i="2" s="1"/>
  <c r="N1735" i="2" s="1"/>
  <c r="O1732" i="2"/>
  <c r="O1733" i="2" s="1"/>
  <c r="O1734" i="2" s="1"/>
  <c r="O1735" i="2" s="1"/>
  <c r="O1736" i="2" s="1"/>
  <c r="R1732" i="2"/>
  <c r="X1732" i="2" s="1"/>
  <c r="M1736" i="2"/>
  <c r="M1737" i="2" s="1"/>
  <c r="M1738" i="2" s="1"/>
  <c r="M1739" i="2" s="1"/>
  <c r="M1740" i="2" s="1"/>
  <c r="N1736" i="2"/>
  <c r="N1737" i="2" s="1"/>
  <c r="N1738" i="2" s="1"/>
  <c r="N1739" i="2" s="1"/>
  <c r="N1740" i="2" s="1"/>
  <c r="O1737" i="2"/>
  <c r="O1738" i="2" s="1"/>
  <c r="O1739" i="2" s="1"/>
  <c r="O1740" i="2" s="1"/>
  <c r="O1741" i="2" s="1"/>
  <c r="R1737" i="2"/>
  <c r="X1737" i="2" s="1"/>
  <c r="M1741" i="2"/>
  <c r="M1742" i="2" s="1"/>
  <c r="M1743" i="2" s="1"/>
  <c r="M1744" i="2" s="1"/>
  <c r="M1745" i="2" s="1"/>
  <c r="M1746" i="2" s="1"/>
  <c r="M1747" i="2" s="1"/>
  <c r="M1748" i="2" s="1"/>
  <c r="N1741" i="2"/>
  <c r="N1742" i="2" s="1"/>
  <c r="N1743" i="2" s="1"/>
  <c r="N1744" i="2" s="1"/>
  <c r="N1745" i="2" s="1"/>
  <c r="N1746" i="2" s="1"/>
  <c r="N1747" i="2" s="1"/>
  <c r="N1748" i="2" s="1"/>
  <c r="O1742" i="2"/>
  <c r="O1743" i="2" s="1"/>
  <c r="R1742" i="2"/>
  <c r="X1742" i="2" s="1"/>
  <c r="O1744" i="2"/>
  <c r="O1745" i="2" s="1"/>
  <c r="R1744" i="2"/>
  <c r="X1744" i="2" s="1"/>
  <c r="O1746" i="2"/>
  <c r="O1747" i="2" s="1"/>
  <c r="O1748" i="2" s="1"/>
  <c r="O1749" i="2" s="1"/>
  <c r="R1746" i="2"/>
  <c r="R1747" i="2" s="1"/>
  <c r="U1747" i="2" s="1"/>
  <c r="K1748" i="2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L1748" i="2"/>
  <c r="L1749" i="2" s="1"/>
  <c r="L1750" i="2" s="1"/>
  <c r="L1751" i="2" s="1"/>
  <c r="L1752" i="2" s="1"/>
  <c r="L1753" i="2" s="1"/>
  <c r="L1754" i="2" s="1"/>
  <c r="L1755" i="2" s="1"/>
  <c r="L1756" i="2" s="1"/>
  <c r="L1757" i="2" s="1"/>
  <c r="L1758" i="2" s="1"/>
  <c r="L1759" i="2" s="1"/>
  <c r="L1760" i="2" s="1"/>
  <c r="L1761" i="2" s="1"/>
  <c r="L1762" i="2" s="1"/>
  <c r="L1763" i="2" s="1"/>
  <c r="L1764" i="2" s="1"/>
  <c r="L1765" i="2" s="1"/>
  <c r="L1766" i="2" s="1"/>
  <c r="L1767" i="2" s="1"/>
  <c r="L1768" i="2" s="1"/>
  <c r="L1769" i="2" s="1"/>
  <c r="L1770" i="2" s="1"/>
  <c r="L1771" i="2" s="1"/>
  <c r="L1772" i="2" s="1"/>
  <c r="M1749" i="2"/>
  <c r="M1750" i="2" s="1"/>
  <c r="M1751" i="2" s="1"/>
  <c r="N1749" i="2"/>
  <c r="N1750" i="2" s="1"/>
  <c r="N1751" i="2" s="1"/>
  <c r="O1750" i="2"/>
  <c r="O1751" i="2" s="1"/>
  <c r="O1752" i="2" s="1"/>
  <c r="R1750" i="2"/>
  <c r="X1750" i="2" s="1"/>
  <c r="M1752" i="2"/>
  <c r="N1752" i="2"/>
  <c r="N1753" i="2" s="1"/>
  <c r="N1754" i="2" s="1"/>
  <c r="N1755" i="2" s="1"/>
  <c r="N1756" i="2" s="1"/>
  <c r="N1757" i="2" s="1"/>
  <c r="N1758" i="2" s="1"/>
  <c r="N1759" i="2" s="1"/>
  <c r="N1760" i="2" s="1"/>
  <c r="O1753" i="2"/>
  <c r="O1754" i="2" s="1"/>
  <c r="O1755" i="2" s="1"/>
  <c r="O1756" i="2" s="1"/>
  <c r="R1753" i="2"/>
  <c r="R1754" i="2" s="1"/>
  <c r="X1754" i="2" s="1"/>
  <c r="O1757" i="2"/>
  <c r="O1758" i="2" s="1"/>
  <c r="O1759" i="2" s="1"/>
  <c r="O1760" i="2" s="1"/>
  <c r="O1761" i="2" s="1"/>
  <c r="R1757" i="2"/>
  <c r="X1757" i="2" s="1"/>
  <c r="M1761" i="2"/>
  <c r="M1762" i="2" s="1"/>
  <c r="M1763" i="2" s="1"/>
  <c r="M1764" i="2" s="1"/>
  <c r="M1765" i="2" s="1"/>
  <c r="N1761" i="2"/>
  <c r="N1762" i="2" s="1"/>
  <c r="N1763" i="2" s="1"/>
  <c r="N1764" i="2" s="1"/>
  <c r="N1765" i="2" s="1"/>
  <c r="O1762" i="2"/>
  <c r="O1763" i="2" s="1"/>
  <c r="O1764" i="2" s="1"/>
  <c r="O1765" i="2" s="1"/>
  <c r="O1766" i="2" s="1"/>
  <c r="R1762" i="2"/>
  <c r="X1762" i="2" s="1"/>
  <c r="M1766" i="2"/>
  <c r="M1767" i="2" s="1"/>
  <c r="M1768" i="2" s="1"/>
  <c r="M1769" i="2" s="1"/>
  <c r="M1770" i="2" s="1"/>
  <c r="M1771" i="2" s="1"/>
  <c r="M1772" i="2" s="1"/>
  <c r="M1773" i="2" s="1"/>
  <c r="N1766" i="2"/>
  <c r="N1767" i="2" s="1"/>
  <c r="N1768" i="2" s="1"/>
  <c r="N1769" i="2" s="1"/>
  <c r="N1770" i="2" s="1"/>
  <c r="N1771" i="2" s="1"/>
  <c r="N1772" i="2" s="1"/>
  <c r="N1773" i="2" s="1"/>
  <c r="O1767" i="2"/>
  <c r="O1768" i="2" s="1"/>
  <c r="R1767" i="2"/>
  <c r="R1768" i="2" s="1"/>
  <c r="U1768" i="2" s="1"/>
  <c r="O1769" i="2"/>
  <c r="O1770" i="2" s="1"/>
  <c r="R1769" i="2"/>
  <c r="X1769" i="2" s="1"/>
  <c r="O1771" i="2"/>
  <c r="O1772" i="2" s="1"/>
  <c r="O1773" i="2" s="1"/>
  <c r="O1774" i="2" s="1"/>
  <c r="R1771" i="2"/>
  <c r="X1771" i="2" s="1"/>
  <c r="K1773" i="2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L1773" i="2"/>
  <c r="L1774" i="2" s="1"/>
  <c r="L1775" i="2" s="1"/>
  <c r="L1776" i="2" s="1"/>
  <c r="L1777" i="2" s="1"/>
  <c r="L1778" i="2" s="1"/>
  <c r="L1779" i="2" s="1"/>
  <c r="L1780" i="2" s="1"/>
  <c r="L1781" i="2" s="1"/>
  <c r="L1782" i="2" s="1"/>
  <c r="L1783" i="2" s="1"/>
  <c r="L1784" i="2" s="1"/>
  <c r="L1785" i="2" s="1"/>
  <c r="L1786" i="2" s="1"/>
  <c r="L1787" i="2" s="1"/>
  <c r="L1788" i="2" s="1"/>
  <c r="L1789" i="2" s="1"/>
  <c r="L1790" i="2" s="1"/>
  <c r="L1791" i="2" s="1"/>
  <c r="L1792" i="2" s="1"/>
  <c r="M1774" i="2"/>
  <c r="M1775" i="2" s="1"/>
  <c r="M1776" i="2" s="1"/>
  <c r="M1777" i="2" s="1"/>
  <c r="M1778" i="2" s="1"/>
  <c r="M1779" i="2" s="1"/>
  <c r="M1780" i="2" s="1"/>
  <c r="M1781" i="2" s="1"/>
  <c r="M1782" i="2" s="1"/>
  <c r="N1774" i="2"/>
  <c r="N1775" i="2" s="1"/>
  <c r="N1776" i="2" s="1"/>
  <c r="N1777" i="2" s="1"/>
  <c r="N1778" i="2" s="1"/>
  <c r="N1779" i="2" s="1"/>
  <c r="N1780" i="2" s="1"/>
  <c r="N1781" i="2" s="1"/>
  <c r="N1782" i="2" s="1"/>
  <c r="O1775" i="2"/>
  <c r="O1776" i="2" s="1"/>
  <c r="O1777" i="2" s="1"/>
  <c r="O1778" i="2" s="1"/>
  <c r="R1775" i="2"/>
  <c r="X1775" i="2" s="1"/>
  <c r="O1779" i="2"/>
  <c r="O1780" i="2" s="1"/>
  <c r="O1781" i="2" s="1"/>
  <c r="O1782" i="2" s="1"/>
  <c r="O1783" i="2" s="1"/>
  <c r="R1779" i="2"/>
  <c r="X1779" i="2" s="1"/>
  <c r="M1783" i="2"/>
  <c r="M1784" i="2" s="1"/>
  <c r="M1785" i="2" s="1"/>
  <c r="M1786" i="2" s="1"/>
  <c r="M1787" i="2" s="1"/>
  <c r="N1783" i="2"/>
  <c r="N1784" i="2" s="1"/>
  <c r="N1785" i="2" s="1"/>
  <c r="N1786" i="2" s="1"/>
  <c r="N1787" i="2" s="1"/>
  <c r="O1784" i="2"/>
  <c r="O1785" i="2" s="1"/>
  <c r="O1786" i="2" s="1"/>
  <c r="O1787" i="2" s="1"/>
  <c r="O1788" i="2" s="1"/>
  <c r="R1784" i="2"/>
  <c r="X1784" i="2" s="1"/>
  <c r="M1788" i="2"/>
  <c r="M1789" i="2" s="1"/>
  <c r="M1790" i="2" s="1"/>
  <c r="M1791" i="2" s="1"/>
  <c r="M1792" i="2" s="1"/>
  <c r="M1793" i="2" s="1"/>
  <c r="N1788" i="2"/>
  <c r="N1789" i="2" s="1"/>
  <c r="N1790" i="2" s="1"/>
  <c r="N1791" i="2" s="1"/>
  <c r="N1792" i="2" s="1"/>
  <c r="N1793" i="2" s="1"/>
  <c r="O1789" i="2"/>
  <c r="O1790" i="2" s="1"/>
  <c r="R1789" i="2"/>
  <c r="R1790" i="2" s="1"/>
  <c r="U1790" i="2" s="1"/>
  <c r="O1791" i="2"/>
  <c r="O1792" i="2" s="1"/>
  <c r="O1793" i="2" s="1"/>
  <c r="O1794" i="2" s="1"/>
  <c r="R1791" i="2"/>
  <c r="R1792" i="2" s="1"/>
  <c r="X1792" i="2" s="1"/>
  <c r="K1793" i="2"/>
  <c r="K1794" i="2" s="1"/>
  <c r="L1793" i="2"/>
  <c r="L1794" i="2" s="1"/>
  <c r="L1795" i="2" s="1"/>
  <c r="L1796" i="2" s="1"/>
  <c r="L1797" i="2" s="1"/>
  <c r="L1798" i="2" s="1"/>
  <c r="L1799" i="2" s="1"/>
  <c r="L1800" i="2" s="1"/>
  <c r="L1801" i="2" s="1"/>
  <c r="L1802" i="2" s="1"/>
  <c r="L1803" i="2" s="1"/>
  <c r="L1804" i="2" s="1"/>
  <c r="L1805" i="2" s="1"/>
  <c r="L1806" i="2" s="1"/>
  <c r="L1807" i="2" s="1"/>
  <c r="L1808" i="2" s="1"/>
  <c r="L1809" i="2" s="1"/>
  <c r="L1810" i="2" s="1"/>
  <c r="L1811" i="2" s="1"/>
  <c r="L1812" i="2" s="1"/>
  <c r="L1813" i="2" s="1"/>
  <c r="L1814" i="2" s="1"/>
  <c r="M1794" i="2"/>
  <c r="M1795" i="2" s="1"/>
  <c r="M1796" i="2" s="1"/>
  <c r="M1797" i="2" s="1"/>
  <c r="N1794" i="2"/>
  <c r="N1795" i="2" s="1"/>
  <c r="N1796" i="2" s="1"/>
  <c r="N1797" i="2" s="1"/>
  <c r="O1795" i="2"/>
  <c r="O1796" i="2" s="1"/>
  <c r="O1797" i="2" s="1"/>
  <c r="O1798" i="2" s="1"/>
  <c r="R1795" i="2"/>
  <c r="R1796" i="2" s="1"/>
  <c r="U1796" i="2" s="1"/>
  <c r="M1798" i="2"/>
  <c r="M1799" i="2" s="1"/>
  <c r="M1800" i="2" s="1"/>
  <c r="M1801" i="2" s="1"/>
  <c r="M1802" i="2" s="1"/>
  <c r="N1798" i="2"/>
  <c r="N1799" i="2" s="1"/>
  <c r="N1800" i="2" s="1"/>
  <c r="N1801" i="2" s="1"/>
  <c r="N1802" i="2" s="1"/>
  <c r="O1799" i="2"/>
  <c r="O1800" i="2" s="1"/>
  <c r="O1801" i="2" s="1"/>
  <c r="O1802" i="2" s="1"/>
  <c r="O1803" i="2" s="1"/>
  <c r="R1799" i="2"/>
  <c r="X1799" i="2" s="1"/>
  <c r="M1803" i="2"/>
  <c r="N1803" i="2"/>
  <c r="N1804" i="2" s="1"/>
  <c r="N1805" i="2" s="1"/>
  <c r="N1806" i="2" s="1"/>
  <c r="N1807" i="2" s="1"/>
  <c r="O1804" i="2"/>
  <c r="O1805" i="2" s="1"/>
  <c r="O1806" i="2" s="1"/>
  <c r="O1807" i="2" s="1"/>
  <c r="O1808" i="2" s="1"/>
  <c r="R1804" i="2"/>
  <c r="R1805" i="2" s="1"/>
  <c r="M1808" i="2"/>
  <c r="N1808" i="2"/>
  <c r="N1809" i="2" s="1"/>
  <c r="N1810" i="2" s="1"/>
  <c r="N1811" i="2" s="1"/>
  <c r="N1812" i="2" s="1"/>
  <c r="N1813" i="2" s="1"/>
  <c r="N1814" i="2" s="1"/>
  <c r="N1815" i="2" s="1"/>
  <c r="O1809" i="2"/>
  <c r="O1810" i="2" s="1"/>
  <c r="R1809" i="2"/>
  <c r="X1809" i="2" s="1"/>
  <c r="O1811" i="2"/>
  <c r="O1812" i="2" s="1"/>
  <c r="R1811" i="2"/>
  <c r="X1811" i="2" s="1"/>
  <c r="O1813" i="2"/>
  <c r="O1814" i="2" s="1"/>
  <c r="O1815" i="2" s="1"/>
  <c r="O1816" i="2" s="1"/>
  <c r="R1813" i="2"/>
  <c r="X1813" i="2" s="1"/>
  <c r="K1815" i="2"/>
  <c r="L1815" i="2"/>
  <c r="L1816" i="2" s="1"/>
  <c r="L1817" i="2" s="1"/>
  <c r="L1818" i="2" s="1"/>
  <c r="L1819" i="2" s="1"/>
  <c r="L1820" i="2" s="1"/>
  <c r="L1821" i="2" s="1"/>
  <c r="L1822" i="2" s="1"/>
  <c r="L1823" i="2" s="1"/>
  <c r="L1824" i="2" s="1"/>
  <c r="L1825" i="2" s="1"/>
  <c r="L1826" i="2" s="1"/>
  <c r="L1827" i="2" s="1"/>
  <c r="L1828" i="2" s="1"/>
  <c r="L1829" i="2" s="1"/>
  <c r="L1830" i="2" s="1"/>
  <c r="L1831" i="2" s="1"/>
  <c r="L1832" i="2" s="1"/>
  <c r="L1833" i="2" s="1"/>
  <c r="L1834" i="2" s="1"/>
  <c r="L1835" i="2" s="1"/>
  <c r="L1836" i="2" s="1"/>
  <c r="L1837" i="2" s="1"/>
  <c r="M1816" i="2"/>
  <c r="M1817" i="2" s="1"/>
  <c r="M1818" i="2" s="1"/>
  <c r="M1819" i="2" s="1"/>
  <c r="N1816" i="2"/>
  <c r="N1817" i="2" s="1"/>
  <c r="N1818" i="2" s="1"/>
  <c r="N1819" i="2" s="1"/>
  <c r="O1817" i="2"/>
  <c r="O1818" i="2" s="1"/>
  <c r="O1819" i="2" s="1"/>
  <c r="O1820" i="2" s="1"/>
  <c r="R1817" i="2"/>
  <c r="X1817" i="2" s="1"/>
  <c r="M1820" i="2"/>
  <c r="N1820" i="2"/>
  <c r="N1821" i="2" s="1"/>
  <c r="N1822" i="2" s="1"/>
  <c r="N1823" i="2" s="1"/>
  <c r="N1824" i="2" s="1"/>
  <c r="O1821" i="2"/>
  <c r="O1822" i="2" s="1"/>
  <c r="O1823" i="2" s="1"/>
  <c r="O1824" i="2" s="1"/>
  <c r="O1825" i="2" s="1"/>
  <c r="R1821" i="2"/>
  <c r="X1821" i="2" s="1"/>
  <c r="M1825" i="2"/>
  <c r="M1826" i="2" s="1"/>
  <c r="M1827" i="2" s="1"/>
  <c r="M1828" i="2" s="1"/>
  <c r="M1829" i="2" s="1"/>
  <c r="N1825" i="2"/>
  <c r="N1826" i="2" s="1"/>
  <c r="N1827" i="2" s="1"/>
  <c r="N1828" i="2" s="1"/>
  <c r="N1829" i="2" s="1"/>
  <c r="O1826" i="2"/>
  <c r="O1827" i="2" s="1"/>
  <c r="O1828" i="2" s="1"/>
  <c r="O1829" i="2" s="1"/>
  <c r="O1830" i="2" s="1"/>
  <c r="R1826" i="2"/>
  <c r="X1826" i="2" s="1"/>
  <c r="M1830" i="2"/>
  <c r="M1831" i="2" s="1"/>
  <c r="M1832" i="2" s="1"/>
  <c r="M1833" i="2" s="1"/>
  <c r="M1834" i="2" s="1"/>
  <c r="M1835" i="2" s="1"/>
  <c r="M1836" i="2" s="1"/>
  <c r="M1837" i="2" s="1"/>
  <c r="M1838" i="2" s="1"/>
  <c r="N1830" i="2"/>
  <c r="N1831" i="2" s="1"/>
  <c r="N1832" i="2" s="1"/>
  <c r="N1833" i="2" s="1"/>
  <c r="N1834" i="2" s="1"/>
  <c r="N1835" i="2" s="1"/>
  <c r="N1836" i="2" s="1"/>
  <c r="N1837" i="2" s="1"/>
  <c r="N1838" i="2" s="1"/>
  <c r="O1831" i="2"/>
  <c r="O1832" i="2" s="1"/>
  <c r="R1831" i="2"/>
  <c r="X1831" i="2" s="1"/>
  <c r="O1833" i="2"/>
  <c r="O1834" i="2" s="1"/>
  <c r="R1833" i="2"/>
  <c r="X1833" i="2" s="1"/>
  <c r="O1835" i="2"/>
  <c r="O1836" i="2" s="1"/>
  <c r="O1837" i="2" s="1"/>
  <c r="O1838" i="2" s="1"/>
  <c r="O1839" i="2" s="1"/>
  <c r="R1835" i="2"/>
  <c r="X1835" i="2" s="1"/>
  <c r="I1837" i="2"/>
  <c r="J1837" i="2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K1838" i="2"/>
  <c r="K1839" i="2" s="1"/>
  <c r="K1840" i="2" s="1"/>
  <c r="K1841" i="2" s="1"/>
  <c r="K1842" i="2" s="1"/>
  <c r="K1843" i="2" s="1"/>
  <c r="K1844" i="2" s="1"/>
  <c r="L1838" i="2"/>
  <c r="L1839" i="2" s="1"/>
  <c r="L1840" i="2" s="1"/>
  <c r="L1841" i="2" s="1"/>
  <c r="L1842" i="2" s="1"/>
  <c r="L1843" i="2" s="1"/>
  <c r="L1844" i="2" s="1"/>
  <c r="L1845" i="2" s="1"/>
  <c r="L1846" i="2" s="1"/>
  <c r="M1839" i="2"/>
  <c r="N1839" i="2"/>
  <c r="N1840" i="2" s="1"/>
  <c r="N1841" i="2" s="1"/>
  <c r="N1842" i="2" s="1"/>
  <c r="N1843" i="2" s="1"/>
  <c r="O1840" i="2"/>
  <c r="O1841" i="2" s="1"/>
  <c r="R1840" i="2"/>
  <c r="X1840" i="2" s="1"/>
  <c r="O1842" i="2"/>
  <c r="O1843" i="2" s="1"/>
  <c r="O1844" i="2" s="1"/>
  <c r="R1842" i="2"/>
  <c r="R1843" i="2" s="1"/>
  <c r="M1844" i="2"/>
  <c r="M1845" i="2" s="1"/>
  <c r="M1846" i="2" s="1"/>
  <c r="M1847" i="2" s="1"/>
  <c r="N1844" i="2"/>
  <c r="N1845" i="2" s="1"/>
  <c r="N1846" i="2" s="1"/>
  <c r="N1847" i="2" s="1"/>
  <c r="O1845" i="2"/>
  <c r="O1846" i="2" s="1"/>
  <c r="O1847" i="2" s="1"/>
  <c r="O1848" i="2" s="1"/>
  <c r="R1845" i="2"/>
  <c r="X1845" i="2" s="1"/>
  <c r="K1847" i="2"/>
  <c r="K1848" i="2" s="1"/>
  <c r="K1849" i="2" s="1"/>
  <c r="K1850" i="2" s="1"/>
  <c r="K1851" i="2" s="1"/>
  <c r="K1852" i="2" s="1"/>
  <c r="K1853" i="2" s="1"/>
  <c r="L1847" i="2"/>
  <c r="L1848" i="2" s="1"/>
  <c r="L1849" i="2" s="1"/>
  <c r="L1850" i="2" s="1"/>
  <c r="L1851" i="2" s="1"/>
  <c r="L1852" i="2" s="1"/>
  <c r="L1853" i="2" s="1"/>
  <c r="L1854" i="2" s="1"/>
  <c r="L1855" i="2" s="1"/>
  <c r="L1856" i="2" s="1"/>
  <c r="L1857" i="2" s="1"/>
  <c r="L1858" i="2" s="1"/>
  <c r="L1859" i="2" s="1"/>
  <c r="L1860" i="2" s="1"/>
  <c r="L1861" i="2" s="1"/>
  <c r="L1862" i="2" s="1"/>
  <c r="L1863" i="2" s="1"/>
  <c r="L1864" i="2" s="1"/>
  <c r="L1865" i="2" s="1"/>
  <c r="L1866" i="2" s="1"/>
  <c r="L1867" i="2" s="1"/>
  <c r="L1868" i="2" s="1"/>
  <c r="L1869" i="2" s="1"/>
  <c r="L1870" i="2" s="1"/>
  <c r="L1871" i="2" s="1"/>
  <c r="L1872" i="2" s="1"/>
  <c r="L1873" i="2" s="1"/>
  <c r="L1874" i="2" s="1"/>
  <c r="L1875" i="2" s="1"/>
  <c r="L1876" i="2" s="1"/>
  <c r="L1877" i="2" s="1"/>
  <c r="M1848" i="2"/>
  <c r="N1848" i="2"/>
  <c r="N1849" i="2" s="1"/>
  <c r="N1850" i="2" s="1"/>
  <c r="N1851" i="2" s="1"/>
  <c r="N1852" i="2" s="1"/>
  <c r="O1849" i="2"/>
  <c r="O1850" i="2" s="1"/>
  <c r="R1849" i="2"/>
  <c r="X1849" i="2" s="1"/>
  <c r="O1851" i="2"/>
  <c r="O1852" i="2" s="1"/>
  <c r="O1853" i="2" s="1"/>
  <c r="R1851" i="2"/>
  <c r="X1851" i="2" s="1"/>
  <c r="M1853" i="2"/>
  <c r="M1854" i="2" s="1"/>
  <c r="M1855" i="2" s="1"/>
  <c r="M1856" i="2" s="1"/>
  <c r="M1857" i="2" s="1"/>
  <c r="M1858" i="2" s="1"/>
  <c r="M1859" i="2" s="1"/>
  <c r="N1853" i="2"/>
  <c r="N1854" i="2" s="1"/>
  <c r="N1855" i="2" s="1"/>
  <c r="N1856" i="2" s="1"/>
  <c r="N1857" i="2" s="1"/>
  <c r="N1858" i="2" s="1"/>
  <c r="N1859" i="2" s="1"/>
  <c r="O1854" i="2"/>
  <c r="O1855" i="2" s="1"/>
  <c r="R1854" i="2"/>
  <c r="X1854" i="2" s="1"/>
  <c r="O1856" i="2"/>
  <c r="O1857" i="2" s="1"/>
  <c r="R1856" i="2"/>
  <c r="X1856" i="2" s="1"/>
  <c r="O1858" i="2"/>
  <c r="O1859" i="2" s="1"/>
  <c r="O1860" i="2" s="1"/>
  <c r="R1858" i="2"/>
  <c r="X1858" i="2" s="1"/>
  <c r="M1860" i="2"/>
  <c r="M1861" i="2" s="1"/>
  <c r="M1862" i="2" s="1"/>
  <c r="M1863" i="2" s="1"/>
  <c r="M1864" i="2" s="1"/>
  <c r="M1865" i="2" s="1"/>
  <c r="M1866" i="2" s="1"/>
  <c r="M1867" i="2" s="1"/>
  <c r="M1868" i="2" s="1"/>
  <c r="M1869" i="2" s="1"/>
  <c r="M1870" i="2" s="1"/>
  <c r="M1871" i="2" s="1"/>
  <c r="M1872" i="2" s="1"/>
  <c r="M1873" i="2" s="1"/>
  <c r="M1874" i="2" s="1"/>
  <c r="N1860" i="2"/>
  <c r="N1861" i="2" s="1"/>
  <c r="N1862" i="2" s="1"/>
  <c r="N1863" i="2" s="1"/>
  <c r="N1864" i="2" s="1"/>
  <c r="N1865" i="2" s="1"/>
  <c r="N1866" i="2" s="1"/>
  <c r="N1867" i="2" s="1"/>
  <c r="N1868" i="2" s="1"/>
  <c r="N1869" i="2" s="1"/>
  <c r="N1870" i="2" s="1"/>
  <c r="N1871" i="2" s="1"/>
  <c r="N1872" i="2" s="1"/>
  <c r="N1873" i="2" s="1"/>
  <c r="N1874" i="2" s="1"/>
  <c r="O1861" i="2"/>
  <c r="O1862" i="2" s="1"/>
  <c r="O1863" i="2" s="1"/>
  <c r="R1861" i="2"/>
  <c r="X1861" i="2" s="1"/>
  <c r="O1864" i="2"/>
  <c r="O1865" i="2" s="1"/>
  <c r="O1866" i="2" s="1"/>
  <c r="R1864" i="2"/>
  <c r="X1864" i="2" s="1"/>
  <c r="O1867" i="2"/>
  <c r="O1868" i="2" s="1"/>
  <c r="O1869" i="2" s="1"/>
  <c r="R1867" i="2"/>
  <c r="R1868" i="2" s="1"/>
  <c r="O1870" i="2"/>
  <c r="O1871" i="2" s="1"/>
  <c r="O1872" i="2" s="1"/>
  <c r="R1870" i="2"/>
  <c r="X1870" i="2" s="1"/>
  <c r="O1873" i="2"/>
  <c r="O1874" i="2" s="1"/>
  <c r="O1875" i="2" s="1"/>
  <c r="R1873" i="2"/>
  <c r="R1874" i="2" s="1"/>
  <c r="X1874" i="2" s="1"/>
  <c r="M1875" i="2"/>
  <c r="M1876" i="2" s="1"/>
  <c r="M1877" i="2" s="1"/>
  <c r="M1878" i="2" s="1"/>
  <c r="N1875" i="2"/>
  <c r="N1876" i="2" s="1"/>
  <c r="N1877" i="2" s="1"/>
  <c r="N1878" i="2" s="1"/>
  <c r="O1876" i="2"/>
  <c r="O1877" i="2" s="1"/>
  <c r="O1878" i="2" s="1"/>
  <c r="O1879" i="2" s="1"/>
  <c r="R1876" i="2"/>
  <c r="X1876" i="2" s="1"/>
  <c r="K1878" i="2"/>
  <c r="K1879" i="2" s="1"/>
  <c r="L1878" i="2"/>
  <c r="L1879" i="2" s="1"/>
  <c r="L1880" i="2" s="1"/>
  <c r="L1881" i="2" s="1"/>
  <c r="L1882" i="2" s="1"/>
  <c r="L1883" i="2" s="1"/>
  <c r="L1884" i="2" s="1"/>
  <c r="L1885" i="2" s="1"/>
  <c r="L1886" i="2" s="1"/>
  <c r="L1887" i="2" s="1"/>
  <c r="L1888" i="2" s="1"/>
  <c r="L1889" i="2" s="1"/>
  <c r="L1890" i="2" s="1"/>
  <c r="L1891" i="2" s="1"/>
  <c r="L1892" i="2" s="1"/>
  <c r="L1893" i="2" s="1"/>
  <c r="L1894" i="2" s="1"/>
  <c r="L1895" i="2" s="1"/>
  <c r="L1896" i="2" s="1"/>
  <c r="L1897" i="2" s="1"/>
  <c r="L1898" i="2" s="1"/>
  <c r="L1899" i="2" s="1"/>
  <c r="L1900" i="2" s="1"/>
  <c r="L1901" i="2" s="1"/>
  <c r="L1902" i="2" s="1"/>
  <c r="L1903" i="2" s="1"/>
  <c r="L1904" i="2" s="1"/>
  <c r="L1905" i="2" s="1"/>
  <c r="L1906" i="2" s="1"/>
  <c r="L1907" i="2" s="1"/>
  <c r="L1908" i="2" s="1"/>
  <c r="L1909" i="2" s="1"/>
  <c r="L1910" i="2" s="1"/>
  <c r="L1911" i="2" s="1"/>
  <c r="L1912" i="2" s="1"/>
  <c r="L1913" i="2" s="1"/>
  <c r="M1879" i="2"/>
  <c r="M1880" i="2" s="1"/>
  <c r="M1881" i="2" s="1"/>
  <c r="M1882" i="2" s="1"/>
  <c r="M1883" i="2" s="1"/>
  <c r="M1884" i="2" s="1"/>
  <c r="M1885" i="2" s="1"/>
  <c r="N1879" i="2"/>
  <c r="N1880" i="2" s="1"/>
  <c r="N1881" i="2" s="1"/>
  <c r="N1882" i="2" s="1"/>
  <c r="N1883" i="2" s="1"/>
  <c r="N1884" i="2" s="1"/>
  <c r="N1885" i="2" s="1"/>
  <c r="O1880" i="2"/>
  <c r="O1881" i="2" s="1"/>
  <c r="R1880" i="2"/>
  <c r="O1882" i="2"/>
  <c r="O1883" i="2" s="1"/>
  <c r="R1882" i="2"/>
  <c r="R1883" i="2" s="1"/>
  <c r="O1884" i="2"/>
  <c r="O1885" i="2" s="1"/>
  <c r="O1886" i="2" s="1"/>
  <c r="R1884" i="2"/>
  <c r="R1885" i="2" s="1"/>
  <c r="M1886" i="2"/>
  <c r="M1887" i="2" s="1"/>
  <c r="M1888" i="2" s="1"/>
  <c r="M1889" i="2" s="1"/>
  <c r="M1890" i="2" s="1"/>
  <c r="M1891" i="2" s="1"/>
  <c r="M1892" i="2" s="1"/>
  <c r="N1886" i="2"/>
  <c r="N1887" i="2" s="1"/>
  <c r="N1888" i="2" s="1"/>
  <c r="N1889" i="2" s="1"/>
  <c r="N1890" i="2" s="1"/>
  <c r="N1891" i="2" s="1"/>
  <c r="N1892" i="2" s="1"/>
  <c r="O1887" i="2"/>
  <c r="O1888" i="2" s="1"/>
  <c r="R1887" i="2"/>
  <c r="O1889" i="2"/>
  <c r="O1890" i="2" s="1"/>
  <c r="R1889" i="2"/>
  <c r="R1890" i="2" s="1"/>
  <c r="O1891" i="2"/>
  <c r="O1892" i="2" s="1"/>
  <c r="O1893" i="2" s="1"/>
  <c r="R1891" i="2"/>
  <c r="M1893" i="2"/>
  <c r="N1893" i="2"/>
  <c r="N1894" i="2" s="1"/>
  <c r="N1895" i="2" s="1"/>
  <c r="N1896" i="2" s="1"/>
  <c r="N1897" i="2" s="1"/>
  <c r="N1898" i="2" s="1"/>
  <c r="N1899" i="2" s="1"/>
  <c r="N1900" i="2" s="1"/>
  <c r="N1901" i="2" s="1"/>
  <c r="N1902" i="2" s="1"/>
  <c r="N1903" i="2" s="1"/>
  <c r="N1904" i="2" s="1"/>
  <c r="N1905" i="2" s="1"/>
  <c r="N1906" i="2" s="1"/>
  <c r="N1907" i="2" s="1"/>
  <c r="N1908" i="2" s="1"/>
  <c r="N1909" i="2" s="1"/>
  <c r="N1910" i="2" s="1"/>
  <c r="O1894" i="2"/>
  <c r="O1895" i="2" s="1"/>
  <c r="O1896" i="2" s="1"/>
  <c r="R1894" i="2"/>
  <c r="R1895" i="2" s="1"/>
  <c r="O1897" i="2"/>
  <c r="O1898" i="2" s="1"/>
  <c r="O1899" i="2" s="1"/>
  <c r="R1897" i="2"/>
  <c r="O1900" i="2"/>
  <c r="O1901" i="2" s="1"/>
  <c r="O1902" i="2" s="1"/>
  <c r="R1900" i="2"/>
  <c r="X1900" i="2" s="1"/>
  <c r="O1903" i="2"/>
  <c r="O1904" i="2" s="1"/>
  <c r="O1905" i="2" s="1"/>
  <c r="R1903" i="2"/>
  <c r="O1906" i="2"/>
  <c r="O1907" i="2" s="1"/>
  <c r="O1908" i="2" s="1"/>
  <c r="R1906" i="2"/>
  <c r="R1907" i="2" s="1"/>
  <c r="O1909" i="2"/>
  <c r="O1910" i="2" s="1"/>
  <c r="O1911" i="2" s="1"/>
  <c r="R1909" i="2"/>
  <c r="M1911" i="2"/>
  <c r="N1911" i="2"/>
  <c r="N1912" i="2" s="1"/>
  <c r="N1913" i="2" s="1"/>
  <c r="N1914" i="2" s="1"/>
  <c r="O1912" i="2"/>
  <c r="O1913" i="2" s="1"/>
  <c r="O1914" i="2" s="1"/>
  <c r="O1915" i="2" s="1"/>
  <c r="R1912" i="2"/>
  <c r="R1913" i="2" s="1"/>
  <c r="K1914" i="2"/>
  <c r="L1914" i="2"/>
  <c r="L1915" i="2" s="1"/>
  <c r="L1916" i="2" s="1"/>
  <c r="L1917" i="2" s="1"/>
  <c r="L1918" i="2" s="1"/>
  <c r="L1919" i="2" s="1"/>
  <c r="L1920" i="2" s="1"/>
  <c r="L1921" i="2" s="1"/>
  <c r="L1922" i="2" s="1"/>
  <c r="L1923" i="2" s="1"/>
  <c r="L1924" i="2" s="1"/>
  <c r="L1925" i="2" s="1"/>
  <c r="L1926" i="2" s="1"/>
  <c r="L1927" i="2" s="1"/>
  <c r="L1928" i="2" s="1"/>
  <c r="L1929" i="2" s="1"/>
  <c r="L1930" i="2" s="1"/>
  <c r="L1931" i="2" s="1"/>
  <c r="L1932" i="2" s="1"/>
  <c r="L1933" i="2" s="1"/>
  <c r="L1934" i="2" s="1"/>
  <c r="L1935" i="2" s="1"/>
  <c r="L1936" i="2" s="1"/>
  <c r="L1937" i="2" s="1"/>
  <c r="L1938" i="2" s="1"/>
  <c r="L1939" i="2" s="1"/>
  <c r="L1940" i="2" s="1"/>
  <c r="L1941" i="2" s="1"/>
  <c r="M1915" i="2"/>
  <c r="M1916" i="2" s="1"/>
  <c r="M1917" i="2" s="1"/>
  <c r="M1918" i="2" s="1"/>
  <c r="M1919" i="2" s="1"/>
  <c r="M1920" i="2" s="1"/>
  <c r="M1921" i="2" s="1"/>
  <c r="N1915" i="2"/>
  <c r="N1916" i="2" s="1"/>
  <c r="N1917" i="2" s="1"/>
  <c r="N1918" i="2" s="1"/>
  <c r="N1919" i="2" s="1"/>
  <c r="N1920" i="2" s="1"/>
  <c r="N1921" i="2" s="1"/>
  <c r="O1916" i="2"/>
  <c r="O1917" i="2" s="1"/>
  <c r="R1916" i="2"/>
  <c r="R1917" i="2" s="1"/>
  <c r="O1918" i="2"/>
  <c r="O1919" i="2" s="1"/>
  <c r="R1918" i="2"/>
  <c r="X1918" i="2" s="1"/>
  <c r="O1920" i="2"/>
  <c r="O1921" i="2" s="1"/>
  <c r="O1922" i="2" s="1"/>
  <c r="R1920" i="2"/>
  <c r="X1920" i="2" s="1"/>
  <c r="M1922" i="2"/>
  <c r="N1922" i="2"/>
  <c r="N1923" i="2" s="1"/>
  <c r="N1924" i="2" s="1"/>
  <c r="N1925" i="2" s="1"/>
  <c r="N1926" i="2" s="1"/>
  <c r="O1923" i="2"/>
  <c r="O1924" i="2" s="1"/>
  <c r="R1923" i="2"/>
  <c r="X1923" i="2" s="1"/>
  <c r="O1925" i="2"/>
  <c r="O1926" i="2" s="1"/>
  <c r="O1927" i="2" s="1"/>
  <c r="R1925" i="2"/>
  <c r="R1926" i="2" s="1"/>
  <c r="U1926" i="2" s="1"/>
  <c r="M1927" i="2"/>
  <c r="M1928" i="2" s="1"/>
  <c r="M1929" i="2" s="1"/>
  <c r="M1930" i="2" s="1"/>
  <c r="M1931" i="2" s="1"/>
  <c r="M1932" i="2" s="1"/>
  <c r="M1933" i="2" s="1"/>
  <c r="M1934" i="2" s="1"/>
  <c r="M1935" i="2" s="1"/>
  <c r="M1936" i="2" s="1"/>
  <c r="M1937" i="2" s="1"/>
  <c r="M1938" i="2" s="1"/>
  <c r="N1927" i="2"/>
  <c r="N1928" i="2" s="1"/>
  <c r="N1929" i="2" s="1"/>
  <c r="N1930" i="2" s="1"/>
  <c r="N1931" i="2" s="1"/>
  <c r="N1932" i="2" s="1"/>
  <c r="N1933" i="2" s="1"/>
  <c r="N1934" i="2" s="1"/>
  <c r="N1935" i="2" s="1"/>
  <c r="N1936" i="2" s="1"/>
  <c r="N1937" i="2" s="1"/>
  <c r="N1938" i="2" s="1"/>
  <c r="O1928" i="2"/>
  <c r="O1929" i="2" s="1"/>
  <c r="O1930" i="2" s="1"/>
  <c r="R1928" i="2"/>
  <c r="O1931" i="2"/>
  <c r="O1932" i="2" s="1"/>
  <c r="O1933" i="2" s="1"/>
  <c r="R1931" i="2"/>
  <c r="X1931" i="2" s="1"/>
  <c r="O1934" i="2"/>
  <c r="O1935" i="2" s="1"/>
  <c r="O1936" i="2" s="1"/>
  <c r="R1934" i="2"/>
  <c r="O1937" i="2"/>
  <c r="O1938" i="2" s="1"/>
  <c r="O1939" i="2" s="1"/>
  <c r="R1937" i="2"/>
  <c r="X1937" i="2" s="1"/>
  <c r="M1939" i="2"/>
  <c r="M1940" i="2" s="1"/>
  <c r="M1941" i="2" s="1"/>
  <c r="M1942" i="2" s="1"/>
  <c r="N1939" i="2"/>
  <c r="N1940" i="2" s="1"/>
  <c r="N1941" i="2" s="1"/>
  <c r="N1942" i="2" s="1"/>
  <c r="O1940" i="2"/>
  <c r="O1941" i="2" s="1"/>
  <c r="O1942" i="2" s="1"/>
  <c r="O1943" i="2" s="1"/>
  <c r="R1940" i="2"/>
  <c r="K1942" i="2"/>
  <c r="K1943" i="2" s="1"/>
  <c r="L1942" i="2"/>
  <c r="L1943" i="2" s="1"/>
  <c r="L1944" i="2" s="1"/>
  <c r="L1945" i="2" s="1"/>
  <c r="L1946" i="2" s="1"/>
  <c r="L1947" i="2" s="1"/>
  <c r="L1948" i="2" s="1"/>
  <c r="L1949" i="2" s="1"/>
  <c r="L1950" i="2" s="1"/>
  <c r="L1951" i="2" s="1"/>
  <c r="L1952" i="2" s="1"/>
  <c r="L1953" i="2" s="1"/>
  <c r="L1954" i="2" s="1"/>
  <c r="L1955" i="2" s="1"/>
  <c r="L1956" i="2" s="1"/>
  <c r="L1957" i="2" s="1"/>
  <c r="M1943" i="2"/>
  <c r="M1944" i="2" s="1"/>
  <c r="M1945" i="2" s="1"/>
  <c r="M1946" i="2" s="1"/>
  <c r="M1947" i="2" s="1"/>
  <c r="N1943" i="2"/>
  <c r="N1944" i="2" s="1"/>
  <c r="N1945" i="2" s="1"/>
  <c r="N1946" i="2" s="1"/>
  <c r="N1947" i="2" s="1"/>
  <c r="O1944" i="2"/>
  <c r="O1945" i="2" s="1"/>
  <c r="R1944" i="2"/>
  <c r="R1945" i="2" s="1"/>
  <c r="O1946" i="2"/>
  <c r="O1947" i="2" s="1"/>
  <c r="O1948" i="2" s="1"/>
  <c r="R1946" i="2"/>
  <c r="M1948" i="2"/>
  <c r="M1949" i="2" s="1"/>
  <c r="M1950" i="2" s="1"/>
  <c r="M1951" i="2" s="1"/>
  <c r="M1952" i="2" s="1"/>
  <c r="M1953" i="2" s="1"/>
  <c r="M1954" i="2" s="1"/>
  <c r="M1955" i="2" s="1"/>
  <c r="M1956" i="2" s="1"/>
  <c r="M1957" i="2" s="1"/>
  <c r="M1958" i="2" s="1"/>
  <c r="N1948" i="2"/>
  <c r="N1949" i="2" s="1"/>
  <c r="N1950" i="2" s="1"/>
  <c r="N1951" i="2" s="1"/>
  <c r="N1952" i="2" s="1"/>
  <c r="N1953" i="2" s="1"/>
  <c r="N1954" i="2" s="1"/>
  <c r="N1955" i="2" s="1"/>
  <c r="N1956" i="2" s="1"/>
  <c r="N1957" i="2" s="1"/>
  <c r="N1958" i="2" s="1"/>
  <c r="O1949" i="2"/>
  <c r="O1950" i="2" s="1"/>
  <c r="R1949" i="2"/>
  <c r="R1950" i="2" s="1"/>
  <c r="O1951" i="2"/>
  <c r="O1952" i="2" s="1"/>
  <c r="R1951" i="2"/>
  <c r="X1951" i="2" s="1"/>
  <c r="O1953" i="2"/>
  <c r="O1954" i="2" s="1"/>
  <c r="R1953" i="2"/>
  <c r="X1953" i="2" s="1"/>
  <c r="O1955" i="2"/>
  <c r="O1956" i="2" s="1"/>
  <c r="O1957" i="2" s="1"/>
  <c r="O1958" i="2" s="1"/>
  <c r="O1959" i="2" s="1"/>
  <c r="R1955" i="2"/>
  <c r="R1956" i="2" s="1"/>
  <c r="I1957" i="2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 s="1"/>
  <c r="I1979" i="2" s="1"/>
  <c r="I1980" i="2" s="1"/>
  <c r="I1981" i="2" s="1"/>
  <c r="I1982" i="2" s="1"/>
  <c r="I1983" i="2" s="1"/>
  <c r="I1984" i="2" s="1"/>
  <c r="I1985" i="2" s="1"/>
  <c r="I1986" i="2" s="1"/>
  <c r="I1987" i="2" s="1"/>
  <c r="I1988" i="2" s="1"/>
  <c r="I1989" i="2" s="1"/>
  <c r="I1990" i="2" s="1"/>
  <c r="I1991" i="2" s="1"/>
  <c r="I1992" i="2" s="1"/>
  <c r="I1993" i="2" s="1"/>
  <c r="I1994" i="2" s="1"/>
  <c r="J1957" i="2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K1958" i="2"/>
  <c r="K1959" i="2" s="1"/>
  <c r="K1960" i="2" s="1"/>
  <c r="K1961" i="2" s="1"/>
  <c r="K1962" i="2" s="1"/>
  <c r="L1958" i="2"/>
  <c r="L1959" i="2" s="1"/>
  <c r="L1960" i="2" s="1"/>
  <c r="L1961" i="2" s="1"/>
  <c r="L1962" i="2" s="1"/>
  <c r="L1963" i="2" s="1"/>
  <c r="L1964" i="2" s="1"/>
  <c r="M1959" i="2"/>
  <c r="N1959" i="2"/>
  <c r="N1960" i="2" s="1"/>
  <c r="N1961" i="2" s="1"/>
  <c r="O1960" i="2"/>
  <c r="O1961" i="2" s="1"/>
  <c r="O1962" i="2" s="1"/>
  <c r="R1960" i="2"/>
  <c r="X1960" i="2" s="1"/>
  <c r="M1962" i="2"/>
  <c r="M1963" i="2" s="1"/>
  <c r="M1964" i="2" s="1"/>
  <c r="M1965" i="2" s="1"/>
  <c r="N1962" i="2"/>
  <c r="N1963" i="2" s="1"/>
  <c r="N1964" i="2" s="1"/>
  <c r="N1965" i="2" s="1"/>
  <c r="O1963" i="2"/>
  <c r="O1964" i="2" s="1"/>
  <c r="O1965" i="2" s="1"/>
  <c r="O1966" i="2" s="1"/>
  <c r="R1963" i="2"/>
  <c r="X1963" i="2" s="1"/>
  <c r="K1965" i="2"/>
  <c r="K1966" i="2" s="1"/>
  <c r="L1965" i="2"/>
  <c r="L1966" i="2" s="1"/>
  <c r="L1967" i="2" s="1"/>
  <c r="L1968" i="2" s="1"/>
  <c r="L1969" i="2" s="1"/>
  <c r="L1970" i="2" s="1"/>
  <c r="L1971" i="2" s="1"/>
  <c r="L1972" i="2" s="1"/>
  <c r="L1973" i="2" s="1"/>
  <c r="L1974" i="2" s="1"/>
  <c r="L1975" i="2" s="1"/>
  <c r="L1976" i="2" s="1"/>
  <c r="L1977" i="2" s="1"/>
  <c r="L1978" i="2" s="1"/>
  <c r="L1979" i="2" s="1"/>
  <c r="L1980" i="2" s="1"/>
  <c r="L1981" i="2" s="1"/>
  <c r="L1982" i="2" s="1"/>
  <c r="L1983" i="2" s="1"/>
  <c r="L1984" i="2" s="1"/>
  <c r="L1985" i="2" s="1"/>
  <c r="L1986" i="2" s="1"/>
  <c r="L1987" i="2" s="1"/>
  <c r="L1988" i="2" s="1"/>
  <c r="L1989" i="2" s="1"/>
  <c r="L1990" i="2" s="1"/>
  <c r="L1991" i="2" s="1"/>
  <c r="L1992" i="2" s="1"/>
  <c r="L1993" i="2" s="1"/>
  <c r="M1966" i="2"/>
  <c r="M1967" i="2" s="1"/>
  <c r="M1968" i="2" s="1"/>
  <c r="M1969" i="2" s="1"/>
  <c r="M1970" i="2" s="1"/>
  <c r="M1971" i="2" s="1"/>
  <c r="M1972" i="2" s="1"/>
  <c r="M1973" i="2" s="1"/>
  <c r="M1974" i="2" s="1"/>
  <c r="M1975" i="2" s="1"/>
  <c r="M1976" i="2" s="1"/>
  <c r="M1977" i="2" s="1"/>
  <c r="M1978" i="2" s="1"/>
  <c r="M1979" i="2" s="1"/>
  <c r="M1980" i="2" s="1"/>
  <c r="M1981" i="2" s="1"/>
  <c r="M1982" i="2" s="1"/>
  <c r="M1983" i="2" s="1"/>
  <c r="M1984" i="2" s="1"/>
  <c r="M1985" i="2" s="1"/>
  <c r="M1986" i="2" s="1"/>
  <c r="M1987" i="2" s="1"/>
  <c r="M1988" i="2" s="1"/>
  <c r="M1989" i="2" s="1"/>
  <c r="M1990" i="2" s="1"/>
  <c r="N1966" i="2"/>
  <c r="N1967" i="2" s="1"/>
  <c r="N1968" i="2" s="1"/>
  <c r="N1969" i="2" s="1"/>
  <c r="N1970" i="2" s="1"/>
  <c r="N1971" i="2" s="1"/>
  <c r="N1972" i="2" s="1"/>
  <c r="N1973" i="2" s="1"/>
  <c r="N1974" i="2" s="1"/>
  <c r="N1975" i="2" s="1"/>
  <c r="N1976" i="2" s="1"/>
  <c r="N1977" i="2" s="1"/>
  <c r="N1978" i="2" s="1"/>
  <c r="N1979" i="2" s="1"/>
  <c r="N1980" i="2" s="1"/>
  <c r="N1981" i="2" s="1"/>
  <c r="N1982" i="2" s="1"/>
  <c r="N1983" i="2" s="1"/>
  <c r="N1984" i="2" s="1"/>
  <c r="N1985" i="2" s="1"/>
  <c r="N1986" i="2" s="1"/>
  <c r="N1987" i="2" s="1"/>
  <c r="N1988" i="2" s="1"/>
  <c r="N1989" i="2" s="1"/>
  <c r="N1990" i="2" s="1"/>
  <c r="O1967" i="2"/>
  <c r="O1968" i="2" s="1"/>
  <c r="O1969" i="2" s="1"/>
  <c r="O1970" i="2" s="1"/>
  <c r="O1971" i="2" s="1"/>
  <c r="O1972" i="2" s="1"/>
  <c r="O1973" i="2" s="1"/>
  <c r="O1974" i="2" s="1"/>
  <c r="O1975" i="2" s="1"/>
  <c r="R1967" i="2"/>
  <c r="R1968" i="2" s="1"/>
  <c r="X1968" i="2" s="1"/>
  <c r="O1976" i="2"/>
  <c r="O1977" i="2" s="1"/>
  <c r="O1978" i="2" s="1"/>
  <c r="O1979" i="2" s="1"/>
  <c r="O1980" i="2" s="1"/>
  <c r="O1981" i="2" s="1"/>
  <c r="O1982" i="2" s="1"/>
  <c r="O1983" i="2" s="1"/>
  <c r="O1984" i="2" s="1"/>
  <c r="R1976" i="2"/>
  <c r="X1976" i="2" s="1"/>
  <c r="O1985" i="2"/>
  <c r="O1986" i="2" s="1"/>
  <c r="R1985" i="2"/>
  <c r="X1985" i="2" s="1"/>
  <c r="O1987" i="2"/>
  <c r="O1988" i="2" s="1"/>
  <c r="O1989" i="2" s="1"/>
  <c r="O1990" i="2" s="1"/>
  <c r="O1991" i="2" s="1"/>
  <c r="R1987" i="2"/>
  <c r="X1987" i="2" s="1"/>
  <c r="M1991" i="2"/>
  <c r="M1992" i="2" s="1"/>
  <c r="M1993" i="2" s="1"/>
  <c r="M1994" i="2" s="1"/>
  <c r="N1991" i="2"/>
  <c r="N1992" i="2" s="1"/>
  <c r="N1993" i="2" s="1"/>
  <c r="N1994" i="2" s="1"/>
  <c r="O1992" i="2"/>
  <c r="O1993" i="2" s="1"/>
  <c r="O1994" i="2" s="1"/>
  <c r="O1995" i="2" s="1"/>
  <c r="R1992" i="2"/>
  <c r="X1992" i="2" s="1"/>
  <c r="K1994" i="2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L1994" i="2"/>
  <c r="L1995" i="2" s="1"/>
  <c r="L1996" i="2" s="1"/>
  <c r="L1997" i="2" s="1"/>
  <c r="L1998" i="2" s="1"/>
  <c r="L1999" i="2" s="1"/>
  <c r="L2000" i="2" s="1"/>
  <c r="L2001" i="2" s="1"/>
  <c r="L2002" i="2" s="1"/>
  <c r="L2003" i="2" s="1"/>
  <c r="L2004" i="2" s="1"/>
  <c r="L2005" i="2" s="1"/>
  <c r="L2006" i="2" s="1"/>
  <c r="L2007" i="2" s="1"/>
  <c r="M1995" i="2"/>
  <c r="M1996" i="2" s="1"/>
  <c r="M1997" i="2" s="1"/>
  <c r="M1998" i="2" s="1"/>
  <c r="M1999" i="2" s="1"/>
  <c r="M2000" i="2" s="1"/>
  <c r="M2001" i="2" s="1"/>
  <c r="M2002" i="2" s="1"/>
  <c r="M2003" i="2" s="1"/>
  <c r="M2004" i="2" s="1"/>
  <c r="N1995" i="2"/>
  <c r="N1996" i="2" s="1"/>
  <c r="N1997" i="2" s="1"/>
  <c r="N1998" i="2" s="1"/>
  <c r="N1999" i="2" s="1"/>
  <c r="N2000" i="2" s="1"/>
  <c r="N2001" i="2" s="1"/>
  <c r="N2002" i="2" s="1"/>
  <c r="N2003" i="2" s="1"/>
  <c r="N2004" i="2" s="1"/>
  <c r="O1996" i="2"/>
  <c r="O1997" i="2" s="1"/>
  <c r="O1998" i="2" s="1"/>
  <c r="O1999" i="2" s="1"/>
  <c r="O2000" i="2" s="1"/>
  <c r="O2001" i="2" s="1"/>
  <c r="O2002" i="2" s="1"/>
  <c r="O2003" i="2" s="1"/>
  <c r="O2004" i="2" s="1"/>
  <c r="O2005" i="2" s="1"/>
  <c r="R1996" i="2"/>
  <c r="X1996" i="2" s="1"/>
  <c r="M2005" i="2"/>
  <c r="M2006" i="2" s="1"/>
  <c r="M2007" i="2" s="1"/>
  <c r="M2008" i="2" s="1"/>
  <c r="N2005" i="2"/>
  <c r="N2006" i="2" s="1"/>
  <c r="N2007" i="2" s="1"/>
  <c r="N2008" i="2" s="1"/>
  <c r="O2006" i="2"/>
  <c r="O2007" i="2" s="1"/>
  <c r="O2008" i="2" s="1"/>
  <c r="O2009" i="2" s="1"/>
  <c r="R2006" i="2"/>
  <c r="X2006" i="2" s="1"/>
  <c r="K2008" i="2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L2008" i="2"/>
  <c r="L2009" i="2" s="1"/>
  <c r="L2010" i="2" s="1"/>
  <c r="L2011" i="2" s="1"/>
  <c r="L2012" i="2" s="1"/>
  <c r="L2013" i="2" s="1"/>
  <c r="L2014" i="2" s="1"/>
  <c r="L2015" i="2" s="1"/>
  <c r="L2016" i="2" s="1"/>
  <c r="L2017" i="2" s="1"/>
  <c r="L2018" i="2" s="1"/>
  <c r="L2019" i="2" s="1"/>
  <c r="L2020" i="2" s="1"/>
  <c r="L2021" i="2" s="1"/>
  <c r="L2022" i="2" s="1"/>
  <c r="L2023" i="2" s="1"/>
  <c r="L2024" i="2" s="1"/>
  <c r="L2025" i="2" s="1"/>
  <c r="L2026" i="2" s="1"/>
  <c r="L2027" i="2" s="1"/>
  <c r="L2028" i="2" s="1"/>
  <c r="L2029" i="2" s="1"/>
  <c r="L2030" i="2" s="1"/>
  <c r="L2031" i="2" s="1"/>
  <c r="L2032" i="2" s="1"/>
  <c r="L2033" i="2" s="1"/>
  <c r="L2034" i="2" s="1"/>
  <c r="L2035" i="2" s="1"/>
  <c r="L2036" i="2" s="1"/>
  <c r="L2037" i="2" s="1"/>
  <c r="L2038" i="2" s="1"/>
  <c r="L2039" i="2" s="1"/>
  <c r="L2040" i="2" s="1"/>
  <c r="L2041" i="2" s="1"/>
  <c r="L2042" i="2" s="1"/>
  <c r="L2043" i="2" s="1"/>
  <c r="L2044" i="2" s="1"/>
  <c r="L2045" i="2" s="1"/>
  <c r="L2046" i="2" s="1"/>
  <c r="L2047" i="2" s="1"/>
  <c r="L2048" i="2" s="1"/>
  <c r="L2049" i="2" s="1"/>
  <c r="L2050" i="2" s="1"/>
  <c r="L2051" i="2" s="1"/>
  <c r="L2052" i="2" s="1"/>
  <c r="L2053" i="2" s="1"/>
  <c r="L2054" i="2" s="1"/>
  <c r="L2055" i="2" s="1"/>
  <c r="L2056" i="2" s="1"/>
  <c r="L2057" i="2" s="1"/>
  <c r="L2058" i="2" s="1"/>
  <c r="L2059" i="2" s="1"/>
  <c r="L2060" i="2" s="1"/>
  <c r="L2061" i="2" s="1"/>
  <c r="M2009" i="2"/>
  <c r="M2010" i="2" s="1"/>
  <c r="M2011" i="2" s="1"/>
  <c r="M2012" i="2" s="1"/>
  <c r="M2013" i="2" s="1"/>
  <c r="M2014" i="2" s="1"/>
  <c r="M2015" i="2" s="1"/>
  <c r="M2016" i="2" s="1"/>
  <c r="M2017" i="2" s="1"/>
  <c r="M2018" i="2" s="1"/>
  <c r="M2019" i="2" s="1"/>
  <c r="M2020" i="2" s="1"/>
  <c r="M2021" i="2" s="1"/>
  <c r="M2022" i="2" s="1"/>
  <c r="M2023" i="2" s="1"/>
  <c r="M2024" i="2" s="1"/>
  <c r="M2025" i="2" s="1"/>
  <c r="M2026" i="2" s="1"/>
  <c r="M2027" i="2" s="1"/>
  <c r="M2028" i="2" s="1"/>
  <c r="M2029" i="2" s="1"/>
  <c r="M2030" i="2" s="1"/>
  <c r="M2031" i="2" s="1"/>
  <c r="M2032" i="2" s="1"/>
  <c r="M2033" i="2" s="1"/>
  <c r="M2034" i="2" s="1"/>
  <c r="M2035" i="2" s="1"/>
  <c r="M2036" i="2" s="1"/>
  <c r="M2037" i="2" s="1"/>
  <c r="M2038" i="2" s="1"/>
  <c r="M2039" i="2" s="1"/>
  <c r="M2040" i="2" s="1"/>
  <c r="M2041" i="2" s="1"/>
  <c r="M2042" i="2" s="1"/>
  <c r="M2043" i="2" s="1"/>
  <c r="M2044" i="2" s="1"/>
  <c r="M2045" i="2" s="1"/>
  <c r="M2046" i="2" s="1"/>
  <c r="M2047" i="2" s="1"/>
  <c r="M2048" i="2" s="1"/>
  <c r="M2049" i="2" s="1"/>
  <c r="M2050" i="2" s="1"/>
  <c r="M2051" i="2" s="1"/>
  <c r="M2052" i="2" s="1"/>
  <c r="M2053" i="2" s="1"/>
  <c r="M2054" i="2" s="1"/>
  <c r="M2055" i="2" s="1"/>
  <c r="M2056" i="2" s="1"/>
  <c r="M2057" i="2" s="1"/>
  <c r="N2009" i="2"/>
  <c r="N2010" i="2" s="1"/>
  <c r="N2011" i="2" s="1"/>
  <c r="N2012" i="2" s="1"/>
  <c r="N2013" i="2" s="1"/>
  <c r="N2014" i="2" s="1"/>
  <c r="N2015" i="2" s="1"/>
  <c r="N2016" i="2" s="1"/>
  <c r="N2017" i="2" s="1"/>
  <c r="N2018" i="2" s="1"/>
  <c r="N2019" i="2" s="1"/>
  <c r="N2020" i="2" s="1"/>
  <c r="N2021" i="2" s="1"/>
  <c r="N2022" i="2" s="1"/>
  <c r="N2023" i="2" s="1"/>
  <c r="N2024" i="2" s="1"/>
  <c r="N2025" i="2" s="1"/>
  <c r="N2026" i="2" s="1"/>
  <c r="N2027" i="2" s="1"/>
  <c r="N2028" i="2" s="1"/>
  <c r="N2029" i="2" s="1"/>
  <c r="N2030" i="2" s="1"/>
  <c r="N2031" i="2" s="1"/>
  <c r="N2032" i="2" s="1"/>
  <c r="N2033" i="2" s="1"/>
  <c r="N2034" i="2" s="1"/>
  <c r="N2035" i="2" s="1"/>
  <c r="N2036" i="2" s="1"/>
  <c r="N2037" i="2" s="1"/>
  <c r="N2038" i="2" s="1"/>
  <c r="N2039" i="2" s="1"/>
  <c r="N2040" i="2" s="1"/>
  <c r="N2041" i="2" s="1"/>
  <c r="N2042" i="2" s="1"/>
  <c r="N2043" i="2" s="1"/>
  <c r="N2044" i="2" s="1"/>
  <c r="N2045" i="2" s="1"/>
  <c r="N2046" i="2" s="1"/>
  <c r="N2047" i="2" s="1"/>
  <c r="N2048" i="2" s="1"/>
  <c r="N2049" i="2" s="1"/>
  <c r="N2050" i="2" s="1"/>
  <c r="N2051" i="2" s="1"/>
  <c r="N2052" i="2" s="1"/>
  <c r="N2053" i="2" s="1"/>
  <c r="N2054" i="2" s="1"/>
  <c r="N2055" i="2" s="1"/>
  <c r="N2056" i="2" s="1"/>
  <c r="N2057" i="2" s="1"/>
  <c r="O2010" i="2"/>
  <c r="O2011" i="2" s="1"/>
  <c r="O2012" i="2" s="1"/>
  <c r="O2013" i="2" s="1"/>
  <c r="O2014" i="2" s="1"/>
  <c r="O2015" i="2" s="1"/>
  <c r="O2016" i="2" s="1"/>
  <c r="O2017" i="2" s="1"/>
  <c r="O2018" i="2" s="1"/>
  <c r="R2010" i="2"/>
  <c r="X2010" i="2" s="1"/>
  <c r="O2019" i="2"/>
  <c r="O2020" i="2" s="1"/>
  <c r="O2021" i="2" s="1"/>
  <c r="O2022" i="2" s="1"/>
  <c r="O2023" i="2" s="1"/>
  <c r="O2024" i="2" s="1"/>
  <c r="O2025" i="2" s="1"/>
  <c r="O2026" i="2" s="1"/>
  <c r="O2027" i="2" s="1"/>
  <c r="R2019" i="2"/>
  <c r="X2019" i="2" s="1"/>
  <c r="O2028" i="2"/>
  <c r="O2029" i="2" s="1"/>
  <c r="O2030" i="2" s="1"/>
  <c r="O2031" i="2" s="1"/>
  <c r="O2032" i="2" s="1"/>
  <c r="O2033" i="2" s="1"/>
  <c r="O2034" i="2" s="1"/>
  <c r="O2035" i="2" s="1"/>
  <c r="O2036" i="2" s="1"/>
  <c r="R2028" i="2"/>
  <c r="X2028" i="2" s="1"/>
  <c r="O2037" i="2"/>
  <c r="O2038" i="2" s="1"/>
  <c r="O2039" i="2" s="1"/>
  <c r="O2040" i="2" s="1"/>
  <c r="O2041" i="2" s="1"/>
  <c r="O2042" i="2" s="1"/>
  <c r="O2043" i="2" s="1"/>
  <c r="O2044" i="2" s="1"/>
  <c r="O2045" i="2" s="1"/>
  <c r="R2037" i="2"/>
  <c r="X2037" i="2" s="1"/>
  <c r="O2046" i="2"/>
  <c r="O2047" i="2" s="1"/>
  <c r="R2046" i="2"/>
  <c r="X2046" i="2" s="1"/>
  <c r="O2048" i="2"/>
  <c r="O2049" i="2" s="1"/>
  <c r="O2050" i="2" s="1"/>
  <c r="O2051" i="2" s="1"/>
  <c r="R2048" i="2"/>
  <c r="X2048" i="2" s="1"/>
  <c r="O2052" i="2"/>
  <c r="O2053" i="2" s="1"/>
  <c r="R2052" i="2"/>
  <c r="X2052" i="2" s="1"/>
  <c r="O2054" i="2"/>
  <c r="O2055" i="2" s="1"/>
  <c r="O2056" i="2" s="1"/>
  <c r="O2057" i="2" s="1"/>
  <c r="O2058" i="2" s="1"/>
  <c r="R2054" i="2"/>
  <c r="R2055" i="2" s="1"/>
  <c r="U2055" i="2" s="1"/>
  <c r="M2058" i="2"/>
  <c r="M2059" i="2" s="1"/>
  <c r="M2060" i="2" s="1"/>
  <c r="M2061" i="2" s="1"/>
  <c r="M2062" i="2" s="1"/>
  <c r="N2058" i="2"/>
  <c r="N2059" i="2" s="1"/>
  <c r="N2060" i="2" s="1"/>
  <c r="N2061" i="2" s="1"/>
  <c r="N2062" i="2" s="1"/>
  <c r="O2059" i="2"/>
  <c r="O2060" i="2" s="1"/>
  <c r="O2061" i="2" s="1"/>
  <c r="O2062" i="2" s="1"/>
  <c r="O2063" i="2" s="1"/>
  <c r="R2059" i="2"/>
  <c r="X2059" i="2" s="1"/>
  <c r="I2061" i="2"/>
  <c r="J2061" i="2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K2062" i="2"/>
  <c r="L2062" i="2"/>
  <c r="L2063" i="2" s="1"/>
  <c r="L2064" i="2" s="1"/>
  <c r="L2065" i="2" s="1"/>
  <c r="L2066" i="2" s="1"/>
  <c r="L2067" i="2" s="1"/>
  <c r="L2068" i="2" s="1"/>
  <c r="L2069" i="2" s="1"/>
  <c r="L2070" i="2" s="1"/>
  <c r="L2071" i="2" s="1"/>
  <c r="L2072" i="2" s="1"/>
  <c r="L2073" i="2" s="1"/>
  <c r="L2074" i="2" s="1"/>
  <c r="L2075" i="2" s="1"/>
  <c r="L2076" i="2" s="1"/>
  <c r="L2077" i="2" s="1"/>
  <c r="L2078" i="2" s="1"/>
  <c r="L2079" i="2" s="1"/>
  <c r="L2080" i="2" s="1"/>
  <c r="L2081" i="2" s="1"/>
  <c r="L2082" i="2" s="1"/>
  <c r="L2083" i="2" s="1"/>
  <c r="L2084" i="2" s="1"/>
  <c r="L2085" i="2" s="1"/>
  <c r="L2086" i="2" s="1"/>
  <c r="L2087" i="2" s="1"/>
  <c r="L2088" i="2" s="1"/>
  <c r="L2089" i="2" s="1"/>
  <c r="M2063" i="2"/>
  <c r="M2064" i="2" s="1"/>
  <c r="M2065" i="2" s="1"/>
  <c r="M2066" i="2" s="1"/>
  <c r="M2067" i="2" s="1"/>
  <c r="M2068" i="2" s="1"/>
  <c r="M2069" i="2" s="1"/>
  <c r="M2070" i="2" s="1"/>
  <c r="M2071" i="2" s="1"/>
  <c r="M2072" i="2" s="1"/>
  <c r="M2073" i="2" s="1"/>
  <c r="M2074" i="2" s="1"/>
  <c r="M2075" i="2" s="1"/>
  <c r="M2076" i="2" s="1"/>
  <c r="M2077" i="2" s="1"/>
  <c r="M2078" i="2" s="1"/>
  <c r="M2079" i="2" s="1"/>
  <c r="M2080" i="2" s="1"/>
  <c r="M2081" i="2" s="1"/>
  <c r="M2082" i="2" s="1"/>
  <c r="N2063" i="2"/>
  <c r="N2064" i="2" s="1"/>
  <c r="N2065" i="2" s="1"/>
  <c r="N2066" i="2" s="1"/>
  <c r="N2067" i="2" s="1"/>
  <c r="N2068" i="2" s="1"/>
  <c r="N2069" i="2" s="1"/>
  <c r="N2070" i="2" s="1"/>
  <c r="N2071" i="2" s="1"/>
  <c r="N2072" i="2" s="1"/>
  <c r="N2073" i="2" s="1"/>
  <c r="N2074" i="2" s="1"/>
  <c r="N2075" i="2" s="1"/>
  <c r="N2076" i="2" s="1"/>
  <c r="N2077" i="2" s="1"/>
  <c r="N2078" i="2" s="1"/>
  <c r="N2079" i="2" s="1"/>
  <c r="N2080" i="2" s="1"/>
  <c r="N2081" i="2" s="1"/>
  <c r="N2082" i="2" s="1"/>
  <c r="O2064" i="2"/>
  <c r="O2065" i="2" s="1"/>
  <c r="O2066" i="2" s="1"/>
  <c r="O2067" i="2" s="1"/>
  <c r="R2064" i="2"/>
  <c r="X2064" i="2" s="1"/>
  <c r="O2068" i="2"/>
  <c r="O2069" i="2" s="1"/>
  <c r="O2070" i="2" s="1"/>
  <c r="O2071" i="2" s="1"/>
  <c r="O2072" i="2" s="1"/>
  <c r="R2068" i="2"/>
  <c r="X2068" i="2" s="1"/>
  <c r="O2073" i="2"/>
  <c r="O2074" i="2" s="1"/>
  <c r="O2075" i="2" s="1"/>
  <c r="O2076" i="2" s="1"/>
  <c r="O2077" i="2" s="1"/>
  <c r="R2073" i="2"/>
  <c r="X2073" i="2" s="1"/>
  <c r="O2078" i="2"/>
  <c r="O2079" i="2" s="1"/>
  <c r="O2080" i="2" s="1"/>
  <c r="O2081" i="2" s="1"/>
  <c r="O2082" i="2" s="1"/>
  <c r="O2083" i="2" s="1"/>
  <c r="R2078" i="2"/>
  <c r="X2078" i="2" s="1"/>
  <c r="M2083" i="2"/>
  <c r="M2084" i="2" s="1"/>
  <c r="M2085" i="2" s="1"/>
  <c r="N2083" i="2"/>
  <c r="N2084" i="2" s="1"/>
  <c r="N2085" i="2" s="1"/>
  <c r="O2084" i="2"/>
  <c r="O2085" i="2" s="1"/>
  <c r="O2086" i="2" s="1"/>
  <c r="R2084" i="2"/>
  <c r="R2085" i="2" s="1"/>
  <c r="U2085" i="2" s="1"/>
  <c r="M2086" i="2"/>
  <c r="M2087" i="2" s="1"/>
  <c r="M2088" i="2" s="1"/>
  <c r="M2089" i="2" s="1"/>
  <c r="M2090" i="2" s="1"/>
  <c r="N2086" i="2"/>
  <c r="N2087" i="2" s="1"/>
  <c r="N2088" i="2" s="1"/>
  <c r="N2089" i="2" s="1"/>
  <c r="N2090" i="2" s="1"/>
  <c r="O2087" i="2"/>
  <c r="O2088" i="2" s="1"/>
  <c r="O2089" i="2" s="1"/>
  <c r="O2090" i="2" s="1"/>
  <c r="O2091" i="2" s="1"/>
  <c r="R2087" i="2"/>
  <c r="X2087" i="2" s="1"/>
  <c r="I2089" i="2"/>
  <c r="I2090" i="2" s="1"/>
  <c r="I2091" i="2" s="1"/>
  <c r="I2092" i="2" s="1"/>
  <c r="I2093" i="2" s="1"/>
  <c r="I2094" i="2" s="1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 s="1"/>
  <c r="I2111" i="2" s="1"/>
  <c r="I2112" i="2" s="1"/>
  <c r="I2113" i="2" s="1"/>
  <c r="I2114" i="2" s="1"/>
  <c r="I2115" i="2" s="1"/>
  <c r="I2116" i="2" s="1"/>
  <c r="I2117" i="2" s="1"/>
  <c r="I2118" i="2" s="1"/>
  <c r="I2119" i="2" s="1"/>
  <c r="I2120" i="2" s="1"/>
  <c r="J2089" i="2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K2090" i="2"/>
  <c r="L2090" i="2"/>
  <c r="L2091" i="2" s="1"/>
  <c r="L2092" i="2" s="1"/>
  <c r="L2093" i="2" s="1"/>
  <c r="L2094" i="2" s="1"/>
  <c r="L2095" i="2" s="1"/>
  <c r="L2096" i="2" s="1"/>
  <c r="L2097" i="2" s="1"/>
  <c r="L2098" i="2" s="1"/>
  <c r="L2099" i="2" s="1"/>
  <c r="L2100" i="2" s="1"/>
  <c r="L2101" i="2" s="1"/>
  <c r="L2102" i="2" s="1"/>
  <c r="L2103" i="2" s="1"/>
  <c r="L2104" i="2" s="1"/>
  <c r="L2105" i="2" s="1"/>
  <c r="L2106" i="2" s="1"/>
  <c r="L2107" i="2" s="1"/>
  <c r="L2108" i="2" s="1"/>
  <c r="L2109" i="2" s="1"/>
  <c r="L2110" i="2" s="1"/>
  <c r="L2111" i="2" s="1"/>
  <c r="L2112" i="2" s="1"/>
  <c r="L2113" i="2" s="1"/>
  <c r="L2114" i="2" s="1"/>
  <c r="L2115" i="2" s="1"/>
  <c r="L2116" i="2" s="1"/>
  <c r="L2117" i="2" s="1"/>
  <c r="L2118" i="2" s="1"/>
  <c r="L2119" i="2" s="1"/>
  <c r="L2120" i="2" s="1"/>
  <c r="L2121" i="2" s="1"/>
  <c r="M2091" i="2"/>
  <c r="M2092" i="2" s="1"/>
  <c r="M2093" i="2" s="1"/>
  <c r="M2094" i="2" s="1"/>
  <c r="M2095" i="2" s="1"/>
  <c r="M2096" i="2" s="1"/>
  <c r="M2097" i="2" s="1"/>
  <c r="M2098" i="2" s="1"/>
  <c r="M2099" i="2" s="1"/>
  <c r="M2100" i="2" s="1"/>
  <c r="M2101" i="2" s="1"/>
  <c r="N2091" i="2"/>
  <c r="N2092" i="2" s="1"/>
  <c r="N2093" i="2" s="1"/>
  <c r="N2094" i="2" s="1"/>
  <c r="N2095" i="2" s="1"/>
  <c r="N2096" i="2" s="1"/>
  <c r="N2097" i="2" s="1"/>
  <c r="N2098" i="2" s="1"/>
  <c r="N2099" i="2" s="1"/>
  <c r="N2100" i="2" s="1"/>
  <c r="N2101" i="2" s="1"/>
  <c r="O2092" i="2"/>
  <c r="O2093" i="2" s="1"/>
  <c r="R2092" i="2"/>
  <c r="X2092" i="2" s="1"/>
  <c r="O2094" i="2"/>
  <c r="O2095" i="2" s="1"/>
  <c r="R2094" i="2"/>
  <c r="X2094" i="2" s="1"/>
  <c r="O2096" i="2"/>
  <c r="O2097" i="2" s="1"/>
  <c r="R2096" i="2"/>
  <c r="R2097" i="2" s="1"/>
  <c r="U2097" i="2" s="1"/>
  <c r="O2098" i="2"/>
  <c r="O2099" i="2" s="1"/>
  <c r="O2100" i="2" s="1"/>
  <c r="O2101" i="2" s="1"/>
  <c r="O2102" i="2" s="1"/>
  <c r="R2098" i="2"/>
  <c r="X2098" i="2" s="1"/>
  <c r="M2102" i="2"/>
  <c r="M2103" i="2" s="1"/>
  <c r="M2104" i="2" s="1"/>
  <c r="M2105" i="2" s="1"/>
  <c r="M2106" i="2" s="1"/>
  <c r="N2102" i="2"/>
  <c r="N2103" i="2" s="1"/>
  <c r="N2104" i="2" s="1"/>
  <c r="N2105" i="2" s="1"/>
  <c r="N2106" i="2" s="1"/>
  <c r="O2103" i="2"/>
  <c r="O2104" i="2" s="1"/>
  <c r="R2103" i="2"/>
  <c r="X2103" i="2" s="1"/>
  <c r="O2105" i="2"/>
  <c r="O2106" i="2" s="1"/>
  <c r="O2107" i="2" s="1"/>
  <c r="R2105" i="2"/>
  <c r="X2105" i="2" s="1"/>
  <c r="M2107" i="2"/>
  <c r="M2108" i="2" s="1"/>
  <c r="M2109" i="2" s="1"/>
  <c r="M2110" i="2" s="1"/>
  <c r="M2111" i="2" s="1"/>
  <c r="M2112" i="2" s="1"/>
  <c r="M2113" i="2" s="1"/>
  <c r="N2107" i="2"/>
  <c r="N2108" i="2" s="1"/>
  <c r="N2109" i="2" s="1"/>
  <c r="N2110" i="2" s="1"/>
  <c r="N2111" i="2" s="1"/>
  <c r="N2112" i="2" s="1"/>
  <c r="N2113" i="2" s="1"/>
  <c r="O2108" i="2"/>
  <c r="O2109" i="2" s="1"/>
  <c r="O2110" i="2" s="1"/>
  <c r="O2111" i="2" s="1"/>
  <c r="O2112" i="2" s="1"/>
  <c r="O2113" i="2" s="1"/>
  <c r="O2114" i="2" s="1"/>
  <c r="R2108" i="2"/>
  <c r="X2108" i="2" s="1"/>
  <c r="M2114" i="2"/>
  <c r="M2115" i="2" s="1"/>
  <c r="M2116" i="2" s="1"/>
  <c r="M2117" i="2" s="1"/>
  <c r="M2118" i="2" s="1"/>
  <c r="M2119" i="2" s="1"/>
  <c r="M2120" i="2" s="1"/>
  <c r="M2121" i="2" s="1"/>
  <c r="M2122" i="2" s="1"/>
  <c r="N2114" i="2"/>
  <c r="N2115" i="2" s="1"/>
  <c r="N2116" i="2" s="1"/>
  <c r="N2117" i="2" s="1"/>
  <c r="N2118" i="2" s="1"/>
  <c r="N2119" i="2" s="1"/>
  <c r="N2120" i="2" s="1"/>
  <c r="N2121" i="2" s="1"/>
  <c r="N2122" i="2" s="1"/>
  <c r="O2115" i="2"/>
  <c r="O2116" i="2" s="1"/>
  <c r="R2115" i="2"/>
  <c r="R2116" i="2" s="1"/>
  <c r="U2116" i="2" s="1"/>
  <c r="O2117" i="2"/>
  <c r="O2118" i="2" s="1"/>
  <c r="R2117" i="2"/>
  <c r="X2117" i="2" s="1"/>
  <c r="O2119" i="2"/>
  <c r="O2120" i="2" s="1"/>
  <c r="O2121" i="2" s="1"/>
  <c r="O2122" i="2" s="1"/>
  <c r="O2123" i="2" s="1"/>
  <c r="R2119" i="2"/>
  <c r="X2119" i="2" s="1"/>
  <c r="I2121" i="2"/>
  <c r="I2122" i="2" s="1"/>
  <c r="I2123" i="2" s="1"/>
  <c r="I2124" i="2" s="1"/>
  <c r="I2125" i="2" s="1"/>
  <c r="I2126" i="2" s="1"/>
  <c r="I2127" i="2" s="1"/>
  <c r="I2128" i="2" s="1"/>
  <c r="I2129" i="2" s="1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I2141" i="2" s="1"/>
  <c r="I2142" i="2" s="1"/>
  <c r="J2121" i="2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K2122" i="2"/>
  <c r="K2123" i="2" s="1"/>
  <c r="K2124" i="2" s="1"/>
  <c r="K2125" i="2" s="1"/>
  <c r="K2126" i="2" s="1"/>
  <c r="L2122" i="2"/>
  <c r="L2123" i="2" s="1"/>
  <c r="L2124" i="2" s="1"/>
  <c r="L2125" i="2" s="1"/>
  <c r="L2126" i="2" s="1"/>
  <c r="L2127" i="2" s="1"/>
  <c r="L2128" i="2" s="1"/>
  <c r="L2129" i="2" s="1"/>
  <c r="L2130" i="2" s="1"/>
  <c r="L2131" i="2" s="1"/>
  <c r="L2132" i="2" s="1"/>
  <c r="L2133" i="2" s="1"/>
  <c r="L2134" i="2" s="1"/>
  <c r="L2135" i="2" s="1"/>
  <c r="L2136" i="2" s="1"/>
  <c r="L2137" i="2" s="1"/>
  <c r="L2138" i="2" s="1"/>
  <c r="L2139" i="2" s="1"/>
  <c r="L2140" i="2" s="1"/>
  <c r="L2141" i="2" s="1"/>
  <c r="L2142" i="2" s="1"/>
  <c r="L2143" i="2" s="1"/>
  <c r="M2123" i="2"/>
  <c r="M2124" i="2" s="1"/>
  <c r="M2125" i="2" s="1"/>
  <c r="N2123" i="2"/>
  <c r="N2124" i="2" s="1"/>
  <c r="N2125" i="2" s="1"/>
  <c r="O2124" i="2"/>
  <c r="O2125" i="2" s="1"/>
  <c r="O2126" i="2" s="1"/>
  <c r="R2124" i="2"/>
  <c r="X2124" i="2" s="1"/>
  <c r="M2126" i="2"/>
  <c r="M2127" i="2" s="1"/>
  <c r="M2128" i="2" s="1"/>
  <c r="N2126" i="2"/>
  <c r="N2127" i="2" s="1"/>
  <c r="N2128" i="2" s="1"/>
  <c r="O2127" i="2"/>
  <c r="O2128" i="2" s="1"/>
  <c r="O2129" i="2" s="1"/>
  <c r="R2127" i="2"/>
  <c r="R2128" i="2" s="1"/>
  <c r="U2128" i="2" s="1"/>
  <c r="M2129" i="2"/>
  <c r="M2130" i="2" s="1"/>
  <c r="M2131" i="2" s="1"/>
  <c r="N2129" i="2"/>
  <c r="N2130" i="2" s="1"/>
  <c r="N2131" i="2" s="1"/>
  <c r="O2130" i="2"/>
  <c r="O2131" i="2" s="1"/>
  <c r="O2132" i="2" s="1"/>
  <c r="R2130" i="2"/>
  <c r="X2130" i="2" s="1"/>
  <c r="M2132" i="2"/>
  <c r="M2133" i="2" s="1"/>
  <c r="M2134" i="2" s="1"/>
  <c r="M2135" i="2" s="1"/>
  <c r="M2136" i="2" s="1"/>
  <c r="M2137" i="2" s="1"/>
  <c r="M2138" i="2" s="1"/>
  <c r="M2139" i="2" s="1"/>
  <c r="M2140" i="2" s="1"/>
  <c r="M2141" i="2" s="1"/>
  <c r="M2142" i="2" s="1"/>
  <c r="M2143" i="2" s="1"/>
  <c r="M2144" i="2" s="1"/>
  <c r="N2132" i="2"/>
  <c r="N2133" i="2" s="1"/>
  <c r="N2134" i="2" s="1"/>
  <c r="N2135" i="2" s="1"/>
  <c r="N2136" i="2" s="1"/>
  <c r="N2137" i="2" s="1"/>
  <c r="N2138" i="2" s="1"/>
  <c r="N2139" i="2" s="1"/>
  <c r="N2140" i="2" s="1"/>
  <c r="N2141" i="2" s="1"/>
  <c r="N2142" i="2" s="1"/>
  <c r="N2143" i="2" s="1"/>
  <c r="N2144" i="2" s="1"/>
  <c r="O2133" i="2"/>
  <c r="O2134" i="2" s="1"/>
  <c r="O2135" i="2" s="1"/>
  <c r="O2136" i="2" s="1"/>
  <c r="R2133" i="2"/>
  <c r="R2134" i="2" s="1"/>
  <c r="U2134" i="2" s="1"/>
  <c r="O2137" i="2"/>
  <c r="O2138" i="2" s="1"/>
  <c r="R2137" i="2"/>
  <c r="X2137" i="2" s="1"/>
  <c r="O2139" i="2"/>
  <c r="O2140" i="2" s="1"/>
  <c r="R2139" i="2"/>
  <c r="R2140" i="2" s="1"/>
  <c r="U2140" i="2" s="1"/>
  <c r="O2141" i="2"/>
  <c r="O2142" i="2" s="1"/>
  <c r="O2143" i="2" s="1"/>
  <c r="O2144" i="2" s="1"/>
  <c r="O2145" i="2" s="1"/>
  <c r="R2141" i="2"/>
  <c r="X2141" i="2" s="1"/>
  <c r="I2143" i="2"/>
  <c r="I2144" i="2" s="1"/>
  <c r="I2145" i="2" s="1"/>
  <c r="I2146" i="2" s="1"/>
  <c r="I2147" i="2" s="1"/>
  <c r="J2143" i="2"/>
  <c r="J2144" i="2" s="1"/>
  <c r="J2145" i="2" s="1"/>
  <c r="J2146" i="2" s="1"/>
  <c r="J2147" i="2" s="1"/>
  <c r="K2144" i="2"/>
  <c r="K2145" i="2" s="1"/>
  <c r="K2146" i="2" s="1"/>
  <c r="K2147" i="2" s="1"/>
  <c r="L2144" i="2"/>
  <c r="L2145" i="2" s="1"/>
  <c r="L2146" i="2" s="1"/>
  <c r="L2147" i="2" s="1"/>
  <c r="M2145" i="2"/>
  <c r="M2146" i="2" s="1"/>
  <c r="M2147" i="2" s="1"/>
  <c r="N2145" i="2"/>
  <c r="N2146" i="2" s="1"/>
  <c r="N2147" i="2" s="1"/>
  <c r="O2146" i="2"/>
  <c r="O2147" i="2" s="1"/>
  <c r="R2146" i="2"/>
  <c r="X2146" i="2" s="1"/>
  <c r="R1368" i="2" l="1"/>
  <c r="U1368" i="2" s="1"/>
  <c r="X1239" i="2"/>
  <c r="X1504" i="2"/>
  <c r="R753" i="2"/>
  <c r="U753" i="2" s="1"/>
  <c r="X1631" i="2"/>
  <c r="R1364" i="2"/>
  <c r="X1724" i="2"/>
  <c r="X1494" i="2"/>
  <c r="X353" i="2"/>
  <c r="X2054" i="2"/>
  <c r="R1553" i="2"/>
  <c r="U1553" i="2" s="1"/>
  <c r="R1503" i="2"/>
  <c r="U1503" i="2" s="1"/>
  <c r="X1949" i="2"/>
  <c r="R1334" i="2"/>
  <c r="X1245" i="2"/>
  <c r="R13" i="2"/>
  <c r="X13" i="2" s="1"/>
  <c r="R482" i="2"/>
  <c r="U482" i="2" s="1"/>
  <c r="X261" i="2"/>
  <c r="X869" i="2"/>
  <c r="R2065" i="2"/>
  <c r="U2065" i="2" s="1"/>
  <c r="X1925" i="2"/>
  <c r="R1877" i="2"/>
  <c r="U1877" i="2" s="1"/>
  <c r="X1729" i="2"/>
  <c r="R962" i="2"/>
  <c r="U962" i="2" s="1"/>
  <c r="R156" i="2"/>
  <c r="Z156" i="2" s="1"/>
  <c r="R1605" i="2"/>
  <c r="U1605" i="2" s="1"/>
  <c r="R1577" i="2"/>
  <c r="U1577" i="2" s="1"/>
  <c r="R1531" i="2"/>
  <c r="X1531" i="2" s="1"/>
  <c r="U966" i="2"/>
  <c r="U872" i="2"/>
  <c r="R497" i="2"/>
  <c r="U497" i="2" s="1"/>
  <c r="X321" i="2"/>
  <c r="X1707" i="2"/>
  <c r="R1463" i="2"/>
  <c r="X1463" i="2" s="1"/>
  <c r="R939" i="2"/>
  <c r="Z939" i="2" s="1"/>
  <c r="AE939" i="2" s="1"/>
  <c r="X871" i="2"/>
  <c r="R731" i="2"/>
  <c r="X731" i="2" s="1"/>
  <c r="R17" i="2"/>
  <c r="U17" i="2" s="1"/>
  <c r="D14" i="2"/>
  <c r="H15" i="2"/>
  <c r="H16" i="2" s="1"/>
  <c r="D16" i="2" s="1"/>
  <c r="E16" i="2" s="1"/>
  <c r="E17" i="2" s="1"/>
  <c r="R1518" i="2"/>
  <c r="U1518" i="2" s="1"/>
  <c r="R1092" i="2"/>
  <c r="R1093" i="2" s="1"/>
  <c r="X1093" i="2" s="1"/>
  <c r="X287" i="2"/>
  <c r="X191" i="2"/>
  <c r="X1967" i="2"/>
  <c r="X1944" i="2"/>
  <c r="R1932" i="2"/>
  <c r="X1932" i="2" s="1"/>
  <c r="X1407" i="2"/>
  <c r="X1277" i="2"/>
  <c r="R669" i="2"/>
  <c r="Z669" i="2" s="1"/>
  <c r="AE669" i="2" s="1"/>
  <c r="R600" i="2"/>
  <c r="X341" i="2"/>
  <c r="X76" i="2"/>
  <c r="R163" i="2"/>
  <c r="U163" i="2" s="1"/>
  <c r="R96" i="2"/>
  <c r="R97" i="2" s="1"/>
  <c r="U97" i="2" s="1"/>
  <c r="R1733" i="2"/>
  <c r="U1733" i="2" s="1"/>
  <c r="X832" i="2"/>
  <c r="R1924" i="2"/>
  <c r="Z1924" i="2" s="1"/>
  <c r="AE1924" i="2" s="1"/>
  <c r="R1919" i="2"/>
  <c r="U1919" i="2" s="1"/>
  <c r="X1906" i="2"/>
  <c r="R1862" i="2"/>
  <c r="Z1862" i="2" s="1"/>
  <c r="AE1862" i="2" s="1"/>
  <c r="R1834" i="2"/>
  <c r="R1524" i="2"/>
  <c r="U1524" i="2" s="1"/>
  <c r="X1483" i="2"/>
  <c r="R1682" i="2"/>
  <c r="Z1682" i="2" s="1"/>
  <c r="X1624" i="2"/>
  <c r="R1202" i="2"/>
  <c r="R919" i="2"/>
  <c r="X908" i="2"/>
  <c r="R92" i="2"/>
  <c r="R779" i="2"/>
  <c r="Z779" i="2" s="1"/>
  <c r="AE779" i="2" s="1"/>
  <c r="Z322" i="2"/>
  <c r="AE322" i="2" s="1"/>
  <c r="R323" i="2"/>
  <c r="X323" i="2" s="1"/>
  <c r="R2038" i="2"/>
  <c r="Z2038" i="2" s="1"/>
  <c r="R1954" i="2"/>
  <c r="Z1954" i="2" s="1"/>
  <c r="R368" i="2"/>
  <c r="R90" i="2"/>
  <c r="X90" i="2" s="1"/>
  <c r="R1871" i="2"/>
  <c r="Z1871" i="2" s="1"/>
  <c r="AE1871" i="2" s="1"/>
  <c r="R1865" i="2"/>
  <c r="X1865" i="2" s="1"/>
  <c r="R1836" i="2"/>
  <c r="X1836" i="2" s="1"/>
  <c r="X1535" i="2"/>
  <c r="U1463" i="2"/>
  <c r="X979" i="2"/>
  <c r="R903" i="2"/>
  <c r="Z903" i="2" s="1"/>
  <c r="AE903" i="2" s="1"/>
  <c r="X774" i="2"/>
  <c r="R578" i="2"/>
  <c r="X149" i="2"/>
  <c r="R68" i="2"/>
  <c r="X68" i="2" s="1"/>
  <c r="X2139" i="2"/>
  <c r="R2093" i="2"/>
  <c r="Z2093" i="2" s="1"/>
  <c r="AE2093" i="2" s="1"/>
  <c r="R1859" i="2"/>
  <c r="Z1859" i="2" s="1"/>
  <c r="R1855" i="2"/>
  <c r="R1738" i="2"/>
  <c r="R1739" i="2" s="1"/>
  <c r="X1582" i="2"/>
  <c r="X1337" i="2"/>
  <c r="R970" i="2"/>
  <c r="U970" i="2" s="1"/>
  <c r="R810" i="2"/>
  <c r="X810" i="2" s="1"/>
  <c r="R604" i="2"/>
  <c r="R536" i="2"/>
  <c r="R292" i="2"/>
  <c r="R285" i="2"/>
  <c r="Z285" i="2" s="1"/>
  <c r="AE285" i="2" s="1"/>
  <c r="R60" i="2"/>
  <c r="X60" i="2" s="1"/>
  <c r="X197" i="2"/>
  <c r="H173" i="2"/>
  <c r="H174" i="2" s="1"/>
  <c r="H175" i="2" s="1"/>
  <c r="R124" i="2"/>
  <c r="X124" i="2" s="1"/>
  <c r="R2131" i="2"/>
  <c r="U2131" i="2" s="1"/>
  <c r="X2115" i="2"/>
  <c r="X1867" i="2"/>
  <c r="X1789" i="2"/>
  <c r="R1562" i="2"/>
  <c r="X1562" i="2" s="1"/>
  <c r="X1431" i="2"/>
  <c r="R1314" i="2"/>
  <c r="X1314" i="2" s="1"/>
  <c r="R1220" i="2"/>
  <c r="Z1220" i="2" s="1"/>
  <c r="X950" i="2"/>
  <c r="R841" i="2"/>
  <c r="Z841" i="2" s="1"/>
  <c r="X232" i="2"/>
  <c r="R2125" i="2"/>
  <c r="U2125" i="2" s="1"/>
  <c r="Z1926" i="2"/>
  <c r="AE1926" i="2" s="1"/>
  <c r="X1912" i="2"/>
  <c r="X1894" i="2"/>
  <c r="R1818" i="2"/>
  <c r="U1818" i="2" s="1"/>
  <c r="R1610" i="2"/>
  <c r="X1451" i="2"/>
  <c r="R852" i="2"/>
  <c r="Z852" i="2" s="1"/>
  <c r="AE852" i="2" s="1"/>
  <c r="X716" i="2"/>
  <c r="R1914" i="2"/>
  <c r="R1915" i="2" s="1"/>
  <c r="X1915" i="2" s="1"/>
  <c r="U1913" i="2"/>
  <c r="Z1913" i="2"/>
  <c r="AE1913" i="2" s="1"/>
  <c r="X1592" i="2"/>
  <c r="R1593" i="2"/>
  <c r="Z1625" i="2"/>
  <c r="U1625" i="2"/>
  <c r="X1625" i="2"/>
  <c r="X1174" i="2"/>
  <c r="R1175" i="2"/>
  <c r="U1175" i="2" s="1"/>
  <c r="R2109" i="2"/>
  <c r="U2109" i="2" s="1"/>
  <c r="X2084" i="2"/>
  <c r="X1889" i="2"/>
  <c r="X1591" i="2"/>
  <c r="R1569" i="2"/>
  <c r="R1450" i="2"/>
  <c r="U1450" i="2" s="1"/>
  <c r="R2088" i="2"/>
  <c r="U2088" i="2" s="1"/>
  <c r="R1901" i="2"/>
  <c r="U1901" i="2" s="1"/>
  <c r="R1640" i="2"/>
  <c r="R1641" i="2" s="1"/>
  <c r="R1598" i="2"/>
  <c r="Z1598" i="2" s="1"/>
  <c r="AE1598" i="2" s="1"/>
  <c r="R1509" i="2"/>
  <c r="U1509" i="2" s="1"/>
  <c r="R1490" i="2"/>
  <c r="R1491" i="2" s="1"/>
  <c r="X1484" i="2"/>
  <c r="R1485" i="2"/>
  <c r="U1485" i="2" s="1"/>
  <c r="X1257" i="2"/>
  <c r="R1258" i="2"/>
  <c r="U1258" i="2" s="1"/>
  <c r="U980" i="2"/>
  <c r="X980" i="2"/>
  <c r="Z980" i="2"/>
  <c r="B91" i="64" s="1"/>
  <c r="C91" i="64" s="1"/>
  <c r="R981" i="2"/>
  <c r="X981" i="2" s="1"/>
  <c r="R2106" i="2"/>
  <c r="R2107" i="2" s="1"/>
  <c r="X2107" i="2" s="1"/>
  <c r="R2049" i="2"/>
  <c r="U2049" i="2" s="1"/>
  <c r="X1842" i="2"/>
  <c r="X1699" i="2"/>
  <c r="X1619" i="2"/>
  <c r="R1270" i="2"/>
  <c r="Z1270" i="2" s="1"/>
  <c r="AE1270" i="2" s="1"/>
  <c r="X1572" i="2"/>
  <c r="R1573" i="2"/>
  <c r="Z1573" i="2" s="1"/>
  <c r="AE1573" i="2" s="1"/>
  <c r="Z1531" i="2"/>
  <c r="AE1531" i="2" s="1"/>
  <c r="R1723" i="2"/>
  <c r="R1304" i="2"/>
  <c r="U1304" i="2" s="1"/>
  <c r="X1303" i="2"/>
  <c r="X1075" i="2"/>
  <c r="R1076" i="2"/>
  <c r="U1076" i="2" s="1"/>
  <c r="R2060" i="2"/>
  <c r="U2060" i="2" s="1"/>
  <c r="R1961" i="2"/>
  <c r="U1961" i="2" s="1"/>
  <c r="X1767" i="2"/>
  <c r="R1693" i="2"/>
  <c r="R1694" i="2" s="1"/>
  <c r="U1694" i="2" s="1"/>
  <c r="R1659" i="2"/>
  <c r="Z1659" i="2" s="1"/>
  <c r="AE1659" i="2" s="1"/>
  <c r="R1638" i="2"/>
  <c r="Z1638" i="2" s="1"/>
  <c r="AE1638" i="2" s="1"/>
  <c r="R1499" i="2"/>
  <c r="Z1499" i="2" s="1"/>
  <c r="R1377" i="2"/>
  <c r="X1376" i="2"/>
  <c r="X835" i="2"/>
  <c r="U835" i="2"/>
  <c r="R1964" i="2"/>
  <c r="U1964" i="2" s="1"/>
  <c r="R1772" i="2"/>
  <c r="X1772" i="2" s="1"/>
  <c r="X1454" i="2"/>
  <c r="X1321" i="2"/>
  <c r="X1339" i="2"/>
  <c r="R929" i="2"/>
  <c r="U929" i="2" s="1"/>
  <c r="R874" i="2"/>
  <c r="Z874" i="2" s="1"/>
  <c r="AE874" i="2" s="1"/>
  <c r="X720" i="2"/>
  <c r="R666" i="2"/>
  <c r="U666" i="2" s="1"/>
  <c r="R656" i="2"/>
  <c r="Z656" i="2" s="1"/>
  <c r="AE656" i="2" s="1"/>
  <c r="R626" i="2"/>
  <c r="R627" i="2" s="1"/>
  <c r="R396" i="2"/>
  <c r="X396" i="2" s="1"/>
  <c r="R355" i="2"/>
  <c r="R346" i="2"/>
  <c r="X346" i="2" s="1"/>
  <c r="R293" i="2"/>
  <c r="X293" i="2" s="1"/>
  <c r="X266" i="2"/>
  <c r="R246" i="2"/>
  <c r="U246" i="2" s="1"/>
  <c r="X45" i="2"/>
  <c r="X35" i="2"/>
  <c r="R32" i="2"/>
  <c r="X32" i="2" s="1"/>
  <c r="R28" i="2"/>
  <c r="X28" i="2" s="1"/>
  <c r="X865" i="2"/>
  <c r="X834" i="2"/>
  <c r="R824" i="2"/>
  <c r="U824" i="2" s="1"/>
  <c r="X795" i="2"/>
  <c r="R705" i="2"/>
  <c r="R706" i="2" s="1"/>
  <c r="R707" i="2" s="1"/>
  <c r="X707" i="2" s="1"/>
  <c r="X125" i="2"/>
  <c r="R117" i="2"/>
  <c r="R118" i="2" s="1"/>
  <c r="X118" i="2" s="1"/>
  <c r="X971" i="2"/>
  <c r="R968" i="2"/>
  <c r="X968" i="2" s="1"/>
  <c r="R897" i="2"/>
  <c r="R898" i="2" s="1"/>
  <c r="U898" i="2" s="1"/>
  <c r="R767" i="2"/>
  <c r="U767" i="2" s="1"/>
  <c r="R763" i="2"/>
  <c r="R764" i="2" s="1"/>
  <c r="Z764" i="2" s="1"/>
  <c r="R757" i="2"/>
  <c r="R758" i="2" s="1"/>
  <c r="R545" i="2"/>
  <c r="X545" i="2" s="1"/>
  <c r="R406" i="2"/>
  <c r="U406" i="2" s="1"/>
  <c r="R391" i="2"/>
  <c r="X391" i="2" s="1"/>
  <c r="X271" i="2"/>
  <c r="R52" i="2"/>
  <c r="X52" i="2" s="1"/>
  <c r="R34" i="2"/>
  <c r="X34" i="2" s="1"/>
  <c r="R922" i="2"/>
  <c r="R923" i="2" s="1"/>
  <c r="Z923" i="2" s="1"/>
  <c r="R911" i="2"/>
  <c r="X911" i="2" s="1"/>
  <c r="X793" i="2"/>
  <c r="Z753" i="2"/>
  <c r="AE753" i="2" s="1"/>
  <c r="X249" i="2"/>
  <c r="R62" i="2"/>
  <c r="Z62" i="2" s="1"/>
  <c r="X219" i="2"/>
  <c r="R1272" i="2"/>
  <c r="U1272" i="2" s="1"/>
  <c r="R1248" i="2"/>
  <c r="U1248" i="2" s="1"/>
  <c r="R1218" i="2"/>
  <c r="Z1218" i="2" s="1"/>
  <c r="AE1218" i="2" s="1"/>
  <c r="R1208" i="2"/>
  <c r="U1208" i="2" s="1"/>
  <c r="R1089" i="2"/>
  <c r="Z1089" i="2" s="1"/>
  <c r="B143" i="64" s="1"/>
  <c r="C143" i="64" s="1"/>
  <c r="R1073" i="2"/>
  <c r="X1073" i="2" s="1"/>
  <c r="X965" i="2"/>
  <c r="R945" i="2"/>
  <c r="Z945" i="2" s="1"/>
  <c r="AE945" i="2" s="1"/>
  <c r="X925" i="2"/>
  <c r="X813" i="2"/>
  <c r="X690" i="2"/>
  <c r="R639" i="2"/>
  <c r="X639" i="2" s="1"/>
  <c r="R512" i="2"/>
  <c r="X512" i="2" s="1"/>
  <c r="X420" i="2"/>
  <c r="U1883" i="2"/>
  <c r="X1883" i="2"/>
  <c r="Z1883" i="2"/>
  <c r="AE1883" i="2" s="1"/>
  <c r="U1907" i="2"/>
  <c r="X1907" i="2"/>
  <c r="Z1907" i="2"/>
  <c r="AE1907" i="2" s="1"/>
  <c r="R1908" i="2"/>
  <c r="X1805" i="2"/>
  <c r="U1805" i="2"/>
  <c r="Z1805" i="2"/>
  <c r="AE1805" i="2" s="1"/>
  <c r="R1806" i="2"/>
  <c r="Z1806" i="2" s="1"/>
  <c r="Z1868" i="2"/>
  <c r="AE1868" i="2" s="1"/>
  <c r="X1868" i="2"/>
  <c r="Z1890" i="2"/>
  <c r="AE1890" i="2" s="1"/>
  <c r="U1890" i="2"/>
  <c r="X1890" i="2"/>
  <c r="X1885" i="2"/>
  <c r="U1885" i="2"/>
  <c r="Z1885" i="2"/>
  <c r="AE1885" i="2" s="1"/>
  <c r="X1895" i="2"/>
  <c r="Z1895" i="2"/>
  <c r="AE1895" i="2" s="1"/>
  <c r="R1896" i="2"/>
  <c r="U1895" i="2"/>
  <c r="U1843" i="2"/>
  <c r="X1843" i="2"/>
  <c r="R1844" i="2"/>
  <c r="X1844" i="2" s="1"/>
  <c r="R1344" i="2"/>
  <c r="U1344" i="2" s="1"/>
  <c r="X1343" i="2"/>
  <c r="X1309" i="2"/>
  <c r="R1310" i="2"/>
  <c r="U1310" i="2" s="1"/>
  <c r="X2133" i="2"/>
  <c r="X2127" i="2"/>
  <c r="X2096" i="2"/>
  <c r="Z2055" i="2"/>
  <c r="B305" i="64" s="1"/>
  <c r="C305" i="64" s="1"/>
  <c r="X1955" i="2"/>
  <c r="X1916" i="2"/>
  <c r="X1913" i="2"/>
  <c r="X1884" i="2"/>
  <c r="X1882" i="2"/>
  <c r="X1873" i="2"/>
  <c r="X1804" i="2"/>
  <c r="X1795" i="2"/>
  <c r="R1785" i="2"/>
  <c r="R1780" i="2"/>
  <c r="Z1780" i="2" s="1"/>
  <c r="X1753" i="2"/>
  <c r="R1748" i="2"/>
  <c r="X1748" i="2" s="1"/>
  <c r="R1653" i="2"/>
  <c r="U1653" i="2" s="1"/>
  <c r="X1652" i="2"/>
  <c r="X1578" i="2"/>
  <c r="X1413" i="2"/>
  <c r="R1414" i="2"/>
  <c r="U1278" i="2"/>
  <c r="Z1278" i="2"/>
  <c r="AE1278" i="2" s="1"/>
  <c r="X1278" i="2"/>
  <c r="R1143" i="2"/>
  <c r="U1143" i="2" s="1"/>
  <c r="X1142" i="2"/>
  <c r="R1878" i="2"/>
  <c r="R1763" i="2"/>
  <c r="U1763" i="2" s="1"/>
  <c r="R1755" i="2"/>
  <c r="R1756" i="2" s="1"/>
  <c r="U1408" i="2"/>
  <c r="Z1408" i="2"/>
  <c r="AE1408" i="2" s="1"/>
  <c r="X1408" i="2"/>
  <c r="X1205" i="2"/>
  <c r="R1206" i="2"/>
  <c r="Z1206" i="2" s="1"/>
  <c r="AE1206" i="2" s="1"/>
  <c r="X1616" i="2"/>
  <c r="R1617" i="2"/>
  <c r="X1617" i="2" s="1"/>
  <c r="R1952" i="2"/>
  <c r="U1952" i="2" s="1"/>
  <c r="Z1792" i="2"/>
  <c r="AE1792" i="2" s="1"/>
  <c r="Z1747" i="2"/>
  <c r="R1399" i="2"/>
  <c r="U1399" i="2" s="1"/>
  <c r="X1078" i="2"/>
  <c r="R1079" i="2"/>
  <c r="R1969" i="2"/>
  <c r="U1969" i="2" s="1"/>
  <c r="Z1919" i="2"/>
  <c r="AE1919" i="2" s="1"/>
  <c r="Z1877" i="2"/>
  <c r="AE1877" i="2" s="1"/>
  <c r="R1846" i="2"/>
  <c r="U1846" i="2" s="1"/>
  <c r="U1792" i="2"/>
  <c r="R1758" i="2"/>
  <c r="U1758" i="2" s="1"/>
  <c r="X1747" i="2"/>
  <c r="R1743" i="2"/>
  <c r="U1743" i="2" s="1"/>
  <c r="Z1725" i="2"/>
  <c r="AE1725" i="2" s="1"/>
  <c r="X1725" i="2"/>
  <c r="U1616" i="2"/>
  <c r="R2007" i="2"/>
  <c r="X2007" i="2" s="1"/>
  <c r="R1993" i="2"/>
  <c r="R1994" i="2" s="1"/>
  <c r="U1968" i="2"/>
  <c r="X1919" i="2"/>
  <c r="X1877" i="2"/>
  <c r="R1852" i="2"/>
  <c r="R1853" i="2" s="1"/>
  <c r="X1853" i="2" s="1"/>
  <c r="R1812" i="2"/>
  <c r="Z1812" i="2" s="1"/>
  <c r="X1791" i="2"/>
  <c r="Z1754" i="2"/>
  <c r="AE1754" i="2" s="1"/>
  <c r="U1592" i="2"/>
  <c r="R1563" i="2"/>
  <c r="U1563" i="2" s="1"/>
  <c r="U1505" i="2"/>
  <c r="R1467" i="2"/>
  <c r="Z1467" i="2" s="1"/>
  <c r="X1349" i="2"/>
  <c r="R1350" i="2"/>
  <c r="U1350" i="2" s="1"/>
  <c r="X1085" i="2"/>
  <c r="R1086" i="2"/>
  <c r="U1086" i="2" s="1"/>
  <c r="X1570" i="2"/>
  <c r="R1571" i="2"/>
  <c r="Z1571" i="2" s="1"/>
  <c r="U1754" i="2"/>
  <c r="X1746" i="2"/>
  <c r="X1633" i="2"/>
  <c r="R1634" i="2"/>
  <c r="X1615" i="2"/>
  <c r="U1579" i="2"/>
  <c r="X1496" i="2"/>
  <c r="R1497" i="2"/>
  <c r="Z1497" i="2" s="1"/>
  <c r="I57" i="68" s="1"/>
  <c r="U1340" i="2"/>
  <c r="Z1340" i="2"/>
  <c r="AE1340" i="2" s="1"/>
  <c r="R1626" i="2"/>
  <c r="Z1626" i="2" s="1"/>
  <c r="U903" i="2"/>
  <c r="X903" i="2"/>
  <c r="Z866" i="2"/>
  <c r="AE866" i="2" s="1"/>
  <c r="X866" i="2"/>
  <c r="X1158" i="2"/>
  <c r="R1159" i="2"/>
  <c r="Z1159" i="2" s="1"/>
  <c r="X942" i="2"/>
  <c r="R943" i="2"/>
  <c r="X943" i="2" s="1"/>
  <c r="X914" i="2"/>
  <c r="R915" i="2"/>
  <c r="U915" i="2" s="1"/>
  <c r="X890" i="2"/>
  <c r="R891" i="2"/>
  <c r="R1541" i="2"/>
  <c r="X1281" i="2"/>
  <c r="X1188" i="2"/>
  <c r="X893" i="2"/>
  <c r="R894" i="2"/>
  <c r="X886" i="2"/>
  <c r="R887" i="2"/>
  <c r="X1241" i="2"/>
  <c r="R1242" i="2"/>
  <c r="U1242" i="2" s="1"/>
  <c r="U951" i="2"/>
  <c r="Z951" i="2"/>
  <c r="AE951" i="2" s="1"/>
  <c r="R952" i="2"/>
  <c r="U952" i="2" s="1"/>
  <c r="X900" i="2"/>
  <c r="R901" i="2"/>
  <c r="Z901" i="2" s="1"/>
  <c r="X1338" i="2"/>
  <c r="Z1338" i="2"/>
  <c r="AE1338" i="2" s="1"/>
  <c r="U866" i="2"/>
  <c r="R986" i="2"/>
  <c r="U691" i="2"/>
  <c r="R692" i="2"/>
  <c r="Z691" i="2"/>
  <c r="X491" i="2"/>
  <c r="R492" i="2"/>
  <c r="U492" i="2" s="1"/>
  <c r="X253" i="2"/>
  <c r="R254" i="2"/>
  <c r="Z254" i="2" s="1"/>
  <c r="AE254" i="2" s="1"/>
  <c r="X151" i="2"/>
  <c r="R152" i="2"/>
  <c r="X152" i="2" s="1"/>
  <c r="X77" i="2"/>
  <c r="R78" i="2"/>
  <c r="R79" i="2" s="1"/>
  <c r="X79" i="2" s="1"/>
  <c r="R947" i="2"/>
  <c r="X947" i="2" s="1"/>
  <c r="X836" i="2"/>
  <c r="R837" i="2"/>
  <c r="R790" i="2"/>
  <c r="R791" i="2" s="1"/>
  <c r="X785" i="2"/>
  <c r="R786" i="2"/>
  <c r="X554" i="2"/>
  <c r="R555" i="2"/>
  <c r="Z555" i="2" s="1"/>
  <c r="R528" i="2"/>
  <c r="X528" i="2" s="1"/>
  <c r="X306" i="2"/>
  <c r="R307" i="2"/>
  <c r="R308" i="2" s="1"/>
  <c r="X223" i="2"/>
  <c r="R224" i="2"/>
  <c r="U224" i="2" s="1"/>
  <c r="U126" i="2"/>
  <c r="Z126" i="2"/>
  <c r="X940" i="2"/>
  <c r="R827" i="2"/>
  <c r="U827" i="2" s="1"/>
  <c r="X708" i="2"/>
  <c r="R709" i="2"/>
  <c r="Z709" i="2" s="1"/>
  <c r="Z272" i="2"/>
  <c r="AE272" i="2" s="1"/>
  <c r="X272" i="2"/>
  <c r="R1290" i="2"/>
  <c r="R1291" i="2" s="1"/>
  <c r="R1264" i="2"/>
  <c r="R1265" i="2" s="1"/>
  <c r="R996" i="2"/>
  <c r="R907" i="2"/>
  <c r="Z907" i="2" s="1"/>
  <c r="AE907" i="2" s="1"/>
  <c r="R884" i="2"/>
  <c r="Z884" i="2" s="1"/>
  <c r="R880" i="2"/>
  <c r="X737" i="2"/>
  <c r="R738" i="2"/>
  <c r="X738" i="2" s="1"/>
  <c r="X281" i="2"/>
  <c r="R282" i="2"/>
  <c r="U282" i="2" s="1"/>
  <c r="Z262" i="2"/>
  <c r="AE262" i="2" s="1"/>
  <c r="U262" i="2"/>
  <c r="X262" i="2"/>
  <c r="R263" i="2"/>
  <c r="X263" i="2" s="1"/>
  <c r="X178" i="2"/>
  <c r="R179" i="2"/>
  <c r="U150" i="2"/>
  <c r="X150" i="2"/>
  <c r="Z150" i="2"/>
  <c r="AE150" i="2" s="1"/>
  <c r="X816" i="2"/>
  <c r="R817" i="2"/>
  <c r="R818" i="2" s="1"/>
  <c r="X645" i="2"/>
  <c r="R646" i="2"/>
  <c r="U646" i="2" s="1"/>
  <c r="X301" i="2"/>
  <c r="R302" i="2"/>
  <c r="X302" i="2" s="1"/>
  <c r="Z288" i="2"/>
  <c r="AE288" i="2" s="1"/>
  <c r="X288" i="2"/>
  <c r="R289" i="2"/>
  <c r="X289" i="2" s="1"/>
  <c r="U288" i="2"/>
  <c r="U220" i="2"/>
  <c r="X220" i="2"/>
  <c r="R821" i="2"/>
  <c r="U821" i="2" s="1"/>
  <c r="X721" i="2"/>
  <c r="Z721" i="2"/>
  <c r="AE721" i="2" s="1"/>
  <c r="R722" i="2"/>
  <c r="X722" i="2" s="1"/>
  <c r="X691" i="2"/>
  <c r="X852" i="2"/>
  <c r="R853" i="2"/>
  <c r="X400" i="2"/>
  <c r="R401" i="2"/>
  <c r="Z401" i="2" s="1"/>
  <c r="AE401" i="2" s="1"/>
  <c r="X337" i="2"/>
  <c r="R338" i="2"/>
  <c r="U338" i="2" s="1"/>
  <c r="U233" i="2"/>
  <c r="X233" i="2"/>
  <c r="R849" i="2"/>
  <c r="R601" i="2"/>
  <c r="U601" i="2" s="1"/>
  <c r="R122" i="2"/>
  <c r="R64" i="2"/>
  <c r="X64" i="2" s="1"/>
  <c r="R760" i="2"/>
  <c r="R672" i="2"/>
  <c r="Z672" i="2" s="1"/>
  <c r="AE672" i="2" s="1"/>
  <c r="U600" i="2"/>
  <c r="R588" i="2"/>
  <c r="U588" i="2" s="1"/>
  <c r="U354" i="2"/>
  <c r="U322" i="2"/>
  <c r="R445" i="2"/>
  <c r="R446" i="2" s="1"/>
  <c r="R437" i="2"/>
  <c r="R438" i="2" s="1"/>
  <c r="R754" i="2"/>
  <c r="X102" i="2"/>
  <c r="R381" i="2"/>
  <c r="Z381" i="2" s="1"/>
  <c r="AE381" i="2" s="1"/>
  <c r="R176" i="2"/>
  <c r="X176" i="2" s="1"/>
  <c r="R128" i="2"/>
  <c r="Z128" i="2" s="1"/>
  <c r="B80" i="64" s="1"/>
  <c r="C80" i="64" s="1"/>
  <c r="R109" i="2"/>
  <c r="Z109" i="2" s="1"/>
  <c r="I3" i="68" s="1"/>
  <c r="X292" i="2"/>
  <c r="I1995" i="2"/>
  <c r="I1996" i="2" s="1"/>
  <c r="I1997" i="2" s="1"/>
  <c r="I1998" i="2" s="1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 s="1"/>
  <c r="Z1945" i="2"/>
  <c r="U1945" i="2"/>
  <c r="X1945" i="2"/>
  <c r="K2127" i="2"/>
  <c r="K2128" i="2" s="1"/>
  <c r="K2129" i="2" s="1"/>
  <c r="K2130" i="2" s="1"/>
  <c r="K2131" i="2" s="1"/>
  <c r="K2132" i="2" s="1"/>
  <c r="B16" i="64"/>
  <c r="C16" i="64" s="1"/>
  <c r="AE1954" i="2"/>
  <c r="X1950" i="2"/>
  <c r="U1950" i="2"/>
  <c r="Z1950" i="2"/>
  <c r="K1963" i="2"/>
  <c r="K1964" i="2" s="1"/>
  <c r="K2059" i="2"/>
  <c r="K2060" i="2" s="1"/>
  <c r="K2061" i="2" s="1"/>
  <c r="Z1956" i="2"/>
  <c r="U1956" i="2"/>
  <c r="R1957" i="2"/>
  <c r="X1956" i="2"/>
  <c r="K1854" i="2"/>
  <c r="K1855" i="2" s="1"/>
  <c r="K1856" i="2" s="1"/>
  <c r="K1857" i="2" s="1"/>
  <c r="K1858" i="2" s="1"/>
  <c r="K1859" i="2" s="1"/>
  <c r="K1860" i="2" s="1"/>
  <c r="R2142" i="2"/>
  <c r="Z2140" i="2"/>
  <c r="Z2134" i="2"/>
  <c r="Z2128" i="2"/>
  <c r="R2118" i="2"/>
  <c r="Z2116" i="2"/>
  <c r="I62" i="68" s="1"/>
  <c r="J62" i="68" s="1"/>
  <c r="R2099" i="2"/>
  <c r="Z2097" i="2"/>
  <c r="K2091" i="2"/>
  <c r="Z2085" i="2"/>
  <c r="R2074" i="2"/>
  <c r="Z2065" i="2"/>
  <c r="R2020" i="2"/>
  <c r="R1986" i="2"/>
  <c r="M1960" i="2"/>
  <c r="M1961" i="2" s="1"/>
  <c r="U1954" i="2"/>
  <c r="X1946" i="2"/>
  <c r="R1947" i="2"/>
  <c r="K1944" i="2"/>
  <c r="K1945" i="2" s="1"/>
  <c r="K1946" i="2" s="1"/>
  <c r="K1947" i="2" s="1"/>
  <c r="K1948" i="2" s="1"/>
  <c r="X1928" i="2"/>
  <c r="R1929" i="2"/>
  <c r="X1926" i="2"/>
  <c r="R1927" i="2"/>
  <c r="X1927" i="2" s="1"/>
  <c r="R1921" i="2"/>
  <c r="X1903" i="2"/>
  <c r="R1904" i="2"/>
  <c r="K1845" i="2"/>
  <c r="K1846" i="2" s="1"/>
  <c r="I1749" i="2"/>
  <c r="I1750" i="2" s="1"/>
  <c r="I1751" i="2" s="1"/>
  <c r="I1752" i="2" s="1"/>
  <c r="I1753" i="2" s="1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I1768" i="2" s="1"/>
  <c r="I1769" i="2" s="1"/>
  <c r="I1770" i="2" s="1"/>
  <c r="I1771" i="2" s="1"/>
  <c r="I1772" i="2" s="1"/>
  <c r="I1773" i="2" s="1"/>
  <c r="R2129" i="2"/>
  <c r="X2129" i="2" s="1"/>
  <c r="X2116" i="2"/>
  <c r="X2097" i="2"/>
  <c r="R2086" i="2"/>
  <c r="X2086" i="2" s="1"/>
  <c r="X2085" i="2"/>
  <c r="X2065" i="2"/>
  <c r="Z1968" i="2"/>
  <c r="X1934" i="2"/>
  <c r="R1935" i="2"/>
  <c r="U1917" i="2"/>
  <c r="X1917" i="2"/>
  <c r="Z1917" i="2"/>
  <c r="M1912" i="2"/>
  <c r="M1913" i="2" s="1"/>
  <c r="M1914" i="2" s="1"/>
  <c r="K1762" i="2"/>
  <c r="K1763" i="2" s="1"/>
  <c r="K1764" i="2" s="1"/>
  <c r="K1765" i="2" s="1"/>
  <c r="K1766" i="2" s="1"/>
  <c r="X2140" i="2"/>
  <c r="X2134" i="2"/>
  <c r="X2128" i="2"/>
  <c r="R2147" i="2"/>
  <c r="R2135" i="2"/>
  <c r="R2104" i="2"/>
  <c r="R2079" i="2"/>
  <c r="R2066" i="2"/>
  <c r="K2063" i="2"/>
  <c r="R2053" i="2"/>
  <c r="R2047" i="2"/>
  <c r="R2011" i="2"/>
  <c r="R1997" i="2"/>
  <c r="R1977" i="2"/>
  <c r="K1967" i="2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X1940" i="2"/>
  <c r="R1941" i="2"/>
  <c r="M1894" i="2"/>
  <c r="M1895" i="2" s="1"/>
  <c r="M1896" i="2" s="1"/>
  <c r="M1897" i="2" s="1"/>
  <c r="M1898" i="2" s="1"/>
  <c r="M1899" i="2" s="1"/>
  <c r="M1900" i="2" s="1"/>
  <c r="M1901" i="2" s="1"/>
  <c r="M1902" i="2" s="1"/>
  <c r="M1903" i="2" s="1"/>
  <c r="M1904" i="2" s="1"/>
  <c r="M1905" i="2" s="1"/>
  <c r="M1906" i="2" s="1"/>
  <c r="M1907" i="2" s="1"/>
  <c r="M1908" i="2" s="1"/>
  <c r="M1909" i="2" s="1"/>
  <c r="M1910" i="2" s="1"/>
  <c r="X1891" i="2"/>
  <c r="R1892" i="2"/>
  <c r="X1887" i="2"/>
  <c r="R1888" i="2"/>
  <c r="X1880" i="2"/>
  <c r="R1881" i="2"/>
  <c r="K1789" i="2"/>
  <c r="K1790" i="2" s="1"/>
  <c r="K1791" i="2" s="1"/>
  <c r="K1792" i="2" s="1"/>
  <c r="M1923" i="2"/>
  <c r="M1924" i="2" s="1"/>
  <c r="M1925" i="2" s="1"/>
  <c r="M1926" i="2" s="1"/>
  <c r="Z1874" i="2"/>
  <c r="U1874" i="2"/>
  <c r="K1795" i="2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R2120" i="2"/>
  <c r="I2062" i="2"/>
  <c r="I2063" i="2" s="1"/>
  <c r="I2064" i="2" s="1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 s="1"/>
  <c r="I2081" i="2" s="1"/>
  <c r="I2082" i="2" s="1"/>
  <c r="I2083" i="2" s="1"/>
  <c r="I2084" i="2" s="1"/>
  <c r="I2085" i="2" s="1"/>
  <c r="I2086" i="2" s="1"/>
  <c r="I2087" i="2" s="1"/>
  <c r="I2088" i="2" s="1"/>
  <c r="X2055" i="2"/>
  <c r="R1988" i="2"/>
  <c r="X1909" i="2"/>
  <c r="R1910" i="2"/>
  <c r="X1897" i="2"/>
  <c r="R1898" i="2"/>
  <c r="R2138" i="2"/>
  <c r="R2095" i="2"/>
  <c r="R2069" i="2"/>
  <c r="R2056" i="2"/>
  <c r="R2029" i="2"/>
  <c r="R1938" i="2"/>
  <c r="K1880" i="2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R1875" i="2"/>
  <c r="X1875" i="2" s="1"/>
  <c r="M1849" i="2"/>
  <c r="M1850" i="2" s="1"/>
  <c r="M1851" i="2" s="1"/>
  <c r="M1852" i="2" s="1"/>
  <c r="AE1682" i="2"/>
  <c r="K1915" i="2"/>
  <c r="R1886" i="2"/>
  <c r="X1886" i="2" s="1"/>
  <c r="R1869" i="2"/>
  <c r="U1868" i="2"/>
  <c r="R1857" i="2"/>
  <c r="Z1843" i="2"/>
  <c r="I1838" i="2"/>
  <c r="R1827" i="2"/>
  <c r="R1814" i="2"/>
  <c r="M1804" i="2"/>
  <c r="M1805" i="2" s="1"/>
  <c r="M1806" i="2" s="1"/>
  <c r="M1807" i="2" s="1"/>
  <c r="R1776" i="2"/>
  <c r="R1770" i="2"/>
  <c r="Z1768" i="2"/>
  <c r="M1753" i="2"/>
  <c r="M1754" i="2" s="1"/>
  <c r="M1755" i="2" s="1"/>
  <c r="M1756" i="2" s="1"/>
  <c r="M1757" i="2" s="1"/>
  <c r="M1758" i="2" s="1"/>
  <c r="M1759" i="2" s="1"/>
  <c r="M1760" i="2" s="1"/>
  <c r="R1751" i="2"/>
  <c r="R1745" i="2"/>
  <c r="Z1730" i="2"/>
  <c r="U1725" i="2"/>
  <c r="M1722" i="2"/>
  <c r="M1723" i="2" s="1"/>
  <c r="M1724" i="2" s="1"/>
  <c r="M1725" i="2" s="1"/>
  <c r="M1726" i="2" s="1"/>
  <c r="M1727" i="2" s="1"/>
  <c r="R1702" i="2"/>
  <c r="Z1700" i="2"/>
  <c r="M1692" i="2"/>
  <c r="M1693" i="2" s="1"/>
  <c r="M1694" i="2" s="1"/>
  <c r="M1695" i="2" s="1"/>
  <c r="R1676" i="2"/>
  <c r="M1647" i="2"/>
  <c r="M1648" i="2" s="1"/>
  <c r="M1649" i="2" s="1"/>
  <c r="M1650" i="2" s="1"/>
  <c r="M1651" i="2" s="1"/>
  <c r="M1652" i="2" s="1"/>
  <c r="M1653" i="2" s="1"/>
  <c r="M1654" i="2" s="1"/>
  <c r="M1655" i="2" s="1"/>
  <c r="M1656" i="2" s="1"/>
  <c r="M1657" i="2" s="1"/>
  <c r="M1658" i="2" s="1"/>
  <c r="M1659" i="2" s="1"/>
  <c r="M1660" i="2" s="1"/>
  <c r="M1661" i="2" s="1"/>
  <c r="M1662" i="2" s="1"/>
  <c r="M1663" i="2" s="1"/>
  <c r="M1664" i="2" s="1"/>
  <c r="M1665" i="2" s="1"/>
  <c r="M1666" i="2" s="1"/>
  <c r="M1667" i="2" s="1"/>
  <c r="M1668" i="2" s="1"/>
  <c r="X1768" i="2"/>
  <c r="R1731" i="2"/>
  <c r="X1731" i="2" s="1"/>
  <c r="X1730" i="2"/>
  <c r="X1700" i="2"/>
  <c r="U1620" i="2"/>
  <c r="R1621" i="2"/>
  <c r="X1620" i="2"/>
  <c r="Z1620" i="2"/>
  <c r="R1850" i="2"/>
  <c r="M1840" i="2"/>
  <c r="M1841" i="2" s="1"/>
  <c r="M1842" i="2" s="1"/>
  <c r="M1843" i="2" s="1"/>
  <c r="R1832" i="2"/>
  <c r="M1821" i="2"/>
  <c r="M1822" i="2" s="1"/>
  <c r="M1823" i="2" s="1"/>
  <c r="M1824" i="2" s="1"/>
  <c r="K1816" i="2"/>
  <c r="M1809" i="2"/>
  <c r="M1810" i="2" s="1"/>
  <c r="M1811" i="2" s="1"/>
  <c r="M1812" i="2" s="1"/>
  <c r="M1813" i="2" s="1"/>
  <c r="M1814" i="2" s="1"/>
  <c r="M1815" i="2" s="1"/>
  <c r="R1800" i="2"/>
  <c r="R1793" i="2"/>
  <c r="K1728" i="2"/>
  <c r="R1718" i="2"/>
  <c r="R1712" i="2"/>
  <c r="R1706" i="2"/>
  <c r="M1697" i="2"/>
  <c r="M1698" i="2" s="1"/>
  <c r="M1699" i="2" s="1"/>
  <c r="M1700" i="2" s="1"/>
  <c r="M1701" i="2" s="1"/>
  <c r="M1702" i="2" s="1"/>
  <c r="M1703" i="2" s="1"/>
  <c r="M1704" i="2" s="1"/>
  <c r="M1705" i="2" s="1"/>
  <c r="M1706" i="2" s="1"/>
  <c r="M1707" i="2" s="1"/>
  <c r="M1708" i="2" s="1"/>
  <c r="M1709" i="2" s="1"/>
  <c r="R1688" i="2"/>
  <c r="M1670" i="2"/>
  <c r="M1671" i="2" s="1"/>
  <c r="M1672" i="2" s="1"/>
  <c r="M1673" i="2" s="1"/>
  <c r="M1674" i="2" s="1"/>
  <c r="M1675" i="2" s="1"/>
  <c r="M1676" i="2" s="1"/>
  <c r="M1677" i="2" s="1"/>
  <c r="M1678" i="2" s="1"/>
  <c r="M1679" i="2" s="1"/>
  <c r="M1680" i="2" s="1"/>
  <c r="M1681" i="2" s="1"/>
  <c r="M1682" i="2" s="1"/>
  <c r="M1683" i="2" s="1"/>
  <c r="M1684" i="2" s="1"/>
  <c r="M1685" i="2" s="1"/>
  <c r="M1686" i="2" s="1"/>
  <c r="M1687" i="2" s="1"/>
  <c r="M1688" i="2" s="1"/>
  <c r="M1689" i="2" s="1"/>
  <c r="M1690" i="2" s="1"/>
  <c r="X1647" i="2"/>
  <c r="R1648" i="2"/>
  <c r="X1632" i="2"/>
  <c r="Z1632" i="2"/>
  <c r="Z1796" i="2"/>
  <c r="Z1790" i="2"/>
  <c r="Z1708" i="2"/>
  <c r="R1644" i="2"/>
  <c r="X1635" i="2"/>
  <c r="R1636" i="2"/>
  <c r="AE1625" i="2"/>
  <c r="U1610" i="2"/>
  <c r="R1611" i="2"/>
  <c r="X1610" i="2"/>
  <c r="Z1610" i="2"/>
  <c r="K1454" i="2"/>
  <c r="K1455" i="2" s="1"/>
  <c r="K1456" i="2" s="1"/>
  <c r="X1796" i="2"/>
  <c r="X1790" i="2"/>
  <c r="R1709" i="2"/>
  <c r="X1708" i="2"/>
  <c r="R1704" i="2"/>
  <c r="R1665" i="2"/>
  <c r="R1841" i="2"/>
  <c r="R1822" i="2"/>
  <c r="R1810" i="2"/>
  <c r="R1797" i="2"/>
  <c r="R1727" i="2"/>
  <c r="R1715" i="2"/>
  <c r="R1698" i="2"/>
  <c r="R1671" i="2"/>
  <c r="R1630" i="2"/>
  <c r="K1508" i="2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466" i="2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382" i="2"/>
  <c r="K1383" i="2" s="1"/>
  <c r="K1384" i="2" s="1"/>
  <c r="K1385" i="2" s="1"/>
  <c r="Z1583" i="2"/>
  <c r="Z1577" i="2"/>
  <c r="Z1553" i="2"/>
  <c r="Z1495" i="2"/>
  <c r="Z1455" i="2"/>
  <c r="M1436" i="2"/>
  <c r="M1437" i="2" s="1"/>
  <c r="M1438" i="2" s="1"/>
  <c r="M1439" i="2" s="1"/>
  <c r="M1440" i="2" s="1"/>
  <c r="M1441" i="2" s="1"/>
  <c r="M1442" i="2" s="1"/>
  <c r="M1443" i="2" s="1"/>
  <c r="X1433" i="2"/>
  <c r="R1434" i="2"/>
  <c r="X1409" i="2"/>
  <c r="R1410" i="2"/>
  <c r="Z1616" i="2"/>
  <c r="X1583" i="2"/>
  <c r="X1577" i="2"/>
  <c r="X1553" i="2"/>
  <c r="Z1505" i="2"/>
  <c r="X1495" i="2"/>
  <c r="R1456" i="2"/>
  <c r="X1455" i="2"/>
  <c r="X1427" i="2"/>
  <c r="R1428" i="2"/>
  <c r="K1257" i="2"/>
  <c r="K1258" i="2" s="1"/>
  <c r="K1259" i="2" s="1"/>
  <c r="K1260" i="2" s="1"/>
  <c r="K1261" i="2" s="1"/>
  <c r="K1262" i="2" s="1"/>
  <c r="M1586" i="2"/>
  <c r="M1587" i="2" s="1"/>
  <c r="M1588" i="2" s="1"/>
  <c r="M1589" i="2" s="1"/>
  <c r="M1590" i="2" s="1"/>
  <c r="M1591" i="2" s="1"/>
  <c r="M1592" i="2" s="1"/>
  <c r="M1593" i="2" s="1"/>
  <c r="M1594" i="2" s="1"/>
  <c r="M1595" i="2" s="1"/>
  <c r="M1596" i="2" s="1"/>
  <c r="M1597" i="2" s="1"/>
  <c r="M1598" i="2" s="1"/>
  <c r="M1599" i="2" s="1"/>
  <c r="M1600" i="2" s="1"/>
  <c r="M1601" i="2" s="1"/>
  <c r="M1602" i="2" s="1"/>
  <c r="R1584" i="2"/>
  <c r="K1581" i="2"/>
  <c r="R1567" i="2"/>
  <c r="R1554" i="2"/>
  <c r="R1547" i="2"/>
  <c r="R1513" i="2"/>
  <c r="R1506" i="2"/>
  <c r="R1501" i="2"/>
  <c r="M1478" i="2"/>
  <c r="M1479" i="2" s="1"/>
  <c r="M1480" i="2" s="1"/>
  <c r="M1481" i="2" s="1"/>
  <c r="M1482" i="2" s="1"/>
  <c r="M1483" i="2" s="1"/>
  <c r="M1484" i="2" s="1"/>
  <c r="M1485" i="2" s="1"/>
  <c r="M1486" i="2" s="1"/>
  <c r="M1487" i="2" s="1"/>
  <c r="U1432" i="2"/>
  <c r="Z1432" i="2"/>
  <c r="K1430" i="2"/>
  <c r="X1374" i="2"/>
  <c r="R1375" i="2"/>
  <c r="Z1536" i="2"/>
  <c r="Z1452" i="2"/>
  <c r="M1418" i="2"/>
  <c r="M1419" i="2" s="1"/>
  <c r="M1420" i="2" s="1"/>
  <c r="M1421" i="2" s="1"/>
  <c r="M1422" i="2" s="1"/>
  <c r="M1423" i="2" s="1"/>
  <c r="M1424" i="2" s="1"/>
  <c r="M1425" i="2" s="1"/>
  <c r="X1415" i="2"/>
  <c r="R1416" i="2"/>
  <c r="X1392" i="2"/>
  <c r="R1393" i="2"/>
  <c r="X1593" i="2"/>
  <c r="Z1592" i="2"/>
  <c r="Z1579" i="2"/>
  <c r="X1536" i="2"/>
  <c r="X1503" i="2"/>
  <c r="Z1484" i="2"/>
  <c r="R1460" i="2"/>
  <c r="R1453" i="2"/>
  <c r="X1453" i="2" s="1"/>
  <c r="X1452" i="2"/>
  <c r="X1418" i="2"/>
  <c r="R1419" i="2"/>
  <c r="R1594" i="2"/>
  <c r="R1587" i="2"/>
  <c r="R1580" i="2"/>
  <c r="R1575" i="2"/>
  <c r="R1557" i="2"/>
  <c r="R1537" i="2"/>
  <c r="R1479" i="2"/>
  <c r="R1472" i="2"/>
  <c r="I1458" i="2"/>
  <c r="I1459" i="2" s="1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I1477" i="2" s="1"/>
  <c r="I1478" i="2" s="1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I1497" i="2" s="1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I1516" i="2" s="1"/>
  <c r="I1517" i="2" s="1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I1632" i="2" s="1"/>
  <c r="I1633" i="2" s="1"/>
  <c r="I1634" i="2" s="1"/>
  <c r="I1635" i="2" s="1"/>
  <c r="I1636" i="2" s="1"/>
  <c r="I1637" i="2" s="1"/>
  <c r="I1638" i="2" s="1"/>
  <c r="I1639" i="2" s="1"/>
  <c r="I1640" i="2" s="1"/>
  <c r="I1641" i="2" s="1"/>
  <c r="X1445" i="2"/>
  <c r="R1446" i="2"/>
  <c r="U1246" i="2"/>
  <c r="X1246" i="2"/>
  <c r="U1240" i="2"/>
  <c r="X1240" i="2"/>
  <c r="K1200" i="2"/>
  <c r="M1001" i="2"/>
  <c r="M1002" i="2" s="1"/>
  <c r="AE966" i="2"/>
  <c r="K958" i="2"/>
  <c r="K959" i="2" s="1"/>
  <c r="K960" i="2" s="1"/>
  <c r="K961" i="2" s="1"/>
  <c r="K962" i="2" s="1"/>
  <c r="K963" i="2" s="1"/>
  <c r="K964" i="2" s="1"/>
  <c r="U933" i="2"/>
  <c r="R934" i="2"/>
  <c r="X933" i="2"/>
  <c r="Z933" i="2"/>
  <c r="R1437" i="2"/>
  <c r="M1427" i="2"/>
  <c r="M1428" i="2" s="1"/>
  <c r="M1429" i="2" s="1"/>
  <c r="AE1364" i="2"/>
  <c r="Z1322" i="2"/>
  <c r="R1312" i="2"/>
  <c r="R1306" i="2"/>
  <c r="R1268" i="2"/>
  <c r="M1267" i="2"/>
  <c r="M1268" i="2" s="1"/>
  <c r="M1269" i="2" s="1"/>
  <c r="M1270" i="2" s="1"/>
  <c r="M1271" i="2" s="1"/>
  <c r="M1272" i="2" s="1"/>
  <c r="M1273" i="2" s="1"/>
  <c r="M1274" i="2" s="1"/>
  <c r="M1275" i="2" s="1"/>
  <c r="X1251" i="2"/>
  <c r="R1252" i="2"/>
  <c r="X1231" i="2"/>
  <c r="R1232" i="2"/>
  <c r="U1189" i="2"/>
  <c r="R1190" i="2"/>
  <c r="X1189" i="2"/>
  <c r="Z1189" i="2"/>
  <c r="M1078" i="2"/>
  <c r="M1079" i="2" s="1"/>
  <c r="X1026" i="2"/>
  <c r="R1027" i="2"/>
  <c r="I994" i="2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M1413" i="2"/>
  <c r="M1414" i="2" s="1"/>
  <c r="M1415" i="2" s="1"/>
  <c r="M1416" i="2" s="1"/>
  <c r="M1407" i="2"/>
  <c r="M1408" i="2" s="1"/>
  <c r="M1409" i="2" s="1"/>
  <c r="M1410" i="2" s="1"/>
  <c r="M1411" i="2" s="1"/>
  <c r="R1391" i="2"/>
  <c r="R1385" i="2"/>
  <c r="R1373" i="2"/>
  <c r="M1363" i="2"/>
  <c r="M1364" i="2" s="1"/>
  <c r="M1365" i="2" s="1"/>
  <c r="M1366" i="2" s="1"/>
  <c r="M1367" i="2" s="1"/>
  <c r="M1368" i="2" s="1"/>
  <c r="M1369" i="2" s="1"/>
  <c r="M1370" i="2" s="1"/>
  <c r="R1354" i="2"/>
  <c r="M1333" i="2"/>
  <c r="M1334" i="2" s="1"/>
  <c r="M1335" i="2" s="1"/>
  <c r="X1322" i="2"/>
  <c r="R1300" i="2"/>
  <c r="M1289" i="2"/>
  <c r="M1290" i="2" s="1"/>
  <c r="M1291" i="2" s="1"/>
  <c r="M1292" i="2" s="1"/>
  <c r="M1293" i="2" s="1"/>
  <c r="M1277" i="2"/>
  <c r="M1278" i="2" s="1"/>
  <c r="M1279" i="2" s="1"/>
  <c r="M1280" i="2" s="1"/>
  <c r="M1281" i="2" s="1"/>
  <c r="M1282" i="2" s="1"/>
  <c r="M1283" i="2" s="1"/>
  <c r="M1284" i="2" s="1"/>
  <c r="M1285" i="2" s="1"/>
  <c r="M1286" i="2" s="1"/>
  <c r="M1287" i="2" s="1"/>
  <c r="I1211" i="2"/>
  <c r="I1192" i="2"/>
  <c r="X1178" i="2"/>
  <c r="R1179" i="2"/>
  <c r="X1092" i="2"/>
  <c r="Z1092" i="2"/>
  <c r="K1081" i="2"/>
  <c r="K1082" i="2" s="1"/>
  <c r="M1017" i="2"/>
  <c r="M1018" i="2" s="1"/>
  <c r="I1371" i="2"/>
  <c r="R1366" i="2"/>
  <c r="R1360" i="2"/>
  <c r="R1348" i="2"/>
  <c r="R1342" i="2"/>
  <c r="R1323" i="2"/>
  <c r="R1316" i="2"/>
  <c r="K1308" i="2"/>
  <c r="M1295" i="2"/>
  <c r="M1296" i="2" s="1"/>
  <c r="M1297" i="2" s="1"/>
  <c r="R1280" i="2"/>
  <c r="R1274" i="2"/>
  <c r="X1237" i="2"/>
  <c r="R1238" i="2"/>
  <c r="K1157" i="2"/>
  <c r="K1412" i="2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R1389" i="2"/>
  <c r="R1383" i="2"/>
  <c r="R1352" i="2"/>
  <c r="R1328" i="2"/>
  <c r="R1284" i="2"/>
  <c r="Z1282" i="2"/>
  <c r="K1276" i="2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X1282" i="2"/>
  <c r="X1146" i="2"/>
  <c r="R1147" i="2"/>
  <c r="R1302" i="2"/>
  <c r="R1296" i="2"/>
  <c r="Z1246" i="2"/>
  <c r="Z1240" i="2"/>
  <c r="R1236" i="2"/>
  <c r="M1225" i="2"/>
  <c r="M1226" i="2" s="1"/>
  <c r="M1227" i="2" s="1"/>
  <c r="M1228" i="2" s="1"/>
  <c r="M1229" i="2" s="1"/>
  <c r="M1213" i="2"/>
  <c r="M1214" i="2" s="1"/>
  <c r="M1215" i="2" s="1"/>
  <c r="M1216" i="2" s="1"/>
  <c r="M1217" i="2" s="1"/>
  <c r="M1218" i="2" s="1"/>
  <c r="M1219" i="2" s="1"/>
  <c r="M1220" i="2" s="1"/>
  <c r="M1221" i="2" s="1"/>
  <c r="M1222" i="2" s="1"/>
  <c r="M1223" i="2" s="1"/>
  <c r="M1194" i="2"/>
  <c r="M1195" i="2" s="1"/>
  <c r="M1196" i="2" s="1"/>
  <c r="M1197" i="2" s="1"/>
  <c r="M1198" i="2" s="1"/>
  <c r="M1199" i="2" s="1"/>
  <c r="M1154" i="2"/>
  <c r="M1155" i="2" s="1"/>
  <c r="M1156" i="2" s="1"/>
  <c r="R1139" i="2"/>
  <c r="X1064" i="2"/>
  <c r="R1065" i="2"/>
  <c r="M1007" i="2"/>
  <c r="M1008" i="2" s="1"/>
  <c r="M1231" i="2"/>
  <c r="M1232" i="2" s="1"/>
  <c r="M1233" i="2" s="1"/>
  <c r="R1216" i="2"/>
  <c r="R1197" i="2"/>
  <c r="R1170" i="2"/>
  <c r="M1166" i="2"/>
  <c r="M1167" i="2" s="1"/>
  <c r="R1164" i="2"/>
  <c r="R1151" i="2"/>
  <c r="M1130" i="2"/>
  <c r="M1131" i="2" s="1"/>
  <c r="R1128" i="2"/>
  <c r="M1124" i="2"/>
  <c r="M1125" i="2" s="1"/>
  <c r="M1120" i="2"/>
  <c r="M1121" i="2" s="1"/>
  <c r="M1122" i="2" s="1"/>
  <c r="R1118" i="2"/>
  <c r="M1114" i="2"/>
  <c r="M1115" i="2" s="1"/>
  <c r="R1112" i="2"/>
  <c r="M1104" i="2"/>
  <c r="M1105" i="2" s="1"/>
  <c r="R1102" i="2"/>
  <c r="M1098" i="2"/>
  <c r="M1099" i="2" s="1"/>
  <c r="M1061" i="2"/>
  <c r="M1062" i="2" s="1"/>
  <c r="X1058" i="2"/>
  <c r="R1059" i="2"/>
  <c r="M1023" i="2"/>
  <c r="M1024" i="2" s="1"/>
  <c r="X988" i="2"/>
  <c r="R989" i="2"/>
  <c r="M1178" i="2"/>
  <c r="M1179" i="2" s="1"/>
  <c r="M1180" i="2" s="1"/>
  <c r="M1181" i="2" s="1"/>
  <c r="M1182" i="2" s="1"/>
  <c r="M1183" i="2" s="1"/>
  <c r="M1184" i="2" s="1"/>
  <c r="M1185" i="2" s="1"/>
  <c r="M1186" i="2" s="1"/>
  <c r="K1173" i="2"/>
  <c r="I1162" i="2"/>
  <c r="I1163" i="2" s="1"/>
  <c r="I1164" i="2" s="1"/>
  <c r="I1165" i="2" s="1"/>
  <c r="I1166" i="2" s="1"/>
  <c r="I1167" i="2" s="1"/>
  <c r="I1168" i="2" s="1"/>
  <c r="I1169" i="2" s="1"/>
  <c r="I1170" i="2" s="1"/>
  <c r="M1146" i="2"/>
  <c r="M1147" i="2" s="1"/>
  <c r="M1148" i="2" s="1"/>
  <c r="K1141" i="2"/>
  <c r="I1136" i="2"/>
  <c r="K1085" i="2"/>
  <c r="K1086" i="2" s="1"/>
  <c r="K1087" i="2" s="1"/>
  <c r="K1088" i="2" s="1"/>
  <c r="K1089" i="2" s="1"/>
  <c r="K1090" i="2" s="1"/>
  <c r="I1070" i="2"/>
  <c r="I1071" i="2" s="1"/>
  <c r="I1072" i="2" s="1"/>
  <c r="I1073" i="2" s="1"/>
  <c r="I1074" i="2" s="1"/>
  <c r="M1055" i="2"/>
  <c r="M1056" i="2" s="1"/>
  <c r="X1052" i="2"/>
  <c r="R1053" i="2"/>
  <c r="M1029" i="2"/>
  <c r="M1030" i="2" s="1"/>
  <c r="M1031" i="2" s="1"/>
  <c r="X1014" i="2"/>
  <c r="R1015" i="2"/>
  <c r="M995" i="2"/>
  <c r="M996" i="2" s="1"/>
  <c r="M991" i="2"/>
  <c r="M992" i="2" s="1"/>
  <c r="M993" i="2" s="1"/>
  <c r="K982" i="2"/>
  <c r="K983" i="2" s="1"/>
  <c r="K984" i="2" s="1"/>
  <c r="K985" i="2" s="1"/>
  <c r="K986" i="2" s="1"/>
  <c r="K987" i="2" s="1"/>
  <c r="R1250" i="2"/>
  <c r="R1226" i="2"/>
  <c r="R1214" i="2"/>
  <c r="R1195" i="2"/>
  <c r="R1155" i="2"/>
  <c r="M1067" i="2"/>
  <c r="M1068" i="2" s="1"/>
  <c r="M1069" i="2" s="1"/>
  <c r="M1070" i="2" s="1"/>
  <c r="M1033" i="2"/>
  <c r="M1034" i="2" s="1"/>
  <c r="X998" i="2"/>
  <c r="R999" i="2"/>
  <c r="I1172" i="2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R1167" i="2"/>
  <c r="R1131" i="2"/>
  <c r="R1125" i="2"/>
  <c r="R1115" i="2"/>
  <c r="R1105" i="2"/>
  <c r="R1099" i="2"/>
  <c r="M1045" i="2"/>
  <c r="M1046" i="2" s="1"/>
  <c r="X1042" i="2"/>
  <c r="R1043" i="2"/>
  <c r="X1020" i="2"/>
  <c r="R1021" i="2"/>
  <c r="X1004" i="2"/>
  <c r="R1005" i="2"/>
  <c r="X941" i="2"/>
  <c r="U941" i="2"/>
  <c r="Z941" i="2"/>
  <c r="M1039" i="2"/>
  <c r="M1040" i="2" s="1"/>
  <c r="X1036" i="2"/>
  <c r="R1037" i="2"/>
  <c r="U972" i="2"/>
  <c r="X966" i="2"/>
  <c r="R955" i="2"/>
  <c r="X932" i="2"/>
  <c r="X904" i="2"/>
  <c r="R905" i="2"/>
  <c r="U775" i="2"/>
  <c r="R776" i="2"/>
  <c r="X775" i="2"/>
  <c r="Z775" i="2"/>
  <c r="M936" i="2"/>
  <c r="M937" i="2" s="1"/>
  <c r="M938" i="2" s="1"/>
  <c r="M939" i="2" s="1"/>
  <c r="M940" i="2" s="1"/>
  <c r="M941" i="2" s="1"/>
  <c r="M942" i="2" s="1"/>
  <c r="M943" i="2" s="1"/>
  <c r="M944" i="2" s="1"/>
  <c r="M945" i="2" s="1"/>
  <c r="M946" i="2" s="1"/>
  <c r="M947" i="2" s="1"/>
  <c r="M948" i="2" s="1"/>
  <c r="X909" i="2"/>
  <c r="Z909" i="2"/>
  <c r="K660" i="2"/>
  <c r="K661" i="2" s="1"/>
  <c r="K662" i="2" s="1"/>
  <c r="M985" i="2"/>
  <c r="M986" i="2" s="1"/>
  <c r="R983" i="2"/>
  <c r="M979" i="2"/>
  <c r="M980" i="2" s="1"/>
  <c r="R977" i="2"/>
  <c r="M961" i="2"/>
  <c r="M962" i="2" s="1"/>
  <c r="M963" i="2" s="1"/>
  <c r="R959" i="2"/>
  <c r="K820" i="2"/>
  <c r="K821" i="2" s="1"/>
  <c r="K822" i="2" s="1"/>
  <c r="X936" i="2"/>
  <c r="R937" i="2"/>
  <c r="X926" i="2"/>
  <c r="R927" i="2"/>
  <c r="X927" i="2" s="1"/>
  <c r="Z926" i="2"/>
  <c r="K883" i="2"/>
  <c r="K884" i="2" s="1"/>
  <c r="K885" i="2" s="1"/>
  <c r="K886" i="2" s="1"/>
  <c r="K887" i="2" s="1"/>
  <c r="K888" i="2" s="1"/>
  <c r="K889" i="2" s="1"/>
  <c r="U814" i="2"/>
  <c r="R815" i="2"/>
  <c r="X814" i="2"/>
  <c r="Z814" i="2"/>
  <c r="K913" i="2"/>
  <c r="U794" i="2"/>
  <c r="X794" i="2"/>
  <c r="Z794" i="2"/>
  <c r="Z972" i="2"/>
  <c r="K848" i="2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R1062" i="2"/>
  <c r="R1056" i="2"/>
  <c r="R1046" i="2"/>
  <c r="R1040" i="2"/>
  <c r="R1034" i="2"/>
  <c r="R1024" i="2"/>
  <c r="R1018" i="2"/>
  <c r="R1008" i="2"/>
  <c r="R1002" i="2"/>
  <c r="R973" i="2"/>
  <c r="X867" i="2"/>
  <c r="R868" i="2"/>
  <c r="X781" i="2"/>
  <c r="R782" i="2"/>
  <c r="AE717" i="2"/>
  <c r="Z870" i="2"/>
  <c r="Z833" i="2"/>
  <c r="U717" i="2"/>
  <c r="R718" i="2"/>
  <c r="X717" i="2"/>
  <c r="X870" i="2"/>
  <c r="X833" i="2"/>
  <c r="M804" i="2"/>
  <c r="M805" i="2" s="1"/>
  <c r="M806" i="2" s="1"/>
  <c r="M807" i="2" s="1"/>
  <c r="K756" i="2"/>
  <c r="K757" i="2" s="1"/>
  <c r="K758" i="2" s="1"/>
  <c r="K759" i="2" s="1"/>
  <c r="K760" i="2" s="1"/>
  <c r="K761" i="2" s="1"/>
  <c r="K762" i="2" s="1"/>
  <c r="K763" i="2" s="1"/>
  <c r="K764" i="2" s="1"/>
  <c r="K765" i="2" s="1"/>
  <c r="R876" i="2"/>
  <c r="M861" i="2"/>
  <c r="M862" i="2" s="1"/>
  <c r="M863" i="2" s="1"/>
  <c r="R859" i="2"/>
  <c r="M855" i="2"/>
  <c r="M856" i="2" s="1"/>
  <c r="R845" i="2"/>
  <c r="R839" i="2"/>
  <c r="M830" i="2"/>
  <c r="M831" i="2" s="1"/>
  <c r="M832" i="2" s="1"/>
  <c r="M833" i="2" s="1"/>
  <c r="M834" i="2" s="1"/>
  <c r="M835" i="2" s="1"/>
  <c r="M836" i="2" s="1"/>
  <c r="M837" i="2" s="1"/>
  <c r="M838" i="2" s="1"/>
  <c r="M839" i="2" s="1"/>
  <c r="M840" i="2" s="1"/>
  <c r="M841" i="2" s="1"/>
  <c r="M842" i="2" s="1"/>
  <c r="M752" i="2"/>
  <c r="M753" i="2" s="1"/>
  <c r="M754" i="2" s="1"/>
  <c r="X749" i="2"/>
  <c r="R750" i="2"/>
  <c r="K665" i="2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U810" i="2"/>
  <c r="X723" i="2"/>
  <c r="R724" i="2"/>
  <c r="I807" i="2"/>
  <c r="I808" i="2" s="1"/>
  <c r="X745" i="2"/>
  <c r="R746" i="2"/>
  <c r="M690" i="2"/>
  <c r="M691" i="2" s="1"/>
  <c r="M692" i="2" s="1"/>
  <c r="U676" i="2"/>
  <c r="R677" i="2"/>
  <c r="X676" i="2"/>
  <c r="Z676" i="2"/>
  <c r="Z872" i="2"/>
  <c r="Z835" i="2"/>
  <c r="U796" i="2"/>
  <c r="R797" i="2"/>
  <c r="X796" i="2"/>
  <c r="Z796" i="2"/>
  <c r="R862" i="2"/>
  <c r="R856" i="2"/>
  <c r="R831" i="2"/>
  <c r="R698" i="2"/>
  <c r="M694" i="2"/>
  <c r="M695" i="2" s="1"/>
  <c r="M696" i="2" s="1"/>
  <c r="M697" i="2" s="1"/>
  <c r="M698" i="2" s="1"/>
  <c r="M699" i="2" s="1"/>
  <c r="M700" i="2" s="1"/>
  <c r="M701" i="2" s="1"/>
  <c r="M702" i="2" s="1"/>
  <c r="X675" i="2"/>
  <c r="X660" i="2"/>
  <c r="R661" i="2"/>
  <c r="K582" i="2"/>
  <c r="K583" i="2" s="1"/>
  <c r="K584" i="2" s="1"/>
  <c r="K585" i="2" s="1"/>
  <c r="K586" i="2" s="1"/>
  <c r="X687" i="2"/>
  <c r="R688" i="2"/>
  <c r="X683" i="2"/>
  <c r="R684" i="2"/>
  <c r="X630" i="2"/>
  <c r="R631" i="2"/>
  <c r="R734" i="2"/>
  <c r="R728" i="2"/>
  <c r="K693" i="2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R805" i="2"/>
  <c r="Z731" i="2"/>
  <c r="R701" i="2"/>
  <c r="R695" i="2"/>
  <c r="M675" i="2"/>
  <c r="M676" i="2" s="1"/>
  <c r="M677" i="2" s="1"/>
  <c r="M678" i="2" s="1"/>
  <c r="M679" i="2" s="1"/>
  <c r="M680" i="2" s="1"/>
  <c r="M681" i="2" s="1"/>
  <c r="M682" i="2" s="1"/>
  <c r="M683" i="2" s="1"/>
  <c r="M684" i="2" s="1"/>
  <c r="M685" i="2" s="1"/>
  <c r="M686" i="2" s="1"/>
  <c r="M687" i="2" s="1"/>
  <c r="M688" i="2" s="1"/>
  <c r="K400" i="2"/>
  <c r="K401" i="2" s="1"/>
  <c r="K402" i="2" s="1"/>
  <c r="K403" i="2" s="1"/>
  <c r="K404" i="2" s="1"/>
  <c r="R642" i="2"/>
  <c r="R636" i="2"/>
  <c r="R616" i="2"/>
  <c r="X523" i="2"/>
  <c r="R524" i="2"/>
  <c r="R596" i="2"/>
  <c r="R583" i="2"/>
  <c r="R621" i="2"/>
  <c r="R608" i="2"/>
  <c r="M591" i="2"/>
  <c r="M592" i="2" s="1"/>
  <c r="M593" i="2" s="1"/>
  <c r="M594" i="2" s="1"/>
  <c r="M595" i="2" s="1"/>
  <c r="M596" i="2" s="1"/>
  <c r="M597" i="2" s="1"/>
  <c r="M598" i="2" s="1"/>
  <c r="M599" i="2" s="1"/>
  <c r="M600" i="2" s="1"/>
  <c r="M601" i="2" s="1"/>
  <c r="M602" i="2" s="1"/>
  <c r="M603" i="2" s="1"/>
  <c r="M604" i="2" s="1"/>
  <c r="M605" i="2" s="1"/>
  <c r="M606" i="2" s="1"/>
  <c r="M607" i="2" s="1"/>
  <c r="M608" i="2" s="1"/>
  <c r="M609" i="2" s="1"/>
  <c r="M610" i="2" s="1"/>
  <c r="M611" i="2" s="1"/>
  <c r="M612" i="2" s="1"/>
  <c r="M613" i="2" s="1"/>
  <c r="M614" i="2" s="1"/>
  <c r="M615" i="2" s="1"/>
  <c r="M616" i="2" s="1"/>
  <c r="M617" i="2" s="1"/>
  <c r="M618" i="2" s="1"/>
  <c r="R569" i="2"/>
  <c r="R563" i="2"/>
  <c r="R550" i="2"/>
  <c r="K491" i="2"/>
  <c r="K492" i="2" s="1"/>
  <c r="K493" i="2" s="1"/>
  <c r="K494" i="2" s="1"/>
  <c r="K495" i="2" s="1"/>
  <c r="I663" i="2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R651" i="2"/>
  <c r="R612" i="2"/>
  <c r="R573" i="2"/>
  <c r="X539" i="2"/>
  <c r="R540" i="2"/>
  <c r="R532" i="2"/>
  <c r="R592" i="2"/>
  <c r="R566" i="2"/>
  <c r="R560" i="2"/>
  <c r="R501" i="2"/>
  <c r="R475" i="2"/>
  <c r="R469" i="2"/>
  <c r="R449" i="2"/>
  <c r="Z421" i="2"/>
  <c r="R410" i="2"/>
  <c r="X383" i="2"/>
  <c r="R384" i="2"/>
  <c r="X377" i="2"/>
  <c r="R378" i="2"/>
  <c r="U277" i="2"/>
  <c r="R278" i="2"/>
  <c r="X277" i="2"/>
  <c r="Z277" i="2"/>
  <c r="AE250" i="2"/>
  <c r="R520" i="2"/>
  <c r="R487" i="2"/>
  <c r="R429" i="2"/>
  <c r="X421" i="2"/>
  <c r="R454" i="2"/>
  <c r="R441" i="2"/>
  <c r="R422" i="2"/>
  <c r="R478" i="2"/>
  <c r="R472" i="2"/>
  <c r="R459" i="2"/>
  <c r="R433" i="2"/>
  <c r="R387" i="2"/>
  <c r="I309" i="2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R516" i="2"/>
  <c r="R510" i="2"/>
  <c r="R464" i="2"/>
  <c r="R425" i="2"/>
  <c r="R419" i="2"/>
  <c r="B317" i="64"/>
  <c r="C317" i="64" s="1"/>
  <c r="AE354" i="2"/>
  <c r="X354" i="2"/>
  <c r="R343" i="2"/>
  <c r="U342" i="2"/>
  <c r="R330" i="2"/>
  <c r="X322" i="2"/>
  <c r="M306" i="2"/>
  <c r="M307" i="2" s="1"/>
  <c r="M308" i="2" s="1"/>
  <c r="R297" i="2"/>
  <c r="M266" i="2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Z146" i="2"/>
  <c r="X146" i="2"/>
  <c r="U146" i="2"/>
  <c r="U250" i="2"/>
  <c r="R251" i="2"/>
  <c r="X250" i="2"/>
  <c r="K219" i="2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I152" i="2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X234" i="2"/>
  <c r="R235" i="2"/>
  <c r="K167" i="2"/>
  <c r="K168" i="2" s="1"/>
  <c r="K169" i="2" s="1"/>
  <c r="K170" i="2" s="1"/>
  <c r="K171" i="2" s="1"/>
  <c r="K172" i="2" s="1"/>
  <c r="Z134" i="2"/>
  <c r="X134" i="2"/>
  <c r="U134" i="2"/>
  <c r="R373" i="2"/>
  <c r="M362" i="2"/>
  <c r="M363" i="2" s="1"/>
  <c r="M364" i="2" s="1"/>
  <c r="M365" i="2" s="1"/>
  <c r="M366" i="2" s="1"/>
  <c r="M367" i="2" s="1"/>
  <c r="M368" i="2" s="1"/>
  <c r="M369" i="2" s="1"/>
  <c r="M370" i="2" s="1"/>
  <c r="M371" i="2" s="1"/>
  <c r="M372" i="2" s="1"/>
  <c r="M373" i="2" s="1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M394" i="2" s="1"/>
  <c r="M395" i="2" s="1"/>
  <c r="M396" i="2" s="1"/>
  <c r="M397" i="2" s="1"/>
  <c r="M398" i="2" s="1"/>
  <c r="R334" i="2"/>
  <c r="M310" i="2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X276" i="2"/>
  <c r="R273" i="2"/>
  <c r="K191" i="2"/>
  <c r="K192" i="2" s="1"/>
  <c r="K193" i="2" s="1"/>
  <c r="K194" i="2" s="1"/>
  <c r="K195" i="2" s="1"/>
  <c r="K196" i="2" s="1"/>
  <c r="R358" i="2"/>
  <c r="R326" i="2"/>
  <c r="R320" i="2"/>
  <c r="X267" i="2"/>
  <c r="U267" i="2"/>
  <c r="R268" i="2"/>
  <c r="X241" i="2"/>
  <c r="R242" i="2"/>
  <c r="K237" i="2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X228" i="2"/>
  <c r="R229" i="2"/>
  <c r="Z342" i="2"/>
  <c r="R363" i="2"/>
  <c r="R350" i="2"/>
  <c r="R311" i="2"/>
  <c r="U272" i="2"/>
  <c r="X237" i="2"/>
  <c r="R238" i="2"/>
  <c r="Z233" i="2"/>
  <c r="I4" i="68" s="1"/>
  <c r="J4" i="68" s="1"/>
  <c r="Z220" i="2"/>
  <c r="M211" i="2"/>
  <c r="M212" i="2" s="1"/>
  <c r="M213" i="2" s="1"/>
  <c r="M214" i="2" s="1"/>
  <c r="M215" i="2" s="1"/>
  <c r="M216" i="2" s="1"/>
  <c r="M217" i="2" s="1"/>
  <c r="R209" i="2"/>
  <c r="M205" i="2"/>
  <c r="M206" i="2" s="1"/>
  <c r="R203" i="2"/>
  <c r="R184" i="2"/>
  <c r="R168" i="2"/>
  <c r="X141" i="2"/>
  <c r="R142" i="2"/>
  <c r="X133" i="2"/>
  <c r="Z163" i="2"/>
  <c r="X163" i="2"/>
  <c r="R221" i="2"/>
  <c r="I200" i="2"/>
  <c r="R195" i="2"/>
  <c r="R189" i="2"/>
  <c r="X145" i="2"/>
  <c r="Z198" i="2"/>
  <c r="I5" i="68" s="1"/>
  <c r="G5" i="68" s="1"/>
  <c r="Z192" i="2"/>
  <c r="G174" i="2"/>
  <c r="R258" i="2"/>
  <c r="R212" i="2"/>
  <c r="R206" i="2"/>
  <c r="R199" i="2"/>
  <c r="X198" i="2"/>
  <c r="R193" i="2"/>
  <c r="X193" i="2" s="1"/>
  <c r="X192" i="2"/>
  <c r="I186" i="2"/>
  <c r="R181" i="2"/>
  <c r="X169" i="2"/>
  <c r="R170" i="2"/>
  <c r="X160" i="2"/>
  <c r="R161" i="2"/>
  <c r="R104" i="2"/>
  <c r="U103" i="2"/>
  <c r="X103" i="2"/>
  <c r="Z103" i="2"/>
  <c r="X158" i="2"/>
  <c r="R159" i="2"/>
  <c r="X129" i="2"/>
  <c r="R130" i="2"/>
  <c r="K116" i="2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G74" i="2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R113" i="2"/>
  <c r="X71" i="2"/>
  <c r="R72" i="2"/>
  <c r="U46" i="2"/>
  <c r="X46" i="2"/>
  <c r="R47" i="2"/>
  <c r="Z46" i="2"/>
  <c r="M43" i="2"/>
  <c r="M44" i="2" s="1"/>
  <c r="M45" i="2" s="1"/>
  <c r="M46" i="2" s="1"/>
  <c r="M47" i="2" s="1"/>
  <c r="X40" i="2"/>
  <c r="R41" i="2"/>
  <c r="X65" i="2"/>
  <c r="R66" i="2"/>
  <c r="X53" i="2"/>
  <c r="R54" i="2"/>
  <c r="X126" i="2"/>
  <c r="M108" i="2"/>
  <c r="M109" i="2" s="1"/>
  <c r="M110" i="2" s="1"/>
  <c r="Z77" i="2"/>
  <c r="X69" i="2"/>
  <c r="R70" i="2"/>
  <c r="X30" i="2"/>
  <c r="U30" i="2"/>
  <c r="Z30" i="2"/>
  <c r="R144" i="2"/>
  <c r="R132" i="2"/>
  <c r="X87" i="2"/>
  <c r="R88" i="2"/>
  <c r="X80" i="2"/>
  <c r="R81" i="2"/>
  <c r="U77" i="2"/>
  <c r="X57" i="2"/>
  <c r="R58" i="2"/>
  <c r="M49" i="2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R165" i="2"/>
  <c r="R154" i="2"/>
  <c r="R148" i="2"/>
  <c r="R136" i="2"/>
  <c r="R120" i="2"/>
  <c r="M80" i="2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K75" i="2"/>
  <c r="I18" i="2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X21" i="2"/>
  <c r="R22" i="2"/>
  <c r="R24" i="2"/>
  <c r="D12" i="2"/>
  <c r="R56" i="2"/>
  <c r="F13" i="2"/>
  <c r="R50" i="2"/>
  <c r="R44" i="2"/>
  <c r="M40" i="2"/>
  <c r="M41" i="2" s="1"/>
  <c r="R38" i="2"/>
  <c r="Z36" i="2"/>
  <c r="X29" i="2"/>
  <c r="X25" i="2"/>
  <c r="R26" i="2"/>
  <c r="M21" i="2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R19" i="2"/>
  <c r="Z17" i="2"/>
  <c r="X36" i="2"/>
  <c r="X17" i="2"/>
  <c r="D13" i="2"/>
  <c r="M16" i="2"/>
  <c r="M17" i="2" s="1"/>
  <c r="Z1364" i="2" l="1"/>
  <c r="U1364" i="2"/>
  <c r="X1364" i="2"/>
  <c r="X1334" i="2"/>
  <c r="U1334" i="2"/>
  <c r="Z1334" i="2"/>
  <c r="AE1334" i="2" s="1"/>
  <c r="R1335" i="2"/>
  <c r="X600" i="2"/>
  <c r="Z600" i="2"/>
  <c r="AE600" i="2" s="1"/>
  <c r="U1855" i="2"/>
  <c r="Z1855" i="2"/>
  <c r="AE1855" i="2" s="1"/>
  <c r="U292" i="2"/>
  <c r="Z292" i="2"/>
  <c r="AE292" i="2" s="1"/>
  <c r="U1593" i="2"/>
  <c r="Z1593" i="2"/>
  <c r="AE1593" i="2" s="1"/>
  <c r="U1569" i="2"/>
  <c r="Z1569" i="2"/>
  <c r="R1492" i="2"/>
  <c r="U1492" i="2" s="1"/>
  <c r="Z1491" i="2"/>
  <c r="AE1491" i="2" s="1"/>
  <c r="X939" i="2"/>
  <c r="U939" i="2"/>
  <c r="U1834" i="2"/>
  <c r="Z1834" i="2"/>
  <c r="AE1834" i="2" s="1"/>
  <c r="X1834" i="2"/>
  <c r="U1202" i="2"/>
  <c r="X1202" i="2"/>
  <c r="R1203" i="2"/>
  <c r="Z1202" i="2"/>
  <c r="AE1202" i="2" s="1"/>
  <c r="Z919" i="2"/>
  <c r="AE919" i="2" s="1"/>
  <c r="U919" i="2"/>
  <c r="R920" i="2"/>
  <c r="X919" i="2"/>
  <c r="X92" i="2"/>
  <c r="R93" i="2"/>
  <c r="U92" i="2"/>
  <c r="Z92" i="2"/>
  <c r="AE92" i="2" s="1"/>
  <c r="Z368" i="2"/>
  <c r="AE368" i="2" s="1"/>
  <c r="R369" i="2"/>
  <c r="U368" i="2"/>
  <c r="X368" i="2"/>
  <c r="U578" i="2"/>
  <c r="Z578" i="2"/>
  <c r="AE578" i="2" s="1"/>
  <c r="X578" i="2"/>
  <c r="R579" i="2"/>
  <c r="U604" i="2"/>
  <c r="R605" i="2"/>
  <c r="X604" i="2"/>
  <c r="U536" i="2"/>
  <c r="R537" i="2"/>
  <c r="U60" i="2"/>
  <c r="Z60" i="2"/>
  <c r="U841" i="2"/>
  <c r="X841" i="2"/>
  <c r="R842" i="2"/>
  <c r="U1377" i="2"/>
  <c r="R1378" i="2"/>
  <c r="X1377" i="2"/>
  <c r="U355" i="2"/>
  <c r="X355" i="2"/>
  <c r="Z355" i="2"/>
  <c r="AE355" i="2" s="1"/>
  <c r="R356" i="2"/>
  <c r="Z639" i="2"/>
  <c r="AE639" i="2" s="1"/>
  <c r="Z1490" i="2"/>
  <c r="AE1490" i="2" s="1"/>
  <c r="Z117" i="2"/>
  <c r="U285" i="2"/>
  <c r="U90" i="2"/>
  <c r="X2125" i="2"/>
  <c r="R286" i="2"/>
  <c r="X285" i="2"/>
  <c r="Z90" i="2"/>
  <c r="AE90" i="2" s="1"/>
  <c r="U1862" i="2"/>
  <c r="R2126" i="2"/>
  <c r="X2126" i="2" s="1"/>
  <c r="X1862" i="2"/>
  <c r="Z1738" i="2"/>
  <c r="AE1738" i="2" s="1"/>
  <c r="Z2125" i="2"/>
  <c r="B232" i="64" s="1"/>
  <c r="C232" i="64" s="1"/>
  <c r="Z1208" i="2"/>
  <c r="AE1208" i="2" s="1"/>
  <c r="R1209" i="2"/>
  <c r="X1208" i="2"/>
  <c r="Z1562" i="2"/>
  <c r="AE1562" i="2" s="1"/>
  <c r="U1562" i="2"/>
  <c r="X1738" i="2"/>
  <c r="R732" i="2"/>
  <c r="U1738" i="2"/>
  <c r="R1863" i="2"/>
  <c r="U731" i="2"/>
  <c r="B127" i="64"/>
  <c r="C127" i="64" s="1"/>
  <c r="AE1859" i="2"/>
  <c r="R1860" i="2"/>
  <c r="X1860" i="2" s="1"/>
  <c r="X1954" i="2"/>
  <c r="U669" i="2"/>
  <c r="X1640" i="2"/>
  <c r="R397" i="2"/>
  <c r="X1924" i="2"/>
  <c r="X669" i="2"/>
  <c r="R1749" i="2"/>
  <c r="X1749" i="2" s="1"/>
  <c r="J5" i="68"/>
  <c r="D174" i="2"/>
  <c r="X1733" i="2"/>
  <c r="J3" i="68"/>
  <c r="D15" i="2"/>
  <c r="AE1747" i="2"/>
  <c r="AE1499" i="2"/>
  <c r="I70" i="68"/>
  <c r="AE691" i="2"/>
  <c r="Z1175" i="2"/>
  <c r="B94" i="64" s="1"/>
  <c r="C94" i="64" s="1"/>
  <c r="R1176" i="2"/>
  <c r="R1837" i="2"/>
  <c r="H17" i="2"/>
  <c r="H18" i="2" s="1"/>
  <c r="X2088" i="2"/>
  <c r="R963" i="2"/>
  <c r="R964" i="2" s="1"/>
  <c r="X964" i="2" s="1"/>
  <c r="Z97" i="2"/>
  <c r="Z497" i="2"/>
  <c r="AE497" i="2" s="1"/>
  <c r="Z2049" i="2"/>
  <c r="AE2049" i="2" s="1"/>
  <c r="X1914" i="2"/>
  <c r="U323" i="2"/>
  <c r="X1220" i="2"/>
  <c r="R1259" i="2"/>
  <c r="X1259" i="2" s="1"/>
  <c r="R324" i="2"/>
  <c r="X324" i="2" s="1"/>
  <c r="R1221" i="2"/>
  <c r="X1221" i="2" s="1"/>
  <c r="X156" i="2"/>
  <c r="U1220" i="2"/>
  <c r="R483" i="2"/>
  <c r="Z1258" i="2"/>
  <c r="AE1258" i="2" s="1"/>
  <c r="U124" i="2"/>
  <c r="Z1518" i="2"/>
  <c r="AE1518" i="2" s="1"/>
  <c r="Z323" i="2"/>
  <c r="AE323" i="2" s="1"/>
  <c r="R811" i="2"/>
  <c r="Z811" i="2" s="1"/>
  <c r="X2109" i="2"/>
  <c r="R294" i="2"/>
  <c r="X97" i="2"/>
  <c r="R780" i="2"/>
  <c r="X780" i="2" s="1"/>
  <c r="R2039" i="2"/>
  <c r="U2039" i="2" s="1"/>
  <c r="R347" i="2"/>
  <c r="U347" i="2" s="1"/>
  <c r="X1485" i="2"/>
  <c r="U96" i="2"/>
  <c r="X96" i="2"/>
  <c r="R98" i="2"/>
  <c r="R498" i="2"/>
  <c r="AE1089" i="2"/>
  <c r="Z1509" i="2"/>
  <c r="AE1509" i="2" s="1"/>
  <c r="Z1932" i="2"/>
  <c r="AE1932" i="2" s="1"/>
  <c r="X497" i="2"/>
  <c r="R930" i="2"/>
  <c r="X930" i="2" s="1"/>
  <c r="R2050" i="2"/>
  <c r="Z2050" i="2" s="1"/>
  <c r="Z757" i="2"/>
  <c r="AE757" i="2" s="1"/>
  <c r="X1344" i="2"/>
  <c r="AE980" i="2"/>
  <c r="Z922" i="2"/>
  <c r="AE922" i="2" s="1"/>
  <c r="R924" i="2"/>
  <c r="X924" i="2" s="1"/>
  <c r="R1077" i="2"/>
  <c r="X1077" i="2" s="1"/>
  <c r="Z1344" i="2"/>
  <c r="AE1344" i="2" s="1"/>
  <c r="X923" i="2"/>
  <c r="R1510" i="2"/>
  <c r="X1509" i="2"/>
  <c r="R255" i="2"/>
  <c r="U1270" i="2"/>
  <c r="R1872" i="2"/>
  <c r="U381" i="2"/>
  <c r="X779" i="2"/>
  <c r="Z1865" i="2"/>
  <c r="AE1865" i="2" s="1"/>
  <c r="U1871" i="2"/>
  <c r="X1871" i="2"/>
  <c r="X401" i="2"/>
  <c r="U64" i="2"/>
  <c r="U401" i="2"/>
  <c r="Z1524" i="2"/>
  <c r="AE1524" i="2" s="1"/>
  <c r="R1400" i="2"/>
  <c r="X1400" i="2" s="1"/>
  <c r="Z1617" i="2"/>
  <c r="AE1617" i="2" s="1"/>
  <c r="Z763" i="2"/>
  <c r="AE763" i="2" s="1"/>
  <c r="R247" i="2"/>
  <c r="R1618" i="2"/>
  <c r="U1618" i="2" s="1"/>
  <c r="X666" i="2"/>
  <c r="Z767" i="2"/>
  <c r="AE767" i="2" s="1"/>
  <c r="R953" i="2"/>
  <c r="X953" i="2" s="1"/>
  <c r="U1617" i="2"/>
  <c r="Z52" i="2"/>
  <c r="AE52" i="2" s="1"/>
  <c r="Z666" i="2"/>
  <c r="AE666" i="2" s="1"/>
  <c r="Z705" i="2"/>
  <c r="AE705" i="2" s="1"/>
  <c r="X706" i="2"/>
  <c r="X1569" i="2"/>
  <c r="X1490" i="2"/>
  <c r="Z246" i="2"/>
  <c r="AE246" i="2" s="1"/>
  <c r="R657" i="2"/>
  <c r="U657" i="2" s="1"/>
  <c r="U779" i="2"/>
  <c r="X1270" i="2"/>
  <c r="U1490" i="2"/>
  <c r="R1525" i="2"/>
  <c r="Z1525" i="2" s="1"/>
  <c r="AE1525" i="2" s="1"/>
  <c r="Z34" i="2"/>
  <c r="B270" i="64" s="1"/>
  <c r="C270" i="64" s="1"/>
  <c r="X1563" i="2"/>
  <c r="Z96" i="2"/>
  <c r="B302" i="64" s="1"/>
  <c r="C302" i="64" s="1"/>
  <c r="U52" i="2"/>
  <c r="U128" i="2"/>
  <c r="U656" i="2"/>
  <c r="R765" i="2"/>
  <c r="X765" i="2" s="1"/>
  <c r="R667" i="2"/>
  <c r="U667" i="2" s="1"/>
  <c r="X767" i="2"/>
  <c r="R768" i="2"/>
  <c r="U768" i="2" s="1"/>
  <c r="Z1399" i="2"/>
  <c r="AE1399" i="2" s="1"/>
  <c r="X246" i="2"/>
  <c r="X764" i="2"/>
  <c r="U706" i="2"/>
  <c r="R110" i="2"/>
  <c r="R111" i="2" s="1"/>
  <c r="X111" i="2" s="1"/>
  <c r="R1144" i="2"/>
  <c r="R1145" i="2" s="1"/>
  <c r="X1145" i="2" s="1"/>
  <c r="X2131" i="2"/>
  <c r="X1605" i="2"/>
  <c r="U2093" i="2"/>
  <c r="X827" i="2"/>
  <c r="Z790" i="2"/>
  <c r="AE790" i="2" s="1"/>
  <c r="R2132" i="2"/>
  <c r="X2132" i="2" s="1"/>
  <c r="R1606" i="2"/>
  <c r="Z1606" i="2" s="1"/>
  <c r="AE1606" i="2" s="1"/>
  <c r="Z1605" i="2"/>
  <c r="AE1605" i="2" s="1"/>
  <c r="X2093" i="2"/>
  <c r="Z1901" i="2"/>
  <c r="AE1901" i="2" s="1"/>
  <c r="R1464" i="2"/>
  <c r="U1464" i="2" s="1"/>
  <c r="U1924" i="2"/>
  <c r="Z1463" i="2"/>
  <c r="AE1463" i="2" s="1"/>
  <c r="R670" i="2"/>
  <c r="U670" i="2" s="1"/>
  <c r="X952" i="2"/>
  <c r="Z1143" i="2"/>
  <c r="B156" i="64" s="1"/>
  <c r="C156" i="64" s="1"/>
  <c r="U1092" i="2"/>
  <c r="R1819" i="2"/>
  <c r="U1819" i="2" s="1"/>
  <c r="Z1818" i="2"/>
  <c r="AE1818" i="2" s="1"/>
  <c r="Z2131" i="2"/>
  <c r="B243" i="64" s="1"/>
  <c r="C243" i="64" s="1"/>
  <c r="U109" i="2"/>
  <c r="Z604" i="2"/>
  <c r="AE604" i="2" s="1"/>
  <c r="X1143" i="2"/>
  <c r="X1218" i="2"/>
  <c r="D173" i="2"/>
  <c r="X656" i="2"/>
  <c r="X962" i="2"/>
  <c r="X2106" i="2"/>
  <c r="R1734" i="2"/>
  <c r="Z1733" i="2"/>
  <c r="AE1733" i="2" s="1"/>
  <c r="Z1450" i="2"/>
  <c r="AE1450" i="2" s="1"/>
  <c r="Z1314" i="2"/>
  <c r="AE1314" i="2" s="1"/>
  <c r="Z492" i="2"/>
  <c r="AE492" i="2" s="1"/>
  <c r="U1836" i="2"/>
  <c r="Z1836" i="2"/>
  <c r="AE1836" i="2" s="1"/>
  <c r="U1314" i="2"/>
  <c r="AE2125" i="2"/>
  <c r="R14" i="2"/>
  <c r="Z738" i="2"/>
  <c r="AE738" i="2" s="1"/>
  <c r="Z706" i="2"/>
  <c r="AE706" i="2" s="1"/>
  <c r="Z970" i="2"/>
  <c r="AE970" i="2" s="1"/>
  <c r="R1807" i="2"/>
  <c r="R1808" i="2" s="1"/>
  <c r="X1808" i="2" s="1"/>
  <c r="Z68" i="2"/>
  <c r="AE68" i="2" s="1"/>
  <c r="U764" i="2"/>
  <c r="X970" i="2"/>
  <c r="X1175" i="2"/>
  <c r="U68" i="2"/>
  <c r="Z289" i="2"/>
  <c r="AE289" i="2" s="1"/>
  <c r="U34" i="2"/>
  <c r="Z962" i="2"/>
  <c r="AE962" i="2" s="1"/>
  <c r="AE2055" i="2"/>
  <c r="R828" i="2"/>
  <c r="R829" i="2" s="1"/>
  <c r="X829" i="2" s="1"/>
  <c r="R493" i="2"/>
  <c r="U493" i="2" s="1"/>
  <c r="U907" i="2"/>
  <c r="AE156" i="2"/>
  <c r="B169" i="64"/>
  <c r="C169" i="64" s="1"/>
  <c r="X128" i="2"/>
  <c r="Z810" i="2"/>
  <c r="AE810" i="2" s="1"/>
  <c r="X922" i="2"/>
  <c r="R1369" i="2"/>
  <c r="R1370" i="2" s="1"/>
  <c r="Z1485" i="2"/>
  <c r="AE1485" i="2" s="1"/>
  <c r="U1682" i="2"/>
  <c r="X2049" i="2"/>
  <c r="U156" i="2"/>
  <c r="X1368" i="2"/>
  <c r="Z482" i="2"/>
  <c r="AE482" i="2" s="1"/>
  <c r="U790" i="2"/>
  <c r="R1486" i="2"/>
  <c r="R1487" i="2" s="1"/>
  <c r="X1653" i="2"/>
  <c r="R1683" i="2"/>
  <c r="Z1683" i="2" s="1"/>
  <c r="X482" i="2"/>
  <c r="X1682" i="2"/>
  <c r="Z2088" i="2"/>
  <c r="I63" i="68" s="1"/>
  <c r="J63" i="68" s="1"/>
  <c r="Z1368" i="2"/>
  <c r="AE1368" i="2" s="1"/>
  <c r="R2110" i="2"/>
  <c r="R2111" i="2" s="1"/>
  <c r="Z2109" i="2"/>
  <c r="R2089" i="2"/>
  <c r="X1518" i="2"/>
  <c r="Z124" i="2"/>
  <c r="AE124" i="2" s="1"/>
  <c r="R739" i="2"/>
  <c r="Z739" i="2" s="1"/>
  <c r="X1248" i="2"/>
  <c r="R157" i="2"/>
  <c r="X157" i="2" s="1"/>
  <c r="AE109" i="2"/>
  <c r="X307" i="2"/>
  <c r="R402" i="2"/>
  <c r="U402" i="2" s="1"/>
  <c r="Z512" i="2"/>
  <c r="AE512" i="2" s="1"/>
  <c r="X672" i="2"/>
  <c r="U738" i="2"/>
  <c r="R1564" i="2"/>
  <c r="X1564" i="2" s="1"/>
  <c r="Z1563" i="2"/>
  <c r="AE1563" i="2" s="1"/>
  <c r="X1694" i="2"/>
  <c r="X254" i="2"/>
  <c r="R392" i="2"/>
  <c r="X392" i="2" s="1"/>
  <c r="Z391" i="2"/>
  <c r="AE391" i="2" s="1"/>
  <c r="Z821" i="2"/>
  <c r="AE821" i="2" s="1"/>
  <c r="U1852" i="2"/>
  <c r="X874" i="2"/>
  <c r="R1781" i="2"/>
  <c r="Z1781" i="2" s="1"/>
  <c r="U897" i="2"/>
  <c r="Z1852" i="2"/>
  <c r="AE1852" i="2" s="1"/>
  <c r="Z1073" i="2"/>
  <c r="B137" i="64" s="1"/>
  <c r="C137" i="64" s="1"/>
  <c r="X1901" i="2"/>
  <c r="R1773" i="2"/>
  <c r="X1773" i="2" s="1"/>
  <c r="U1159" i="2"/>
  <c r="X1818" i="2"/>
  <c r="R1493" i="2"/>
  <c r="X1493" i="2" s="1"/>
  <c r="U391" i="2"/>
  <c r="X824" i="2"/>
  <c r="Z915" i="2"/>
  <c r="AE915" i="2" s="1"/>
  <c r="U1218" i="2"/>
  <c r="R912" i="2"/>
  <c r="R1902" i="2"/>
  <c r="Z1902" i="2" s="1"/>
  <c r="AE1902" i="2" s="1"/>
  <c r="Z1242" i="2"/>
  <c r="AE1242" i="2" s="1"/>
  <c r="X1304" i="2"/>
  <c r="B336" i="64"/>
  <c r="C336" i="64" s="1"/>
  <c r="X338" i="2"/>
  <c r="Z338" i="2"/>
  <c r="AE338" i="2" s="1"/>
  <c r="Z445" i="2"/>
  <c r="AE445" i="2" s="1"/>
  <c r="R822" i="2"/>
  <c r="X822" i="2" s="1"/>
  <c r="Z1304" i="2"/>
  <c r="AE1304" i="2" s="1"/>
  <c r="U672" i="2"/>
  <c r="Z1492" i="2"/>
  <c r="AE1492" i="2" s="1"/>
  <c r="U62" i="2"/>
  <c r="B145" i="64"/>
  <c r="C145" i="64" s="1"/>
  <c r="Z263" i="2"/>
  <c r="AE263" i="2" s="1"/>
  <c r="U293" i="2"/>
  <c r="Z437" i="2"/>
  <c r="AE437" i="2" s="1"/>
  <c r="X588" i="2"/>
  <c r="R825" i="2"/>
  <c r="X825" i="2" s="1"/>
  <c r="Z824" i="2"/>
  <c r="AE824" i="2" s="1"/>
  <c r="X821" i="2"/>
  <c r="R948" i="2"/>
  <c r="X948" i="2" s="1"/>
  <c r="X1242" i="2"/>
  <c r="X1310" i="2"/>
  <c r="R1764" i="2"/>
  <c r="Z1764" i="2" s="1"/>
  <c r="B310" i="64"/>
  <c r="C310" i="64" s="1"/>
  <c r="AE62" i="2"/>
  <c r="X224" i="2"/>
  <c r="Z293" i="2"/>
  <c r="AE293" i="2" s="1"/>
  <c r="X282" i="2"/>
  <c r="R382" i="2"/>
  <c r="Z382" i="2" s="1"/>
  <c r="X790" i="2"/>
  <c r="X62" i="2"/>
  <c r="U1073" i="2"/>
  <c r="U874" i="2"/>
  <c r="R1074" i="2"/>
  <c r="X1074" i="2" s="1"/>
  <c r="X1993" i="2"/>
  <c r="U758" i="2"/>
  <c r="X758" i="2"/>
  <c r="Z758" i="2"/>
  <c r="AE758" i="2" s="1"/>
  <c r="U176" i="2"/>
  <c r="R647" i="2"/>
  <c r="U647" i="2" s="1"/>
  <c r="X1846" i="2"/>
  <c r="Z1952" i="2"/>
  <c r="AE1952" i="2" s="1"/>
  <c r="U1598" i="2"/>
  <c r="Z929" i="2"/>
  <c r="AE929" i="2" s="1"/>
  <c r="R1847" i="2"/>
  <c r="R1848" i="2" s="1"/>
  <c r="X1848" i="2" s="1"/>
  <c r="Z1846" i="2"/>
  <c r="AE1846" i="2" s="1"/>
  <c r="X1952" i="2"/>
  <c r="X1852" i="2"/>
  <c r="R2008" i="2"/>
  <c r="X2008" i="2" s="1"/>
  <c r="X1258" i="2"/>
  <c r="X1089" i="2"/>
  <c r="R1599" i="2"/>
  <c r="Z1599" i="2" s="1"/>
  <c r="AE1599" i="2" s="1"/>
  <c r="X1961" i="2"/>
  <c r="X753" i="2"/>
  <c r="R1532" i="2"/>
  <c r="Z1532" i="2" s="1"/>
  <c r="AE1532" i="2" s="1"/>
  <c r="X1598" i="2"/>
  <c r="U1531" i="2"/>
  <c r="X1855" i="2"/>
  <c r="U545" i="2"/>
  <c r="R640" i="2"/>
  <c r="Z640" i="2" s="1"/>
  <c r="AE640" i="2" s="1"/>
  <c r="Z1310" i="2"/>
  <c r="AE1310" i="2" s="1"/>
  <c r="U639" i="2"/>
  <c r="R1519" i="2"/>
  <c r="R1520" i="2" s="1"/>
  <c r="Z406" i="2"/>
  <c r="AE406" i="2" s="1"/>
  <c r="R602" i="2"/>
  <c r="U602" i="2" s="1"/>
  <c r="X646" i="2"/>
  <c r="Z827" i="2"/>
  <c r="AE827" i="2" s="1"/>
  <c r="X1450" i="2"/>
  <c r="U263" i="2"/>
  <c r="X492" i="2"/>
  <c r="Z601" i="2"/>
  <c r="AE601" i="2" s="1"/>
  <c r="R673" i="2"/>
  <c r="Z673" i="2" s="1"/>
  <c r="X929" i="2"/>
  <c r="X915" i="2"/>
  <c r="Z952" i="2"/>
  <c r="AE952" i="2" s="1"/>
  <c r="X406" i="2"/>
  <c r="Z545" i="2"/>
  <c r="AE545" i="2" s="1"/>
  <c r="R264" i="2"/>
  <c r="R265" i="2" s="1"/>
  <c r="X265" i="2" s="1"/>
  <c r="U1264" i="2"/>
  <c r="R513" i="2"/>
  <c r="U513" i="2" s="1"/>
  <c r="R589" i="2"/>
  <c r="R590" i="2" s="1"/>
  <c r="X590" i="2" s="1"/>
  <c r="Z1969" i="2"/>
  <c r="AE1969" i="2" s="1"/>
  <c r="U1089" i="2"/>
  <c r="R1090" i="2"/>
  <c r="X1090" i="2" s="1"/>
  <c r="Z898" i="2"/>
  <c r="AE898" i="2" s="1"/>
  <c r="Z1350" i="2"/>
  <c r="AE1350" i="2" s="1"/>
  <c r="R1759" i="2"/>
  <c r="U1759" i="2" s="1"/>
  <c r="X898" i="2"/>
  <c r="R1933" i="2"/>
  <c r="X109" i="2"/>
  <c r="U289" i="2"/>
  <c r="Z588" i="2"/>
  <c r="AE588" i="2" s="1"/>
  <c r="X1206" i="2"/>
  <c r="Z1758" i="2"/>
  <c r="AE1758" i="2" s="1"/>
  <c r="R407" i="2"/>
  <c r="X407" i="2" s="1"/>
  <c r="X1524" i="2"/>
  <c r="U1932" i="2"/>
  <c r="Z64" i="2"/>
  <c r="B311" i="64" s="1"/>
  <c r="C311" i="64" s="1"/>
  <c r="AE128" i="2"/>
  <c r="R225" i="2"/>
  <c r="Z225" i="2" s="1"/>
  <c r="U254" i="2"/>
  <c r="U528" i="2"/>
  <c r="R916" i="2"/>
  <c r="Z916" i="2" s="1"/>
  <c r="X907" i="2"/>
  <c r="X1350" i="2"/>
  <c r="R1243" i="2"/>
  <c r="X1243" i="2" s="1"/>
  <c r="U1206" i="2"/>
  <c r="X1758" i="2"/>
  <c r="X1638" i="2"/>
  <c r="Z1755" i="2"/>
  <c r="AE1755" i="2" s="1"/>
  <c r="X1969" i="2"/>
  <c r="R1695" i="2"/>
  <c r="X1695" i="2" s="1"/>
  <c r="U1638" i="2"/>
  <c r="D77" i="68" s="1"/>
  <c r="Z1653" i="2"/>
  <c r="AE1653" i="2" s="1"/>
  <c r="U626" i="2"/>
  <c r="Z627" i="2"/>
  <c r="AE627" i="2" s="1"/>
  <c r="U627" i="2"/>
  <c r="X627" i="2"/>
  <c r="R1160" i="2"/>
  <c r="X1160" i="2" s="1"/>
  <c r="Z1248" i="2"/>
  <c r="AE1248" i="2" s="1"/>
  <c r="Z1377" i="2"/>
  <c r="AE1377" i="2" s="1"/>
  <c r="R1654" i="2"/>
  <c r="X1654" i="2" s="1"/>
  <c r="Z1694" i="2"/>
  <c r="AE1694" i="2" s="1"/>
  <c r="R1970" i="2"/>
  <c r="R1971" i="2" s="1"/>
  <c r="R546" i="2"/>
  <c r="U1865" i="2"/>
  <c r="R1866" i="2"/>
  <c r="Z224" i="2"/>
  <c r="AE224" i="2" s="1"/>
  <c r="U396" i="2"/>
  <c r="U512" i="2"/>
  <c r="Z528" i="2"/>
  <c r="AE528" i="2" s="1"/>
  <c r="X601" i="2"/>
  <c r="R628" i="2"/>
  <c r="R629" i="2" s="1"/>
  <c r="X1159" i="2"/>
  <c r="U705" i="2"/>
  <c r="X1499" i="2"/>
  <c r="X536" i="2"/>
  <c r="Z536" i="2"/>
  <c r="AE536" i="2" s="1"/>
  <c r="X1859" i="2"/>
  <c r="U1859" i="2"/>
  <c r="Z1272" i="2"/>
  <c r="AE1272" i="2" s="1"/>
  <c r="X2038" i="2"/>
  <c r="U2038" i="2"/>
  <c r="R290" i="2"/>
  <c r="Z290" i="2" s="1"/>
  <c r="Z396" i="2"/>
  <c r="AE396" i="2" s="1"/>
  <c r="Z646" i="2"/>
  <c r="AE646" i="2" s="1"/>
  <c r="R1345" i="2"/>
  <c r="X1345" i="2" s="1"/>
  <c r="X1492" i="2"/>
  <c r="X1399" i="2"/>
  <c r="X1743" i="2"/>
  <c r="Z1743" i="2"/>
  <c r="X763" i="2"/>
  <c r="U1573" i="2"/>
  <c r="R529" i="2"/>
  <c r="X529" i="2" s="1"/>
  <c r="X705" i="2"/>
  <c r="X757" i="2"/>
  <c r="U757" i="2"/>
  <c r="Z626" i="2"/>
  <c r="AE626" i="2" s="1"/>
  <c r="X626" i="2"/>
  <c r="Z1076" i="2"/>
  <c r="X1076" i="2"/>
  <c r="Z1772" i="2"/>
  <c r="I91" i="68" s="1"/>
  <c r="U1772" i="2"/>
  <c r="Z1640" i="2"/>
  <c r="AE1640" i="2" s="1"/>
  <c r="U1640" i="2"/>
  <c r="U1659" i="2"/>
  <c r="U1499" i="2"/>
  <c r="X945" i="2"/>
  <c r="U945" i="2"/>
  <c r="Z1964" i="2"/>
  <c r="X1964" i="2"/>
  <c r="R1965" i="2"/>
  <c r="X1693" i="2"/>
  <c r="U1693" i="2"/>
  <c r="Z1693" i="2"/>
  <c r="AE1693" i="2" s="1"/>
  <c r="R339" i="2"/>
  <c r="X339" i="2" s="1"/>
  <c r="X381" i="2"/>
  <c r="R899" i="2"/>
  <c r="X899" i="2" s="1"/>
  <c r="R2061" i="2"/>
  <c r="R1660" i="2"/>
  <c r="Z897" i="2"/>
  <c r="AE897" i="2" s="1"/>
  <c r="X897" i="2"/>
  <c r="U763" i="2"/>
  <c r="X1272" i="2"/>
  <c r="X1659" i="2"/>
  <c r="X1573" i="2"/>
  <c r="U968" i="2"/>
  <c r="Z968" i="2"/>
  <c r="AE968" i="2" s="1"/>
  <c r="U346" i="2"/>
  <c r="Z346" i="2"/>
  <c r="AE346" i="2" s="1"/>
  <c r="U2106" i="2"/>
  <c r="Z2106" i="2"/>
  <c r="AE2106" i="2" s="1"/>
  <c r="X117" i="2"/>
  <c r="U117" i="2"/>
  <c r="U28" i="2"/>
  <c r="Z28" i="2"/>
  <c r="Z1961" i="2"/>
  <c r="R1962" i="2"/>
  <c r="X1962" i="2" s="1"/>
  <c r="X1723" i="2"/>
  <c r="U1723" i="2"/>
  <c r="Z1723" i="2"/>
  <c r="AE1723" i="2" s="1"/>
  <c r="X1491" i="2"/>
  <c r="U1491" i="2"/>
  <c r="Z911" i="2"/>
  <c r="AE911" i="2" s="1"/>
  <c r="U911" i="2"/>
  <c r="U32" i="2"/>
  <c r="Z32" i="2"/>
  <c r="Z2060" i="2"/>
  <c r="AE2060" i="2" s="1"/>
  <c r="X2060" i="2"/>
  <c r="X122" i="2"/>
  <c r="U122" i="2"/>
  <c r="Z122" i="2"/>
  <c r="U78" i="2"/>
  <c r="X78" i="2"/>
  <c r="Z78" i="2"/>
  <c r="R987" i="2"/>
  <c r="X987" i="2" s="1"/>
  <c r="U986" i="2"/>
  <c r="X986" i="2"/>
  <c r="Z986" i="2"/>
  <c r="Z891" i="2"/>
  <c r="AE891" i="2" s="1"/>
  <c r="X891" i="2"/>
  <c r="R892" i="2"/>
  <c r="X892" i="2" s="1"/>
  <c r="U891" i="2"/>
  <c r="X1497" i="2"/>
  <c r="U1497" i="2"/>
  <c r="R1080" i="2"/>
  <c r="X1080" i="2" s="1"/>
  <c r="X1079" i="2"/>
  <c r="Z1079" i="2"/>
  <c r="U1079" i="2"/>
  <c r="U1414" i="2"/>
  <c r="Z1414" i="2"/>
  <c r="AE1414" i="2" s="1"/>
  <c r="X1414" i="2"/>
  <c r="Z1896" i="2"/>
  <c r="U1896" i="2"/>
  <c r="X1896" i="2"/>
  <c r="R755" i="2"/>
  <c r="X755" i="2" s="1"/>
  <c r="X754" i="2"/>
  <c r="Z302" i="2"/>
  <c r="AE302" i="2" s="1"/>
  <c r="U302" i="2"/>
  <c r="R303" i="2"/>
  <c r="Z179" i="2"/>
  <c r="AE179" i="2" s="1"/>
  <c r="U179" i="2"/>
  <c r="X179" i="2"/>
  <c r="X692" i="2"/>
  <c r="R693" i="2"/>
  <c r="X693" i="2" s="1"/>
  <c r="Z894" i="2"/>
  <c r="AE894" i="2" s="1"/>
  <c r="R895" i="2"/>
  <c r="X895" i="2" s="1"/>
  <c r="U894" i="2"/>
  <c r="X894" i="2"/>
  <c r="Z1908" i="2"/>
  <c r="X1908" i="2"/>
  <c r="U1908" i="2"/>
  <c r="Z849" i="2"/>
  <c r="AE849" i="2" s="1"/>
  <c r="X849" i="2"/>
  <c r="R850" i="2"/>
  <c r="U849" i="2"/>
  <c r="R997" i="2"/>
  <c r="X997" i="2" s="1"/>
  <c r="U996" i="2"/>
  <c r="X996" i="2"/>
  <c r="Z996" i="2"/>
  <c r="X709" i="2"/>
  <c r="R710" i="2"/>
  <c r="U709" i="2"/>
  <c r="Z786" i="2"/>
  <c r="AE786" i="2" s="1"/>
  <c r="U786" i="2"/>
  <c r="R787" i="2"/>
  <c r="X786" i="2"/>
  <c r="R1879" i="2"/>
  <c r="X1879" i="2" s="1"/>
  <c r="X1878" i="2"/>
  <c r="U437" i="2"/>
  <c r="X437" i="2"/>
  <c r="Z1264" i="2"/>
  <c r="AE1264" i="2" s="1"/>
  <c r="X1264" i="2"/>
  <c r="U307" i="2"/>
  <c r="Z307" i="2"/>
  <c r="X1467" i="2"/>
  <c r="U1467" i="2"/>
  <c r="R1468" i="2"/>
  <c r="U1812" i="2"/>
  <c r="X1812" i="2"/>
  <c r="U1755" i="2"/>
  <c r="X1755" i="2"/>
  <c r="Z176" i="2"/>
  <c r="R177" i="2"/>
  <c r="X177" i="2" s="1"/>
  <c r="U445" i="2"/>
  <c r="X445" i="2"/>
  <c r="U1290" i="2"/>
  <c r="X1290" i="2"/>
  <c r="Z1290" i="2"/>
  <c r="AE1290" i="2" s="1"/>
  <c r="U943" i="2"/>
  <c r="Z943" i="2"/>
  <c r="AE943" i="2" s="1"/>
  <c r="X1626" i="2"/>
  <c r="R1627" i="2"/>
  <c r="U1626" i="2"/>
  <c r="U1993" i="2"/>
  <c r="Z1993" i="2"/>
  <c r="Z1763" i="2"/>
  <c r="AE1763" i="2" s="1"/>
  <c r="X1763" i="2"/>
  <c r="U1780" i="2"/>
  <c r="X1780" i="2"/>
  <c r="Z760" i="2"/>
  <c r="AE760" i="2" s="1"/>
  <c r="R761" i="2"/>
  <c r="U760" i="2"/>
  <c r="X760" i="2"/>
  <c r="X817" i="2"/>
  <c r="Z817" i="2"/>
  <c r="AE817" i="2" s="1"/>
  <c r="Z837" i="2"/>
  <c r="AE837" i="2" s="1"/>
  <c r="X837" i="2"/>
  <c r="U837" i="2"/>
  <c r="X901" i="2"/>
  <c r="U901" i="2"/>
  <c r="U2007" i="2"/>
  <c r="Z2007" i="2"/>
  <c r="AE2007" i="2" s="1"/>
  <c r="X1785" i="2"/>
  <c r="Z1785" i="2"/>
  <c r="AE1785" i="2" s="1"/>
  <c r="R1786" i="2"/>
  <c r="U1785" i="2"/>
  <c r="U1806" i="2"/>
  <c r="X1806" i="2"/>
  <c r="X853" i="2"/>
  <c r="Z853" i="2"/>
  <c r="AE853" i="2" s="1"/>
  <c r="R854" i="2"/>
  <c r="X854" i="2" s="1"/>
  <c r="Z880" i="2"/>
  <c r="AE880" i="2" s="1"/>
  <c r="R881" i="2"/>
  <c r="U880" i="2"/>
  <c r="X880" i="2"/>
  <c r="X555" i="2"/>
  <c r="U555" i="2"/>
  <c r="R556" i="2"/>
  <c r="Z1634" i="2"/>
  <c r="AE1634" i="2" s="1"/>
  <c r="U1634" i="2"/>
  <c r="X1634" i="2"/>
  <c r="Z282" i="2"/>
  <c r="AE282" i="2" s="1"/>
  <c r="R283" i="2"/>
  <c r="X884" i="2"/>
  <c r="R885" i="2"/>
  <c r="U884" i="2"/>
  <c r="B124" i="64"/>
  <c r="C124" i="64" s="1"/>
  <c r="AE126" i="2"/>
  <c r="Z947" i="2"/>
  <c r="AE947" i="2" s="1"/>
  <c r="U947" i="2"/>
  <c r="Z887" i="2"/>
  <c r="AE887" i="2" s="1"/>
  <c r="R888" i="2"/>
  <c r="X887" i="2"/>
  <c r="Z1541" i="2"/>
  <c r="AE1541" i="2" s="1"/>
  <c r="U1541" i="2"/>
  <c r="X1541" i="2"/>
  <c r="R1542" i="2"/>
  <c r="X1571" i="2"/>
  <c r="U1571" i="2"/>
  <c r="Z1086" i="2"/>
  <c r="R1087" i="2"/>
  <c r="X1087" i="2" s="1"/>
  <c r="X1086" i="2"/>
  <c r="U154" i="2"/>
  <c r="X154" i="2"/>
  <c r="Z154" i="2"/>
  <c r="U144" i="2"/>
  <c r="X144" i="2"/>
  <c r="Z144" i="2"/>
  <c r="U38" i="2"/>
  <c r="R39" i="2"/>
  <c r="X39" i="2" s="1"/>
  <c r="X38" i="2"/>
  <c r="Z38" i="2"/>
  <c r="X47" i="2"/>
  <c r="R48" i="2"/>
  <c r="X48" i="2" s="1"/>
  <c r="B32" i="64"/>
  <c r="C32" i="64" s="1"/>
  <c r="AE192" i="2"/>
  <c r="U203" i="2"/>
  <c r="X203" i="2"/>
  <c r="R204" i="2"/>
  <c r="X204" i="2" s="1"/>
  <c r="Z203" i="2"/>
  <c r="X19" i="2"/>
  <c r="R20" i="2"/>
  <c r="X20" i="2" s="1"/>
  <c r="U19" i="2"/>
  <c r="Z19" i="2"/>
  <c r="U44" i="2"/>
  <c r="X44" i="2"/>
  <c r="Z44" i="2"/>
  <c r="Z24" i="2"/>
  <c r="X24" i="2"/>
  <c r="U24" i="2"/>
  <c r="U88" i="2"/>
  <c r="X88" i="2"/>
  <c r="Z88" i="2"/>
  <c r="K301" i="2"/>
  <c r="K302" i="2" s="1"/>
  <c r="K303" i="2" s="1"/>
  <c r="K304" i="2" s="1"/>
  <c r="K305" i="2" s="1"/>
  <c r="H176" i="2"/>
  <c r="H177" i="2" s="1"/>
  <c r="D175" i="2"/>
  <c r="E175" i="2" s="1"/>
  <c r="I408" i="2"/>
  <c r="U446" i="2"/>
  <c r="R447" i="2"/>
  <c r="X446" i="2"/>
  <c r="Z446" i="2"/>
  <c r="Z487" i="2"/>
  <c r="U487" i="2"/>
  <c r="R488" i="2"/>
  <c r="X487" i="2"/>
  <c r="R279" i="2"/>
  <c r="U278" i="2"/>
  <c r="X278" i="2"/>
  <c r="Z278" i="2"/>
  <c r="X384" i="2"/>
  <c r="Z384" i="2"/>
  <c r="U384" i="2"/>
  <c r="R385" i="2"/>
  <c r="X475" i="2"/>
  <c r="Z475" i="2"/>
  <c r="U475" i="2"/>
  <c r="R476" i="2"/>
  <c r="U566" i="2"/>
  <c r="R567" i="2"/>
  <c r="X566" i="2"/>
  <c r="Z566" i="2"/>
  <c r="U805" i="2"/>
  <c r="R806" i="2"/>
  <c r="X805" i="2"/>
  <c r="Z805" i="2"/>
  <c r="X818" i="2"/>
  <c r="R819" i="2"/>
  <c r="X819" i="2" s="1"/>
  <c r="Z818" i="2"/>
  <c r="AE872" i="2"/>
  <c r="I809" i="2"/>
  <c r="I810" i="2" s="1"/>
  <c r="I811" i="2" s="1"/>
  <c r="I812" i="2" s="1"/>
  <c r="U1018" i="2"/>
  <c r="X1018" i="2"/>
  <c r="R1019" i="2"/>
  <c r="X1019" i="2" s="1"/>
  <c r="Z1018" i="2"/>
  <c r="K865" i="2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AE794" i="2"/>
  <c r="K914" i="2"/>
  <c r="K915" i="2" s="1"/>
  <c r="K916" i="2" s="1"/>
  <c r="K917" i="2" s="1"/>
  <c r="Z937" i="2"/>
  <c r="U937" i="2"/>
  <c r="X937" i="2"/>
  <c r="AE941" i="2"/>
  <c r="K1091" i="2"/>
  <c r="K1092" i="2" s="1"/>
  <c r="K1093" i="2" s="1"/>
  <c r="U989" i="2"/>
  <c r="X989" i="2"/>
  <c r="R990" i="2"/>
  <c r="X990" i="2" s="1"/>
  <c r="Z989" i="2"/>
  <c r="Z1102" i="2"/>
  <c r="U1102" i="2"/>
  <c r="X1102" i="2"/>
  <c r="R1103" i="2"/>
  <c r="X1103" i="2" s="1"/>
  <c r="Z1197" i="2"/>
  <c r="U1197" i="2"/>
  <c r="R1198" i="2"/>
  <c r="X1197" i="2"/>
  <c r="K1299" i="2"/>
  <c r="K1300" i="2" s="1"/>
  <c r="K1301" i="2" s="1"/>
  <c r="K1302" i="2" s="1"/>
  <c r="K1303" i="2" s="1"/>
  <c r="K1304" i="2" s="1"/>
  <c r="K1305" i="2" s="1"/>
  <c r="K1306" i="2" s="1"/>
  <c r="U1352" i="2"/>
  <c r="X1352" i="2"/>
  <c r="Z1352" i="2"/>
  <c r="Z1391" i="2"/>
  <c r="U1391" i="2"/>
  <c r="X1391" i="2"/>
  <c r="B121" i="64"/>
  <c r="C121" i="64" s="1"/>
  <c r="AE1189" i="2"/>
  <c r="X1437" i="2"/>
  <c r="U1437" i="2"/>
  <c r="R1438" i="2"/>
  <c r="Z1437" i="2"/>
  <c r="U1393" i="2"/>
  <c r="R1394" i="2"/>
  <c r="X1393" i="2"/>
  <c r="Z1393" i="2"/>
  <c r="K1263" i="2"/>
  <c r="K1264" i="2" s="1"/>
  <c r="K1265" i="2" s="1"/>
  <c r="K1266" i="2" s="1"/>
  <c r="U1410" i="2"/>
  <c r="X1410" i="2"/>
  <c r="R1411" i="2"/>
  <c r="Z1410" i="2"/>
  <c r="AE1583" i="2"/>
  <c r="K1489" i="2"/>
  <c r="K1490" i="2" s="1"/>
  <c r="K1491" i="2" s="1"/>
  <c r="K1492" i="2" s="1"/>
  <c r="K1493" i="2" s="1"/>
  <c r="U1671" i="2"/>
  <c r="R1672" i="2"/>
  <c r="X1671" i="2"/>
  <c r="Z1671" i="2"/>
  <c r="U1822" i="2"/>
  <c r="R1823" i="2"/>
  <c r="X1822" i="2"/>
  <c r="Z1822" i="2"/>
  <c r="Z1712" i="2"/>
  <c r="U1712" i="2"/>
  <c r="R1713" i="2"/>
  <c r="X1712" i="2"/>
  <c r="AE1768" i="2"/>
  <c r="AE1806" i="2"/>
  <c r="X1857" i="2"/>
  <c r="Z1857" i="2"/>
  <c r="U1857" i="2"/>
  <c r="U2056" i="2"/>
  <c r="R2057" i="2"/>
  <c r="X2056" i="2"/>
  <c r="Z2056" i="2"/>
  <c r="U2120" i="2"/>
  <c r="R2121" i="2"/>
  <c r="Z2120" i="2"/>
  <c r="I80" i="68" s="1"/>
  <c r="J80" i="68" s="1"/>
  <c r="X2120" i="2"/>
  <c r="Z2047" i="2"/>
  <c r="U2047" i="2"/>
  <c r="X2047" i="2"/>
  <c r="X1904" i="2"/>
  <c r="Z1904" i="2"/>
  <c r="R1905" i="2"/>
  <c r="U1904" i="2"/>
  <c r="K2092" i="2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B59" i="64"/>
  <c r="C59" i="64" s="1"/>
  <c r="AE2128" i="2"/>
  <c r="X1957" i="2"/>
  <c r="R1958" i="2"/>
  <c r="K2133" i="2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B165" i="64"/>
  <c r="C165" i="64" s="1"/>
  <c r="AE17" i="2"/>
  <c r="I48" i="2"/>
  <c r="U120" i="2"/>
  <c r="X120" i="2"/>
  <c r="Z120" i="2"/>
  <c r="U161" i="2"/>
  <c r="X161" i="2"/>
  <c r="Z161" i="2"/>
  <c r="B213" i="64"/>
  <c r="C213" i="64" s="1"/>
  <c r="AE198" i="2"/>
  <c r="U50" i="2"/>
  <c r="X50" i="2"/>
  <c r="Z50" i="2"/>
  <c r="Z70" i="2"/>
  <c r="U70" i="2"/>
  <c r="X70" i="2"/>
  <c r="U66" i="2"/>
  <c r="Z66" i="2"/>
  <c r="X66" i="2"/>
  <c r="U113" i="2"/>
  <c r="R114" i="2"/>
  <c r="X113" i="2"/>
  <c r="Z113" i="2"/>
  <c r="X199" i="2"/>
  <c r="R200" i="2"/>
  <c r="Z189" i="2"/>
  <c r="U189" i="2"/>
  <c r="X189" i="2"/>
  <c r="R190" i="2"/>
  <c r="X190" i="2" s="1"/>
  <c r="U142" i="2"/>
  <c r="X142" i="2"/>
  <c r="Z142" i="2"/>
  <c r="U238" i="2"/>
  <c r="R239" i="2"/>
  <c r="X238" i="2"/>
  <c r="Z238" i="2"/>
  <c r="U373" i="2"/>
  <c r="R374" i="2"/>
  <c r="Z373" i="2"/>
  <c r="X373" i="2"/>
  <c r="B158" i="64"/>
  <c r="C158" i="64" s="1"/>
  <c r="AE146" i="2"/>
  <c r="U419" i="2"/>
  <c r="X419" i="2"/>
  <c r="Z419" i="2"/>
  <c r="U459" i="2"/>
  <c r="R460" i="2"/>
  <c r="X459" i="2"/>
  <c r="Z459" i="2"/>
  <c r="U573" i="2"/>
  <c r="R574" i="2"/>
  <c r="X573" i="2"/>
  <c r="Z573" i="2"/>
  <c r="U550" i="2"/>
  <c r="R551" i="2"/>
  <c r="X550" i="2"/>
  <c r="Z550" i="2"/>
  <c r="U621" i="2"/>
  <c r="R622" i="2"/>
  <c r="X621" i="2"/>
  <c r="Z621" i="2"/>
  <c r="U688" i="2"/>
  <c r="R689" i="2"/>
  <c r="X689" i="2" s="1"/>
  <c r="X688" i="2"/>
  <c r="Z688" i="2"/>
  <c r="U831" i="2"/>
  <c r="X831" i="2"/>
  <c r="Z831" i="2"/>
  <c r="AE884" i="2"/>
  <c r="U746" i="2"/>
  <c r="R747" i="2"/>
  <c r="X746" i="2"/>
  <c r="Z746" i="2"/>
  <c r="Z724" i="2"/>
  <c r="U724" i="2"/>
  <c r="R725" i="2"/>
  <c r="X724" i="2"/>
  <c r="Z718" i="2"/>
  <c r="U718" i="2"/>
  <c r="R719" i="2"/>
  <c r="X718" i="2"/>
  <c r="U868" i="2"/>
  <c r="X868" i="2"/>
  <c r="Z868" i="2"/>
  <c r="U1024" i="2"/>
  <c r="X1024" i="2"/>
  <c r="R1025" i="2"/>
  <c r="X1025" i="2" s="1"/>
  <c r="Z1024" i="2"/>
  <c r="Z815" i="2"/>
  <c r="U815" i="2"/>
  <c r="X815" i="2"/>
  <c r="AE909" i="2"/>
  <c r="AE923" i="2"/>
  <c r="U1037" i="2"/>
  <c r="Z1037" i="2"/>
  <c r="R1038" i="2"/>
  <c r="X1038" i="2" s="1"/>
  <c r="X1037" i="2"/>
  <c r="U1021" i="2"/>
  <c r="X1021" i="2"/>
  <c r="R1022" i="2"/>
  <c r="X1022" i="2" s="1"/>
  <c r="Z1021" i="2"/>
  <c r="I1137" i="2"/>
  <c r="Z1151" i="2"/>
  <c r="U1151" i="2"/>
  <c r="X1151" i="2"/>
  <c r="R1152" i="2"/>
  <c r="U1216" i="2"/>
  <c r="X1216" i="2"/>
  <c r="Z1216" i="2"/>
  <c r="AE1282" i="2"/>
  <c r="K1158" i="2"/>
  <c r="K1159" i="2" s="1"/>
  <c r="K1160" i="2" s="1"/>
  <c r="U1274" i="2"/>
  <c r="X1274" i="2"/>
  <c r="R1275" i="2"/>
  <c r="Z1274" i="2"/>
  <c r="U1348" i="2"/>
  <c r="X1348" i="2"/>
  <c r="Z1348" i="2"/>
  <c r="U1179" i="2"/>
  <c r="R1180" i="2"/>
  <c r="X1179" i="2"/>
  <c r="Z1179" i="2"/>
  <c r="U1252" i="2"/>
  <c r="R1253" i="2"/>
  <c r="Z1252" i="2"/>
  <c r="X1252" i="2"/>
  <c r="AE933" i="2"/>
  <c r="U1472" i="2"/>
  <c r="R1473" i="2"/>
  <c r="X1472" i="2"/>
  <c r="Z1472" i="2"/>
  <c r="U1575" i="2"/>
  <c r="X1575" i="2"/>
  <c r="B214" i="64"/>
  <c r="C214" i="64" s="1"/>
  <c r="AE1497" i="2"/>
  <c r="AE1626" i="2"/>
  <c r="Z1428" i="2"/>
  <c r="R1429" i="2"/>
  <c r="U1428" i="2"/>
  <c r="X1428" i="2"/>
  <c r="AE1505" i="2"/>
  <c r="AE1571" i="2"/>
  <c r="AE1495" i="2"/>
  <c r="U1698" i="2"/>
  <c r="X1698" i="2"/>
  <c r="Z1698" i="2"/>
  <c r="U1841" i="2"/>
  <c r="X1841" i="2"/>
  <c r="Z1841" i="2"/>
  <c r="X1709" i="2"/>
  <c r="R1710" i="2"/>
  <c r="X1710" i="2" s="1"/>
  <c r="AE1790" i="2"/>
  <c r="AE1700" i="2"/>
  <c r="U1745" i="2"/>
  <c r="X1745" i="2"/>
  <c r="Z1745" i="2"/>
  <c r="U1770" i="2"/>
  <c r="X1770" i="2"/>
  <c r="Z1770" i="2"/>
  <c r="AE1812" i="2"/>
  <c r="K1916" i="2"/>
  <c r="K1917" i="2" s="1"/>
  <c r="K1918" i="2" s="1"/>
  <c r="K1919" i="2" s="1"/>
  <c r="K1920" i="2" s="1"/>
  <c r="K1921" i="2" s="1"/>
  <c r="K1922" i="2" s="1"/>
  <c r="X1910" i="2"/>
  <c r="R1911" i="2"/>
  <c r="X1911" i="2" s="1"/>
  <c r="Z1910" i="2"/>
  <c r="U1910" i="2"/>
  <c r="X1881" i="2"/>
  <c r="Z1881" i="2"/>
  <c r="U1881" i="2"/>
  <c r="Z2053" i="2"/>
  <c r="U2053" i="2"/>
  <c r="X2053" i="2"/>
  <c r="AE1968" i="2"/>
  <c r="K1949" i="2"/>
  <c r="K1950" i="2" s="1"/>
  <c r="K1951" i="2" s="1"/>
  <c r="K1952" i="2" s="1"/>
  <c r="K1953" i="2" s="1"/>
  <c r="K1954" i="2" s="1"/>
  <c r="K1955" i="2" s="1"/>
  <c r="K1956" i="2" s="1"/>
  <c r="K1957" i="2" s="1"/>
  <c r="U1986" i="2"/>
  <c r="X1986" i="2"/>
  <c r="Z1986" i="2"/>
  <c r="B38" i="64"/>
  <c r="C38" i="64" s="1"/>
  <c r="AE2134" i="2"/>
  <c r="AE1950" i="2"/>
  <c r="U358" i="2"/>
  <c r="R359" i="2"/>
  <c r="X358" i="2"/>
  <c r="Z358" i="2"/>
  <c r="M18" i="2"/>
  <c r="M19" i="2" s="1"/>
  <c r="U159" i="2"/>
  <c r="Z159" i="2"/>
  <c r="X159" i="2"/>
  <c r="R105" i="2"/>
  <c r="U104" i="2"/>
  <c r="X104" i="2"/>
  <c r="Z104" i="2"/>
  <c r="X26" i="2"/>
  <c r="U26" i="2"/>
  <c r="Z26" i="2"/>
  <c r="F14" i="2"/>
  <c r="U136" i="2"/>
  <c r="R137" i="2"/>
  <c r="X136" i="2"/>
  <c r="Z136" i="2"/>
  <c r="U41" i="2"/>
  <c r="X41" i="2"/>
  <c r="R42" i="2"/>
  <c r="X42" i="2" s="1"/>
  <c r="Z41" i="2"/>
  <c r="Z72" i="2"/>
  <c r="U72" i="2"/>
  <c r="X72" i="2"/>
  <c r="R73" i="2"/>
  <c r="U170" i="2"/>
  <c r="Z170" i="2"/>
  <c r="R171" i="2"/>
  <c r="X170" i="2"/>
  <c r="U206" i="2"/>
  <c r="X206" i="2"/>
  <c r="R207" i="2"/>
  <c r="X207" i="2" s="1"/>
  <c r="Z206" i="2"/>
  <c r="Z195" i="2"/>
  <c r="U195" i="2"/>
  <c r="X195" i="2"/>
  <c r="R196" i="2"/>
  <c r="X196" i="2" s="1"/>
  <c r="U209" i="2"/>
  <c r="X209" i="2"/>
  <c r="R210" i="2"/>
  <c r="X210" i="2" s="1"/>
  <c r="Z209" i="2"/>
  <c r="U311" i="2"/>
  <c r="R312" i="2"/>
  <c r="X311" i="2"/>
  <c r="Z311" i="2"/>
  <c r="AE342" i="2"/>
  <c r="U242" i="2"/>
  <c r="R243" i="2"/>
  <c r="Z242" i="2"/>
  <c r="X242" i="2"/>
  <c r="X273" i="2"/>
  <c r="R274" i="2"/>
  <c r="U273" i="2"/>
  <c r="Z273" i="2"/>
  <c r="X235" i="2"/>
  <c r="R236" i="2"/>
  <c r="X236" i="2" s="1"/>
  <c r="U425" i="2"/>
  <c r="R426" i="2"/>
  <c r="X425" i="2"/>
  <c r="Z425" i="2"/>
  <c r="X387" i="2"/>
  <c r="U387" i="2"/>
  <c r="R388" i="2"/>
  <c r="Z387" i="2"/>
  <c r="U472" i="2"/>
  <c r="R473" i="2"/>
  <c r="X472" i="2"/>
  <c r="Z472" i="2"/>
  <c r="U422" i="2"/>
  <c r="R423" i="2"/>
  <c r="X422" i="2"/>
  <c r="Z422" i="2"/>
  <c r="Z520" i="2"/>
  <c r="U520" i="2"/>
  <c r="R521" i="2"/>
  <c r="X520" i="2"/>
  <c r="U592" i="2"/>
  <c r="R593" i="2"/>
  <c r="X592" i="2"/>
  <c r="Z592" i="2"/>
  <c r="AE555" i="2"/>
  <c r="X616" i="2"/>
  <c r="Z616" i="2"/>
  <c r="U616" i="2"/>
  <c r="R617" i="2"/>
  <c r="U695" i="2"/>
  <c r="R696" i="2"/>
  <c r="X695" i="2"/>
  <c r="Z695" i="2"/>
  <c r="AE709" i="2"/>
  <c r="U856" i="2"/>
  <c r="X856" i="2"/>
  <c r="R857" i="2"/>
  <c r="X857" i="2" s="1"/>
  <c r="Z856" i="2"/>
  <c r="AE676" i="2"/>
  <c r="U859" i="2"/>
  <c r="X859" i="2"/>
  <c r="R860" i="2"/>
  <c r="X860" i="2" s="1"/>
  <c r="Z859" i="2"/>
  <c r="Z782" i="2"/>
  <c r="U782" i="2"/>
  <c r="R783" i="2"/>
  <c r="X782" i="2"/>
  <c r="U1034" i="2"/>
  <c r="X1034" i="2"/>
  <c r="R1035" i="2"/>
  <c r="X1035" i="2" s="1"/>
  <c r="Z1034" i="2"/>
  <c r="U983" i="2"/>
  <c r="X983" i="2"/>
  <c r="R984" i="2"/>
  <c r="X984" i="2" s="1"/>
  <c r="Z983" i="2"/>
  <c r="AE775" i="2"/>
  <c r="U905" i="2"/>
  <c r="X905" i="2"/>
  <c r="Z905" i="2"/>
  <c r="B227" i="64" s="1"/>
  <c r="C227" i="64" s="1"/>
  <c r="U955" i="2"/>
  <c r="R956" i="2"/>
  <c r="X955" i="2"/>
  <c r="Z955" i="2"/>
  <c r="U1099" i="2"/>
  <c r="X1099" i="2"/>
  <c r="R1100" i="2"/>
  <c r="X1100" i="2" s="1"/>
  <c r="Z1099" i="2"/>
  <c r="U1053" i="2"/>
  <c r="Z1053" i="2"/>
  <c r="X1053" i="2"/>
  <c r="R1054" i="2"/>
  <c r="X1054" i="2" s="1"/>
  <c r="K1142" i="2"/>
  <c r="K1143" i="2" s="1"/>
  <c r="AE1240" i="2"/>
  <c r="U1284" i="2"/>
  <c r="R1285" i="2"/>
  <c r="X1284" i="2"/>
  <c r="Z1284" i="2"/>
  <c r="U1383" i="2"/>
  <c r="X1383" i="2"/>
  <c r="Z1383" i="2"/>
  <c r="U1280" i="2"/>
  <c r="X1280" i="2"/>
  <c r="Z1280" i="2"/>
  <c r="U1190" i="2"/>
  <c r="X1190" i="2"/>
  <c r="R1191" i="2"/>
  <c r="Z1190" i="2"/>
  <c r="U1479" i="2"/>
  <c r="R1480" i="2"/>
  <c r="X1479" i="2"/>
  <c r="Z1479" i="2"/>
  <c r="X1580" i="2"/>
  <c r="R1581" i="2"/>
  <c r="X1581" i="2" s="1"/>
  <c r="U1460" i="2"/>
  <c r="R1461" i="2"/>
  <c r="X1460" i="2"/>
  <c r="Z1460" i="2"/>
  <c r="B201" i="64"/>
  <c r="C201" i="64" s="1"/>
  <c r="AE1579" i="2"/>
  <c r="U1416" i="2"/>
  <c r="X1416" i="2"/>
  <c r="R1417" i="2"/>
  <c r="X1417" i="2" s="1"/>
  <c r="Z1416" i="2"/>
  <c r="U1547" i="2"/>
  <c r="R1548" i="2"/>
  <c r="X1547" i="2"/>
  <c r="Z1547" i="2"/>
  <c r="K1530" i="2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U1715" i="2"/>
  <c r="X1715" i="2"/>
  <c r="R1716" i="2"/>
  <c r="X1716" i="2" s="1"/>
  <c r="Z1715" i="2"/>
  <c r="AE1796" i="2"/>
  <c r="AE1632" i="2"/>
  <c r="Z1718" i="2"/>
  <c r="U1718" i="2"/>
  <c r="R1719" i="2"/>
  <c r="X1718" i="2"/>
  <c r="X1793" i="2"/>
  <c r="R1794" i="2"/>
  <c r="X1794" i="2" s="1"/>
  <c r="U1702" i="2"/>
  <c r="X1702" i="2"/>
  <c r="Z1702" i="2"/>
  <c r="U1814" i="2"/>
  <c r="X1814" i="2"/>
  <c r="R1815" i="2"/>
  <c r="Z1814" i="2"/>
  <c r="U2069" i="2"/>
  <c r="R2070" i="2"/>
  <c r="X2069" i="2"/>
  <c r="Z2069" i="2"/>
  <c r="Z1977" i="2"/>
  <c r="U1977" i="2"/>
  <c r="R1978" i="2"/>
  <c r="X1977" i="2"/>
  <c r="K1767" i="2"/>
  <c r="K1768" i="2" s="1"/>
  <c r="K1769" i="2" s="1"/>
  <c r="K1770" i="2" s="1"/>
  <c r="K1771" i="2" s="1"/>
  <c r="K1772" i="2" s="1"/>
  <c r="U1947" i="2"/>
  <c r="X1947" i="2"/>
  <c r="R1948" i="2"/>
  <c r="X1948" i="2" s="1"/>
  <c r="Z1947" i="2"/>
  <c r="U2020" i="2"/>
  <c r="R2021" i="2"/>
  <c r="X2020" i="2"/>
  <c r="Z2020" i="2"/>
  <c r="AE2097" i="2"/>
  <c r="B77" i="64"/>
  <c r="C77" i="64" s="1"/>
  <c r="AE2140" i="2"/>
  <c r="B99" i="64"/>
  <c r="C99" i="64" s="1"/>
  <c r="AE1956" i="2"/>
  <c r="AE1945" i="2"/>
  <c r="U54" i="2"/>
  <c r="X54" i="2"/>
  <c r="Z54" i="2"/>
  <c r="U148" i="2"/>
  <c r="X148" i="2"/>
  <c r="Z148" i="2"/>
  <c r="X58" i="2"/>
  <c r="Z58" i="2"/>
  <c r="U58" i="2"/>
  <c r="U132" i="2"/>
  <c r="Z132" i="2"/>
  <c r="X132" i="2"/>
  <c r="B88" i="64"/>
  <c r="C88" i="64" s="1"/>
  <c r="AE77" i="2"/>
  <c r="U212" i="2"/>
  <c r="R213" i="2"/>
  <c r="X212" i="2"/>
  <c r="Z212" i="2"/>
  <c r="I201" i="2"/>
  <c r="B233" i="64"/>
  <c r="C233" i="64" s="1"/>
  <c r="AE163" i="2"/>
  <c r="Z168" i="2"/>
  <c r="U168" i="2"/>
  <c r="X168" i="2"/>
  <c r="U350" i="2"/>
  <c r="R351" i="2"/>
  <c r="X350" i="2"/>
  <c r="Z350" i="2"/>
  <c r="X308" i="2"/>
  <c r="R309" i="2"/>
  <c r="X309" i="2" s="1"/>
  <c r="U251" i="2"/>
  <c r="R252" i="2"/>
  <c r="Z251" i="2"/>
  <c r="X251" i="2"/>
  <c r="U438" i="2"/>
  <c r="R439" i="2"/>
  <c r="X438" i="2"/>
  <c r="Z438" i="2"/>
  <c r="U478" i="2"/>
  <c r="R479" i="2"/>
  <c r="X478" i="2"/>
  <c r="Z478" i="2"/>
  <c r="U441" i="2"/>
  <c r="R442" i="2"/>
  <c r="X441" i="2"/>
  <c r="Z441" i="2"/>
  <c r="X501" i="2"/>
  <c r="Z501" i="2"/>
  <c r="U501" i="2"/>
  <c r="R502" i="2"/>
  <c r="K496" i="2"/>
  <c r="K497" i="2" s="1"/>
  <c r="U563" i="2"/>
  <c r="R564" i="2"/>
  <c r="X563" i="2"/>
  <c r="Z563" i="2"/>
  <c r="X636" i="2"/>
  <c r="Z636" i="2"/>
  <c r="R637" i="2"/>
  <c r="U636" i="2"/>
  <c r="U701" i="2"/>
  <c r="R702" i="2"/>
  <c r="X701" i="2"/>
  <c r="Z701" i="2"/>
  <c r="U862" i="2"/>
  <c r="R863" i="2"/>
  <c r="X862" i="2"/>
  <c r="Z862" i="2"/>
  <c r="AE835" i="2"/>
  <c r="B218" i="64"/>
  <c r="C218" i="64" s="1"/>
  <c r="AE841" i="2"/>
  <c r="Z750" i="2"/>
  <c r="U750" i="2"/>
  <c r="X750" i="2"/>
  <c r="R751" i="2"/>
  <c r="X751" i="2" s="1"/>
  <c r="U1040" i="2"/>
  <c r="X1040" i="2"/>
  <c r="R1041" i="2"/>
  <c r="X1041" i="2" s="1"/>
  <c r="Z1040" i="2"/>
  <c r="U1043" i="2"/>
  <c r="Z1043" i="2"/>
  <c r="R1044" i="2"/>
  <c r="X1044" i="2" s="1"/>
  <c r="X1043" i="2"/>
  <c r="U1105" i="2"/>
  <c r="X1105" i="2"/>
  <c r="R1106" i="2"/>
  <c r="X1106" i="2" s="1"/>
  <c r="Z1105" i="2"/>
  <c r="U999" i="2"/>
  <c r="X999" i="2"/>
  <c r="R1000" i="2"/>
  <c r="X1000" i="2" s="1"/>
  <c r="Z999" i="2"/>
  <c r="U1155" i="2"/>
  <c r="X1155" i="2"/>
  <c r="R1156" i="2"/>
  <c r="Z1155" i="2"/>
  <c r="U1015" i="2"/>
  <c r="X1015" i="2"/>
  <c r="R1016" i="2"/>
  <c r="X1016" i="2" s="1"/>
  <c r="Z1015" i="2"/>
  <c r="Z1128" i="2"/>
  <c r="U1128" i="2"/>
  <c r="X1128" i="2"/>
  <c r="R1129" i="2"/>
  <c r="X1129" i="2" s="1"/>
  <c r="Z1164" i="2"/>
  <c r="U1164" i="2"/>
  <c r="R1165" i="2"/>
  <c r="X1165" i="2" s="1"/>
  <c r="X1164" i="2"/>
  <c r="AE1246" i="2"/>
  <c r="AE1220" i="2"/>
  <c r="U1291" i="2"/>
  <c r="R1292" i="2"/>
  <c r="X1291" i="2"/>
  <c r="Z1291" i="2"/>
  <c r="U1389" i="2"/>
  <c r="X1389" i="2"/>
  <c r="Z1389" i="2"/>
  <c r="U1360" i="2"/>
  <c r="R1361" i="2"/>
  <c r="X1360" i="2"/>
  <c r="Z1360" i="2"/>
  <c r="I1193" i="2"/>
  <c r="Z1354" i="2"/>
  <c r="U1354" i="2"/>
  <c r="R1355" i="2"/>
  <c r="X1354" i="2"/>
  <c r="I1013" i="2"/>
  <c r="X1306" i="2"/>
  <c r="R1307" i="2"/>
  <c r="Z1306" i="2"/>
  <c r="U1306" i="2"/>
  <c r="U934" i="2"/>
  <c r="X934" i="2"/>
  <c r="Z934" i="2"/>
  <c r="R935" i="2"/>
  <c r="X935" i="2" s="1"/>
  <c r="U1587" i="2"/>
  <c r="R1588" i="2"/>
  <c r="X1587" i="2"/>
  <c r="Z1587" i="2"/>
  <c r="AE1592" i="2"/>
  <c r="U1375" i="2"/>
  <c r="X1375" i="2"/>
  <c r="Z1375" i="2"/>
  <c r="U1501" i="2"/>
  <c r="X1501" i="2"/>
  <c r="Z1501" i="2"/>
  <c r="U1554" i="2"/>
  <c r="R1555" i="2"/>
  <c r="X1554" i="2"/>
  <c r="Z1554" i="2"/>
  <c r="Z1434" i="2"/>
  <c r="X1434" i="2"/>
  <c r="R1435" i="2"/>
  <c r="X1435" i="2" s="1"/>
  <c r="U1434" i="2"/>
  <c r="X1727" i="2"/>
  <c r="R1728" i="2"/>
  <c r="X1728" i="2" s="1"/>
  <c r="U1636" i="2"/>
  <c r="X1636" i="2"/>
  <c r="Z1688" i="2"/>
  <c r="U1688" i="2"/>
  <c r="R1689" i="2"/>
  <c r="X1688" i="2"/>
  <c r="K1729" i="2"/>
  <c r="K1730" i="2" s="1"/>
  <c r="K1731" i="2" s="1"/>
  <c r="Z1832" i="2"/>
  <c r="U1832" i="2"/>
  <c r="X1832" i="2"/>
  <c r="AE1620" i="2"/>
  <c r="U1751" i="2"/>
  <c r="X1751" i="2"/>
  <c r="R1752" i="2"/>
  <c r="X1752" i="2" s="1"/>
  <c r="Z1751" i="2"/>
  <c r="B326" i="64" s="1"/>
  <c r="C326" i="64" s="1"/>
  <c r="U1776" i="2"/>
  <c r="R1777" i="2"/>
  <c r="X1776" i="2"/>
  <c r="Z1776" i="2"/>
  <c r="Z2095" i="2"/>
  <c r="U2095" i="2"/>
  <c r="X2095" i="2"/>
  <c r="U1888" i="2"/>
  <c r="X1888" i="2"/>
  <c r="Z1888" i="2"/>
  <c r="K2064" i="2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U2135" i="2"/>
  <c r="R2136" i="2"/>
  <c r="X2135" i="2"/>
  <c r="Z2135" i="2"/>
  <c r="B308" i="64"/>
  <c r="C308" i="64" s="1"/>
  <c r="AE2038" i="2"/>
  <c r="Z1921" i="2"/>
  <c r="U1921" i="2"/>
  <c r="X1921" i="2"/>
  <c r="R1922" i="2"/>
  <c r="X1922" i="2" s="1"/>
  <c r="U2099" i="2"/>
  <c r="R2100" i="2"/>
  <c r="X2099" i="2"/>
  <c r="Z2099" i="2"/>
  <c r="X2142" i="2"/>
  <c r="R2143" i="2"/>
  <c r="Z2142" i="2"/>
  <c r="I109" i="68" s="1"/>
  <c r="J109" i="68" s="1"/>
  <c r="U2142" i="2"/>
  <c r="I2009" i="2"/>
  <c r="U181" i="2"/>
  <c r="X181" i="2"/>
  <c r="R182" i="2"/>
  <c r="X182" i="2" s="1"/>
  <c r="Z181" i="2"/>
  <c r="Z221" i="2"/>
  <c r="X221" i="2"/>
  <c r="R222" i="2"/>
  <c r="U221" i="2"/>
  <c r="AE220" i="2"/>
  <c r="U363" i="2"/>
  <c r="R364" i="2"/>
  <c r="X363" i="2"/>
  <c r="Z363" i="2"/>
  <c r="U320" i="2"/>
  <c r="X320" i="2"/>
  <c r="Z320" i="2"/>
  <c r="B192" i="64"/>
  <c r="C192" i="64" s="1"/>
  <c r="AE134" i="2"/>
  <c r="U297" i="2"/>
  <c r="R298" i="2"/>
  <c r="X297" i="2"/>
  <c r="Z297" i="2"/>
  <c r="U330" i="2"/>
  <c r="R331" i="2"/>
  <c r="X330" i="2"/>
  <c r="Z330" i="2"/>
  <c r="U464" i="2"/>
  <c r="R465" i="2"/>
  <c r="X464" i="2"/>
  <c r="Z464" i="2"/>
  <c r="X410" i="2"/>
  <c r="Z410" i="2"/>
  <c r="U410" i="2"/>
  <c r="R411" i="2"/>
  <c r="U537" i="2"/>
  <c r="X537" i="2"/>
  <c r="Z537" i="2"/>
  <c r="R538" i="2"/>
  <c r="U612" i="2"/>
  <c r="R613" i="2"/>
  <c r="X612" i="2"/>
  <c r="Z612" i="2"/>
  <c r="U569" i="2"/>
  <c r="R570" i="2"/>
  <c r="X569" i="2"/>
  <c r="Z569" i="2"/>
  <c r="Z583" i="2"/>
  <c r="U583" i="2"/>
  <c r="R584" i="2"/>
  <c r="X583" i="2"/>
  <c r="X642" i="2"/>
  <c r="Z642" i="2"/>
  <c r="R643" i="2"/>
  <c r="U642" i="2"/>
  <c r="K704" i="2"/>
  <c r="K705" i="2" s="1"/>
  <c r="K706" i="2" s="1"/>
  <c r="K707" i="2" s="1"/>
  <c r="U631" i="2"/>
  <c r="R632" i="2"/>
  <c r="X631" i="2"/>
  <c r="Z631" i="2"/>
  <c r="Z698" i="2"/>
  <c r="U698" i="2"/>
  <c r="R699" i="2"/>
  <c r="X698" i="2"/>
  <c r="AE796" i="2"/>
  <c r="Z677" i="2"/>
  <c r="R678" i="2"/>
  <c r="U677" i="2"/>
  <c r="X677" i="2"/>
  <c r="U876" i="2"/>
  <c r="X876" i="2"/>
  <c r="R877" i="2"/>
  <c r="Z876" i="2"/>
  <c r="K766" i="2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U1046" i="2"/>
  <c r="X1046" i="2"/>
  <c r="R1047" i="2"/>
  <c r="X1047" i="2" s="1"/>
  <c r="Z1046" i="2"/>
  <c r="K823" i="2"/>
  <c r="K824" i="2" s="1"/>
  <c r="K825" i="2" s="1"/>
  <c r="Z776" i="2"/>
  <c r="U776" i="2"/>
  <c r="R777" i="2"/>
  <c r="X776" i="2"/>
  <c r="U1115" i="2"/>
  <c r="X1115" i="2"/>
  <c r="R1116" i="2"/>
  <c r="X1116" i="2" s="1"/>
  <c r="Z1115" i="2"/>
  <c r="X1195" i="2"/>
  <c r="Z1195" i="2"/>
  <c r="U1195" i="2"/>
  <c r="K988" i="2"/>
  <c r="K989" i="2" s="1"/>
  <c r="K990" i="2" s="1"/>
  <c r="Z1112" i="2"/>
  <c r="U1112" i="2"/>
  <c r="X1112" i="2"/>
  <c r="R1113" i="2"/>
  <c r="X1113" i="2" s="1"/>
  <c r="X1139" i="2"/>
  <c r="R1140" i="2"/>
  <c r="Z1139" i="2"/>
  <c r="U1139" i="2"/>
  <c r="Z1236" i="2"/>
  <c r="U1236" i="2"/>
  <c r="X1236" i="2"/>
  <c r="U1296" i="2"/>
  <c r="R1297" i="2"/>
  <c r="X1296" i="2"/>
  <c r="Z1296" i="2"/>
  <c r="U1328" i="2"/>
  <c r="R1329" i="2"/>
  <c r="X1328" i="2"/>
  <c r="Z1328" i="2"/>
  <c r="K1309" i="2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U1366" i="2"/>
  <c r="X1366" i="2"/>
  <c r="Z1366" i="2"/>
  <c r="X1265" i="2"/>
  <c r="R1266" i="2"/>
  <c r="X1266" i="2" s="1"/>
  <c r="Z1265" i="2"/>
  <c r="U1265" i="2"/>
  <c r="K1201" i="2"/>
  <c r="K1202" i="2" s="1"/>
  <c r="X1446" i="2"/>
  <c r="R1447" i="2"/>
  <c r="U1446" i="2"/>
  <c r="Z1446" i="2"/>
  <c r="U1594" i="2"/>
  <c r="R1595" i="2"/>
  <c r="X1594" i="2"/>
  <c r="Z1594" i="2"/>
  <c r="U1419" i="2"/>
  <c r="R1420" i="2"/>
  <c r="X1419" i="2"/>
  <c r="Z1419" i="2"/>
  <c r="AE1484" i="2"/>
  <c r="AE1536" i="2"/>
  <c r="X1506" i="2"/>
  <c r="R1507" i="2"/>
  <c r="X1507" i="2" s="1"/>
  <c r="AE1616" i="2"/>
  <c r="X1641" i="2"/>
  <c r="R1642" i="2"/>
  <c r="X1642" i="2" s="1"/>
  <c r="Z1800" i="2"/>
  <c r="U1800" i="2"/>
  <c r="R1801" i="2"/>
  <c r="X1800" i="2"/>
  <c r="U1676" i="2"/>
  <c r="R1677" i="2"/>
  <c r="X1676" i="2"/>
  <c r="Z1676" i="2"/>
  <c r="AE1780" i="2"/>
  <c r="U1827" i="2"/>
  <c r="R1828" i="2"/>
  <c r="X1827" i="2"/>
  <c r="Z1827" i="2"/>
  <c r="X1869" i="2"/>
  <c r="Z1869" i="2"/>
  <c r="U1869" i="2"/>
  <c r="X1938" i="2"/>
  <c r="R1939" i="2"/>
  <c r="X1939" i="2" s="1"/>
  <c r="U1938" i="2"/>
  <c r="Z1938" i="2"/>
  <c r="U2138" i="2"/>
  <c r="X2138" i="2"/>
  <c r="Z2138" i="2"/>
  <c r="U1988" i="2"/>
  <c r="R1989" i="2"/>
  <c r="X1988" i="2"/>
  <c r="Z1988" i="2"/>
  <c r="AE1874" i="2"/>
  <c r="Z1997" i="2"/>
  <c r="U1997" i="2"/>
  <c r="R1998" i="2"/>
  <c r="X1997" i="2"/>
  <c r="Z2066" i="2"/>
  <c r="U2066" i="2"/>
  <c r="R2067" i="2"/>
  <c r="X2066" i="2"/>
  <c r="AE1917" i="2"/>
  <c r="K1861" i="2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B266" i="64"/>
  <c r="C266" i="64" s="1"/>
  <c r="AE36" i="2"/>
  <c r="Z56" i="2"/>
  <c r="U56" i="2"/>
  <c r="X56" i="2"/>
  <c r="U22" i="2"/>
  <c r="X22" i="2"/>
  <c r="Z22" i="2"/>
  <c r="K76" i="2"/>
  <c r="K77" i="2" s="1"/>
  <c r="X165" i="2"/>
  <c r="R166" i="2"/>
  <c r="X166" i="2" s="1"/>
  <c r="U165" i="2"/>
  <c r="Z165" i="2"/>
  <c r="B264" i="64"/>
  <c r="C264" i="64" s="1"/>
  <c r="AE30" i="2"/>
  <c r="U130" i="2"/>
  <c r="X130" i="2"/>
  <c r="Z130" i="2"/>
  <c r="AE103" i="2"/>
  <c r="I187" i="2"/>
  <c r="X258" i="2"/>
  <c r="R259" i="2"/>
  <c r="U258" i="2"/>
  <c r="Z258" i="2"/>
  <c r="U184" i="2"/>
  <c r="X184" i="2"/>
  <c r="R185" i="2"/>
  <c r="Z184" i="2"/>
  <c r="U268" i="2"/>
  <c r="R269" i="2"/>
  <c r="X268" i="2"/>
  <c r="Z268" i="2"/>
  <c r="U326" i="2"/>
  <c r="R327" i="2"/>
  <c r="X326" i="2"/>
  <c r="Z326" i="2"/>
  <c r="K197" i="2"/>
  <c r="K198" i="2" s="1"/>
  <c r="K199" i="2" s="1"/>
  <c r="U334" i="2"/>
  <c r="R335" i="2"/>
  <c r="X334" i="2"/>
  <c r="Z334" i="2"/>
  <c r="AE421" i="2"/>
  <c r="U532" i="2"/>
  <c r="R533" i="2"/>
  <c r="X532" i="2"/>
  <c r="Z532" i="2"/>
  <c r="U651" i="2"/>
  <c r="R652" i="2"/>
  <c r="X651" i="2"/>
  <c r="Z651" i="2"/>
  <c r="X524" i="2"/>
  <c r="Z524" i="2"/>
  <c r="R525" i="2"/>
  <c r="U524" i="2"/>
  <c r="AE731" i="2"/>
  <c r="U728" i="2"/>
  <c r="R729" i="2"/>
  <c r="Z728" i="2"/>
  <c r="X728" i="2"/>
  <c r="U839" i="2"/>
  <c r="X839" i="2"/>
  <c r="Z839" i="2"/>
  <c r="AE833" i="2"/>
  <c r="X973" i="2"/>
  <c r="R974" i="2"/>
  <c r="U1056" i="2"/>
  <c r="X1056" i="2"/>
  <c r="R1057" i="2"/>
  <c r="X1057" i="2" s="1"/>
  <c r="Z1056" i="2"/>
  <c r="K890" i="2"/>
  <c r="K891" i="2" s="1"/>
  <c r="K892" i="2" s="1"/>
  <c r="AE926" i="2"/>
  <c r="U959" i="2"/>
  <c r="X959" i="2"/>
  <c r="R960" i="2"/>
  <c r="X960" i="2" s="1"/>
  <c r="Z959" i="2"/>
  <c r="U1125" i="2"/>
  <c r="X1125" i="2"/>
  <c r="R1126" i="2"/>
  <c r="X1126" i="2" s="1"/>
  <c r="Z1125" i="2"/>
  <c r="X1214" i="2"/>
  <c r="Z1214" i="2"/>
  <c r="U1214" i="2"/>
  <c r="K1174" i="2"/>
  <c r="K1175" i="2" s="1"/>
  <c r="K1176" i="2" s="1"/>
  <c r="K1177" i="2" s="1"/>
  <c r="U1065" i="2"/>
  <c r="R1066" i="2"/>
  <c r="X1066" i="2" s="1"/>
  <c r="X1065" i="2"/>
  <c r="Z1065" i="2"/>
  <c r="U1302" i="2"/>
  <c r="X1302" i="2"/>
  <c r="Z1302" i="2"/>
  <c r="U1316" i="2"/>
  <c r="R1317" i="2"/>
  <c r="X1316" i="2"/>
  <c r="Z1316" i="2"/>
  <c r="I1372" i="2"/>
  <c r="I1373" i="2" s="1"/>
  <c r="I1374" i="2" s="1"/>
  <c r="I1375" i="2" s="1"/>
  <c r="I1376" i="2" s="1"/>
  <c r="I1377" i="2" s="1"/>
  <c r="I1378" i="2" s="1"/>
  <c r="I1379" i="2" s="1"/>
  <c r="I1380" i="2" s="1"/>
  <c r="I1381" i="2" s="1"/>
  <c r="B151" i="64"/>
  <c r="C151" i="64" s="1"/>
  <c r="AE1092" i="2"/>
  <c r="Z1373" i="2"/>
  <c r="U1373" i="2"/>
  <c r="X1373" i="2"/>
  <c r="U1027" i="2"/>
  <c r="X1027" i="2"/>
  <c r="R1028" i="2"/>
  <c r="X1028" i="2" s="1"/>
  <c r="Z1027" i="2"/>
  <c r="X1312" i="2"/>
  <c r="Z1312" i="2"/>
  <c r="U1312" i="2"/>
  <c r="K965" i="2"/>
  <c r="K966" i="2" s="1"/>
  <c r="K967" i="2" s="1"/>
  <c r="K968" i="2" s="1"/>
  <c r="K969" i="2" s="1"/>
  <c r="K970" i="2" s="1"/>
  <c r="K971" i="2" s="1"/>
  <c r="K972" i="2" s="1"/>
  <c r="K973" i="2" s="1"/>
  <c r="U1537" i="2"/>
  <c r="R1538" i="2"/>
  <c r="X1537" i="2"/>
  <c r="Z1537" i="2"/>
  <c r="U1567" i="2"/>
  <c r="X1567" i="2"/>
  <c r="Z1567" i="2"/>
  <c r="X1456" i="2"/>
  <c r="R1457" i="2"/>
  <c r="AE1610" i="2"/>
  <c r="U1644" i="2"/>
  <c r="R1645" i="2"/>
  <c r="X1644" i="2"/>
  <c r="Z1644" i="2"/>
  <c r="U1621" i="2"/>
  <c r="R1622" i="2"/>
  <c r="X1621" i="2"/>
  <c r="Z1621" i="2"/>
  <c r="AE1730" i="2"/>
  <c r="I1839" i="2"/>
  <c r="X1892" i="2"/>
  <c r="R1893" i="2"/>
  <c r="X1893" i="2" s="1"/>
  <c r="Z1892" i="2"/>
  <c r="U1892" i="2"/>
  <c r="Z2079" i="2"/>
  <c r="U2079" i="2"/>
  <c r="R2080" i="2"/>
  <c r="X2079" i="2"/>
  <c r="X2147" i="2"/>
  <c r="U2147" i="2"/>
  <c r="B260" i="64"/>
  <c r="C260" i="64" s="1"/>
  <c r="AE2065" i="2"/>
  <c r="B198" i="64"/>
  <c r="C198" i="64" s="1"/>
  <c r="AE2116" i="2"/>
  <c r="R82" i="2"/>
  <c r="U81" i="2"/>
  <c r="X81" i="2"/>
  <c r="Z81" i="2"/>
  <c r="B67" i="64"/>
  <c r="C67" i="64" s="1"/>
  <c r="AE46" i="2"/>
  <c r="K141" i="2"/>
  <c r="K142" i="2" s="1"/>
  <c r="K143" i="2" s="1"/>
  <c r="K144" i="2" s="1"/>
  <c r="K145" i="2" s="1"/>
  <c r="K146" i="2" s="1"/>
  <c r="K147" i="2" s="1"/>
  <c r="K148" i="2" s="1"/>
  <c r="K149" i="2" s="1"/>
  <c r="K150" i="2" s="1"/>
  <c r="G175" i="2"/>
  <c r="G176" i="2" s="1"/>
  <c r="G177" i="2" s="1"/>
  <c r="B212" i="64"/>
  <c r="C212" i="64" s="1"/>
  <c r="AE233" i="2"/>
  <c r="U229" i="2"/>
  <c r="R230" i="2"/>
  <c r="Z229" i="2"/>
  <c r="X229" i="2"/>
  <c r="U343" i="2"/>
  <c r="R344" i="2"/>
  <c r="X343" i="2"/>
  <c r="Z343" i="2"/>
  <c r="U510" i="2"/>
  <c r="X510" i="2"/>
  <c r="Z510" i="2"/>
  <c r="U433" i="2"/>
  <c r="R434" i="2"/>
  <c r="X433" i="2"/>
  <c r="Z433" i="2"/>
  <c r="U454" i="2"/>
  <c r="R455" i="2"/>
  <c r="X454" i="2"/>
  <c r="Z454" i="2"/>
  <c r="AE277" i="2"/>
  <c r="U378" i="2"/>
  <c r="R379" i="2"/>
  <c r="X378" i="2"/>
  <c r="Z378" i="2"/>
  <c r="X449" i="2"/>
  <c r="Z449" i="2"/>
  <c r="U449" i="2"/>
  <c r="R450" i="2"/>
  <c r="X540" i="2"/>
  <c r="U540" i="2"/>
  <c r="Z540" i="2"/>
  <c r="R541" i="2"/>
  <c r="I737" i="2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K405" i="2"/>
  <c r="K406" i="2" s="1"/>
  <c r="U734" i="2"/>
  <c r="R735" i="2"/>
  <c r="Z734" i="2"/>
  <c r="X734" i="2"/>
  <c r="Z661" i="2"/>
  <c r="U661" i="2"/>
  <c r="R662" i="2"/>
  <c r="X661" i="2"/>
  <c r="U797" i="2"/>
  <c r="R798" i="2"/>
  <c r="X797" i="2"/>
  <c r="Z797" i="2"/>
  <c r="AE901" i="2"/>
  <c r="AE764" i="2"/>
  <c r="AE870" i="2"/>
  <c r="U1002" i="2"/>
  <c r="X1002" i="2"/>
  <c r="R1003" i="2"/>
  <c r="X1003" i="2" s="1"/>
  <c r="Z1002" i="2"/>
  <c r="U1062" i="2"/>
  <c r="X1062" i="2"/>
  <c r="R1063" i="2"/>
  <c r="X1063" i="2" s="1"/>
  <c r="Z1062" i="2"/>
  <c r="U1131" i="2"/>
  <c r="X1131" i="2"/>
  <c r="R1132" i="2"/>
  <c r="X1132" i="2" s="1"/>
  <c r="Z1131" i="2"/>
  <c r="X1226" i="2"/>
  <c r="Z1226" i="2"/>
  <c r="R1227" i="2"/>
  <c r="U1226" i="2"/>
  <c r="U1059" i="2"/>
  <c r="Z1059" i="2"/>
  <c r="X1059" i="2"/>
  <c r="R1060" i="2"/>
  <c r="X1060" i="2" s="1"/>
  <c r="Z1170" i="2"/>
  <c r="U1170" i="2"/>
  <c r="X1170" i="2"/>
  <c r="R1171" i="2"/>
  <c r="U1323" i="2"/>
  <c r="R1324" i="2"/>
  <c r="X1323" i="2"/>
  <c r="Z1323" i="2"/>
  <c r="Z1300" i="2"/>
  <c r="U1300" i="2"/>
  <c r="X1300" i="2"/>
  <c r="U1232" i="2"/>
  <c r="R1233" i="2"/>
  <c r="Z1232" i="2"/>
  <c r="X1232" i="2"/>
  <c r="X1268" i="2"/>
  <c r="Z1268" i="2"/>
  <c r="U1268" i="2"/>
  <c r="K1431" i="2"/>
  <c r="K1432" i="2" s="1"/>
  <c r="K1433" i="2" s="1"/>
  <c r="K1434" i="2" s="1"/>
  <c r="K1435" i="2" s="1"/>
  <c r="U1513" i="2"/>
  <c r="R1514" i="2"/>
  <c r="X1513" i="2"/>
  <c r="Z1513" i="2"/>
  <c r="K1582" i="2"/>
  <c r="K1583" i="2" s="1"/>
  <c r="K1584" i="2" s="1"/>
  <c r="K1585" i="2" s="1"/>
  <c r="AE1467" i="2"/>
  <c r="AE1553" i="2"/>
  <c r="U1630" i="2"/>
  <c r="X1630" i="2"/>
  <c r="Z1630" i="2"/>
  <c r="U1797" i="2"/>
  <c r="X1797" i="2"/>
  <c r="R1798" i="2"/>
  <c r="X1798" i="2" s="1"/>
  <c r="Z1797" i="2"/>
  <c r="U1665" i="2"/>
  <c r="R1666" i="2"/>
  <c r="X1665" i="2"/>
  <c r="Z1665" i="2"/>
  <c r="AE1708" i="2"/>
  <c r="U1648" i="2"/>
  <c r="X1648" i="2"/>
  <c r="Z1648" i="2"/>
  <c r="R1649" i="2"/>
  <c r="Z1706" i="2"/>
  <c r="U1706" i="2"/>
  <c r="X1706" i="2"/>
  <c r="U1850" i="2"/>
  <c r="X1850" i="2"/>
  <c r="Z1850" i="2"/>
  <c r="AE1843" i="2"/>
  <c r="U2029" i="2"/>
  <c r="R2030" i="2"/>
  <c r="X2029" i="2"/>
  <c r="Z2029" i="2"/>
  <c r="X1994" i="2"/>
  <c r="R1995" i="2"/>
  <c r="X1995" i="2" s="1"/>
  <c r="Z2011" i="2"/>
  <c r="U2011" i="2"/>
  <c r="R2012" i="2"/>
  <c r="X2011" i="2"/>
  <c r="I1774" i="2"/>
  <c r="U1929" i="2"/>
  <c r="R1930" i="2"/>
  <c r="X1929" i="2"/>
  <c r="Z1929" i="2"/>
  <c r="U2074" i="2"/>
  <c r="R2075" i="2"/>
  <c r="X2074" i="2"/>
  <c r="Z2074" i="2"/>
  <c r="U2118" i="2"/>
  <c r="X2118" i="2"/>
  <c r="Z2118" i="2"/>
  <c r="I102" i="68" s="1"/>
  <c r="K232" i="2"/>
  <c r="K233" i="2" s="1"/>
  <c r="K234" i="2" s="1"/>
  <c r="X516" i="2"/>
  <c r="R517" i="2"/>
  <c r="U516" i="2"/>
  <c r="Z516" i="2"/>
  <c r="R494" i="2"/>
  <c r="X493" i="2"/>
  <c r="Z429" i="2"/>
  <c r="U429" i="2"/>
  <c r="R430" i="2"/>
  <c r="X429" i="2"/>
  <c r="X469" i="2"/>
  <c r="Z469" i="2"/>
  <c r="U469" i="2"/>
  <c r="R470" i="2"/>
  <c r="U560" i="2"/>
  <c r="R561" i="2"/>
  <c r="X560" i="2"/>
  <c r="Z560" i="2"/>
  <c r="U608" i="2"/>
  <c r="R609" i="2"/>
  <c r="X608" i="2"/>
  <c r="Z608" i="2"/>
  <c r="Z596" i="2"/>
  <c r="U596" i="2"/>
  <c r="R597" i="2"/>
  <c r="X596" i="2"/>
  <c r="U684" i="2"/>
  <c r="X684" i="2"/>
  <c r="Z684" i="2"/>
  <c r="R685" i="2"/>
  <c r="K587" i="2"/>
  <c r="K588" i="2" s="1"/>
  <c r="U845" i="2"/>
  <c r="R846" i="2"/>
  <c r="X845" i="2"/>
  <c r="Z845" i="2"/>
  <c r="U791" i="2"/>
  <c r="R792" i="2"/>
  <c r="X791" i="2"/>
  <c r="Z791" i="2"/>
  <c r="U1008" i="2"/>
  <c r="X1008" i="2"/>
  <c r="R1009" i="2"/>
  <c r="X1009" i="2" s="1"/>
  <c r="Z1008" i="2"/>
  <c r="AE972" i="2"/>
  <c r="AE814" i="2"/>
  <c r="U977" i="2"/>
  <c r="X977" i="2"/>
  <c r="R978" i="2"/>
  <c r="X978" i="2" s="1"/>
  <c r="Z977" i="2"/>
  <c r="U1005" i="2"/>
  <c r="X1005" i="2"/>
  <c r="R1006" i="2"/>
  <c r="X1006" i="2" s="1"/>
  <c r="Z1005" i="2"/>
  <c r="U1167" i="2"/>
  <c r="X1167" i="2"/>
  <c r="R1168" i="2"/>
  <c r="X1168" i="2" s="1"/>
  <c r="Z1167" i="2"/>
  <c r="Z1250" i="2"/>
  <c r="U1250" i="2"/>
  <c r="X1250" i="2"/>
  <c r="I1075" i="2"/>
  <c r="I1076" i="2" s="1"/>
  <c r="I1077" i="2" s="1"/>
  <c r="Z1118" i="2"/>
  <c r="U1118" i="2"/>
  <c r="R1119" i="2"/>
  <c r="X1119" i="2" s="1"/>
  <c r="X1118" i="2"/>
  <c r="B147" i="64"/>
  <c r="C147" i="64" s="1"/>
  <c r="AE1159" i="2"/>
  <c r="U1147" i="2"/>
  <c r="X1147" i="2"/>
  <c r="R1148" i="2"/>
  <c r="Z1147" i="2"/>
  <c r="U1238" i="2"/>
  <c r="X1238" i="2"/>
  <c r="Z1238" i="2"/>
  <c r="U1342" i="2"/>
  <c r="X1342" i="2"/>
  <c r="Z1342" i="2"/>
  <c r="I1212" i="2"/>
  <c r="Z1385" i="2"/>
  <c r="U1385" i="2"/>
  <c r="R1386" i="2"/>
  <c r="X1385" i="2"/>
  <c r="AE1322" i="2"/>
  <c r="I1642" i="2"/>
  <c r="U1557" i="2"/>
  <c r="R1558" i="2"/>
  <c r="X1557" i="2"/>
  <c r="Z1557" i="2"/>
  <c r="AE1452" i="2"/>
  <c r="AE1432" i="2"/>
  <c r="U1584" i="2"/>
  <c r="X1584" i="2"/>
  <c r="R1585" i="2"/>
  <c r="X1585" i="2" s="1"/>
  <c r="Z1584" i="2"/>
  <c r="AE1455" i="2"/>
  <c r="AE1577" i="2"/>
  <c r="U1810" i="2"/>
  <c r="X1810" i="2"/>
  <c r="Z1810" i="2"/>
  <c r="U1704" i="2"/>
  <c r="X1704" i="2"/>
  <c r="U1611" i="2"/>
  <c r="R1612" i="2"/>
  <c r="X1611" i="2"/>
  <c r="Z1611" i="2"/>
  <c r="Z1756" i="2"/>
  <c r="U1756" i="2"/>
  <c r="X1756" i="2"/>
  <c r="K1817" i="2"/>
  <c r="K1818" i="2" s="1"/>
  <c r="K1819" i="2" s="1"/>
  <c r="K1820" i="2" s="1"/>
  <c r="U1739" i="2"/>
  <c r="R1740" i="2"/>
  <c r="X1739" i="2"/>
  <c r="Z1739" i="2"/>
  <c r="X1898" i="2"/>
  <c r="Z1898" i="2"/>
  <c r="R1899" i="2"/>
  <c r="U1898" i="2"/>
  <c r="U1941" i="2"/>
  <c r="X1941" i="2"/>
  <c r="R1942" i="2"/>
  <c r="Z1941" i="2"/>
  <c r="Z2104" i="2"/>
  <c r="U2104" i="2"/>
  <c r="X2104" i="2"/>
  <c r="U1935" i="2"/>
  <c r="R1936" i="2"/>
  <c r="X1935" i="2"/>
  <c r="Z1935" i="2"/>
  <c r="B247" i="64"/>
  <c r="C247" i="64" s="1"/>
  <c r="AE2085" i="2"/>
  <c r="X1335" i="2" l="1"/>
  <c r="U1335" i="2"/>
  <c r="Z1335" i="2"/>
  <c r="AE1335" i="2" s="1"/>
  <c r="R1336" i="2"/>
  <c r="X1336" i="2" s="1"/>
  <c r="B206" i="64"/>
  <c r="C206" i="64" s="1"/>
  <c r="AE1569" i="2"/>
  <c r="R1204" i="2"/>
  <c r="X1204" i="2" s="1"/>
  <c r="X1203" i="2"/>
  <c r="Z920" i="2"/>
  <c r="AE920" i="2" s="1"/>
  <c r="U920" i="2"/>
  <c r="X920" i="2"/>
  <c r="U93" i="2"/>
  <c r="R94" i="2"/>
  <c r="X93" i="2"/>
  <c r="Z93" i="2"/>
  <c r="U369" i="2"/>
  <c r="R370" i="2"/>
  <c r="Z369" i="2"/>
  <c r="AE369" i="2" s="1"/>
  <c r="X369" i="2"/>
  <c r="R580" i="2"/>
  <c r="X579" i="2"/>
  <c r="U579" i="2"/>
  <c r="Z579" i="2"/>
  <c r="AE579" i="2" s="1"/>
  <c r="X605" i="2"/>
  <c r="Z605" i="2"/>
  <c r="U605" i="2"/>
  <c r="R606" i="2"/>
  <c r="B309" i="64"/>
  <c r="C309" i="64" s="1"/>
  <c r="AE60" i="2"/>
  <c r="U1378" i="2"/>
  <c r="X1378" i="2"/>
  <c r="Z1378" i="2"/>
  <c r="AE1378" i="2" s="1"/>
  <c r="R1379" i="2"/>
  <c r="AE117" i="2"/>
  <c r="B76" i="64"/>
  <c r="C76" i="64" s="1"/>
  <c r="X286" i="2"/>
  <c r="U286" i="2"/>
  <c r="Z286" i="2"/>
  <c r="AE286" i="2" s="1"/>
  <c r="X397" i="2"/>
  <c r="Z397" i="2"/>
  <c r="AE397" i="2" s="1"/>
  <c r="D18" i="2"/>
  <c r="E18" i="2" s="1"/>
  <c r="H19" i="2"/>
  <c r="H20" i="2" s="1"/>
  <c r="B3" i="64"/>
  <c r="C3" i="64" s="1"/>
  <c r="AE97" i="2"/>
  <c r="X98" i="2"/>
  <c r="U98" i="2"/>
  <c r="R99" i="2"/>
  <c r="X1510" i="2"/>
  <c r="U1510" i="2"/>
  <c r="U255" i="2"/>
  <c r="R256" i="2"/>
  <c r="U247" i="2"/>
  <c r="X247" i="2"/>
  <c r="R248" i="2"/>
  <c r="Z247" i="2"/>
  <c r="AE247" i="2" s="1"/>
  <c r="B105" i="64"/>
  <c r="C105" i="64" s="1"/>
  <c r="X842" i="2"/>
  <c r="R843" i="2"/>
  <c r="X843" i="2" s="1"/>
  <c r="U356" i="2"/>
  <c r="X356" i="2"/>
  <c r="Z356" i="2"/>
  <c r="AE356" i="2" s="1"/>
  <c r="U1209" i="2"/>
  <c r="X1209" i="2"/>
  <c r="R1210" i="2"/>
  <c r="Z1209" i="2"/>
  <c r="X1863" i="2"/>
  <c r="Z1863" i="2"/>
  <c r="AE1863" i="2" s="1"/>
  <c r="U1863" i="2"/>
  <c r="U1176" i="2"/>
  <c r="X1176" i="2"/>
  <c r="R1177" i="2"/>
  <c r="X1177" i="2" s="1"/>
  <c r="Z1176" i="2"/>
  <c r="X1837" i="2"/>
  <c r="R1838" i="2"/>
  <c r="U483" i="2"/>
  <c r="R484" i="2"/>
  <c r="X483" i="2"/>
  <c r="Z483" i="2"/>
  <c r="X294" i="2"/>
  <c r="U294" i="2"/>
  <c r="X498" i="2"/>
  <c r="R499" i="2"/>
  <c r="X499" i="2" s="1"/>
  <c r="U1734" i="2"/>
  <c r="Z1734" i="2"/>
  <c r="AE1734" i="2" s="1"/>
  <c r="R15" i="2"/>
  <c r="X15" i="2" s="1"/>
  <c r="X14" i="2"/>
  <c r="AE2109" i="2"/>
  <c r="B281" i="64"/>
  <c r="C281" i="64" s="1"/>
  <c r="X2089" i="2"/>
  <c r="R2090" i="2"/>
  <c r="U324" i="2"/>
  <c r="X963" i="2"/>
  <c r="R1222" i="2"/>
  <c r="X1618" i="2"/>
  <c r="X255" i="2"/>
  <c r="R1401" i="2"/>
  <c r="Z1221" i="2"/>
  <c r="AE1221" i="2" s="1"/>
  <c r="U1486" i="2"/>
  <c r="X1734" i="2"/>
  <c r="X1369" i="2"/>
  <c r="X2050" i="2"/>
  <c r="R1735" i="2"/>
  <c r="Z1486" i="2"/>
  <c r="AE1486" i="2" s="1"/>
  <c r="R2051" i="2"/>
  <c r="U2050" i="2"/>
  <c r="Z493" i="2"/>
  <c r="AE493" i="2" s="1"/>
  <c r="X1486" i="2"/>
  <c r="X732" i="2"/>
  <c r="U732" i="2"/>
  <c r="Z732" i="2"/>
  <c r="AE732" i="2" s="1"/>
  <c r="R398" i="2"/>
  <c r="U398" i="2" s="1"/>
  <c r="U397" i="2"/>
  <c r="I50" i="68"/>
  <c r="X2039" i="2"/>
  <c r="Z2039" i="2"/>
  <c r="AE2039" i="2" s="1"/>
  <c r="R295" i="2"/>
  <c r="Z294" i="2"/>
  <c r="AE294" i="2" s="1"/>
  <c r="Z1510" i="2"/>
  <c r="AE1510" i="2" s="1"/>
  <c r="Z98" i="2"/>
  <c r="B43" i="64" s="1"/>
  <c r="C43" i="64" s="1"/>
  <c r="AE1175" i="2"/>
  <c r="R1511" i="2"/>
  <c r="X1511" i="2" s="1"/>
  <c r="X670" i="2"/>
  <c r="Z324" i="2"/>
  <c r="AE324" i="2" s="1"/>
  <c r="Z963" i="2"/>
  <c r="AE963" i="2" s="1"/>
  <c r="U628" i="2"/>
  <c r="U1400" i="2"/>
  <c r="R812" i="2"/>
  <c r="X812" i="2" s="1"/>
  <c r="X1764" i="2"/>
  <c r="X739" i="2"/>
  <c r="Z1807" i="2"/>
  <c r="AE1807" i="2" s="1"/>
  <c r="R1765" i="2"/>
  <c r="R740" i="2"/>
  <c r="U739" i="2"/>
  <c r="Z768" i="2"/>
  <c r="AE768" i="2" s="1"/>
  <c r="X1807" i="2"/>
  <c r="R769" i="2"/>
  <c r="X768" i="2"/>
  <c r="U1807" i="2"/>
  <c r="I71" i="68"/>
  <c r="U264" i="2"/>
  <c r="U963" i="2"/>
  <c r="Z1759" i="2"/>
  <c r="AE1759" i="2" s="1"/>
  <c r="I12" i="68"/>
  <c r="J12" i="68" s="1"/>
  <c r="R931" i="2"/>
  <c r="X931" i="2" s="1"/>
  <c r="X811" i="2"/>
  <c r="Z602" i="2"/>
  <c r="AE602" i="2" s="1"/>
  <c r="U1221" i="2"/>
  <c r="Z1400" i="2"/>
  <c r="AE1400" i="2" s="1"/>
  <c r="U811" i="2"/>
  <c r="X602" i="2"/>
  <c r="Z657" i="2"/>
  <c r="AE657" i="2" s="1"/>
  <c r="X657" i="2"/>
  <c r="R658" i="2"/>
  <c r="U658" i="2" s="1"/>
  <c r="R2040" i="2"/>
  <c r="Z628" i="2"/>
  <c r="AE628" i="2" s="1"/>
  <c r="I56" i="68"/>
  <c r="I38" i="68"/>
  <c r="R1760" i="2"/>
  <c r="U1760" i="2" s="1"/>
  <c r="X628" i="2"/>
  <c r="X1144" i="2"/>
  <c r="AE1143" i="2"/>
  <c r="AE1964" i="2"/>
  <c r="I103" i="68"/>
  <c r="J103" i="68" s="1"/>
  <c r="I90" i="68"/>
  <c r="I32" i="68"/>
  <c r="I96" i="68"/>
  <c r="AE307" i="2"/>
  <c r="I6" i="68"/>
  <c r="I65" i="68"/>
  <c r="I44" i="68"/>
  <c r="B39" i="64"/>
  <c r="C39" i="64" s="1"/>
  <c r="AE1743" i="2"/>
  <c r="I84" i="68"/>
  <c r="R1260" i="2"/>
  <c r="U1260" i="2" s="1"/>
  <c r="Z347" i="2"/>
  <c r="AE347" i="2" s="1"/>
  <c r="X347" i="2"/>
  <c r="R348" i="2"/>
  <c r="Z348" i="2" s="1"/>
  <c r="Z1259" i="2"/>
  <c r="AE1259" i="2" s="1"/>
  <c r="U1259" i="2"/>
  <c r="B261" i="64"/>
  <c r="C261" i="64" s="1"/>
  <c r="X382" i="2"/>
  <c r="U290" i="2"/>
  <c r="B193" i="64"/>
  <c r="C193" i="64" s="1"/>
  <c r="R340" i="2"/>
  <c r="U340" i="2" s="1"/>
  <c r="B324" i="64"/>
  <c r="C324" i="64" s="1"/>
  <c r="B316" i="64"/>
  <c r="C316" i="64" s="1"/>
  <c r="B79" i="64"/>
  <c r="C79" i="64" s="1"/>
  <c r="X1847" i="2"/>
  <c r="U339" i="2"/>
  <c r="U382" i="2"/>
  <c r="U1764" i="2"/>
  <c r="B205" i="64"/>
  <c r="C205" i="64" s="1"/>
  <c r="X1464" i="2"/>
  <c r="Z828" i="2"/>
  <c r="AE828" i="2" s="1"/>
  <c r="X828" i="2"/>
  <c r="U1695" i="2"/>
  <c r="Z1695" i="2"/>
  <c r="AE1695" i="2" s="1"/>
  <c r="R1696" i="2"/>
  <c r="X1696" i="2" s="1"/>
  <c r="U828" i="2"/>
  <c r="U157" i="2"/>
  <c r="AE2131" i="2"/>
  <c r="Z1618" i="2"/>
  <c r="AE1618" i="2" s="1"/>
  <c r="X1759" i="2"/>
  <c r="Z255" i="2"/>
  <c r="AE255" i="2" s="1"/>
  <c r="Z513" i="2"/>
  <c r="AE513" i="2" s="1"/>
  <c r="X513" i="2"/>
  <c r="U1525" i="2"/>
  <c r="R393" i="2"/>
  <c r="Z393" i="2" s="1"/>
  <c r="R514" i="2"/>
  <c r="Z514" i="2" s="1"/>
  <c r="R1526" i="2"/>
  <c r="U1526" i="2" s="1"/>
  <c r="Z670" i="2"/>
  <c r="AE670" i="2" s="1"/>
  <c r="X1525" i="2"/>
  <c r="R1684" i="2"/>
  <c r="U1684" i="2" s="1"/>
  <c r="X1683" i="2"/>
  <c r="U392" i="2"/>
  <c r="Z667" i="2"/>
  <c r="AE667" i="2" s="1"/>
  <c r="AE1073" i="2"/>
  <c r="U1683" i="2"/>
  <c r="Z392" i="2"/>
  <c r="AE392" i="2" s="1"/>
  <c r="X667" i="2"/>
  <c r="R403" i="2"/>
  <c r="Z403" i="2" s="1"/>
  <c r="X110" i="2"/>
  <c r="Z402" i="2"/>
  <c r="AE402" i="2" s="1"/>
  <c r="AE34" i="2"/>
  <c r="R1607" i="2"/>
  <c r="U1607" i="2" s="1"/>
  <c r="X402" i="2"/>
  <c r="U1606" i="2"/>
  <c r="X1606" i="2"/>
  <c r="U916" i="2"/>
  <c r="R917" i="2"/>
  <c r="X917" i="2" s="1"/>
  <c r="X916" i="2"/>
  <c r="R1533" i="2"/>
  <c r="X1533" i="2" s="1"/>
  <c r="B69" i="64"/>
  <c r="C69" i="64" s="1"/>
  <c r="U2110" i="2"/>
  <c r="X1599" i="2"/>
  <c r="U1872" i="2"/>
  <c r="X1872" i="2"/>
  <c r="Z1872" i="2"/>
  <c r="AE1872" i="2" s="1"/>
  <c r="R1782" i="2"/>
  <c r="X1782" i="2" s="1"/>
  <c r="X2110" i="2"/>
  <c r="AE64" i="2"/>
  <c r="Z339" i="2"/>
  <c r="AE339" i="2" s="1"/>
  <c r="X1819" i="2"/>
  <c r="Z2110" i="2"/>
  <c r="AE2110" i="2" s="1"/>
  <c r="B246" i="64"/>
  <c r="C246" i="64" s="1"/>
  <c r="U1599" i="2"/>
  <c r="Z157" i="2"/>
  <c r="AE157" i="2" s="1"/>
  <c r="R1774" i="2"/>
  <c r="X1774" i="2" s="1"/>
  <c r="R1161" i="2"/>
  <c r="R1162" i="2" s="1"/>
  <c r="X1162" i="2" s="1"/>
  <c r="X290" i="2"/>
  <c r="R1820" i="2"/>
  <c r="X1820" i="2" s="1"/>
  <c r="AE96" i="2"/>
  <c r="U1564" i="2"/>
  <c r="U1532" i="2"/>
  <c r="Z1819" i="2"/>
  <c r="AE1819" i="2" s="1"/>
  <c r="X1532" i="2"/>
  <c r="R1600" i="2"/>
  <c r="Z1600" i="2" s="1"/>
  <c r="AE1600" i="2" s="1"/>
  <c r="R1465" i="2"/>
  <c r="X1465" i="2" s="1"/>
  <c r="Z1464" i="2"/>
  <c r="AE1464" i="2" s="1"/>
  <c r="X647" i="2"/>
  <c r="Z647" i="2"/>
  <c r="AE647" i="2" s="1"/>
  <c r="Z1564" i="2"/>
  <c r="AE1564" i="2" s="1"/>
  <c r="R1565" i="2"/>
  <c r="X1565" i="2" s="1"/>
  <c r="R648" i="2"/>
  <c r="Z648" i="2" s="1"/>
  <c r="Z264" i="2"/>
  <c r="AE264" i="2" s="1"/>
  <c r="X264" i="2"/>
  <c r="B179" i="64"/>
  <c r="C179" i="64" s="1"/>
  <c r="X225" i="2"/>
  <c r="R1346" i="2"/>
  <c r="X1346" i="2" s="1"/>
  <c r="R226" i="2"/>
  <c r="U226" i="2" s="1"/>
  <c r="AE2088" i="2"/>
  <c r="B219" i="64"/>
  <c r="C219" i="64" s="1"/>
  <c r="X1781" i="2"/>
  <c r="U1781" i="2"/>
  <c r="U1902" i="2"/>
  <c r="B30" i="64"/>
  <c r="C30" i="64" s="1"/>
  <c r="X1902" i="2"/>
  <c r="R674" i="2"/>
  <c r="X674" i="2" s="1"/>
  <c r="B125" i="64"/>
  <c r="C125" i="64" s="1"/>
  <c r="X1970" i="2"/>
  <c r="U1970" i="2"/>
  <c r="B237" i="64"/>
  <c r="C237" i="64" s="1"/>
  <c r="Z1970" i="2"/>
  <c r="AE1970" i="2" s="1"/>
  <c r="U673" i="2"/>
  <c r="X673" i="2"/>
  <c r="X589" i="2"/>
  <c r="B195" i="64"/>
  <c r="C195" i="64" s="1"/>
  <c r="U225" i="2"/>
  <c r="R949" i="2"/>
  <c r="X949" i="2" s="1"/>
  <c r="R2009" i="2"/>
  <c r="X2009" i="2" s="1"/>
  <c r="B204" i="64"/>
  <c r="C204" i="64" s="1"/>
  <c r="R913" i="2"/>
  <c r="X913" i="2" s="1"/>
  <c r="X912" i="2"/>
  <c r="Z15" i="2"/>
  <c r="AE15" i="2" s="1"/>
  <c r="R408" i="2"/>
  <c r="X408" i="2" s="1"/>
  <c r="U1520" i="2"/>
  <c r="R1521" i="2"/>
  <c r="Z1521" i="2" s="1"/>
  <c r="X1520" i="2"/>
  <c r="Z1520" i="2"/>
  <c r="AE1520" i="2" s="1"/>
  <c r="G75" i="68"/>
  <c r="C264" i="61" a="1"/>
  <c r="C264" i="61" s="1"/>
  <c r="B71" i="64"/>
  <c r="C71" i="64" s="1"/>
  <c r="X640" i="2"/>
  <c r="U640" i="2"/>
  <c r="R1655" i="2"/>
  <c r="U1655" i="2" s="1"/>
  <c r="U1654" i="2"/>
  <c r="R1244" i="2"/>
  <c r="X1244" i="2" s="1"/>
  <c r="Z1654" i="2"/>
  <c r="AE1654" i="2" s="1"/>
  <c r="U1519" i="2"/>
  <c r="Z1519" i="2"/>
  <c r="AE1519" i="2" s="1"/>
  <c r="X1519" i="2"/>
  <c r="X1933" i="2"/>
  <c r="Z1933" i="2"/>
  <c r="U1933" i="2"/>
  <c r="U546" i="2"/>
  <c r="Z546" i="2"/>
  <c r="AE546" i="2" s="1"/>
  <c r="X546" i="2"/>
  <c r="R547" i="2"/>
  <c r="B10" i="64"/>
  <c r="C10" i="64" s="1"/>
  <c r="B23" i="64"/>
  <c r="C23" i="64" s="1"/>
  <c r="Z529" i="2"/>
  <c r="AE529" i="2" s="1"/>
  <c r="R530" i="2"/>
  <c r="Z530" i="2" s="1"/>
  <c r="B33" i="64"/>
  <c r="C33" i="64" s="1"/>
  <c r="U529" i="2"/>
  <c r="Z1866" i="2"/>
  <c r="AE1866" i="2" s="1"/>
  <c r="X1866" i="2"/>
  <c r="U1866" i="2"/>
  <c r="B188" i="64"/>
  <c r="C188" i="64" s="1"/>
  <c r="B271" i="64"/>
  <c r="C271" i="64" s="1"/>
  <c r="AE32" i="2"/>
  <c r="B328" i="64"/>
  <c r="C328" i="64" s="1"/>
  <c r="AE1961" i="2"/>
  <c r="AE28" i="2"/>
  <c r="B269" i="64"/>
  <c r="C269" i="64" s="1"/>
  <c r="U1660" i="2"/>
  <c r="Z1660" i="2"/>
  <c r="AE1660" i="2" s="1"/>
  <c r="X1660" i="2"/>
  <c r="R1661" i="2"/>
  <c r="X1965" i="2"/>
  <c r="R1966" i="2"/>
  <c r="X1966" i="2" s="1"/>
  <c r="X2061" i="2"/>
  <c r="R2062" i="2"/>
  <c r="AE1772" i="2"/>
  <c r="B223" i="64"/>
  <c r="C223" i="64" s="1"/>
  <c r="B142" i="64"/>
  <c r="C142" i="64" s="1"/>
  <c r="AE1076" i="2"/>
  <c r="B138" i="64"/>
  <c r="C138" i="64" s="1"/>
  <c r="AE1086" i="2"/>
  <c r="Z888" i="2"/>
  <c r="AE888" i="2" s="1"/>
  <c r="R889" i="2"/>
  <c r="X889" i="2" s="1"/>
  <c r="X888" i="2"/>
  <c r="Z140" i="2"/>
  <c r="AE140" i="2" s="1"/>
  <c r="X283" i="2"/>
  <c r="U283" i="2"/>
  <c r="Z283" i="2"/>
  <c r="AE283" i="2" s="1"/>
  <c r="X850" i="2"/>
  <c r="U850" i="2"/>
  <c r="Z850" i="2"/>
  <c r="AE850" i="2" s="1"/>
  <c r="AE1993" i="2"/>
  <c r="B172" i="64"/>
  <c r="C172" i="64" s="1"/>
  <c r="Z710" i="2"/>
  <c r="AE710" i="2" s="1"/>
  <c r="U710" i="2"/>
  <c r="R711" i="2"/>
  <c r="X710" i="2"/>
  <c r="X303" i="2"/>
  <c r="R304" i="2"/>
  <c r="U303" i="2"/>
  <c r="Z303" i="2"/>
  <c r="AE303" i="2" s="1"/>
  <c r="B241" i="64"/>
  <c r="C241" i="64" s="1"/>
  <c r="AE1896" i="2"/>
  <c r="B150" i="64"/>
  <c r="C150" i="64" s="1"/>
  <c r="AE1079" i="2"/>
  <c r="B57" i="64"/>
  <c r="C57" i="64" s="1"/>
  <c r="X1542" i="2"/>
  <c r="U1542" i="2"/>
  <c r="R1543" i="2"/>
  <c r="Z1542" i="2"/>
  <c r="AE1542" i="2" s="1"/>
  <c r="X881" i="2"/>
  <c r="U881" i="2"/>
  <c r="Z881" i="2"/>
  <c r="AE881" i="2" s="1"/>
  <c r="R882" i="2"/>
  <c r="X882" i="2" s="1"/>
  <c r="X1786" i="2"/>
  <c r="U1786" i="2"/>
  <c r="Z1786" i="2"/>
  <c r="AE1786" i="2" s="1"/>
  <c r="R1787" i="2"/>
  <c r="B255" i="64"/>
  <c r="C255" i="64" s="1"/>
  <c r="AE986" i="2"/>
  <c r="X761" i="2"/>
  <c r="U761" i="2"/>
  <c r="Z761" i="2"/>
  <c r="AE761" i="2" s="1"/>
  <c r="U1468" i="2"/>
  <c r="Z1468" i="2"/>
  <c r="AE1468" i="2" s="1"/>
  <c r="X1468" i="2"/>
  <c r="R1469" i="2"/>
  <c r="AE996" i="2"/>
  <c r="B276" i="64"/>
  <c r="C276" i="64" s="1"/>
  <c r="B98" i="64"/>
  <c r="C98" i="64" s="1"/>
  <c r="AE122" i="2"/>
  <c r="B25" i="64"/>
  <c r="C25" i="64" s="1"/>
  <c r="B200" i="64"/>
  <c r="C200" i="64" s="1"/>
  <c r="U1627" i="2"/>
  <c r="X1627" i="2"/>
  <c r="R1628" i="2"/>
  <c r="X1628" i="2" s="1"/>
  <c r="Z1627" i="2"/>
  <c r="AE1627" i="2" s="1"/>
  <c r="Z166" i="2"/>
  <c r="AE166" i="2" s="1"/>
  <c r="U556" i="2"/>
  <c r="Z556" i="2"/>
  <c r="AE556" i="2" s="1"/>
  <c r="X556" i="2"/>
  <c r="R557" i="2"/>
  <c r="U787" i="2"/>
  <c r="R788" i="2"/>
  <c r="X788" i="2" s="1"/>
  <c r="Z787" i="2"/>
  <c r="AE787" i="2" s="1"/>
  <c r="X787" i="2"/>
  <c r="AE1908" i="2"/>
  <c r="Z174" i="2"/>
  <c r="AE174" i="2" s="1"/>
  <c r="H73" i="28"/>
  <c r="U885" i="2"/>
  <c r="X885" i="2"/>
  <c r="Z885" i="2"/>
  <c r="AE885" i="2" s="1"/>
  <c r="B295" i="64"/>
  <c r="C295" i="64" s="1"/>
  <c r="AE176" i="2"/>
  <c r="AE78" i="2"/>
  <c r="B87" i="64"/>
  <c r="C87" i="64" s="1"/>
  <c r="K1821" i="2"/>
  <c r="K1822" i="2" s="1"/>
  <c r="K1823" i="2" s="1"/>
  <c r="K1824" i="2" s="1"/>
  <c r="K1825" i="2" s="1"/>
  <c r="B157" i="64"/>
  <c r="C157" i="64" s="1"/>
  <c r="AE1147" i="2"/>
  <c r="U470" i="2"/>
  <c r="X470" i="2"/>
  <c r="Z470" i="2"/>
  <c r="B47" i="64"/>
  <c r="C47" i="64" s="1"/>
  <c r="AE2074" i="2"/>
  <c r="B222" i="64"/>
  <c r="C222" i="64" s="1"/>
  <c r="AE1810" i="2"/>
  <c r="B256" i="64"/>
  <c r="C256" i="64" s="1"/>
  <c r="AE1005" i="2"/>
  <c r="Z494" i="2"/>
  <c r="U494" i="2"/>
  <c r="X494" i="2"/>
  <c r="R495" i="2"/>
  <c r="X495" i="2" s="1"/>
  <c r="U1899" i="2"/>
  <c r="X1899" i="2"/>
  <c r="Z1899" i="2"/>
  <c r="B240" i="64" s="1"/>
  <c r="C240" i="64" s="1"/>
  <c r="AE1584" i="2"/>
  <c r="I1643" i="2"/>
  <c r="I1644" i="2" s="1"/>
  <c r="I1645" i="2" s="1"/>
  <c r="I1646" i="2" s="1"/>
  <c r="B211" i="64"/>
  <c r="C211" i="64" s="1"/>
  <c r="AE1385" i="2"/>
  <c r="AE1250" i="2"/>
  <c r="B28" i="64"/>
  <c r="C28" i="64" s="1"/>
  <c r="AE845" i="2"/>
  <c r="U561" i="2"/>
  <c r="X561" i="2"/>
  <c r="Z561" i="2"/>
  <c r="AE1929" i="2"/>
  <c r="AE1797" i="2"/>
  <c r="X1233" i="2"/>
  <c r="R1234" i="2"/>
  <c r="X1234" i="2" s="1"/>
  <c r="Z1233" i="2"/>
  <c r="U1233" i="2"/>
  <c r="AE811" i="2"/>
  <c r="U379" i="2"/>
  <c r="X379" i="2"/>
  <c r="Z379" i="2"/>
  <c r="AE433" i="2"/>
  <c r="X230" i="2"/>
  <c r="R231" i="2"/>
  <c r="X231" i="2" s="1"/>
  <c r="Z230" i="2"/>
  <c r="U230" i="2"/>
  <c r="AE1621" i="2"/>
  <c r="AE1644" i="2"/>
  <c r="X1457" i="2"/>
  <c r="R1458" i="2"/>
  <c r="X1458" i="2" s="1"/>
  <c r="AE1316" i="2"/>
  <c r="AE483" i="2"/>
  <c r="B81" i="64"/>
  <c r="C81" i="64" s="1"/>
  <c r="AE130" i="2"/>
  <c r="B191" i="64"/>
  <c r="C191" i="64" s="1"/>
  <c r="AE165" i="2"/>
  <c r="K1876" i="2"/>
  <c r="K1877" i="2" s="1"/>
  <c r="B166" i="64"/>
  <c r="C166" i="64" s="1"/>
  <c r="AE2138" i="2"/>
  <c r="AE1869" i="2"/>
  <c r="AE1676" i="2"/>
  <c r="AE1265" i="2"/>
  <c r="AE1209" i="2"/>
  <c r="B199" i="64"/>
  <c r="C199" i="64" s="1"/>
  <c r="AE1236" i="2"/>
  <c r="B135" i="64"/>
  <c r="C135" i="64" s="1"/>
  <c r="AE1112" i="2"/>
  <c r="AE916" i="2"/>
  <c r="K781" i="2"/>
  <c r="K782" i="2" s="1"/>
  <c r="B55" i="64"/>
  <c r="C55" i="64" s="1"/>
  <c r="AE677" i="2"/>
  <c r="AE698" i="2"/>
  <c r="U364" i="2"/>
  <c r="R365" i="2"/>
  <c r="X364" i="2"/>
  <c r="Z364" i="2"/>
  <c r="X2143" i="2"/>
  <c r="R2144" i="2"/>
  <c r="U1777" i="2"/>
  <c r="R1778" i="2"/>
  <c r="X1777" i="2"/>
  <c r="Z1777" i="2"/>
  <c r="X1689" i="2"/>
  <c r="Z1689" i="2"/>
  <c r="U1689" i="2"/>
  <c r="R1690" i="2"/>
  <c r="AE1360" i="2"/>
  <c r="U863" i="2"/>
  <c r="X863" i="2"/>
  <c r="R864" i="2"/>
  <c r="X864" i="2" s="1"/>
  <c r="Z863" i="2"/>
  <c r="AE563" i="2"/>
  <c r="Z442" i="2"/>
  <c r="U442" i="2"/>
  <c r="R443" i="2"/>
  <c r="X442" i="2"/>
  <c r="AE478" i="2"/>
  <c r="U439" i="2"/>
  <c r="X439" i="2"/>
  <c r="Z439" i="2"/>
  <c r="B319" i="64"/>
  <c r="C319" i="64" s="1"/>
  <c r="AE350" i="2"/>
  <c r="X1978" i="2"/>
  <c r="Z1978" i="2"/>
  <c r="U1978" i="2"/>
  <c r="R1979" i="2"/>
  <c r="AE1479" i="2"/>
  <c r="X1191" i="2"/>
  <c r="R1192" i="2"/>
  <c r="AE856" i="2"/>
  <c r="U388" i="2"/>
  <c r="R389" i="2"/>
  <c r="Z388" i="2"/>
  <c r="X388" i="2"/>
  <c r="X243" i="2"/>
  <c r="Z243" i="2"/>
  <c r="U243" i="2"/>
  <c r="R244" i="2"/>
  <c r="B190" i="64"/>
  <c r="C190" i="64" s="1"/>
  <c r="AE170" i="2"/>
  <c r="U137" i="2"/>
  <c r="R138" i="2"/>
  <c r="X137" i="2"/>
  <c r="Z137" i="2"/>
  <c r="B134" i="64"/>
  <c r="C134" i="64" s="1"/>
  <c r="AE1179" i="2"/>
  <c r="X1275" i="2"/>
  <c r="R1276" i="2"/>
  <c r="X1276" i="2" s="1"/>
  <c r="X1152" i="2"/>
  <c r="R1153" i="2"/>
  <c r="X1153" i="2" s="1"/>
  <c r="AE815" i="2"/>
  <c r="B225" i="64"/>
  <c r="C225" i="64" s="1"/>
  <c r="AE831" i="2"/>
  <c r="AE459" i="2"/>
  <c r="AE373" i="2"/>
  <c r="U239" i="2"/>
  <c r="R240" i="2"/>
  <c r="X239" i="2"/>
  <c r="Z239" i="2"/>
  <c r="B181" i="64"/>
  <c r="C181" i="64" s="1"/>
  <c r="AE189" i="2"/>
  <c r="B50" i="64"/>
  <c r="C50" i="64" s="1"/>
  <c r="AE50" i="2"/>
  <c r="X1713" i="2"/>
  <c r="Z1713" i="2"/>
  <c r="U1713" i="2"/>
  <c r="AE1671" i="2"/>
  <c r="K1094" i="2"/>
  <c r="K1095" i="2" s="1"/>
  <c r="B93" i="64"/>
  <c r="C93" i="64" s="1"/>
  <c r="AE1018" i="2"/>
  <c r="AE566" i="2"/>
  <c r="U385" i="2"/>
  <c r="X385" i="2"/>
  <c r="Z385" i="2"/>
  <c r="B180" i="64"/>
  <c r="C180" i="64" s="1"/>
  <c r="AE203" i="2"/>
  <c r="B160" i="64"/>
  <c r="C160" i="64" s="1"/>
  <c r="AE144" i="2"/>
  <c r="R1943" i="2"/>
  <c r="X1943" i="2" s="1"/>
  <c r="X1942" i="2"/>
  <c r="AE2050" i="2"/>
  <c r="AE1764" i="2"/>
  <c r="AE1683" i="2"/>
  <c r="AE1935" i="2"/>
  <c r="AE1611" i="2"/>
  <c r="U1558" i="2"/>
  <c r="R1559" i="2"/>
  <c r="X1558" i="2"/>
  <c r="Z1558" i="2"/>
  <c r="Z1324" i="2"/>
  <c r="U1324" i="2"/>
  <c r="R1325" i="2"/>
  <c r="X1324" i="2"/>
  <c r="B113" i="64"/>
  <c r="C113" i="64" s="1"/>
  <c r="AE1002" i="2"/>
  <c r="X974" i="2"/>
  <c r="R975" i="2"/>
  <c r="X975" i="2" s="1"/>
  <c r="X1998" i="2"/>
  <c r="Z1998" i="2"/>
  <c r="U1998" i="2"/>
  <c r="R1999" i="2"/>
  <c r="AE1756" i="2"/>
  <c r="X2012" i="2"/>
  <c r="Z2012" i="2"/>
  <c r="U2012" i="2"/>
  <c r="R2013" i="2"/>
  <c r="AE1898" i="2"/>
  <c r="B104" i="64"/>
  <c r="C104" i="64" s="1"/>
  <c r="U1740" i="2"/>
  <c r="X1740" i="2"/>
  <c r="R1741" i="2"/>
  <c r="X1741" i="2" s="1"/>
  <c r="Z1740" i="2"/>
  <c r="I1213" i="2"/>
  <c r="I1214" i="2" s="1"/>
  <c r="I1215" i="2" s="1"/>
  <c r="I1216" i="2" s="1"/>
  <c r="I1217" i="2" s="1"/>
  <c r="I1218" i="2" s="1"/>
  <c r="I1219" i="2" s="1"/>
  <c r="I1220" i="2" s="1"/>
  <c r="I1221" i="2" s="1"/>
  <c r="I1222" i="2" s="1"/>
  <c r="I1223" i="2" s="1"/>
  <c r="I1224" i="2" s="1"/>
  <c r="B162" i="64"/>
  <c r="C162" i="64" s="1"/>
  <c r="AE1167" i="2"/>
  <c r="R686" i="2"/>
  <c r="U685" i="2"/>
  <c r="X685" i="2"/>
  <c r="Z685" i="2"/>
  <c r="Z609" i="2"/>
  <c r="U609" i="2"/>
  <c r="R610" i="2"/>
  <c r="X609" i="2"/>
  <c r="B221" i="64"/>
  <c r="C221" i="64" s="1"/>
  <c r="AE2118" i="2"/>
  <c r="AE2011" i="2"/>
  <c r="Z1514" i="2"/>
  <c r="U1514" i="2"/>
  <c r="R1515" i="2"/>
  <c r="X1514" i="2"/>
  <c r="U1227" i="2"/>
  <c r="R1228" i="2"/>
  <c r="X1227" i="2"/>
  <c r="Z1227" i="2"/>
  <c r="B254" i="64"/>
  <c r="C254" i="64" s="1"/>
  <c r="AE1062" i="2"/>
  <c r="U798" i="2"/>
  <c r="R799" i="2"/>
  <c r="X798" i="2"/>
  <c r="Z798" i="2"/>
  <c r="AE734" i="2"/>
  <c r="I752" i="2"/>
  <c r="I753" i="2" s="1"/>
  <c r="I754" i="2" s="1"/>
  <c r="AE343" i="2"/>
  <c r="G178" i="2"/>
  <c r="G179" i="2" s="1"/>
  <c r="G180" i="2" s="1"/>
  <c r="G181" i="2" s="1"/>
  <c r="G182" i="2" s="1"/>
  <c r="X2080" i="2"/>
  <c r="Z2080" i="2"/>
  <c r="U2080" i="2"/>
  <c r="R2081" i="2"/>
  <c r="B90" i="64"/>
  <c r="C90" i="64" s="1"/>
  <c r="AE1056" i="2"/>
  <c r="AE739" i="2"/>
  <c r="AE728" i="2"/>
  <c r="AE651" i="2"/>
  <c r="Z269" i="2"/>
  <c r="U269" i="2"/>
  <c r="X269" i="2"/>
  <c r="R270" i="2"/>
  <c r="U259" i="2"/>
  <c r="R260" i="2"/>
  <c r="Z259" i="2"/>
  <c r="X259" i="2"/>
  <c r="X2067" i="2"/>
  <c r="Z2067" i="2"/>
  <c r="U2067" i="2"/>
  <c r="X1801" i="2"/>
  <c r="Z1801" i="2"/>
  <c r="U1801" i="2"/>
  <c r="R1802" i="2"/>
  <c r="AE1419" i="2"/>
  <c r="B140" i="64"/>
  <c r="C140" i="64" s="1"/>
  <c r="AE1115" i="2"/>
  <c r="B217" i="64"/>
  <c r="C217" i="64" s="1"/>
  <c r="AE876" i="2"/>
  <c r="K708" i="2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X584" i="2"/>
  <c r="Z584" i="2"/>
  <c r="U584" i="2"/>
  <c r="R585" i="2"/>
  <c r="AE612" i="2"/>
  <c r="U465" i="2"/>
  <c r="R466" i="2"/>
  <c r="X465" i="2"/>
  <c r="Z465" i="2"/>
  <c r="U298" i="2"/>
  <c r="R299" i="2"/>
  <c r="X298" i="2"/>
  <c r="Z298" i="2"/>
  <c r="AE1888" i="2"/>
  <c r="X1355" i="2"/>
  <c r="Z1355" i="2"/>
  <c r="U1355" i="2"/>
  <c r="R1356" i="2"/>
  <c r="U1292" i="2"/>
  <c r="R1293" i="2"/>
  <c r="X1292" i="2"/>
  <c r="Z1292" i="2"/>
  <c r="B277" i="64"/>
  <c r="C277" i="64" s="1"/>
  <c r="AE1015" i="2"/>
  <c r="B92" i="64"/>
  <c r="C92" i="64" s="1"/>
  <c r="AE999" i="2"/>
  <c r="AE750" i="2"/>
  <c r="U702" i="2"/>
  <c r="Z702" i="2"/>
  <c r="R703" i="2"/>
  <c r="X703" i="2" s="1"/>
  <c r="X702" i="2"/>
  <c r="U213" i="2"/>
  <c r="R214" i="2"/>
  <c r="X213" i="2"/>
  <c r="Z213" i="2"/>
  <c r="B170" i="64"/>
  <c r="C170" i="64" s="1"/>
  <c r="AE148" i="2"/>
  <c r="AE1947" i="2"/>
  <c r="U2070" i="2"/>
  <c r="R2071" i="2"/>
  <c r="Z2070" i="2"/>
  <c r="X2070" i="2"/>
  <c r="AE1814" i="2"/>
  <c r="AE1547" i="2"/>
  <c r="B209" i="64"/>
  <c r="C209" i="64" s="1"/>
  <c r="AE1383" i="2"/>
  <c r="B274" i="64"/>
  <c r="C274" i="64" s="1"/>
  <c r="AE1053" i="2"/>
  <c r="AE955" i="2"/>
  <c r="AE782" i="2"/>
  <c r="AE592" i="2"/>
  <c r="B63" i="64"/>
  <c r="C63" i="64" s="1"/>
  <c r="AE209" i="2"/>
  <c r="B64" i="64"/>
  <c r="C64" i="64" s="1"/>
  <c r="AE195" i="2"/>
  <c r="B189" i="64"/>
  <c r="C189" i="64" s="1"/>
  <c r="AE72" i="2"/>
  <c r="B230" i="64"/>
  <c r="C230" i="64" s="1"/>
  <c r="AE159" i="2"/>
  <c r="U359" i="2"/>
  <c r="R360" i="2"/>
  <c r="X359" i="2"/>
  <c r="Z359" i="2"/>
  <c r="AE1881" i="2"/>
  <c r="AE1770" i="2"/>
  <c r="B114" i="64"/>
  <c r="C114" i="64" s="1"/>
  <c r="AE1021" i="2"/>
  <c r="B257" i="64"/>
  <c r="C257" i="64" s="1"/>
  <c r="AE1024" i="2"/>
  <c r="AE724" i="2"/>
  <c r="B194" i="64"/>
  <c r="C194" i="64" s="1"/>
  <c r="AE621" i="2"/>
  <c r="AE573" i="2"/>
  <c r="Z374" i="2"/>
  <c r="X374" i="2"/>
  <c r="U374" i="2"/>
  <c r="R375" i="2"/>
  <c r="U114" i="2"/>
  <c r="X114" i="2"/>
  <c r="R115" i="2"/>
  <c r="X115" i="2" s="1"/>
  <c r="Z114" i="2"/>
  <c r="B231" i="64"/>
  <c r="C231" i="64" s="1"/>
  <c r="AE120" i="2"/>
  <c r="X1958" i="2"/>
  <c r="R1959" i="2"/>
  <c r="X1959" i="2" s="1"/>
  <c r="AE2056" i="2"/>
  <c r="K1267" i="2"/>
  <c r="K1268" i="2" s="1"/>
  <c r="K1269" i="2" s="1"/>
  <c r="K1270" i="2" s="1"/>
  <c r="K1271" i="2" s="1"/>
  <c r="K1272" i="2" s="1"/>
  <c r="K1273" i="2" s="1"/>
  <c r="K1274" i="2" s="1"/>
  <c r="AE937" i="2"/>
  <c r="I813" i="2"/>
  <c r="I814" i="2" s="1"/>
  <c r="I815" i="2" s="1"/>
  <c r="I816" i="2" s="1"/>
  <c r="I817" i="2" s="1"/>
  <c r="I818" i="2" s="1"/>
  <c r="I819" i="2" s="1"/>
  <c r="X806" i="2"/>
  <c r="R807" i="2"/>
  <c r="X488" i="2"/>
  <c r="Z488" i="2"/>
  <c r="U488" i="2"/>
  <c r="R489" i="2"/>
  <c r="E176" i="2"/>
  <c r="E177" i="2" s="1"/>
  <c r="U344" i="2"/>
  <c r="X344" i="2"/>
  <c r="Z344" i="2"/>
  <c r="B149" i="64"/>
  <c r="C149" i="64" s="1"/>
  <c r="AE1131" i="2"/>
  <c r="AE1941" i="2"/>
  <c r="B178" i="64"/>
  <c r="C178" i="64" s="1"/>
  <c r="B148" i="64"/>
  <c r="C148" i="64" s="1"/>
  <c r="AE1118" i="2"/>
  <c r="Z846" i="2"/>
  <c r="U846" i="2"/>
  <c r="X846" i="2"/>
  <c r="R847" i="2"/>
  <c r="X847" i="2" s="1"/>
  <c r="B320" i="64"/>
  <c r="C320" i="64" s="1"/>
  <c r="AE684" i="2"/>
  <c r="X597" i="2"/>
  <c r="Z597" i="2"/>
  <c r="U597" i="2"/>
  <c r="R598" i="2"/>
  <c r="X430" i="2"/>
  <c r="Z430" i="2"/>
  <c r="U430" i="2"/>
  <c r="R431" i="2"/>
  <c r="U1930" i="2"/>
  <c r="X1930" i="2"/>
  <c r="Z1930" i="2"/>
  <c r="B72" i="64"/>
  <c r="C72" i="64" s="1"/>
  <c r="AE2029" i="2"/>
  <c r="B111" i="64"/>
  <c r="C111" i="64" s="1"/>
  <c r="AE1059" i="2"/>
  <c r="AE1226" i="2"/>
  <c r="X735" i="2"/>
  <c r="R736" i="2"/>
  <c r="X736" i="2" s="1"/>
  <c r="Z735" i="2"/>
  <c r="U735" i="2"/>
  <c r="U541" i="2"/>
  <c r="R542" i="2"/>
  <c r="Z541" i="2"/>
  <c r="X541" i="2"/>
  <c r="U450" i="2"/>
  <c r="R451" i="2"/>
  <c r="X450" i="2"/>
  <c r="Z450" i="2"/>
  <c r="U434" i="2"/>
  <c r="R435" i="2"/>
  <c r="X434" i="2"/>
  <c r="Z434" i="2"/>
  <c r="U1622" i="2"/>
  <c r="Z1622" i="2"/>
  <c r="R1623" i="2"/>
  <c r="X1623" i="2" s="1"/>
  <c r="X1622" i="2"/>
  <c r="U1645" i="2"/>
  <c r="R1646" i="2"/>
  <c r="X1646" i="2" s="1"/>
  <c r="X1645" i="2"/>
  <c r="Z1645" i="2"/>
  <c r="AE1567" i="2"/>
  <c r="AE1537" i="2"/>
  <c r="AE1312" i="2"/>
  <c r="AE1373" i="2"/>
  <c r="Z1317" i="2"/>
  <c r="U1317" i="2"/>
  <c r="R1318" i="2"/>
  <c r="X1317" i="2"/>
  <c r="K1178" i="2"/>
  <c r="K1179" i="2" s="1"/>
  <c r="K1180" i="2" s="1"/>
  <c r="K1181" i="2" s="1"/>
  <c r="K1182" i="2" s="1"/>
  <c r="K1183" i="2" s="1"/>
  <c r="K1184" i="2" s="1"/>
  <c r="K1185" i="2" s="1"/>
  <c r="K1186" i="2" s="1"/>
  <c r="K1187" i="2" s="1"/>
  <c r="X729" i="2"/>
  <c r="Z729" i="2"/>
  <c r="U729" i="2"/>
  <c r="AE1827" i="2"/>
  <c r="U1677" i="2"/>
  <c r="R1678" i="2"/>
  <c r="X1677" i="2"/>
  <c r="Z1677" i="2"/>
  <c r="AE1296" i="2"/>
  <c r="B155" i="64"/>
  <c r="C155" i="64" s="1"/>
  <c r="AE1139" i="2"/>
  <c r="R878" i="2"/>
  <c r="X878" i="2" s="1"/>
  <c r="X877" i="2"/>
  <c r="U411" i="2"/>
  <c r="R412" i="2"/>
  <c r="X411" i="2"/>
  <c r="Z411" i="2"/>
  <c r="AE2099" i="2"/>
  <c r="B250" i="64"/>
  <c r="C250" i="64" s="1"/>
  <c r="AE2135" i="2"/>
  <c r="AE2095" i="2"/>
  <c r="AE1751" i="2"/>
  <c r="AE1688" i="2"/>
  <c r="AE1434" i="2"/>
  <c r="AE1375" i="2"/>
  <c r="Z1361" i="2"/>
  <c r="U1361" i="2"/>
  <c r="X1361" i="2"/>
  <c r="R1362" i="2"/>
  <c r="X1362" i="2" s="1"/>
  <c r="B146" i="64"/>
  <c r="C146" i="64" s="1"/>
  <c r="AE1164" i="2"/>
  <c r="Z564" i="2"/>
  <c r="U564" i="2"/>
  <c r="X564" i="2"/>
  <c r="U502" i="2"/>
  <c r="R503" i="2"/>
  <c r="X502" i="2"/>
  <c r="Z502" i="2"/>
  <c r="U479" i="2"/>
  <c r="R480" i="2"/>
  <c r="X479" i="2"/>
  <c r="Z479" i="2"/>
  <c r="U351" i="2"/>
  <c r="R352" i="2"/>
  <c r="X351" i="2"/>
  <c r="Z351" i="2"/>
  <c r="AE1977" i="2"/>
  <c r="X1815" i="2"/>
  <c r="R1816" i="2"/>
  <c r="X1816" i="2" s="1"/>
  <c r="K1561" i="2"/>
  <c r="K1562" i="2" s="1"/>
  <c r="K1563" i="2" s="1"/>
  <c r="K1564" i="2" s="1"/>
  <c r="K1565" i="2" s="1"/>
  <c r="AE1460" i="2"/>
  <c r="U1480" i="2"/>
  <c r="R1481" i="2"/>
  <c r="X1480" i="2"/>
  <c r="Z1480" i="2"/>
  <c r="B112" i="64"/>
  <c r="C112" i="64" s="1"/>
  <c r="AE983" i="2"/>
  <c r="X521" i="2"/>
  <c r="U521" i="2"/>
  <c r="Z521" i="2"/>
  <c r="R522" i="2"/>
  <c r="AE273" i="2"/>
  <c r="B31" i="64"/>
  <c r="C31" i="64" s="1"/>
  <c r="AE206" i="2"/>
  <c r="B238" i="64"/>
  <c r="C238" i="64" s="1"/>
  <c r="AE41" i="2"/>
  <c r="Z39" i="2"/>
  <c r="AE2053" i="2"/>
  <c r="AE1698" i="2"/>
  <c r="U1180" i="2"/>
  <c r="R1181" i="2"/>
  <c r="X1180" i="2"/>
  <c r="Z1180" i="2"/>
  <c r="X719" i="2"/>
  <c r="Z719" i="2"/>
  <c r="U719" i="2"/>
  <c r="AE746" i="2"/>
  <c r="U460" i="2"/>
  <c r="R461" i="2"/>
  <c r="X460" i="2"/>
  <c r="Z460" i="2"/>
  <c r="B159" i="64"/>
  <c r="C159" i="64" s="1"/>
  <c r="AE142" i="2"/>
  <c r="Z2111" i="2"/>
  <c r="U2111" i="2"/>
  <c r="R2112" i="2"/>
  <c r="X2111" i="2"/>
  <c r="AE1712" i="2"/>
  <c r="U1672" i="2"/>
  <c r="R1673" i="2"/>
  <c r="X1672" i="2"/>
  <c r="Z1672" i="2"/>
  <c r="B144" i="64"/>
  <c r="C144" i="64" s="1"/>
  <c r="AE1102" i="2"/>
  <c r="U567" i="2"/>
  <c r="X567" i="2"/>
  <c r="Z567" i="2"/>
  <c r="AE384" i="2"/>
  <c r="D177" i="2"/>
  <c r="H178" i="2"/>
  <c r="B268" i="64"/>
  <c r="C268" i="64" s="1"/>
  <c r="AE24" i="2"/>
  <c r="E19" i="2"/>
  <c r="B288" i="64"/>
  <c r="C288" i="64" s="1"/>
  <c r="AE2079" i="2"/>
  <c r="Z652" i="2"/>
  <c r="U652" i="2"/>
  <c r="R653" i="2"/>
  <c r="X652" i="2"/>
  <c r="AE326" i="2"/>
  <c r="X248" i="2"/>
  <c r="U248" i="2"/>
  <c r="Z248" i="2"/>
  <c r="I188" i="2"/>
  <c r="I189" i="2" s="1"/>
  <c r="I190" i="2" s="1"/>
  <c r="B163" i="64"/>
  <c r="C163" i="64" s="1"/>
  <c r="AE56" i="2"/>
  <c r="B48" i="64"/>
  <c r="C48" i="64" s="1"/>
  <c r="AE2066" i="2"/>
  <c r="AE1938" i="2"/>
  <c r="AE1800" i="2"/>
  <c r="U1420" i="2"/>
  <c r="R1421" i="2"/>
  <c r="Z1420" i="2"/>
  <c r="X1420" i="2"/>
  <c r="AE1366" i="2"/>
  <c r="X1140" i="2"/>
  <c r="R1141" i="2"/>
  <c r="X1141" i="2" s="1"/>
  <c r="K991" i="2"/>
  <c r="K992" i="2" s="1"/>
  <c r="X777" i="2"/>
  <c r="Z777" i="2"/>
  <c r="U777" i="2"/>
  <c r="AE583" i="2"/>
  <c r="U613" i="2"/>
  <c r="R614" i="2"/>
  <c r="X613" i="2"/>
  <c r="Z613" i="2"/>
  <c r="AE330" i="2"/>
  <c r="AE1554" i="2"/>
  <c r="U1487" i="2"/>
  <c r="X1487" i="2"/>
  <c r="R1488" i="2"/>
  <c r="X1488" i="2" s="1"/>
  <c r="Z1487" i="2"/>
  <c r="AE1306" i="2"/>
  <c r="AE1354" i="2"/>
  <c r="B253" i="64"/>
  <c r="C253" i="64" s="1"/>
  <c r="AE1043" i="2"/>
  <c r="I202" i="2"/>
  <c r="I203" i="2" s="1"/>
  <c r="I204" i="2" s="1"/>
  <c r="Z1548" i="2"/>
  <c r="U1548" i="2"/>
  <c r="R1549" i="2"/>
  <c r="X1548" i="2"/>
  <c r="AE1416" i="2"/>
  <c r="B139" i="64"/>
  <c r="C139" i="64" s="1"/>
  <c r="AE1099" i="2"/>
  <c r="U956" i="2"/>
  <c r="X956" i="2"/>
  <c r="R957" i="2"/>
  <c r="X957" i="2" s="1"/>
  <c r="Z956" i="2"/>
  <c r="U593" i="2"/>
  <c r="R594" i="2"/>
  <c r="X593" i="2"/>
  <c r="Z593" i="2"/>
  <c r="AE472" i="2"/>
  <c r="AE425" i="2"/>
  <c r="B197" i="64"/>
  <c r="C197" i="64" s="1"/>
  <c r="X1370" i="2"/>
  <c r="R1371" i="2"/>
  <c r="X1371" i="2" s="1"/>
  <c r="B153" i="64"/>
  <c r="C153" i="64" s="1"/>
  <c r="AE1151" i="2"/>
  <c r="B29" i="64"/>
  <c r="C29" i="64" s="1"/>
  <c r="AE688" i="2"/>
  <c r="Z622" i="2"/>
  <c r="U622" i="2"/>
  <c r="R623" i="2"/>
  <c r="X622" i="2"/>
  <c r="U574" i="2"/>
  <c r="R575" i="2"/>
  <c r="X574" i="2"/>
  <c r="Z574" i="2"/>
  <c r="B5" i="64"/>
  <c r="C5" i="64" s="1"/>
  <c r="B208" i="64"/>
  <c r="C208" i="64" s="1"/>
  <c r="AE2120" i="2"/>
  <c r="U2057" i="2"/>
  <c r="Z2057" i="2"/>
  <c r="X2057" i="2"/>
  <c r="R2058" i="2"/>
  <c r="X2058" i="2" s="1"/>
  <c r="B175" i="64"/>
  <c r="C175" i="64" s="1"/>
  <c r="AE989" i="2"/>
  <c r="K918" i="2"/>
  <c r="K919" i="2" s="1"/>
  <c r="K920" i="2" s="1"/>
  <c r="K921" i="2" s="1"/>
  <c r="K922" i="2" s="1"/>
  <c r="K923" i="2" s="1"/>
  <c r="K924" i="2" s="1"/>
  <c r="AE673" i="2"/>
  <c r="AE487" i="2"/>
  <c r="AE446" i="2"/>
  <c r="K306" i="2"/>
  <c r="K307" i="2" s="1"/>
  <c r="B68" i="64"/>
  <c r="C68" i="64" s="1"/>
  <c r="AE44" i="2"/>
  <c r="B168" i="64"/>
  <c r="C168" i="64" s="1"/>
  <c r="AE154" i="2"/>
  <c r="AE1557" i="2"/>
  <c r="AE1342" i="2"/>
  <c r="AE1323" i="2"/>
  <c r="AE1706" i="2"/>
  <c r="B203" i="64"/>
  <c r="C203" i="64" s="1"/>
  <c r="X1171" i="2"/>
  <c r="R1172" i="2"/>
  <c r="X662" i="2"/>
  <c r="R663" i="2"/>
  <c r="AE449" i="2"/>
  <c r="AE454" i="2"/>
  <c r="B7" i="64"/>
  <c r="C7" i="64" s="1"/>
  <c r="AE81" i="2"/>
  <c r="U1538" i="2"/>
  <c r="R1539" i="2"/>
  <c r="X1538" i="2"/>
  <c r="Z1538" i="2"/>
  <c r="B177" i="64"/>
  <c r="C177" i="64" s="1"/>
  <c r="AE1027" i="2"/>
  <c r="AE1302" i="2"/>
  <c r="B174" i="64"/>
  <c r="C174" i="64" s="1"/>
  <c r="AE1065" i="2"/>
  <c r="U525" i="2"/>
  <c r="X525" i="2"/>
  <c r="Z525" i="2"/>
  <c r="R526" i="2"/>
  <c r="B61" i="64"/>
  <c r="C61" i="64" s="1"/>
  <c r="AE184" i="2"/>
  <c r="B34" i="64"/>
  <c r="C34" i="64" s="1"/>
  <c r="AE1988" i="2"/>
  <c r="U1828" i="2"/>
  <c r="R1829" i="2"/>
  <c r="X1828" i="2"/>
  <c r="Z1828" i="2"/>
  <c r="AE1328" i="2"/>
  <c r="U1297" i="2"/>
  <c r="X1297" i="2"/>
  <c r="R1298" i="2"/>
  <c r="X1298" i="2" s="1"/>
  <c r="Z1297" i="2"/>
  <c r="AE631" i="2"/>
  <c r="AE410" i="2"/>
  <c r="X222" i="2"/>
  <c r="Z222" i="2"/>
  <c r="U222" i="2"/>
  <c r="I2010" i="2"/>
  <c r="I2011" i="2" s="1"/>
  <c r="I2012" i="2" s="1"/>
  <c r="I2013" i="2" s="1"/>
  <c r="I2014" i="2" s="1"/>
  <c r="I2015" i="2" s="1"/>
  <c r="I2016" i="2" s="1"/>
  <c r="I2017" i="2" s="1"/>
  <c r="I2018" i="2" s="1"/>
  <c r="I2019" i="2" s="1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 s="1"/>
  <c r="I2031" i="2" s="1"/>
  <c r="I2032" i="2" s="1"/>
  <c r="I2033" i="2" s="1"/>
  <c r="I2034" i="2" s="1"/>
  <c r="I2035" i="2" s="1"/>
  <c r="I2036" i="2" s="1"/>
  <c r="I2037" i="2" s="1"/>
  <c r="I2038" i="2" s="1"/>
  <c r="I2039" i="2" s="1"/>
  <c r="I2040" i="2" s="1"/>
  <c r="I2041" i="2" s="1"/>
  <c r="I2042" i="2" s="1"/>
  <c r="I2043" i="2" s="1"/>
  <c r="I2044" i="2" s="1"/>
  <c r="I2045" i="2" s="1"/>
  <c r="I2046" i="2" s="1"/>
  <c r="I2047" i="2" s="1"/>
  <c r="I2048" i="2" s="1"/>
  <c r="I2049" i="2" s="1"/>
  <c r="I2050" i="2" s="1"/>
  <c r="I2051" i="2" s="1"/>
  <c r="I2052" i="2" s="1"/>
  <c r="I2053" i="2" s="1"/>
  <c r="I2054" i="2" s="1"/>
  <c r="I2055" i="2" s="1"/>
  <c r="I2056" i="2" s="1"/>
  <c r="I2057" i="2" s="1"/>
  <c r="I2058" i="2" s="1"/>
  <c r="U2100" i="2"/>
  <c r="R2101" i="2"/>
  <c r="X2100" i="2"/>
  <c r="Z2100" i="2"/>
  <c r="AE1921" i="2"/>
  <c r="B130" i="64"/>
  <c r="C130" i="64" s="1"/>
  <c r="Z2136" i="2"/>
  <c r="X2136" i="2"/>
  <c r="U2136" i="2"/>
  <c r="AE1832" i="2"/>
  <c r="X1307" i="2"/>
  <c r="R1308" i="2"/>
  <c r="X1308" i="2" s="1"/>
  <c r="AE1389" i="2"/>
  <c r="U637" i="2"/>
  <c r="X637" i="2"/>
  <c r="Z637" i="2"/>
  <c r="AE501" i="2"/>
  <c r="AE225" i="2"/>
  <c r="B82" i="64"/>
  <c r="C82" i="64" s="1"/>
  <c r="AE132" i="2"/>
  <c r="U1461" i="2"/>
  <c r="X1461" i="2"/>
  <c r="Z1461" i="2"/>
  <c r="AE1280" i="2"/>
  <c r="AE1284" i="2"/>
  <c r="AE520" i="2"/>
  <c r="U274" i="2"/>
  <c r="R275" i="2"/>
  <c r="X274" i="2"/>
  <c r="Z274" i="2"/>
  <c r="B17" i="64"/>
  <c r="C17" i="64" s="1"/>
  <c r="AE311" i="2"/>
  <c r="B252" i="64"/>
  <c r="C252" i="64" s="1"/>
  <c r="AE104" i="2"/>
  <c r="B4" i="64"/>
  <c r="C4" i="64" s="1"/>
  <c r="AE1986" i="2"/>
  <c r="X1971" i="2"/>
  <c r="Z1971" i="2"/>
  <c r="U1971" i="2"/>
  <c r="R1972" i="2"/>
  <c r="B224" i="64"/>
  <c r="C224" i="64" s="1"/>
  <c r="AE1745" i="2"/>
  <c r="AE1348" i="2"/>
  <c r="AE718" i="2"/>
  <c r="U747" i="2"/>
  <c r="R748" i="2"/>
  <c r="X747" i="2"/>
  <c r="Z747" i="2"/>
  <c r="AE419" i="2"/>
  <c r="X200" i="2"/>
  <c r="R201" i="2"/>
  <c r="X201" i="2" s="1"/>
  <c r="B315" i="64"/>
  <c r="C315" i="64" s="1"/>
  <c r="AE66" i="2"/>
  <c r="B313" i="64"/>
  <c r="C313" i="64" s="1"/>
  <c r="AE70" i="2"/>
  <c r="I49" i="2"/>
  <c r="I50" i="2" s="1"/>
  <c r="U1905" i="2"/>
  <c r="X1905" i="2"/>
  <c r="Z1905" i="2"/>
  <c r="X2121" i="2"/>
  <c r="R2122" i="2"/>
  <c r="AE1822" i="2"/>
  <c r="AE1410" i="2"/>
  <c r="AE1393" i="2"/>
  <c r="AE1437" i="2"/>
  <c r="X1198" i="2"/>
  <c r="Z1198" i="2"/>
  <c r="R1199" i="2"/>
  <c r="U1198" i="2"/>
  <c r="U476" i="2"/>
  <c r="X476" i="2"/>
  <c r="Z476" i="2"/>
  <c r="AE278" i="2"/>
  <c r="B265" i="64"/>
  <c r="C265" i="64" s="1"/>
  <c r="AE38" i="2"/>
  <c r="K1436" i="2"/>
  <c r="K1437" i="2" s="1"/>
  <c r="K1438" i="2" s="1"/>
  <c r="K1439" i="2" s="1"/>
  <c r="K1440" i="2" s="1"/>
  <c r="K1441" i="2" s="1"/>
  <c r="K1442" i="2" s="1"/>
  <c r="K1443" i="2" s="1"/>
  <c r="K1444" i="2" s="1"/>
  <c r="AE540" i="2"/>
  <c r="X1148" i="2"/>
  <c r="R1149" i="2"/>
  <c r="X1149" i="2" s="1"/>
  <c r="K1586" i="2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AE510" i="2"/>
  <c r="AE524" i="2"/>
  <c r="AE532" i="2"/>
  <c r="AE334" i="2"/>
  <c r="B6" i="64"/>
  <c r="C6" i="64" s="1"/>
  <c r="U327" i="2"/>
  <c r="R328" i="2"/>
  <c r="X327" i="2"/>
  <c r="Z327" i="2"/>
  <c r="X185" i="2"/>
  <c r="R186" i="2"/>
  <c r="K78" i="2"/>
  <c r="AE776" i="2"/>
  <c r="K826" i="2"/>
  <c r="K827" i="2" s="1"/>
  <c r="K828" i="2" s="1"/>
  <c r="K829" i="2" s="1"/>
  <c r="U643" i="2"/>
  <c r="R644" i="2"/>
  <c r="X643" i="2"/>
  <c r="Z643" i="2"/>
  <c r="AE569" i="2"/>
  <c r="Z538" i="2"/>
  <c r="U538" i="2"/>
  <c r="X538" i="2"/>
  <c r="U331" i="2"/>
  <c r="R332" i="2"/>
  <c r="X331" i="2"/>
  <c r="Z331" i="2"/>
  <c r="K1732" i="2"/>
  <c r="K1733" i="2" s="1"/>
  <c r="K1734" i="2" s="1"/>
  <c r="K1735" i="2" s="1"/>
  <c r="K1736" i="2" s="1"/>
  <c r="B152" i="64"/>
  <c r="C152" i="64" s="1"/>
  <c r="AE1105" i="2"/>
  <c r="AE636" i="2"/>
  <c r="B314" i="64"/>
  <c r="C314" i="64" s="1"/>
  <c r="AE54" i="2"/>
  <c r="AE2020" i="2"/>
  <c r="AE1702" i="2"/>
  <c r="X1719" i="2"/>
  <c r="Z1719" i="2"/>
  <c r="U1719" i="2"/>
  <c r="R1720" i="2"/>
  <c r="AE905" i="2"/>
  <c r="B133" i="64"/>
  <c r="C133" i="64" s="1"/>
  <c r="AE859" i="2"/>
  <c r="AE695" i="2"/>
  <c r="U617" i="2"/>
  <c r="R618" i="2"/>
  <c r="X617" i="2"/>
  <c r="Z617" i="2"/>
  <c r="AE422" i="2"/>
  <c r="U473" i="2"/>
  <c r="X473" i="2"/>
  <c r="Z473" i="2"/>
  <c r="U426" i="2"/>
  <c r="R427" i="2"/>
  <c r="X426" i="2"/>
  <c r="Z426" i="2"/>
  <c r="AE1781" i="2"/>
  <c r="X1429" i="2"/>
  <c r="R1430" i="2"/>
  <c r="X1430" i="2" s="1"/>
  <c r="AE1472" i="2"/>
  <c r="AE1252" i="2"/>
  <c r="B27" i="64"/>
  <c r="C27" i="64" s="1"/>
  <c r="AE1216" i="2"/>
  <c r="I1138" i="2"/>
  <c r="I1139" i="2" s="1"/>
  <c r="I1140" i="2" s="1"/>
  <c r="AE868" i="2"/>
  <c r="AE550" i="2"/>
  <c r="AE290" i="2"/>
  <c r="AE1904" i="2"/>
  <c r="B85" i="64"/>
  <c r="C85" i="64" s="1"/>
  <c r="K1494" i="2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X1411" i="2"/>
  <c r="R1412" i="2"/>
  <c r="X1412" i="2" s="1"/>
  <c r="U1438" i="2"/>
  <c r="R1439" i="2"/>
  <c r="Z1438" i="2"/>
  <c r="X1438" i="2"/>
  <c r="AE1391" i="2"/>
  <c r="AE818" i="2"/>
  <c r="U447" i="2"/>
  <c r="X447" i="2"/>
  <c r="Z447" i="2"/>
  <c r="B131" i="64"/>
  <c r="C131" i="64" s="1"/>
  <c r="AE88" i="2"/>
  <c r="B290" i="64"/>
  <c r="C290" i="64" s="1"/>
  <c r="AE2104" i="2"/>
  <c r="B275" i="64"/>
  <c r="C275" i="64" s="1"/>
  <c r="AE977" i="2"/>
  <c r="AE791" i="2"/>
  <c r="AE596" i="2"/>
  <c r="AE429" i="2"/>
  <c r="AE516" i="2"/>
  <c r="U2030" i="2"/>
  <c r="R2031" i="2"/>
  <c r="X2030" i="2"/>
  <c r="Z2030" i="2"/>
  <c r="AE1665" i="2"/>
  <c r="AE1630" i="2"/>
  <c r="AE1268" i="2"/>
  <c r="B52" i="64"/>
  <c r="C52" i="64" s="1"/>
  <c r="AE1214" i="2"/>
  <c r="K893" i="2"/>
  <c r="K894" i="2" s="1"/>
  <c r="K895" i="2" s="1"/>
  <c r="AE1594" i="2"/>
  <c r="AE1446" i="2"/>
  <c r="Z1555" i="2"/>
  <c r="U1555" i="2"/>
  <c r="X1555" i="2"/>
  <c r="AE1587" i="2"/>
  <c r="B154" i="64"/>
  <c r="C154" i="64" s="1"/>
  <c r="AE1155" i="2"/>
  <c r="B110" i="64"/>
  <c r="C110" i="64" s="1"/>
  <c r="AE1040" i="2"/>
  <c r="U1936" i="2"/>
  <c r="Z1936" i="2"/>
  <c r="X1936" i="2"/>
  <c r="X1386" i="2"/>
  <c r="R1387" i="2"/>
  <c r="X1387" i="2" s="1"/>
  <c r="B210" i="64"/>
  <c r="C210" i="64" s="1"/>
  <c r="AE1238" i="2"/>
  <c r="U792" i="2"/>
  <c r="X792" i="2"/>
  <c r="Z792" i="2"/>
  <c r="AE560" i="2"/>
  <c r="AE469" i="2"/>
  <c r="U517" i="2"/>
  <c r="R518" i="2"/>
  <c r="Z517" i="2"/>
  <c r="X517" i="2"/>
  <c r="U2075" i="2"/>
  <c r="R2076" i="2"/>
  <c r="X2075" i="2"/>
  <c r="Z2075" i="2"/>
  <c r="AE1648" i="2"/>
  <c r="U1666" i="2"/>
  <c r="R1667" i="2"/>
  <c r="X1666" i="2"/>
  <c r="Z1666" i="2"/>
  <c r="AE1300" i="2"/>
  <c r="AE661" i="2"/>
  <c r="B215" i="64"/>
  <c r="C215" i="64" s="1"/>
  <c r="AE378" i="2"/>
  <c r="Z455" i="2"/>
  <c r="U455" i="2"/>
  <c r="R456" i="2"/>
  <c r="X455" i="2"/>
  <c r="B128" i="64"/>
  <c r="C128" i="64" s="1"/>
  <c r="AE1892" i="2"/>
  <c r="I1382" i="2"/>
  <c r="I1383" i="2" s="1"/>
  <c r="I1384" i="2" s="1"/>
  <c r="I1385" i="2" s="1"/>
  <c r="I1386" i="2" s="1"/>
  <c r="B216" i="64"/>
  <c r="C216" i="64" s="1"/>
  <c r="AE839" i="2"/>
  <c r="Z629" i="2"/>
  <c r="U629" i="2"/>
  <c r="X629" i="2"/>
  <c r="AE382" i="2"/>
  <c r="B263" i="64"/>
  <c r="C263" i="64" s="1"/>
  <c r="AE22" i="2"/>
  <c r="U1989" i="2"/>
  <c r="R1990" i="2"/>
  <c r="X1989" i="2"/>
  <c r="Z1989" i="2"/>
  <c r="K1321" i="2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U1329" i="2"/>
  <c r="R1330" i="2"/>
  <c r="X1329" i="2"/>
  <c r="Z1329" i="2"/>
  <c r="B119" i="64"/>
  <c r="C119" i="64" s="1"/>
  <c r="AE1195" i="2"/>
  <c r="B26" i="64"/>
  <c r="C26" i="64" s="1"/>
  <c r="X699" i="2"/>
  <c r="Z699" i="2"/>
  <c r="U699" i="2"/>
  <c r="U632" i="2"/>
  <c r="R633" i="2"/>
  <c r="Z632" i="2"/>
  <c r="X632" i="2"/>
  <c r="AE642" i="2"/>
  <c r="AE537" i="2"/>
  <c r="B70" i="64"/>
  <c r="C70" i="64" s="1"/>
  <c r="AE320" i="2"/>
  <c r="AE363" i="2"/>
  <c r="AE221" i="2"/>
  <c r="K2084" i="2"/>
  <c r="K2085" i="2" s="1"/>
  <c r="K2086" i="2" s="1"/>
  <c r="AE1776" i="2"/>
  <c r="I1014" i="2"/>
  <c r="I1015" i="2" s="1"/>
  <c r="I1016" i="2" s="1"/>
  <c r="I1194" i="2"/>
  <c r="I1195" i="2" s="1"/>
  <c r="I1196" i="2" s="1"/>
  <c r="I1197" i="2" s="1"/>
  <c r="I1198" i="2" s="1"/>
  <c r="I1199" i="2" s="1"/>
  <c r="B141" i="64"/>
  <c r="C141" i="64" s="1"/>
  <c r="AE1128" i="2"/>
  <c r="X1156" i="2"/>
  <c r="R1157" i="2"/>
  <c r="X1157" i="2" s="1"/>
  <c r="AE862" i="2"/>
  <c r="AE605" i="2"/>
  <c r="AE441" i="2"/>
  <c r="AE438" i="2"/>
  <c r="AE251" i="2"/>
  <c r="AE1715" i="2"/>
  <c r="U1285" i="2"/>
  <c r="R1286" i="2"/>
  <c r="X1285" i="2"/>
  <c r="Z1285" i="2"/>
  <c r="U312" i="2"/>
  <c r="R313" i="2"/>
  <c r="X312" i="2"/>
  <c r="Z312" i="2"/>
  <c r="X73" i="2"/>
  <c r="R74" i="2"/>
  <c r="B296" i="64"/>
  <c r="C296" i="64" s="1"/>
  <c r="AE136" i="2"/>
  <c r="Z42" i="2"/>
  <c r="Z20" i="2"/>
  <c r="K1923" i="2"/>
  <c r="K1924" i="2" s="1"/>
  <c r="K1925" i="2" s="1"/>
  <c r="K1926" i="2" s="1"/>
  <c r="K1927" i="2" s="1"/>
  <c r="AE1428" i="2"/>
  <c r="Z1253" i="2"/>
  <c r="X1253" i="2"/>
  <c r="U1253" i="2"/>
  <c r="R1254" i="2"/>
  <c r="AE238" i="2"/>
  <c r="B235" i="64"/>
  <c r="C235" i="64" s="1"/>
  <c r="AE161" i="2"/>
  <c r="U1823" i="2"/>
  <c r="R1824" i="2"/>
  <c r="X1823" i="2"/>
  <c r="Z1823" i="2"/>
  <c r="U1394" i="2"/>
  <c r="R1395" i="2"/>
  <c r="X1394" i="2"/>
  <c r="Z1394" i="2"/>
  <c r="B97" i="64"/>
  <c r="C97" i="64" s="1"/>
  <c r="AE1197" i="2"/>
  <c r="AE475" i="2"/>
  <c r="B304" i="64"/>
  <c r="C304" i="64" s="1"/>
  <c r="AE19" i="2"/>
  <c r="I1775" i="2"/>
  <c r="I1776" i="2" s="1"/>
  <c r="I1777" i="2" s="1"/>
  <c r="I1778" i="2" s="1"/>
  <c r="I1779" i="2" s="1"/>
  <c r="I1780" i="2" s="1"/>
  <c r="I1781" i="2" s="1"/>
  <c r="I1782" i="2" s="1"/>
  <c r="I1783" i="2" s="1"/>
  <c r="I1078" i="2"/>
  <c r="I1079" i="2" s="1"/>
  <c r="I1080" i="2" s="1"/>
  <c r="Z1649" i="2"/>
  <c r="X1649" i="2"/>
  <c r="R1650" i="2"/>
  <c r="U1649" i="2"/>
  <c r="AE1739" i="2"/>
  <c r="Z1612" i="2"/>
  <c r="U1612" i="2"/>
  <c r="R1613" i="2"/>
  <c r="X1612" i="2"/>
  <c r="B176" i="64"/>
  <c r="C176" i="64" s="1"/>
  <c r="AE1008" i="2"/>
  <c r="AE608" i="2"/>
  <c r="AE1850" i="2"/>
  <c r="AE1513" i="2"/>
  <c r="AE1232" i="2"/>
  <c r="B161" i="64"/>
  <c r="C161" i="64" s="1"/>
  <c r="AE1170" i="2"/>
  <c r="AE797" i="2"/>
  <c r="AE229" i="2"/>
  <c r="U82" i="2"/>
  <c r="X82" i="2"/>
  <c r="Z82" i="2"/>
  <c r="R83" i="2"/>
  <c r="I1840" i="2"/>
  <c r="I1841" i="2" s="1"/>
  <c r="I1842" i="2" s="1"/>
  <c r="I1843" i="2" s="1"/>
  <c r="I1844" i="2" s="1"/>
  <c r="B136" i="64"/>
  <c r="C136" i="64" s="1"/>
  <c r="AE1125" i="2"/>
  <c r="AE959" i="2"/>
  <c r="Z533" i="2"/>
  <c r="U533" i="2"/>
  <c r="R534" i="2"/>
  <c r="X533" i="2"/>
  <c r="Z335" i="2"/>
  <c r="U335" i="2"/>
  <c r="R336" i="2"/>
  <c r="X335" i="2"/>
  <c r="AE268" i="2"/>
  <c r="B8" i="64"/>
  <c r="C8" i="64" s="1"/>
  <c r="AE258" i="2"/>
  <c r="AE1997" i="2"/>
  <c r="U1595" i="2"/>
  <c r="R1596" i="2"/>
  <c r="Z1595" i="2"/>
  <c r="X1595" i="2"/>
  <c r="X1447" i="2"/>
  <c r="R1448" i="2"/>
  <c r="X1448" i="2" s="1"/>
  <c r="B173" i="64"/>
  <c r="C173" i="64" s="1"/>
  <c r="AE1046" i="2"/>
  <c r="U678" i="2"/>
  <c r="X678" i="2"/>
  <c r="Z678" i="2"/>
  <c r="R679" i="2"/>
  <c r="Z570" i="2"/>
  <c r="U570" i="2"/>
  <c r="R571" i="2"/>
  <c r="X570" i="2"/>
  <c r="AE464" i="2"/>
  <c r="AE297" i="2"/>
  <c r="AE181" i="2"/>
  <c r="B280" i="64"/>
  <c r="C280" i="64" s="1"/>
  <c r="B226" i="64"/>
  <c r="C226" i="64" s="1"/>
  <c r="AE2142" i="2"/>
  <c r="B207" i="64"/>
  <c r="C207" i="64" s="1"/>
  <c r="AE1501" i="2"/>
  <c r="U1588" i="2"/>
  <c r="R1589" i="2"/>
  <c r="Z1588" i="2"/>
  <c r="X1588" i="2"/>
  <c r="AE934" i="2"/>
  <c r="AE1291" i="2"/>
  <c r="AE701" i="2"/>
  <c r="B54" i="64"/>
  <c r="C54" i="64" s="1"/>
  <c r="X252" i="2"/>
  <c r="U252" i="2"/>
  <c r="Z252" i="2"/>
  <c r="B109" i="64"/>
  <c r="C109" i="64" s="1"/>
  <c r="AE168" i="2"/>
  <c r="B78" i="64"/>
  <c r="C78" i="64" s="1"/>
  <c r="AE212" i="2"/>
  <c r="B312" i="64"/>
  <c r="C312" i="64" s="1"/>
  <c r="AE58" i="2"/>
  <c r="U2021" i="2"/>
  <c r="R2022" i="2"/>
  <c r="X2021" i="2"/>
  <c r="Z2021" i="2"/>
  <c r="B323" i="64"/>
  <c r="C323" i="64" s="1"/>
  <c r="AE2069" i="2"/>
  <c r="AE1718" i="2"/>
  <c r="B120" i="64"/>
  <c r="C120" i="64" s="1"/>
  <c r="AE1190" i="2"/>
  <c r="B273" i="64"/>
  <c r="C273" i="64" s="1"/>
  <c r="AE1034" i="2"/>
  <c r="X783" i="2"/>
  <c r="R784" i="2"/>
  <c r="X784" i="2" s="1"/>
  <c r="U696" i="2"/>
  <c r="X696" i="2"/>
  <c r="Z696" i="2"/>
  <c r="AE616" i="2"/>
  <c r="B9" i="64"/>
  <c r="C9" i="64" s="1"/>
  <c r="Z423" i="2"/>
  <c r="U423" i="2"/>
  <c r="X423" i="2"/>
  <c r="AE387" i="2"/>
  <c r="B11" i="64"/>
  <c r="C11" i="64" s="1"/>
  <c r="AE242" i="2"/>
  <c r="X171" i="2"/>
  <c r="R172" i="2"/>
  <c r="F15" i="2"/>
  <c r="F16" i="2" s="1"/>
  <c r="F17" i="2" s="1"/>
  <c r="B267" i="64"/>
  <c r="C267" i="64" s="1"/>
  <c r="AE26" i="2"/>
  <c r="Z105" i="2"/>
  <c r="U105" i="2"/>
  <c r="X105" i="2"/>
  <c r="R106" i="2"/>
  <c r="B318" i="64"/>
  <c r="C318" i="64" s="1"/>
  <c r="AE358" i="2"/>
  <c r="AE1910" i="2"/>
  <c r="AE1841" i="2"/>
  <c r="U1473" i="2"/>
  <c r="R1474" i="2"/>
  <c r="X1473" i="2"/>
  <c r="Z1473" i="2"/>
  <c r="AE1274" i="2"/>
  <c r="B89" i="64"/>
  <c r="C89" i="64" s="1"/>
  <c r="AE1037" i="2"/>
  <c r="X725" i="2"/>
  <c r="R726" i="2"/>
  <c r="X726" i="2" s="1"/>
  <c r="Z551" i="2"/>
  <c r="U551" i="2"/>
  <c r="R552" i="2"/>
  <c r="X551" i="2"/>
  <c r="B96" i="64"/>
  <c r="C96" i="64" s="1"/>
  <c r="AE113" i="2"/>
  <c r="K2103" i="2"/>
  <c r="K2104" i="2" s="1"/>
  <c r="K2105" i="2" s="1"/>
  <c r="K2106" i="2" s="1"/>
  <c r="K2107" i="2" s="1"/>
  <c r="AE2047" i="2"/>
  <c r="B122" i="64"/>
  <c r="C122" i="64" s="1"/>
  <c r="AE1857" i="2"/>
  <c r="AE1352" i="2"/>
  <c r="AE805" i="2"/>
  <c r="Z279" i="2"/>
  <c r="U279" i="2"/>
  <c r="X279" i="2"/>
  <c r="R280" i="2"/>
  <c r="I409" i="2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Z115" i="2"/>
  <c r="U94" i="2" l="1"/>
  <c r="X94" i="2"/>
  <c r="Z94" i="2"/>
  <c r="AE93" i="2"/>
  <c r="B51" i="64"/>
  <c r="C51" i="64" s="1"/>
  <c r="Z370" i="2"/>
  <c r="U370" i="2"/>
  <c r="R371" i="2"/>
  <c r="X370" i="2"/>
  <c r="Z580" i="2"/>
  <c r="R581" i="2"/>
  <c r="X581" i="2" s="1"/>
  <c r="X580" i="2"/>
  <c r="U580" i="2"/>
  <c r="U606" i="2"/>
  <c r="X606" i="2"/>
  <c r="Z606" i="2"/>
  <c r="Z1379" i="2"/>
  <c r="AE1379" i="2" s="1"/>
  <c r="U1379" i="2"/>
  <c r="R1380" i="2"/>
  <c r="X1379" i="2"/>
  <c r="H21" i="2"/>
  <c r="D20" i="2"/>
  <c r="X99" i="2"/>
  <c r="Z99" i="2"/>
  <c r="U99" i="2"/>
  <c r="R100" i="2"/>
  <c r="X256" i="2"/>
  <c r="Z256" i="2"/>
  <c r="AE256" i="2" s="1"/>
  <c r="U256" i="2"/>
  <c r="X1210" i="2"/>
  <c r="R1211" i="2"/>
  <c r="B292" i="64"/>
  <c r="C292" i="64" s="1"/>
  <c r="AE1176" i="2"/>
  <c r="X1838" i="2"/>
  <c r="R1839" i="2"/>
  <c r="X1839" i="2" s="1"/>
  <c r="Z484" i="2"/>
  <c r="AE484" i="2" s="1"/>
  <c r="U484" i="2"/>
  <c r="X484" i="2"/>
  <c r="R485" i="2"/>
  <c r="R2091" i="2"/>
  <c r="X2091" i="2" s="1"/>
  <c r="X2090" i="2"/>
  <c r="U1222" i="2"/>
  <c r="R1223" i="2"/>
  <c r="Z1222" i="2"/>
  <c r="AE1222" i="2" s="1"/>
  <c r="X1222" i="2"/>
  <c r="U1401" i="2"/>
  <c r="R1402" i="2"/>
  <c r="X1401" i="2"/>
  <c r="Z1401" i="2"/>
  <c r="R1736" i="2"/>
  <c r="X1736" i="2" s="1"/>
  <c r="X1735" i="2"/>
  <c r="X2051" i="2"/>
  <c r="U2051" i="2"/>
  <c r="Z2051" i="2"/>
  <c r="AE2051" i="2" s="1"/>
  <c r="U295" i="2"/>
  <c r="X295" i="2"/>
  <c r="Z295" i="2"/>
  <c r="AE295" i="2" s="1"/>
  <c r="X1765" i="2"/>
  <c r="U1765" i="2"/>
  <c r="Z1765" i="2"/>
  <c r="AE1765" i="2" s="1"/>
  <c r="Z740" i="2"/>
  <c r="AE740" i="2" s="1"/>
  <c r="U740" i="2"/>
  <c r="Z769" i="2"/>
  <c r="U769" i="2"/>
  <c r="R770" i="2"/>
  <c r="X769" i="2"/>
  <c r="R399" i="2"/>
  <c r="X399" i="2" s="1"/>
  <c r="R227" i="2"/>
  <c r="X227" i="2" s="1"/>
  <c r="X398" i="2"/>
  <c r="AE98" i="2"/>
  <c r="U1735" i="2"/>
  <c r="Z1735" i="2"/>
  <c r="AE1735" i="2" s="1"/>
  <c r="Z226" i="2"/>
  <c r="AE226" i="2" s="1"/>
  <c r="Z398" i="2"/>
  <c r="AE398" i="2" s="1"/>
  <c r="R1766" i="2"/>
  <c r="X1766" i="2" s="1"/>
  <c r="X1607" i="2"/>
  <c r="Z1607" i="2"/>
  <c r="AE1607" i="2" s="1"/>
  <c r="X514" i="2"/>
  <c r="R659" i="2"/>
  <c r="X659" i="2" s="1"/>
  <c r="Z658" i="2"/>
  <c r="AE658" i="2" s="1"/>
  <c r="X1161" i="2"/>
  <c r="U514" i="2"/>
  <c r="X658" i="2"/>
  <c r="X740" i="2"/>
  <c r="R741" i="2"/>
  <c r="X741" i="2" s="1"/>
  <c r="B234" i="64"/>
  <c r="C234" i="64" s="1"/>
  <c r="B116" i="64"/>
  <c r="C116" i="64" s="1"/>
  <c r="X1684" i="2"/>
  <c r="Z1760" i="2"/>
  <c r="AE1760" i="2" s="1"/>
  <c r="B321" i="64"/>
  <c r="C321" i="64" s="1"/>
  <c r="X1260" i="2"/>
  <c r="J82" i="68"/>
  <c r="J30" i="68"/>
  <c r="Z1684" i="2"/>
  <c r="AE1684" i="2" s="1"/>
  <c r="R404" i="2"/>
  <c r="X404" i="2" s="1"/>
  <c r="X403" i="2"/>
  <c r="R1761" i="2"/>
  <c r="X1761" i="2" s="1"/>
  <c r="U403" i="2"/>
  <c r="X1760" i="2"/>
  <c r="R1608" i="2"/>
  <c r="X1608" i="2" s="1"/>
  <c r="R1685" i="2"/>
  <c r="U1782" i="2"/>
  <c r="Z1782" i="2"/>
  <c r="AE1782" i="2" s="1"/>
  <c r="R1783" i="2"/>
  <c r="X1783" i="2" s="1"/>
  <c r="Z340" i="2"/>
  <c r="AE340" i="2" s="1"/>
  <c r="X340" i="2"/>
  <c r="Z152" i="2"/>
  <c r="AE152" i="2" s="1"/>
  <c r="U530" i="2"/>
  <c r="X530" i="2"/>
  <c r="R649" i="2"/>
  <c r="X1600" i="2"/>
  <c r="U2040" i="2"/>
  <c r="X2040" i="2"/>
  <c r="R2041" i="2"/>
  <c r="Z2040" i="2"/>
  <c r="AE2040" i="2" s="1"/>
  <c r="X648" i="2"/>
  <c r="J6" i="68"/>
  <c r="X348" i="2"/>
  <c r="X393" i="2"/>
  <c r="R1534" i="2"/>
  <c r="R394" i="2"/>
  <c r="X394" i="2" s="1"/>
  <c r="U348" i="2"/>
  <c r="U393" i="2"/>
  <c r="Z1533" i="2"/>
  <c r="AE1533" i="2" s="1"/>
  <c r="U1533" i="2"/>
  <c r="U648" i="2"/>
  <c r="R1261" i="2"/>
  <c r="Z1260" i="2"/>
  <c r="AE1260" i="2" s="1"/>
  <c r="X1521" i="2"/>
  <c r="Z1655" i="2"/>
  <c r="AE1655" i="2" s="1"/>
  <c r="X226" i="2"/>
  <c r="B108" i="64"/>
  <c r="C108" i="64" s="1"/>
  <c r="X1655" i="2"/>
  <c r="R1522" i="2"/>
  <c r="X1522" i="2" s="1"/>
  <c r="U1521" i="2"/>
  <c r="R1527" i="2"/>
  <c r="X1527" i="2" s="1"/>
  <c r="Z1526" i="2"/>
  <c r="AE1526" i="2" s="1"/>
  <c r="X1526" i="2"/>
  <c r="R1656" i="2"/>
  <c r="U1656" i="2" s="1"/>
  <c r="U1600" i="2"/>
  <c r="R1601" i="2"/>
  <c r="Z1601" i="2" s="1"/>
  <c r="AE1601" i="2" s="1"/>
  <c r="B12" i="64"/>
  <c r="C12" i="64" s="1"/>
  <c r="B37" i="64"/>
  <c r="C37" i="64" s="1"/>
  <c r="B42" i="64"/>
  <c r="C42" i="64" s="1"/>
  <c r="B40" i="64"/>
  <c r="C40" i="64" s="1"/>
  <c r="B132" i="64"/>
  <c r="C132" i="64" s="1"/>
  <c r="W1704" i="2"/>
  <c r="W1575" i="2"/>
  <c r="W1636" i="2"/>
  <c r="W1503" i="2"/>
  <c r="B242" i="64"/>
  <c r="C242" i="64" s="1"/>
  <c r="AE1933" i="2"/>
  <c r="R548" i="2"/>
  <c r="X547" i="2"/>
  <c r="Z547" i="2"/>
  <c r="AE547" i="2" s="1"/>
  <c r="U547" i="2"/>
  <c r="B36" i="64"/>
  <c r="C36" i="64" s="1"/>
  <c r="B171" i="64"/>
  <c r="C171" i="64" s="1"/>
  <c r="X2062" i="2"/>
  <c r="R2063" i="2"/>
  <c r="X2063" i="2" s="1"/>
  <c r="Z177" i="2"/>
  <c r="AE177" i="2" s="1"/>
  <c r="Z1661" i="2"/>
  <c r="AE1661" i="2" s="1"/>
  <c r="U1661" i="2"/>
  <c r="R1662" i="2"/>
  <c r="X1661" i="2"/>
  <c r="U1469" i="2"/>
  <c r="R1470" i="2"/>
  <c r="X1469" i="2"/>
  <c r="Z1469" i="2"/>
  <c r="AE1469" i="2" s="1"/>
  <c r="U557" i="2"/>
  <c r="R558" i="2"/>
  <c r="X557" i="2"/>
  <c r="Z557" i="2"/>
  <c r="AE557" i="2" s="1"/>
  <c r="B22" i="64"/>
  <c r="C22" i="64" s="1"/>
  <c r="Z711" i="2"/>
  <c r="AE711" i="2" s="1"/>
  <c r="U711" i="2"/>
  <c r="X711" i="2"/>
  <c r="R712" i="2"/>
  <c r="B53" i="64"/>
  <c r="C53" i="64" s="1"/>
  <c r="B228" i="64"/>
  <c r="C228" i="64" s="1"/>
  <c r="B126" i="64"/>
  <c r="C126" i="64" s="1"/>
  <c r="U1534" i="2"/>
  <c r="X1534" i="2"/>
  <c r="Z1534" i="2"/>
  <c r="AE1534" i="2" s="1"/>
  <c r="U1787" i="2"/>
  <c r="R1788" i="2"/>
  <c r="X1788" i="2" s="1"/>
  <c r="X1787" i="2"/>
  <c r="Z1787" i="2"/>
  <c r="AE1787" i="2" s="1"/>
  <c r="U1543" i="2"/>
  <c r="X1543" i="2"/>
  <c r="Z1543" i="2"/>
  <c r="AE1543" i="2" s="1"/>
  <c r="R1544" i="2"/>
  <c r="U304" i="2"/>
  <c r="X304" i="2"/>
  <c r="R305" i="2"/>
  <c r="X305" i="2" s="1"/>
  <c r="Z304" i="2"/>
  <c r="AE304" i="2" s="1"/>
  <c r="K1928" i="2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X74" i="2"/>
  <c r="R75" i="2"/>
  <c r="X75" i="2" s="1"/>
  <c r="I1200" i="2"/>
  <c r="AE517" i="2"/>
  <c r="AE792" i="2"/>
  <c r="K896" i="2"/>
  <c r="K897" i="2" s="1"/>
  <c r="K898" i="2" s="1"/>
  <c r="K899" i="2" s="1"/>
  <c r="I1141" i="2"/>
  <c r="U644" i="2"/>
  <c r="X644" i="2"/>
  <c r="Z644" i="2"/>
  <c r="X1199" i="2"/>
  <c r="R1200" i="2"/>
  <c r="X1200" i="2" s="1"/>
  <c r="AE2136" i="2"/>
  <c r="U575" i="2"/>
  <c r="R576" i="2"/>
  <c r="X575" i="2"/>
  <c r="Z575" i="2"/>
  <c r="AE652" i="2"/>
  <c r="H179" i="2"/>
  <c r="H180" i="2" s="1"/>
  <c r="D178" i="2"/>
  <c r="E178" i="2" s="1"/>
  <c r="R2113" i="2"/>
  <c r="X2112" i="2"/>
  <c r="Z2112" i="2"/>
  <c r="U2112" i="2"/>
  <c r="U1181" i="2"/>
  <c r="R1182" i="2"/>
  <c r="X1181" i="2"/>
  <c r="Z1181" i="2"/>
  <c r="AE521" i="2"/>
  <c r="H22" i="2"/>
  <c r="H23" i="2" s="1"/>
  <c r="D21" i="2"/>
  <c r="E21" i="2" s="1"/>
  <c r="U489" i="2"/>
  <c r="X489" i="2"/>
  <c r="R490" i="2"/>
  <c r="X490" i="2" s="1"/>
  <c r="Z489" i="2"/>
  <c r="I820" i="2"/>
  <c r="I821" i="2" s="1"/>
  <c r="I822" i="2" s="1"/>
  <c r="U360" i="2"/>
  <c r="Z360" i="2"/>
  <c r="X360" i="2"/>
  <c r="R361" i="2"/>
  <c r="X361" i="2" s="1"/>
  <c r="U2071" i="2"/>
  <c r="X2071" i="2"/>
  <c r="R2072" i="2"/>
  <c r="Z2071" i="2"/>
  <c r="B245" i="64" s="1"/>
  <c r="C245" i="64" s="1"/>
  <c r="AE1292" i="2"/>
  <c r="X270" i="2"/>
  <c r="U270" i="2"/>
  <c r="Z270" i="2"/>
  <c r="I1225" i="2"/>
  <c r="I1226" i="2" s="1"/>
  <c r="I1227" i="2" s="1"/>
  <c r="I1228" i="2" s="1"/>
  <c r="I1229" i="2" s="1"/>
  <c r="I1230" i="2" s="1"/>
  <c r="U2013" i="2"/>
  <c r="R2014" i="2"/>
  <c r="X2013" i="2"/>
  <c r="Z2013" i="2"/>
  <c r="U1999" i="2"/>
  <c r="R2000" i="2"/>
  <c r="X1999" i="2"/>
  <c r="Z1999" i="2"/>
  <c r="U1559" i="2"/>
  <c r="X1559" i="2"/>
  <c r="R1560" i="2"/>
  <c r="X1560" i="2" s="1"/>
  <c r="Z1559" i="2"/>
  <c r="U365" i="2"/>
  <c r="R366" i="2"/>
  <c r="X365" i="2"/>
  <c r="Z365" i="2"/>
  <c r="AE494" i="2"/>
  <c r="AE470" i="2"/>
  <c r="I1081" i="2"/>
  <c r="I1082" i="2" s="1"/>
  <c r="I1083" i="2" s="1"/>
  <c r="U1824" i="2"/>
  <c r="X1824" i="2"/>
  <c r="R1825" i="2"/>
  <c r="X1825" i="2" s="1"/>
  <c r="Z1824" i="2"/>
  <c r="X1254" i="2"/>
  <c r="Z1254" i="2"/>
  <c r="U1254" i="2"/>
  <c r="R1255" i="2"/>
  <c r="AE403" i="2"/>
  <c r="I1387" i="2"/>
  <c r="X518" i="2"/>
  <c r="Z518" i="2"/>
  <c r="U518" i="2"/>
  <c r="AE1936" i="2"/>
  <c r="AE447" i="2"/>
  <c r="K1737" i="2"/>
  <c r="K1738" i="2" s="1"/>
  <c r="K1739" i="2" s="1"/>
  <c r="K1740" i="2" s="1"/>
  <c r="K1741" i="2" s="1"/>
  <c r="K79" i="2"/>
  <c r="B118" i="64"/>
  <c r="C118" i="64" s="1"/>
  <c r="AE1198" i="2"/>
  <c r="X2122" i="2"/>
  <c r="R2123" i="2"/>
  <c r="X2123" i="2" s="1"/>
  <c r="AE747" i="2"/>
  <c r="U1972" i="2"/>
  <c r="R1973" i="2"/>
  <c r="X1972" i="2"/>
  <c r="Z1972" i="2"/>
  <c r="I2059" i="2"/>
  <c r="I2060" i="2" s="1"/>
  <c r="AE1297" i="2"/>
  <c r="AE1538" i="2"/>
  <c r="AE593" i="2"/>
  <c r="U614" i="2"/>
  <c r="X614" i="2"/>
  <c r="Z614" i="2"/>
  <c r="AE648" i="2"/>
  <c r="U1673" i="2"/>
  <c r="R1674" i="2"/>
  <c r="X1673" i="2"/>
  <c r="Z1673" i="2"/>
  <c r="AE351" i="2"/>
  <c r="U480" i="2"/>
  <c r="X480" i="2"/>
  <c r="Z480" i="2"/>
  <c r="U1678" i="2"/>
  <c r="R1679" i="2"/>
  <c r="X1678" i="2"/>
  <c r="Z1678" i="2"/>
  <c r="K1188" i="2"/>
  <c r="K1189" i="2" s="1"/>
  <c r="K1190" i="2" s="1"/>
  <c r="K1191" i="2" s="1"/>
  <c r="AE1317" i="2"/>
  <c r="AE541" i="2"/>
  <c r="AE430" i="2"/>
  <c r="B259" i="64"/>
  <c r="C259" i="64" s="1"/>
  <c r="AE213" i="2"/>
  <c r="U299" i="2"/>
  <c r="X299" i="2"/>
  <c r="R300" i="2"/>
  <c r="X300" i="2" s="1"/>
  <c r="Z299" i="2"/>
  <c r="U585" i="2"/>
  <c r="X585" i="2"/>
  <c r="R586" i="2"/>
  <c r="X586" i="2" s="1"/>
  <c r="Z585" i="2"/>
  <c r="B182" i="64"/>
  <c r="C182" i="64" s="1"/>
  <c r="AE2067" i="2"/>
  <c r="G183" i="2"/>
  <c r="G184" i="2" s="1"/>
  <c r="G185" i="2" s="1"/>
  <c r="AE798" i="2"/>
  <c r="Z686" i="2"/>
  <c r="U686" i="2"/>
  <c r="X686" i="2"/>
  <c r="AE239" i="2"/>
  <c r="B297" i="64"/>
  <c r="C297" i="64" s="1"/>
  <c r="AE137" i="2"/>
  <c r="U244" i="2"/>
  <c r="X244" i="2"/>
  <c r="Z244" i="2"/>
  <c r="U1778" i="2"/>
  <c r="X1778" i="2"/>
  <c r="Z1778" i="2"/>
  <c r="I1647" i="2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 s="1"/>
  <c r="I1664" i="2" s="1"/>
  <c r="I1665" i="2" s="1"/>
  <c r="I1666" i="2" s="1"/>
  <c r="I1667" i="2" s="1"/>
  <c r="I1668" i="2" s="1"/>
  <c r="I1669" i="2" s="1"/>
  <c r="X336" i="2"/>
  <c r="Z336" i="2"/>
  <c r="U336" i="2"/>
  <c r="X1613" i="2"/>
  <c r="Z1613" i="2"/>
  <c r="U1613" i="2"/>
  <c r="R1614" i="2"/>
  <c r="AE279" i="2"/>
  <c r="AE551" i="2"/>
  <c r="AE1588" i="2"/>
  <c r="AE335" i="2"/>
  <c r="AE1612" i="2"/>
  <c r="B74" i="64"/>
  <c r="C74" i="64" s="1"/>
  <c r="AE312" i="2"/>
  <c r="I1017" i="2"/>
  <c r="I1018" i="2" s="1"/>
  <c r="I1019" i="2" s="1"/>
  <c r="B21" i="64"/>
  <c r="C21" i="64" s="1"/>
  <c r="AE699" i="2"/>
  <c r="AE1329" i="2"/>
  <c r="AE426" i="2"/>
  <c r="U371" i="2"/>
  <c r="X371" i="2"/>
  <c r="Z371" i="2"/>
  <c r="K830" i="2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X186" i="2"/>
  <c r="R187" i="2"/>
  <c r="X187" i="2" s="1"/>
  <c r="B186" i="64"/>
  <c r="C186" i="64" s="1"/>
  <c r="AE1461" i="2"/>
  <c r="AE1828" i="2"/>
  <c r="K925" i="2"/>
  <c r="K926" i="2" s="1"/>
  <c r="K927" i="2" s="1"/>
  <c r="AE956" i="2"/>
  <c r="AE2111" i="2"/>
  <c r="AE564" i="2"/>
  <c r="AE411" i="2"/>
  <c r="X542" i="2"/>
  <c r="R543" i="2"/>
  <c r="X543" i="2" s="1"/>
  <c r="U542" i="2"/>
  <c r="Z542" i="2"/>
  <c r="AE488" i="2"/>
  <c r="AE374" i="2"/>
  <c r="X770" i="2"/>
  <c r="Z770" i="2"/>
  <c r="R771" i="2"/>
  <c r="U770" i="2"/>
  <c r="U1293" i="2"/>
  <c r="X1293" i="2"/>
  <c r="R1294" i="2"/>
  <c r="X1294" i="2" s="1"/>
  <c r="Z1293" i="2"/>
  <c r="B24" i="64"/>
  <c r="C24" i="64" s="1"/>
  <c r="AE1227" i="2"/>
  <c r="X1515" i="2"/>
  <c r="Z1515" i="2"/>
  <c r="U1515" i="2"/>
  <c r="R1516" i="2"/>
  <c r="AE2012" i="2"/>
  <c r="AE1998" i="2"/>
  <c r="B46" i="64"/>
  <c r="C46" i="64" s="1"/>
  <c r="AE1713" i="2"/>
  <c r="U1690" i="2"/>
  <c r="X1690" i="2"/>
  <c r="R1691" i="2"/>
  <c r="X1691" i="2" s="1"/>
  <c r="Z1690" i="2"/>
  <c r="B286" i="64" s="1"/>
  <c r="C286" i="64" s="1"/>
  <c r="AE561" i="2"/>
  <c r="AE115" i="2"/>
  <c r="AE252" i="2"/>
  <c r="X1589" i="2"/>
  <c r="Z1589" i="2"/>
  <c r="U1589" i="2"/>
  <c r="R1590" i="2"/>
  <c r="I1845" i="2"/>
  <c r="I1846" i="2" s="1"/>
  <c r="I1847" i="2" s="1"/>
  <c r="I1784" i="2"/>
  <c r="I1785" i="2" s="1"/>
  <c r="I1786" i="2" s="1"/>
  <c r="I1787" i="2" s="1"/>
  <c r="I1788" i="2" s="1"/>
  <c r="AE1394" i="2"/>
  <c r="AE1285" i="2"/>
  <c r="AE1666" i="2"/>
  <c r="AE2075" i="2"/>
  <c r="U1720" i="2"/>
  <c r="X1720" i="2"/>
  <c r="R1721" i="2"/>
  <c r="X1721" i="2" s="1"/>
  <c r="Z1720" i="2"/>
  <c r="B129" i="64" s="1"/>
  <c r="C129" i="64" s="1"/>
  <c r="AE370" i="2"/>
  <c r="AE538" i="2"/>
  <c r="AE530" i="2"/>
  <c r="U748" i="2"/>
  <c r="Z748" i="2"/>
  <c r="X748" i="2"/>
  <c r="AE1971" i="2"/>
  <c r="AE222" i="2"/>
  <c r="U1539" i="2"/>
  <c r="X1539" i="2"/>
  <c r="Z1539" i="2"/>
  <c r="AE2057" i="2"/>
  <c r="X623" i="2"/>
  <c r="Z623" i="2"/>
  <c r="U623" i="2"/>
  <c r="R624" i="2"/>
  <c r="U594" i="2"/>
  <c r="X594" i="2"/>
  <c r="Z594" i="2"/>
  <c r="R742" i="2"/>
  <c r="AE719" i="2"/>
  <c r="K1566" i="2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U352" i="2"/>
  <c r="X352" i="2"/>
  <c r="Z352" i="2"/>
  <c r="AE1622" i="2"/>
  <c r="AE393" i="2"/>
  <c r="AE344" i="2"/>
  <c r="B65" i="64"/>
  <c r="C65" i="64" s="1"/>
  <c r="AE114" i="2"/>
  <c r="Z111" i="2"/>
  <c r="Z214" i="2"/>
  <c r="U214" i="2"/>
  <c r="R215" i="2"/>
  <c r="X214" i="2"/>
  <c r="AE465" i="2"/>
  <c r="AE584" i="2"/>
  <c r="X1211" i="2"/>
  <c r="R1212" i="2"/>
  <c r="X1212" i="2" s="1"/>
  <c r="AE269" i="2"/>
  <c r="U2081" i="2"/>
  <c r="R2082" i="2"/>
  <c r="X2081" i="2"/>
  <c r="Z2081" i="2"/>
  <c r="Z799" i="2"/>
  <c r="R800" i="2"/>
  <c r="U799" i="2"/>
  <c r="X799" i="2"/>
  <c r="X1380" i="2"/>
  <c r="R1381" i="2"/>
  <c r="X1381" i="2" s="1"/>
  <c r="Z1380" i="2"/>
  <c r="U1380" i="2"/>
  <c r="X610" i="2"/>
  <c r="Z610" i="2"/>
  <c r="U610" i="2"/>
  <c r="X1325" i="2"/>
  <c r="Z1325" i="2"/>
  <c r="U1325" i="2"/>
  <c r="R1326" i="2"/>
  <c r="AE94" i="2"/>
  <c r="U240" i="2"/>
  <c r="Z240" i="2"/>
  <c r="X240" i="2"/>
  <c r="U138" i="2"/>
  <c r="R139" i="2"/>
  <c r="X138" i="2"/>
  <c r="Z138" i="2"/>
  <c r="AE243" i="2"/>
  <c r="X552" i="2"/>
  <c r="Z552" i="2"/>
  <c r="U552" i="2"/>
  <c r="R553" i="2"/>
  <c r="U1474" i="2"/>
  <c r="R1475" i="2"/>
  <c r="X1474" i="2"/>
  <c r="Z1474" i="2"/>
  <c r="AE1401" i="2"/>
  <c r="AE580" i="2"/>
  <c r="X106" i="2"/>
  <c r="R107" i="2"/>
  <c r="X107" i="2" s="1"/>
  <c r="U106" i="2"/>
  <c r="Z106" i="2"/>
  <c r="X571" i="2"/>
  <c r="Z571" i="2"/>
  <c r="U571" i="2"/>
  <c r="AE1595" i="2"/>
  <c r="X534" i="2"/>
  <c r="U534" i="2"/>
  <c r="Z534" i="2"/>
  <c r="AE1253" i="2"/>
  <c r="U313" i="2"/>
  <c r="R314" i="2"/>
  <c r="X313" i="2"/>
  <c r="Z313" i="2"/>
  <c r="U1330" i="2"/>
  <c r="R1331" i="2"/>
  <c r="X1330" i="2"/>
  <c r="Z1330" i="2"/>
  <c r="AE1989" i="2"/>
  <c r="AE629" i="2"/>
  <c r="AE2030" i="2"/>
  <c r="U427" i="2"/>
  <c r="X427" i="2"/>
  <c r="Z427" i="2"/>
  <c r="AE327" i="2"/>
  <c r="AE348" i="2"/>
  <c r="AE274" i="2"/>
  <c r="AE637" i="2"/>
  <c r="AE2100" i="2"/>
  <c r="U1829" i="2"/>
  <c r="X1829" i="2"/>
  <c r="R1830" i="2"/>
  <c r="X1830" i="2" s="1"/>
  <c r="Z1829" i="2"/>
  <c r="X1549" i="2"/>
  <c r="Z1549" i="2"/>
  <c r="U1549" i="2"/>
  <c r="R1550" i="2"/>
  <c r="I205" i="2"/>
  <c r="I206" i="2" s="1"/>
  <c r="I207" i="2" s="1"/>
  <c r="AE777" i="2"/>
  <c r="AE460" i="2"/>
  <c r="AE39" i="2"/>
  <c r="AE1480" i="2"/>
  <c r="AE502" i="2"/>
  <c r="U412" i="2"/>
  <c r="R413" i="2"/>
  <c r="X412" i="2"/>
  <c r="Z412" i="2"/>
  <c r="AE434" i="2"/>
  <c r="AE450" i="2"/>
  <c r="AE1930" i="2"/>
  <c r="B239" i="64"/>
  <c r="C239" i="64" s="1"/>
  <c r="U598" i="2"/>
  <c r="X598" i="2"/>
  <c r="Z598" i="2"/>
  <c r="X807" i="2"/>
  <c r="R808" i="2"/>
  <c r="X808" i="2" s="1"/>
  <c r="AE769" i="2"/>
  <c r="U1356" i="2"/>
  <c r="R1357" i="2"/>
  <c r="X1356" i="2"/>
  <c r="Z1356" i="2"/>
  <c r="U1802" i="2"/>
  <c r="X1802" i="2"/>
  <c r="R1803" i="2"/>
  <c r="X1803" i="2" s="1"/>
  <c r="Z1802" i="2"/>
  <c r="AE259" i="2"/>
  <c r="U1228" i="2"/>
  <c r="R1229" i="2"/>
  <c r="X1228" i="2"/>
  <c r="Z1228" i="2"/>
  <c r="AE1514" i="2"/>
  <c r="AE385" i="2"/>
  <c r="F18" i="2"/>
  <c r="U1979" i="2"/>
  <c r="R1980" i="2"/>
  <c r="X1979" i="2"/>
  <c r="Z1979" i="2"/>
  <c r="X443" i="2"/>
  <c r="Z443" i="2"/>
  <c r="U443" i="2"/>
  <c r="AE863" i="2"/>
  <c r="AE1689" i="2"/>
  <c r="X2144" i="2"/>
  <c r="R2145" i="2"/>
  <c r="X2145" i="2" s="1"/>
  <c r="AE379" i="2"/>
  <c r="Z75" i="2"/>
  <c r="X280" i="2"/>
  <c r="Z280" i="2"/>
  <c r="U280" i="2"/>
  <c r="AE696" i="2"/>
  <c r="U2022" i="2"/>
  <c r="R2023" i="2"/>
  <c r="X2022" i="2"/>
  <c r="Z2022" i="2"/>
  <c r="AE678" i="2"/>
  <c r="I453" i="2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X172" i="2"/>
  <c r="R173" i="2"/>
  <c r="AE2021" i="2"/>
  <c r="B185" i="64"/>
  <c r="C185" i="64" s="1"/>
  <c r="AE99" i="2"/>
  <c r="X1596" i="2"/>
  <c r="Z1596" i="2"/>
  <c r="U1596" i="2"/>
  <c r="Z83" i="2"/>
  <c r="X83" i="2"/>
  <c r="R84" i="2"/>
  <c r="U83" i="2"/>
  <c r="X1650" i="2"/>
  <c r="R1651" i="2"/>
  <c r="U1650" i="2"/>
  <c r="Z1650" i="2"/>
  <c r="U1395" i="2"/>
  <c r="R1396" i="2"/>
  <c r="X1395" i="2"/>
  <c r="Z1395" i="2"/>
  <c r="U1286" i="2"/>
  <c r="R1287" i="2"/>
  <c r="X1286" i="2"/>
  <c r="Z1286" i="2"/>
  <c r="X456" i="2"/>
  <c r="Z456" i="2"/>
  <c r="U456" i="2"/>
  <c r="R457" i="2"/>
  <c r="U1667" i="2"/>
  <c r="R1668" i="2"/>
  <c r="X1667" i="2"/>
  <c r="Z1667" i="2"/>
  <c r="U2076" i="2"/>
  <c r="R2077" i="2"/>
  <c r="X2076" i="2"/>
  <c r="Z2076" i="2"/>
  <c r="AE1438" i="2"/>
  <c r="AE617" i="2"/>
  <c r="AE1719" i="2"/>
  <c r="AE331" i="2"/>
  <c r="AE1905" i="2"/>
  <c r="I51" i="2"/>
  <c r="I52" i="2" s="1"/>
  <c r="X663" i="2"/>
  <c r="R664" i="2"/>
  <c r="X664" i="2" s="1"/>
  <c r="AE514" i="2"/>
  <c r="AE622" i="2"/>
  <c r="AE1487" i="2"/>
  <c r="AE567" i="2"/>
  <c r="AE1361" i="2"/>
  <c r="AE729" i="2"/>
  <c r="AE1645" i="2"/>
  <c r="AE735" i="2"/>
  <c r="U466" i="2"/>
  <c r="R467" i="2"/>
  <c r="X466" i="2"/>
  <c r="Z466" i="2"/>
  <c r="K723" i="2"/>
  <c r="K724" i="2" s="1"/>
  <c r="Z260" i="2"/>
  <c r="X260" i="2"/>
  <c r="U260" i="2"/>
  <c r="AE2080" i="2"/>
  <c r="AE609" i="2"/>
  <c r="B279" i="64"/>
  <c r="C279" i="64" s="1"/>
  <c r="AE1324" i="2"/>
  <c r="X1192" i="2"/>
  <c r="R1193" i="2"/>
  <c r="X1193" i="2" s="1"/>
  <c r="Z679" i="2"/>
  <c r="U679" i="2"/>
  <c r="X679" i="2"/>
  <c r="R680" i="2"/>
  <c r="K2108" i="2"/>
  <c r="K2109" i="2" s="1"/>
  <c r="K2110" i="2" s="1"/>
  <c r="K2111" i="2" s="1"/>
  <c r="K2112" i="2" s="1"/>
  <c r="K2113" i="2" s="1"/>
  <c r="K2114" i="2" s="1"/>
  <c r="AE1473" i="2"/>
  <c r="B322" i="64"/>
  <c r="C322" i="64" s="1"/>
  <c r="AE105" i="2"/>
  <c r="AE423" i="2"/>
  <c r="AE570" i="2"/>
  <c r="AE533" i="2"/>
  <c r="AE82" i="2"/>
  <c r="AE20" i="2"/>
  <c r="K2087" i="2"/>
  <c r="K2088" i="2" s="1"/>
  <c r="K2089" i="2" s="1"/>
  <c r="AE632" i="2"/>
  <c r="K1333" i="2"/>
  <c r="K1334" i="2" s="1"/>
  <c r="K1335" i="2" s="1"/>
  <c r="K1336" i="2" s="1"/>
  <c r="U1990" i="2"/>
  <c r="X1990" i="2"/>
  <c r="R1991" i="2"/>
  <c r="X1991" i="2" s="1"/>
  <c r="Z1990" i="2"/>
  <c r="AE1521" i="2"/>
  <c r="AE1555" i="2"/>
  <c r="U2031" i="2"/>
  <c r="R2032" i="2"/>
  <c r="X2031" i="2"/>
  <c r="Z2031" i="2"/>
  <c r="X1439" i="2"/>
  <c r="U1439" i="2"/>
  <c r="R1440" i="2"/>
  <c r="Z1439" i="2"/>
  <c r="AE473" i="2"/>
  <c r="AE643" i="2"/>
  <c r="U328" i="2"/>
  <c r="X328" i="2"/>
  <c r="Z328" i="2"/>
  <c r="K1604" i="2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445" i="2"/>
  <c r="K1446" i="2" s="1"/>
  <c r="Z275" i="2"/>
  <c r="U275" i="2"/>
  <c r="X275" i="2"/>
  <c r="U2101" i="2"/>
  <c r="R2102" i="2"/>
  <c r="X2102" i="2" s="1"/>
  <c r="Z2101" i="2"/>
  <c r="X2101" i="2"/>
  <c r="U526" i="2"/>
  <c r="X526" i="2"/>
  <c r="Z526" i="2"/>
  <c r="AE574" i="2"/>
  <c r="AE1548" i="2"/>
  <c r="AE1420" i="2"/>
  <c r="I191" i="2"/>
  <c r="I192" i="2" s="1"/>
  <c r="I193" i="2" s="1"/>
  <c r="X653" i="2"/>
  <c r="R654" i="2"/>
  <c r="X654" i="2" s="1"/>
  <c r="Z653" i="2"/>
  <c r="U653" i="2"/>
  <c r="E20" i="2"/>
  <c r="U461" i="2"/>
  <c r="R462" i="2"/>
  <c r="X461" i="2"/>
  <c r="Z461" i="2"/>
  <c r="B303" i="64"/>
  <c r="C303" i="64" s="1"/>
  <c r="AE1180" i="2"/>
  <c r="B35" i="64"/>
  <c r="C35" i="64" s="1"/>
  <c r="U1481" i="2"/>
  <c r="R1482" i="2"/>
  <c r="X1481" i="2"/>
  <c r="Z1481" i="2"/>
  <c r="U503" i="2"/>
  <c r="R504" i="2"/>
  <c r="X503" i="2"/>
  <c r="Z503" i="2"/>
  <c r="U435" i="2"/>
  <c r="X435" i="2"/>
  <c r="Z435" i="2"/>
  <c r="U451" i="2"/>
  <c r="X451" i="2"/>
  <c r="R452" i="2"/>
  <c r="X452" i="2" s="1"/>
  <c r="Z451" i="2"/>
  <c r="AE597" i="2"/>
  <c r="AE846" i="2"/>
  <c r="AE359" i="2"/>
  <c r="AE1355" i="2"/>
  <c r="AE1801" i="2"/>
  <c r="I755" i="2"/>
  <c r="B248" i="64"/>
  <c r="C248" i="64" s="1"/>
  <c r="AE685" i="2"/>
  <c r="AE1740" i="2"/>
  <c r="AE1558" i="2"/>
  <c r="AE388" i="2"/>
  <c r="AE1978" i="2"/>
  <c r="AE439" i="2"/>
  <c r="AE442" i="2"/>
  <c r="AE364" i="2"/>
  <c r="AE230" i="2"/>
  <c r="AE1233" i="2"/>
  <c r="AE1649" i="2"/>
  <c r="AE1823" i="2"/>
  <c r="AE42" i="2"/>
  <c r="X633" i="2"/>
  <c r="Z633" i="2"/>
  <c r="U633" i="2"/>
  <c r="R634" i="2"/>
  <c r="AE455" i="2"/>
  <c r="U618" i="2"/>
  <c r="X618" i="2"/>
  <c r="R619" i="2"/>
  <c r="X619" i="2" s="1"/>
  <c r="Z618" i="2"/>
  <c r="U332" i="2"/>
  <c r="X332" i="2"/>
  <c r="Z332" i="2"/>
  <c r="AE476" i="2"/>
  <c r="AE525" i="2"/>
  <c r="X1172" i="2"/>
  <c r="R1173" i="2"/>
  <c r="X1173" i="2" s="1"/>
  <c r="AE613" i="2"/>
  <c r="X1421" i="2"/>
  <c r="Z1421" i="2"/>
  <c r="R1422" i="2"/>
  <c r="U1421" i="2"/>
  <c r="AE248" i="2"/>
  <c r="AE1672" i="2"/>
  <c r="U522" i="2"/>
  <c r="Z522" i="2"/>
  <c r="X522" i="2"/>
  <c r="AE479" i="2"/>
  <c r="AE1677" i="2"/>
  <c r="X1318" i="2"/>
  <c r="Z1318" i="2"/>
  <c r="U1318" i="2"/>
  <c r="R1319" i="2"/>
  <c r="U431" i="2"/>
  <c r="X431" i="2"/>
  <c r="Z431" i="2"/>
  <c r="X375" i="2"/>
  <c r="U375" i="2"/>
  <c r="R376" i="2"/>
  <c r="Z375" i="2"/>
  <c r="AE2070" i="2"/>
  <c r="AE702" i="2"/>
  <c r="AE298" i="2"/>
  <c r="B187" i="64"/>
  <c r="C187" i="64" s="1"/>
  <c r="X389" i="2"/>
  <c r="U389" i="2"/>
  <c r="Z389" i="2"/>
  <c r="AE606" i="2"/>
  <c r="AE1777" i="2"/>
  <c r="B107" i="64"/>
  <c r="C107" i="64" s="1"/>
  <c r="AE1899" i="2"/>
  <c r="K1826" i="2"/>
  <c r="K1827" i="2" s="1"/>
  <c r="K1828" i="2" s="1"/>
  <c r="K1829" i="2" s="1"/>
  <c r="K1830" i="2" s="1"/>
  <c r="U100" i="2" l="1"/>
  <c r="R101" i="2"/>
  <c r="X100" i="2"/>
  <c r="Z100" i="2"/>
  <c r="X485" i="2"/>
  <c r="Z485" i="2"/>
  <c r="U485" i="2"/>
  <c r="U1402" i="2"/>
  <c r="R1403" i="2"/>
  <c r="X1402" i="2"/>
  <c r="Z1402" i="2"/>
  <c r="U1685" i="2"/>
  <c r="Z1685" i="2"/>
  <c r="Z1223" i="2"/>
  <c r="U1223" i="2"/>
  <c r="X1223" i="2"/>
  <c r="R1224" i="2"/>
  <c r="X1224" i="2" s="1"/>
  <c r="X649" i="2"/>
  <c r="Z649" i="2"/>
  <c r="AE649" i="2" s="1"/>
  <c r="U649" i="2"/>
  <c r="R1686" i="2"/>
  <c r="Z741" i="2"/>
  <c r="AE741" i="2" s="1"/>
  <c r="U741" i="2"/>
  <c r="X1685" i="2"/>
  <c r="R1602" i="2"/>
  <c r="Z1602" i="2" s="1"/>
  <c r="AE1602" i="2" s="1"/>
  <c r="Z394" i="2"/>
  <c r="Z1608" i="2"/>
  <c r="AE1608" i="2" s="1"/>
  <c r="U1608" i="2"/>
  <c r="U394" i="2"/>
  <c r="U1522" i="2"/>
  <c r="X1601" i="2"/>
  <c r="U1601" i="2"/>
  <c r="Z1522" i="2"/>
  <c r="AE1522" i="2" s="1"/>
  <c r="U2041" i="2"/>
  <c r="R2042" i="2"/>
  <c r="X2041" i="2"/>
  <c r="Z2041" i="2"/>
  <c r="Z1527" i="2"/>
  <c r="AE1527" i="2" s="1"/>
  <c r="R1528" i="2"/>
  <c r="Z1261" i="2"/>
  <c r="AE1261" i="2" s="1"/>
  <c r="U1261" i="2"/>
  <c r="X1261" i="2"/>
  <c r="R1262" i="2"/>
  <c r="X1262" i="2" s="1"/>
  <c r="B60" i="64"/>
  <c r="C60" i="64" s="1"/>
  <c r="U1527" i="2"/>
  <c r="Z1656" i="2"/>
  <c r="AE1656" i="2" s="1"/>
  <c r="X1656" i="2"/>
  <c r="R1657" i="2"/>
  <c r="U1657" i="2" s="1"/>
  <c r="B325" i="64"/>
  <c r="C325" i="64" s="1"/>
  <c r="B301" i="64"/>
  <c r="C301" i="64" s="1"/>
  <c r="Y1503" i="2"/>
  <c r="Z1503" i="2"/>
  <c r="Y1636" i="2"/>
  <c r="Z1636" i="2"/>
  <c r="AE1636" i="2" s="1"/>
  <c r="Y1575" i="2"/>
  <c r="Z1575" i="2"/>
  <c r="AE1575" i="2" s="1"/>
  <c r="Y1704" i="2"/>
  <c r="Z1704" i="2"/>
  <c r="AE1704" i="2" s="1"/>
  <c r="U548" i="2"/>
  <c r="X548" i="2"/>
  <c r="Z548" i="2"/>
  <c r="AE548" i="2" s="1"/>
  <c r="Z182" i="2"/>
  <c r="AE182" i="2" s="1"/>
  <c r="U1662" i="2"/>
  <c r="R1663" i="2"/>
  <c r="X1662" i="2"/>
  <c r="Z1662" i="2"/>
  <c r="AE1662" i="2" s="1"/>
  <c r="Z1470" i="2"/>
  <c r="AE1470" i="2" s="1"/>
  <c r="U1470" i="2"/>
  <c r="X1470" i="2"/>
  <c r="B184" i="64"/>
  <c r="C184" i="64" s="1"/>
  <c r="X1602" i="2"/>
  <c r="R1603" i="2"/>
  <c r="X1603" i="2" s="1"/>
  <c r="U1602" i="2"/>
  <c r="X712" i="2"/>
  <c r="Z712" i="2"/>
  <c r="AE712" i="2" s="1"/>
  <c r="U712" i="2"/>
  <c r="R713" i="2"/>
  <c r="B167" i="64"/>
  <c r="C167" i="64" s="1"/>
  <c r="U1544" i="2"/>
  <c r="R1545" i="2"/>
  <c r="X1544" i="2"/>
  <c r="Z1544" i="2"/>
  <c r="AE1544" i="2" s="1"/>
  <c r="X558" i="2"/>
  <c r="U558" i="2"/>
  <c r="Z558" i="2"/>
  <c r="AE558" i="2" s="1"/>
  <c r="AE1318" i="2"/>
  <c r="I756" i="2"/>
  <c r="I757" i="2" s="1"/>
  <c r="I758" i="2" s="1"/>
  <c r="I759" i="2" s="1"/>
  <c r="I760" i="2" s="1"/>
  <c r="I761" i="2" s="1"/>
  <c r="I762" i="2" s="1"/>
  <c r="I763" i="2" s="1"/>
  <c r="I764" i="2" s="1"/>
  <c r="I765" i="2" s="1"/>
  <c r="U467" i="2"/>
  <c r="X467" i="2"/>
  <c r="Z467" i="2"/>
  <c r="AE1667" i="2"/>
  <c r="Z1287" i="2"/>
  <c r="U1287" i="2"/>
  <c r="X1287" i="2"/>
  <c r="R1288" i="2"/>
  <c r="X1288" i="2" s="1"/>
  <c r="AE443" i="2"/>
  <c r="AE1802" i="2"/>
  <c r="U413" i="2"/>
  <c r="R414" i="2"/>
  <c r="X413" i="2"/>
  <c r="Z413" i="2"/>
  <c r="AE1330" i="2"/>
  <c r="U314" i="2"/>
  <c r="R315" i="2"/>
  <c r="X314" i="2"/>
  <c r="Z314" i="2"/>
  <c r="U101" i="2"/>
  <c r="X101" i="2"/>
  <c r="Z101" i="2"/>
  <c r="AE1474" i="2"/>
  <c r="AE111" i="2"/>
  <c r="I1789" i="2"/>
  <c r="I1790" i="2" s="1"/>
  <c r="I1791" i="2" s="1"/>
  <c r="I1792" i="2" s="1"/>
  <c r="I1793" i="2" s="1"/>
  <c r="AE1613" i="2"/>
  <c r="AE244" i="2"/>
  <c r="AE1678" i="2"/>
  <c r="AE1254" i="2"/>
  <c r="F19" i="2"/>
  <c r="F20" i="2" s="1"/>
  <c r="AE365" i="2"/>
  <c r="AE270" i="2"/>
  <c r="I823" i="2"/>
  <c r="I824" i="2" s="1"/>
  <c r="I825" i="2" s="1"/>
  <c r="U2113" i="2"/>
  <c r="X2113" i="2"/>
  <c r="R2114" i="2"/>
  <c r="X2114" i="2" s="1"/>
  <c r="Z2113" i="2"/>
  <c r="AE644" i="2"/>
  <c r="K1831" i="2"/>
  <c r="K1832" i="2" s="1"/>
  <c r="K1833" i="2" s="1"/>
  <c r="K1834" i="2" s="1"/>
  <c r="K1835" i="2" s="1"/>
  <c r="K1836" i="2" s="1"/>
  <c r="K1837" i="2" s="1"/>
  <c r="AE389" i="2"/>
  <c r="AE375" i="2"/>
  <c r="AE1685" i="2"/>
  <c r="AE633" i="2"/>
  <c r="AE2031" i="2"/>
  <c r="AE679" i="2"/>
  <c r="U1229" i="2"/>
  <c r="Z1229" i="2"/>
  <c r="X1229" i="2"/>
  <c r="R1230" i="2"/>
  <c r="X1230" i="2" s="1"/>
  <c r="AE623" i="2"/>
  <c r="AE1539" i="2"/>
  <c r="AE748" i="2"/>
  <c r="U1516" i="2"/>
  <c r="X1516" i="2"/>
  <c r="Z1516" i="2"/>
  <c r="U771" i="2"/>
  <c r="R772" i="2"/>
  <c r="X771" i="2"/>
  <c r="Z771" i="2"/>
  <c r="U1674" i="2"/>
  <c r="X1674" i="2"/>
  <c r="Z1674" i="2"/>
  <c r="U1973" i="2"/>
  <c r="R1974" i="2"/>
  <c r="X1973" i="2"/>
  <c r="Z1973" i="2"/>
  <c r="K1742" i="2"/>
  <c r="K1743" i="2" s="1"/>
  <c r="K1744" i="2" s="1"/>
  <c r="K1745" i="2" s="1"/>
  <c r="K1746" i="2" s="1"/>
  <c r="K1747" i="2" s="1"/>
  <c r="AE518" i="2"/>
  <c r="AE1999" i="2"/>
  <c r="B18" i="64"/>
  <c r="C18" i="64" s="1"/>
  <c r="AE489" i="2"/>
  <c r="U1182" i="2"/>
  <c r="R1183" i="2"/>
  <c r="X1182" i="2"/>
  <c r="Z1182" i="2"/>
  <c r="K1940" i="2"/>
  <c r="K1941" i="2" s="1"/>
  <c r="U1686" i="2"/>
  <c r="U376" i="2"/>
  <c r="Z376" i="2"/>
  <c r="X376" i="2"/>
  <c r="AE522" i="2"/>
  <c r="AE451" i="2"/>
  <c r="AE1481" i="2"/>
  <c r="AE260" i="2"/>
  <c r="Z1668" i="2"/>
  <c r="U1668" i="2"/>
  <c r="X1668" i="2"/>
  <c r="R1669" i="2"/>
  <c r="X1669" i="2" s="1"/>
  <c r="AE1650" i="2"/>
  <c r="I491" i="2"/>
  <c r="I492" i="2" s="1"/>
  <c r="I493" i="2" s="1"/>
  <c r="I494" i="2" s="1"/>
  <c r="I495" i="2" s="1"/>
  <c r="AE1829" i="2"/>
  <c r="AE427" i="2"/>
  <c r="Z1331" i="2"/>
  <c r="U1331" i="2"/>
  <c r="X1331" i="2"/>
  <c r="R1332" i="2"/>
  <c r="X1332" i="2" s="1"/>
  <c r="U1475" i="2"/>
  <c r="R1476" i="2"/>
  <c r="X1475" i="2"/>
  <c r="Z1475" i="2"/>
  <c r="AE594" i="2"/>
  <c r="I1848" i="2"/>
  <c r="AE1690" i="2"/>
  <c r="AE770" i="2"/>
  <c r="AE542" i="2"/>
  <c r="I1020" i="2"/>
  <c r="I1021" i="2" s="1"/>
  <c r="I1022" i="2" s="1"/>
  <c r="AE1778" i="2"/>
  <c r="B49" i="64"/>
  <c r="C49" i="64" s="1"/>
  <c r="AE686" i="2"/>
  <c r="G186" i="2"/>
  <c r="AE585" i="2"/>
  <c r="U1679" i="2"/>
  <c r="R1680" i="2"/>
  <c r="X1679" i="2"/>
  <c r="Z1679" i="2"/>
  <c r="I1084" i="2"/>
  <c r="U366" i="2"/>
  <c r="X366" i="2"/>
  <c r="Z366" i="2"/>
  <c r="I1231" i="2"/>
  <c r="I1232" i="2" s="1"/>
  <c r="I1233" i="2" s="1"/>
  <c r="I1234" i="2" s="1"/>
  <c r="AE2071" i="2"/>
  <c r="E22" i="2"/>
  <c r="E179" i="2"/>
  <c r="AE575" i="2"/>
  <c r="AE653" i="2"/>
  <c r="K1624" i="2"/>
  <c r="K1625" i="2" s="1"/>
  <c r="K1626" i="2" s="1"/>
  <c r="K1627" i="2" s="1"/>
  <c r="K1628" i="2" s="1"/>
  <c r="AE1439" i="2"/>
  <c r="U2032" i="2"/>
  <c r="R2033" i="2"/>
  <c r="X2032" i="2"/>
  <c r="Z2032" i="2"/>
  <c r="K1337" i="2"/>
  <c r="K1338" i="2" s="1"/>
  <c r="K1339" i="2" s="1"/>
  <c r="K1340" i="2" s="1"/>
  <c r="K1341" i="2" s="1"/>
  <c r="K1342" i="2" s="1"/>
  <c r="K1343" i="2" s="1"/>
  <c r="K1344" i="2" s="1"/>
  <c r="X84" i="2"/>
  <c r="R85" i="2"/>
  <c r="U84" i="2"/>
  <c r="Z84" i="2"/>
  <c r="AE1979" i="2"/>
  <c r="B298" i="64"/>
  <c r="C298" i="64" s="1"/>
  <c r="AE138" i="2"/>
  <c r="AE240" i="2"/>
  <c r="AE610" i="2"/>
  <c r="X800" i="2"/>
  <c r="Z800" i="2"/>
  <c r="R801" i="2"/>
  <c r="U800" i="2"/>
  <c r="U1590" i="2"/>
  <c r="X1590" i="2"/>
  <c r="Z1590" i="2"/>
  <c r="AE1515" i="2"/>
  <c r="AE336" i="2"/>
  <c r="I1670" i="2"/>
  <c r="I1671" i="2" s="1"/>
  <c r="I1672" i="2" s="1"/>
  <c r="I1673" i="2" s="1"/>
  <c r="I1674" i="2" s="1"/>
  <c r="I1675" i="2" s="1"/>
  <c r="I1676" i="2" s="1"/>
  <c r="I1677" i="2" s="1"/>
  <c r="I1678" i="2" s="1"/>
  <c r="I1679" i="2" s="1"/>
  <c r="I1680" i="2" s="1"/>
  <c r="I1681" i="2" s="1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AE614" i="2"/>
  <c r="U2000" i="2"/>
  <c r="R2001" i="2"/>
  <c r="X2000" i="2"/>
  <c r="Z2000" i="2"/>
  <c r="U2072" i="2"/>
  <c r="X2072" i="2"/>
  <c r="Z2072" i="2"/>
  <c r="AE360" i="2"/>
  <c r="D23" i="2"/>
  <c r="E23" i="2" s="1"/>
  <c r="H24" i="2"/>
  <c r="H25" i="2" s="1"/>
  <c r="H181" i="2"/>
  <c r="H182" i="2" s="1"/>
  <c r="D180" i="2"/>
  <c r="E180" i="2" s="1"/>
  <c r="I1142" i="2"/>
  <c r="I1143" i="2" s="1"/>
  <c r="I1144" i="2" s="1"/>
  <c r="U1319" i="2"/>
  <c r="X1319" i="2"/>
  <c r="R1320" i="2"/>
  <c r="X1320" i="2" s="1"/>
  <c r="Z1319" i="2"/>
  <c r="U1482" i="2"/>
  <c r="X1482" i="2"/>
  <c r="Z1482" i="2"/>
  <c r="U1440" i="2"/>
  <c r="R1441" i="2"/>
  <c r="X1440" i="2"/>
  <c r="Z1440" i="2"/>
  <c r="AE2076" i="2"/>
  <c r="U457" i="2"/>
  <c r="X457" i="2"/>
  <c r="Z457" i="2"/>
  <c r="AE1395" i="2"/>
  <c r="U1651" i="2"/>
  <c r="X1651" i="2"/>
  <c r="Z1651" i="2"/>
  <c r="AE280" i="2"/>
  <c r="AE1223" i="2"/>
  <c r="I208" i="2"/>
  <c r="I209" i="2" s="1"/>
  <c r="I210" i="2" s="1"/>
  <c r="AE571" i="2"/>
  <c r="B45" i="64"/>
  <c r="C45" i="64" s="1"/>
  <c r="AE106" i="2"/>
  <c r="U553" i="2"/>
  <c r="X553" i="2"/>
  <c r="Z553" i="2"/>
  <c r="AE799" i="2"/>
  <c r="B101" i="64"/>
  <c r="C101" i="64" s="1"/>
  <c r="AE352" i="2"/>
  <c r="X742" i="2"/>
  <c r="Z742" i="2"/>
  <c r="R743" i="2"/>
  <c r="U742" i="2"/>
  <c r="AE1293" i="2"/>
  <c r="AE1402" i="2"/>
  <c r="AE1824" i="2"/>
  <c r="B287" i="64"/>
  <c r="C287" i="64" s="1"/>
  <c r="AE1559" i="2"/>
  <c r="U576" i="2"/>
  <c r="X576" i="2"/>
  <c r="Z576" i="2"/>
  <c r="B20" i="64" s="1"/>
  <c r="C20" i="64" s="1"/>
  <c r="AE618" i="2"/>
  <c r="AE503" i="2"/>
  <c r="AE461" i="2"/>
  <c r="K2115" i="2"/>
  <c r="K2116" i="2" s="1"/>
  <c r="K2117" i="2" s="1"/>
  <c r="K2118" i="2" s="1"/>
  <c r="K2119" i="2" s="1"/>
  <c r="K2120" i="2" s="1"/>
  <c r="K2121" i="2" s="1"/>
  <c r="I53" i="2"/>
  <c r="I54" i="2" s="1"/>
  <c r="B306" i="64"/>
  <c r="C306" i="64" s="1"/>
  <c r="AE83" i="2"/>
  <c r="AE2022" i="2"/>
  <c r="U1980" i="2"/>
  <c r="R1981" i="2"/>
  <c r="X1980" i="2"/>
  <c r="Z1980" i="2"/>
  <c r="AE1356" i="2"/>
  <c r="AE598" i="2"/>
  <c r="U1550" i="2"/>
  <c r="R1551" i="2"/>
  <c r="X1550" i="2"/>
  <c r="Z1550" i="2"/>
  <c r="Z1657" i="2"/>
  <c r="Z139" i="2"/>
  <c r="U139" i="2"/>
  <c r="X139" i="2"/>
  <c r="R140" i="2"/>
  <c r="X140" i="2" s="1"/>
  <c r="U1326" i="2"/>
  <c r="X1326" i="2"/>
  <c r="Z1326" i="2"/>
  <c r="AE2081" i="2"/>
  <c r="X215" i="2"/>
  <c r="Z215" i="2"/>
  <c r="U215" i="2"/>
  <c r="R216" i="2"/>
  <c r="AE1589" i="2"/>
  <c r="AE371" i="2"/>
  <c r="I1388" i="2"/>
  <c r="I1389" i="2" s="1"/>
  <c r="I1390" i="2" s="1"/>
  <c r="I1391" i="2" s="1"/>
  <c r="I1392" i="2" s="1"/>
  <c r="I1393" i="2" s="1"/>
  <c r="I1394" i="2" s="1"/>
  <c r="I1395" i="2" s="1"/>
  <c r="I1396" i="2" s="1"/>
  <c r="I1397" i="2" s="1"/>
  <c r="AE2013" i="2"/>
  <c r="I1201" i="2"/>
  <c r="I1202" i="2" s="1"/>
  <c r="I1203" i="2" s="1"/>
  <c r="AE435" i="2"/>
  <c r="AE328" i="2"/>
  <c r="B41" i="64"/>
  <c r="C41" i="64" s="1"/>
  <c r="AE1990" i="2"/>
  <c r="X680" i="2"/>
  <c r="R681" i="2"/>
  <c r="U680" i="2"/>
  <c r="Z680" i="2"/>
  <c r="AE466" i="2"/>
  <c r="X2077" i="2"/>
  <c r="U2077" i="2"/>
  <c r="Z2077" i="2"/>
  <c r="AE456" i="2"/>
  <c r="AE1286" i="2"/>
  <c r="U1396" i="2"/>
  <c r="X1396" i="2"/>
  <c r="R1397" i="2"/>
  <c r="X1397" i="2" s="1"/>
  <c r="Z1396" i="2"/>
  <c r="X173" i="2"/>
  <c r="R174" i="2"/>
  <c r="X174" i="2" s="1"/>
  <c r="AE75" i="2"/>
  <c r="AE412" i="2"/>
  <c r="B251" i="64"/>
  <c r="C251" i="64" s="1"/>
  <c r="AE313" i="2"/>
  <c r="AE534" i="2"/>
  <c r="B106" i="64"/>
  <c r="C106" i="64" s="1"/>
  <c r="AE100" i="2"/>
  <c r="AE552" i="2"/>
  <c r="AE1380" i="2"/>
  <c r="K928" i="2"/>
  <c r="K929" i="2" s="1"/>
  <c r="K930" i="2" s="1"/>
  <c r="U1403" i="2"/>
  <c r="R1404" i="2"/>
  <c r="X1403" i="2"/>
  <c r="Z1403" i="2"/>
  <c r="U1614" i="2"/>
  <c r="X1614" i="2"/>
  <c r="Z1614" i="2"/>
  <c r="AE299" i="2"/>
  <c r="AE480" i="2"/>
  <c r="U1255" i="2"/>
  <c r="X1255" i="2"/>
  <c r="R1256" i="2"/>
  <c r="X1256" i="2" s="1"/>
  <c r="Z1255" i="2"/>
  <c r="AE2112" i="2"/>
  <c r="K900" i="2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U1422" i="2"/>
  <c r="R1423" i="2"/>
  <c r="X1422" i="2"/>
  <c r="Z1422" i="2"/>
  <c r="AE431" i="2"/>
  <c r="AE1421" i="2"/>
  <c r="AE332" i="2"/>
  <c r="U634" i="2"/>
  <c r="X634" i="2"/>
  <c r="Z634" i="2"/>
  <c r="U504" i="2"/>
  <c r="R505" i="2"/>
  <c r="Z504" i="2"/>
  <c r="X504" i="2"/>
  <c r="Z462" i="2"/>
  <c r="U462" i="2"/>
  <c r="X462" i="2"/>
  <c r="I194" i="2"/>
  <c r="I195" i="2" s="1"/>
  <c r="I196" i="2" s="1"/>
  <c r="AE526" i="2"/>
  <c r="AE2101" i="2"/>
  <c r="AE275" i="2"/>
  <c r="AE1596" i="2"/>
  <c r="U2023" i="2"/>
  <c r="R2024" i="2"/>
  <c r="X2023" i="2"/>
  <c r="Z2023" i="2"/>
  <c r="B278" i="64"/>
  <c r="C278" i="64" s="1"/>
  <c r="AE1228" i="2"/>
  <c r="U1357" i="2"/>
  <c r="X1357" i="2"/>
  <c r="R1358" i="2"/>
  <c r="X1358" i="2" s="1"/>
  <c r="Z1357" i="2"/>
  <c r="AE1549" i="2"/>
  <c r="AE1325" i="2"/>
  <c r="U2082" i="2"/>
  <c r="X2082" i="2"/>
  <c r="R2083" i="2"/>
  <c r="X2083" i="2" s="1"/>
  <c r="Z2082" i="2"/>
  <c r="AE214" i="2"/>
  <c r="U624" i="2"/>
  <c r="X624" i="2"/>
  <c r="Z624" i="2"/>
  <c r="B100" i="64"/>
  <c r="C100" i="64" s="1"/>
  <c r="AE1720" i="2"/>
  <c r="AE485" i="2"/>
  <c r="AE1673" i="2"/>
  <c r="AE1972" i="2"/>
  <c r="K80" i="2"/>
  <c r="K81" i="2" s="1"/>
  <c r="U2014" i="2"/>
  <c r="R2015" i="2"/>
  <c r="X2014" i="2"/>
  <c r="Z2014" i="2"/>
  <c r="AE394" i="2"/>
  <c r="B332" i="64"/>
  <c r="C332" i="64" s="1"/>
  <c r="AE1181" i="2"/>
  <c r="X1686" i="2" l="1"/>
  <c r="Z1686" i="2"/>
  <c r="R1529" i="2"/>
  <c r="X1529" i="2" s="1"/>
  <c r="X1528" i="2"/>
  <c r="U1528" i="2"/>
  <c r="Z1528" i="2"/>
  <c r="AE1528" i="2" s="1"/>
  <c r="B103" i="64"/>
  <c r="C103" i="64" s="1"/>
  <c r="X1657" i="2"/>
  <c r="I75" i="68"/>
  <c r="J64" i="68" s="1"/>
  <c r="B335" i="64"/>
  <c r="C335" i="64" s="1"/>
  <c r="AE2041" i="2"/>
  <c r="Z2042" i="2"/>
  <c r="U2042" i="2"/>
  <c r="R2043" i="2"/>
  <c r="X2042" i="2"/>
  <c r="AE1503" i="2"/>
  <c r="B202" i="64"/>
  <c r="C202" i="64" s="1"/>
  <c r="U1663" i="2"/>
  <c r="X1663" i="2"/>
  <c r="Z1663" i="2"/>
  <c r="AE1663" i="2" s="1"/>
  <c r="X1545" i="2"/>
  <c r="Z1545" i="2"/>
  <c r="AE1545" i="2" s="1"/>
  <c r="U1545" i="2"/>
  <c r="U713" i="2"/>
  <c r="R714" i="2"/>
  <c r="X713" i="2"/>
  <c r="Z713" i="2"/>
  <c r="AE713" i="2" s="1"/>
  <c r="B258" i="64"/>
  <c r="C258" i="64" s="1"/>
  <c r="AE1255" i="2"/>
  <c r="U681" i="2"/>
  <c r="R682" i="2"/>
  <c r="X681" i="2"/>
  <c r="Z681" i="2"/>
  <c r="AE1550" i="2"/>
  <c r="AE1651" i="2"/>
  <c r="E181" i="2"/>
  <c r="E182" i="2" s="1"/>
  <c r="U2001" i="2"/>
  <c r="R2002" i="2"/>
  <c r="X2001" i="2"/>
  <c r="Z2001" i="2"/>
  <c r="U85" i="2"/>
  <c r="R86" i="2"/>
  <c r="X85" i="2"/>
  <c r="Z85" i="2"/>
  <c r="I1235" i="2"/>
  <c r="I1236" i="2" s="1"/>
  <c r="I1237" i="2" s="1"/>
  <c r="I1238" i="2" s="1"/>
  <c r="I1239" i="2" s="1"/>
  <c r="I1240" i="2" s="1"/>
  <c r="I1241" i="2" s="1"/>
  <c r="I1242" i="2" s="1"/>
  <c r="I1243" i="2" s="1"/>
  <c r="I1023" i="2"/>
  <c r="I1024" i="2" s="1"/>
  <c r="I1025" i="2" s="1"/>
  <c r="I496" i="2"/>
  <c r="I497" i="2" s="1"/>
  <c r="I498" i="2" s="1"/>
  <c r="AE2113" i="2"/>
  <c r="B14" i="64"/>
  <c r="C14" i="64" s="1"/>
  <c r="AE314" i="2"/>
  <c r="AE1287" i="2"/>
  <c r="AE2014" i="2"/>
  <c r="AE504" i="2"/>
  <c r="AE1403" i="2"/>
  <c r="AE1396" i="2"/>
  <c r="AE2077" i="2"/>
  <c r="B262" i="64"/>
  <c r="C262" i="64" s="1"/>
  <c r="I1398" i="2"/>
  <c r="I1399" i="2" s="1"/>
  <c r="I1400" i="2" s="1"/>
  <c r="I1401" i="2" s="1"/>
  <c r="I1402" i="2" s="1"/>
  <c r="I1403" i="2" s="1"/>
  <c r="I1404" i="2" s="1"/>
  <c r="I1405" i="2" s="1"/>
  <c r="I1406" i="2" s="1"/>
  <c r="AE215" i="2"/>
  <c r="AE1657" i="2"/>
  <c r="AE1980" i="2"/>
  <c r="B95" i="64"/>
  <c r="C95" i="64" s="1"/>
  <c r="U743" i="2"/>
  <c r="R744" i="2"/>
  <c r="X743" i="2"/>
  <c r="Z743" i="2"/>
  <c r="AE553" i="2"/>
  <c r="AE1319" i="2"/>
  <c r="I1145" i="2"/>
  <c r="D182" i="2"/>
  <c r="H183" i="2"/>
  <c r="AE1679" i="2"/>
  <c r="U1974" i="2"/>
  <c r="R1975" i="2"/>
  <c r="X1974" i="2"/>
  <c r="Z1974" i="2"/>
  <c r="AE1516" i="2"/>
  <c r="U414" i="2"/>
  <c r="R415" i="2"/>
  <c r="X414" i="2"/>
  <c r="Z414" i="2"/>
  <c r="U2024" i="2"/>
  <c r="R2025" i="2"/>
  <c r="X2024" i="2"/>
  <c r="Z2024" i="2"/>
  <c r="AE1357" i="2"/>
  <c r="X505" i="2"/>
  <c r="Z505" i="2"/>
  <c r="U505" i="2"/>
  <c r="R506" i="2"/>
  <c r="U1551" i="2"/>
  <c r="X1551" i="2"/>
  <c r="Z1551" i="2"/>
  <c r="AE742" i="2"/>
  <c r="AE1440" i="2"/>
  <c r="B123" i="64"/>
  <c r="C123" i="64" s="1"/>
  <c r="AE2072" i="2"/>
  <c r="I1692" i="2"/>
  <c r="I1693" i="2" s="1"/>
  <c r="I1694" i="2" s="1"/>
  <c r="I1695" i="2" s="1"/>
  <c r="I1696" i="2" s="1"/>
  <c r="U801" i="2"/>
  <c r="R802" i="2"/>
  <c r="X801" i="2"/>
  <c r="Z801" i="2"/>
  <c r="K1629" i="2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AE376" i="2"/>
  <c r="U315" i="2"/>
  <c r="R316" i="2"/>
  <c r="X315" i="2"/>
  <c r="Z315" i="2"/>
  <c r="AE624" i="2"/>
  <c r="U1404" i="2"/>
  <c r="R1405" i="2"/>
  <c r="X1404" i="2"/>
  <c r="Z1404" i="2"/>
  <c r="U1981" i="2"/>
  <c r="R1982" i="2"/>
  <c r="X1981" i="2"/>
  <c r="Z1981" i="2"/>
  <c r="I55" i="2"/>
  <c r="I56" i="2" s="1"/>
  <c r="AE576" i="2"/>
  <c r="F21" i="2"/>
  <c r="F22" i="2" s="1"/>
  <c r="B15" i="64"/>
  <c r="C15" i="64" s="1"/>
  <c r="AE1590" i="2"/>
  <c r="AE800" i="2"/>
  <c r="AE366" i="2"/>
  <c r="U1680" i="2"/>
  <c r="X1680" i="2"/>
  <c r="Z1680" i="2"/>
  <c r="AE1668" i="2"/>
  <c r="B285" i="64"/>
  <c r="C285" i="64" s="1"/>
  <c r="B56" i="64"/>
  <c r="C56" i="64" s="1"/>
  <c r="AE101" i="2"/>
  <c r="AE467" i="2"/>
  <c r="I766" i="2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197" i="2"/>
  <c r="I198" i="2" s="1"/>
  <c r="AE634" i="2"/>
  <c r="B299" i="64"/>
  <c r="C299" i="64" s="1"/>
  <c r="AE139" i="2"/>
  <c r="Z1441" i="2"/>
  <c r="U1441" i="2"/>
  <c r="R1442" i="2"/>
  <c r="X1441" i="2"/>
  <c r="H26" i="2"/>
  <c r="H27" i="2" s="1"/>
  <c r="D25" i="2"/>
  <c r="E25" i="2" s="1"/>
  <c r="B333" i="64"/>
  <c r="C333" i="64" s="1"/>
  <c r="AE2032" i="2"/>
  <c r="I1085" i="2"/>
  <c r="I1086" i="2" s="1"/>
  <c r="I1087" i="2" s="1"/>
  <c r="G187" i="2"/>
  <c r="AE1475" i="2"/>
  <c r="AE1686" i="2"/>
  <c r="B115" i="64"/>
  <c r="C115" i="64" s="1"/>
  <c r="AE1182" i="2"/>
  <c r="AE771" i="2"/>
  <c r="AE1422" i="2"/>
  <c r="AE1614" i="2"/>
  <c r="K931" i="2"/>
  <c r="B75" i="64"/>
  <c r="C75" i="64" s="1"/>
  <c r="AE1326" i="2"/>
  <c r="I211" i="2"/>
  <c r="I212" i="2" s="1"/>
  <c r="I213" i="2" s="1"/>
  <c r="I214" i="2" s="1"/>
  <c r="I215" i="2" s="1"/>
  <c r="I216" i="2" s="1"/>
  <c r="I217" i="2" s="1"/>
  <c r="I218" i="2" s="1"/>
  <c r="AE457" i="2"/>
  <c r="E24" i="2"/>
  <c r="K82" i="2"/>
  <c r="AE2082" i="2"/>
  <c r="AE2023" i="2"/>
  <c r="AE680" i="2"/>
  <c r="I1204" i="2"/>
  <c r="AE1482" i="2"/>
  <c r="B282" i="64"/>
  <c r="C282" i="64" s="1"/>
  <c r="AE2000" i="2"/>
  <c r="B58" i="64"/>
  <c r="C58" i="64" s="1"/>
  <c r="AE84" i="2"/>
  <c r="Z2033" i="2"/>
  <c r="U2033" i="2"/>
  <c r="R2034" i="2"/>
  <c r="X2033" i="2"/>
  <c r="U1476" i="2"/>
  <c r="X1476" i="2"/>
  <c r="R1477" i="2"/>
  <c r="X1477" i="2" s="1"/>
  <c r="Z1476" i="2"/>
  <c r="U1183" i="2"/>
  <c r="R1184" i="2"/>
  <c r="X1183" i="2"/>
  <c r="Z1183" i="2"/>
  <c r="AE1674" i="2"/>
  <c r="U772" i="2"/>
  <c r="R773" i="2"/>
  <c r="X772" i="2"/>
  <c r="Z772" i="2"/>
  <c r="B102" i="64"/>
  <c r="C102" i="64" s="1"/>
  <c r="AE1229" i="2"/>
  <c r="I826" i="2"/>
  <c r="I827" i="2" s="1"/>
  <c r="I828" i="2" s="1"/>
  <c r="I829" i="2" s="1"/>
  <c r="U2015" i="2"/>
  <c r="R2016" i="2"/>
  <c r="X2015" i="2"/>
  <c r="Z2015" i="2"/>
  <c r="AE462" i="2"/>
  <c r="U1423" i="2"/>
  <c r="R1424" i="2"/>
  <c r="X1423" i="2"/>
  <c r="Z1423" i="2"/>
  <c r="U216" i="2"/>
  <c r="R217" i="2"/>
  <c r="X216" i="2"/>
  <c r="Z216" i="2"/>
  <c r="B249" i="64"/>
  <c r="C249" i="64" s="1"/>
  <c r="I1849" i="2"/>
  <c r="I1850" i="2" s="1"/>
  <c r="I1851" i="2" s="1"/>
  <c r="I1852" i="2" s="1"/>
  <c r="I1853" i="2" s="1"/>
  <c r="AE1331" i="2"/>
  <c r="AE1973" i="2"/>
  <c r="I1794" i="2"/>
  <c r="AE413" i="2"/>
  <c r="R2044" i="2" l="1"/>
  <c r="U2043" i="2"/>
  <c r="X2043" i="2"/>
  <c r="Z2043" i="2"/>
  <c r="AE2043" i="2" s="1"/>
  <c r="B331" i="64"/>
  <c r="C331" i="64" s="1"/>
  <c r="AE2042" i="2"/>
  <c r="F23" i="2"/>
  <c r="F24" i="2" s="1"/>
  <c r="U714" i="2"/>
  <c r="R715" i="2"/>
  <c r="Z714" i="2"/>
  <c r="AE714" i="2" s="1"/>
  <c r="X714" i="2"/>
  <c r="I1205" i="2"/>
  <c r="I1206" i="2" s="1"/>
  <c r="I1207" i="2" s="1"/>
  <c r="I1208" i="2" s="1"/>
  <c r="I1209" i="2" s="1"/>
  <c r="I219" i="2"/>
  <c r="I220" i="2" s="1"/>
  <c r="I221" i="2" s="1"/>
  <c r="I222" i="2" s="1"/>
  <c r="I223" i="2" s="1"/>
  <c r="I224" i="2" s="1"/>
  <c r="I225" i="2" s="1"/>
  <c r="I226" i="2" s="1"/>
  <c r="I227" i="2" s="1"/>
  <c r="G188" i="2"/>
  <c r="G189" i="2" s="1"/>
  <c r="G190" i="2" s="1"/>
  <c r="I57" i="2"/>
  <c r="I58" i="2" s="1"/>
  <c r="AE1551" i="2"/>
  <c r="B283" i="64"/>
  <c r="C283" i="64" s="1"/>
  <c r="Z682" i="2"/>
  <c r="U682" i="2"/>
  <c r="X682" i="2"/>
  <c r="X2034" i="2"/>
  <c r="Z2034" i="2"/>
  <c r="U2034" i="2"/>
  <c r="R2035" i="2"/>
  <c r="B73" i="64"/>
  <c r="C73" i="64" s="1"/>
  <c r="AE1981" i="2"/>
  <c r="Z1405" i="2"/>
  <c r="U1405" i="2"/>
  <c r="X1405" i="2"/>
  <c r="R1406" i="2"/>
  <c r="X1406" i="2" s="1"/>
  <c r="AE801" i="2"/>
  <c r="AE505" i="2"/>
  <c r="U2025" i="2"/>
  <c r="R2026" i="2"/>
  <c r="X2025" i="2"/>
  <c r="Z2025" i="2"/>
  <c r="I1146" i="2"/>
  <c r="I1147" i="2" s="1"/>
  <c r="I1148" i="2" s="1"/>
  <c r="AE743" i="2"/>
  <c r="Z1184" i="2"/>
  <c r="U1184" i="2"/>
  <c r="R1185" i="2"/>
  <c r="X1184" i="2"/>
  <c r="AE1476" i="2"/>
  <c r="B284" i="64"/>
  <c r="C284" i="64" s="1"/>
  <c r="AE2015" i="2"/>
  <c r="K83" i="2"/>
  <c r="K932" i="2"/>
  <c r="K933" i="2" s="1"/>
  <c r="K934" i="2" s="1"/>
  <c r="K935" i="2" s="1"/>
  <c r="X1442" i="2"/>
  <c r="Z1442" i="2"/>
  <c r="U1442" i="2"/>
  <c r="R1443" i="2"/>
  <c r="I1407" i="2"/>
  <c r="I1408" i="2" s="1"/>
  <c r="I1409" i="2" s="1"/>
  <c r="I1410" i="2" s="1"/>
  <c r="I1411" i="2" s="1"/>
  <c r="I1795" i="2"/>
  <c r="I1796" i="2" s="1"/>
  <c r="I1797" i="2" s="1"/>
  <c r="I1798" i="2" s="1"/>
  <c r="B330" i="64"/>
  <c r="C330" i="64" s="1"/>
  <c r="AE2033" i="2"/>
  <c r="I1088" i="2"/>
  <c r="I1089" i="2" s="1"/>
  <c r="I1090" i="2" s="1"/>
  <c r="U1982" i="2"/>
  <c r="R1983" i="2"/>
  <c r="X1982" i="2"/>
  <c r="Z1982" i="2"/>
  <c r="B272" i="64"/>
  <c r="C272" i="64" s="1"/>
  <c r="AE315" i="2"/>
  <c r="Z802" i="2"/>
  <c r="U802" i="2"/>
  <c r="X802" i="2"/>
  <c r="R803" i="2"/>
  <c r="X803" i="2" s="1"/>
  <c r="AE1974" i="2"/>
  <c r="Z744" i="2"/>
  <c r="U744" i="2"/>
  <c r="X744" i="2"/>
  <c r="U217" i="2"/>
  <c r="X217" i="2"/>
  <c r="R218" i="2"/>
  <c r="X218" i="2" s="1"/>
  <c r="Z217" i="2"/>
  <c r="AE1423" i="2"/>
  <c r="U2016" i="2"/>
  <c r="R2017" i="2"/>
  <c r="X2016" i="2"/>
  <c r="Z2016" i="2"/>
  <c r="AE772" i="2"/>
  <c r="AE1441" i="2"/>
  <c r="AE414" i="2"/>
  <c r="I499" i="2"/>
  <c r="I1026" i="2"/>
  <c r="I1027" i="2" s="1"/>
  <c r="I1028" i="2" s="1"/>
  <c r="I1244" i="2"/>
  <c r="I1854" i="2"/>
  <c r="I1855" i="2" s="1"/>
  <c r="I1856" i="2" s="1"/>
  <c r="I1857" i="2" s="1"/>
  <c r="I1858" i="2" s="1"/>
  <c r="I1859" i="2" s="1"/>
  <c r="I1860" i="2" s="1"/>
  <c r="AE216" i="2"/>
  <c r="B289" i="64"/>
  <c r="C289" i="64" s="1"/>
  <c r="AE1680" i="2"/>
  <c r="Z316" i="2"/>
  <c r="U316" i="2"/>
  <c r="R317" i="2"/>
  <c r="X316" i="2"/>
  <c r="U1975" i="2"/>
  <c r="X1975" i="2"/>
  <c r="Z1975" i="2"/>
  <c r="B44" i="64"/>
  <c r="C44" i="64" s="1"/>
  <c r="AE85" i="2"/>
  <c r="AE2001" i="2"/>
  <c r="B244" i="64"/>
  <c r="C244" i="64" s="1"/>
  <c r="Z1424" i="2"/>
  <c r="U1424" i="2"/>
  <c r="R1425" i="2"/>
  <c r="X1424" i="2"/>
  <c r="I830" i="2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U773" i="2"/>
  <c r="X773" i="2"/>
  <c r="Z773" i="2"/>
  <c r="B236" i="64"/>
  <c r="C236" i="64" s="1"/>
  <c r="AE1183" i="2"/>
  <c r="E26" i="2"/>
  <c r="U415" i="2"/>
  <c r="R416" i="2"/>
  <c r="X415" i="2"/>
  <c r="Z415" i="2"/>
  <c r="B19" i="64"/>
  <c r="C19" i="64" s="1"/>
  <c r="AE681" i="2"/>
  <c r="D27" i="2"/>
  <c r="E27" i="2" s="1"/>
  <c r="H28" i="2"/>
  <c r="H29" i="2" s="1"/>
  <c r="I781" i="2"/>
  <c r="I782" i="2" s="1"/>
  <c r="I783" i="2" s="1"/>
  <c r="AE1404" i="2"/>
  <c r="I1697" i="2"/>
  <c r="I1698" i="2" s="1"/>
  <c r="I1699" i="2" s="1"/>
  <c r="I1700" i="2" s="1"/>
  <c r="I1701" i="2" s="1"/>
  <c r="I1702" i="2" s="1"/>
  <c r="I1703" i="2" s="1"/>
  <c r="I1704" i="2" s="1"/>
  <c r="I1705" i="2" s="1"/>
  <c r="I1706" i="2" s="1"/>
  <c r="I1707" i="2" s="1"/>
  <c r="I1708" i="2" s="1"/>
  <c r="I1709" i="2" s="1"/>
  <c r="U506" i="2"/>
  <c r="R507" i="2"/>
  <c r="X506" i="2"/>
  <c r="Z506" i="2"/>
  <c r="AE2024" i="2"/>
  <c r="D183" i="2"/>
  <c r="E183" i="2" s="1"/>
  <c r="H184" i="2"/>
  <c r="H185" i="2" s="1"/>
  <c r="Z86" i="2"/>
  <c r="U86" i="2"/>
  <c r="X86" i="2"/>
  <c r="U2002" i="2"/>
  <c r="R2003" i="2"/>
  <c r="X2002" i="2"/>
  <c r="Z2002" i="2"/>
  <c r="Z2044" i="2" l="1"/>
  <c r="AE2044" i="2" s="1"/>
  <c r="U2044" i="2"/>
  <c r="R2045" i="2"/>
  <c r="X2044" i="2"/>
  <c r="B293" i="64"/>
  <c r="C293" i="64" s="1"/>
  <c r="Z187" i="2"/>
  <c r="AE187" i="2" s="1"/>
  <c r="X715" i="2"/>
  <c r="Z715" i="2"/>
  <c r="AE715" i="2" s="1"/>
  <c r="U715" i="2"/>
  <c r="I1245" i="2"/>
  <c r="I1246" i="2" s="1"/>
  <c r="I1247" i="2" s="1"/>
  <c r="I1248" i="2" s="1"/>
  <c r="I1249" i="2" s="1"/>
  <c r="I1250" i="2" s="1"/>
  <c r="I1251" i="2" s="1"/>
  <c r="I1252" i="2" s="1"/>
  <c r="I1253" i="2" s="1"/>
  <c r="I1254" i="2" s="1"/>
  <c r="I1255" i="2" s="1"/>
  <c r="I1256" i="2" s="1"/>
  <c r="U2017" i="2"/>
  <c r="R2018" i="2"/>
  <c r="X2017" i="2"/>
  <c r="Z2017" i="2"/>
  <c r="AE744" i="2"/>
  <c r="U1443" i="2"/>
  <c r="X1443" i="2"/>
  <c r="R1444" i="2"/>
  <c r="X1444" i="2" s="1"/>
  <c r="Z1443" i="2"/>
  <c r="X1185" i="2"/>
  <c r="Z1185" i="2"/>
  <c r="U1185" i="2"/>
  <c r="R1186" i="2"/>
  <c r="AE506" i="2"/>
  <c r="E184" i="2"/>
  <c r="E185" i="2" s="1"/>
  <c r="E186" i="2" s="1"/>
  <c r="E187" i="2" s="1"/>
  <c r="X317" i="2"/>
  <c r="Z317" i="2"/>
  <c r="U317" i="2"/>
  <c r="R318" i="2"/>
  <c r="AE802" i="2"/>
  <c r="K84" i="2"/>
  <c r="I59" i="2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228" i="2"/>
  <c r="I229" i="2" s="1"/>
  <c r="I230" i="2" s="1"/>
  <c r="I231" i="2" s="1"/>
  <c r="I1710" i="2"/>
  <c r="U507" i="2"/>
  <c r="R508" i="2"/>
  <c r="X507" i="2"/>
  <c r="Z507" i="2"/>
  <c r="AE415" i="2"/>
  <c r="AE1442" i="2"/>
  <c r="K936" i="2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B83" i="64"/>
  <c r="C83" i="64" s="1"/>
  <c r="AE1184" i="2"/>
  <c r="AE2025" i="2"/>
  <c r="G191" i="2"/>
  <c r="G192" i="2" s="1"/>
  <c r="G193" i="2" s="1"/>
  <c r="B327" i="64"/>
  <c r="C327" i="64" s="1"/>
  <c r="AE316" i="2"/>
  <c r="I1861" i="2"/>
  <c r="I1862" i="2" s="1"/>
  <c r="I1863" i="2" s="1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412" i="2"/>
  <c r="AE682" i="2"/>
  <c r="AE773" i="2"/>
  <c r="B307" i="64"/>
  <c r="C307" i="64" s="1"/>
  <c r="AE86" i="2"/>
  <c r="I843" i="2"/>
  <c r="AE1975" i="2"/>
  <c r="B183" i="64"/>
  <c r="C183" i="64" s="1"/>
  <c r="AE217" i="2"/>
  <c r="B300" i="64"/>
  <c r="C300" i="64" s="1"/>
  <c r="AE1982" i="2"/>
  <c r="I1091" i="2"/>
  <c r="I1092" i="2" s="1"/>
  <c r="I1093" i="2" s="1"/>
  <c r="I1149" i="2"/>
  <c r="Z2026" i="2"/>
  <c r="U2026" i="2"/>
  <c r="R2027" i="2"/>
  <c r="X2026" i="2"/>
  <c r="H186" i="2"/>
  <c r="D185" i="2"/>
  <c r="AE1424" i="2"/>
  <c r="I784" i="2"/>
  <c r="U2003" i="2"/>
  <c r="R2004" i="2"/>
  <c r="X2003" i="2"/>
  <c r="Z2003" i="2"/>
  <c r="D29" i="2"/>
  <c r="E29" i="2" s="1"/>
  <c r="H30" i="2"/>
  <c r="H31" i="2" s="1"/>
  <c r="I1029" i="2"/>
  <c r="I1030" i="2" s="1"/>
  <c r="I1031" i="2" s="1"/>
  <c r="I1799" i="2"/>
  <c r="I1800" i="2" s="1"/>
  <c r="I1801" i="2" s="1"/>
  <c r="I1802" i="2" s="1"/>
  <c r="I1803" i="2" s="1"/>
  <c r="U2035" i="2"/>
  <c r="R2036" i="2"/>
  <c r="X2035" i="2"/>
  <c r="Z2035" i="2"/>
  <c r="AE2002" i="2"/>
  <c r="B117" i="64"/>
  <c r="C117" i="64" s="1"/>
  <c r="U416" i="2"/>
  <c r="R417" i="2"/>
  <c r="X416" i="2"/>
  <c r="Z416" i="2"/>
  <c r="E28" i="2"/>
  <c r="X1425" i="2"/>
  <c r="R1426" i="2"/>
  <c r="X1426" i="2" s="1"/>
  <c r="Z1425" i="2"/>
  <c r="U1425" i="2"/>
  <c r="I500" i="2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AE2016" i="2"/>
  <c r="U1983" i="2"/>
  <c r="R1984" i="2"/>
  <c r="X1983" i="2"/>
  <c r="Z1983" i="2"/>
  <c r="F25" i="2"/>
  <c r="B294" i="64"/>
  <c r="C294" i="64" s="1"/>
  <c r="AE1405" i="2"/>
  <c r="AE2034" i="2"/>
  <c r="B62" i="64" l="1"/>
  <c r="C62" i="64" s="1"/>
  <c r="Z2045" i="2"/>
  <c r="AE2045" i="2" s="1"/>
  <c r="U2045" i="2"/>
  <c r="X2045" i="2"/>
  <c r="Z190" i="2"/>
  <c r="AE190" i="2" s="1"/>
  <c r="I1804" i="2"/>
  <c r="I1805" i="2" s="1"/>
  <c r="I1806" i="2" s="1"/>
  <c r="I1807" i="2" s="1"/>
  <c r="I1808" i="2" s="1"/>
  <c r="AE1425" i="2"/>
  <c r="U2036" i="2"/>
  <c r="X2036" i="2"/>
  <c r="Z2036" i="2"/>
  <c r="X2027" i="2"/>
  <c r="Z2027" i="2"/>
  <c r="U2027" i="2"/>
  <c r="I1094" i="2"/>
  <c r="I1095" i="2" s="1"/>
  <c r="I1096" i="2" s="1"/>
  <c r="U1186" i="2"/>
  <c r="X1186" i="2"/>
  <c r="R1187" i="2"/>
  <c r="X1187" i="2" s="1"/>
  <c r="Z1186" i="2"/>
  <c r="Z417" i="2"/>
  <c r="U417" i="2"/>
  <c r="X417" i="2"/>
  <c r="I785" i="2"/>
  <c r="I786" i="2" s="1"/>
  <c r="I787" i="2" s="1"/>
  <c r="I788" i="2" s="1"/>
  <c r="B334" i="64"/>
  <c r="C334" i="64" s="1"/>
  <c r="AE1983" i="2"/>
  <c r="I544" i="2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H32" i="2"/>
  <c r="H33" i="2" s="1"/>
  <c r="D31" i="2"/>
  <c r="E31" i="2" s="1"/>
  <c r="AE2026" i="2"/>
  <c r="I232" i="2"/>
  <c r="I233" i="2" s="1"/>
  <c r="B84" i="64"/>
  <c r="C84" i="64" s="1"/>
  <c r="AE1185" i="2"/>
  <c r="AE2017" i="2"/>
  <c r="E30" i="2"/>
  <c r="I1150" i="2"/>
  <c r="I1151" i="2" s="1"/>
  <c r="I1152" i="2" s="1"/>
  <c r="G194" i="2"/>
  <c r="G195" i="2" s="1"/>
  <c r="G196" i="2" s="1"/>
  <c r="AE507" i="2"/>
  <c r="AE2003" i="2"/>
  <c r="B229" i="64"/>
  <c r="C229" i="64" s="1"/>
  <c r="U318" i="2"/>
  <c r="X318" i="2"/>
  <c r="Z318" i="2"/>
  <c r="AE1443" i="2"/>
  <c r="U2018" i="2"/>
  <c r="X2018" i="2"/>
  <c r="Z2018" i="2"/>
  <c r="F26" i="2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I1032" i="2"/>
  <c r="H187" i="2"/>
  <c r="D186" i="2"/>
  <c r="Z508" i="2"/>
  <c r="U508" i="2"/>
  <c r="X508" i="2"/>
  <c r="U1984" i="2"/>
  <c r="X1984" i="2"/>
  <c r="Z1984" i="2"/>
  <c r="AE2035" i="2"/>
  <c r="U2004" i="2"/>
  <c r="X2004" i="2"/>
  <c r="R2005" i="2"/>
  <c r="X2005" i="2" s="1"/>
  <c r="Z2004" i="2"/>
  <c r="I844" i="2"/>
  <c r="I845" i="2" s="1"/>
  <c r="I846" i="2" s="1"/>
  <c r="I847" i="2" s="1"/>
  <c r="I1876" i="2"/>
  <c r="I1877" i="2" s="1"/>
  <c r="I1878" i="2" s="1"/>
  <c r="B66" i="64"/>
  <c r="C66" i="64" s="1"/>
  <c r="AE317" i="2"/>
  <c r="AE416" i="2"/>
  <c r="I1413" i="2"/>
  <c r="I1414" i="2" s="1"/>
  <c r="I1415" i="2" s="1"/>
  <c r="I1416" i="2" s="1"/>
  <c r="I1417" i="2" s="1"/>
  <c r="I1711" i="2"/>
  <c r="I1712" i="2" s="1"/>
  <c r="I1713" i="2" s="1"/>
  <c r="I1714" i="2" s="1"/>
  <c r="I1715" i="2" s="1"/>
  <c r="I1716" i="2" s="1"/>
  <c r="K85" i="2"/>
  <c r="I1257" i="2"/>
  <c r="I1258" i="2" s="1"/>
  <c r="I1259" i="2" s="1"/>
  <c r="I1260" i="2" s="1"/>
  <c r="I1261" i="2" s="1"/>
  <c r="I1262" i="2" s="1"/>
  <c r="Z193" i="2" l="1"/>
  <c r="AE193" i="2" s="1"/>
  <c r="D171" i="2"/>
  <c r="F172" i="2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H188" i="2"/>
  <c r="D187" i="2"/>
  <c r="AE417" i="2"/>
  <c r="I1418" i="2"/>
  <c r="I1419" i="2" s="1"/>
  <c r="I1420" i="2" s="1"/>
  <c r="I1421" i="2" s="1"/>
  <c r="I1422" i="2" s="1"/>
  <c r="I1423" i="2" s="1"/>
  <c r="I1424" i="2" s="1"/>
  <c r="I1425" i="2" s="1"/>
  <c r="I1426" i="2" s="1"/>
  <c r="I1033" i="2"/>
  <c r="I1034" i="2" s="1"/>
  <c r="I1035" i="2" s="1"/>
  <c r="I582" i="2"/>
  <c r="I583" i="2" s="1"/>
  <c r="I584" i="2" s="1"/>
  <c r="I585" i="2" s="1"/>
  <c r="I586" i="2" s="1"/>
  <c r="AE2018" i="2"/>
  <c r="I1097" i="2"/>
  <c r="B13" i="64"/>
  <c r="C13" i="64" s="1"/>
  <c r="AE318" i="2"/>
  <c r="B86" i="64"/>
  <c r="C86" i="64" s="1"/>
  <c r="AE1186" i="2"/>
  <c r="I1717" i="2"/>
  <c r="I1718" i="2" s="1"/>
  <c r="I1719" i="2" s="1"/>
  <c r="I1720" i="2" s="1"/>
  <c r="I1721" i="2" s="1"/>
  <c r="I1879" i="2"/>
  <c r="I848" i="2"/>
  <c r="I849" i="2" s="1"/>
  <c r="I850" i="2" s="1"/>
  <c r="I851" i="2" s="1"/>
  <c r="I852" i="2" s="1"/>
  <c r="I853" i="2" s="1"/>
  <c r="I854" i="2" s="1"/>
  <c r="G197" i="2"/>
  <c r="G198" i="2" s="1"/>
  <c r="G199" i="2" s="1"/>
  <c r="Z196" i="2"/>
  <c r="E32" i="2"/>
  <c r="AE2027" i="2"/>
  <c r="I1809" i="2"/>
  <c r="I1810" i="2" s="1"/>
  <c r="I1811" i="2" s="1"/>
  <c r="I1812" i="2" s="1"/>
  <c r="I1813" i="2" s="1"/>
  <c r="I1814" i="2" s="1"/>
  <c r="I1815" i="2" s="1"/>
  <c r="B329" i="64"/>
  <c r="C329" i="64" s="1"/>
  <c r="AE1984" i="2"/>
  <c r="K86" i="2"/>
  <c r="AE2004" i="2"/>
  <c r="B291" i="64"/>
  <c r="C291" i="64" s="1"/>
  <c r="D33" i="2"/>
  <c r="E33" i="2" s="1"/>
  <c r="H34" i="2"/>
  <c r="H35" i="2" s="1"/>
  <c r="I789" i="2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1263" i="2"/>
  <c r="I1264" i="2" s="1"/>
  <c r="I1265" i="2" s="1"/>
  <c r="I1266" i="2" s="1"/>
  <c r="AE508" i="2"/>
  <c r="I1153" i="2"/>
  <c r="AE2036" i="2"/>
  <c r="H36" i="2" l="1"/>
  <c r="H37" i="2" s="1"/>
  <c r="D35" i="2"/>
  <c r="E35" i="2" s="1"/>
  <c r="E34" i="2"/>
  <c r="I1036" i="2"/>
  <c r="I1037" i="2" s="1"/>
  <c r="I1038" i="2" s="1"/>
  <c r="I804" i="2"/>
  <c r="I805" i="2" s="1"/>
  <c r="K87" i="2"/>
  <c r="K88" i="2" s="1"/>
  <c r="I1154" i="2"/>
  <c r="I1155" i="2" s="1"/>
  <c r="I1156" i="2" s="1"/>
  <c r="I1267" i="2"/>
  <c r="I1268" i="2" s="1"/>
  <c r="I1269" i="2" s="1"/>
  <c r="I1270" i="2" s="1"/>
  <c r="I1271" i="2" s="1"/>
  <c r="I1272" i="2" s="1"/>
  <c r="I1273" i="2" s="1"/>
  <c r="I1274" i="2" s="1"/>
  <c r="I1275" i="2" s="1"/>
  <c r="I1098" i="2"/>
  <c r="I1099" i="2" s="1"/>
  <c r="I1100" i="2" s="1"/>
  <c r="I587" i="2"/>
  <c r="I588" i="2" s="1"/>
  <c r="I589" i="2" s="1"/>
  <c r="I1427" i="2"/>
  <c r="I1428" i="2" s="1"/>
  <c r="I1429" i="2" s="1"/>
  <c r="I1880" i="2"/>
  <c r="I1881" i="2" s="1"/>
  <c r="I1882" i="2" s="1"/>
  <c r="I1883" i="2" s="1"/>
  <c r="I1884" i="2" s="1"/>
  <c r="I1885" i="2" s="1"/>
  <c r="I1886" i="2" s="1"/>
  <c r="D188" i="2"/>
  <c r="E188" i="2" s="1"/>
  <c r="H189" i="2"/>
  <c r="H190" i="2" s="1"/>
  <c r="AE196" i="2"/>
  <c r="F198" i="2"/>
  <c r="F199" i="2" s="1"/>
  <c r="F200" i="2" s="1"/>
  <c r="F201" i="2" s="1"/>
  <c r="F211" i="2" s="1"/>
  <c r="F202" i="2"/>
  <c r="G200" i="2"/>
  <c r="I1722" i="2"/>
  <c r="I1723" i="2" s="1"/>
  <c r="I1724" i="2" s="1"/>
  <c r="I1725" i="2" s="1"/>
  <c r="I1816" i="2"/>
  <c r="I855" i="2"/>
  <c r="I856" i="2" s="1"/>
  <c r="I857" i="2" s="1"/>
  <c r="F203" i="2" l="1"/>
  <c r="F204" i="2" s="1"/>
  <c r="F205" i="2" s="1"/>
  <c r="F206" i="2" s="1"/>
  <c r="F207" i="2" s="1"/>
  <c r="F208" i="2" s="1"/>
  <c r="F209" i="2" s="1"/>
  <c r="F210" i="2" s="1"/>
  <c r="I590" i="2"/>
  <c r="I1817" i="2"/>
  <c r="I1818" i="2" s="1"/>
  <c r="I1819" i="2" s="1"/>
  <c r="I1820" i="2" s="1"/>
  <c r="H191" i="2"/>
  <c r="D190" i="2"/>
  <c r="I1157" i="2"/>
  <c r="I1039" i="2"/>
  <c r="I1040" i="2" s="1"/>
  <c r="I1041" i="2" s="1"/>
  <c r="G201" i="2"/>
  <c r="I1887" i="2"/>
  <c r="I1888" i="2" s="1"/>
  <c r="I1889" i="2" s="1"/>
  <c r="I1890" i="2" s="1"/>
  <c r="I1891" i="2" s="1"/>
  <c r="I1892" i="2" s="1"/>
  <c r="I1893" i="2" s="1"/>
  <c r="K89" i="2"/>
  <c r="K90" i="2" s="1"/>
  <c r="E189" i="2"/>
  <c r="E190" i="2" s="1"/>
  <c r="I1101" i="2"/>
  <c r="I1102" i="2" s="1"/>
  <c r="I1103" i="2" s="1"/>
  <c r="I858" i="2"/>
  <c r="I859" i="2" s="1"/>
  <c r="I860" i="2" s="1"/>
  <c r="E36" i="2"/>
  <c r="H38" i="2"/>
  <c r="H39" i="2" s="1"/>
  <c r="D37" i="2"/>
  <c r="E37" i="2" s="1"/>
  <c r="I1430" i="2"/>
  <c r="I1276" i="2"/>
  <c r="F212" i="2" l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F1418" i="2" s="1"/>
  <c r="F1419" i="2" s="1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F1515" i="2" s="1"/>
  <c r="F1516" i="2" s="1"/>
  <c r="F1517" i="2" s="1"/>
  <c r="F1518" i="2" s="1"/>
  <c r="F1519" i="2" s="1"/>
  <c r="F1520" i="2" s="1"/>
  <c r="F1521" i="2" s="1"/>
  <c r="F1522" i="2" s="1"/>
  <c r="F1523" i="2" s="1"/>
  <c r="F1524" i="2" s="1"/>
  <c r="F1525" i="2" s="1"/>
  <c r="F1526" i="2" s="1"/>
  <c r="F1527" i="2" s="1"/>
  <c r="F1528" i="2" s="1"/>
  <c r="F1529" i="2" s="1"/>
  <c r="F1530" i="2" s="1"/>
  <c r="F1531" i="2" s="1"/>
  <c r="F1532" i="2" s="1"/>
  <c r="F1533" i="2" s="1"/>
  <c r="F1534" i="2" s="1"/>
  <c r="F1535" i="2" s="1"/>
  <c r="F1536" i="2" s="1"/>
  <c r="F1537" i="2" s="1"/>
  <c r="F1538" i="2" s="1"/>
  <c r="F1539" i="2" s="1"/>
  <c r="F1540" i="2" s="1"/>
  <c r="F1541" i="2" s="1"/>
  <c r="F1542" i="2" s="1"/>
  <c r="F1543" i="2" s="1"/>
  <c r="F1544" i="2" s="1"/>
  <c r="F1545" i="2" s="1"/>
  <c r="F1546" i="2" s="1"/>
  <c r="F1547" i="2" s="1"/>
  <c r="F1548" i="2" s="1"/>
  <c r="F1549" i="2" s="1"/>
  <c r="F1550" i="2" s="1"/>
  <c r="F1551" i="2" s="1"/>
  <c r="F1552" i="2" s="1"/>
  <c r="F1553" i="2" s="1"/>
  <c r="F1554" i="2" s="1"/>
  <c r="F1555" i="2" s="1"/>
  <c r="F1556" i="2" s="1"/>
  <c r="F1557" i="2" s="1"/>
  <c r="F1558" i="2" s="1"/>
  <c r="F1559" i="2" s="1"/>
  <c r="F1560" i="2" s="1"/>
  <c r="F1561" i="2" s="1"/>
  <c r="F1562" i="2" s="1"/>
  <c r="F1563" i="2" s="1"/>
  <c r="F1564" i="2" s="1"/>
  <c r="F1565" i="2" s="1"/>
  <c r="F1566" i="2" s="1"/>
  <c r="F1567" i="2" s="1"/>
  <c r="F1568" i="2" s="1"/>
  <c r="F1569" i="2" s="1"/>
  <c r="F1570" i="2" s="1"/>
  <c r="F1571" i="2" s="1"/>
  <c r="F1572" i="2" s="1"/>
  <c r="F1573" i="2" s="1"/>
  <c r="F1574" i="2" s="1"/>
  <c r="F1575" i="2" s="1"/>
  <c r="F1576" i="2" s="1"/>
  <c r="F1577" i="2" s="1"/>
  <c r="F1578" i="2" s="1"/>
  <c r="F1579" i="2" s="1"/>
  <c r="F1580" i="2" s="1"/>
  <c r="F1581" i="2" s="1"/>
  <c r="F1582" i="2" s="1"/>
  <c r="F1583" i="2" s="1"/>
  <c r="F1584" i="2" s="1"/>
  <c r="F1585" i="2" s="1"/>
  <c r="F1586" i="2" s="1"/>
  <c r="F1587" i="2" s="1"/>
  <c r="F1588" i="2" s="1"/>
  <c r="F1589" i="2" s="1"/>
  <c r="F1590" i="2" s="1"/>
  <c r="F1591" i="2" s="1"/>
  <c r="F1592" i="2" s="1"/>
  <c r="F1593" i="2" s="1"/>
  <c r="F1594" i="2" s="1"/>
  <c r="F1595" i="2" s="1"/>
  <c r="F1596" i="2" s="1"/>
  <c r="F1597" i="2" s="1"/>
  <c r="F1598" i="2" s="1"/>
  <c r="F1599" i="2" s="1"/>
  <c r="F1600" i="2" s="1"/>
  <c r="F1601" i="2" s="1"/>
  <c r="F1602" i="2" s="1"/>
  <c r="F1603" i="2" s="1"/>
  <c r="F1604" i="2" s="1"/>
  <c r="F1605" i="2" s="1"/>
  <c r="F1606" i="2" s="1"/>
  <c r="F1607" i="2" s="1"/>
  <c r="F1608" i="2" s="1"/>
  <c r="F1609" i="2" s="1"/>
  <c r="F1610" i="2" s="1"/>
  <c r="F1611" i="2" s="1"/>
  <c r="F1612" i="2" s="1"/>
  <c r="F1613" i="2" s="1"/>
  <c r="F1614" i="2" s="1"/>
  <c r="F1615" i="2" s="1"/>
  <c r="F1616" i="2" s="1"/>
  <c r="F1617" i="2" s="1"/>
  <c r="F1618" i="2" s="1"/>
  <c r="F1619" i="2" s="1"/>
  <c r="F1620" i="2" s="1"/>
  <c r="F1621" i="2" s="1"/>
  <c r="F1622" i="2" s="1"/>
  <c r="F1623" i="2" s="1"/>
  <c r="F1624" i="2" s="1"/>
  <c r="F1625" i="2" s="1"/>
  <c r="F1626" i="2" s="1"/>
  <c r="F1627" i="2" s="1"/>
  <c r="F1628" i="2" s="1"/>
  <c r="F1629" i="2" s="1"/>
  <c r="F1630" i="2" s="1"/>
  <c r="F1631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F1652" i="2" s="1"/>
  <c r="F1653" i="2" s="1"/>
  <c r="F1654" i="2" s="1"/>
  <c r="F1655" i="2" s="1"/>
  <c r="F1656" i="2" s="1"/>
  <c r="F1657" i="2" s="1"/>
  <c r="F1658" i="2" s="1"/>
  <c r="F1659" i="2" s="1"/>
  <c r="F1660" i="2" s="1"/>
  <c r="F1661" i="2" s="1"/>
  <c r="F1662" i="2" s="1"/>
  <c r="F1663" i="2" s="1"/>
  <c r="F1664" i="2" s="1"/>
  <c r="F1665" i="2" s="1"/>
  <c r="F1666" i="2" s="1"/>
  <c r="F1667" i="2" s="1"/>
  <c r="F1668" i="2" s="1"/>
  <c r="F1669" i="2" s="1"/>
  <c r="F1670" i="2" s="1"/>
  <c r="F1671" i="2" s="1"/>
  <c r="F1672" i="2" s="1"/>
  <c r="F1673" i="2" s="1"/>
  <c r="F1674" i="2" s="1"/>
  <c r="F1675" i="2" s="1"/>
  <c r="F1676" i="2" s="1"/>
  <c r="F1677" i="2" s="1"/>
  <c r="F1678" i="2" s="1"/>
  <c r="F1679" i="2" s="1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1698" i="2" s="1"/>
  <c r="F1699" i="2" s="1"/>
  <c r="F1700" i="2" s="1"/>
  <c r="F1701" i="2" s="1"/>
  <c r="F1702" i="2" s="1"/>
  <c r="F1703" i="2" s="1"/>
  <c r="F1704" i="2" s="1"/>
  <c r="F1705" i="2" s="1"/>
  <c r="F1706" i="2" s="1"/>
  <c r="F1707" i="2" s="1"/>
  <c r="F1708" i="2" s="1"/>
  <c r="F1709" i="2" s="1"/>
  <c r="F1710" i="2" s="1"/>
  <c r="F1711" i="2" s="1"/>
  <c r="F1712" i="2" s="1"/>
  <c r="F1713" i="2" s="1"/>
  <c r="F1714" i="2" s="1"/>
  <c r="F1715" i="2" s="1"/>
  <c r="F1716" i="2" s="1"/>
  <c r="F1717" i="2" s="1"/>
  <c r="F1718" i="2" s="1"/>
  <c r="F1719" i="2" s="1"/>
  <c r="F1720" i="2" s="1"/>
  <c r="F1721" i="2" s="1"/>
  <c r="F1722" i="2" s="1"/>
  <c r="F1723" i="2" s="1"/>
  <c r="F1724" i="2" s="1"/>
  <c r="F1725" i="2" s="1"/>
  <c r="F1726" i="2" s="1"/>
  <c r="F1727" i="2" s="1"/>
  <c r="F1728" i="2" s="1"/>
  <c r="F1729" i="2" s="1"/>
  <c r="F1730" i="2" s="1"/>
  <c r="F1731" i="2" s="1"/>
  <c r="F1732" i="2" s="1"/>
  <c r="F1733" i="2" s="1"/>
  <c r="F1734" i="2" s="1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F1746" i="2" s="1"/>
  <c r="F1747" i="2" s="1"/>
  <c r="F1748" i="2" s="1"/>
  <c r="F1749" i="2" s="1"/>
  <c r="F1750" i="2" s="1"/>
  <c r="F1751" i="2" s="1"/>
  <c r="F1752" i="2" s="1"/>
  <c r="F1753" i="2" s="1"/>
  <c r="F1754" i="2" s="1"/>
  <c r="F1755" i="2" s="1"/>
  <c r="F1756" i="2" s="1"/>
  <c r="F1757" i="2" s="1"/>
  <c r="F1758" i="2" s="1"/>
  <c r="F1759" i="2" s="1"/>
  <c r="F1760" i="2" s="1"/>
  <c r="F1761" i="2" s="1"/>
  <c r="F1762" i="2" s="1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F1774" i="2" s="1"/>
  <c r="F1775" i="2" s="1"/>
  <c r="F1776" i="2" s="1"/>
  <c r="F1777" i="2" s="1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F1798" i="2" s="1"/>
  <c r="F1799" i="2" s="1"/>
  <c r="F1800" i="2" s="1"/>
  <c r="F1801" i="2" s="1"/>
  <c r="F1802" i="2" s="1"/>
  <c r="F1803" i="2" s="1"/>
  <c r="F1804" i="2" s="1"/>
  <c r="F1805" i="2" s="1"/>
  <c r="F1806" i="2" s="1"/>
  <c r="F1807" i="2" s="1"/>
  <c r="F1808" i="2" s="1"/>
  <c r="F1809" i="2" s="1"/>
  <c r="F1810" i="2" s="1"/>
  <c r="F1811" i="2" s="1"/>
  <c r="F1812" i="2" s="1"/>
  <c r="F1813" i="2" s="1"/>
  <c r="F1814" i="2" s="1"/>
  <c r="F1815" i="2" s="1"/>
  <c r="F1816" i="2" s="1"/>
  <c r="F1817" i="2" s="1"/>
  <c r="F1818" i="2" s="1"/>
  <c r="F1819" i="2" s="1"/>
  <c r="F1820" i="2" s="1"/>
  <c r="F1821" i="2" s="1"/>
  <c r="F1822" i="2" s="1"/>
  <c r="F1823" i="2" s="1"/>
  <c r="F1824" i="2" s="1"/>
  <c r="F1825" i="2" s="1"/>
  <c r="F1826" i="2" s="1"/>
  <c r="F1827" i="2" s="1"/>
  <c r="F1828" i="2" s="1"/>
  <c r="F1829" i="2" s="1"/>
  <c r="F1830" i="2" s="1"/>
  <c r="F1831" i="2" s="1"/>
  <c r="F1832" i="2" s="1"/>
  <c r="F1833" i="2" s="1"/>
  <c r="F1834" i="2" s="1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F1846" i="2" s="1"/>
  <c r="F1847" i="2" s="1"/>
  <c r="F1848" i="2" s="1"/>
  <c r="F1849" i="2" s="1"/>
  <c r="F1850" i="2" s="1"/>
  <c r="F1851" i="2" s="1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5" i="2" s="1"/>
  <c r="F1866" i="2" s="1"/>
  <c r="F1867" i="2" s="1"/>
  <c r="F1868" i="2" s="1"/>
  <c r="F1869" i="2" s="1"/>
  <c r="F1870" i="2" s="1"/>
  <c r="F1871" i="2" s="1"/>
  <c r="F1872" i="2" s="1"/>
  <c r="F1873" i="2" s="1"/>
  <c r="F1874" i="2" s="1"/>
  <c r="F1875" i="2" s="1"/>
  <c r="F1876" i="2" s="1"/>
  <c r="F1877" i="2" s="1"/>
  <c r="F1878" i="2" s="1"/>
  <c r="F1879" i="2" s="1"/>
  <c r="F1880" i="2" s="1"/>
  <c r="F1881" i="2" s="1"/>
  <c r="F1882" i="2" s="1"/>
  <c r="F1883" i="2" s="1"/>
  <c r="F1884" i="2" s="1"/>
  <c r="F1885" i="2" s="1"/>
  <c r="F1886" i="2" s="1"/>
  <c r="F1887" i="2" s="1"/>
  <c r="F1888" i="2" s="1"/>
  <c r="F1889" i="2" s="1"/>
  <c r="F1890" i="2" s="1"/>
  <c r="F1891" i="2" s="1"/>
  <c r="F1892" i="2" s="1"/>
  <c r="F1893" i="2" s="1"/>
  <c r="F1894" i="2" s="1"/>
  <c r="F1895" i="2" s="1"/>
  <c r="F1896" i="2" s="1"/>
  <c r="F1897" i="2" s="1"/>
  <c r="F1898" i="2" s="1"/>
  <c r="F1899" i="2" s="1"/>
  <c r="F1900" i="2" s="1"/>
  <c r="F1901" i="2" s="1"/>
  <c r="F1902" i="2" s="1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F1919" i="2" s="1"/>
  <c r="F1920" i="2" s="1"/>
  <c r="F1921" i="2" s="1"/>
  <c r="F1922" i="2" s="1"/>
  <c r="F1923" i="2" s="1"/>
  <c r="F1924" i="2" s="1"/>
  <c r="F1925" i="2" s="1"/>
  <c r="F1926" i="2" s="1"/>
  <c r="F1927" i="2" s="1"/>
  <c r="F1928" i="2" s="1"/>
  <c r="F1929" i="2" s="1"/>
  <c r="F1930" i="2" s="1"/>
  <c r="F1931" i="2" s="1"/>
  <c r="F1932" i="2" s="1"/>
  <c r="F1933" i="2" s="1"/>
  <c r="F1934" i="2" s="1"/>
  <c r="F1935" i="2" s="1"/>
  <c r="F1936" i="2" s="1"/>
  <c r="F1937" i="2" s="1"/>
  <c r="F1938" i="2" s="1"/>
  <c r="F1939" i="2" s="1"/>
  <c r="F1940" i="2" s="1"/>
  <c r="F1941" i="2" s="1"/>
  <c r="F1942" i="2" s="1"/>
  <c r="F1943" i="2" s="1"/>
  <c r="F1944" i="2" s="1"/>
  <c r="F1945" i="2" s="1"/>
  <c r="F1946" i="2" s="1"/>
  <c r="F1947" i="2" s="1"/>
  <c r="F1948" i="2" s="1"/>
  <c r="F1949" i="2" s="1"/>
  <c r="F1950" i="2" s="1"/>
  <c r="F1951" i="2" s="1"/>
  <c r="F1952" i="2" s="1"/>
  <c r="F1953" i="2" s="1"/>
  <c r="F1954" i="2" s="1"/>
  <c r="F1955" i="2" s="1"/>
  <c r="F1956" i="2" s="1"/>
  <c r="F1957" i="2" s="1"/>
  <c r="F1958" i="2" s="1"/>
  <c r="F1959" i="2" s="1"/>
  <c r="F1960" i="2" s="1"/>
  <c r="F1961" i="2" s="1"/>
  <c r="F1962" i="2" s="1"/>
  <c r="F1963" i="2" s="1"/>
  <c r="F1964" i="2" s="1"/>
  <c r="F1965" i="2" s="1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F1976" i="2" s="1"/>
  <c r="F1977" i="2" s="1"/>
  <c r="F1978" i="2" s="1"/>
  <c r="F1979" i="2" s="1"/>
  <c r="F1980" i="2" s="1"/>
  <c r="F1981" i="2" s="1"/>
  <c r="F1982" i="2" s="1"/>
  <c r="F1983" i="2" s="1"/>
  <c r="F1984" i="2" s="1"/>
  <c r="F1985" i="2" s="1"/>
  <c r="F1986" i="2" s="1"/>
  <c r="F1987" i="2" s="1"/>
  <c r="F1988" i="2" s="1"/>
  <c r="F1989" i="2" s="1"/>
  <c r="F1990" i="2" s="1"/>
  <c r="F1991" i="2" s="1"/>
  <c r="F1992" i="2" s="1"/>
  <c r="F1993" i="2" s="1"/>
  <c r="F1994" i="2" s="1"/>
  <c r="F1995" i="2" s="1"/>
  <c r="F1996" i="2" s="1"/>
  <c r="F1997" i="2" s="1"/>
  <c r="F1998" i="2" s="1"/>
  <c r="F1999" i="2" s="1"/>
  <c r="F2000" i="2" s="1"/>
  <c r="F2001" i="2" s="1"/>
  <c r="F2002" i="2" s="1"/>
  <c r="F2003" i="2" s="1"/>
  <c r="F2004" i="2" s="1"/>
  <c r="F2005" i="2" s="1"/>
  <c r="F2006" i="2" s="1"/>
  <c r="F2007" i="2" s="1"/>
  <c r="F2008" i="2" s="1"/>
  <c r="F2009" i="2" s="1"/>
  <c r="F2010" i="2" s="1"/>
  <c r="F2011" i="2" s="1"/>
  <c r="F2012" i="2" s="1"/>
  <c r="F2013" i="2" s="1"/>
  <c r="F2014" i="2" s="1"/>
  <c r="F2015" i="2" s="1"/>
  <c r="F2016" i="2" s="1"/>
  <c r="F2017" i="2" s="1"/>
  <c r="F2018" i="2" s="1"/>
  <c r="F2019" i="2" s="1"/>
  <c r="F2020" i="2" s="1"/>
  <c r="F2021" i="2" s="1"/>
  <c r="F2022" i="2" s="1"/>
  <c r="F2023" i="2" s="1"/>
  <c r="F2024" i="2" s="1"/>
  <c r="F2025" i="2" s="1"/>
  <c r="F2026" i="2" s="1"/>
  <c r="F2027" i="2" s="1"/>
  <c r="F2028" i="2" s="1"/>
  <c r="F2029" i="2" s="1"/>
  <c r="F2030" i="2" s="1"/>
  <c r="F2031" i="2" s="1"/>
  <c r="F2032" i="2" s="1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 s="1"/>
  <c r="F2046" i="2" s="1"/>
  <c r="F2047" i="2" s="1"/>
  <c r="F2048" i="2" s="1"/>
  <c r="F2049" i="2" s="1"/>
  <c r="F2050" i="2" s="1"/>
  <c r="F2051" i="2" s="1"/>
  <c r="F2052" i="2" s="1"/>
  <c r="F2053" i="2" s="1"/>
  <c r="F2054" i="2" s="1"/>
  <c r="F2055" i="2" s="1"/>
  <c r="F2056" i="2" s="1"/>
  <c r="F2057" i="2" s="1"/>
  <c r="F2058" i="2" s="1"/>
  <c r="F2059" i="2" s="1"/>
  <c r="F2060" i="2" s="1"/>
  <c r="F2061" i="2" s="1"/>
  <c r="F2062" i="2" s="1"/>
  <c r="F2063" i="2" s="1"/>
  <c r="F2064" i="2" s="1"/>
  <c r="F2065" i="2" s="1"/>
  <c r="F2066" i="2" s="1"/>
  <c r="F2067" i="2" s="1"/>
  <c r="F2068" i="2" s="1"/>
  <c r="F2069" i="2" s="1"/>
  <c r="F2070" i="2" s="1"/>
  <c r="F2071" i="2" s="1"/>
  <c r="F2072" i="2" s="1"/>
  <c r="F2073" i="2" s="1"/>
  <c r="F2074" i="2" s="1"/>
  <c r="F2075" i="2" s="1"/>
  <c r="F2076" i="2" s="1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F2099" i="2" s="1"/>
  <c r="F2100" i="2" s="1"/>
  <c r="F2101" i="2" s="1"/>
  <c r="F2102" i="2" s="1"/>
  <c r="F2103" i="2" s="1"/>
  <c r="F2104" i="2" s="1"/>
  <c r="F2105" i="2" s="1"/>
  <c r="F2106" i="2" s="1"/>
  <c r="F2107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F2117" i="2" s="1"/>
  <c r="F2118" i="2" s="1"/>
  <c r="F2119" i="2" s="1"/>
  <c r="F2120" i="2" s="1"/>
  <c r="F2121" i="2" s="1"/>
  <c r="F2122" i="2" s="1"/>
  <c r="F2123" i="2" s="1"/>
  <c r="F2124" i="2" s="1"/>
  <c r="F2125" i="2" s="1"/>
  <c r="F2126" i="2" s="1"/>
  <c r="F2127" i="2" s="1"/>
  <c r="F2128" i="2" s="1"/>
  <c r="F2129" i="2" s="1"/>
  <c r="F2130" i="2" s="1"/>
  <c r="F2131" i="2" s="1"/>
  <c r="F2132" i="2" s="1"/>
  <c r="F2133" i="2" s="1"/>
  <c r="F2134" i="2" s="1"/>
  <c r="F2135" i="2" s="1"/>
  <c r="F2136" i="2" s="1"/>
  <c r="F2137" i="2" s="1"/>
  <c r="F2138" i="2" s="1"/>
  <c r="F2139" i="2" s="1"/>
  <c r="F2140" i="2" s="1"/>
  <c r="F2141" i="2" s="1"/>
  <c r="F2142" i="2" s="1"/>
  <c r="F2143" i="2" s="1"/>
  <c r="F2144" i="2" s="1"/>
  <c r="F2145" i="2" s="1"/>
  <c r="F2146" i="2" s="1"/>
  <c r="F2147" i="2" s="1"/>
  <c r="I1104" i="2"/>
  <c r="I1105" i="2" s="1"/>
  <c r="I1106" i="2" s="1"/>
  <c r="K91" i="2"/>
  <c r="K92" i="2" s="1"/>
  <c r="I1158" i="2"/>
  <c r="I1159" i="2" s="1"/>
  <c r="I1277" i="2"/>
  <c r="I1278" i="2" s="1"/>
  <c r="I1279" i="2" s="1"/>
  <c r="I1280" i="2" s="1"/>
  <c r="I1281" i="2" s="1"/>
  <c r="I1282" i="2" s="1"/>
  <c r="I1283" i="2" s="1"/>
  <c r="I1284" i="2" s="1"/>
  <c r="I1285" i="2" s="1"/>
  <c r="I1286" i="2" s="1"/>
  <c r="I1287" i="2" s="1"/>
  <c r="I1288" i="2" s="1"/>
  <c r="I861" i="2"/>
  <c r="I862" i="2" s="1"/>
  <c r="I863" i="2" s="1"/>
  <c r="I864" i="2" s="1"/>
  <c r="I1431" i="2"/>
  <c r="I1432" i="2" s="1"/>
  <c r="I1433" i="2" s="1"/>
  <c r="I1434" i="2" s="1"/>
  <c r="I1435" i="2" s="1"/>
  <c r="E38" i="2"/>
  <c r="D39" i="2"/>
  <c r="H40" i="2"/>
  <c r="I1894" i="2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I1911" i="2" s="1"/>
  <c r="H192" i="2"/>
  <c r="H193" i="2" s="1"/>
  <c r="D191" i="2"/>
  <c r="E191" i="2" s="1"/>
  <c r="G202" i="2"/>
  <c r="G203" i="2" s="1"/>
  <c r="Z201" i="2"/>
  <c r="I1821" i="2"/>
  <c r="I1822" i="2" s="1"/>
  <c r="I1823" i="2" s="1"/>
  <c r="I1824" i="2" s="1"/>
  <c r="I1825" i="2" s="1"/>
  <c r="I591" i="2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1042" i="2"/>
  <c r="I1043" i="2" s="1"/>
  <c r="I1044" i="2" s="1"/>
  <c r="E192" i="2" l="1"/>
  <c r="E193" i="2" s="1"/>
  <c r="I1045" i="2"/>
  <c r="I1046" i="2" s="1"/>
  <c r="I1047" i="2" s="1"/>
  <c r="I1826" i="2"/>
  <c r="I1827" i="2" s="1"/>
  <c r="I1828" i="2" s="1"/>
  <c r="I1829" i="2" s="1"/>
  <c r="I1830" i="2" s="1"/>
  <c r="I1289" i="2"/>
  <c r="I1290" i="2" s="1"/>
  <c r="I1291" i="2" s="1"/>
  <c r="I1292" i="2" s="1"/>
  <c r="I1293" i="2" s="1"/>
  <c r="I1294" i="2" s="1"/>
  <c r="AE201" i="2"/>
  <c r="G204" i="2"/>
  <c r="E39" i="2"/>
  <c r="H194" i="2"/>
  <c r="D193" i="2"/>
  <c r="I1436" i="2"/>
  <c r="I1437" i="2" s="1"/>
  <c r="I1438" i="2" s="1"/>
  <c r="I1439" i="2" s="1"/>
  <c r="I1440" i="2" s="1"/>
  <c r="I1441" i="2" s="1"/>
  <c r="I1442" i="2" s="1"/>
  <c r="I1443" i="2" s="1"/>
  <c r="I1444" i="2" s="1"/>
  <c r="K93" i="2"/>
  <c r="I1912" i="2"/>
  <c r="I1913" i="2" s="1"/>
  <c r="I1914" i="2" s="1"/>
  <c r="I620" i="2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865" i="2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H41" i="2"/>
  <c r="H42" i="2" s="1"/>
  <c r="D40" i="2"/>
  <c r="E40" i="2" s="1"/>
  <c r="I1107" i="2"/>
  <c r="I1108" i="2" s="1"/>
  <c r="I1109" i="2" s="1"/>
  <c r="I1295" i="2" l="1"/>
  <c r="I1296" i="2" s="1"/>
  <c r="I1297" i="2" s="1"/>
  <c r="I1298" i="2" s="1"/>
  <c r="I1110" i="2"/>
  <c r="I1915" i="2"/>
  <c r="D194" i="2"/>
  <c r="E194" i="2" s="1"/>
  <c r="H195" i="2"/>
  <c r="H196" i="2" s="1"/>
  <c r="E41" i="2"/>
  <c r="H43" i="2"/>
  <c r="D42" i="2"/>
  <c r="I878" i="2"/>
  <c r="K94" i="2"/>
  <c r="I1831" i="2"/>
  <c r="I1832" i="2" s="1"/>
  <c r="I1833" i="2" s="1"/>
  <c r="I1834" i="2" s="1"/>
  <c r="I1835" i="2" s="1"/>
  <c r="I1836" i="2" s="1"/>
  <c r="I655" i="2"/>
  <c r="I656" i="2" s="1"/>
  <c r="I657" i="2" s="1"/>
  <c r="I658" i="2" s="1"/>
  <c r="I659" i="2" s="1"/>
  <c r="I1445" i="2"/>
  <c r="I1446" i="2" s="1"/>
  <c r="I1447" i="2" s="1"/>
  <c r="G205" i="2"/>
  <c r="G206" i="2" s="1"/>
  <c r="Z204" i="2"/>
  <c r="I1048" i="2"/>
  <c r="I1049" i="2" s="1"/>
  <c r="I1050" i="2" s="1"/>
  <c r="H197" i="2" l="1"/>
  <c r="D196" i="2"/>
  <c r="E195" i="2"/>
  <c r="E196" i="2" s="1"/>
  <c r="AE204" i="2"/>
  <c r="I1448" i="2"/>
  <c r="K95" i="2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I879" i="2"/>
  <c r="I880" i="2" s="1"/>
  <c r="I881" i="2" s="1"/>
  <c r="I882" i="2" s="1"/>
  <c r="I1916" i="2"/>
  <c r="I1917" i="2" s="1"/>
  <c r="I1918" i="2" s="1"/>
  <c r="I1919" i="2" s="1"/>
  <c r="I1920" i="2" s="1"/>
  <c r="I1921" i="2" s="1"/>
  <c r="I1922" i="2" s="1"/>
  <c r="I1111" i="2"/>
  <c r="I1112" i="2" s="1"/>
  <c r="I1113" i="2" s="1"/>
  <c r="G207" i="2"/>
  <c r="I660" i="2"/>
  <c r="I661" i="2" s="1"/>
  <c r="H44" i="2"/>
  <c r="H45" i="2" s="1"/>
  <c r="D43" i="2"/>
  <c r="E43" i="2" s="1"/>
  <c r="I1051" i="2"/>
  <c r="E42" i="2"/>
  <c r="I1299" i="2"/>
  <c r="I1300" i="2" s="1"/>
  <c r="I1301" i="2" s="1"/>
  <c r="I1302" i="2" s="1"/>
  <c r="I1303" i="2" s="1"/>
  <c r="I1304" i="2" s="1"/>
  <c r="I1305" i="2" s="1"/>
  <c r="I1306" i="2" s="1"/>
  <c r="I1307" i="2" s="1"/>
  <c r="G208" i="2" l="1"/>
  <c r="G209" i="2" s="1"/>
  <c r="G210" i="2" s="1"/>
  <c r="Z207" i="2"/>
  <c r="E44" i="2"/>
  <c r="D45" i="2"/>
  <c r="E45" i="2" s="1"/>
  <c r="H46" i="2"/>
  <c r="H47" i="2" s="1"/>
  <c r="I1923" i="2"/>
  <c r="I1924" i="2" s="1"/>
  <c r="I1925" i="2" s="1"/>
  <c r="I1926" i="2" s="1"/>
  <c r="I1927" i="2" s="1"/>
  <c r="I1449" i="2"/>
  <c r="I1450" i="2" s="1"/>
  <c r="I1451" i="2" s="1"/>
  <c r="I1452" i="2" s="1"/>
  <c r="I1453" i="2" s="1"/>
  <c r="I883" i="2"/>
  <c r="I884" i="2" s="1"/>
  <c r="I885" i="2" s="1"/>
  <c r="I886" i="2" s="1"/>
  <c r="I887" i="2" s="1"/>
  <c r="I888" i="2" s="1"/>
  <c r="I889" i="2" s="1"/>
  <c r="I1308" i="2"/>
  <c r="I1052" i="2"/>
  <c r="I1053" i="2" s="1"/>
  <c r="I1054" i="2" s="1"/>
  <c r="I1114" i="2"/>
  <c r="I1115" i="2" s="1"/>
  <c r="I1116" i="2" s="1"/>
  <c r="K108" i="2"/>
  <c r="K109" i="2" s="1"/>
  <c r="Z107" i="2"/>
  <c r="H198" i="2"/>
  <c r="H199" i="2" s="1"/>
  <c r="D197" i="2"/>
  <c r="E197" i="2" s="1"/>
  <c r="H200" i="2" l="1"/>
  <c r="D199" i="2"/>
  <c r="I1309" i="2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I1454" i="2"/>
  <c r="I1455" i="2" s="1"/>
  <c r="G211" i="2"/>
  <c r="G212" i="2" s="1"/>
  <c r="G213" i="2" s="1"/>
  <c r="G214" i="2" s="1"/>
  <c r="G215" i="2" s="1"/>
  <c r="G216" i="2" s="1"/>
  <c r="G217" i="2" s="1"/>
  <c r="G218" i="2" s="1"/>
  <c r="Z210" i="2"/>
  <c r="E46" i="2"/>
  <c r="I1117" i="2"/>
  <c r="I1118" i="2" s="1"/>
  <c r="I1119" i="2" s="1"/>
  <c r="I1055" i="2"/>
  <c r="I1056" i="2" s="1"/>
  <c r="I1057" i="2" s="1"/>
  <c r="I1928" i="2"/>
  <c r="I1929" i="2" s="1"/>
  <c r="I1930" i="2" s="1"/>
  <c r="I1931" i="2" s="1"/>
  <c r="I1932" i="2" s="1"/>
  <c r="I1933" i="2" s="1"/>
  <c r="I1934" i="2" s="1"/>
  <c r="I1935" i="2" s="1"/>
  <c r="I1936" i="2" s="1"/>
  <c r="I1937" i="2" s="1"/>
  <c r="I1938" i="2" s="1"/>
  <c r="I1939" i="2" s="1"/>
  <c r="E198" i="2"/>
  <c r="E199" i="2" s="1"/>
  <c r="E200" i="2" s="1"/>
  <c r="E201" i="2" s="1"/>
  <c r="H48" i="2"/>
  <c r="D47" i="2"/>
  <c r="AE107" i="2"/>
  <c r="Z79" i="2"/>
  <c r="Z47" i="2"/>
  <c r="Z74" i="2"/>
  <c r="Z186" i="2"/>
  <c r="Z110" i="2"/>
  <c r="Z14" i="2"/>
  <c r="Z173" i="2"/>
  <c r="Z151" i="2"/>
  <c r="I890" i="2"/>
  <c r="I891" i="2" s="1"/>
  <c r="I892" i="2" s="1"/>
  <c r="AE207" i="2"/>
  <c r="AE47" i="2" l="1"/>
  <c r="AE210" i="2"/>
  <c r="I893" i="2"/>
  <c r="I894" i="2" s="1"/>
  <c r="I895" i="2" s="1"/>
  <c r="AE79" i="2"/>
  <c r="I1940" i="2"/>
  <c r="I1941" i="2" s="1"/>
  <c r="I1942" i="2" s="1"/>
  <c r="G219" i="2"/>
  <c r="G220" i="2" s="1"/>
  <c r="G221" i="2" s="1"/>
  <c r="G222" i="2" s="1"/>
  <c r="G223" i="2" s="1"/>
  <c r="G224" i="2" s="1"/>
  <c r="G225" i="2" s="1"/>
  <c r="G226" i="2" s="1"/>
  <c r="G227" i="2" s="1"/>
  <c r="Z218" i="2"/>
  <c r="AE151" i="2"/>
  <c r="AE173" i="2"/>
  <c r="I1058" i="2"/>
  <c r="I1059" i="2" s="1"/>
  <c r="I1060" i="2" s="1"/>
  <c r="AE14" i="2"/>
  <c r="AE110" i="2"/>
  <c r="H49" i="2"/>
  <c r="D48" i="2"/>
  <c r="I1120" i="2"/>
  <c r="I1121" i="2" s="1"/>
  <c r="I1122" i="2" s="1"/>
  <c r="I1321" i="2"/>
  <c r="I1322" i="2" s="1"/>
  <c r="I1323" i="2" s="1"/>
  <c r="I1324" i="2" s="1"/>
  <c r="I1325" i="2" s="1"/>
  <c r="I1326" i="2" s="1"/>
  <c r="I1327" i="2" s="1"/>
  <c r="I1328" i="2" s="1"/>
  <c r="I1329" i="2" s="1"/>
  <c r="I1330" i="2" s="1"/>
  <c r="I1331" i="2" s="1"/>
  <c r="I1332" i="2" s="1"/>
  <c r="AE186" i="2"/>
  <c r="E47" i="2"/>
  <c r="E48" i="2" s="1"/>
  <c r="AE74" i="2"/>
  <c r="D200" i="2"/>
  <c r="H201" i="2"/>
  <c r="I1061" i="2" l="1"/>
  <c r="I1062" i="2" s="1"/>
  <c r="I1063" i="2" s="1"/>
  <c r="H50" i="2"/>
  <c r="H51" i="2" s="1"/>
  <c r="D49" i="2"/>
  <c r="E49" i="2" s="1"/>
  <c r="D201" i="2"/>
  <c r="H202" i="2"/>
  <c r="I1123" i="2"/>
  <c r="I896" i="2"/>
  <c r="I897" i="2" s="1"/>
  <c r="I898" i="2" s="1"/>
  <c r="I899" i="2" s="1"/>
  <c r="AE218" i="2"/>
  <c r="I1333" i="2"/>
  <c r="I1334" i="2" s="1"/>
  <c r="I1335" i="2" s="1"/>
  <c r="I1336" i="2" s="1"/>
  <c r="G228" i="2"/>
  <c r="G229" i="2" s="1"/>
  <c r="G230" i="2" s="1"/>
  <c r="G231" i="2" s="1"/>
  <c r="Z227" i="2"/>
  <c r="I1943" i="2"/>
  <c r="AE227" i="2" l="1"/>
  <c r="I1124" i="2"/>
  <c r="I1125" i="2" s="1"/>
  <c r="I1126" i="2" s="1"/>
  <c r="D202" i="2"/>
  <c r="E202" i="2" s="1"/>
  <c r="H203" i="2"/>
  <c r="H204" i="2" s="1"/>
  <c r="I1944" i="2"/>
  <c r="I1945" i="2" s="1"/>
  <c r="I1946" i="2" s="1"/>
  <c r="I1947" i="2" s="1"/>
  <c r="I1948" i="2" s="1"/>
  <c r="G232" i="2"/>
  <c r="G233" i="2" s="1"/>
  <c r="G234" i="2" s="1"/>
  <c r="Z231" i="2"/>
  <c r="I1337" i="2"/>
  <c r="I1338" i="2" s="1"/>
  <c r="I1339" i="2" s="1"/>
  <c r="I1340" i="2" s="1"/>
  <c r="I1341" i="2" s="1"/>
  <c r="I1342" i="2" s="1"/>
  <c r="I1343" i="2" s="1"/>
  <c r="I1344" i="2" s="1"/>
  <c r="I1345" i="2" s="1"/>
  <c r="E50" i="2"/>
  <c r="D51" i="2"/>
  <c r="E51" i="2" s="1"/>
  <c r="H52" i="2"/>
  <c r="H53" i="2" s="1"/>
  <c r="I900" i="2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1064" i="2"/>
  <c r="I1065" i="2" s="1"/>
  <c r="I1066" i="2" s="1"/>
  <c r="H54" i="2" l="1"/>
  <c r="H55" i="2" s="1"/>
  <c r="D53" i="2"/>
  <c r="E53" i="2" s="1"/>
  <c r="I913" i="2"/>
  <c r="E52" i="2"/>
  <c r="I1949" i="2"/>
  <c r="I1950" i="2" s="1"/>
  <c r="I1951" i="2" s="1"/>
  <c r="I1952" i="2" s="1"/>
  <c r="I1953" i="2" s="1"/>
  <c r="I1954" i="2" s="1"/>
  <c r="I1955" i="2" s="1"/>
  <c r="I1956" i="2" s="1"/>
  <c r="H205" i="2"/>
  <c r="D204" i="2"/>
  <c r="E203" i="2"/>
  <c r="E204" i="2" s="1"/>
  <c r="AE231" i="2"/>
  <c r="G235" i="2"/>
  <c r="I1067" i="2"/>
  <c r="I1068" i="2" s="1"/>
  <c r="I1346" i="2"/>
  <c r="I1127" i="2"/>
  <c r="I1128" i="2" s="1"/>
  <c r="I1129" i="2" s="1"/>
  <c r="E54" i="2" l="1"/>
  <c r="Z48" i="2"/>
  <c r="I914" i="2"/>
  <c r="I915" i="2" s="1"/>
  <c r="I916" i="2" s="1"/>
  <c r="I917" i="2" s="1"/>
  <c r="I1130" i="2"/>
  <c r="I1131" i="2" s="1"/>
  <c r="I1132" i="2" s="1"/>
  <c r="I1347" i="2"/>
  <c r="I1348" i="2" s="1"/>
  <c r="I1349" i="2" s="1"/>
  <c r="I1350" i="2" s="1"/>
  <c r="I1351" i="2" s="1"/>
  <c r="I1352" i="2" s="1"/>
  <c r="I1353" i="2" s="1"/>
  <c r="I1354" i="2" s="1"/>
  <c r="I1355" i="2" s="1"/>
  <c r="I1356" i="2" s="1"/>
  <c r="I1357" i="2" s="1"/>
  <c r="I1358" i="2" s="1"/>
  <c r="G236" i="2"/>
  <c r="H206" i="2"/>
  <c r="H207" i="2" s="1"/>
  <c r="D205" i="2"/>
  <c r="E205" i="2" s="1"/>
  <c r="D55" i="2"/>
  <c r="E55" i="2" s="1"/>
  <c r="H56" i="2"/>
  <c r="H57" i="2" s="1"/>
  <c r="H58" i="2" l="1"/>
  <c r="H59" i="2" s="1"/>
  <c r="D57" i="2"/>
  <c r="E57" i="2" s="1"/>
  <c r="E56" i="2"/>
  <c r="I1133" i="2"/>
  <c r="I1134" i="2" s="1"/>
  <c r="AE48" i="2"/>
  <c r="E206" i="2"/>
  <c r="E207" i="2" s="1"/>
  <c r="G237" i="2"/>
  <c r="G238" i="2" s="1"/>
  <c r="D207" i="2"/>
  <c r="H208" i="2"/>
  <c r="I918" i="2"/>
  <c r="I919" i="2" s="1"/>
  <c r="I1359" i="2"/>
  <c r="I1360" i="2" s="1"/>
  <c r="I1361" i="2" s="1"/>
  <c r="I1362" i="2" s="1"/>
  <c r="I1363" i="2" l="1"/>
  <c r="I1364" i="2" s="1"/>
  <c r="I1365" i="2" s="1"/>
  <c r="I1366" i="2" s="1"/>
  <c r="I1367" i="2" s="1"/>
  <c r="I1368" i="2" s="1"/>
  <c r="G239" i="2"/>
  <c r="I920" i="2"/>
  <c r="I921" i="2" s="1"/>
  <c r="I922" i="2" s="1"/>
  <c r="I923" i="2" s="1"/>
  <c r="I924" i="2" s="1"/>
  <c r="E58" i="2"/>
  <c r="D208" i="2"/>
  <c r="E208" i="2" s="1"/>
  <c r="H209" i="2"/>
  <c r="H210" i="2" s="1"/>
  <c r="H60" i="2"/>
  <c r="H61" i="2" s="1"/>
  <c r="D59" i="2"/>
  <c r="E59" i="2" s="1"/>
  <c r="D61" i="2" l="1"/>
  <c r="E61" i="2" s="1"/>
  <c r="H62" i="2"/>
  <c r="H63" i="2" s="1"/>
  <c r="H211" i="2"/>
  <c r="D210" i="2"/>
  <c r="E60" i="2"/>
  <c r="I925" i="2"/>
  <c r="I926" i="2" s="1"/>
  <c r="E209" i="2"/>
  <c r="E210" i="2" s="1"/>
  <c r="G240" i="2"/>
  <c r="G241" i="2" l="1"/>
  <c r="G242" i="2" s="1"/>
  <c r="H212" i="2"/>
  <c r="H213" i="2" s="1"/>
  <c r="H214" i="2" s="1"/>
  <c r="H215" i="2" s="1"/>
  <c r="H216" i="2" s="1"/>
  <c r="H217" i="2" s="1"/>
  <c r="H218" i="2" s="1"/>
  <c r="D211" i="2"/>
  <c r="E211" i="2" s="1"/>
  <c r="I927" i="2"/>
  <c r="D63" i="2"/>
  <c r="E63" i="2" s="1"/>
  <c r="H64" i="2"/>
  <c r="H65" i="2" s="1"/>
  <c r="E62" i="2"/>
  <c r="E64" i="2" l="1"/>
  <c r="I928" i="2"/>
  <c r="I929" i="2" s="1"/>
  <c r="H66" i="2"/>
  <c r="H67" i="2" s="1"/>
  <c r="D65" i="2"/>
  <c r="E65" i="2" s="1"/>
  <c r="E212" i="2"/>
  <c r="E213" i="2" s="1"/>
  <c r="E214" i="2" s="1"/>
  <c r="E215" i="2" s="1"/>
  <c r="E216" i="2" s="1"/>
  <c r="E217" i="2" s="1"/>
  <c r="E218" i="2" s="1"/>
  <c r="H219" i="2"/>
  <c r="D218" i="2"/>
  <c r="G243" i="2"/>
  <c r="H220" i="2" l="1"/>
  <c r="H221" i="2" s="1"/>
  <c r="H222" i="2" s="1"/>
  <c r="H223" i="2" s="1"/>
  <c r="D219" i="2"/>
  <c r="E219" i="2" s="1"/>
  <c r="E66" i="2"/>
  <c r="D67" i="2"/>
  <c r="E67" i="2" s="1"/>
  <c r="H68" i="2"/>
  <c r="H69" i="2" s="1"/>
  <c r="G244" i="2"/>
  <c r="I930" i="2"/>
  <c r="G245" i="2" l="1"/>
  <c r="G246" i="2" s="1"/>
  <c r="H70" i="2"/>
  <c r="H71" i="2" s="1"/>
  <c r="D69" i="2"/>
  <c r="E69" i="2" s="1"/>
  <c r="E68" i="2"/>
  <c r="I931" i="2"/>
  <c r="E220" i="2"/>
  <c r="E221" i="2" s="1"/>
  <c r="E222" i="2" s="1"/>
  <c r="H224" i="2"/>
  <c r="H225" i="2" s="1"/>
  <c r="H226" i="2" s="1"/>
  <c r="H227" i="2" s="1"/>
  <c r="D223" i="2"/>
  <c r="E223" i="2" s="1"/>
  <c r="D227" i="2" l="1"/>
  <c r="H228" i="2"/>
  <c r="I932" i="2"/>
  <c r="I933" i="2" s="1"/>
  <c r="E70" i="2"/>
  <c r="E224" i="2"/>
  <c r="E225" i="2" s="1"/>
  <c r="E226" i="2" s="1"/>
  <c r="E227" i="2" s="1"/>
  <c r="D71" i="2"/>
  <c r="E71" i="2" s="1"/>
  <c r="H72" i="2"/>
  <c r="H73" i="2" s="1"/>
  <c r="G247" i="2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l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Z265" i="2"/>
  <c r="H74" i="2"/>
  <c r="D73" i="2"/>
  <c r="I934" i="2"/>
  <c r="I935" i="2" s="1"/>
  <c r="E72" i="2"/>
  <c r="D228" i="2"/>
  <c r="E228" i="2" s="1"/>
  <c r="H229" i="2"/>
  <c r="H230" i="2" s="1"/>
  <c r="H231" i="2" s="1"/>
  <c r="I936" i="2" l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H232" i="2"/>
  <c r="D231" i="2"/>
  <c r="E229" i="2"/>
  <c r="E230" i="2" s="1"/>
  <c r="E231" i="2" s="1"/>
  <c r="D74" i="2"/>
  <c r="H75" i="2"/>
  <c r="AE265" i="2"/>
  <c r="E73" i="2"/>
  <c r="E74" i="2" s="1"/>
  <c r="E75" i="2" s="1"/>
  <c r="G301" i="2"/>
  <c r="G302" i="2" s="1"/>
  <c r="G303" i="2" s="1"/>
  <c r="G304" i="2" s="1"/>
  <c r="G305" i="2" s="1"/>
  <c r="Z300" i="2"/>
  <c r="H76" i="2" l="1"/>
  <c r="D75" i="2"/>
  <c r="H233" i="2"/>
  <c r="H234" i="2" s="1"/>
  <c r="D232" i="2"/>
  <c r="E232" i="2" s="1"/>
  <c r="AE300" i="2"/>
  <c r="G306" i="2"/>
  <c r="G307" i="2" s="1"/>
  <c r="G308" i="2" s="1"/>
  <c r="Z305" i="2"/>
  <c r="I949" i="2"/>
  <c r="G309" i="2" l="1"/>
  <c r="E233" i="2"/>
  <c r="E234" i="2" s="1"/>
  <c r="E235" i="2" s="1"/>
  <c r="E236" i="2" s="1"/>
  <c r="AE305" i="2"/>
  <c r="D234" i="2"/>
  <c r="H235" i="2"/>
  <c r="I950" i="2"/>
  <c r="I951" i="2" s="1"/>
  <c r="I952" i="2" s="1"/>
  <c r="I953" i="2" s="1"/>
  <c r="H77" i="2"/>
  <c r="H78" i="2" s="1"/>
  <c r="H79" i="2" s="1"/>
  <c r="D76" i="2"/>
  <c r="E76" i="2" s="1"/>
  <c r="H236" i="2" l="1"/>
  <c r="D235" i="2"/>
  <c r="E77" i="2"/>
  <c r="D79" i="2"/>
  <c r="H80" i="2"/>
  <c r="I954" i="2"/>
  <c r="I955" i="2" s="1"/>
  <c r="I956" i="2" s="1"/>
  <c r="I957" i="2" s="1"/>
  <c r="G310" i="2"/>
  <c r="G311" i="2" s="1"/>
  <c r="H81" i="2" l="1"/>
  <c r="H82" i="2" s="1"/>
  <c r="H83" i="2" s="1"/>
  <c r="H84" i="2" s="1"/>
  <c r="H85" i="2" s="1"/>
  <c r="H86" i="2" s="1"/>
  <c r="H87" i="2" s="1"/>
  <c r="D80" i="2"/>
  <c r="E80" i="2" s="1"/>
  <c r="I958" i="2"/>
  <c r="I959" i="2" s="1"/>
  <c r="I960" i="2" s="1"/>
  <c r="E78" i="2"/>
  <c r="G312" i="2"/>
  <c r="D236" i="2"/>
  <c r="H237" i="2"/>
  <c r="H238" i="2" l="1"/>
  <c r="H239" i="2" s="1"/>
  <c r="H240" i="2" s="1"/>
  <c r="H241" i="2" s="1"/>
  <c r="D237" i="2"/>
  <c r="E237" i="2" s="1"/>
  <c r="E79" i="2"/>
  <c r="I961" i="2"/>
  <c r="I962" i="2" s="1"/>
  <c r="I963" i="2" s="1"/>
  <c r="I964" i="2" s="1"/>
  <c r="G313" i="2"/>
  <c r="E81" i="2"/>
  <c r="H88" i="2"/>
  <c r="H89" i="2" s="1"/>
  <c r="D87" i="2"/>
  <c r="E87" i="2" s="1"/>
  <c r="G314" i="2" l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I965" i="2"/>
  <c r="I966" i="2" s="1"/>
  <c r="I967" i="2" s="1"/>
  <c r="I968" i="2" s="1"/>
  <c r="I969" i="2" s="1"/>
  <c r="I970" i="2" s="1"/>
  <c r="I971" i="2" s="1"/>
  <c r="I972" i="2" s="1"/>
  <c r="E88" i="2"/>
  <c r="D89" i="2"/>
  <c r="E89" i="2" s="1"/>
  <c r="H90" i="2"/>
  <c r="H91" i="2" s="1"/>
  <c r="E238" i="2"/>
  <c r="E239" i="2" s="1"/>
  <c r="E240" i="2" s="1"/>
  <c r="E82" i="2"/>
  <c r="D241" i="2"/>
  <c r="E241" i="2" s="1"/>
  <c r="H242" i="2"/>
  <c r="H243" i="2" s="1"/>
  <c r="H244" i="2" s="1"/>
  <c r="H245" i="2" s="1"/>
  <c r="D91" i="2" l="1"/>
  <c r="E91" i="2" s="1"/>
  <c r="H92" i="2"/>
  <c r="H93" i="2" s="1"/>
  <c r="H94" i="2" s="1"/>
  <c r="H95" i="2" s="1"/>
  <c r="H246" i="2"/>
  <c r="H247" i="2" s="1"/>
  <c r="H248" i="2" s="1"/>
  <c r="H249" i="2" s="1"/>
  <c r="D245" i="2"/>
  <c r="E245" i="2" s="1"/>
  <c r="E90" i="2"/>
  <c r="E242" i="2"/>
  <c r="E243" i="2" s="1"/>
  <c r="E244" i="2" s="1"/>
  <c r="E83" i="2"/>
  <c r="Z73" i="2"/>
  <c r="Z13" i="2"/>
  <c r="Z172" i="2"/>
  <c r="G362" i="2"/>
  <c r="G363" i="2" s="1"/>
  <c r="G49" i="70" l="1"/>
  <c r="G48" i="70"/>
  <c r="G51" i="70"/>
  <c r="G364" i="2"/>
  <c r="AE13" i="2"/>
  <c r="AE172" i="2"/>
  <c r="C3" i="70"/>
  <c r="C25" i="70"/>
  <c r="E246" i="2"/>
  <c r="D249" i="2"/>
  <c r="E249" i="2" s="1"/>
  <c r="H250" i="2"/>
  <c r="H251" i="2" s="1"/>
  <c r="H252" i="2" s="1"/>
  <c r="H253" i="2" s="1"/>
  <c r="D95" i="2"/>
  <c r="E95" i="2" s="1"/>
  <c r="H96" i="2"/>
  <c r="H97" i="2" s="1"/>
  <c r="H98" i="2" s="1"/>
  <c r="H99" i="2" s="1"/>
  <c r="H100" i="2" s="1"/>
  <c r="H101" i="2" s="1"/>
  <c r="H102" i="2" s="1"/>
  <c r="AE73" i="2"/>
  <c r="E84" i="2"/>
  <c r="Y228" i="2"/>
  <c r="Z228" i="2" s="1"/>
  <c r="Y219" i="2"/>
  <c r="Z219" i="2" s="1"/>
  <c r="Y232" i="2"/>
  <c r="Z232" i="2" s="1"/>
  <c r="Y71" i="2"/>
  <c r="Z71" i="2" s="1"/>
  <c r="Y69" i="2"/>
  <c r="Z69" i="2" s="1"/>
  <c r="Y223" i="2"/>
  <c r="Z223" i="2" s="1"/>
  <c r="E92" i="2"/>
  <c r="E93" i="2" s="1"/>
  <c r="E94" i="2" s="1"/>
  <c r="H51" i="70" l="1"/>
  <c r="K51" i="70"/>
  <c r="H48" i="70"/>
  <c r="K48" i="70"/>
  <c r="H49" i="70"/>
  <c r="K49" i="70"/>
  <c r="B155" i="65"/>
  <c r="C155" i="65" s="1"/>
  <c r="AE232" i="2"/>
  <c r="D102" i="2"/>
  <c r="E102" i="2" s="1"/>
  <c r="H103" i="2"/>
  <c r="H104" i="2" s="1"/>
  <c r="H105" i="2" s="1"/>
  <c r="H106" i="2" s="1"/>
  <c r="H107" i="2" s="1"/>
  <c r="E3" i="70"/>
  <c r="B41" i="65"/>
  <c r="C41" i="65" s="1"/>
  <c r="AE228" i="2"/>
  <c r="D253" i="2"/>
  <c r="E253" i="2" s="1"/>
  <c r="H254" i="2"/>
  <c r="H255" i="2" s="1"/>
  <c r="H256" i="2" s="1"/>
  <c r="H257" i="2" s="1"/>
  <c r="E250" i="2"/>
  <c r="E251" i="2" s="1"/>
  <c r="E252" i="2" s="1"/>
  <c r="B11" i="65"/>
  <c r="C11" i="65" s="1"/>
  <c r="AE223" i="2"/>
  <c r="E85" i="2"/>
  <c r="E247" i="2"/>
  <c r="B266" i="65"/>
  <c r="C266" i="65" s="1"/>
  <c r="AE69" i="2"/>
  <c r="B150" i="65"/>
  <c r="C150" i="65" s="1"/>
  <c r="AE71" i="2"/>
  <c r="E25" i="70"/>
  <c r="B17" i="65"/>
  <c r="C17" i="65" s="1"/>
  <c r="AE219" i="2"/>
  <c r="E96" i="2"/>
  <c r="E97" i="2" s="1"/>
  <c r="E98" i="2" s="1"/>
  <c r="E99" i="2" s="1"/>
  <c r="E100" i="2" s="1"/>
  <c r="E101" i="2" s="1"/>
  <c r="G365" i="2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l="1"/>
  <c r="G401" i="2" s="1"/>
  <c r="G402" i="2" s="1"/>
  <c r="G403" i="2" s="1"/>
  <c r="G404" i="2" s="1"/>
  <c r="Z399" i="2"/>
  <c r="E248" i="2"/>
  <c r="D107" i="2"/>
  <c r="H108" i="2"/>
  <c r="H258" i="2"/>
  <c r="H259" i="2" s="1"/>
  <c r="H260" i="2" s="1"/>
  <c r="H261" i="2" s="1"/>
  <c r="D257" i="2"/>
  <c r="E257" i="2" s="1"/>
  <c r="E103" i="2"/>
  <c r="E104" i="2" s="1"/>
  <c r="E105" i="2" s="1"/>
  <c r="E106" i="2" s="1"/>
  <c r="E107" i="2" s="1"/>
  <c r="E254" i="2"/>
  <c r="E255" i="2" s="1"/>
  <c r="E256" i="2" s="1"/>
  <c r="E86" i="2"/>
  <c r="H262" i="2" l="1"/>
  <c r="H263" i="2" s="1"/>
  <c r="H264" i="2" s="1"/>
  <c r="H265" i="2" s="1"/>
  <c r="D261" i="2"/>
  <c r="E261" i="2" s="1"/>
  <c r="D108" i="2"/>
  <c r="E108" i="2" s="1"/>
  <c r="H109" i="2"/>
  <c r="H110" i="2" s="1"/>
  <c r="AE399" i="2"/>
  <c r="E258" i="2"/>
  <c r="G405" i="2"/>
  <c r="G406" i="2" s="1"/>
  <c r="G407" i="2" s="1"/>
  <c r="Z404" i="2"/>
  <c r="AE404" i="2" l="1"/>
  <c r="E259" i="2"/>
  <c r="D110" i="2"/>
  <c r="H111" i="2"/>
  <c r="G408" i="2"/>
  <c r="E109" i="2"/>
  <c r="E262" i="2"/>
  <c r="E263" i="2" s="1"/>
  <c r="E264" i="2" s="1"/>
  <c r="E265" i="2" s="1"/>
  <c r="D265" i="2"/>
  <c r="H266" i="2"/>
  <c r="E110" i="2" l="1"/>
  <c r="E111" i="2" s="1"/>
  <c r="G409" i="2"/>
  <c r="G410" i="2" s="1"/>
  <c r="D266" i="2"/>
  <c r="E266" i="2" s="1"/>
  <c r="H267" i="2"/>
  <c r="H268" i="2" s="1"/>
  <c r="H269" i="2" s="1"/>
  <c r="H270" i="2" s="1"/>
  <c r="H271" i="2" s="1"/>
  <c r="D111" i="2"/>
  <c r="H112" i="2"/>
  <c r="E260" i="2"/>
  <c r="G411" i="2" l="1"/>
  <c r="D112" i="2"/>
  <c r="E112" i="2" s="1"/>
  <c r="H113" i="2"/>
  <c r="H114" i="2" s="1"/>
  <c r="H115" i="2" s="1"/>
  <c r="D271" i="2"/>
  <c r="E271" i="2" s="1"/>
  <c r="H272" i="2"/>
  <c r="H273" i="2" s="1"/>
  <c r="H274" i="2" s="1"/>
  <c r="H275" i="2" s="1"/>
  <c r="H276" i="2" s="1"/>
  <c r="E267" i="2"/>
  <c r="E268" i="2" l="1"/>
  <c r="D276" i="2"/>
  <c r="E276" i="2" s="1"/>
  <c r="H277" i="2"/>
  <c r="H278" i="2" s="1"/>
  <c r="H279" i="2" s="1"/>
  <c r="H280" i="2" s="1"/>
  <c r="H281" i="2" s="1"/>
  <c r="H116" i="2"/>
  <c r="D115" i="2"/>
  <c r="E113" i="2"/>
  <c r="E272" i="2"/>
  <c r="E273" i="2" s="1"/>
  <c r="E274" i="2" s="1"/>
  <c r="E275" i="2" s="1"/>
  <c r="G412" i="2"/>
  <c r="G413" i="2" l="1"/>
  <c r="H117" i="2"/>
  <c r="H118" i="2" s="1"/>
  <c r="D116" i="2"/>
  <c r="E116" i="2" s="1"/>
  <c r="D281" i="2"/>
  <c r="E281" i="2" s="1"/>
  <c r="H282" i="2"/>
  <c r="H283" i="2" s="1"/>
  <c r="H284" i="2" s="1"/>
  <c r="E277" i="2"/>
  <c r="E278" i="2" s="1"/>
  <c r="E279" i="2" s="1"/>
  <c r="E280" i="2" s="1"/>
  <c r="E114" i="2"/>
  <c r="E269" i="2"/>
  <c r="E270" i="2" l="1"/>
  <c r="D284" i="2"/>
  <c r="E284" i="2" s="1"/>
  <c r="H285" i="2"/>
  <c r="H286" i="2" s="1"/>
  <c r="H287" i="2" s="1"/>
  <c r="E282" i="2"/>
  <c r="E283" i="2" s="1"/>
  <c r="E117" i="2"/>
  <c r="D118" i="2"/>
  <c r="H119" i="2"/>
  <c r="E115" i="2"/>
  <c r="G414" i="2"/>
  <c r="G415" i="2" l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D287" i="2"/>
  <c r="E287" i="2" s="1"/>
  <c r="H288" i="2"/>
  <c r="H289" i="2" s="1"/>
  <c r="H290" i="2" s="1"/>
  <c r="H291" i="2" s="1"/>
  <c r="H120" i="2"/>
  <c r="H121" i="2" s="1"/>
  <c r="D119" i="2"/>
  <c r="E119" i="2" s="1"/>
  <c r="E285" i="2"/>
  <c r="E118" i="2"/>
  <c r="E286" i="2" l="1"/>
  <c r="E120" i="2"/>
  <c r="H122" i="2"/>
  <c r="H123" i="2" s="1"/>
  <c r="D121" i="2"/>
  <c r="E121" i="2" s="1"/>
  <c r="H292" i="2"/>
  <c r="H293" i="2" s="1"/>
  <c r="H294" i="2" s="1"/>
  <c r="H295" i="2" s="1"/>
  <c r="H296" i="2" s="1"/>
  <c r="D291" i="2"/>
  <c r="E291" i="2" s="1"/>
  <c r="E288" i="2"/>
  <c r="E289" i="2" s="1"/>
  <c r="E290" i="2" s="1"/>
  <c r="G453" i="2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Z452" i="2"/>
  <c r="E122" i="2" l="1"/>
  <c r="D123" i="2"/>
  <c r="E123" i="2" s="1"/>
  <c r="H124" i="2"/>
  <c r="H125" i="2" s="1"/>
  <c r="AE452" i="2"/>
  <c r="G491" i="2"/>
  <c r="G492" i="2" s="1"/>
  <c r="G493" i="2" s="1"/>
  <c r="G494" i="2" s="1"/>
  <c r="G495" i="2" s="1"/>
  <c r="Z490" i="2"/>
  <c r="E292" i="2"/>
  <c r="D296" i="2"/>
  <c r="E296" i="2" s="1"/>
  <c r="H297" i="2"/>
  <c r="H298" i="2" s="1"/>
  <c r="H299" i="2" s="1"/>
  <c r="H300" i="2" s="1"/>
  <c r="H301" i="2" l="1"/>
  <c r="D300" i="2"/>
  <c r="E297" i="2"/>
  <c r="E298" i="2" s="1"/>
  <c r="E299" i="2" s="1"/>
  <c r="E300" i="2" s="1"/>
  <c r="E293" i="2"/>
  <c r="AE490" i="2"/>
  <c r="H126" i="2"/>
  <c r="H127" i="2" s="1"/>
  <c r="D125" i="2"/>
  <c r="E125" i="2" s="1"/>
  <c r="G496" i="2"/>
  <c r="G497" i="2" s="1"/>
  <c r="G498" i="2" s="1"/>
  <c r="Z495" i="2"/>
  <c r="E124" i="2"/>
  <c r="AE495" i="2" l="1"/>
  <c r="G499" i="2"/>
  <c r="E294" i="2"/>
  <c r="E126" i="2"/>
  <c r="D127" i="2"/>
  <c r="E127" i="2" s="1"/>
  <c r="H128" i="2"/>
  <c r="H129" i="2" s="1"/>
  <c r="D301" i="2"/>
  <c r="E301" i="2" s="1"/>
  <c r="H302" i="2"/>
  <c r="H303" i="2" s="1"/>
  <c r="H304" i="2" s="1"/>
  <c r="H305" i="2" s="1"/>
  <c r="E128" i="2" l="1"/>
  <c r="D129" i="2"/>
  <c r="E129" i="2" s="1"/>
  <c r="H130" i="2"/>
  <c r="H131" i="2" s="1"/>
  <c r="E295" i="2"/>
  <c r="H306" i="2"/>
  <c r="D305" i="2"/>
  <c r="G500" i="2"/>
  <c r="G501" i="2" s="1"/>
  <c r="E302" i="2"/>
  <c r="E303" i="2" s="1"/>
  <c r="E304" i="2" s="1"/>
  <c r="E305" i="2" s="1"/>
  <c r="H132" i="2" l="1"/>
  <c r="H133" i="2" s="1"/>
  <c r="D131" i="2"/>
  <c r="E131" i="2" s="1"/>
  <c r="G502" i="2"/>
  <c r="E130" i="2"/>
  <c r="H307" i="2"/>
  <c r="H308" i="2" s="1"/>
  <c r="D306" i="2"/>
  <c r="E306" i="2" s="1"/>
  <c r="G503" i="2" l="1"/>
  <c r="E132" i="2"/>
  <c r="D133" i="2"/>
  <c r="E133" i="2" s="1"/>
  <c r="H134" i="2"/>
  <c r="H135" i="2" s="1"/>
  <c r="E307" i="2"/>
  <c r="D308" i="2"/>
  <c r="H309" i="2"/>
  <c r="D309" i="2" l="1"/>
  <c r="H310" i="2"/>
  <c r="E308" i="2"/>
  <c r="E309" i="2" s="1"/>
  <c r="H136" i="2"/>
  <c r="H137" i="2" s="1"/>
  <c r="H138" i="2" s="1"/>
  <c r="H139" i="2" s="1"/>
  <c r="H140" i="2" s="1"/>
  <c r="D135" i="2"/>
  <c r="E135" i="2" s="1"/>
  <c r="E134" i="2"/>
  <c r="G504" i="2"/>
  <c r="G505" i="2" l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Z499" i="2"/>
  <c r="E136" i="2"/>
  <c r="D140" i="2"/>
  <c r="H141" i="2"/>
  <c r="H311" i="2"/>
  <c r="H312" i="2" s="1"/>
  <c r="H313" i="2" s="1"/>
  <c r="H314" i="2" s="1"/>
  <c r="H315" i="2" s="1"/>
  <c r="H316" i="2" s="1"/>
  <c r="H317" i="2" s="1"/>
  <c r="H318" i="2" s="1"/>
  <c r="H319" i="2" s="1"/>
  <c r="D310" i="2"/>
  <c r="E310" i="2" s="1"/>
  <c r="E311" i="2" l="1"/>
  <c r="H320" i="2"/>
  <c r="H321" i="2" s="1"/>
  <c r="D319" i="2"/>
  <c r="E319" i="2" s="1"/>
  <c r="D141" i="2"/>
  <c r="E141" i="2" s="1"/>
  <c r="H142" i="2"/>
  <c r="H143" i="2" s="1"/>
  <c r="E137" i="2"/>
  <c r="AE499" i="2"/>
  <c r="G544" i="2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Z543" i="2"/>
  <c r="AE543" i="2" l="1"/>
  <c r="E138" i="2"/>
  <c r="G582" i="2"/>
  <c r="G583" i="2" s="1"/>
  <c r="G584" i="2" s="1"/>
  <c r="G585" i="2" s="1"/>
  <c r="G586" i="2" s="1"/>
  <c r="Z581" i="2"/>
  <c r="H144" i="2"/>
  <c r="H145" i="2" s="1"/>
  <c r="D143" i="2"/>
  <c r="E143" i="2" s="1"/>
  <c r="E142" i="2"/>
  <c r="E320" i="2"/>
  <c r="D321" i="2"/>
  <c r="E321" i="2" s="1"/>
  <c r="H322" i="2"/>
  <c r="H323" i="2" s="1"/>
  <c r="H324" i="2" s="1"/>
  <c r="H325" i="2" s="1"/>
  <c r="E312" i="2"/>
  <c r="AE581" i="2" l="1"/>
  <c r="E322" i="2"/>
  <c r="E323" i="2" s="1"/>
  <c r="E324" i="2" s="1"/>
  <c r="G587" i="2"/>
  <c r="G588" i="2" s="1"/>
  <c r="G589" i="2" s="1"/>
  <c r="Z586" i="2"/>
  <c r="E144" i="2"/>
  <c r="E139" i="2"/>
  <c r="E313" i="2"/>
  <c r="D145" i="2"/>
  <c r="E145" i="2" s="1"/>
  <c r="H146" i="2"/>
  <c r="H147" i="2" s="1"/>
  <c r="H326" i="2"/>
  <c r="H327" i="2" s="1"/>
  <c r="H328" i="2" s="1"/>
  <c r="H329" i="2" s="1"/>
  <c r="D325" i="2"/>
  <c r="E325" i="2" s="1"/>
  <c r="E326" i="2" l="1"/>
  <c r="E327" i="2" s="1"/>
  <c r="E328" i="2" s="1"/>
  <c r="D329" i="2"/>
  <c r="E329" i="2" s="1"/>
  <c r="H330" i="2"/>
  <c r="H331" i="2" s="1"/>
  <c r="H332" i="2" s="1"/>
  <c r="H333" i="2" s="1"/>
  <c r="E140" i="2"/>
  <c r="H148" i="2"/>
  <c r="H149" i="2" s="1"/>
  <c r="D147" i="2"/>
  <c r="E147" i="2" s="1"/>
  <c r="AE586" i="2"/>
  <c r="E314" i="2"/>
  <c r="G590" i="2"/>
  <c r="E146" i="2"/>
  <c r="E315" i="2" l="1"/>
  <c r="H334" i="2"/>
  <c r="H335" i="2" s="1"/>
  <c r="H336" i="2" s="1"/>
  <c r="H337" i="2" s="1"/>
  <c r="D333" i="2"/>
  <c r="E333" i="2" s="1"/>
  <c r="G591" i="2"/>
  <c r="G592" i="2" s="1"/>
  <c r="E148" i="2"/>
  <c r="E330" i="2"/>
  <c r="E331" i="2" s="1"/>
  <c r="E332" i="2" s="1"/>
  <c r="H150" i="2"/>
  <c r="H151" i="2" s="1"/>
  <c r="D149" i="2"/>
  <c r="E149" i="2" s="1"/>
  <c r="E334" i="2" l="1"/>
  <c r="E335" i="2" s="1"/>
  <c r="E336" i="2" s="1"/>
  <c r="E150" i="2"/>
  <c r="D151" i="2"/>
  <c r="H152" i="2"/>
  <c r="H338" i="2"/>
  <c r="H339" i="2" s="1"/>
  <c r="H340" i="2" s="1"/>
  <c r="H341" i="2" s="1"/>
  <c r="D337" i="2"/>
  <c r="E337" i="2" s="1"/>
  <c r="G593" i="2"/>
  <c r="E316" i="2"/>
  <c r="D152" i="2" l="1"/>
  <c r="H153" i="2"/>
  <c r="E317" i="2"/>
  <c r="E151" i="2"/>
  <c r="E152" i="2" s="1"/>
  <c r="G594" i="2"/>
  <c r="E338" i="2"/>
  <c r="E339" i="2" s="1"/>
  <c r="E340" i="2" s="1"/>
  <c r="D341" i="2"/>
  <c r="E341" i="2" s="1"/>
  <c r="H342" i="2"/>
  <c r="H343" i="2" s="1"/>
  <c r="H344" i="2" s="1"/>
  <c r="H345" i="2" s="1"/>
  <c r="H346" i="2" l="1"/>
  <c r="H347" i="2" s="1"/>
  <c r="H348" i="2" s="1"/>
  <c r="H349" i="2" s="1"/>
  <c r="D345" i="2"/>
  <c r="E345" i="2" s="1"/>
  <c r="E342" i="2"/>
  <c r="E343" i="2" s="1"/>
  <c r="E344" i="2" s="1"/>
  <c r="G595" i="2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E318" i="2"/>
  <c r="H154" i="2"/>
  <c r="H155" i="2" s="1"/>
  <c r="D153" i="2"/>
  <c r="E153" i="2" s="1"/>
  <c r="G620" i="2" l="1"/>
  <c r="G621" i="2" s="1"/>
  <c r="E154" i="2"/>
  <c r="H156" i="2"/>
  <c r="H157" i="2" s="1"/>
  <c r="H158" i="2" s="1"/>
  <c r="D155" i="2"/>
  <c r="E155" i="2" s="1"/>
  <c r="E346" i="2"/>
  <c r="H350" i="2"/>
  <c r="H351" i="2" s="1"/>
  <c r="H352" i="2" s="1"/>
  <c r="H353" i="2" s="1"/>
  <c r="D349" i="2"/>
  <c r="E349" i="2" s="1"/>
  <c r="E347" i="2" l="1"/>
  <c r="E156" i="2"/>
  <c r="D158" i="2"/>
  <c r="E158" i="2" s="1"/>
  <c r="H159" i="2"/>
  <c r="H160" i="2" s="1"/>
  <c r="E350" i="2"/>
  <c r="E351" i="2" s="1"/>
  <c r="E352" i="2" s="1"/>
  <c r="D353" i="2"/>
  <c r="E353" i="2" s="1"/>
  <c r="H354" i="2"/>
  <c r="H355" i="2" s="1"/>
  <c r="H356" i="2" s="1"/>
  <c r="H357" i="2" s="1"/>
  <c r="G622" i="2"/>
  <c r="E159" i="2" l="1"/>
  <c r="E157" i="2"/>
  <c r="G623" i="2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Z619" i="2"/>
  <c r="H358" i="2"/>
  <c r="H359" i="2" s="1"/>
  <c r="H360" i="2" s="1"/>
  <c r="H361" i="2" s="1"/>
  <c r="D357" i="2"/>
  <c r="E357" i="2" s="1"/>
  <c r="E354" i="2"/>
  <c r="E355" i="2" s="1"/>
  <c r="E356" i="2" s="1"/>
  <c r="H161" i="2"/>
  <c r="H162" i="2" s="1"/>
  <c r="D160" i="2"/>
  <c r="E160" i="2" s="1"/>
  <c r="E348" i="2"/>
  <c r="E358" i="2" l="1"/>
  <c r="D361" i="2"/>
  <c r="H362" i="2"/>
  <c r="AE619" i="2"/>
  <c r="G655" i="2"/>
  <c r="G656" i="2" s="1"/>
  <c r="G657" i="2" s="1"/>
  <c r="G658" i="2" s="1"/>
  <c r="G659" i="2" s="1"/>
  <c r="Z654" i="2"/>
  <c r="E161" i="2"/>
  <c r="D162" i="2"/>
  <c r="E162" i="2" s="1"/>
  <c r="H163" i="2"/>
  <c r="H164" i="2" s="1"/>
  <c r="AE654" i="2" l="1"/>
  <c r="H165" i="2"/>
  <c r="H166" i="2" s="1"/>
  <c r="D164" i="2"/>
  <c r="E164" i="2" s="1"/>
  <c r="E163" i="2"/>
  <c r="G660" i="2"/>
  <c r="G661" i="2" s="1"/>
  <c r="G662" i="2" s="1"/>
  <c r="Z659" i="2"/>
  <c r="H363" i="2"/>
  <c r="H364" i="2" s="1"/>
  <c r="H365" i="2" s="1"/>
  <c r="H366" i="2" s="1"/>
  <c r="H367" i="2" s="1"/>
  <c r="D362" i="2"/>
  <c r="E362" i="2" s="1"/>
  <c r="E359" i="2"/>
  <c r="AE659" i="2" l="1"/>
  <c r="G663" i="2"/>
  <c r="E360" i="2"/>
  <c r="E165" i="2"/>
  <c r="E363" i="2"/>
  <c r="E364" i="2" s="1"/>
  <c r="E365" i="2" s="1"/>
  <c r="E366" i="2" s="1"/>
  <c r="D367" i="2"/>
  <c r="E367" i="2" s="1"/>
  <c r="H368" i="2"/>
  <c r="H369" i="2" s="1"/>
  <c r="H370" i="2" s="1"/>
  <c r="H371" i="2" s="1"/>
  <c r="H372" i="2" s="1"/>
  <c r="D166" i="2"/>
  <c r="H167" i="2"/>
  <c r="E166" i="2" l="1"/>
  <c r="E361" i="2"/>
  <c r="D167" i="2"/>
  <c r="E167" i="2" s="1"/>
  <c r="H168" i="2"/>
  <c r="H169" i="2" s="1"/>
  <c r="H373" i="2"/>
  <c r="H374" i="2" s="1"/>
  <c r="H375" i="2" s="1"/>
  <c r="H376" i="2" s="1"/>
  <c r="H377" i="2" s="1"/>
  <c r="D372" i="2"/>
  <c r="E372" i="2" s="1"/>
  <c r="E368" i="2"/>
  <c r="G664" i="2"/>
  <c r="E369" i="2" l="1"/>
  <c r="E373" i="2"/>
  <c r="E374" i="2" s="1"/>
  <c r="E375" i="2" s="1"/>
  <c r="E376" i="2" s="1"/>
  <c r="H378" i="2"/>
  <c r="H379" i="2" s="1"/>
  <c r="H380" i="2" s="1"/>
  <c r="D377" i="2"/>
  <c r="E377" i="2" s="1"/>
  <c r="G665" i="2"/>
  <c r="G666" i="2" s="1"/>
  <c r="D169" i="2"/>
  <c r="E169" i="2" s="1"/>
  <c r="H170" i="2"/>
  <c r="E168" i="2"/>
  <c r="G667" i="2" l="1"/>
  <c r="D380" i="2"/>
  <c r="E380" i="2" s="1"/>
  <c r="H381" i="2"/>
  <c r="H382" i="2" s="1"/>
  <c r="H383" i="2" s="1"/>
  <c r="Y158" i="2"/>
  <c r="Z158" i="2" s="1"/>
  <c r="Y162" i="2"/>
  <c r="Z162" i="2" s="1"/>
  <c r="Y169" i="2"/>
  <c r="Z169" i="2" s="1"/>
  <c r="E170" i="2"/>
  <c r="Y155" i="2" s="1"/>
  <c r="Z155" i="2" s="1"/>
  <c r="E378" i="2"/>
  <c r="E379" i="2" s="1"/>
  <c r="E370" i="2"/>
  <c r="B143" i="65" l="1"/>
  <c r="C143" i="65" s="1"/>
  <c r="AE155" i="2"/>
  <c r="E171" i="2"/>
  <c r="E172" i="2" s="1"/>
  <c r="E173" i="2" s="1"/>
  <c r="E174" i="2" s="1"/>
  <c r="Y167" i="2"/>
  <c r="Z167" i="2" s="1"/>
  <c r="Y164" i="2"/>
  <c r="Z164" i="2" s="1"/>
  <c r="B153" i="65"/>
  <c r="C153" i="65" s="1"/>
  <c r="AE169" i="2"/>
  <c r="H384" i="2"/>
  <c r="H385" i="2" s="1"/>
  <c r="H386" i="2" s="1"/>
  <c r="D383" i="2"/>
  <c r="E383" i="2" s="1"/>
  <c r="Y160" i="2"/>
  <c r="Z160" i="2" s="1"/>
  <c r="E381" i="2"/>
  <c r="E382" i="2" s="1"/>
  <c r="B196" i="65"/>
  <c r="C196" i="65" s="1"/>
  <c r="AE162" i="2"/>
  <c r="B10" i="65"/>
  <c r="C10" i="65" s="1"/>
  <c r="AE158" i="2"/>
  <c r="E371" i="2"/>
  <c r="G668" i="2"/>
  <c r="G669" i="2" s="1"/>
  <c r="B152" i="65" l="1"/>
  <c r="C152" i="65" s="1"/>
  <c r="AE164" i="2"/>
  <c r="B74" i="65"/>
  <c r="C74" i="65" s="1"/>
  <c r="AE167" i="2"/>
  <c r="B198" i="65"/>
  <c r="C198" i="65" s="1"/>
  <c r="AE160" i="2"/>
  <c r="E384" i="2"/>
  <c r="G670" i="2"/>
  <c r="D386" i="2"/>
  <c r="E386" i="2" s="1"/>
  <c r="H387" i="2"/>
  <c r="H388" i="2" s="1"/>
  <c r="H389" i="2" s="1"/>
  <c r="H390" i="2" s="1"/>
  <c r="E385" i="2" l="1"/>
  <c r="G671" i="2"/>
  <c r="G672" i="2" s="1"/>
  <c r="G673" i="2" s="1"/>
  <c r="G674" i="2" s="1"/>
  <c r="E387" i="2"/>
  <c r="E388" i="2" s="1"/>
  <c r="E389" i="2" s="1"/>
  <c r="D390" i="2"/>
  <c r="E390" i="2" s="1"/>
  <c r="H391" i="2"/>
  <c r="H392" i="2" s="1"/>
  <c r="H393" i="2" s="1"/>
  <c r="H394" i="2" s="1"/>
  <c r="H395" i="2" s="1"/>
  <c r="Z664" i="2" l="1"/>
  <c r="AE664" i="2" s="1"/>
  <c r="D395" i="2"/>
  <c r="E395" i="2" s="1"/>
  <c r="H396" i="2"/>
  <c r="H397" i="2" s="1"/>
  <c r="H398" i="2" s="1"/>
  <c r="H399" i="2" s="1"/>
  <c r="G675" i="2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Z674" i="2"/>
  <c r="E391" i="2"/>
  <c r="E392" i="2" l="1"/>
  <c r="AE674" i="2"/>
  <c r="G690" i="2"/>
  <c r="G691" i="2" s="1"/>
  <c r="G692" i="2" s="1"/>
  <c r="Z689" i="2"/>
  <c r="H400" i="2"/>
  <c r="D399" i="2"/>
  <c r="E396" i="2"/>
  <c r="E397" i="2" s="1"/>
  <c r="E398" i="2" s="1"/>
  <c r="E399" i="2" s="1"/>
  <c r="G693" i="2" l="1"/>
  <c r="D400" i="2"/>
  <c r="E400" i="2" s="1"/>
  <c r="H401" i="2"/>
  <c r="H402" i="2" s="1"/>
  <c r="H403" i="2" s="1"/>
  <c r="H404" i="2" s="1"/>
  <c r="AE689" i="2"/>
  <c r="E393" i="2"/>
  <c r="E394" i="2" l="1"/>
  <c r="H405" i="2"/>
  <c r="D404" i="2"/>
  <c r="E401" i="2"/>
  <c r="E402" i="2" s="1"/>
  <c r="E403" i="2" s="1"/>
  <c r="E404" i="2" s="1"/>
  <c r="G694" i="2"/>
  <c r="G695" i="2" s="1"/>
  <c r="G696" i="2" l="1"/>
  <c r="H406" i="2"/>
  <c r="H407" i="2" s="1"/>
  <c r="D405" i="2"/>
  <c r="E405" i="2" s="1"/>
  <c r="H408" i="2" l="1"/>
  <c r="D407" i="2"/>
  <c r="E406" i="2"/>
  <c r="G697" i="2"/>
  <c r="G698" i="2" s="1"/>
  <c r="G699" i="2" s="1"/>
  <c r="G700" i="2" s="1"/>
  <c r="G701" i="2" s="1"/>
  <c r="G702" i="2" s="1"/>
  <c r="G703" i="2" s="1"/>
  <c r="Z693" i="2"/>
  <c r="AE693" i="2" l="1"/>
  <c r="G704" i="2"/>
  <c r="G705" i="2" s="1"/>
  <c r="G706" i="2" s="1"/>
  <c r="G707" i="2" s="1"/>
  <c r="Z703" i="2"/>
  <c r="E407" i="2"/>
  <c r="E408" i="2" s="1"/>
  <c r="D408" i="2"/>
  <c r="H409" i="2"/>
  <c r="D409" i="2" l="1"/>
  <c r="E409" i="2" s="1"/>
  <c r="H410" i="2"/>
  <c r="H411" i="2" s="1"/>
  <c r="H412" i="2" s="1"/>
  <c r="H413" i="2" s="1"/>
  <c r="H414" i="2" s="1"/>
  <c r="H415" i="2" s="1"/>
  <c r="H416" i="2" s="1"/>
  <c r="H417" i="2" s="1"/>
  <c r="H418" i="2" s="1"/>
  <c r="AE703" i="2"/>
  <c r="G708" i="2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Z707" i="2"/>
  <c r="AE707" i="2" l="1"/>
  <c r="G723" i="2"/>
  <c r="G724" i="2" s="1"/>
  <c r="G725" i="2" s="1"/>
  <c r="Z722" i="2"/>
  <c r="H419" i="2"/>
  <c r="H420" i="2" s="1"/>
  <c r="D418" i="2"/>
  <c r="E418" i="2" s="1"/>
  <c r="E410" i="2"/>
  <c r="E419" i="2" l="1"/>
  <c r="AE722" i="2"/>
  <c r="G726" i="2"/>
  <c r="E411" i="2"/>
  <c r="H421" i="2"/>
  <c r="H422" i="2" s="1"/>
  <c r="H423" i="2" s="1"/>
  <c r="H424" i="2" s="1"/>
  <c r="D420" i="2"/>
  <c r="E420" i="2" s="1"/>
  <c r="E412" i="2" l="1"/>
  <c r="E421" i="2"/>
  <c r="E422" i="2" s="1"/>
  <c r="E423" i="2" s="1"/>
  <c r="H425" i="2"/>
  <c r="H426" i="2" s="1"/>
  <c r="H427" i="2" s="1"/>
  <c r="H428" i="2" s="1"/>
  <c r="D424" i="2"/>
  <c r="E424" i="2" s="1"/>
  <c r="G727" i="2"/>
  <c r="G728" i="2" s="1"/>
  <c r="G729" i="2" l="1"/>
  <c r="E425" i="2"/>
  <c r="E426" i="2" s="1"/>
  <c r="E427" i="2" s="1"/>
  <c r="D428" i="2"/>
  <c r="E428" i="2" s="1"/>
  <c r="H429" i="2"/>
  <c r="H430" i="2" s="1"/>
  <c r="H431" i="2" s="1"/>
  <c r="H432" i="2" s="1"/>
  <c r="E413" i="2"/>
  <c r="E414" i="2" l="1"/>
  <c r="H433" i="2"/>
  <c r="H434" i="2" s="1"/>
  <c r="H435" i="2" s="1"/>
  <c r="H436" i="2" s="1"/>
  <c r="D432" i="2"/>
  <c r="E432" i="2" s="1"/>
  <c r="E429" i="2"/>
  <c r="E430" i="2" s="1"/>
  <c r="E431" i="2" s="1"/>
  <c r="G730" i="2"/>
  <c r="G731" i="2" s="1"/>
  <c r="G732" i="2" s="1"/>
  <c r="G733" i="2" s="1"/>
  <c r="G734" i="2" s="1"/>
  <c r="G735" i="2" s="1"/>
  <c r="G736" i="2" s="1"/>
  <c r="Z726" i="2"/>
  <c r="G737" i="2" l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Z736" i="2"/>
  <c r="E433" i="2"/>
  <c r="E434" i="2" s="1"/>
  <c r="E435" i="2" s="1"/>
  <c r="D436" i="2"/>
  <c r="E436" i="2" s="1"/>
  <c r="H437" i="2"/>
  <c r="H438" i="2" s="1"/>
  <c r="H439" i="2" s="1"/>
  <c r="H440" i="2" s="1"/>
  <c r="AE726" i="2"/>
  <c r="E415" i="2"/>
  <c r="E416" i="2" l="1"/>
  <c r="H441" i="2"/>
  <c r="H442" i="2" s="1"/>
  <c r="H443" i="2" s="1"/>
  <c r="H444" i="2" s="1"/>
  <c r="D440" i="2"/>
  <c r="E440" i="2" s="1"/>
  <c r="E437" i="2"/>
  <c r="E438" i="2" s="1"/>
  <c r="E439" i="2" s="1"/>
  <c r="AE736" i="2"/>
  <c r="G752" i="2"/>
  <c r="G753" i="2" s="1"/>
  <c r="G754" i="2" s="1"/>
  <c r="Z751" i="2"/>
  <c r="AE751" i="2" l="1"/>
  <c r="E441" i="2"/>
  <c r="E442" i="2" s="1"/>
  <c r="E443" i="2" s="1"/>
  <c r="G755" i="2"/>
  <c r="H445" i="2"/>
  <c r="H446" i="2" s="1"/>
  <c r="H447" i="2" s="1"/>
  <c r="H448" i="2" s="1"/>
  <c r="D444" i="2"/>
  <c r="E444" i="2" s="1"/>
  <c r="E417" i="2"/>
  <c r="E445" i="2" l="1"/>
  <c r="D448" i="2"/>
  <c r="E448" i="2" s="1"/>
  <c r="H449" i="2"/>
  <c r="H450" i="2" s="1"/>
  <c r="H451" i="2" s="1"/>
  <c r="H452" i="2" s="1"/>
  <c r="G756" i="2"/>
  <c r="G757" i="2" s="1"/>
  <c r="G758" i="2" l="1"/>
  <c r="H453" i="2"/>
  <c r="D452" i="2"/>
  <c r="E449" i="2"/>
  <c r="E450" i="2" s="1"/>
  <c r="E451" i="2" s="1"/>
  <c r="E452" i="2" s="1"/>
  <c r="E446" i="2"/>
  <c r="E447" i="2" l="1"/>
  <c r="H454" i="2"/>
  <c r="H455" i="2" s="1"/>
  <c r="H456" i="2" s="1"/>
  <c r="H457" i="2" s="1"/>
  <c r="H458" i="2" s="1"/>
  <c r="D453" i="2"/>
  <c r="E453" i="2" s="1"/>
  <c r="G759" i="2"/>
  <c r="G760" i="2" s="1"/>
  <c r="G761" i="2" s="1"/>
  <c r="G762" i="2" s="1"/>
  <c r="G763" i="2" s="1"/>
  <c r="G764" i="2" s="1"/>
  <c r="G765" i="2" s="1"/>
  <c r="Z755" i="2"/>
  <c r="G766" i="2" l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Z765" i="2"/>
  <c r="E454" i="2"/>
  <c r="H459" i="2"/>
  <c r="H460" i="2" s="1"/>
  <c r="H461" i="2" s="1"/>
  <c r="H462" i="2" s="1"/>
  <c r="H463" i="2" s="1"/>
  <c r="D458" i="2"/>
  <c r="E458" i="2" s="1"/>
  <c r="AE755" i="2"/>
  <c r="E459" i="2" l="1"/>
  <c r="E460" i="2" s="1"/>
  <c r="E461" i="2" s="1"/>
  <c r="E462" i="2" s="1"/>
  <c r="H464" i="2"/>
  <c r="H465" i="2" s="1"/>
  <c r="H466" i="2" s="1"/>
  <c r="H467" i="2" s="1"/>
  <c r="H468" i="2" s="1"/>
  <c r="D463" i="2"/>
  <c r="E463" i="2" s="1"/>
  <c r="E455" i="2"/>
  <c r="AE765" i="2"/>
  <c r="G781" i="2"/>
  <c r="G782" i="2" s="1"/>
  <c r="G783" i="2" s="1"/>
  <c r="Z780" i="2"/>
  <c r="E456" i="2" l="1"/>
  <c r="E464" i="2"/>
  <c r="E465" i="2" s="1"/>
  <c r="E466" i="2" s="1"/>
  <c r="E467" i="2" s="1"/>
  <c r="AE780" i="2"/>
  <c r="G784" i="2"/>
  <c r="D468" i="2"/>
  <c r="E468" i="2" s="1"/>
  <c r="H469" i="2"/>
  <c r="H470" i="2" s="1"/>
  <c r="H471" i="2" s="1"/>
  <c r="H472" i="2" l="1"/>
  <c r="H473" i="2" s="1"/>
  <c r="H474" i="2" s="1"/>
  <c r="D471" i="2"/>
  <c r="E471" i="2" s="1"/>
  <c r="E469" i="2"/>
  <c r="E470" i="2" s="1"/>
  <c r="G785" i="2"/>
  <c r="G786" i="2" s="1"/>
  <c r="E457" i="2"/>
  <c r="G787" i="2" l="1"/>
  <c r="E472" i="2"/>
  <c r="D474" i="2"/>
  <c r="E474" i="2" s="1"/>
  <c r="H475" i="2"/>
  <c r="H476" i="2" s="1"/>
  <c r="H477" i="2" s="1"/>
  <c r="H478" i="2" l="1"/>
  <c r="H479" i="2" s="1"/>
  <c r="H480" i="2" s="1"/>
  <c r="H481" i="2" s="1"/>
  <c r="D477" i="2"/>
  <c r="E477" i="2" s="1"/>
  <c r="E473" i="2"/>
  <c r="E475" i="2"/>
  <c r="E476" i="2" s="1"/>
  <c r="G788" i="2"/>
  <c r="Z784" i="2"/>
  <c r="E478" i="2" l="1"/>
  <c r="AE784" i="2"/>
  <c r="G789" i="2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Z788" i="2"/>
  <c r="D481" i="2"/>
  <c r="E481" i="2" s="1"/>
  <c r="H482" i="2"/>
  <c r="H483" i="2" s="1"/>
  <c r="H484" i="2" s="1"/>
  <c r="H485" i="2" s="1"/>
  <c r="H486" i="2" s="1"/>
  <c r="AE788" i="2" l="1"/>
  <c r="D486" i="2"/>
  <c r="E486" i="2" s="1"/>
  <c r="H487" i="2"/>
  <c r="H488" i="2" s="1"/>
  <c r="H489" i="2" s="1"/>
  <c r="H490" i="2" s="1"/>
  <c r="E482" i="2"/>
  <c r="E483" i="2" s="1"/>
  <c r="E484" i="2" s="1"/>
  <c r="E485" i="2" s="1"/>
  <c r="G804" i="2"/>
  <c r="G805" i="2" s="1"/>
  <c r="G806" i="2" s="1"/>
  <c r="Z803" i="2"/>
  <c r="E479" i="2"/>
  <c r="AE803" i="2" l="1"/>
  <c r="G807" i="2"/>
  <c r="E480" i="2"/>
  <c r="H491" i="2"/>
  <c r="D490" i="2"/>
  <c r="E487" i="2"/>
  <c r="E488" i="2" s="1"/>
  <c r="E489" i="2" s="1"/>
  <c r="E490" i="2" s="1"/>
  <c r="H492" i="2" l="1"/>
  <c r="H493" i="2" s="1"/>
  <c r="H494" i="2" s="1"/>
  <c r="H495" i="2" s="1"/>
  <c r="D491" i="2"/>
  <c r="E491" i="2" s="1"/>
  <c r="G808" i="2"/>
  <c r="G809" i="2" l="1"/>
  <c r="G810" i="2" s="1"/>
  <c r="E492" i="2"/>
  <c r="H496" i="2"/>
  <c r="D495" i="2"/>
  <c r="H497" i="2" l="1"/>
  <c r="H498" i="2" s="1"/>
  <c r="D496" i="2"/>
  <c r="E496" i="2" s="1"/>
  <c r="E493" i="2"/>
  <c r="G811" i="2"/>
  <c r="G812" i="2" l="1"/>
  <c r="Z808" i="2"/>
  <c r="E494" i="2"/>
  <c r="E497" i="2"/>
  <c r="E498" i="2" s="1"/>
  <c r="E499" i="2" s="1"/>
  <c r="H499" i="2"/>
  <c r="D498" i="2"/>
  <c r="D499" i="2" l="1"/>
  <c r="H500" i="2"/>
  <c r="E495" i="2"/>
  <c r="AE808" i="2"/>
  <c r="G813" i="2"/>
  <c r="G814" i="2" s="1"/>
  <c r="G815" i="2" l="1"/>
  <c r="D500" i="2"/>
  <c r="E500" i="2" s="1"/>
  <c r="H501" i="2"/>
  <c r="H502" i="2" s="1"/>
  <c r="H503" i="2" s="1"/>
  <c r="H504" i="2" s="1"/>
  <c r="H505" i="2" s="1"/>
  <c r="H506" i="2" s="1"/>
  <c r="H507" i="2" s="1"/>
  <c r="H508" i="2" s="1"/>
  <c r="H509" i="2" s="1"/>
  <c r="E501" i="2" l="1"/>
  <c r="H510" i="2"/>
  <c r="H511" i="2" s="1"/>
  <c r="D509" i="2"/>
  <c r="E509" i="2" s="1"/>
  <c r="G816" i="2"/>
  <c r="G817" i="2" s="1"/>
  <c r="E510" i="2" l="1"/>
  <c r="D511" i="2"/>
  <c r="E511" i="2" s="1"/>
  <c r="H512" i="2"/>
  <c r="H513" i="2" s="1"/>
  <c r="H514" i="2" s="1"/>
  <c r="H515" i="2" s="1"/>
  <c r="G818" i="2"/>
  <c r="E502" i="2"/>
  <c r="E503" i="2" l="1"/>
  <c r="G819" i="2"/>
  <c r="Z812" i="2"/>
  <c r="H516" i="2"/>
  <c r="H517" i="2" s="1"/>
  <c r="H518" i="2" s="1"/>
  <c r="H519" i="2" s="1"/>
  <c r="D515" i="2"/>
  <c r="E515" i="2" s="1"/>
  <c r="E512" i="2"/>
  <c r="E513" i="2" s="1"/>
  <c r="E514" i="2" s="1"/>
  <c r="E516" i="2" l="1"/>
  <c r="E517" i="2" s="1"/>
  <c r="E518" i="2" s="1"/>
  <c r="AE812" i="2"/>
  <c r="G820" i="2"/>
  <c r="G821" i="2" s="1"/>
  <c r="G822" i="2" s="1"/>
  <c r="Z819" i="2"/>
  <c r="D519" i="2"/>
  <c r="E519" i="2" s="1"/>
  <c r="H520" i="2"/>
  <c r="H521" i="2" s="1"/>
  <c r="H522" i="2" s="1"/>
  <c r="H523" i="2" s="1"/>
  <c r="E504" i="2"/>
  <c r="H524" i="2" l="1"/>
  <c r="H525" i="2" s="1"/>
  <c r="H526" i="2" s="1"/>
  <c r="H527" i="2" s="1"/>
  <c r="D523" i="2"/>
  <c r="E523" i="2" s="1"/>
  <c r="E520" i="2"/>
  <c r="E521" i="2" s="1"/>
  <c r="E522" i="2" s="1"/>
  <c r="AE819" i="2"/>
  <c r="G823" i="2"/>
  <c r="G824" i="2" s="1"/>
  <c r="G825" i="2" s="1"/>
  <c r="Z822" i="2"/>
  <c r="E505" i="2"/>
  <c r="AE822" i="2" l="1"/>
  <c r="G826" i="2"/>
  <c r="G827" i="2" s="1"/>
  <c r="G828" i="2" s="1"/>
  <c r="G829" i="2" s="1"/>
  <c r="Z825" i="2"/>
  <c r="E524" i="2"/>
  <c r="E525" i="2" s="1"/>
  <c r="E526" i="2" s="1"/>
  <c r="E506" i="2"/>
  <c r="D527" i="2"/>
  <c r="E527" i="2" s="1"/>
  <c r="H528" i="2"/>
  <c r="H529" i="2" s="1"/>
  <c r="H530" i="2" s="1"/>
  <c r="H531" i="2" s="1"/>
  <c r="E507" i="2" l="1"/>
  <c r="E528" i="2"/>
  <c r="E529" i="2" s="1"/>
  <c r="E530" i="2" s="1"/>
  <c r="D531" i="2"/>
  <c r="E531" i="2" s="1"/>
  <c r="H532" i="2"/>
  <c r="H533" i="2" s="1"/>
  <c r="H534" i="2" s="1"/>
  <c r="H535" i="2" s="1"/>
  <c r="AE825" i="2"/>
  <c r="G830" i="2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Z829" i="2"/>
  <c r="AE829" i="2" l="1"/>
  <c r="H536" i="2"/>
  <c r="H537" i="2" s="1"/>
  <c r="H538" i="2" s="1"/>
  <c r="H539" i="2" s="1"/>
  <c r="D535" i="2"/>
  <c r="E535" i="2" s="1"/>
  <c r="E532" i="2"/>
  <c r="E533" i="2" s="1"/>
  <c r="E534" i="2" s="1"/>
  <c r="G843" i="2"/>
  <c r="E508" i="2"/>
  <c r="G844" i="2" l="1"/>
  <c r="G845" i="2" s="1"/>
  <c r="E536" i="2"/>
  <c r="H540" i="2"/>
  <c r="H541" i="2" s="1"/>
  <c r="H542" i="2" s="1"/>
  <c r="H543" i="2" s="1"/>
  <c r="D539" i="2"/>
  <c r="E539" i="2" s="1"/>
  <c r="E540" i="2" l="1"/>
  <c r="E541" i="2" s="1"/>
  <c r="E542" i="2" s="1"/>
  <c r="E543" i="2" s="1"/>
  <c r="E537" i="2"/>
  <c r="D543" i="2"/>
  <c r="H544" i="2"/>
  <c r="G846" i="2"/>
  <c r="E538" i="2" l="1"/>
  <c r="D544" i="2"/>
  <c r="E544" i="2" s="1"/>
  <c r="H545" i="2"/>
  <c r="H546" i="2" s="1"/>
  <c r="H547" i="2" s="1"/>
  <c r="H548" i="2" s="1"/>
  <c r="H549" i="2" s="1"/>
  <c r="G847" i="2"/>
  <c r="Z843" i="2"/>
  <c r="G848" i="2" l="1"/>
  <c r="G849" i="2" s="1"/>
  <c r="H550" i="2"/>
  <c r="H551" i="2" s="1"/>
  <c r="H552" i="2" s="1"/>
  <c r="H553" i="2" s="1"/>
  <c r="H554" i="2" s="1"/>
  <c r="D549" i="2"/>
  <c r="E549" i="2" s="1"/>
  <c r="E545" i="2"/>
  <c r="AE843" i="2"/>
  <c r="E546" i="2" l="1"/>
  <c r="E550" i="2"/>
  <c r="E551" i="2" s="1"/>
  <c r="E552" i="2" s="1"/>
  <c r="E553" i="2" s="1"/>
  <c r="H555" i="2"/>
  <c r="H556" i="2" s="1"/>
  <c r="H557" i="2" s="1"/>
  <c r="H558" i="2" s="1"/>
  <c r="H559" i="2" s="1"/>
  <c r="D554" i="2"/>
  <c r="E554" i="2" s="1"/>
  <c r="G850" i="2"/>
  <c r="E555" i="2" l="1"/>
  <c r="E556" i="2" s="1"/>
  <c r="E557" i="2" s="1"/>
  <c r="E558" i="2" s="1"/>
  <c r="H560" i="2"/>
  <c r="H561" i="2" s="1"/>
  <c r="H562" i="2" s="1"/>
  <c r="D559" i="2"/>
  <c r="E559" i="2" s="1"/>
  <c r="G851" i="2"/>
  <c r="G852" i="2" s="1"/>
  <c r="E547" i="2"/>
  <c r="E548" i="2" l="1"/>
  <c r="G853" i="2"/>
  <c r="E560" i="2"/>
  <c r="E561" i="2" s="1"/>
  <c r="H563" i="2"/>
  <c r="H564" i="2" s="1"/>
  <c r="H565" i="2" s="1"/>
  <c r="D562" i="2"/>
  <c r="E562" i="2" s="1"/>
  <c r="G854" i="2" l="1"/>
  <c r="Z847" i="2"/>
  <c r="E563" i="2"/>
  <c r="H566" i="2"/>
  <c r="H567" i="2" s="1"/>
  <c r="H568" i="2" s="1"/>
  <c r="D565" i="2"/>
  <c r="E565" i="2" s="1"/>
  <c r="E566" i="2" l="1"/>
  <c r="E567" i="2" s="1"/>
  <c r="H569" i="2"/>
  <c r="H570" i="2" s="1"/>
  <c r="H571" i="2" s="1"/>
  <c r="H572" i="2" s="1"/>
  <c r="D568" i="2"/>
  <c r="E568" i="2" s="1"/>
  <c r="E564" i="2"/>
  <c r="AE847" i="2"/>
  <c r="G855" i="2"/>
  <c r="G856" i="2" s="1"/>
  <c r="G857" i="2" s="1"/>
  <c r="Z854" i="2"/>
  <c r="E569" i="2" l="1"/>
  <c r="G858" i="2"/>
  <c r="G859" i="2" s="1"/>
  <c r="G860" i="2" s="1"/>
  <c r="Z857" i="2"/>
  <c r="H573" i="2"/>
  <c r="H574" i="2" s="1"/>
  <c r="H575" i="2" s="1"/>
  <c r="H576" i="2" s="1"/>
  <c r="H577" i="2" s="1"/>
  <c r="D572" i="2"/>
  <c r="E572" i="2" s="1"/>
  <c r="AE854" i="2"/>
  <c r="AE857" i="2" l="1"/>
  <c r="G861" i="2"/>
  <c r="G862" i="2" s="1"/>
  <c r="G863" i="2" s="1"/>
  <c r="G864" i="2" s="1"/>
  <c r="Z860" i="2"/>
  <c r="E573" i="2"/>
  <c r="E574" i="2" s="1"/>
  <c r="E575" i="2" s="1"/>
  <c r="E576" i="2" s="1"/>
  <c r="D577" i="2"/>
  <c r="E577" i="2" s="1"/>
  <c r="H578" i="2"/>
  <c r="H579" i="2" s="1"/>
  <c r="H580" i="2" s="1"/>
  <c r="H581" i="2" s="1"/>
  <c r="E570" i="2"/>
  <c r="E571" i="2" l="1"/>
  <c r="H582" i="2"/>
  <c r="D581" i="2"/>
  <c r="E578" i="2"/>
  <c r="E579" i="2" s="1"/>
  <c r="E580" i="2" s="1"/>
  <c r="E581" i="2" s="1"/>
  <c r="AE860" i="2"/>
  <c r="G865" i="2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Z864" i="2"/>
  <c r="AE864" i="2" l="1"/>
  <c r="D582" i="2"/>
  <c r="E582" i="2" s="1"/>
  <c r="H583" i="2"/>
  <c r="H584" i="2" s="1"/>
  <c r="H585" i="2" s="1"/>
  <c r="H586" i="2" s="1"/>
  <c r="G878" i="2"/>
  <c r="G879" i="2" l="1"/>
  <c r="G880" i="2" s="1"/>
  <c r="H587" i="2"/>
  <c r="D586" i="2"/>
  <c r="E583" i="2"/>
  <c r="E584" i="2" l="1"/>
  <c r="H588" i="2"/>
  <c r="H589" i="2" s="1"/>
  <c r="D587" i="2"/>
  <c r="E587" i="2" s="1"/>
  <c r="G881" i="2"/>
  <c r="G882" i="2" l="1"/>
  <c r="Z878" i="2"/>
  <c r="E588" i="2"/>
  <c r="E589" i="2" s="1"/>
  <c r="E590" i="2" s="1"/>
  <c r="D589" i="2"/>
  <c r="H590" i="2"/>
  <c r="E585" i="2"/>
  <c r="E586" i="2" l="1"/>
  <c r="D590" i="2"/>
  <c r="H591" i="2"/>
  <c r="AE878" i="2"/>
  <c r="G883" i="2"/>
  <c r="G884" i="2" s="1"/>
  <c r="G885" i="2" s="1"/>
  <c r="G886" i="2" s="1"/>
  <c r="G887" i="2" s="1"/>
  <c r="G888" i="2" s="1"/>
  <c r="G889" i="2" s="1"/>
  <c r="Z882" i="2"/>
  <c r="AE882" i="2" l="1"/>
  <c r="G890" i="2"/>
  <c r="G891" i="2" s="1"/>
  <c r="G892" i="2" s="1"/>
  <c r="Z889" i="2"/>
  <c r="H592" i="2"/>
  <c r="H593" i="2" s="1"/>
  <c r="H594" i="2" s="1"/>
  <c r="H595" i="2" s="1"/>
  <c r="D591" i="2"/>
  <c r="E591" i="2" s="1"/>
  <c r="E592" i="2" l="1"/>
  <c r="AE889" i="2"/>
  <c r="G893" i="2"/>
  <c r="G894" i="2" s="1"/>
  <c r="G895" i="2" s="1"/>
  <c r="Z892" i="2"/>
  <c r="D595" i="2"/>
  <c r="E595" i="2" s="1"/>
  <c r="H596" i="2"/>
  <c r="H597" i="2" s="1"/>
  <c r="H598" i="2" s="1"/>
  <c r="H599" i="2" s="1"/>
  <c r="H600" i="2" l="1"/>
  <c r="H601" i="2" s="1"/>
  <c r="H602" i="2" s="1"/>
  <c r="H603" i="2" s="1"/>
  <c r="D599" i="2"/>
  <c r="E599" i="2" s="1"/>
  <c r="E596" i="2"/>
  <c r="E597" i="2" s="1"/>
  <c r="E598" i="2" s="1"/>
  <c r="G896" i="2"/>
  <c r="G897" i="2" s="1"/>
  <c r="G898" i="2" s="1"/>
  <c r="G899" i="2" s="1"/>
  <c r="Z895" i="2"/>
  <c r="AE892" i="2"/>
  <c r="E593" i="2"/>
  <c r="AE895" i="2" l="1"/>
  <c r="G900" i="2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Z899" i="2"/>
  <c r="E600" i="2"/>
  <c r="E601" i="2" s="1"/>
  <c r="E602" i="2" s="1"/>
  <c r="E594" i="2"/>
  <c r="D603" i="2"/>
  <c r="E603" i="2" s="1"/>
  <c r="H604" i="2"/>
  <c r="H605" i="2" s="1"/>
  <c r="H606" i="2" s="1"/>
  <c r="H607" i="2" s="1"/>
  <c r="AE899" i="2" l="1"/>
  <c r="G913" i="2"/>
  <c r="E604" i="2"/>
  <c r="H608" i="2"/>
  <c r="H609" i="2" s="1"/>
  <c r="H610" i="2" s="1"/>
  <c r="H611" i="2" s="1"/>
  <c r="D607" i="2"/>
  <c r="E607" i="2" s="1"/>
  <c r="E608" i="2" l="1"/>
  <c r="E609" i="2" s="1"/>
  <c r="E610" i="2" s="1"/>
  <c r="H612" i="2"/>
  <c r="H613" i="2" s="1"/>
  <c r="H614" i="2" s="1"/>
  <c r="H615" i="2" s="1"/>
  <c r="D611" i="2"/>
  <c r="E611" i="2" s="1"/>
  <c r="E605" i="2"/>
  <c r="G914" i="2"/>
  <c r="G915" i="2" s="1"/>
  <c r="G916" i="2" l="1"/>
  <c r="E606" i="2"/>
  <c r="E612" i="2"/>
  <c r="E613" i="2" s="1"/>
  <c r="E614" i="2" s="1"/>
  <c r="D615" i="2"/>
  <c r="E615" i="2" s="1"/>
  <c r="H616" i="2"/>
  <c r="H617" i="2" s="1"/>
  <c r="H618" i="2" s="1"/>
  <c r="H619" i="2" s="1"/>
  <c r="H620" i="2" l="1"/>
  <c r="D619" i="2"/>
  <c r="E616" i="2"/>
  <c r="G917" i="2"/>
  <c r="Z913" i="2"/>
  <c r="G918" i="2" l="1"/>
  <c r="G919" i="2" s="1"/>
  <c r="G920" i="2" s="1"/>
  <c r="G921" i="2" s="1"/>
  <c r="G922" i="2" s="1"/>
  <c r="G923" i="2" s="1"/>
  <c r="G924" i="2" s="1"/>
  <c r="Z917" i="2"/>
  <c r="E617" i="2"/>
  <c r="AE913" i="2"/>
  <c r="H621" i="2"/>
  <c r="H622" i="2" s="1"/>
  <c r="H623" i="2" s="1"/>
  <c r="H624" i="2" s="1"/>
  <c r="H625" i="2" s="1"/>
  <c r="D620" i="2"/>
  <c r="E620" i="2" s="1"/>
  <c r="H626" i="2" l="1"/>
  <c r="H627" i="2" s="1"/>
  <c r="H628" i="2" s="1"/>
  <c r="H629" i="2" s="1"/>
  <c r="H630" i="2" s="1"/>
  <c r="D625" i="2"/>
  <c r="E625" i="2" s="1"/>
  <c r="E621" i="2"/>
  <c r="E622" i="2" s="1"/>
  <c r="E623" i="2" s="1"/>
  <c r="E624" i="2" s="1"/>
  <c r="E618" i="2"/>
  <c r="AE917" i="2"/>
  <c r="G925" i="2"/>
  <c r="G926" i="2" s="1"/>
  <c r="G927" i="2" s="1"/>
  <c r="Z924" i="2"/>
  <c r="AE924" i="2" l="1"/>
  <c r="E619" i="2"/>
  <c r="G928" i="2"/>
  <c r="G929" i="2" s="1"/>
  <c r="G930" i="2" s="1"/>
  <c r="Z927" i="2"/>
  <c r="E626" i="2"/>
  <c r="H631" i="2"/>
  <c r="H632" i="2" s="1"/>
  <c r="H633" i="2" s="1"/>
  <c r="H634" i="2" s="1"/>
  <c r="H635" i="2" s="1"/>
  <c r="D630" i="2"/>
  <c r="E630" i="2" s="1"/>
  <c r="AE927" i="2" l="1"/>
  <c r="G931" i="2"/>
  <c r="Z930" i="2"/>
  <c r="E631" i="2"/>
  <c r="E632" i="2" s="1"/>
  <c r="E633" i="2" s="1"/>
  <c r="E634" i="2" s="1"/>
  <c r="D635" i="2"/>
  <c r="E635" i="2" s="1"/>
  <c r="H636" i="2"/>
  <c r="H637" i="2" s="1"/>
  <c r="H638" i="2" s="1"/>
  <c r="E627" i="2"/>
  <c r="H639" i="2" l="1"/>
  <c r="H640" i="2" s="1"/>
  <c r="H641" i="2" s="1"/>
  <c r="D638" i="2"/>
  <c r="E638" i="2" s="1"/>
  <c r="E636" i="2"/>
  <c r="E637" i="2" s="1"/>
  <c r="AE930" i="2"/>
  <c r="G932" i="2"/>
  <c r="G933" i="2" s="1"/>
  <c r="G934" i="2" s="1"/>
  <c r="G935" i="2" s="1"/>
  <c r="Z931" i="2"/>
  <c r="E628" i="2"/>
  <c r="AE931" i="2" l="1"/>
  <c r="G936" i="2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Z935" i="2"/>
  <c r="E639" i="2"/>
  <c r="E640" i="2" s="1"/>
  <c r="E629" i="2"/>
  <c r="D641" i="2"/>
  <c r="E641" i="2" s="1"/>
  <c r="H642" i="2"/>
  <c r="H643" i="2" s="1"/>
  <c r="H644" i="2" s="1"/>
  <c r="H645" i="2" s="1"/>
  <c r="AE935" i="2" l="1"/>
  <c r="D645" i="2"/>
  <c r="E645" i="2" s="1"/>
  <c r="H646" i="2"/>
  <c r="H647" i="2" s="1"/>
  <c r="H648" i="2" s="1"/>
  <c r="H649" i="2" s="1"/>
  <c r="H650" i="2" s="1"/>
  <c r="E642" i="2"/>
  <c r="G949" i="2"/>
  <c r="G950" i="2" l="1"/>
  <c r="G951" i="2" s="1"/>
  <c r="E643" i="2"/>
  <c r="E646" i="2"/>
  <c r="E647" i="2" s="1"/>
  <c r="E648" i="2" s="1"/>
  <c r="E649" i="2" s="1"/>
  <c r="H651" i="2"/>
  <c r="H652" i="2" s="1"/>
  <c r="H653" i="2" s="1"/>
  <c r="H654" i="2" s="1"/>
  <c r="D650" i="2"/>
  <c r="E650" i="2" s="1"/>
  <c r="D654" i="2" l="1"/>
  <c r="H655" i="2"/>
  <c r="E651" i="2"/>
  <c r="E652" i="2" s="1"/>
  <c r="E653" i="2" s="1"/>
  <c r="E654" i="2" s="1"/>
  <c r="E644" i="2"/>
  <c r="G952" i="2"/>
  <c r="G953" i="2" l="1"/>
  <c r="Z949" i="2"/>
  <c r="H656" i="2"/>
  <c r="H657" i="2" s="1"/>
  <c r="H658" i="2" s="1"/>
  <c r="H659" i="2" s="1"/>
  <c r="D655" i="2"/>
  <c r="E655" i="2" s="1"/>
  <c r="E656" i="2" l="1"/>
  <c r="AE949" i="2"/>
  <c r="H660" i="2"/>
  <c r="D659" i="2"/>
  <c r="G954" i="2"/>
  <c r="G955" i="2" s="1"/>
  <c r="G956" i="2" s="1"/>
  <c r="G957" i="2" s="1"/>
  <c r="Z953" i="2"/>
  <c r="AE953" i="2" l="1"/>
  <c r="G958" i="2"/>
  <c r="G959" i="2" s="1"/>
  <c r="G960" i="2" s="1"/>
  <c r="Z957" i="2"/>
  <c r="D660" i="2"/>
  <c r="E660" i="2" s="1"/>
  <c r="H661" i="2"/>
  <c r="H662" i="2" s="1"/>
  <c r="E657" i="2"/>
  <c r="E658" i="2" l="1"/>
  <c r="Y655" i="2"/>
  <c r="Z655" i="2" s="1"/>
  <c r="H663" i="2"/>
  <c r="D662" i="2"/>
  <c r="Y660" i="2"/>
  <c r="Z660" i="2" s="1"/>
  <c r="E661" i="2"/>
  <c r="E662" i="2" s="1"/>
  <c r="E663" i="2" s="1"/>
  <c r="E664" i="2" s="1"/>
  <c r="AE957" i="2"/>
  <c r="G961" i="2"/>
  <c r="G962" i="2" s="1"/>
  <c r="G963" i="2" s="1"/>
  <c r="G964" i="2" s="1"/>
  <c r="Z960" i="2"/>
  <c r="AE660" i="2" l="1"/>
  <c r="H664" i="2"/>
  <c r="D663" i="2"/>
  <c r="AE655" i="2"/>
  <c r="AE960" i="2"/>
  <c r="G965" i="2"/>
  <c r="G966" i="2" s="1"/>
  <c r="G967" i="2" s="1"/>
  <c r="G968" i="2" s="1"/>
  <c r="G969" i="2" s="1"/>
  <c r="G970" i="2" s="1"/>
  <c r="G971" i="2" s="1"/>
  <c r="G972" i="2" s="1"/>
  <c r="G973" i="2" s="1"/>
  <c r="Z964" i="2"/>
  <c r="E659" i="2"/>
  <c r="Y645" i="2"/>
  <c r="Z645" i="2" s="1"/>
  <c r="Y635" i="2"/>
  <c r="Z635" i="2" s="1"/>
  <c r="Y641" i="2"/>
  <c r="Z641" i="2" s="1"/>
  <c r="Y638" i="2"/>
  <c r="Z638" i="2" s="1"/>
  <c r="Y650" i="2"/>
  <c r="Z650" i="2" s="1"/>
  <c r="AE650" i="2" l="1"/>
  <c r="AE638" i="2"/>
  <c r="AE641" i="2"/>
  <c r="AE635" i="2"/>
  <c r="AE645" i="2"/>
  <c r="D664" i="2"/>
  <c r="H665" i="2"/>
  <c r="AE964" i="2"/>
  <c r="G974" i="2"/>
  <c r="G975" i="2" l="1"/>
  <c r="D665" i="2"/>
  <c r="E665" i="2" s="1"/>
  <c r="H666" i="2"/>
  <c r="H667" i="2" s="1"/>
  <c r="H668" i="2" s="1"/>
  <c r="H669" i="2" l="1"/>
  <c r="H670" i="2" s="1"/>
  <c r="H671" i="2" s="1"/>
  <c r="D668" i="2"/>
  <c r="E668" i="2" s="1"/>
  <c r="E666" i="2"/>
  <c r="E667" i="2" s="1"/>
  <c r="G976" i="2"/>
  <c r="G977" i="2" s="1"/>
  <c r="Z975" i="2"/>
  <c r="AE975" i="2" l="1"/>
  <c r="E669" i="2"/>
  <c r="G978" i="2"/>
  <c r="D671" i="2"/>
  <c r="E671" i="2" s="1"/>
  <c r="H672" i="2"/>
  <c r="H673" i="2" s="1"/>
  <c r="H674" i="2" s="1"/>
  <c r="E672" i="2" l="1"/>
  <c r="E673" i="2" s="1"/>
  <c r="E674" i="2" s="1"/>
  <c r="D674" i="2"/>
  <c r="H675" i="2"/>
  <c r="E670" i="2"/>
  <c r="G979" i="2"/>
  <c r="G980" i="2" s="1"/>
  <c r="Z978" i="2"/>
  <c r="AE978" i="2" l="1"/>
  <c r="G981" i="2"/>
  <c r="D675" i="2"/>
  <c r="E675" i="2" s="1"/>
  <c r="H676" i="2"/>
  <c r="H677" i="2" s="1"/>
  <c r="H678" i="2" s="1"/>
  <c r="H679" i="2" s="1"/>
  <c r="H680" i="2" s="1"/>
  <c r="H681" i="2" s="1"/>
  <c r="H682" i="2" s="1"/>
  <c r="H683" i="2" s="1"/>
  <c r="H684" i="2" l="1"/>
  <c r="H685" i="2" s="1"/>
  <c r="H686" i="2" s="1"/>
  <c r="H687" i="2" s="1"/>
  <c r="D683" i="2"/>
  <c r="E683" i="2" s="1"/>
  <c r="E676" i="2"/>
  <c r="G982" i="2"/>
  <c r="G983" i="2" s="1"/>
  <c r="Z981" i="2"/>
  <c r="AE981" i="2" l="1"/>
  <c r="E677" i="2"/>
  <c r="E684" i="2"/>
  <c r="E685" i="2" s="1"/>
  <c r="E686" i="2" s="1"/>
  <c r="G984" i="2"/>
  <c r="H688" i="2"/>
  <c r="H689" i="2" s="1"/>
  <c r="D687" i="2"/>
  <c r="E687" i="2" s="1"/>
  <c r="E688" i="2" l="1"/>
  <c r="E689" i="2" s="1"/>
  <c r="H690" i="2"/>
  <c r="D689" i="2"/>
  <c r="G985" i="2"/>
  <c r="G986" i="2" s="1"/>
  <c r="Z984" i="2"/>
  <c r="E678" i="2"/>
  <c r="AE984" i="2" l="1"/>
  <c r="G987" i="2"/>
  <c r="H691" i="2"/>
  <c r="H692" i="2" s="1"/>
  <c r="D690" i="2"/>
  <c r="E690" i="2" s="1"/>
  <c r="E679" i="2"/>
  <c r="E680" i="2" l="1"/>
  <c r="E691" i="2"/>
  <c r="E692" i="2" s="1"/>
  <c r="E693" i="2" s="1"/>
  <c r="H693" i="2"/>
  <c r="D692" i="2"/>
  <c r="G988" i="2"/>
  <c r="G989" i="2" s="1"/>
  <c r="G990" i="2" s="1"/>
  <c r="Z987" i="2"/>
  <c r="G991" i="2" l="1"/>
  <c r="G992" i="2" s="1"/>
  <c r="G993" i="2" s="1"/>
  <c r="H694" i="2"/>
  <c r="D693" i="2"/>
  <c r="AE987" i="2"/>
  <c r="E681" i="2"/>
  <c r="E682" i="2" l="1"/>
  <c r="H695" i="2"/>
  <c r="H696" i="2" s="1"/>
  <c r="H697" i="2" s="1"/>
  <c r="D694" i="2"/>
  <c r="E694" i="2" s="1"/>
  <c r="G994" i="2"/>
  <c r="E695" i="2" l="1"/>
  <c r="G995" i="2"/>
  <c r="G996" i="2" s="1"/>
  <c r="Z994" i="2"/>
  <c r="D697" i="2"/>
  <c r="E697" i="2" s="1"/>
  <c r="H698" i="2"/>
  <c r="H699" i="2" s="1"/>
  <c r="H700" i="2" s="1"/>
  <c r="E698" i="2" l="1"/>
  <c r="E699" i="2" s="1"/>
  <c r="AE994" i="2"/>
  <c r="G997" i="2"/>
  <c r="H701" i="2"/>
  <c r="H702" i="2" s="1"/>
  <c r="H703" i="2" s="1"/>
  <c r="D700" i="2"/>
  <c r="E700" i="2" s="1"/>
  <c r="E696" i="2"/>
  <c r="E701" i="2" l="1"/>
  <c r="D703" i="2"/>
  <c r="H704" i="2"/>
  <c r="G998" i="2"/>
  <c r="G999" i="2" s="1"/>
  <c r="Z997" i="2"/>
  <c r="AE997" i="2" l="1"/>
  <c r="D704" i="2"/>
  <c r="E704" i="2" s="1"/>
  <c r="H705" i="2"/>
  <c r="H706" i="2" s="1"/>
  <c r="H707" i="2" s="1"/>
  <c r="G1000" i="2"/>
  <c r="E702" i="2"/>
  <c r="G1001" i="2" l="1"/>
  <c r="G1002" i="2" s="1"/>
  <c r="Z1000" i="2"/>
  <c r="E703" i="2"/>
  <c r="H708" i="2"/>
  <c r="D707" i="2"/>
  <c r="E705" i="2"/>
  <c r="E706" i="2" l="1"/>
  <c r="H709" i="2"/>
  <c r="H710" i="2" s="1"/>
  <c r="H711" i="2" s="1"/>
  <c r="H712" i="2" s="1"/>
  <c r="H713" i="2" s="1"/>
  <c r="H714" i="2" s="1"/>
  <c r="H715" i="2" s="1"/>
  <c r="H716" i="2" s="1"/>
  <c r="D708" i="2"/>
  <c r="E708" i="2" s="1"/>
  <c r="AE1000" i="2"/>
  <c r="G1003" i="2"/>
  <c r="G1004" i="2" l="1"/>
  <c r="G1005" i="2" s="1"/>
  <c r="G1006" i="2" s="1"/>
  <c r="Z1003" i="2"/>
  <c r="E709" i="2"/>
  <c r="H717" i="2"/>
  <c r="H718" i="2" s="1"/>
  <c r="H719" i="2" s="1"/>
  <c r="H720" i="2" s="1"/>
  <c r="D716" i="2"/>
  <c r="E716" i="2" s="1"/>
  <c r="E707" i="2"/>
  <c r="E717" i="2" l="1"/>
  <c r="E718" i="2" s="1"/>
  <c r="E719" i="2" s="1"/>
  <c r="H721" i="2"/>
  <c r="H722" i="2" s="1"/>
  <c r="D720" i="2"/>
  <c r="E720" i="2" s="1"/>
  <c r="E710" i="2"/>
  <c r="AE1003" i="2"/>
  <c r="G1007" i="2"/>
  <c r="G1008" i="2" s="1"/>
  <c r="G1009" i="2" s="1"/>
  <c r="Z1006" i="2"/>
  <c r="AE1006" i="2" l="1"/>
  <c r="E711" i="2"/>
  <c r="E721" i="2"/>
  <c r="E722" i="2" s="1"/>
  <c r="D722" i="2"/>
  <c r="H723" i="2"/>
  <c r="G1010" i="2"/>
  <c r="G1011" i="2" s="1"/>
  <c r="G1012" i="2" s="1"/>
  <c r="G1013" i="2" l="1"/>
  <c r="D723" i="2"/>
  <c r="E723" i="2" s="1"/>
  <c r="H724" i="2"/>
  <c r="H725" i="2" s="1"/>
  <c r="E712" i="2"/>
  <c r="H726" i="2" l="1"/>
  <c r="D725" i="2"/>
  <c r="E713" i="2"/>
  <c r="E724" i="2"/>
  <c r="E725" i="2" s="1"/>
  <c r="E726" i="2" s="1"/>
  <c r="G1014" i="2"/>
  <c r="G1015" i="2" s="1"/>
  <c r="Z1013" i="2"/>
  <c r="AE1013" i="2" l="1"/>
  <c r="E714" i="2"/>
  <c r="G1016" i="2"/>
  <c r="H727" i="2"/>
  <c r="D726" i="2"/>
  <c r="H728" i="2" l="1"/>
  <c r="H729" i="2" s="1"/>
  <c r="H730" i="2" s="1"/>
  <c r="D727" i="2"/>
  <c r="E727" i="2" s="1"/>
  <c r="E715" i="2"/>
  <c r="G1017" i="2"/>
  <c r="G1018" i="2" s="1"/>
  <c r="Z1016" i="2"/>
  <c r="G1019" i="2" l="1"/>
  <c r="E728" i="2"/>
  <c r="AE1016" i="2"/>
  <c r="D730" i="2"/>
  <c r="E730" i="2" s="1"/>
  <c r="H731" i="2"/>
  <c r="H732" i="2" s="1"/>
  <c r="H733" i="2" s="1"/>
  <c r="E731" i="2" l="1"/>
  <c r="E732" i="2" s="1"/>
  <c r="E729" i="2"/>
  <c r="H734" i="2"/>
  <c r="H735" i="2" s="1"/>
  <c r="H736" i="2" s="1"/>
  <c r="D733" i="2"/>
  <c r="E733" i="2" s="1"/>
  <c r="G1020" i="2"/>
  <c r="G1021" i="2" s="1"/>
  <c r="Z1019" i="2"/>
  <c r="E734" i="2" l="1"/>
  <c r="D736" i="2"/>
  <c r="H737" i="2"/>
  <c r="AE1019" i="2"/>
  <c r="G1022" i="2"/>
  <c r="G1023" i="2" l="1"/>
  <c r="G1024" i="2" s="1"/>
  <c r="G1025" i="2" s="1"/>
  <c r="Z1022" i="2"/>
  <c r="D737" i="2"/>
  <c r="E737" i="2" s="1"/>
  <c r="H738" i="2"/>
  <c r="H739" i="2" s="1"/>
  <c r="H740" i="2" s="1"/>
  <c r="H741" i="2" s="1"/>
  <c r="H742" i="2" s="1"/>
  <c r="H743" i="2" s="1"/>
  <c r="H744" i="2" s="1"/>
  <c r="H745" i="2" s="1"/>
  <c r="E735" i="2"/>
  <c r="E736" i="2" l="1"/>
  <c r="H746" i="2"/>
  <c r="H747" i="2" s="1"/>
  <c r="H748" i="2" s="1"/>
  <c r="H749" i="2" s="1"/>
  <c r="D745" i="2"/>
  <c r="E745" i="2" s="1"/>
  <c r="E738" i="2"/>
  <c r="AE1022" i="2"/>
  <c r="G1026" i="2"/>
  <c r="G1027" i="2" s="1"/>
  <c r="G1028" i="2" s="1"/>
  <c r="Z1025" i="2"/>
  <c r="E739" i="2" l="1"/>
  <c r="E746" i="2"/>
  <c r="E747" i="2" s="1"/>
  <c r="E748" i="2" s="1"/>
  <c r="AE1025" i="2"/>
  <c r="D749" i="2"/>
  <c r="E749" i="2" s="1"/>
  <c r="H750" i="2"/>
  <c r="H751" i="2" s="1"/>
  <c r="G1029" i="2"/>
  <c r="G1030" i="2" s="1"/>
  <c r="G1031" i="2" s="1"/>
  <c r="E750" i="2" l="1"/>
  <c r="E751" i="2" s="1"/>
  <c r="G1032" i="2"/>
  <c r="H752" i="2"/>
  <c r="D751" i="2"/>
  <c r="E740" i="2"/>
  <c r="E741" i="2" l="1"/>
  <c r="H753" i="2"/>
  <c r="H754" i="2" s="1"/>
  <c r="D752" i="2"/>
  <c r="E752" i="2" s="1"/>
  <c r="G1033" i="2"/>
  <c r="G1034" i="2" s="1"/>
  <c r="Z1032" i="2"/>
  <c r="AE1032" i="2" l="1"/>
  <c r="G1035" i="2"/>
  <c r="H755" i="2"/>
  <c r="D754" i="2"/>
  <c r="E753" i="2"/>
  <c r="E754" i="2" s="1"/>
  <c r="E755" i="2" s="1"/>
  <c r="E742" i="2"/>
  <c r="E743" i="2" l="1"/>
  <c r="D755" i="2"/>
  <c r="H756" i="2"/>
  <c r="G1036" i="2"/>
  <c r="G1037" i="2" s="1"/>
  <c r="Z1035" i="2"/>
  <c r="G1038" i="2" l="1"/>
  <c r="AE1035" i="2"/>
  <c r="D756" i="2"/>
  <c r="E756" i="2" s="1"/>
  <c r="H757" i="2"/>
  <c r="H758" i="2" s="1"/>
  <c r="H759" i="2" s="1"/>
  <c r="E744" i="2"/>
  <c r="H760" i="2" l="1"/>
  <c r="H761" i="2" s="1"/>
  <c r="H762" i="2" s="1"/>
  <c r="D759" i="2"/>
  <c r="E759" i="2" s="1"/>
  <c r="E757" i="2"/>
  <c r="G1039" i="2"/>
  <c r="G1040" i="2" s="1"/>
  <c r="Z1038" i="2"/>
  <c r="AE1038" i="2" l="1"/>
  <c r="G1041" i="2"/>
  <c r="E758" i="2"/>
  <c r="E760" i="2"/>
  <c r="E761" i="2" s="1"/>
  <c r="D762" i="2"/>
  <c r="E762" i="2" s="1"/>
  <c r="H763" i="2"/>
  <c r="H764" i="2" s="1"/>
  <c r="H765" i="2" s="1"/>
  <c r="H766" i="2" l="1"/>
  <c r="D765" i="2"/>
  <c r="G1042" i="2"/>
  <c r="G1043" i="2" s="1"/>
  <c r="G1044" i="2" s="1"/>
  <c r="Z1041" i="2"/>
  <c r="E763" i="2"/>
  <c r="E764" i="2" l="1"/>
  <c r="AE1041" i="2"/>
  <c r="G1045" i="2"/>
  <c r="G1046" i="2" s="1"/>
  <c r="G1047" i="2" s="1"/>
  <c r="Z1044" i="2"/>
  <c r="D766" i="2"/>
  <c r="E766" i="2" s="1"/>
  <c r="H767" i="2"/>
  <c r="H768" i="2" s="1"/>
  <c r="H769" i="2" s="1"/>
  <c r="H770" i="2" s="1"/>
  <c r="H771" i="2" s="1"/>
  <c r="H772" i="2" s="1"/>
  <c r="H773" i="2" s="1"/>
  <c r="H774" i="2" s="1"/>
  <c r="AE1044" i="2" l="1"/>
  <c r="G1048" i="2"/>
  <c r="G1049" i="2" s="1"/>
  <c r="G1050" i="2" s="1"/>
  <c r="D774" i="2"/>
  <c r="E774" i="2" s="1"/>
  <c r="H775" i="2"/>
  <c r="H776" i="2" s="1"/>
  <c r="H777" i="2" s="1"/>
  <c r="H778" i="2" s="1"/>
  <c r="E767" i="2"/>
  <c r="E765" i="2"/>
  <c r="E768" i="2" l="1"/>
  <c r="H779" i="2"/>
  <c r="H780" i="2" s="1"/>
  <c r="D778" i="2"/>
  <c r="E778" i="2" s="1"/>
  <c r="E775" i="2"/>
  <c r="E776" i="2" s="1"/>
  <c r="E777" i="2" s="1"/>
  <c r="G1051" i="2"/>
  <c r="G1052" i="2" l="1"/>
  <c r="G1053" i="2" s="1"/>
  <c r="Z1051" i="2"/>
  <c r="E779" i="2"/>
  <c r="E780" i="2" s="1"/>
  <c r="D780" i="2"/>
  <c r="H781" i="2"/>
  <c r="E769" i="2"/>
  <c r="E770" i="2" l="1"/>
  <c r="D781" i="2"/>
  <c r="E781" i="2" s="1"/>
  <c r="H782" i="2"/>
  <c r="H783" i="2" s="1"/>
  <c r="AE1051" i="2"/>
  <c r="G1054" i="2"/>
  <c r="G1055" i="2" l="1"/>
  <c r="G1056" i="2" s="1"/>
  <c r="Z1054" i="2"/>
  <c r="H784" i="2"/>
  <c r="D783" i="2"/>
  <c r="E782" i="2"/>
  <c r="E783" i="2" s="1"/>
  <c r="E784" i="2" s="1"/>
  <c r="E771" i="2"/>
  <c r="E772" i="2" l="1"/>
  <c r="H785" i="2"/>
  <c r="D784" i="2"/>
  <c r="AE1054" i="2"/>
  <c r="G1057" i="2"/>
  <c r="G1058" i="2" l="1"/>
  <c r="G1059" i="2" s="1"/>
  <c r="Z1057" i="2"/>
  <c r="H786" i="2"/>
  <c r="H787" i="2" s="1"/>
  <c r="H788" i="2" s="1"/>
  <c r="D785" i="2"/>
  <c r="E785" i="2" s="1"/>
  <c r="E773" i="2"/>
  <c r="E786" i="2" l="1"/>
  <c r="D788" i="2"/>
  <c r="H789" i="2"/>
  <c r="AE1057" i="2"/>
  <c r="G1060" i="2"/>
  <c r="G1061" i="2" l="1"/>
  <c r="G1062" i="2" s="1"/>
  <c r="G1063" i="2" s="1"/>
  <c r="Z1060" i="2"/>
  <c r="D789" i="2"/>
  <c r="E789" i="2" s="1"/>
  <c r="H790" i="2"/>
  <c r="H791" i="2" s="1"/>
  <c r="H792" i="2" s="1"/>
  <c r="H793" i="2" s="1"/>
  <c r="E787" i="2"/>
  <c r="E788" i="2" l="1"/>
  <c r="D793" i="2"/>
  <c r="E793" i="2" s="1"/>
  <c r="H794" i="2"/>
  <c r="H795" i="2" s="1"/>
  <c r="E790" i="2"/>
  <c r="AE1060" i="2"/>
  <c r="G1064" i="2"/>
  <c r="G1065" i="2" s="1"/>
  <c r="G1066" i="2" s="1"/>
  <c r="Z1063" i="2"/>
  <c r="E791" i="2" l="1"/>
  <c r="D795" i="2"/>
  <c r="E795" i="2" s="1"/>
  <c r="H796" i="2"/>
  <c r="H797" i="2" s="1"/>
  <c r="H798" i="2" s="1"/>
  <c r="H799" i="2" s="1"/>
  <c r="H800" i="2" s="1"/>
  <c r="H801" i="2" s="1"/>
  <c r="H802" i="2" s="1"/>
  <c r="H803" i="2" s="1"/>
  <c r="E794" i="2"/>
  <c r="AE1063" i="2"/>
  <c r="G1067" i="2"/>
  <c r="G1068" i="2" s="1"/>
  <c r="G1069" i="2" s="1"/>
  <c r="H804" i="2" l="1"/>
  <c r="D803" i="2"/>
  <c r="E796" i="2"/>
  <c r="E797" i="2" s="1"/>
  <c r="E798" i="2" s="1"/>
  <c r="E799" i="2" s="1"/>
  <c r="E800" i="2" s="1"/>
  <c r="E801" i="2" s="1"/>
  <c r="E802" i="2" s="1"/>
  <c r="E803" i="2" s="1"/>
  <c r="G1070" i="2"/>
  <c r="E792" i="2"/>
  <c r="G1071" i="2" l="1"/>
  <c r="H805" i="2"/>
  <c r="H806" i="2" s="1"/>
  <c r="D804" i="2"/>
  <c r="E804" i="2" s="1"/>
  <c r="Y804" i="2" l="1"/>
  <c r="Z804" i="2" s="1"/>
  <c r="E805" i="2"/>
  <c r="D806" i="2"/>
  <c r="H807" i="2"/>
  <c r="G1072" i="2"/>
  <c r="G1073" i="2" s="1"/>
  <c r="Z1071" i="2"/>
  <c r="G1074" i="2" l="1"/>
  <c r="AE1071" i="2"/>
  <c r="D807" i="2"/>
  <c r="H808" i="2"/>
  <c r="E806" i="2"/>
  <c r="E807" i="2" s="1"/>
  <c r="E808" i="2" s="1"/>
  <c r="Y789" i="2"/>
  <c r="Z789" i="2" s="1"/>
  <c r="Y795" i="2"/>
  <c r="Z795" i="2" s="1"/>
  <c r="Y785" i="2"/>
  <c r="Z785" i="2" s="1"/>
  <c r="Y793" i="2"/>
  <c r="Z793" i="2" s="1"/>
  <c r="AE804" i="2"/>
  <c r="AE785" i="2" l="1"/>
  <c r="AE795" i="2"/>
  <c r="D808" i="2"/>
  <c r="H809" i="2"/>
  <c r="AE793" i="2"/>
  <c r="AE789" i="2"/>
  <c r="G1075" i="2"/>
  <c r="G1076" i="2" s="1"/>
  <c r="Z1074" i="2"/>
  <c r="D809" i="2" l="1"/>
  <c r="E809" i="2" s="1"/>
  <c r="H810" i="2"/>
  <c r="H811" i="2" s="1"/>
  <c r="H812" i="2" s="1"/>
  <c r="AE1074" i="2"/>
  <c r="G1077" i="2"/>
  <c r="G1078" i="2" l="1"/>
  <c r="G1079" i="2" s="1"/>
  <c r="G1080" i="2" s="1"/>
  <c r="Z1077" i="2"/>
  <c r="H813" i="2"/>
  <c r="D812" i="2"/>
  <c r="E810" i="2"/>
  <c r="E811" i="2" s="1"/>
  <c r="E812" i="2" s="1"/>
  <c r="AE1077" i="2" l="1"/>
  <c r="D813" i="2"/>
  <c r="E813" i="2" s="1"/>
  <c r="H814" i="2"/>
  <c r="H815" i="2" s="1"/>
  <c r="H816" i="2" s="1"/>
  <c r="G1081" i="2"/>
  <c r="G1082" i="2" s="1"/>
  <c r="G1083" i="2" s="1"/>
  <c r="D816" i="2" l="1"/>
  <c r="E816" i="2" s="1"/>
  <c r="H817" i="2"/>
  <c r="H818" i="2" s="1"/>
  <c r="H819" i="2" s="1"/>
  <c r="E814" i="2"/>
  <c r="G1084" i="2"/>
  <c r="E815" i="2" l="1"/>
  <c r="G1085" i="2"/>
  <c r="G1086" i="2" s="1"/>
  <c r="Z1084" i="2"/>
  <c r="D819" i="2"/>
  <c r="H820" i="2"/>
  <c r="E817" i="2"/>
  <c r="E818" i="2" s="1"/>
  <c r="E819" i="2" s="1"/>
  <c r="D820" i="2" l="1"/>
  <c r="E820" i="2" s="1"/>
  <c r="H821" i="2"/>
  <c r="H822" i="2" s="1"/>
  <c r="AE1084" i="2"/>
  <c r="G1087" i="2"/>
  <c r="G1088" i="2" l="1"/>
  <c r="G1089" i="2" s="1"/>
  <c r="Z1087" i="2"/>
  <c r="D822" i="2"/>
  <c r="H823" i="2"/>
  <c r="E821" i="2"/>
  <c r="E822" i="2" l="1"/>
  <c r="D823" i="2"/>
  <c r="E823" i="2" s="1"/>
  <c r="H824" i="2"/>
  <c r="H825" i="2" s="1"/>
  <c r="AE1087" i="2"/>
  <c r="G1090" i="2"/>
  <c r="H826" i="2" l="1"/>
  <c r="D825" i="2"/>
  <c r="E824" i="2"/>
  <c r="G1091" i="2"/>
  <c r="G1092" i="2" s="1"/>
  <c r="Z1090" i="2"/>
  <c r="AE1090" i="2" l="1"/>
  <c r="G1093" i="2"/>
  <c r="E825" i="2"/>
  <c r="H827" i="2"/>
  <c r="H828" i="2" s="1"/>
  <c r="H829" i="2" s="1"/>
  <c r="D826" i="2"/>
  <c r="E826" i="2" s="1"/>
  <c r="E827" i="2" l="1"/>
  <c r="G1094" i="2"/>
  <c r="G1095" i="2" s="1"/>
  <c r="G1096" i="2" s="1"/>
  <c r="D829" i="2"/>
  <c r="H830" i="2"/>
  <c r="H831" i="2" l="1"/>
  <c r="H832" i="2" s="1"/>
  <c r="D830" i="2"/>
  <c r="E830" i="2" s="1"/>
  <c r="G1097" i="2"/>
  <c r="E828" i="2"/>
  <c r="E829" i="2" l="1"/>
  <c r="G1098" i="2"/>
  <c r="G1099" i="2" s="1"/>
  <c r="Z1097" i="2"/>
  <c r="E831" i="2"/>
  <c r="H833" i="2"/>
  <c r="H834" i="2" s="1"/>
  <c r="D832" i="2"/>
  <c r="E832" i="2" s="1"/>
  <c r="D834" i="2" l="1"/>
  <c r="E834" i="2" s="1"/>
  <c r="H835" i="2"/>
  <c r="H836" i="2" s="1"/>
  <c r="AE1097" i="2"/>
  <c r="E833" i="2"/>
  <c r="G1100" i="2"/>
  <c r="G1101" i="2" l="1"/>
  <c r="G1102" i="2" s="1"/>
  <c r="Z1100" i="2"/>
  <c r="H837" i="2"/>
  <c r="H838" i="2" s="1"/>
  <c r="D836" i="2"/>
  <c r="E836" i="2" s="1"/>
  <c r="E835" i="2"/>
  <c r="E837" i="2" l="1"/>
  <c r="H839" i="2"/>
  <c r="H840" i="2" s="1"/>
  <c r="D838" i="2"/>
  <c r="E838" i="2" s="1"/>
  <c r="AE1100" i="2"/>
  <c r="G1103" i="2"/>
  <c r="E839" i="2" l="1"/>
  <c r="D840" i="2"/>
  <c r="E840" i="2" s="1"/>
  <c r="H841" i="2"/>
  <c r="H842" i="2" s="1"/>
  <c r="G1104" i="2"/>
  <c r="G1105" i="2" s="1"/>
  <c r="Z1103" i="2"/>
  <c r="AE1103" i="2" l="1"/>
  <c r="G1106" i="2"/>
  <c r="H843" i="2"/>
  <c r="D842" i="2"/>
  <c r="E841" i="2"/>
  <c r="E842" i="2" l="1"/>
  <c r="E843" i="2" s="1"/>
  <c r="H844" i="2"/>
  <c r="D843" i="2"/>
  <c r="G1107" i="2"/>
  <c r="G1108" i="2" s="1"/>
  <c r="G1109" i="2" s="1"/>
  <c r="G1110" i="2" l="1"/>
  <c r="H845" i="2"/>
  <c r="H846" i="2" s="1"/>
  <c r="H847" i="2" s="1"/>
  <c r="D844" i="2"/>
  <c r="E844" i="2" s="1"/>
  <c r="E845" i="2" l="1"/>
  <c r="H848" i="2"/>
  <c r="D847" i="2"/>
  <c r="G1111" i="2"/>
  <c r="G1112" i="2" s="1"/>
  <c r="Z1110" i="2"/>
  <c r="AE1110" i="2" l="1"/>
  <c r="G1113" i="2"/>
  <c r="H849" i="2"/>
  <c r="H850" i="2" s="1"/>
  <c r="H851" i="2" s="1"/>
  <c r="D848" i="2"/>
  <c r="E848" i="2" s="1"/>
  <c r="E846" i="2"/>
  <c r="E847" i="2" l="1"/>
  <c r="E849" i="2"/>
  <c r="D851" i="2"/>
  <c r="E851" i="2" s="1"/>
  <c r="H852" i="2"/>
  <c r="H853" i="2" s="1"/>
  <c r="H854" i="2" s="1"/>
  <c r="G1114" i="2"/>
  <c r="G1115" i="2" s="1"/>
  <c r="Z1113" i="2"/>
  <c r="AE1113" i="2" l="1"/>
  <c r="G1116" i="2"/>
  <c r="D854" i="2"/>
  <c r="H855" i="2"/>
  <c r="E850" i="2"/>
  <c r="E852" i="2"/>
  <c r="E853" i="2" s="1"/>
  <c r="E854" i="2" s="1"/>
  <c r="H856" i="2" l="1"/>
  <c r="H857" i="2" s="1"/>
  <c r="D855" i="2"/>
  <c r="E855" i="2" s="1"/>
  <c r="G1117" i="2"/>
  <c r="G1118" i="2" s="1"/>
  <c r="Z1116" i="2"/>
  <c r="AE1116" i="2" l="1"/>
  <c r="E856" i="2"/>
  <c r="G1119" i="2"/>
  <c r="H858" i="2"/>
  <c r="D857" i="2"/>
  <c r="H859" i="2" l="1"/>
  <c r="H860" i="2" s="1"/>
  <c r="D858" i="2"/>
  <c r="E858" i="2" s="1"/>
  <c r="G1120" i="2"/>
  <c r="G1121" i="2" s="1"/>
  <c r="G1122" i="2" s="1"/>
  <c r="E857" i="2"/>
  <c r="G1123" i="2" l="1"/>
  <c r="E859" i="2"/>
  <c r="D860" i="2"/>
  <c r="H861" i="2"/>
  <c r="H862" i="2" l="1"/>
  <c r="H863" i="2" s="1"/>
  <c r="H864" i="2" s="1"/>
  <c r="D861" i="2"/>
  <c r="E861" i="2" s="1"/>
  <c r="E860" i="2"/>
  <c r="G1124" i="2"/>
  <c r="G1125" i="2" s="1"/>
  <c r="Z1123" i="2"/>
  <c r="E862" i="2" l="1"/>
  <c r="AE1123" i="2"/>
  <c r="G1126" i="2"/>
  <c r="H865" i="2"/>
  <c r="D864" i="2"/>
  <c r="D865" i="2" l="1"/>
  <c r="E865" i="2" s="1"/>
  <c r="H866" i="2"/>
  <c r="H867" i="2" s="1"/>
  <c r="G1127" i="2"/>
  <c r="G1128" i="2" s="1"/>
  <c r="Z1126" i="2"/>
  <c r="E863" i="2"/>
  <c r="E864" i="2" l="1"/>
  <c r="G1129" i="2"/>
  <c r="AE1126" i="2"/>
  <c r="H868" i="2"/>
  <c r="H869" i="2" s="1"/>
  <c r="D867" i="2"/>
  <c r="E867" i="2" s="1"/>
  <c r="E866" i="2"/>
  <c r="E868" i="2" l="1"/>
  <c r="H870" i="2"/>
  <c r="H871" i="2" s="1"/>
  <c r="D869" i="2"/>
  <c r="E869" i="2" s="1"/>
  <c r="G1130" i="2"/>
  <c r="G1131" i="2" s="1"/>
  <c r="Z1129" i="2"/>
  <c r="G1132" i="2" l="1"/>
  <c r="E870" i="2"/>
  <c r="D871" i="2"/>
  <c r="E871" i="2" s="1"/>
  <c r="H872" i="2"/>
  <c r="H873" i="2" s="1"/>
  <c r="AE1129" i="2"/>
  <c r="H874" i="2" l="1"/>
  <c r="H875" i="2" s="1"/>
  <c r="D873" i="2"/>
  <c r="E873" i="2" s="1"/>
  <c r="E872" i="2"/>
  <c r="G1133" i="2"/>
  <c r="G1134" i="2" s="1"/>
  <c r="G1135" i="2" s="1"/>
  <c r="G1136" i="2" l="1"/>
  <c r="E874" i="2"/>
  <c r="H876" i="2"/>
  <c r="H877" i="2" s="1"/>
  <c r="D875" i="2"/>
  <c r="E875" i="2" s="1"/>
  <c r="D877" i="2" l="1"/>
  <c r="H878" i="2"/>
  <c r="E876" i="2"/>
  <c r="G1137" i="2"/>
  <c r="G1138" i="2" l="1"/>
  <c r="G1139" i="2" s="1"/>
  <c r="Z1137" i="2"/>
  <c r="E877" i="2"/>
  <c r="E878" i="2" s="1"/>
  <c r="H879" i="2"/>
  <c r="D878" i="2"/>
  <c r="H880" i="2" l="1"/>
  <c r="H881" i="2" s="1"/>
  <c r="H882" i="2" s="1"/>
  <c r="D879" i="2"/>
  <c r="E879" i="2" s="1"/>
  <c r="AE1137" i="2"/>
  <c r="G1140" i="2"/>
  <c r="Z1136" i="2"/>
  <c r="AE1136" i="2" l="1"/>
  <c r="E880" i="2"/>
  <c r="G1141" i="2"/>
  <c r="D882" i="2"/>
  <c r="H883" i="2"/>
  <c r="D883" i="2" l="1"/>
  <c r="E883" i="2" s="1"/>
  <c r="H884" i="2"/>
  <c r="H885" i="2" s="1"/>
  <c r="H886" i="2" s="1"/>
  <c r="E881" i="2"/>
  <c r="G1142" i="2"/>
  <c r="G1143" i="2" s="1"/>
  <c r="Z1141" i="2"/>
  <c r="E882" i="2" l="1"/>
  <c r="AE1141" i="2"/>
  <c r="G1144" i="2"/>
  <c r="Z1140" i="2"/>
  <c r="H887" i="2"/>
  <c r="H888" i="2" s="1"/>
  <c r="H889" i="2" s="1"/>
  <c r="D886" i="2"/>
  <c r="E886" i="2" s="1"/>
  <c r="E884" i="2"/>
  <c r="H890" i="2" l="1"/>
  <c r="D889" i="2"/>
  <c r="AE1140" i="2"/>
  <c r="E885" i="2"/>
  <c r="G1145" i="2"/>
  <c r="E887" i="2"/>
  <c r="E888" i="2" s="1"/>
  <c r="E889" i="2" s="1"/>
  <c r="G1146" i="2" l="1"/>
  <c r="G1147" i="2" s="1"/>
  <c r="Z1145" i="2"/>
  <c r="D890" i="2"/>
  <c r="E890" i="2" s="1"/>
  <c r="H891" i="2"/>
  <c r="H892" i="2" s="1"/>
  <c r="H893" i="2" l="1"/>
  <c r="D892" i="2"/>
  <c r="E891" i="2"/>
  <c r="AE1145" i="2"/>
  <c r="G1148" i="2"/>
  <c r="Z1144" i="2"/>
  <c r="AE1144" i="2" l="1"/>
  <c r="G1149" i="2"/>
  <c r="E892" i="2"/>
  <c r="H894" i="2"/>
  <c r="H895" i="2" s="1"/>
  <c r="D893" i="2"/>
  <c r="E893" i="2" s="1"/>
  <c r="E894" i="2" l="1"/>
  <c r="G1150" i="2"/>
  <c r="G1151" i="2" s="1"/>
  <c r="Z1149" i="2"/>
  <c r="H896" i="2"/>
  <c r="D895" i="2"/>
  <c r="D896" i="2" l="1"/>
  <c r="E896" i="2" s="1"/>
  <c r="H897" i="2"/>
  <c r="H898" i="2" s="1"/>
  <c r="H899" i="2" s="1"/>
  <c r="AE1149" i="2"/>
  <c r="G1152" i="2"/>
  <c r="Z1148" i="2"/>
  <c r="E895" i="2"/>
  <c r="AE1148" i="2" l="1"/>
  <c r="G1153" i="2"/>
  <c r="H900" i="2"/>
  <c r="D899" i="2"/>
  <c r="E897" i="2"/>
  <c r="G1154" i="2" l="1"/>
  <c r="G1155" i="2" s="1"/>
  <c r="Z1153" i="2"/>
  <c r="E898" i="2"/>
  <c r="H901" i="2"/>
  <c r="H902" i="2" s="1"/>
  <c r="D900" i="2"/>
  <c r="E900" i="2" s="1"/>
  <c r="D902" i="2" l="1"/>
  <c r="E902" i="2" s="1"/>
  <c r="H903" i="2"/>
  <c r="H904" i="2" s="1"/>
  <c r="E899" i="2"/>
  <c r="AE1153" i="2"/>
  <c r="E901" i="2"/>
  <c r="G1156" i="2"/>
  <c r="Z1152" i="2"/>
  <c r="G1157" i="2" l="1"/>
  <c r="AE1152" i="2"/>
  <c r="H905" i="2"/>
  <c r="H906" i="2" s="1"/>
  <c r="D904" i="2"/>
  <c r="E904" i="2" s="1"/>
  <c r="E903" i="2"/>
  <c r="H907" i="2" l="1"/>
  <c r="H908" i="2" s="1"/>
  <c r="D906" i="2"/>
  <c r="E906" i="2" s="1"/>
  <c r="E905" i="2"/>
  <c r="G1158" i="2"/>
  <c r="G1159" i="2" s="1"/>
  <c r="Z1157" i="2"/>
  <c r="AE1157" i="2" l="1"/>
  <c r="G1160" i="2"/>
  <c r="Z1156" i="2"/>
  <c r="E907" i="2"/>
  <c r="D908" i="2"/>
  <c r="E908" i="2" s="1"/>
  <c r="H909" i="2"/>
  <c r="H910" i="2" s="1"/>
  <c r="AE1156" i="2" l="1"/>
  <c r="H911" i="2"/>
  <c r="H912" i="2" s="1"/>
  <c r="D910" i="2"/>
  <c r="E910" i="2" s="1"/>
  <c r="G1161" i="2"/>
  <c r="E909" i="2"/>
  <c r="G1162" i="2" l="1"/>
  <c r="H913" i="2"/>
  <c r="D912" i="2"/>
  <c r="E911" i="2"/>
  <c r="D913" i="2" l="1"/>
  <c r="H914" i="2"/>
  <c r="E912" i="2"/>
  <c r="E913" i="2" s="1"/>
  <c r="G1163" i="2"/>
  <c r="G1164" i="2" s="1"/>
  <c r="Z1162" i="2"/>
  <c r="G1165" i="2" l="1"/>
  <c r="AE1162" i="2"/>
  <c r="D914" i="2"/>
  <c r="E914" i="2" s="1"/>
  <c r="H915" i="2"/>
  <c r="H916" i="2" s="1"/>
  <c r="H917" i="2" s="1"/>
  <c r="H918" i="2" l="1"/>
  <c r="D917" i="2"/>
  <c r="E915" i="2"/>
  <c r="G1166" i="2"/>
  <c r="G1167" i="2" s="1"/>
  <c r="Z1165" i="2"/>
  <c r="AE1165" i="2" l="1"/>
  <c r="G1168" i="2"/>
  <c r="E916" i="2"/>
  <c r="D918" i="2"/>
  <c r="E918" i="2" s="1"/>
  <c r="H919" i="2"/>
  <c r="H920" i="2" s="1"/>
  <c r="H921" i="2" s="1"/>
  <c r="H922" i="2" l="1"/>
  <c r="H923" i="2" s="1"/>
  <c r="H924" i="2" s="1"/>
  <c r="D921" i="2"/>
  <c r="E921" i="2" s="1"/>
  <c r="E917" i="2"/>
  <c r="E919" i="2"/>
  <c r="G1169" i="2"/>
  <c r="G1170" i="2" s="1"/>
  <c r="Z1168" i="2"/>
  <c r="AE1168" i="2" l="1"/>
  <c r="E922" i="2"/>
  <c r="E923" i="2" s="1"/>
  <c r="E924" i="2" s="1"/>
  <c r="G1171" i="2"/>
  <c r="Z1160" i="2"/>
  <c r="G60" i="70" s="1"/>
  <c r="E920" i="2"/>
  <c r="H925" i="2"/>
  <c r="D924" i="2"/>
  <c r="H60" i="70" l="1"/>
  <c r="K60" i="70"/>
  <c r="AE1160" i="2"/>
  <c r="D925" i="2"/>
  <c r="E925" i="2" s="1"/>
  <c r="H926" i="2"/>
  <c r="H927" i="2" s="1"/>
  <c r="G1172" i="2"/>
  <c r="E926" i="2" l="1"/>
  <c r="G1173" i="2"/>
  <c r="D927" i="2"/>
  <c r="H928" i="2"/>
  <c r="G1174" i="2" l="1"/>
  <c r="G1175" i="2" s="1"/>
  <c r="D928" i="2"/>
  <c r="E928" i="2" s="1"/>
  <c r="H929" i="2"/>
  <c r="H930" i="2" s="1"/>
  <c r="E927" i="2"/>
  <c r="H931" i="2" l="1"/>
  <c r="D930" i="2"/>
  <c r="E929" i="2"/>
  <c r="G1176" i="2"/>
  <c r="E930" i="2" l="1"/>
  <c r="E931" i="2" s="1"/>
  <c r="G1177" i="2"/>
  <c r="Z1173" i="2"/>
  <c r="D931" i="2"/>
  <c r="H932" i="2"/>
  <c r="AE1173" i="2" l="1"/>
  <c r="G1178" i="2"/>
  <c r="G1179" i="2" s="1"/>
  <c r="H933" i="2"/>
  <c r="H934" i="2" s="1"/>
  <c r="H935" i="2" s="1"/>
  <c r="D932" i="2"/>
  <c r="E932" i="2" s="1"/>
  <c r="E933" i="2" l="1"/>
  <c r="G1180" i="2"/>
  <c r="H936" i="2"/>
  <c r="D935" i="2"/>
  <c r="H937" i="2" l="1"/>
  <c r="H938" i="2" s="1"/>
  <c r="D936" i="2"/>
  <c r="E936" i="2" s="1"/>
  <c r="G1181" i="2"/>
  <c r="G1182" i="2" s="1"/>
  <c r="G1183" i="2" s="1"/>
  <c r="G1184" i="2" s="1"/>
  <c r="G1185" i="2" s="1"/>
  <c r="G1186" i="2" s="1"/>
  <c r="G1187" i="2" s="1"/>
  <c r="Z1177" i="2"/>
  <c r="E934" i="2"/>
  <c r="E935" i="2" l="1"/>
  <c r="AE1177" i="2"/>
  <c r="G1188" i="2"/>
  <c r="G1189" i="2" s="1"/>
  <c r="G1190" i="2" s="1"/>
  <c r="G1191" i="2" s="1"/>
  <c r="Z1187" i="2"/>
  <c r="E937" i="2"/>
  <c r="D938" i="2"/>
  <c r="E938" i="2" s="1"/>
  <c r="H939" i="2"/>
  <c r="H940" i="2" s="1"/>
  <c r="AE1187" i="2" l="1"/>
  <c r="G1192" i="2"/>
  <c r="D940" i="2"/>
  <c r="E940" i="2" s="1"/>
  <c r="H941" i="2"/>
  <c r="H942" i="2" s="1"/>
  <c r="E939" i="2"/>
  <c r="E941" i="2" l="1"/>
  <c r="G1193" i="2"/>
  <c r="H943" i="2"/>
  <c r="H944" i="2" s="1"/>
  <c r="D942" i="2"/>
  <c r="E942" i="2" s="1"/>
  <c r="E943" i="2" l="1"/>
  <c r="H945" i="2"/>
  <c r="H946" i="2" s="1"/>
  <c r="D944" i="2"/>
  <c r="E944" i="2" s="1"/>
  <c r="G1194" i="2"/>
  <c r="G1195" i="2" s="1"/>
  <c r="E945" i="2" l="1"/>
  <c r="D946" i="2"/>
  <c r="E946" i="2" s="1"/>
  <c r="H947" i="2"/>
  <c r="H948" i="2" s="1"/>
  <c r="G1196" i="2"/>
  <c r="G1197" i="2" s="1"/>
  <c r="G1198" i="2" l="1"/>
  <c r="Z1193" i="2"/>
  <c r="H949" i="2"/>
  <c r="D948" i="2"/>
  <c r="E947" i="2"/>
  <c r="E948" i="2" l="1"/>
  <c r="E949" i="2" s="1"/>
  <c r="H950" i="2"/>
  <c r="D949" i="2"/>
  <c r="AE1193" i="2"/>
  <c r="G1199" i="2"/>
  <c r="Z1192" i="2"/>
  <c r="G1200" i="2" l="1"/>
  <c r="AE1192" i="2"/>
  <c r="H951" i="2"/>
  <c r="H952" i="2" s="1"/>
  <c r="H953" i="2" s="1"/>
  <c r="D950" i="2"/>
  <c r="E950" i="2" s="1"/>
  <c r="E951" i="2" l="1"/>
  <c r="D953" i="2"/>
  <c r="H954" i="2"/>
  <c r="G1201" i="2"/>
  <c r="G1202" i="2" s="1"/>
  <c r="Z1200" i="2"/>
  <c r="AE1200" i="2" l="1"/>
  <c r="G1203" i="2"/>
  <c r="Z1199" i="2"/>
  <c r="D954" i="2"/>
  <c r="E954" i="2" s="1"/>
  <c r="H955" i="2"/>
  <c r="H956" i="2" s="1"/>
  <c r="H957" i="2" s="1"/>
  <c r="E952" i="2"/>
  <c r="E953" i="2" l="1"/>
  <c r="H958" i="2"/>
  <c r="D957" i="2"/>
  <c r="E955" i="2"/>
  <c r="AE1199" i="2"/>
  <c r="G1204" i="2"/>
  <c r="E956" i="2" l="1"/>
  <c r="H959" i="2"/>
  <c r="H960" i="2" s="1"/>
  <c r="D958" i="2"/>
  <c r="E958" i="2" s="1"/>
  <c r="G1205" i="2"/>
  <c r="G1206" i="2" s="1"/>
  <c r="E959" i="2" l="1"/>
  <c r="D960" i="2"/>
  <c r="H961" i="2"/>
  <c r="G1207" i="2"/>
  <c r="G1208" i="2" s="1"/>
  <c r="E957" i="2"/>
  <c r="G1209" i="2" l="1"/>
  <c r="Z1204" i="2"/>
  <c r="H962" i="2"/>
  <c r="H963" i="2" s="1"/>
  <c r="H964" i="2" s="1"/>
  <c r="D961" i="2"/>
  <c r="E961" i="2" s="1"/>
  <c r="E960" i="2"/>
  <c r="E962" i="2" l="1"/>
  <c r="H965" i="2"/>
  <c r="D964" i="2"/>
  <c r="AE1204" i="2"/>
  <c r="G1210" i="2"/>
  <c r="Z1203" i="2"/>
  <c r="AE1203" i="2" l="1"/>
  <c r="D965" i="2"/>
  <c r="E965" i="2" s="1"/>
  <c r="H966" i="2"/>
  <c r="H967" i="2" s="1"/>
  <c r="G1211" i="2"/>
  <c r="E963" i="2"/>
  <c r="E964" i="2" l="1"/>
  <c r="G1212" i="2"/>
  <c r="H968" i="2"/>
  <c r="H969" i="2" s="1"/>
  <c r="D967" i="2"/>
  <c r="E967" i="2" s="1"/>
  <c r="E966" i="2"/>
  <c r="E968" i="2" l="1"/>
  <c r="G1213" i="2"/>
  <c r="G1214" i="2" s="1"/>
  <c r="H970" i="2"/>
  <c r="H971" i="2" s="1"/>
  <c r="D969" i="2"/>
  <c r="E969" i="2" s="1"/>
  <c r="E970" i="2" l="1"/>
  <c r="D971" i="2"/>
  <c r="E971" i="2" s="1"/>
  <c r="H972" i="2"/>
  <c r="H973" i="2" s="1"/>
  <c r="G1215" i="2"/>
  <c r="G1216" i="2" s="1"/>
  <c r="G1217" i="2" l="1"/>
  <c r="G1218" i="2" s="1"/>
  <c r="H974" i="2"/>
  <c r="D973" i="2"/>
  <c r="E972" i="2"/>
  <c r="Y971" i="2"/>
  <c r="Z971" i="2" s="1"/>
  <c r="Y967" i="2"/>
  <c r="Z967" i="2" s="1"/>
  <c r="Y954" i="2"/>
  <c r="Z954" i="2" s="1"/>
  <c r="Y958" i="2"/>
  <c r="Z958" i="2" s="1"/>
  <c r="AE954" i="2" l="1"/>
  <c r="AE967" i="2"/>
  <c r="AE971" i="2"/>
  <c r="E973" i="2"/>
  <c r="E974" i="2" s="1"/>
  <c r="E975" i="2" s="1"/>
  <c r="Y969" i="2"/>
  <c r="Z969" i="2" s="1"/>
  <c r="Y965" i="2"/>
  <c r="Z965" i="2" s="1"/>
  <c r="Y961" i="2"/>
  <c r="Z961" i="2" s="1"/>
  <c r="H975" i="2"/>
  <c r="D974" i="2"/>
  <c r="AE958" i="2"/>
  <c r="G1219" i="2"/>
  <c r="G1220" i="2" s="1"/>
  <c r="G1221" i="2" s="1"/>
  <c r="G1222" i="2" s="1"/>
  <c r="G1223" i="2" s="1"/>
  <c r="G1224" i="2" s="1"/>
  <c r="AE969" i="2" l="1"/>
  <c r="AE965" i="2"/>
  <c r="G1225" i="2"/>
  <c r="G1226" i="2" s="1"/>
  <c r="H976" i="2"/>
  <c r="D975" i="2"/>
  <c r="AE961" i="2"/>
  <c r="G1227" i="2" l="1"/>
  <c r="H977" i="2"/>
  <c r="H978" i="2" s="1"/>
  <c r="D976" i="2"/>
  <c r="E976" i="2" s="1"/>
  <c r="E977" i="2" l="1"/>
  <c r="E978" i="2" s="1"/>
  <c r="D978" i="2"/>
  <c r="H979" i="2"/>
  <c r="G1228" i="2"/>
  <c r="G1229" i="2" s="1"/>
  <c r="G1230" i="2" s="1"/>
  <c r="Z1224" i="2"/>
  <c r="G1231" i="2" l="1"/>
  <c r="G1232" i="2" s="1"/>
  <c r="G1233" i="2" s="1"/>
  <c r="G1234" i="2" s="1"/>
  <c r="Z1230" i="2"/>
  <c r="AE1224" i="2"/>
  <c r="E13" i="72"/>
  <c r="H980" i="2"/>
  <c r="H981" i="2" s="1"/>
  <c r="D979" i="2"/>
  <c r="E979" i="2" s="1"/>
  <c r="E980" i="2" l="1"/>
  <c r="AE1230" i="2"/>
  <c r="E15" i="72"/>
  <c r="H982" i="2"/>
  <c r="D981" i="2"/>
  <c r="G1235" i="2"/>
  <c r="G1236" i="2" s="1"/>
  <c r="G1237" i="2" s="1"/>
  <c r="G1238" i="2" s="1"/>
  <c r="G1239" i="2" s="1"/>
  <c r="G1240" i="2" s="1"/>
  <c r="G1241" i="2" s="1"/>
  <c r="G1242" i="2" s="1"/>
  <c r="G1243" i="2" s="1"/>
  <c r="Z1234" i="2"/>
  <c r="G1244" i="2" l="1"/>
  <c r="AE1234" i="2"/>
  <c r="E17" i="72"/>
  <c r="H983" i="2"/>
  <c r="H984" i="2" s="1"/>
  <c r="D982" i="2"/>
  <c r="E982" i="2" s="1"/>
  <c r="E981" i="2"/>
  <c r="D984" i="2" l="1"/>
  <c r="H985" i="2"/>
  <c r="E983" i="2"/>
  <c r="G1245" i="2"/>
  <c r="G1246" i="2" s="1"/>
  <c r="E984" i="2" l="1"/>
  <c r="G1247" i="2"/>
  <c r="G1248" i="2" s="1"/>
  <c r="H986" i="2"/>
  <c r="H987" i="2" s="1"/>
  <c r="D985" i="2"/>
  <c r="E985" i="2" s="1"/>
  <c r="E986" i="2" l="1"/>
  <c r="D987" i="2"/>
  <c r="H988" i="2"/>
  <c r="G1249" i="2"/>
  <c r="G1250" i="2" s="1"/>
  <c r="G1251" i="2" l="1"/>
  <c r="G1252" i="2" s="1"/>
  <c r="H989" i="2"/>
  <c r="H990" i="2" s="1"/>
  <c r="D988" i="2"/>
  <c r="E988" i="2" s="1"/>
  <c r="E987" i="2"/>
  <c r="E989" i="2" l="1"/>
  <c r="D990" i="2"/>
  <c r="H991" i="2"/>
  <c r="G1253" i="2"/>
  <c r="G1254" i="2" s="1"/>
  <c r="G1255" i="2" s="1"/>
  <c r="G1256" i="2" s="1"/>
  <c r="Z1244" i="2"/>
  <c r="G1257" i="2" l="1"/>
  <c r="G1258" i="2" s="1"/>
  <c r="G1259" i="2" s="1"/>
  <c r="G1260" i="2" s="1"/>
  <c r="G1261" i="2" s="1"/>
  <c r="G1262" i="2" s="1"/>
  <c r="Z1256" i="2"/>
  <c r="AE1244" i="2"/>
  <c r="E23" i="72"/>
  <c r="H992" i="2"/>
  <c r="H993" i="2" s="1"/>
  <c r="D991" i="2"/>
  <c r="E991" i="2" s="1"/>
  <c r="E990" i="2"/>
  <c r="E992" i="2" l="1"/>
  <c r="D993" i="2"/>
  <c r="H994" i="2"/>
  <c r="AE1256" i="2"/>
  <c r="E28" i="72"/>
  <c r="G1263" i="2"/>
  <c r="G1264" i="2" s="1"/>
  <c r="G1265" i="2" s="1"/>
  <c r="G1266" i="2" s="1"/>
  <c r="Z1262" i="2"/>
  <c r="AE1262" i="2" l="1"/>
  <c r="E30" i="72"/>
  <c r="G1267" i="2"/>
  <c r="G1268" i="2" s="1"/>
  <c r="G1269" i="2" s="1"/>
  <c r="G1270" i="2" s="1"/>
  <c r="G1271" i="2" s="1"/>
  <c r="G1272" i="2" s="1"/>
  <c r="G1273" i="2" s="1"/>
  <c r="G1274" i="2" s="1"/>
  <c r="G1275" i="2" s="1"/>
  <c r="Z1266" i="2"/>
  <c r="D994" i="2"/>
  <c r="H995" i="2"/>
  <c r="E993" i="2"/>
  <c r="E994" i="2" s="1"/>
  <c r="H996" i="2" l="1"/>
  <c r="H997" i="2" s="1"/>
  <c r="D995" i="2"/>
  <c r="E995" i="2" s="1"/>
  <c r="AE1266" i="2"/>
  <c r="E32" i="72"/>
  <c r="G1276" i="2"/>
  <c r="G1277" i="2" l="1"/>
  <c r="G1278" i="2" s="1"/>
  <c r="E996" i="2"/>
  <c r="D997" i="2"/>
  <c r="H998" i="2"/>
  <c r="H999" i="2" l="1"/>
  <c r="H1000" i="2" s="1"/>
  <c r="D998" i="2"/>
  <c r="E998" i="2" s="1"/>
  <c r="E997" i="2"/>
  <c r="G1279" i="2"/>
  <c r="G1280" i="2" s="1"/>
  <c r="G1281" i="2" s="1"/>
  <c r="G1282" i="2" s="1"/>
  <c r="G1283" i="2" s="1"/>
  <c r="G1284" i="2" s="1"/>
  <c r="G1285" i="2" s="1"/>
  <c r="G1286" i="2" s="1"/>
  <c r="G1287" i="2" s="1"/>
  <c r="G1288" i="2" s="1"/>
  <c r="G1289" i="2" l="1"/>
  <c r="G1290" i="2" s="1"/>
  <c r="G1291" i="2" s="1"/>
  <c r="G1292" i="2" s="1"/>
  <c r="G1293" i="2" s="1"/>
  <c r="G1294" i="2" s="1"/>
  <c r="Z1288" i="2"/>
  <c r="E999" i="2"/>
  <c r="D1000" i="2"/>
  <c r="H1001" i="2"/>
  <c r="H1002" i="2" l="1"/>
  <c r="H1003" i="2" s="1"/>
  <c r="D1001" i="2"/>
  <c r="E1001" i="2" s="1"/>
  <c r="E1000" i="2"/>
  <c r="AE1288" i="2"/>
  <c r="E43" i="72"/>
  <c r="G1295" i="2"/>
  <c r="G1296" i="2" s="1"/>
  <c r="G1297" i="2" s="1"/>
  <c r="G1298" i="2" s="1"/>
  <c r="Z1294" i="2"/>
  <c r="AE1294" i="2" l="1"/>
  <c r="E45" i="72"/>
  <c r="E1002" i="2"/>
  <c r="G1299" i="2"/>
  <c r="G1300" i="2" s="1"/>
  <c r="G1301" i="2" s="1"/>
  <c r="G1302" i="2" s="1"/>
  <c r="G1303" i="2" s="1"/>
  <c r="G1304" i="2" s="1"/>
  <c r="G1305" i="2" s="1"/>
  <c r="G1306" i="2" s="1"/>
  <c r="G1307" i="2" s="1"/>
  <c r="Z1298" i="2"/>
  <c r="D1003" i="2"/>
  <c r="H1004" i="2"/>
  <c r="H1005" i="2" l="1"/>
  <c r="H1006" i="2" s="1"/>
  <c r="D1004" i="2"/>
  <c r="E1004" i="2" s="1"/>
  <c r="G1308" i="2"/>
  <c r="E1003" i="2"/>
  <c r="AE1298" i="2"/>
  <c r="E47" i="72"/>
  <c r="G1309" i="2" l="1"/>
  <c r="G1310" i="2" s="1"/>
  <c r="E1005" i="2"/>
  <c r="D1006" i="2"/>
  <c r="H1007" i="2"/>
  <c r="E1006" i="2" l="1"/>
  <c r="H1008" i="2"/>
  <c r="H1009" i="2" s="1"/>
  <c r="D1007" i="2"/>
  <c r="E1007" i="2" s="1"/>
  <c r="G1311" i="2"/>
  <c r="G1312" i="2" s="1"/>
  <c r="E1008" i="2" l="1"/>
  <c r="G1313" i="2"/>
  <c r="G1314" i="2" s="1"/>
  <c r="G1315" i="2" s="1"/>
  <c r="G1316" i="2" s="1"/>
  <c r="G1317" i="2" s="1"/>
  <c r="G1318" i="2" s="1"/>
  <c r="G1319" i="2" s="1"/>
  <c r="G1320" i="2" s="1"/>
  <c r="Z1308" i="2"/>
  <c r="D1009" i="2"/>
  <c r="H1010" i="2"/>
  <c r="H1011" i="2" l="1"/>
  <c r="H1012" i="2" s="1"/>
  <c r="D1010" i="2"/>
  <c r="E1010" i="2" s="1"/>
  <c r="AE1308" i="2"/>
  <c r="E53" i="72"/>
  <c r="G1321" i="2"/>
  <c r="G1322" i="2" s="1"/>
  <c r="G1323" i="2" s="1"/>
  <c r="G1324" i="2" s="1"/>
  <c r="G1325" i="2" s="1"/>
  <c r="G1326" i="2" s="1"/>
  <c r="G1327" i="2" s="1"/>
  <c r="G1328" i="2" s="1"/>
  <c r="G1329" i="2" s="1"/>
  <c r="G1330" i="2" s="1"/>
  <c r="G1331" i="2" s="1"/>
  <c r="G1332" i="2" s="1"/>
  <c r="Z1320" i="2"/>
  <c r="E1009" i="2"/>
  <c r="AE1320" i="2" l="1"/>
  <c r="E58" i="72"/>
  <c r="G1333" i="2"/>
  <c r="G1334" i="2" s="1"/>
  <c r="G1335" i="2" s="1"/>
  <c r="G1336" i="2" s="1"/>
  <c r="Z1332" i="2"/>
  <c r="E1011" i="2"/>
  <c r="H1013" i="2"/>
  <c r="D1012" i="2"/>
  <c r="D1013" i="2" l="1"/>
  <c r="H1014" i="2"/>
  <c r="G1337" i="2"/>
  <c r="G1338" i="2" s="1"/>
  <c r="G1339" i="2" s="1"/>
  <c r="G1340" i="2" s="1"/>
  <c r="G1341" i="2" s="1"/>
  <c r="G1342" i="2" s="1"/>
  <c r="G1343" i="2" s="1"/>
  <c r="G1344" i="2" s="1"/>
  <c r="G1345" i="2" s="1"/>
  <c r="Z1336" i="2"/>
  <c r="E1012" i="2"/>
  <c r="E1013" i="2" s="1"/>
  <c r="AE1332" i="2"/>
  <c r="E61" i="72"/>
  <c r="AE1336" i="2" l="1"/>
  <c r="E63" i="72"/>
  <c r="G1346" i="2"/>
  <c r="H1015" i="2"/>
  <c r="H1016" i="2" s="1"/>
  <c r="D1014" i="2"/>
  <c r="E1014" i="2" s="1"/>
  <c r="E1015" i="2" l="1"/>
  <c r="G1347" i="2"/>
  <c r="G1348" i="2" s="1"/>
  <c r="D1016" i="2"/>
  <c r="H1017" i="2"/>
  <c r="H1018" i="2" l="1"/>
  <c r="H1019" i="2" s="1"/>
  <c r="D1017" i="2"/>
  <c r="E1017" i="2" s="1"/>
  <c r="G1349" i="2"/>
  <c r="G1350" i="2" s="1"/>
  <c r="E1016" i="2"/>
  <c r="G1351" i="2" l="1"/>
  <c r="G1352" i="2" s="1"/>
  <c r="E1018" i="2"/>
  <c r="D1019" i="2"/>
  <c r="H1020" i="2"/>
  <c r="H1021" i="2" l="1"/>
  <c r="H1022" i="2" s="1"/>
  <c r="D1020" i="2"/>
  <c r="E1020" i="2" s="1"/>
  <c r="E1019" i="2"/>
  <c r="G1353" i="2"/>
  <c r="G1354" i="2" s="1"/>
  <c r="G1355" i="2" l="1"/>
  <c r="E1021" i="2"/>
  <c r="D1022" i="2"/>
  <c r="H1023" i="2"/>
  <c r="H1024" i="2" l="1"/>
  <c r="H1025" i="2" s="1"/>
  <c r="D1023" i="2"/>
  <c r="E1023" i="2" s="1"/>
  <c r="E1022" i="2"/>
  <c r="G1356" i="2"/>
  <c r="G1357" i="2" s="1"/>
  <c r="G1358" i="2" s="1"/>
  <c r="G1359" i="2" l="1"/>
  <c r="G1360" i="2" s="1"/>
  <c r="G1361" i="2" s="1"/>
  <c r="G1362" i="2" s="1"/>
  <c r="Z1358" i="2"/>
  <c r="E1024" i="2"/>
  <c r="D1025" i="2"/>
  <c r="H1026" i="2"/>
  <c r="E1025" i="2" l="1"/>
  <c r="AE1358" i="2"/>
  <c r="E74" i="72"/>
  <c r="H1027" i="2"/>
  <c r="H1028" i="2" s="1"/>
  <c r="D1026" i="2"/>
  <c r="E1026" i="2" s="1"/>
  <c r="G1363" i="2"/>
  <c r="G1364" i="2" s="1"/>
  <c r="G1365" i="2" s="1"/>
  <c r="G1366" i="2" s="1"/>
  <c r="G1367" i="2" s="1"/>
  <c r="G1368" i="2" s="1"/>
  <c r="G1369" i="2" s="1"/>
  <c r="Z1362" i="2"/>
  <c r="D1028" i="2" l="1"/>
  <c r="H1029" i="2"/>
  <c r="G1370" i="2"/>
  <c r="AE1362" i="2"/>
  <c r="E76" i="72"/>
  <c r="E1027" i="2"/>
  <c r="E1028" i="2" l="1"/>
  <c r="G1371" i="2"/>
  <c r="H1030" i="2"/>
  <c r="H1031" i="2" s="1"/>
  <c r="D1029" i="2"/>
  <c r="E1029" i="2" s="1"/>
  <c r="D1031" i="2" l="1"/>
  <c r="H1032" i="2"/>
  <c r="G1372" i="2"/>
  <c r="G1373" i="2" s="1"/>
  <c r="E1030" i="2"/>
  <c r="E1031" i="2" l="1"/>
  <c r="E1032" i="2" s="1"/>
  <c r="G1374" i="2"/>
  <c r="G1375" i="2" s="1"/>
  <c r="D1032" i="2"/>
  <c r="H1033" i="2"/>
  <c r="G1376" i="2" l="1"/>
  <c r="G1377" i="2" s="1"/>
  <c r="H1034" i="2"/>
  <c r="H1035" i="2" s="1"/>
  <c r="D1033" i="2"/>
  <c r="E1033" i="2" s="1"/>
  <c r="H1036" i="2" l="1"/>
  <c r="D1035" i="2"/>
  <c r="E1034" i="2"/>
  <c r="G1378" i="2"/>
  <c r="G1379" i="2" l="1"/>
  <c r="E1035" i="2"/>
  <c r="H1037" i="2"/>
  <c r="H1038" i="2" s="1"/>
  <c r="D1036" i="2"/>
  <c r="E1036" i="2" s="1"/>
  <c r="E1037" i="2" l="1"/>
  <c r="D1038" i="2"/>
  <c r="H1039" i="2"/>
  <c r="G1380" i="2"/>
  <c r="H1040" i="2" l="1"/>
  <c r="H1041" i="2" s="1"/>
  <c r="D1039" i="2"/>
  <c r="E1039" i="2" s="1"/>
  <c r="G1381" i="2"/>
  <c r="Z1371" i="2"/>
  <c r="E1038" i="2"/>
  <c r="AE1371" i="2" l="1"/>
  <c r="E1040" i="2"/>
  <c r="G1382" i="2"/>
  <c r="G1383" i="2" s="1"/>
  <c r="H1042" i="2"/>
  <c r="D1041" i="2"/>
  <c r="H1043" i="2" l="1"/>
  <c r="H1044" i="2" s="1"/>
  <c r="D1042" i="2"/>
  <c r="E1042" i="2" s="1"/>
  <c r="E1041" i="2"/>
  <c r="G1384" i="2"/>
  <c r="G1385" i="2" s="1"/>
  <c r="G1386" i="2" l="1"/>
  <c r="Z1381" i="2"/>
  <c r="E1043" i="2"/>
  <c r="D1044" i="2"/>
  <c r="H1045" i="2"/>
  <c r="H1046" i="2" l="1"/>
  <c r="H1047" i="2" s="1"/>
  <c r="D1045" i="2"/>
  <c r="E1045" i="2" s="1"/>
  <c r="E1044" i="2"/>
  <c r="AE1381" i="2"/>
  <c r="G1387" i="2"/>
  <c r="E1046" i="2" l="1"/>
  <c r="G1388" i="2"/>
  <c r="G1389" i="2" s="1"/>
  <c r="H1048" i="2"/>
  <c r="D1047" i="2"/>
  <c r="H1049" i="2" l="1"/>
  <c r="H1050" i="2" s="1"/>
  <c r="D1048" i="2"/>
  <c r="E1048" i="2" s="1"/>
  <c r="G1390" i="2"/>
  <c r="G1391" i="2" s="1"/>
  <c r="E1047" i="2"/>
  <c r="G1392" i="2" l="1"/>
  <c r="G1393" i="2" s="1"/>
  <c r="E1049" i="2"/>
  <c r="H1051" i="2"/>
  <c r="D1050" i="2"/>
  <c r="D1051" i="2" l="1"/>
  <c r="H1052" i="2"/>
  <c r="E1050" i="2"/>
  <c r="E1051" i="2" s="1"/>
  <c r="G1394" i="2"/>
  <c r="G1395" i="2" s="1"/>
  <c r="G1396" i="2" s="1"/>
  <c r="G1397" i="2" s="1"/>
  <c r="G1398" i="2" l="1"/>
  <c r="G1399" i="2" s="1"/>
  <c r="H1053" i="2"/>
  <c r="H1054" i="2" s="1"/>
  <c r="D1052" i="2"/>
  <c r="E1052" i="2" s="1"/>
  <c r="E1053" i="2" l="1"/>
  <c r="D1054" i="2"/>
  <c r="H1055" i="2"/>
  <c r="G1400" i="2"/>
  <c r="H1056" i="2" l="1"/>
  <c r="H1057" i="2" s="1"/>
  <c r="D1055" i="2"/>
  <c r="E1055" i="2" s="1"/>
  <c r="G1401" i="2"/>
  <c r="G1402" i="2" s="1"/>
  <c r="G1403" i="2" s="1"/>
  <c r="G1404" i="2" s="1"/>
  <c r="G1405" i="2" s="1"/>
  <c r="G1406" i="2" s="1"/>
  <c r="Z1397" i="2"/>
  <c r="E1054" i="2"/>
  <c r="AE1397" i="2" l="1"/>
  <c r="E1056" i="2"/>
  <c r="G1407" i="2"/>
  <c r="G1408" i="2" s="1"/>
  <c r="G1409" i="2" s="1"/>
  <c r="G1410" i="2" s="1"/>
  <c r="G1411" i="2" s="1"/>
  <c r="Z1406" i="2"/>
  <c r="H1058" i="2"/>
  <c r="D1057" i="2"/>
  <c r="H1059" i="2" l="1"/>
  <c r="H1060" i="2" s="1"/>
  <c r="D1058" i="2"/>
  <c r="E1058" i="2" s="1"/>
  <c r="AE1406" i="2"/>
  <c r="E1057" i="2"/>
  <c r="G1412" i="2"/>
  <c r="E1059" i="2" l="1"/>
  <c r="G1413" i="2"/>
  <c r="G1414" i="2" s="1"/>
  <c r="D1060" i="2"/>
  <c r="H1061" i="2"/>
  <c r="H1062" i="2" l="1"/>
  <c r="H1063" i="2" s="1"/>
  <c r="D1061" i="2"/>
  <c r="E1061" i="2" s="1"/>
  <c r="G1415" i="2"/>
  <c r="G1416" i="2" s="1"/>
  <c r="G1417" i="2" s="1"/>
  <c r="E1060" i="2"/>
  <c r="G1418" i="2" l="1"/>
  <c r="G1419" i="2" s="1"/>
  <c r="G1420" i="2" s="1"/>
  <c r="G1421" i="2" s="1"/>
  <c r="G1422" i="2" s="1"/>
  <c r="G1423" i="2" s="1"/>
  <c r="G1424" i="2" s="1"/>
  <c r="G1425" i="2" s="1"/>
  <c r="G1426" i="2" s="1"/>
  <c r="Z1417" i="2"/>
  <c r="E1062" i="2"/>
  <c r="H1064" i="2"/>
  <c r="D1063" i="2"/>
  <c r="H1065" i="2" l="1"/>
  <c r="H1066" i="2" s="1"/>
  <c r="D1064" i="2"/>
  <c r="E1064" i="2" s="1"/>
  <c r="E1063" i="2"/>
  <c r="AE1417" i="2"/>
  <c r="G1427" i="2"/>
  <c r="G1428" i="2" s="1"/>
  <c r="G1429" i="2" s="1"/>
  <c r="Z1426" i="2"/>
  <c r="E1065" i="2" l="1"/>
  <c r="AE1426" i="2"/>
  <c r="G1430" i="2"/>
  <c r="D1066" i="2"/>
  <c r="H1067" i="2"/>
  <c r="H1068" i="2" l="1"/>
  <c r="H1069" i="2" s="1"/>
  <c r="D1067" i="2"/>
  <c r="E1067" i="2" s="1"/>
  <c r="G1431" i="2"/>
  <c r="G1432" i="2" s="1"/>
  <c r="E1066" i="2"/>
  <c r="G1433" i="2" l="1"/>
  <c r="G1434" i="2" s="1"/>
  <c r="E1068" i="2"/>
  <c r="D1069" i="2"/>
  <c r="H1070" i="2"/>
  <c r="D1070" i="2" l="1"/>
  <c r="H1071" i="2"/>
  <c r="E1069" i="2"/>
  <c r="E1070" i="2" s="1"/>
  <c r="E1071" i="2" s="1"/>
  <c r="Y1064" i="2"/>
  <c r="Z1064" i="2" s="1"/>
  <c r="Y1055" i="2"/>
  <c r="Z1055" i="2" s="1"/>
  <c r="Y1061" i="2"/>
  <c r="Z1061" i="2" s="1"/>
  <c r="Y1058" i="2"/>
  <c r="Z1058" i="2" s="1"/>
  <c r="G1435" i="2"/>
  <c r="Z1430" i="2"/>
  <c r="G1436" i="2" l="1"/>
  <c r="G1437" i="2" s="1"/>
  <c r="B30" i="65"/>
  <c r="C30" i="65" s="1"/>
  <c r="AE1058" i="2"/>
  <c r="B216" i="65"/>
  <c r="C216" i="65" s="1"/>
  <c r="AE1061" i="2"/>
  <c r="B146" i="65"/>
  <c r="C146" i="65" s="1"/>
  <c r="AE1064" i="2"/>
  <c r="B66" i="65"/>
  <c r="C66" i="65" s="1"/>
  <c r="AE1055" i="2"/>
  <c r="H1072" i="2"/>
  <c r="D1071" i="2"/>
  <c r="AE1430" i="2"/>
  <c r="H1073" i="2" l="1"/>
  <c r="H1074" i="2" s="1"/>
  <c r="D1072" i="2"/>
  <c r="E1072" i="2" s="1"/>
  <c r="G1438" i="2"/>
  <c r="G1439" i="2" l="1"/>
  <c r="G1440" i="2" s="1"/>
  <c r="G1441" i="2" s="1"/>
  <c r="G1442" i="2" s="1"/>
  <c r="G1443" i="2" s="1"/>
  <c r="G1444" i="2" s="1"/>
  <c r="Z1435" i="2"/>
  <c r="E1073" i="2"/>
  <c r="E1074" i="2" s="1"/>
  <c r="H1075" i="2"/>
  <c r="D1074" i="2"/>
  <c r="D1075" i="2" l="1"/>
  <c r="E1075" i="2" s="1"/>
  <c r="H1076" i="2"/>
  <c r="H1077" i="2" s="1"/>
  <c r="AE1435" i="2"/>
  <c r="G1445" i="2"/>
  <c r="G1446" i="2" s="1"/>
  <c r="G1447" i="2" s="1"/>
  <c r="Z1444" i="2"/>
  <c r="AE1444" i="2" l="1"/>
  <c r="G1448" i="2"/>
  <c r="H1078" i="2"/>
  <c r="D1077" i="2"/>
  <c r="E1076" i="2"/>
  <c r="E1077" i="2" l="1"/>
  <c r="G1449" i="2"/>
  <c r="G1450" i="2" s="1"/>
  <c r="H1079" i="2"/>
  <c r="H1080" i="2" s="1"/>
  <c r="D1078" i="2"/>
  <c r="E1078" i="2" s="1"/>
  <c r="E1079" i="2" l="1"/>
  <c r="G1451" i="2"/>
  <c r="G1452" i="2" s="1"/>
  <c r="H1081" i="2"/>
  <c r="D1080" i="2"/>
  <c r="G1453" i="2" l="1"/>
  <c r="Z1448" i="2"/>
  <c r="D1081" i="2"/>
  <c r="E1081" i="2" s="1"/>
  <c r="H1082" i="2"/>
  <c r="H1083" i="2" s="1"/>
  <c r="E1080" i="2"/>
  <c r="H1084" i="2" l="1"/>
  <c r="D1083" i="2"/>
  <c r="E1082" i="2"/>
  <c r="AE1448" i="2"/>
  <c r="G1454" i="2"/>
  <c r="G1455" i="2" s="1"/>
  <c r="Z1453" i="2"/>
  <c r="AE1453" i="2" l="1"/>
  <c r="G1456" i="2"/>
  <c r="Z1447" i="2"/>
  <c r="E1083" i="2"/>
  <c r="E1084" i="2" s="1"/>
  <c r="D1084" i="2"/>
  <c r="H1085" i="2"/>
  <c r="AE1447" i="2" l="1"/>
  <c r="G1457" i="2"/>
  <c r="D1085" i="2"/>
  <c r="E1085" i="2" s="1"/>
  <c r="H1086" i="2"/>
  <c r="H1087" i="2" s="1"/>
  <c r="E1086" i="2" l="1"/>
  <c r="G1458" i="2"/>
  <c r="H1088" i="2"/>
  <c r="D1087" i="2"/>
  <c r="H1089" i="2" l="1"/>
  <c r="H1090" i="2" s="1"/>
  <c r="D1088" i="2"/>
  <c r="E1088" i="2" s="1"/>
  <c r="G1459" i="2"/>
  <c r="G1460" i="2" s="1"/>
  <c r="E1087" i="2"/>
  <c r="G1461" i="2" l="1"/>
  <c r="E1089" i="2"/>
  <c r="D1090" i="2"/>
  <c r="H1091" i="2"/>
  <c r="D1091" i="2" l="1"/>
  <c r="E1091" i="2" s="1"/>
  <c r="H1092" i="2"/>
  <c r="H1093" i="2" s="1"/>
  <c r="E1090" i="2"/>
  <c r="G1462" i="2"/>
  <c r="G1463" i="2" s="1"/>
  <c r="G1464" i="2" l="1"/>
  <c r="G1465" i="2" s="1"/>
  <c r="H1094" i="2"/>
  <c r="D1093" i="2"/>
  <c r="E1092" i="2"/>
  <c r="H1095" i="2" l="1"/>
  <c r="H1096" i="2" s="1"/>
  <c r="D1094" i="2"/>
  <c r="E1094" i="2" s="1"/>
  <c r="E1093" i="2"/>
  <c r="G1466" i="2"/>
  <c r="G1467" i="2" s="1"/>
  <c r="E1095" i="2" l="1"/>
  <c r="G1468" i="2"/>
  <c r="D1096" i="2"/>
  <c r="H1097" i="2"/>
  <c r="H1098" i="2" l="1"/>
  <c r="D1097" i="2"/>
  <c r="G1469" i="2"/>
  <c r="E1096" i="2"/>
  <c r="E1097" i="2" s="1"/>
  <c r="G1470" i="2" l="1"/>
  <c r="H1099" i="2"/>
  <c r="H1100" i="2" s="1"/>
  <c r="D1098" i="2"/>
  <c r="E1098" i="2" s="1"/>
  <c r="E1099" i="2" l="1"/>
  <c r="H1101" i="2"/>
  <c r="D1100" i="2"/>
  <c r="G1471" i="2"/>
  <c r="G1472" i="2" s="1"/>
  <c r="G1473" i="2" s="1"/>
  <c r="G1474" i="2" s="1"/>
  <c r="G1475" i="2" s="1"/>
  <c r="G1476" i="2" s="1"/>
  <c r="G1477" i="2" s="1"/>
  <c r="Z1465" i="2"/>
  <c r="G1478" i="2" l="1"/>
  <c r="G1479" i="2" s="1"/>
  <c r="G1480" i="2" s="1"/>
  <c r="G1481" i="2" s="1"/>
  <c r="G1482" i="2" s="1"/>
  <c r="G1483" i="2" s="1"/>
  <c r="G1484" i="2" s="1"/>
  <c r="G1485" i="2" s="1"/>
  <c r="G1486" i="2" s="1"/>
  <c r="G1487" i="2" s="1"/>
  <c r="G1488" i="2" s="1"/>
  <c r="Z1477" i="2"/>
  <c r="AE1465" i="2"/>
  <c r="E85" i="72"/>
  <c r="D1101" i="2"/>
  <c r="E1101" i="2" s="1"/>
  <c r="H1102" i="2"/>
  <c r="H1103" i="2" s="1"/>
  <c r="E1100" i="2"/>
  <c r="E1102" i="2" l="1"/>
  <c r="H1104" i="2"/>
  <c r="D1103" i="2"/>
  <c r="AE1477" i="2"/>
  <c r="E88" i="72"/>
  <c r="G1489" i="2"/>
  <c r="G1490" i="2" s="1"/>
  <c r="G1491" i="2" s="1"/>
  <c r="G1492" i="2" s="1"/>
  <c r="G1493" i="2" s="1"/>
  <c r="Z1488" i="2"/>
  <c r="G1494" i="2" l="1"/>
  <c r="G1495" i="2" s="1"/>
  <c r="G1496" i="2" s="1"/>
  <c r="G1497" i="2" s="1"/>
  <c r="G1498" i="2" s="1"/>
  <c r="G1499" i="2" s="1"/>
  <c r="G1500" i="2" s="1"/>
  <c r="G1501" i="2" s="1"/>
  <c r="G1502" i="2" s="1"/>
  <c r="G1503" i="2" s="1"/>
  <c r="G1504" i="2" s="1"/>
  <c r="G1505" i="2" s="1"/>
  <c r="G1506" i="2" s="1"/>
  <c r="Z1493" i="2"/>
  <c r="H1105" i="2"/>
  <c r="H1106" i="2" s="1"/>
  <c r="D1104" i="2"/>
  <c r="E1104" i="2" s="1"/>
  <c r="AE1488" i="2"/>
  <c r="E91" i="72"/>
  <c r="E1103" i="2"/>
  <c r="E1105" i="2" l="1"/>
  <c r="H1107" i="2"/>
  <c r="D1106" i="2"/>
  <c r="AE1493" i="2"/>
  <c r="E93" i="72"/>
  <c r="G1507" i="2"/>
  <c r="G1508" i="2" l="1"/>
  <c r="G1509" i="2" s="1"/>
  <c r="D1107" i="2"/>
  <c r="E1107" i="2" s="1"/>
  <c r="H1108" i="2"/>
  <c r="H1109" i="2" s="1"/>
  <c r="E1106" i="2"/>
  <c r="H1110" i="2" l="1"/>
  <c r="D1109" i="2"/>
  <c r="E1108" i="2"/>
  <c r="G1510" i="2"/>
  <c r="G1511" i="2" l="1"/>
  <c r="Z1507" i="2"/>
  <c r="E1109" i="2"/>
  <c r="E1110" i="2" s="1"/>
  <c r="H1111" i="2"/>
  <c r="D1110" i="2"/>
  <c r="D1111" i="2" l="1"/>
  <c r="E1111" i="2" s="1"/>
  <c r="H1112" i="2"/>
  <c r="H1113" i="2" s="1"/>
  <c r="AE1507" i="2"/>
  <c r="E101" i="72"/>
  <c r="G1512" i="2"/>
  <c r="G1513" i="2" s="1"/>
  <c r="G1514" i="2" l="1"/>
  <c r="H1114" i="2"/>
  <c r="D1113" i="2"/>
  <c r="E1112" i="2"/>
  <c r="H1115" i="2" l="1"/>
  <c r="H1116" i="2" s="1"/>
  <c r="D1114" i="2"/>
  <c r="E1114" i="2" s="1"/>
  <c r="E1113" i="2"/>
  <c r="G1515" i="2"/>
  <c r="G1516" i="2" s="1"/>
  <c r="G1517" i="2" s="1"/>
  <c r="G1518" i="2" s="1"/>
  <c r="G1519" i="2" s="1"/>
  <c r="G1520" i="2" s="1"/>
  <c r="G1521" i="2" s="1"/>
  <c r="G1522" i="2" s="1"/>
  <c r="G1523" i="2" s="1"/>
  <c r="G1524" i="2" s="1"/>
  <c r="G1525" i="2" s="1"/>
  <c r="G1526" i="2" s="1"/>
  <c r="G1527" i="2" s="1"/>
  <c r="G1528" i="2" s="1"/>
  <c r="G1529" i="2" s="1"/>
  <c r="Z1511" i="2"/>
  <c r="AE1511" i="2" l="1"/>
  <c r="E103" i="72"/>
  <c r="G1530" i="2"/>
  <c r="G1531" i="2" s="1"/>
  <c r="G1532" i="2" s="1"/>
  <c r="G1533" i="2" s="1"/>
  <c r="G1534" i="2" s="1"/>
  <c r="G1535" i="2" s="1"/>
  <c r="G1536" i="2" s="1"/>
  <c r="G1537" i="2" s="1"/>
  <c r="G1538" i="2" s="1"/>
  <c r="G1539" i="2" s="1"/>
  <c r="G1540" i="2" s="1"/>
  <c r="G1541" i="2" s="1"/>
  <c r="G1542" i="2" s="1"/>
  <c r="G1543" i="2" s="1"/>
  <c r="G1544" i="2" s="1"/>
  <c r="G1545" i="2" s="1"/>
  <c r="G1546" i="2" s="1"/>
  <c r="G1547" i="2" s="1"/>
  <c r="G1548" i="2" s="1"/>
  <c r="G1549" i="2" s="1"/>
  <c r="G1550" i="2" s="1"/>
  <c r="G1551" i="2" s="1"/>
  <c r="G1552" i="2" s="1"/>
  <c r="G1553" i="2" s="1"/>
  <c r="G1554" i="2" s="1"/>
  <c r="G1555" i="2" s="1"/>
  <c r="G1556" i="2" s="1"/>
  <c r="G1557" i="2" s="1"/>
  <c r="G1558" i="2" s="1"/>
  <c r="G1559" i="2" s="1"/>
  <c r="G1560" i="2" s="1"/>
  <c r="E1115" i="2"/>
  <c r="H1117" i="2"/>
  <c r="D1116" i="2"/>
  <c r="Z1529" i="2" l="1"/>
  <c r="AE1529" i="2" s="1"/>
  <c r="D1117" i="2"/>
  <c r="E1117" i="2" s="1"/>
  <c r="H1118" i="2"/>
  <c r="H1119" i="2" s="1"/>
  <c r="E1116" i="2"/>
  <c r="G1561" i="2"/>
  <c r="G1562" i="2" s="1"/>
  <c r="G1563" i="2" s="1"/>
  <c r="G1564" i="2" s="1"/>
  <c r="G1565" i="2" s="1"/>
  <c r="Z1560" i="2"/>
  <c r="E107" i="72" l="1"/>
  <c r="AE1560" i="2"/>
  <c r="E114" i="72"/>
  <c r="G1566" i="2"/>
  <c r="G1567" i="2" s="1"/>
  <c r="G1568" i="2" s="1"/>
  <c r="G1569" i="2" s="1"/>
  <c r="G1570" i="2" s="1"/>
  <c r="G1571" i="2" s="1"/>
  <c r="G1572" i="2" s="1"/>
  <c r="G1573" i="2" s="1"/>
  <c r="G1574" i="2" s="1"/>
  <c r="G1575" i="2" s="1"/>
  <c r="G1576" i="2" s="1"/>
  <c r="G1577" i="2" s="1"/>
  <c r="G1578" i="2" s="1"/>
  <c r="G1579" i="2" s="1"/>
  <c r="G1580" i="2" s="1"/>
  <c r="Z1565" i="2"/>
  <c r="H1120" i="2"/>
  <c r="D1119" i="2"/>
  <c r="E1118" i="2"/>
  <c r="E1119" i="2" l="1"/>
  <c r="H1121" i="2"/>
  <c r="H1122" i="2" s="1"/>
  <c r="D1120" i="2"/>
  <c r="E1120" i="2" s="1"/>
  <c r="G1581" i="2"/>
  <c r="AE1565" i="2"/>
  <c r="E116" i="72"/>
  <c r="G1582" i="2" l="1"/>
  <c r="G1583" i="2" s="1"/>
  <c r="E1121" i="2"/>
  <c r="D1122" i="2"/>
  <c r="H1123" i="2"/>
  <c r="H1124" i="2" l="1"/>
  <c r="D1123" i="2"/>
  <c r="E1122" i="2"/>
  <c r="E1123" i="2" s="1"/>
  <c r="G1584" i="2"/>
  <c r="G1585" i="2" l="1"/>
  <c r="Z1581" i="2"/>
  <c r="H1125" i="2"/>
  <c r="H1126" i="2" s="1"/>
  <c r="D1124" i="2"/>
  <c r="E1124" i="2" s="1"/>
  <c r="E1125" i="2" l="1"/>
  <c r="H1127" i="2"/>
  <c r="D1126" i="2"/>
  <c r="AE1581" i="2"/>
  <c r="E125" i="72"/>
  <c r="G1586" i="2"/>
  <c r="G1587" i="2" s="1"/>
  <c r="G1588" i="2" s="1"/>
  <c r="G1589" i="2" s="1"/>
  <c r="G1590" i="2" s="1"/>
  <c r="G1591" i="2" s="1"/>
  <c r="G1592" i="2" s="1"/>
  <c r="G1593" i="2" s="1"/>
  <c r="G1594" i="2" s="1"/>
  <c r="G1595" i="2" s="1"/>
  <c r="G1596" i="2" s="1"/>
  <c r="G1597" i="2" s="1"/>
  <c r="G1598" i="2" s="1"/>
  <c r="G1599" i="2" s="1"/>
  <c r="G1600" i="2" s="1"/>
  <c r="G1601" i="2" s="1"/>
  <c r="G1602" i="2" s="1"/>
  <c r="G1603" i="2" s="1"/>
  <c r="Z1585" i="2"/>
  <c r="G1604" i="2" l="1"/>
  <c r="G1605" i="2" s="1"/>
  <c r="G1606" i="2" s="1"/>
  <c r="G1607" i="2" s="1"/>
  <c r="G1608" i="2" s="1"/>
  <c r="G1609" i="2" s="1"/>
  <c r="G1610" i="2" s="1"/>
  <c r="G1611" i="2" s="1"/>
  <c r="G1612" i="2" s="1"/>
  <c r="G1613" i="2" s="1"/>
  <c r="G1614" i="2" s="1"/>
  <c r="G1615" i="2" s="1"/>
  <c r="G1616" i="2" s="1"/>
  <c r="G1617" i="2" s="1"/>
  <c r="G1618" i="2" s="1"/>
  <c r="G1619" i="2" s="1"/>
  <c r="G1620" i="2" s="1"/>
  <c r="G1621" i="2" s="1"/>
  <c r="G1622" i="2" s="1"/>
  <c r="G1623" i="2" s="1"/>
  <c r="D1127" i="2"/>
  <c r="E1127" i="2" s="1"/>
  <c r="H1128" i="2"/>
  <c r="H1129" i="2" s="1"/>
  <c r="AE1585" i="2"/>
  <c r="E127" i="72"/>
  <c r="E1126" i="2"/>
  <c r="Z1603" i="2" l="1"/>
  <c r="AE1603" i="2" s="1"/>
  <c r="H1130" i="2"/>
  <c r="D1129" i="2"/>
  <c r="E1128" i="2"/>
  <c r="G1624" i="2"/>
  <c r="G1625" i="2" s="1"/>
  <c r="G1626" i="2" s="1"/>
  <c r="G1627" i="2" s="1"/>
  <c r="G1628" i="2" s="1"/>
  <c r="Z1623" i="2"/>
  <c r="E131" i="72" l="1"/>
  <c r="G1629" i="2"/>
  <c r="G1630" i="2" s="1"/>
  <c r="G1631" i="2" s="1"/>
  <c r="G1632" i="2" s="1"/>
  <c r="G1633" i="2" s="1"/>
  <c r="G1634" i="2" s="1"/>
  <c r="G1635" i="2" s="1"/>
  <c r="G1636" i="2" s="1"/>
  <c r="G1637" i="2" s="1"/>
  <c r="G1638" i="2" s="1"/>
  <c r="G1639" i="2" s="1"/>
  <c r="G1640" i="2" s="1"/>
  <c r="G1641" i="2" s="1"/>
  <c r="Z1628" i="2"/>
  <c r="E1129" i="2"/>
  <c r="AE1623" i="2"/>
  <c r="E136" i="72"/>
  <c r="H1131" i="2"/>
  <c r="H1132" i="2" s="1"/>
  <c r="D1130" i="2"/>
  <c r="E1130" i="2" s="1"/>
  <c r="H1133" i="2" l="1"/>
  <c r="D1132" i="2"/>
  <c r="E1131" i="2"/>
  <c r="AE1628" i="2"/>
  <c r="E138" i="72"/>
  <c r="G1642" i="2"/>
  <c r="G1643" i="2" l="1"/>
  <c r="G1644" i="2" s="1"/>
  <c r="E1132" i="2"/>
  <c r="D1133" i="2"/>
  <c r="E1133" i="2" s="1"/>
  <c r="H1134" i="2"/>
  <c r="H1135" i="2" s="1"/>
  <c r="H1136" i="2" l="1"/>
  <c r="D1135" i="2"/>
  <c r="E1134" i="2"/>
  <c r="G1645" i="2"/>
  <c r="G1646" i="2" l="1"/>
  <c r="Z1642" i="2"/>
  <c r="E1135" i="2"/>
  <c r="E1136" i="2" s="1"/>
  <c r="E1137" i="2" s="1"/>
  <c r="Y1130" i="2"/>
  <c r="Z1130" i="2" s="1"/>
  <c r="Y1127" i="2"/>
  <c r="Z1127" i="2" s="1"/>
  <c r="Y1124" i="2"/>
  <c r="Z1124" i="2" s="1"/>
  <c r="H1137" i="2"/>
  <c r="D1136" i="2"/>
  <c r="D1137" i="2" l="1"/>
  <c r="H1138" i="2"/>
  <c r="B112" i="65"/>
  <c r="C112" i="65" s="1"/>
  <c r="AE1124" i="2"/>
  <c r="B122" i="65"/>
  <c r="C122" i="65" s="1"/>
  <c r="AE1130" i="2"/>
  <c r="AE1642" i="2"/>
  <c r="E146" i="72"/>
  <c r="B117" i="65"/>
  <c r="C117" i="65" s="1"/>
  <c r="AE1127" i="2"/>
  <c r="G1647" i="2"/>
  <c r="G1648" i="2" s="1"/>
  <c r="G1649" i="2" l="1"/>
  <c r="D1138" i="2"/>
  <c r="E1138" i="2" s="1"/>
  <c r="H1139" i="2"/>
  <c r="H1140" i="2" s="1"/>
  <c r="E1139" i="2" l="1"/>
  <c r="E1140" i="2" s="1"/>
  <c r="E1141" i="2" s="1"/>
  <c r="H1141" i="2"/>
  <c r="D1140" i="2"/>
  <c r="G1650" i="2"/>
  <c r="G1651" i="2" l="1"/>
  <c r="H1142" i="2"/>
  <c r="D1141" i="2"/>
  <c r="H1143" i="2" l="1"/>
  <c r="H1144" i="2" s="1"/>
  <c r="D1142" i="2"/>
  <c r="E1142" i="2" s="1"/>
  <c r="G1652" i="2"/>
  <c r="G1653" i="2" s="1"/>
  <c r="G1654" i="2" s="1"/>
  <c r="G1655" i="2" s="1"/>
  <c r="G1656" i="2" s="1"/>
  <c r="G1657" i="2" s="1"/>
  <c r="G1658" i="2" s="1"/>
  <c r="G1659" i="2" s="1"/>
  <c r="G1660" i="2" s="1"/>
  <c r="G1661" i="2" s="1"/>
  <c r="G1662" i="2" s="1"/>
  <c r="G1663" i="2" s="1"/>
  <c r="G1664" i="2" s="1"/>
  <c r="G1665" i="2" s="1"/>
  <c r="G1666" i="2" s="1"/>
  <c r="G1667" i="2" s="1"/>
  <c r="G1668" i="2" s="1"/>
  <c r="G1669" i="2" s="1"/>
  <c r="Z1646" i="2"/>
  <c r="G1670" i="2" l="1"/>
  <c r="G1671" i="2" s="1"/>
  <c r="G1672" i="2" s="1"/>
  <c r="G1673" i="2" s="1"/>
  <c r="G1674" i="2" s="1"/>
  <c r="G1675" i="2" s="1"/>
  <c r="G1676" i="2" s="1"/>
  <c r="G1677" i="2" s="1"/>
  <c r="G1678" i="2" s="1"/>
  <c r="G1679" i="2" s="1"/>
  <c r="G1680" i="2" s="1"/>
  <c r="G1681" i="2" s="1"/>
  <c r="G1682" i="2" s="1"/>
  <c r="G1683" i="2" s="1"/>
  <c r="G1684" i="2" s="1"/>
  <c r="G1685" i="2" s="1"/>
  <c r="G1686" i="2" s="1"/>
  <c r="G1687" i="2" s="1"/>
  <c r="G1688" i="2" s="1"/>
  <c r="G1689" i="2" s="1"/>
  <c r="G1690" i="2" s="1"/>
  <c r="G1691" i="2" s="1"/>
  <c r="Z1669" i="2"/>
  <c r="E1143" i="2"/>
  <c r="AE1646" i="2"/>
  <c r="E148" i="72"/>
  <c r="D1144" i="2"/>
  <c r="H1145" i="2"/>
  <c r="D1145" i="2" l="1"/>
  <c r="H1146" i="2"/>
  <c r="E1144" i="2"/>
  <c r="E1145" i="2" s="1"/>
  <c r="AE1669" i="2"/>
  <c r="E153" i="72"/>
  <c r="G1692" i="2"/>
  <c r="G1693" i="2" s="1"/>
  <c r="G1694" i="2" s="1"/>
  <c r="G1695" i="2" s="1"/>
  <c r="G1696" i="2" s="1"/>
  <c r="Z1691" i="2"/>
  <c r="G1697" i="2" l="1"/>
  <c r="G1698" i="2" s="1"/>
  <c r="G1699" i="2" s="1"/>
  <c r="G1700" i="2" s="1"/>
  <c r="G1701" i="2" s="1"/>
  <c r="G1702" i="2" s="1"/>
  <c r="G1703" i="2" s="1"/>
  <c r="G1704" i="2" s="1"/>
  <c r="G1705" i="2" s="1"/>
  <c r="G1706" i="2" s="1"/>
  <c r="G1707" i="2" s="1"/>
  <c r="G1708" i="2" s="1"/>
  <c r="G1709" i="2" s="1"/>
  <c r="Z1696" i="2"/>
  <c r="AE1691" i="2"/>
  <c r="E158" i="72"/>
  <c r="H1147" i="2"/>
  <c r="H1148" i="2" s="1"/>
  <c r="D1146" i="2"/>
  <c r="E1146" i="2" s="1"/>
  <c r="H1149" i="2" l="1"/>
  <c r="D1148" i="2"/>
  <c r="E1147" i="2"/>
  <c r="AE1696" i="2"/>
  <c r="E160" i="72"/>
  <c r="G1710" i="2"/>
  <c r="G1711" i="2" l="1"/>
  <c r="G1712" i="2" s="1"/>
  <c r="E1148" i="2"/>
  <c r="E1149" i="2" s="1"/>
  <c r="H1150" i="2"/>
  <c r="D1149" i="2"/>
  <c r="D1150" i="2" l="1"/>
  <c r="E1150" i="2" s="1"/>
  <c r="H1151" i="2"/>
  <c r="H1152" i="2" s="1"/>
  <c r="G1713" i="2"/>
  <c r="G1714" i="2" l="1"/>
  <c r="G1715" i="2" s="1"/>
  <c r="Z1710" i="2"/>
  <c r="H1153" i="2"/>
  <c r="D1152" i="2"/>
  <c r="E1151" i="2"/>
  <c r="E1152" i="2" l="1"/>
  <c r="E1153" i="2" s="1"/>
  <c r="H1154" i="2"/>
  <c r="D1153" i="2"/>
  <c r="AE1710" i="2"/>
  <c r="E168" i="72"/>
  <c r="G1716" i="2"/>
  <c r="H1155" i="2" l="1"/>
  <c r="H1156" i="2" s="1"/>
  <c r="D1154" i="2"/>
  <c r="E1154" i="2" s="1"/>
  <c r="G1717" i="2"/>
  <c r="G1718" i="2" s="1"/>
  <c r="E1155" i="2" l="1"/>
  <c r="G1719" i="2"/>
  <c r="D1156" i="2"/>
  <c r="H1157" i="2"/>
  <c r="D1157" i="2" l="1"/>
  <c r="H1158" i="2"/>
  <c r="G1720" i="2"/>
  <c r="G1721" i="2" s="1"/>
  <c r="Z1716" i="2"/>
  <c r="E1156" i="2"/>
  <c r="E1157" i="2" s="1"/>
  <c r="G1722" i="2" l="1"/>
  <c r="G1723" i="2" s="1"/>
  <c r="G1724" i="2" s="1"/>
  <c r="G1725" i="2" s="1"/>
  <c r="G1726" i="2" s="1"/>
  <c r="Z1721" i="2"/>
  <c r="AE1716" i="2"/>
  <c r="E171" i="72"/>
  <c r="D1158" i="2"/>
  <c r="E1158" i="2" s="1"/>
  <c r="H1159" i="2"/>
  <c r="H1160" i="2" s="1"/>
  <c r="H1161" i="2" l="1"/>
  <c r="D1160" i="2"/>
  <c r="Y1158" i="2"/>
  <c r="Z1158" i="2" s="1"/>
  <c r="E1159" i="2"/>
  <c r="AE1721" i="2"/>
  <c r="E173" i="72"/>
  <c r="G1727" i="2"/>
  <c r="G1728" i="2" l="1"/>
  <c r="E1160" i="2"/>
  <c r="E1161" i="2" s="1"/>
  <c r="E1162" i="2" s="1"/>
  <c r="Y1154" i="2"/>
  <c r="Z1154" i="2" s="1"/>
  <c r="Y1142" i="2"/>
  <c r="Z1142" i="2" s="1"/>
  <c r="Y1150" i="2"/>
  <c r="Z1150" i="2" s="1"/>
  <c r="Y1146" i="2"/>
  <c r="Z1146" i="2" s="1"/>
  <c r="B126" i="65"/>
  <c r="C126" i="65" s="1"/>
  <c r="AE1158" i="2"/>
  <c r="H1162" i="2"/>
  <c r="D1161" i="2"/>
  <c r="B134" i="65" l="1"/>
  <c r="C134" i="65" s="1"/>
  <c r="AE1146" i="2"/>
  <c r="B130" i="65"/>
  <c r="C130" i="65" s="1"/>
  <c r="AE1150" i="2"/>
  <c r="B133" i="65"/>
  <c r="C133" i="65" s="1"/>
  <c r="AE1142" i="2"/>
  <c r="B131" i="65"/>
  <c r="C131" i="65" s="1"/>
  <c r="AE1154" i="2"/>
  <c r="H1163" i="2"/>
  <c r="D1162" i="2"/>
  <c r="G1729" i="2"/>
  <c r="G1730" i="2" s="1"/>
  <c r="Z1728" i="2"/>
  <c r="D1163" i="2" l="1"/>
  <c r="E1163" i="2" s="1"/>
  <c r="H1164" i="2"/>
  <c r="H1165" i="2" s="1"/>
  <c r="AE1728" i="2"/>
  <c r="G1731" i="2"/>
  <c r="G1732" i="2" l="1"/>
  <c r="G1733" i="2" s="1"/>
  <c r="H1166" i="2"/>
  <c r="D1165" i="2"/>
  <c r="E1164" i="2"/>
  <c r="E1165" i="2" s="1"/>
  <c r="H1167" i="2" l="1"/>
  <c r="H1168" i="2" s="1"/>
  <c r="D1166" i="2"/>
  <c r="E1166" i="2" s="1"/>
  <c r="G1734" i="2"/>
  <c r="G1735" i="2" l="1"/>
  <c r="Z1731" i="2"/>
  <c r="E1167" i="2"/>
  <c r="H1169" i="2"/>
  <c r="D1168" i="2"/>
  <c r="E1168" i="2" l="1"/>
  <c r="AE1731" i="2"/>
  <c r="D1169" i="2"/>
  <c r="E1169" i="2" s="1"/>
  <c r="H1170" i="2"/>
  <c r="H1171" i="2" s="1"/>
  <c r="G1736" i="2"/>
  <c r="G1737" i="2" l="1"/>
  <c r="G1738" i="2" s="1"/>
  <c r="E1170" i="2"/>
  <c r="Y1169" i="2"/>
  <c r="Z1169" i="2" s="1"/>
  <c r="H1172" i="2"/>
  <c r="D1171" i="2"/>
  <c r="H1173" i="2" l="1"/>
  <c r="D1172" i="2"/>
  <c r="B110" i="65"/>
  <c r="C110" i="65" s="1"/>
  <c r="AE1169" i="2"/>
  <c r="E1171" i="2"/>
  <c r="E1172" i="2" s="1"/>
  <c r="E1173" i="2" s="1"/>
  <c r="Y1166" i="2"/>
  <c r="Z1166" i="2" s="1"/>
  <c r="Y1163" i="2"/>
  <c r="Z1163" i="2" s="1"/>
  <c r="G1739" i="2"/>
  <c r="B261" i="65" l="1"/>
  <c r="C261" i="65" s="1"/>
  <c r="AE1163" i="2"/>
  <c r="B260" i="65"/>
  <c r="C260" i="65" s="1"/>
  <c r="AE1166" i="2"/>
  <c r="G1740" i="2"/>
  <c r="G1741" i="2" s="1"/>
  <c r="Z1736" i="2"/>
  <c r="H1174" i="2"/>
  <c r="D1173" i="2"/>
  <c r="AE1736" i="2" l="1"/>
  <c r="H1175" i="2"/>
  <c r="H1176" i="2" s="1"/>
  <c r="H1177" i="2" s="1"/>
  <c r="D1174" i="2"/>
  <c r="E1174" i="2" s="1"/>
  <c r="G1742" i="2"/>
  <c r="G1743" i="2" s="1"/>
  <c r="G1744" i="2" s="1"/>
  <c r="G1745" i="2" s="1"/>
  <c r="G1746" i="2" s="1"/>
  <c r="G1747" i="2" s="1"/>
  <c r="G1748" i="2" s="1"/>
  <c r="Z1741" i="2"/>
  <c r="AE1741" i="2" l="1"/>
  <c r="E1175" i="2"/>
  <c r="E1176" i="2" s="1"/>
  <c r="E1177" i="2" s="1"/>
  <c r="D1177" i="2"/>
  <c r="H1178" i="2"/>
  <c r="G1749" i="2"/>
  <c r="G1750" i="2" l="1"/>
  <c r="G1751" i="2" s="1"/>
  <c r="Z1749" i="2"/>
  <c r="H1179" i="2"/>
  <c r="H1180" i="2" s="1"/>
  <c r="H1181" i="2" s="1"/>
  <c r="H1182" i="2" s="1"/>
  <c r="H1183" i="2" s="1"/>
  <c r="H1184" i="2" s="1"/>
  <c r="H1185" i="2" s="1"/>
  <c r="H1186" i="2" s="1"/>
  <c r="H1187" i="2" s="1"/>
  <c r="D1178" i="2"/>
  <c r="E1178" i="2" s="1"/>
  <c r="E1179" i="2" l="1"/>
  <c r="H1188" i="2"/>
  <c r="D1187" i="2"/>
  <c r="AE1749" i="2"/>
  <c r="G1752" i="2"/>
  <c r="D1188" i="2" l="1"/>
  <c r="E1188" i="2" s="1"/>
  <c r="H1189" i="2"/>
  <c r="H1190" i="2" s="1"/>
  <c r="H1191" i="2" s="1"/>
  <c r="G1753" i="2"/>
  <c r="G1754" i="2" s="1"/>
  <c r="E1180" i="2"/>
  <c r="E1181" i="2" l="1"/>
  <c r="G1755" i="2"/>
  <c r="D1191" i="2"/>
  <c r="H1192" i="2"/>
  <c r="E1189" i="2"/>
  <c r="E1190" i="2" s="1"/>
  <c r="E1191" i="2" s="1"/>
  <c r="E1192" i="2" s="1"/>
  <c r="E1193" i="2" s="1"/>
  <c r="H1193" i="2" l="1"/>
  <c r="D1192" i="2"/>
  <c r="G1756" i="2"/>
  <c r="E1182" i="2"/>
  <c r="E1183" i="2" l="1"/>
  <c r="G1757" i="2"/>
  <c r="G1758" i="2" s="1"/>
  <c r="G1759" i="2" s="1"/>
  <c r="G1760" i="2" s="1"/>
  <c r="G1761" i="2" s="1"/>
  <c r="H1194" i="2"/>
  <c r="D1193" i="2"/>
  <c r="H1195" i="2" l="1"/>
  <c r="H1196" i="2" s="1"/>
  <c r="D1194" i="2"/>
  <c r="E1194" i="2" s="1"/>
  <c r="G1762" i="2"/>
  <c r="G1763" i="2" s="1"/>
  <c r="G1764" i="2" s="1"/>
  <c r="G1765" i="2" s="1"/>
  <c r="G1766" i="2" s="1"/>
  <c r="Z1761" i="2"/>
  <c r="E1184" i="2"/>
  <c r="E1185" i="2" l="1"/>
  <c r="G1767" i="2"/>
  <c r="G1768" i="2" s="1"/>
  <c r="G1769" i="2" s="1"/>
  <c r="G1770" i="2" s="1"/>
  <c r="G1771" i="2" s="1"/>
  <c r="G1772" i="2" s="1"/>
  <c r="G1773" i="2" s="1"/>
  <c r="Z1766" i="2"/>
  <c r="E1195" i="2"/>
  <c r="AE1761" i="2"/>
  <c r="D1196" i="2"/>
  <c r="E1196" i="2" s="1"/>
  <c r="H1197" i="2"/>
  <c r="H1198" i="2" s="1"/>
  <c r="H1199" i="2" s="1"/>
  <c r="E1197" i="2" l="1"/>
  <c r="AE1766" i="2"/>
  <c r="H1200" i="2"/>
  <c r="D1199" i="2"/>
  <c r="G1774" i="2"/>
  <c r="E1186" i="2"/>
  <c r="Y1174" i="2"/>
  <c r="Z1174" i="2" s="1"/>
  <c r="H1201" i="2" l="1"/>
  <c r="D1200" i="2"/>
  <c r="G1775" i="2"/>
  <c r="G1776" i="2" s="1"/>
  <c r="B70" i="65"/>
  <c r="C70" i="65" s="1"/>
  <c r="AE1174" i="2"/>
  <c r="E1187" i="2"/>
  <c r="Y1178" i="2"/>
  <c r="Z1178" i="2" s="1"/>
  <c r="Y1188" i="2"/>
  <c r="Z1188" i="2" s="1"/>
  <c r="E1198" i="2"/>
  <c r="E1199" i="2" l="1"/>
  <c r="E1200" i="2" s="1"/>
  <c r="G1777" i="2"/>
  <c r="B87" i="65"/>
  <c r="C87" i="65" s="1"/>
  <c r="AE1188" i="2"/>
  <c r="B109" i="65"/>
  <c r="C109" i="65" s="1"/>
  <c r="AE1178" i="2"/>
  <c r="D1201" i="2"/>
  <c r="E1201" i="2" s="1"/>
  <c r="H1202" i="2"/>
  <c r="H1203" i="2" s="1"/>
  <c r="D1203" i="2" l="1"/>
  <c r="H1204" i="2"/>
  <c r="E1202" i="2"/>
  <c r="G1778" i="2"/>
  <c r="E1203" i="2" l="1"/>
  <c r="E1204" i="2" s="1"/>
  <c r="G1779" i="2"/>
  <c r="G1780" i="2" s="1"/>
  <c r="D1204" i="2"/>
  <c r="H1205" i="2"/>
  <c r="D1205" i="2" l="1"/>
  <c r="E1205" i="2" s="1"/>
  <c r="H1206" i="2"/>
  <c r="H1207" i="2" s="1"/>
  <c r="G1781" i="2"/>
  <c r="G1782" i="2" l="1"/>
  <c r="G1783" i="2" s="1"/>
  <c r="D1207" i="2"/>
  <c r="E1207" i="2" s="1"/>
  <c r="H1208" i="2"/>
  <c r="H1209" i="2" s="1"/>
  <c r="H1210" i="2" s="1"/>
  <c r="E1206" i="2"/>
  <c r="D1210" i="2" l="1"/>
  <c r="H1211" i="2"/>
  <c r="E1208" i="2"/>
  <c r="G1784" i="2"/>
  <c r="G1785" i="2" s="1"/>
  <c r="G1786" i="2" s="1"/>
  <c r="G1787" i="2" s="1"/>
  <c r="G1788" i="2" s="1"/>
  <c r="Z1783" i="2"/>
  <c r="G1789" i="2" l="1"/>
  <c r="G1790" i="2" s="1"/>
  <c r="G1791" i="2" s="1"/>
  <c r="G1792" i="2" s="1"/>
  <c r="G1793" i="2" s="1"/>
  <c r="Z1788" i="2"/>
  <c r="AE1783" i="2"/>
  <c r="E1209" i="2"/>
  <c r="Y1205" i="2"/>
  <c r="Z1205" i="2" s="1"/>
  <c r="D1211" i="2"/>
  <c r="H1212" i="2"/>
  <c r="H1213" i="2" l="1"/>
  <c r="D1212" i="2"/>
  <c r="AE1205" i="2"/>
  <c r="E1210" i="2"/>
  <c r="E1211" i="2" s="1"/>
  <c r="E1212" i="2" s="1"/>
  <c r="Y1207" i="2"/>
  <c r="Z1207" i="2" s="1"/>
  <c r="Y1201" i="2"/>
  <c r="Z1201" i="2" s="1"/>
  <c r="Y1194" i="2"/>
  <c r="Z1194" i="2" s="1"/>
  <c r="Y1196" i="2"/>
  <c r="Z1196" i="2" s="1"/>
  <c r="AE1788" i="2"/>
  <c r="G1794" i="2"/>
  <c r="B108" i="65" l="1"/>
  <c r="C108" i="65" s="1"/>
  <c r="AE1194" i="2"/>
  <c r="AE1201" i="2"/>
  <c r="AE1207" i="2"/>
  <c r="G1795" i="2"/>
  <c r="G1796" i="2" s="1"/>
  <c r="B73" i="65"/>
  <c r="C73" i="65" s="1"/>
  <c r="AE1196" i="2"/>
  <c r="H1214" i="2"/>
  <c r="H1215" i="2" s="1"/>
  <c r="D1213" i="2"/>
  <c r="E1213" i="2" s="1"/>
  <c r="G1797" i="2" l="1"/>
  <c r="E1214" i="2"/>
  <c r="H1216" i="2"/>
  <c r="H1217" i="2" s="1"/>
  <c r="D1215" i="2"/>
  <c r="E1215" i="2" s="1"/>
  <c r="H1218" i="2" l="1"/>
  <c r="H1219" i="2" s="1"/>
  <c r="D1217" i="2"/>
  <c r="E1217" i="2" s="1"/>
  <c r="E1216" i="2"/>
  <c r="G1798" i="2"/>
  <c r="Z1794" i="2"/>
  <c r="AE1794" i="2" l="1"/>
  <c r="G1799" i="2"/>
  <c r="G1800" i="2" s="1"/>
  <c r="E1218" i="2"/>
  <c r="D1219" i="2"/>
  <c r="E1219" i="2" s="1"/>
  <c r="H1220" i="2"/>
  <c r="H1221" i="2" s="1"/>
  <c r="H1222" i="2" s="1"/>
  <c r="H1223" i="2" s="1"/>
  <c r="H1224" i="2" s="1"/>
  <c r="E1220" i="2" l="1"/>
  <c r="H1225" i="2"/>
  <c r="D1224" i="2"/>
  <c r="G1801" i="2"/>
  <c r="G1802" i="2" l="1"/>
  <c r="G1803" i="2" s="1"/>
  <c r="Z1798" i="2"/>
  <c r="H1226" i="2"/>
  <c r="H1227" i="2" s="1"/>
  <c r="H1228" i="2" s="1"/>
  <c r="H1229" i="2" s="1"/>
  <c r="H1230" i="2" s="1"/>
  <c r="D1225" i="2"/>
  <c r="E1225" i="2" s="1"/>
  <c r="E1221" i="2"/>
  <c r="E1222" i="2" l="1"/>
  <c r="E1226" i="2"/>
  <c r="E1227" i="2" s="1"/>
  <c r="E1228" i="2" s="1"/>
  <c r="E1229" i="2" s="1"/>
  <c r="E1230" i="2" s="1"/>
  <c r="D1230" i="2"/>
  <c r="H1231" i="2"/>
  <c r="AE1798" i="2"/>
  <c r="G1804" i="2"/>
  <c r="G1805" i="2" s="1"/>
  <c r="G1806" i="2" s="1"/>
  <c r="G1807" i="2" s="1"/>
  <c r="G1808" i="2" s="1"/>
  <c r="Z1803" i="2"/>
  <c r="H1232" i="2" l="1"/>
  <c r="H1233" i="2" s="1"/>
  <c r="H1234" i="2" s="1"/>
  <c r="D1231" i="2"/>
  <c r="E1231" i="2" s="1"/>
  <c r="AE1803" i="2"/>
  <c r="G1809" i="2"/>
  <c r="G1810" i="2" s="1"/>
  <c r="G1811" i="2" s="1"/>
  <c r="G1812" i="2" s="1"/>
  <c r="G1813" i="2" s="1"/>
  <c r="G1814" i="2" s="1"/>
  <c r="G1815" i="2" s="1"/>
  <c r="Z1808" i="2"/>
  <c r="E1223" i="2"/>
  <c r="AE1808" i="2" l="1"/>
  <c r="G1816" i="2"/>
  <c r="E1224" i="2"/>
  <c r="E1232" i="2"/>
  <c r="H1235" i="2"/>
  <c r="D1234" i="2"/>
  <c r="G1817" i="2" l="1"/>
  <c r="G1818" i="2" s="1"/>
  <c r="D1235" i="2"/>
  <c r="E1235" i="2" s="1"/>
  <c r="H1236" i="2"/>
  <c r="H1237" i="2" s="1"/>
  <c r="E1233" i="2"/>
  <c r="E1234" i="2" l="1"/>
  <c r="H1238" i="2"/>
  <c r="H1239" i="2" s="1"/>
  <c r="D1237" i="2"/>
  <c r="E1237" i="2" s="1"/>
  <c r="E1236" i="2"/>
  <c r="G1819" i="2"/>
  <c r="E1238" i="2" l="1"/>
  <c r="H1240" i="2"/>
  <c r="H1241" i="2" s="1"/>
  <c r="D1239" i="2"/>
  <c r="E1239" i="2" s="1"/>
  <c r="G1820" i="2"/>
  <c r="Z1816" i="2"/>
  <c r="G1821" i="2" l="1"/>
  <c r="G1822" i="2" s="1"/>
  <c r="G1823" i="2" s="1"/>
  <c r="G1824" i="2" s="1"/>
  <c r="G1825" i="2" s="1"/>
  <c r="Z1820" i="2"/>
  <c r="E1240" i="2"/>
  <c r="AE1816" i="2"/>
  <c r="D1241" i="2"/>
  <c r="E1241" i="2" s="1"/>
  <c r="H1242" i="2"/>
  <c r="H1243" i="2" s="1"/>
  <c r="H1244" i="2" l="1"/>
  <c r="D1243" i="2"/>
  <c r="E1242" i="2"/>
  <c r="AE1820" i="2"/>
  <c r="G1826" i="2"/>
  <c r="G1827" i="2" s="1"/>
  <c r="G1828" i="2" s="1"/>
  <c r="G1829" i="2" s="1"/>
  <c r="G1830" i="2" s="1"/>
  <c r="Z1825" i="2"/>
  <c r="G1831" i="2" l="1"/>
  <c r="G1832" i="2" s="1"/>
  <c r="G1833" i="2" s="1"/>
  <c r="G1834" i="2" s="1"/>
  <c r="G1835" i="2" s="1"/>
  <c r="G1836" i="2" s="1"/>
  <c r="G1837" i="2" s="1"/>
  <c r="Z1830" i="2"/>
  <c r="E1243" i="2"/>
  <c r="E1244" i="2" s="1"/>
  <c r="AE1825" i="2"/>
  <c r="D1244" i="2"/>
  <c r="H1245" i="2"/>
  <c r="H1246" i="2" l="1"/>
  <c r="H1247" i="2" s="1"/>
  <c r="D1245" i="2"/>
  <c r="E1245" i="2" s="1"/>
  <c r="AE1830" i="2"/>
  <c r="G1838" i="2"/>
  <c r="G1839" i="2" l="1"/>
  <c r="E1246" i="2"/>
  <c r="D1247" i="2"/>
  <c r="E1247" i="2" s="1"/>
  <c r="H1248" i="2"/>
  <c r="H1249" i="2" s="1"/>
  <c r="H1250" i="2" l="1"/>
  <c r="H1251" i="2" s="1"/>
  <c r="D1249" i="2"/>
  <c r="E1249" i="2" s="1"/>
  <c r="E1248" i="2"/>
  <c r="G1840" i="2"/>
  <c r="G1841" i="2" s="1"/>
  <c r="G1842" i="2" l="1"/>
  <c r="G1843" i="2" s="1"/>
  <c r="E1250" i="2"/>
  <c r="H1252" i="2"/>
  <c r="H1253" i="2" s="1"/>
  <c r="H1254" i="2" s="1"/>
  <c r="H1255" i="2" s="1"/>
  <c r="H1256" i="2" s="1"/>
  <c r="D1251" i="2"/>
  <c r="E1251" i="2" s="1"/>
  <c r="E1252" i="2" l="1"/>
  <c r="D1256" i="2"/>
  <c r="H1257" i="2"/>
  <c r="G1844" i="2"/>
  <c r="Z1839" i="2"/>
  <c r="G1845" i="2" l="1"/>
  <c r="G1846" i="2" s="1"/>
  <c r="Z1844" i="2"/>
  <c r="H1258" i="2"/>
  <c r="H1259" i="2" s="1"/>
  <c r="H1260" i="2" s="1"/>
  <c r="H1261" i="2" s="1"/>
  <c r="H1262" i="2" s="1"/>
  <c r="D1257" i="2"/>
  <c r="E1257" i="2" s="1"/>
  <c r="AE1839" i="2"/>
  <c r="E1253" i="2"/>
  <c r="E1258" i="2" l="1"/>
  <c r="E1259" i="2" s="1"/>
  <c r="E1260" i="2" s="1"/>
  <c r="E1261" i="2" s="1"/>
  <c r="E1262" i="2" s="1"/>
  <c r="E1254" i="2"/>
  <c r="H1263" i="2"/>
  <c r="D1262" i="2"/>
  <c r="AE1844" i="2"/>
  <c r="G1847" i="2"/>
  <c r="Z1838" i="2"/>
  <c r="D1263" i="2" l="1"/>
  <c r="E1263" i="2" s="1"/>
  <c r="H1264" i="2"/>
  <c r="H1265" i="2" s="1"/>
  <c r="H1266" i="2" s="1"/>
  <c r="G1848" i="2"/>
  <c r="E1255" i="2"/>
  <c r="AE1838" i="2"/>
  <c r="G1849" i="2" l="1"/>
  <c r="G1850" i="2" s="1"/>
  <c r="E1256" i="2"/>
  <c r="D1266" i="2"/>
  <c r="H1267" i="2"/>
  <c r="E1264" i="2"/>
  <c r="E1265" i="2" l="1"/>
  <c r="H1268" i="2"/>
  <c r="H1269" i="2" s="1"/>
  <c r="D1267" i="2"/>
  <c r="E1267" i="2" s="1"/>
  <c r="G1851" i="2"/>
  <c r="G1852" i="2" s="1"/>
  <c r="E1268" i="2" l="1"/>
  <c r="D1269" i="2"/>
  <c r="E1269" i="2" s="1"/>
  <c r="H1270" i="2"/>
  <c r="H1271" i="2" s="1"/>
  <c r="G1853" i="2"/>
  <c r="Z1848" i="2"/>
  <c r="E1266" i="2"/>
  <c r="AE1848" i="2" l="1"/>
  <c r="G1854" i="2"/>
  <c r="G1855" i="2" s="1"/>
  <c r="H1272" i="2"/>
  <c r="H1273" i="2" s="1"/>
  <c r="D1271" i="2"/>
  <c r="E1271" i="2" s="1"/>
  <c r="E1270" i="2"/>
  <c r="H1274" i="2" l="1"/>
  <c r="H1275" i="2" s="1"/>
  <c r="D1273" i="2"/>
  <c r="E1273" i="2" s="1"/>
  <c r="G1856" i="2"/>
  <c r="G1857" i="2" s="1"/>
  <c r="E1272" i="2"/>
  <c r="G1858" i="2" l="1"/>
  <c r="G1859" i="2" s="1"/>
  <c r="Z1853" i="2"/>
  <c r="E1274" i="2"/>
  <c r="D1275" i="2"/>
  <c r="H1276" i="2"/>
  <c r="E1275" i="2" l="1"/>
  <c r="E1276" i="2" s="1"/>
  <c r="AE1853" i="2"/>
  <c r="H1277" i="2"/>
  <c r="D1276" i="2"/>
  <c r="G1860" i="2"/>
  <c r="G1861" i="2" l="1"/>
  <c r="G1862" i="2" s="1"/>
  <c r="G1863" i="2" s="1"/>
  <c r="G1864" i="2" s="1"/>
  <c r="G1865" i="2" s="1"/>
  <c r="G1866" i="2" s="1"/>
  <c r="G1867" i="2" s="1"/>
  <c r="G1868" i="2" s="1"/>
  <c r="G1869" i="2" s="1"/>
  <c r="G1870" i="2" s="1"/>
  <c r="G1871" i="2" s="1"/>
  <c r="G1872" i="2" s="1"/>
  <c r="G1873" i="2" s="1"/>
  <c r="G1874" i="2" s="1"/>
  <c r="G1875" i="2" s="1"/>
  <c r="H1278" i="2"/>
  <c r="H1279" i="2" s="1"/>
  <c r="D1277" i="2"/>
  <c r="E1277" i="2" s="1"/>
  <c r="Z1860" i="2" l="1"/>
  <c r="AE1860" i="2" s="1"/>
  <c r="E1278" i="2"/>
  <c r="H1280" i="2"/>
  <c r="H1281" i="2" s="1"/>
  <c r="D1279" i="2"/>
  <c r="E1279" i="2" s="1"/>
  <c r="G1876" i="2"/>
  <c r="G1877" i="2" s="1"/>
  <c r="G1878" i="2" s="1"/>
  <c r="Z1875" i="2"/>
  <c r="AE1875" i="2" l="1"/>
  <c r="G1879" i="2"/>
  <c r="E1280" i="2"/>
  <c r="D1281" i="2"/>
  <c r="E1281" i="2" s="1"/>
  <c r="H1282" i="2"/>
  <c r="H1283" i="2" s="1"/>
  <c r="H1284" i="2" l="1"/>
  <c r="H1285" i="2" s="1"/>
  <c r="H1286" i="2" s="1"/>
  <c r="H1287" i="2" s="1"/>
  <c r="H1288" i="2" s="1"/>
  <c r="D1283" i="2"/>
  <c r="E1283" i="2" s="1"/>
  <c r="E1282" i="2"/>
  <c r="G1880" i="2"/>
  <c r="G1881" i="2" s="1"/>
  <c r="G1882" i="2" l="1"/>
  <c r="G1883" i="2" s="1"/>
  <c r="E1284" i="2"/>
  <c r="H1289" i="2"/>
  <c r="D1288" i="2"/>
  <c r="H1290" i="2" l="1"/>
  <c r="H1291" i="2" s="1"/>
  <c r="H1292" i="2" s="1"/>
  <c r="H1293" i="2" s="1"/>
  <c r="H1294" i="2" s="1"/>
  <c r="D1289" i="2"/>
  <c r="E1289" i="2" s="1"/>
  <c r="E1285" i="2"/>
  <c r="G1884" i="2"/>
  <c r="G1885" i="2" s="1"/>
  <c r="Z1879" i="2"/>
  <c r="AE1879" i="2" l="1"/>
  <c r="G1886" i="2"/>
  <c r="E1286" i="2"/>
  <c r="E1290" i="2"/>
  <c r="E1291" i="2" s="1"/>
  <c r="E1292" i="2" s="1"/>
  <c r="E1293" i="2" s="1"/>
  <c r="E1294" i="2" s="1"/>
  <c r="D1294" i="2"/>
  <c r="H1295" i="2"/>
  <c r="H1296" i="2" l="1"/>
  <c r="H1297" i="2" s="1"/>
  <c r="H1298" i="2" s="1"/>
  <c r="D1295" i="2"/>
  <c r="E1295" i="2" s="1"/>
  <c r="E1287" i="2"/>
  <c r="G1887" i="2"/>
  <c r="G1888" i="2" s="1"/>
  <c r="E1288" i="2" l="1"/>
  <c r="E1296" i="2"/>
  <c r="G1889" i="2"/>
  <c r="G1890" i="2" s="1"/>
  <c r="G1891" i="2" s="1"/>
  <c r="G1892" i="2" s="1"/>
  <c r="G1893" i="2" s="1"/>
  <c r="H1299" i="2"/>
  <c r="D1298" i="2"/>
  <c r="G1894" i="2" l="1"/>
  <c r="G1895" i="2" s="1"/>
  <c r="G1896" i="2" s="1"/>
  <c r="G1897" i="2" s="1"/>
  <c r="G1898" i="2" s="1"/>
  <c r="G1899" i="2" s="1"/>
  <c r="G1900" i="2" s="1"/>
  <c r="G1901" i="2" s="1"/>
  <c r="G1902" i="2" s="1"/>
  <c r="G1903" i="2" s="1"/>
  <c r="G1904" i="2" s="1"/>
  <c r="G1905" i="2" s="1"/>
  <c r="G1906" i="2" s="1"/>
  <c r="G1907" i="2" s="1"/>
  <c r="G1908" i="2" s="1"/>
  <c r="G1909" i="2" s="1"/>
  <c r="G1910" i="2" s="1"/>
  <c r="G1911" i="2" s="1"/>
  <c r="Z1893" i="2"/>
  <c r="D1299" i="2"/>
  <c r="E1299" i="2" s="1"/>
  <c r="H1300" i="2"/>
  <c r="H1301" i="2" s="1"/>
  <c r="E1297" i="2"/>
  <c r="E1298" i="2" l="1"/>
  <c r="H1302" i="2"/>
  <c r="H1303" i="2" s="1"/>
  <c r="D1301" i="2"/>
  <c r="E1301" i="2" s="1"/>
  <c r="E1300" i="2"/>
  <c r="AE1893" i="2"/>
  <c r="G1912" i="2"/>
  <c r="G1913" i="2" s="1"/>
  <c r="G1914" i="2" s="1"/>
  <c r="Z1911" i="2"/>
  <c r="AE1911" i="2" l="1"/>
  <c r="G1915" i="2"/>
  <c r="E1302" i="2"/>
  <c r="H1304" i="2"/>
  <c r="H1305" i="2" s="1"/>
  <c r="D1303" i="2"/>
  <c r="E1303" i="2" s="1"/>
  <c r="D1305" i="2" l="1"/>
  <c r="E1305" i="2" s="1"/>
  <c r="H1306" i="2"/>
  <c r="H1307" i="2" s="1"/>
  <c r="E1304" i="2"/>
  <c r="G1916" i="2"/>
  <c r="G1917" i="2" s="1"/>
  <c r="G1918" i="2" l="1"/>
  <c r="G1919" i="2" s="1"/>
  <c r="H1308" i="2"/>
  <c r="D1307" i="2"/>
  <c r="E1306" i="2"/>
  <c r="E1307" i="2" l="1"/>
  <c r="E1308" i="2" s="1"/>
  <c r="H1309" i="2"/>
  <c r="D1308" i="2"/>
  <c r="G1920" i="2"/>
  <c r="G1921" i="2" s="1"/>
  <c r="Z1915" i="2"/>
  <c r="G1922" i="2" l="1"/>
  <c r="H1310" i="2"/>
  <c r="H1311" i="2" s="1"/>
  <c r="D1309" i="2"/>
  <c r="E1309" i="2" s="1"/>
  <c r="AE1915" i="2"/>
  <c r="D1311" i="2" l="1"/>
  <c r="E1311" i="2" s="1"/>
  <c r="H1312" i="2"/>
  <c r="H1313" i="2" s="1"/>
  <c r="E1310" i="2"/>
  <c r="G1923" i="2"/>
  <c r="G1924" i="2" s="1"/>
  <c r="G1925" i="2" s="1"/>
  <c r="G1926" i="2" s="1"/>
  <c r="G1927" i="2" s="1"/>
  <c r="Z1922" i="2"/>
  <c r="AE1922" i="2" l="1"/>
  <c r="G1928" i="2"/>
  <c r="G1929" i="2" s="1"/>
  <c r="G1930" i="2" s="1"/>
  <c r="G1931" i="2" s="1"/>
  <c r="G1932" i="2" s="1"/>
  <c r="G1933" i="2" s="1"/>
  <c r="G1934" i="2" s="1"/>
  <c r="G1935" i="2" s="1"/>
  <c r="G1936" i="2" s="1"/>
  <c r="G1937" i="2" s="1"/>
  <c r="G1938" i="2" s="1"/>
  <c r="G1939" i="2" s="1"/>
  <c r="Z1927" i="2"/>
  <c r="H1314" i="2"/>
  <c r="H1315" i="2" s="1"/>
  <c r="D1313" i="2"/>
  <c r="E1313" i="2" s="1"/>
  <c r="E1312" i="2"/>
  <c r="AE1927" i="2" l="1"/>
  <c r="G1940" i="2"/>
  <c r="G1941" i="2" s="1"/>
  <c r="G1942" i="2" s="1"/>
  <c r="Z1939" i="2"/>
  <c r="E1314" i="2"/>
  <c r="H1316" i="2"/>
  <c r="H1317" i="2" s="1"/>
  <c r="H1318" i="2" s="1"/>
  <c r="H1319" i="2" s="1"/>
  <c r="H1320" i="2" s="1"/>
  <c r="D1315" i="2"/>
  <c r="E1315" i="2" s="1"/>
  <c r="H1321" i="2" l="1"/>
  <c r="D1320" i="2"/>
  <c r="E1316" i="2"/>
  <c r="AE1939" i="2"/>
  <c r="G1943" i="2"/>
  <c r="G1944" i="2" l="1"/>
  <c r="G1945" i="2" s="1"/>
  <c r="E1317" i="2"/>
  <c r="H1322" i="2"/>
  <c r="H1323" i="2" s="1"/>
  <c r="H1324" i="2" s="1"/>
  <c r="H1325" i="2" s="1"/>
  <c r="H1326" i="2" s="1"/>
  <c r="H1327" i="2" s="1"/>
  <c r="D1321" i="2"/>
  <c r="E1321" i="2" s="1"/>
  <c r="H1328" i="2" l="1"/>
  <c r="H1329" i="2" s="1"/>
  <c r="H1330" i="2" s="1"/>
  <c r="H1331" i="2" s="1"/>
  <c r="H1332" i="2" s="1"/>
  <c r="D1327" i="2"/>
  <c r="E1327" i="2" s="1"/>
  <c r="E1318" i="2"/>
  <c r="E1322" i="2"/>
  <c r="E1323" i="2" s="1"/>
  <c r="E1324" i="2" s="1"/>
  <c r="E1325" i="2" s="1"/>
  <c r="E1326" i="2" s="1"/>
  <c r="G1946" i="2"/>
  <c r="G1947" i="2" s="1"/>
  <c r="E1319" i="2" l="1"/>
  <c r="G1948" i="2"/>
  <c r="Z1943" i="2"/>
  <c r="E1328" i="2"/>
  <c r="E1329" i="2" s="1"/>
  <c r="E1330" i="2" s="1"/>
  <c r="E1331" i="2" s="1"/>
  <c r="E1332" i="2" s="1"/>
  <c r="H1333" i="2"/>
  <c r="D1332" i="2"/>
  <c r="H1334" i="2" l="1"/>
  <c r="H1335" i="2" s="1"/>
  <c r="H1336" i="2" s="1"/>
  <c r="D1333" i="2"/>
  <c r="E1333" i="2" s="1"/>
  <c r="AE1943" i="2"/>
  <c r="G1949" i="2"/>
  <c r="G1950" i="2" s="1"/>
  <c r="E1320" i="2"/>
  <c r="G1951" i="2" l="1"/>
  <c r="G1952" i="2" s="1"/>
  <c r="E1334" i="2"/>
  <c r="D1336" i="2"/>
  <c r="H1337" i="2"/>
  <c r="E1335" i="2" l="1"/>
  <c r="D1337" i="2"/>
  <c r="E1337" i="2" s="1"/>
  <c r="H1338" i="2"/>
  <c r="H1339" i="2" s="1"/>
  <c r="G1953" i="2"/>
  <c r="G1954" i="2" s="1"/>
  <c r="G1955" i="2" s="1"/>
  <c r="G1956" i="2" s="1"/>
  <c r="G1957" i="2" s="1"/>
  <c r="Z1948" i="2"/>
  <c r="AE1948" i="2" l="1"/>
  <c r="H1340" i="2"/>
  <c r="H1341" i="2" s="1"/>
  <c r="D1339" i="2"/>
  <c r="E1339" i="2" s="1"/>
  <c r="E1338" i="2"/>
  <c r="G1958" i="2"/>
  <c r="E1336" i="2"/>
  <c r="G1959" i="2" l="1"/>
  <c r="E1340" i="2"/>
  <c r="H1342" i="2"/>
  <c r="H1343" i="2" s="1"/>
  <c r="D1341" i="2"/>
  <c r="E1341" i="2" s="1"/>
  <c r="E1342" i="2" l="1"/>
  <c r="D1343" i="2"/>
  <c r="E1343" i="2" s="1"/>
  <c r="H1344" i="2"/>
  <c r="H1345" i="2" s="1"/>
  <c r="G1960" i="2"/>
  <c r="G1961" i="2" s="1"/>
  <c r="Z1959" i="2"/>
  <c r="AE1959" i="2" l="1"/>
  <c r="H1346" i="2"/>
  <c r="D1345" i="2"/>
  <c r="E1344" i="2"/>
  <c r="G1962" i="2"/>
  <c r="G1963" i="2" l="1"/>
  <c r="G1964" i="2" s="1"/>
  <c r="Z1962" i="2"/>
  <c r="E1345" i="2"/>
  <c r="E1346" i="2" s="1"/>
  <c r="H1347" i="2"/>
  <c r="D1346" i="2"/>
  <c r="AE1962" i="2" l="1"/>
  <c r="H1348" i="2"/>
  <c r="H1349" i="2" s="1"/>
  <c r="D1347" i="2"/>
  <c r="E1347" i="2" s="1"/>
  <c r="G1965" i="2"/>
  <c r="Z1958" i="2"/>
  <c r="E1348" i="2" l="1"/>
  <c r="AE1958" i="2"/>
  <c r="D1349" i="2"/>
  <c r="E1349" i="2" s="1"/>
  <c r="H1350" i="2"/>
  <c r="H1351" i="2" s="1"/>
  <c r="G1966" i="2"/>
  <c r="E1350" i="2" l="1"/>
  <c r="G1967" i="2"/>
  <c r="G1968" i="2" s="1"/>
  <c r="H1352" i="2"/>
  <c r="H1353" i="2" s="1"/>
  <c r="D1351" i="2"/>
  <c r="E1351" i="2" s="1"/>
  <c r="E1352" i="2" l="1"/>
  <c r="D1353" i="2"/>
  <c r="E1353" i="2" s="1"/>
  <c r="H1354" i="2"/>
  <c r="H1355" i="2" s="1"/>
  <c r="H1356" i="2" s="1"/>
  <c r="H1357" i="2" s="1"/>
  <c r="H1358" i="2" s="1"/>
  <c r="G1969" i="2"/>
  <c r="H1359" i="2" l="1"/>
  <c r="D1358" i="2"/>
  <c r="E1354" i="2"/>
  <c r="G1970" i="2"/>
  <c r="G1971" i="2" l="1"/>
  <c r="E1355" i="2"/>
  <c r="H1360" i="2"/>
  <c r="H1361" i="2" s="1"/>
  <c r="H1362" i="2" s="1"/>
  <c r="D1359" i="2"/>
  <c r="E1359" i="2" s="1"/>
  <c r="H1363" i="2" l="1"/>
  <c r="D1362" i="2"/>
  <c r="E1360" i="2"/>
  <c r="E1361" i="2" s="1"/>
  <c r="E1362" i="2" s="1"/>
  <c r="E1356" i="2"/>
  <c r="G1972" i="2"/>
  <c r="G1973" i="2" s="1"/>
  <c r="G1974" i="2" s="1"/>
  <c r="G1975" i="2" s="1"/>
  <c r="G1976" i="2" s="1"/>
  <c r="G1977" i="2" s="1"/>
  <c r="G1978" i="2" s="1"/>
  <c r="G1979" i="2" s="1"/>
  <c r="G1980" i="2" s="1"/>
  <c r="G1981" i="2" s="1"/>
  <c r="G1982" i="2" s="1"/>
  <c r="G1983" i="2" s="1"/>
  <c r="G1984" i="2" s="1"/>
  <c r="G1985" i="2" s="1"/>
  <c r="G1986" i="2" s="1"/>
  <c r="G1987" i="2" s="1"/>
  <c r="G1988" i="2" s="1"/>
  <c r="G1989" i="2" s="1"/>
  <c r="G1990" i="2" s="1"/>
  <c r="G1991" i="2" s="1"/>
  <c r="Z1966" i="2"/>
  <c r="E1357" i="2" l="1"/>
  <c r="G1992" i="2"/>
  <c r="G1993" i="2" s="1"/>
  <c r="G1994" i="2" s="1"/>
  <c r="Z1991" i="2"/>
  <c r="AE1966" i="2"/>
  <c r="H1364" i="2"/>
  <c r="H1365" i="2" s="1"/>
  <c r="D1363" i="2"/>
  <c r="E1363" i="2" s="1"/>
  <c r="H1366" i="2" l="1"/>
  <c r="H1367" i="2" s="1"/>
  <c r="D1365" i="2"/>
  <c r="E1365" i="2" s="1"/>
  <c r="AE1991" i="2"/>
  <c r="G1995" i="2"/>
  <c r="E1364" i="2"/>
  <c r="E1358" i="2"/>
  <c r="G1996" i="2" l="1"/>
  <c r="G1997" i="2" s="1"/>
  <c r="E1366" i="2"/>
  <c r="D1367" i="2"/>
  <c r="E1367" i="2" s="1"/>
  <c r="H1368" i="2"/>
  <c r="H1369" i="2" s="1"/>
  <c r="Y1367" i="2" l="1"/>
  <c r="E1368" i="2"/>
  <c r="Y1359" i="2"/>
  <c r="Y1349" i="2"/>
  <c r="Y1353" i="2"/>
  <c r="Y1363" i="2"/>
  <c r="H1370" i="2"/>
  <c r="D1369" i="2"/>
  <c r="G1998" i="2"/>
  <c r="G1999" i="2" l="1"/>
  <c r="H1371" i="2"/>
  <c r="D1370" i="2"/>
  <c r="Z1363" i="2"/>
  <c r="D77" i="72"/>
  <c r="D73" i="72"/>
  <c r="Z1353" i="2"/>
  <c r="D71" i="72"/>
  <c r="Z1349" i="2"/>
  <c r="D75" i="72"/>
  <c r="Z1359" i="2"/>
  <c r="E1369" i="2"/>
  <c r="E1370" i="2" s="1"/>
  <c r="E1371" i="2" s="1"/>
  <c r="Y1365" i="2"/>
  <c r="D79" i="72"/>
  <c r="Z1367" i="2"/>
  <c r="AE1353" i="2" l="1"/>
  <c r="E73" i="72"/>
  <c r="AE1367" i="2"/>
  <c r="E79" i="72"/>
  <c r="AE1363" i="2"/>
  <c r="E77" i="72"/>
  <c r="D78" i="72"/>
  <c r="Z1365" i="2"/>
  <c r="AE1359" i="2"/>
  <c r="E75" i="72"/>
  <c r="H1372" i="2"/>
  <c r="D1371" i="2"/>
  <c r="AE1349" i="2"/>
  <c r="E71" i="72"/>
  <c r="G2000" i="2"/>
  <c r="D1372" i="2" l="1"/>
  <c r="E1372" i="2" s="1"/>
  <c r="H1373" i="2"/>
  <c r="H1374" i="2" s="1"/>
  <c r="G2001" i="2"/>
  <c r="AE1365" i="2"/>
  <c r="E78" i="72"/>
  <c r="G2002" i="2" l="1"/>
  <c r="H1375" i="2"/>
  <c r="H1376" i="2" s="1"/>
  <c r="D1374" i="2"/>
  <c r="E1374" i="2" s="1"/>
  <c r="E1373" i="2"/>
  <c r="E1375" i="2" l="1"/>
  <c r="H1377" i="2"/>
  <c r="H1378" i="2" s="1"/>
  <c r="H1379" i="2" s="1"/>
  <c r="H1380" i="2" s="1"/>
  <c r="H1381" i="2" s="1"/>
  <c r="D1376" i="2"/>
  <c r="E1376" i="2" s="1"/>
  <c r="G2003" i="2"/>
  <c r="G2004" i="2" s="1"/>
  <c r="G2005" i="2" s="1"/>
  <c r="Z1995" i="2"/>
  <c r="G2006" i="2" l="1"/>
  <c r="G2007" i="2" s="1"/>
  <c r="G2008" i="2" s="1"/>
  <c r="Z2005" i="2"/>
  <c r="AE1995" i="2"/>
  <c r="E1377" i="2"/>
  <c r="H1382" i="2"/>
  <c r="D1381" i="2"/>
  <c r="E1378" i="2" l="1"/>
  <c r="H1383" i="2"/>
  <c r="H1384" i="2" s="1"/>
  <c r="D1382" i="2"/>
  <c r="E1382" i="2" s="1"/>
  <c r="AE2005" i="2"/>
  <c r="G2009" i="2"/>
  <c r="E1383" i="2" l="1"/>
  <c r="G2010" i="2"/>
  <c r="G2011" i="2" s="1"/>
  <c r="D1384" i="2"/>
  <c r="E1384" i="2" s="1"/>
  <c r="H1385" i="2"/>
  <c r="H1386" i="2" s="1"/>
  <c r="E1379" i="2"/>
  <c r="E1385" i="2" l="1"/>
  <c r="E1386" i="2" s="1"/>
  <c r="E1387" i="2" s="1"/>
  <c r="G2012" i="2"/>
  <c r="E1380" i="2"/>
  <c r="H1387" i="2"/>
  <c r="D1386" i="2"/>
  <c r="E1381" i="2" l="1"/>
  <c r="G2013" i="2"/>
  <c r="H1388" i="2"/>
  <c r="D1387" i="2"/>
  <c r="H1389" i="2" l="1"/>
  <c r="H1390" i="2" s="1"/>
  <c r="D1388" i="2"/>
  <c r="E1388" i="2" s="1"/>
  <c r="G2014" i="2"/>
  <c r="E1389" i="2" l="1"/>
  <c r="G2015" i="2"/>
  <c r="D1390" i="2"/>
  <c r="E1390" i="2" s="1"/>
  <c r="H1391" i="2"/>
  <c r="H1392" i="2" s="1"/>
  <c r="H1393" i="2" l="1"/>
  <c r="H1394" i="2" s="1"/>
  <c r="H1395" i="2" s="1"/>
  <c r="H1396" i="2" s="1"/>
  <c r="H1397" i="2" s="1"/>
  <c r="D1392" i="2"/>
  <c r="E1392" i="2" s="1"/>
  <c r="G2016" i="2"/>
  <c r="G2017" i="2" s="1"/>
  <c r="G2018" i="2" s="1"/>
  <c r="G2019" i="2" s="1"/>
  <c r="G2020" i="2" s="1"/>
  <c r="G2021" i="2" s="1"/>
  <c r="G2022" i="2" s="1"/>
  <c r="G2023" i="2" s="1"/>
  <c r="G2024" i="2" s="1"/>
  <c r="G2025" i="2" s="1"/>
  <c r="G2026" i="2" s="1"/>
  <c r="G2027" i="2" s="1"/>
  <c r="G2028" i="2" s="1"/>
  <c r="G2029" i="2" s="1"/>
  <c r="G2030" i="2" s="1"/>
  <c r="G2031" i="2" s="1"/>
  <c r="G2032" i="2" s="1"/>
  <c r="G2033" i="2" s="1"/>
  <c r="G2034" i="2" s="1"/>
  <c r="G2035" i="2" s="1"/>
  <c r="G2036" i="2" s="1"/>
  <c r="G2037" i="2" s="1"/>
  <c r="G2038" i="2" s="1"/>
  <c r="G2039" i="2" s="1"/>
  <c r="G2040" i="2" s="1"/>
  <c r="G2041" i="2" s="1"/>
  <c r="G2042" i="2" s="1"/>
  <c r="G2043" i="2" s="1"/>
  <c r="G2044" i="2" s="1"/>
  <c r="G2045" i="2" s="1"/>
  <c r="G2046" i="2" s="1"/>
  <c r="G2047" i="2" s="1"/>
  <c r="G2048" i="2" s="1"/>
  <c r="G2049" i="2" s="1"/>
  <c r="G2050" i="2" s="1"/>
  <c r="G2051" i="2" s="1"/>
  <c r="G2052" i="2" s="1"/>
  <c r="G2053" i="2" s="1"/>
  <c r="G2054" i="2" s="1"/>
  <c r="G2055" i="2" s="1"/>
  <c r="G2056" i="2" s="1"/>
  <c r="G2057" i="2" s="1"/>
  <c r="G2058" i="2" s="1"/>
  <c r="E1391" i="2"/>
  <c r="G2059" i="2" l="1"/>
  <c r="G2060" i="2" s="1"/>
  <c r="G2061" i="2" s="1"/>
  <c r="Z2058" i="2"/>
  <c r="E1393" i="2"/>
  <c r="D1397" i="2"/>
  <c r="H1398" i="2"/>
  <c r="D1398" i="2" l="1"/>
  <c r="E1398" i="2" s="1"/>
  <c r="H1399" i="2"/>
  <c r="H1400" i="2" s="1"/>
  <c r="H1401" i="2" s="1"/>
  <c r="H1402" i="2" s="1"/>
  <c r="H1403" i="2" s="1"/>
  <c r="H1404" i="2" s="1"/>
  <c r="H1405" i="2" s="1"/>
  <c r="H1406" i="2" s="1"/>
  <c r="E1394" i="2"/>
  <c r="AE2058" i="2"/>
  <c r="G2062" i="2"/>
  <c r="G2063" i="2" l="1"/>
  <c r="E1395" i="2"/>
  <c r="H1407" i="2"/>
  <c r="D1406" i="2"/>
  <c r="E1399" i="2"/>
  <c r="E1400" i="2" s="1"/>
  <c r="E1401" i="2" s="1"/>
  <c r="E1402" i="2" s="1"/>
  <c r="E1403" i="2" s="1"/>
  <c r="E1404" i="2" s="1"/>
  <c r="E1405" i="2" s="1"/>
  <c r="E1406" i="2" s="1"/>
  <c r="H1408" i="2" l="1"/>
  <c r="H1409" i="2" s="1"/>
  <c r="D1407" i="2"/>
  <c r="E1407" i="2" s="1"/>
  <c r="E1396" i="2"/>
  <c r="G2064" i="2"/>
  <c r="G2065" i="2" s="1"/>
  <c r="G2066" i="2" l="1"/>
  <c r="E1397" i="2"/>
  <c r="E1408" i="2"/>
  <c r="H1410" i="2"/>
  <c r="H1411" i="2" s="1"/>
  <c r="D1409" i="2"/>
  <c r="E1409" i="2" s="1"/>
  <c r="E1410" i="2" l="1"/>
  <c r="D1411" i="2"/>
  <c r="H1412" i="2"/>
  <c r="G2067" i="2"/>
  <c r="G2068" i="2" l="1"/>
  <c r="G2069" i="2" s="1"/>
  <c r="H1413" i="2"/>
  <c r="D1412" i="2"/>
  <c r="E1411" i="2"/>
  <c r="E1412" i="2" s="1"/>
  <c r="H1414" i="2" l="1"/>
  <c r="H1415" i="2" s="1"/>
  <c r="D1413" i="2"/>
  <c r="E1413" i="2" s="1"/>
  <c r="G2070" i="2"/>
  <c r="G2071" i="2" s="1"/>
  <c r="G2072" i="2" s="1"/>
  <c r="G2073" i="2" s="1"/>
  <c r="G2074" i="2" s="1"/>
  <c r="G2075" i="2" s="1"/>
  <c r="G2076" i="2" s="1"/>
  <c r="G2077" i="2" s="1"/>
  <c r="G2078" i="2" s="1"/>
  <c r="G2079" i="2" s="1"/>
  <c r="G2080" i="2" s="1"/>
  <c r="G2081" i="2" s="1"/>
  <c r="G2082" i="2" s="1"/>
  <c r="G2083" i="2" s="1"/>
  <c r="Z2063" i="2"/>
  <c r="G2084" i="2" l="1"/>
  <c r="G2085" i="2" s="1"/>
  <c r="G2086" i="2" s="1"/>
  <c r="Z2083" i="2"/>
  <c r="E1414" i="2"/>
  <c r="AE2063" i="2"/>
  <c r="H1416" i="2"/>
  <c r="H1417" i="2" s="1"/>
  <c r="D1415" i="2"/>
  <c r="E1415" i="2" s="1"/>
  <c r="E1416" i="2" l="1"/>
  <c r="D1417" i="2"/>
  <c r="H1418" i="2"/>
  <c r="AE2083" i="2"/>
  <c r="G2087" i="2"/>
  <c r="G2088" i="2" s="1"/>
  <c r="G2089" i="2" s="1"/>
  <c r="Z2086" i="2"/>
  <c r="AE2086" i="2" l="1"/>
  <c r="G2090" i="2"/>
  <c r="H1419" i="2"/>
  <c r="H1420" i="2" s="1"/>
  <c r="H1421" i="2" s="1"/>
  <c r="H1422" i="2" s="1"/>
  <c r="H1423" i="2" s="1"/>
  <c r="H1424" i="2" s="1"/>
  <c r="H1425" i="2" s="1"/>
  <c r="H1426" i="2" s="1"/>
  <c r="D1418" i="2"/>
  <c r="E1418" i="2" s="1"/>
  <c r="E1417" i="2"/>
  <c r="H1427" i="2" l="1"/>
  <c r="D1426" i="2"/>
  <c r="G2091" i="2"/>
  <c r="E1419" i="2"/>
  <c r="E1420" i="2" l="1"/>
  <c r="G2092" i="2"/>
  <c r="G2093" i="2" s="1"/>
  <c r="H1428" i="2"/>
  <c r="H1429" i="2" s="1"/>
  <c r="D1427" i="2"/>
  <c r="E1427" i="2" s="1"/>
  <c r="G2094" i="2" l="1"/>
  <c r="G2095" i="2" s="1"/>
  <c r="E1428" i="2"/>
  <c r="E1429" i="2" s="1"/>
  <c r="E1430" i="2" s="1"/>
  <c r="D1429" i="2"/>
  <c r="H1430" i="2"/>
  <c r="E1421" i="2"/>
  <c r="E1422" i="2" l="1"/>
  <c r="H1431" i="2"/>
  <c r="D1430" i="2"/>
  <c r="G2096" i="2"/>
  <c r="G2097" i="2" s="1"/>
  <c r="G2098" i="2" l="1"/>
  <c r="G2099" i="2" s="1"/>
  <c r="D1431" i="2"/>
  <c r="E1431" i="2" s="1"/>
  <c r="H1432" i="2"/>
  <c r="H1433" i="2" s="1"/>
  <c r="E1423" i="2"/>
  <c r="E1424" i="2" l="1"/>
  <c r="H1434" i="2"/>
  <c r="H1435" i="2" s="1"/>
  <c r="D1433" i="2"/>
  <c r="E1433" i="2" s="1"/>
  <c r="E1432" i="2"/>
  <c r="G2100" i="2"/>
  <c r="E1434" i="2" l="1"/>
  <c r="E1435" i="2" s="1"/>
  <c r="D1435" i="2"/>
  <c r="H1436" i="2"/>
  <c r="G2101" i="2"/>
  <c r="E1425" i="2"/>
  <c r="G2102" i="2" l="1"/>
  <c r="Z2091" i="2"/>
  <c r="E1426" i="2"/>
  <c r="H1437" i="2"/>
  <c r="H1438" i="2" s="1"/>
  <c r="H1439" i="2" s="1"/>
  <c r="H1440" i="2" s="1"/>
  <c r="H1441" i="2" s="1"/>
  <c r="H1442" i="2" s="1"/>
  <c r="H1443" i="2" s="1"/>
  <c r="H1444" i="2" s="1"/>
  <c r="D1436" i="2"/>
  <c r="E1436" i="2" s="1"/>
  <c r="E1437" i="2" l="1"/>
  <c r="D1444" i="2"/>
  <c r="H1445" i="2"/>
  <c r="AE2091" i="2"/>
  <c r="G2103" i="2"/>
  <c r="G2104" i="2" s="1"/>
  <c r="H1446" i="2" l="1"/>
  <c r="H1447" i="2" s="1"/>
  <c r="D1445" i="2"/>
  <c r="E1445" i="2" s="1"/>
  <c r="G2105" i="2"/>
  <c r="G2106" i="2" s="1"/>
  <c r="E1438" i="2"/>
  <c r="E1439" i="2" l="1"/>
  <c r="G2107" i="2"/>
  <c r="Z2102" i="2"/>
  <c r="E1446" i="2"/>
  <c r="E1447" i="2" s="1"/>
  <c r="E1448" i="2" s="1"/>
  <c r="D1447" i="2"/>
  <c r="H1448" i="2"/>
  <c r="H1449" i="2" l="1"/>
  <c r="D1448" i="2"/>
  <c r="AE2102" i="2"/>
  <c r="G2108" i="2"/>
  <c r="G2109" i="2" s="1"/>
  <c r="G2110" i="2" s="1"/>
  <c r="G2111" i="2" s="1"/>
  <c r="G2112" i="2" s="1"/>
  <c r="G2113" i="2" s="1"/>
  <c r="G2114" i="2" s="1"/>
  <c r="Z2107" i="2"/>
  <c r="E1440" i="2"/>
  <c r="E1441" i="2" l="1"/>
  <c r="AE2107" i="2"/>
  <c r="G2115" i="2"/>
  <c r="G2116" i="2" s="1"/>
  <c r="G2117" i="2" s="1"/>
  <c r="G2118" i="2" s="1"/>
  <c r="G2119" i="2" s="1"/>
  <c r="G2120" i="2" s="1"/>
  <c r="G2121" i="2" s="1"/>
  <c r="Z2114" i="2"/>
  <c r="D1449" i="2"/>
  <c r="E1449" i="2" s="1"/>
  <c r="H1450" i="2"/>
  <c r="H1451" i="2" s="1"/>
  <c r="E1450" i="2" l="1"/>
  <c r="AE2114" i="2"/>
  <c r="G2122" i="2"/>
  <c r="D1451" i="2"/>
  <c r="E1451" i="2" s="1"/>
  <c r="H1452" i="2"/>
  <c r="H1453" i="2" s="1"/>
  <c r="E1442" i="2"/>
  <c r="H1454" i="2" l="1"/>
  <c r="D1453" i="2"/>
  <c r="G2123" i="2"/>
  <c r="E1452" i="2"/>
  <c r="E1453" i="2" s="1"/>
  <c r="E1443" i="2"/>
  <c r="E1444" i="2" l="1"/>
  <c r="G2124" i="2"/>
  <c r="G2125" i="2" s="1"/>
  <c r="Z2123" i="2"/>
  <c r="H1455" i="2"/>
  <c r="H1456" i="2" s="1"/>
  <c r="D1454" i="2"/>
  <c r="E1454" i="2" s="1"/>
  <c r="E1455" i="2" l="1"/>
  <c r="Y1454" i="2"/>
  <c r="Z1454" i="2" s="1"/>
  <c r="D1456" i="2"/>
  <c r="H1457" i="2"/>
  <c r="AE2123" i="2"/>
  <c r="G2126" i="2"/>
  <c r="G2127" i="2" l="1"/>
  <c r="G2128" i="2" s="1"/>
  <c r="Z2126" i="2"/>
  <c r="D1457" i="2"/>
  <c r="H1458" i="2"/>
  <c r="AE1454" i="2"/>
  <c r="E1456" i="2"/>
  <c r="E1457" i="2" s="1"/>
  <c r="E1458" i="2" s="1"/>
  <c r="Y1445" i="2"/>
  <c r="Z1445" i="2" s="1"/>
  <c r="Y1451" i="2"/>
  <c r="Z1451" i="2" s="1"/>
  <c r="Y1436" i="2"/>
  <c r="Z1436" i="2" s="1"/>
  <c r="Y1449" i="2"/>
  <c r="Z1449" i="2" s="1"/>
  <c r="AE1445" i="2" l="1"/>
  <c r="AE1436" i="2"/>
  <c r="AE1449" i="2"/>
  <c r="H1459" i="2"/>
  <c r="D1458" i="2"/>
  <c r="AE2126" i="2"/>
  <c r="AE1451" i="2"/>
  <c r="G2129" i="2"/>
  <c r="H1460" i="2" l="1"/>
  <c r="H1461" i="2" s="1"/>
  <c r="H1462" i="2" s="1"/>
  <c r="D1459" i="2"/>
  <c r="E1459" i="2" s="1"/>
  <c r="G2130" i="2"/>
  <c r="G2131" i="2" s="1"/>
  <c r="Z2129" i="2"/>
  <c r="AE2129" i="2" l="1"/>
  <c r="G2132" i="2"/>
  <c r="E1460" i="2"/>
  <c r="E1461" i="2" s="1"/>
  <c r="D1462" i="2"/>
  <c r="E1462" i="2" s="1"/>
  <c r="H1463" i="2"/>
  <c r="H1464" i="2" s="1"/>
  <c r="H1465" i="2" s="1"/>
  <c r="E1463" i="2" l="1"/>
  <c r="H1466" i="2"/>
  <c r="D1465" i="2"/>
  <c r="G2133" i="2"/>
  <c r="G2134" i="2" s="1"/>
  <c r="G2135" i="2" l="1"/>
  <c r="H1467" i="2"/>
  <c r="H1468" i="2" s="1"/>
  <c r="H1469" i="2" s="1"/>
  <c r="H1470" i="2" s="1"/>
  <c r="H1471" i="2" s="1"/>
  <c r="D1466" i="2"/>
  <c r="E1466" i="2" s="1"/>
  <c r="E1464" i="2"/>
  <c r="E1465" i="2" l="1"/>
  <c r="H1472" i="2"/>
  <c r="H1473" i="2" s="1"/>
  <c r="H1474" i="2" s="1"/>
  <c r="H1475" i="2" s="1"/>
  <c r="H1476" i="2" s="1"/>
  <c r="H1477" i="2" s="1"/>
  <c r="D1471" i="2"/>
  <c r="E1471" i="2" s="1"/>
  <c r="E1467" i="2"/>
  <c r="G2136" i="2"/>
  <c r="G2137" i="2" s="1"/>
  <c r="G2138" i="2" s="1"/>
  <c r="G2139" i="2" s="1"/>
  <c r="G2140" i="2" s="1"/>
  <c r="G2141" i="2" s="1"/>
  <c r="G2142" i="2" s="1"/>
  <c r="G2143" i="2" s="1"/>
  <c r="Z2132" i="2"/>
  <c r="AE2132" i="2" l="1"/>
  <c r="E1472" i="2"/>
  <c r="E1473" i="2" s="1"/>
  <c r="E1474" i="2" s="1"/>
  <c r="E1475" i="2" s="1"/>
  <c r="E1476" i="2" s="1"/>
  <c r="E1477" i="2" s="1"/>
  <c r="E1468" i="2"/>
  <c r="G2144" i="2"/>
  <c r="D1477" i="2"/>
  <c r="H1478" i="2"/>
  <c r="G2145" i="2" l="1"/>
  <c r="E1469" i="2"/>
  <c r="H1479" i="2"/>
  <c r="H1480" i="2" s="1"/>
  <c r="H1481" i="2" s="1"/>
  <c r="H1482" i="2" s="1"/>
  <c r="H1483" i="2" s="1"/>
  <c r="D1478" i="2"/>
  <c r="E1478" i="2" s="1"/>
  <c r="E1479" i="2" l="1"/>
  <c r="E1480" i="2" s="1"/>
  <c r="E1481" i="2" s="1"/>
  <c r="E1482" i="2" s="1"/>
  <c r="E1470" i="2"/>
  <c r="D1483" i="2"/>
  <c r="E1483" i="2" s="1"/>
  <c r="H1484" i="2"/>
  <c r="H1485" i="2" s="1"/>
  <c r="H1486" i="2" s="1"/>
  <c r="H1487" i="2" s="1"/>
  <c r="H1488" i="2" s="1"/>
  <c r="G2146" i="2"/>
  <c r="G2147" i="2" s="1"/>
  <c r="Z185" i="2" l="1"/>
  <c r="G52" i="70" s="1"/>
  <c r="Z199" i="2"/>
  <c r="G53" i="70" s="1"/>
  <c r="Z200" i="2"/>
  <c r="Z236" i="2"/>
  <c r="Z235" i="2"/>
  <c r="Z234" i="2"/>
  <c r="G54" i="70" s="1"/>
  <c r="Z309" i="2"/>
  <c r="Z308" i="2"/>
  <c r="Z361" i="2"/>
  <c r="Z408" i="2"/>
  <c r="Z407" i="2"/>
  <c r="Z498" i="2"/>
  <c r="Z590" i="2"/>
  <c r="Z589" i="2"/>
  <c r="Z662" i="2"/>
  <c r="G55" i="70" s="1"/>
  <c r="Z663" i="2"/>
  <c r="Z692" i="2"/>
  <c r="Z725" i="2"/>
  <c r="Z754" i="2"/>
  <c r="Z783" i="2"/>
  <c r="Z12" i="2"/>
  <c r="Z806" i="2"/>
  <c r="G56" i="70" s="1"/>
  <c r="Z807" i="2"/>
  <c r="Z842" i="2"/>
  <c r="Z877" i="2"/>
  <c r="Z912" i="2"/>
  <c r="Z948" i="2"/>
  <c r="Z1135" i="2"/>
  <c r="G59" i="70" s="1"/>
  <c r="Z1161" i="2"/>
  <c r="Z1172" i="2"/>
  <c r="Z1171" i="2"/>
  <c r="G61" i="70" s="1"/>
  <c r="Z1191" i="2"/>
  <c r="G62" i="70" s="1"/>
  <c r="Z1212" i="2"/>
  <c r="Z1210" i="2"/>
  <c r="G63" i="70" s="1"/>
  <c r="Z1211" i="2"/>
  <c r="Z1243" i="2"/>
  <c r="Z1276" i="2"/>
  <c r="Z1275" i="2"/>
  <c r="Z1307" i="2"/>
  <c r="Z1346" i="2"/>
  <c r="Z1345" i="2"/>
  <c r="Z1370" i="2"/>
  <c r="Z1369" i="2"/>
  <c r="G64" i="70" s="1"/>
  <c r="Z1387" i="2"/>
  <c r="Z1386" i="2"/>
  <c r="Z1412" i="2"/>
  <c r="Z1411" i="2"/>
  <c r="Z1429" i="2"/>
  <c r="Z1458" i="2"/>
  <c r="Z1457" i="2"/>
  <c r="Z1456" i="2"/>
  <c r="G65" i="70" s="1"/>
  <c r="Z1506" i="2"/>
  <c r="Z1580" i="2"/>
  <c r="Z1641" i="2"/>
  <c r="Z1709" i="2"/>
  <c r="Z1727" i="2"/>
  <c r="Z1726" i="2"/>
  <c r="G66" i="70" s="1"/>
  <c r="Z1752" i="2"/>
  <c r="Z1748" i="2"/>
  <c r="Z1774" i="2"/>
  <c r="Z1773" i="2"/>
  <c r="Z1793" i="2"/>
  <c r="Z1815" i="2"/>
  <c r="Z1837" i="2"/>
  <c r="G67" i="70" s="1"/>
  <c r="Z1847" i="2"/>
  <c r="Z1886" i="2"/>
  <c r="Z1878" i="2"/>
  <c r="Z1914" i="2"/>
  <c r="Z1942" i="2"/>
  <c r="Z1957" i="2"/>
  <c r="G68" i="70" s="1"/>
  <c r="Z1965" i="2"/>
  <c r="Z1994" i="2"/>
  <c r="Z2009" i="2"/>
  <c r="Z2008" i="2"/>
  <c r="Z2062" i="2"/>
  <c r="Z2061" i="2"/>
  <c r="G69" i="70" s="1"/>
  <c r="Z2090" i="2"/>
  <c r="Z2089" i="2"/>
  <c r="G70" i="70" s="1"/>
  <c r="Z2122" i="2"/>
  <c r="Z2121" i="2"/>
  <c r="G71" i="70" s="1"/>
  <c r="H1489" i="2"/>
  <c r="D1488" i="2"/>
  <c r="E1484" i="2"/>
  <c r="H71" i="70" l="1"/>
  <c r="K71" i="70"/>
  <c r="H67" i="70"/>
  <c r="K67" i="70"/>
  <c r="H62" i="70"/>
  <c r="K62" i="70"/>
  <c r="H68" i="70"/>
  <c r="K68" i="70"/>
  <c r="H56" i="70"/>
  <c r="K56" i="70"/>
  <c r="H61" i="70"/>
  <c r="K61" i="70"/>
  <c r="H55" i="70"/>
  <c r="K55" i="70"/>
  <c r="H54" i="70"/>
  <c r="K54" i="70"/>
  <c r="H70" i="70"/>
  <c r="K70" i="70"/>
  <c r="H69" i="70"/>
  <c r="K69" i="70"/>
  <c r="H59" i="70"/>
  <c r="K59" i="70"/>
  <c r="H65" i="70"/>
  <c r="K65" i="70"/>
  <c r="H64" i="70"/>
  <c r="K64" i="70"/>
  <c r="H63" i="70"/>
  <c r="K63" i="70"/>
  <c r="H53" i="70"/>
  <c r="K53" i="70"/>
  <c r="H66" i="70"/>
  <c r="K66" i="70"/>
  <c r="H52" i="70"/>
  <c r="K52" i="70"/>
  <c r="G47" i="70"/>
  <c r="H47" i="70" s="1"/>
  <c r="AE1793" i="2"/>
  <c r="AE408" i="2"/>
  <c r="E1485" i="2"/>
  <c r="AE2061" i="2"/>
  <c r="C38" i="70"/>
  <c r="C15" i="70"/>
  <c r="AE1914" i="2"/>
  <c r="AE1774" i="2"/>
  <c r="AE1506" i="2"/>
  <c r="E100" i="72"/>
  <c r="AE1387" i="2"/>
  <c r="AE1243" i="2"/>
  <c r="E22" i="72"/>
  <c r="AE1135" i="2"/>
  <c r="AE842" i="2"/>
  <c r="AE663" i="2"/>
  <c r="AE308" i="2"/>
  <c r="C37" i="70"/>
  <c r="AE1957" i="2"/>
  <c r="AE725" i="2"/>
  <c r="AE2062" i="2"/>
  <c r="AE1878" i="2"/>
  <c r="AE1748" i="2"/>
  <c r="AE1456" i="2"/>
  <c r="C34" i="70"/>
  <c r="E80" i="72"/>
  <c r="C12" i="70"/>
  <c r="AE1369" i="2"/>
  <c r="C11" i="70"/>
  <c r="C33" i="70"/>
  <c r="AE1211" i="2"/>
  <c r="E7" i="72"/>
  <c r="AE807" i="2"/>
  <c r="AE662" i="2"/>
  <c r="C6" i="70"/>
  <c r="C28" i="70"/>
  <c r="AE309" i="2"/>
  <c r="AE1641" i="2"/>
  <c r="E145" i="72"/>
  <c r="AE912" i="2"/>
  <c r="D1489" i="2"/>
  <c r="E1489" i="2" s="1"/>
  <c r="H1490" i="2"/>
  <c r="H1491" i="2" s="1"/>
  <c r="H1492" i="2" s="1"/>
  <c r="H1493" i="2" s="1"/>
  <c r="AE2008" i="2"/>
  <c r="AE1886" i="2"/>
  <c r="AE1752" i="2"/>
  <c r="AE1457" i="2"/>
  <c r="E81" i="72"/>
  <c r="AE1370" i="2"/>
  <c r="AE1210" i="2"/>
  <c r="C32" i="70"/>
  <c r="C10" i="70"/>
  <c r="E6" i="72"/>
  <c r="AE806" i="2"/>
  <c r="C31" i="70"/>
  <c r="C9" i="70"/>
  <c r="AE589" i="2"/>
  <c r="AE234" i="2"/>
  <c r="C27" i="70"/>
  <c r="C5" i="70"/>
  <c r="AE1275" i="2"/>
  <c r="E37" i="72"/>
  <c r="AE2009" i="2"/>
  <c r="AE1847" i="2"/>
  <c r="AE1726" i="2"/>
  <c r="C35" i="70"/>
  <c r="C13" i="70"/>
  <c r="AE1458" i="2"/>
  <c r="E82" i="72"/>
  <c r="AE1345" i="2"/>
  <c r="E68" i="72"/>
  <c r="AE1212" i="2"/>
  <c r="E8" i="72"/>
  <c r="AE12" i="2"/>
  <c r="C24" i="70"/>
  <c r="C2" i="70"/>
  <c r="AE590" i="2"/>
  <c r="AE235" i="2"/>
  <c r="C39" i="70"/>
  <c r="C16" i="70"/>
  <c r="AE2089" i="2"/>
  <c r="C17" i="70"/>
  <c r="C40" i="70"/>
  <c r="AE2121" i="2"/>
  <c r="AE1994" i="2"/>
  <c r="AE1837" i="2"/>
  <c r="C14" i="70"/>
  <c r="C36" i="70"/>
  <c r="AE1727" i="2"/>
  <c r="AE1429" i="2"/>
  <c r="AE1346" i="2"/>
  <c r="E69" i="72"/>
  <c r="AE1191" i="2"/>
  <c r="AE783" i="2"/>
  <c r="AE498" i="2"/>
  <c r="AE236" i="2"/>
  <c r="AE1412" i="2"/>
  <c r="AE2122" i="2"/>
  <c r="AE1965" i="2"/>
  <c r="AE1815" i="2"/>
  <c r="AE1709" i="2"/>
  <c r="E167" i="72"/>
  <c r="AE1411" i="2"/>
  <c r="AE1307" i="2"/>
  <c r="E52" i="72"/>
  <c r="AE1171" i="2"/>
  <c r="C30" i="70"/>
  <c r="C8" i="70"/>
  <c r="AE948" i="2"/>
  <c r="AE754" i="2"/>
  <c r="AE407" i="2"/>
  <c r="AE200" i="2"/>
  <c r="AE199" i="2"/>
  <c r="AE1172" i="2"/>
  <c r="AE2090" i="2"/>
  <c r="AE1942" i="2"/>
  <c r="AE1773" i="2"/>
  <c r="AE1580" i="2"/>
  <c r="E124" i="72"/>
  <c r="AE1386" i="2"/>
  <c r="AE1276" i="2"/>
  <c r="E38" i="72"/>
  <c r="AE1161" i="2"/>
  <c r="AE877" i="2"/>
  <c r="AE692" i="2"/>
  <c r="AE361" i="2"/>
  <c r="AE185" i="2"/>
  <c r="C26" i="70"/>
  <c r="C4" i="70"/>
  <c r="E36" i="70" l="1"/>
  <c r="E39" i="70"/>
  <c r="E5" i="70"/>
  <c r="E31" i="70"/>
  <c r="E11" i="70"/>
  <c r="E27" i="70"/>
  <c r="E14" i="70"/>
  <c r="E40" i="70"/>
  <c r="E8" i="70"/>
  <c r="E17" i="70"/>
  <c r="E13" i="70"/>
  <c r="E15" i="70"/>
  <c r="E1486" i="2"/>
  <c r="E4" i="70"/>
  <c r="E30" i="70"/>
  <c r="H1494" i="2"/>
  <c r="D1493" i="2"/>
  <c r="E12" i="70"/>
  <c r="E37" i="70"/>
  <c r="E38" i="70"/>
  <c r="E35" i="70"/>
  <c r="E10" i="70"/>
  <c r="E1490" i="2"/>
  <c r="E1491" i="2" s="1"/>
  <c r="E1492" i="2" s="1"/>
  <c r="E1493" i="2" s="1"/>
  <c r="E26" i="70"/>
  <c r="E16" i="70"/>
  <c r="E2" i="70"/>
  <c r="E9" i="70"/>
  <c r="E32" i="70"/>
  <c r="E28" i="70"/>
  <c r="E24" i="70"/>
  <c r="E6" i="70"/>
  <c r="E33" i="70"/>
  <c r="E34" i="70"/>
  <c r="E1487" i="2" l="1"/>
  <c r="H1495" i="2"/>
  <c r="H1496" i="2" s="1"/>
  <c r="D1494" i="2"/>
  <c r="E1494" i="2" s="1"/>
  <c r="D1496" i="2" l="1"/>
  <c r="E1496" i="2" s="1"/>
  <c r="H1497" i="2"/>
  <c r="H1498" i="2" s="1"/>
  <c r="E1495" i="2"/>
  <c r="E1488" i="2"/>
  <c r="H1499" i="2" l="1"/>
  <c r="H1500" i="2" s="1"/>
  <c r="D1498" i="2"/>
  <c r="E1498" i="2" s="1"/>
  <c r="E1497" i="2"/>
  <c r="E1499" i="2" l="1"/>
  <c r="H1501" i="2"/>
  <c r="H1502" i="2" s="1"/>
  <c r="D1500" i="2"/>
  <c r="E1500" i="2" s="1"/>
  <c r="E1501" i="2" l="1"/>
  <c r="D1502" i="2"/>
  <c r="E1502" i="2" s="1"/>
  <c r="H1503" i="2"/>
  <c r="H1504" i="2" s="1"/>
  <c r="H1505" i="2" l="1"/>
  <c r="H1506" i="2" s="1"/>
  <c r="D1504" i="2"/>
  <c r="E1504" i="2" s="1"/>
  <c r="E1503" i="2"/>
  <c r="E1505" i="2" l="1"/>
  <c r="D1506" i="2"/>
  <c r="H1507" i="2"/>
  <c r="D1507" i="2" l="1"/>
  <c r="H1508" i="2"/>
  <c r="E1506" i="2"/>
  <c r="E1507" i="2" s="1"/>
  <c r="D1508" i="2" l="1"/>
  <c r="E1508" i="2" s="1"/>
  <c r="H1509" i="2"/>
  <c r="H1510" i="2" s="1"/>
  <c r="H1511" i="2" s="1"/>
  <c r="H1512" i="2" l="1"/>
  <c r="D1511" i="2"/>
  <c r="E1509" i="2"/>
  <c r="E1510" i="2" l="1"/>
  <c r="H1513" i="2"/>
  <c r="H1514" i="2" s="1"/>
  <c r="H1515" i="2" s="1"/>
  <c r="H1516" i="2" s="1"/>
  <c r="H1517" i="2" s="1"/>
  <c r="D1512" i="2"/>
  <c r="E1512" i="2" s="1"/>
  <c r="H1518" i="2" l="1"/>
  <c r="H1519" i="2" s="1"/>
  <c r="H1520" i="2" s="1"/>
  <c r="H1521" i="2" s="1"/>
  <c r="H1522" i="2" s="1"/>
  <c r="H1523" i="2" s="1"/>
  <c r="D1517" i="2"/>
  <c r="E1517" i="2" s="1"/>
  <c r="E1513" i="2"/>
  <c r="E1511" i="2"/>
  <c r="E1514" i="2" l="1"/>
  <c r="E1518" i="2"/>
  <c r="E1519" i="2" s="1"/>
  <c r="E1520" i="2" s="1"/>
  <c r="E1521" i="2" s="1"/>
  <c r="E1522" i="2" s="1"/>
  <c r="H1524" i="2"/>
  <c r="H1525" i="2" s="1"/>
  <c r="H1526" i="2" s="1"/>
  <c r="H1527" i="2" s="1"/>
  <c r="H1528" i="2" s="1"/>
  <c r="H1529" i="2" s="1"/>
  <c r="D1523" i="2"/>
  <c r="E1523" i="2" s="1"/>
  <c r="E1524" i="2" l="1"/>
  <c r="E1525" i="2" s="1"/>
  <c r="E1526" i="2" s="1"/>
  <c r="E1527" i="2" s="1"/>
  <c r="E1528" i="2" s="1"/>
  <c r="E1529" i="2" s="1"/>
  <c r="H1530" i="2"/>
  <c r="D1529" i="2"/>
  <c r="E1515" i="2"/>
  <c r="E1516" i="2" l="1"/>
  <c r="H1531" i="2"/>
  <c r="H1532" i="2" s="1"/>
  <c r="H1533" i="2" s="1"/>
  <c r="H1534" i="2" s="1"/>
  <c r="H1535" i="2" s="1"/>
  <c r="D1530" i="2"/>
  <c r="E1530" i="2" s="1"/>
  <c r="E1531" i="2" l="1"/>
  <c r="D1535" i="2"/>
  <c r="E1535" i="2" s="1"/>
  <c r="H1536" i="2"/>
  <c r="H1537" i="2" s="1"/>
  <c r="H1538" i="2" s="1"/>
  <c r="H1539" i="2" s="1"/>
  <c r="H1540" i="2" s="1"/>
  <c r="D1540" i="2" l="1"/>
  <c r="E1540" i="2" s="1"/>
  <c r="H1541" i="2"/>
  <c r="H1542" i="2" s="1"/>
  <c r="H1543" i="2" s="1"/>
  <c r="H1544" i="2" s="1"/>
  <c r="H1545" i="2" s="1"/>
  <c r="H1546" i="2" s="1"/>
  <c r="E1536" i="2"/>
  <c r="E1537" i="2" s="1"/>
  <c r="E1538" i="2" s="1"/>
  <c r="E1539" i="2" s="1"/>
  <c r="E1532" i="2"/>
  <c r="E1533" i="2" l="1"/>
  <c r="H1547" i="2"/>
  <c r="H1548" i="2" s="1"/>
  <c r="H1549" i="2" s="1"/>
  <c r="H1550" i="2" s="1"/>
  <c r="H1551" i="2" s="1"/>
  <c r="H1552" i="2" s="1"/>
  <c r="D1546" i="2"/>
  <c r="E1546" i="2" s="1"/>
  <c r="E1541" i="2"/>
  <c r="E1542" i="2" s="1"/>
  <c r="E1543" i="2" s="1"/>
  <c r="E1544" i="2" s="1"/>
  <c r="E1545" i="2" s="1"/>
  <c r="E1547" i="2" l="1"/>
  <c r="E1548" i="2" s="1"/>
  <c r="E1549" i="2" s="1"/>
  <c r="E1550" i="2" s="1"/>
  <c r="E1551" i="2" s="1"/>
  <c r="H1553" i="2"/>
  <c r="H1554" i="2" s="1"/>
  <c r="H1555" i="2" s="1"/>
  <c r="H1556" i="2" s="1"/>
  <c r="D1552" i="2"/>
  <c r="E1552" i="2" s="1"/>
  <c r="E1534" i="2"/>
  <c r="E1553" i="2" l="1"/>
  <c r="H1557" i="2"/>
  <c r="H1558" i="2" s="1"/>
  <c r="H1559" i="2" s="1"/>
  <c r="H1560" i="2" s="1"/>
  <c r="D1556" i="2"/>
  <c r="E1556" i="2" s="1"/>
  <c r="E1557" i="2" l="1"/>
  <c r="E1558" i="2" s="1"/>
  <c r="E1559" i="2" s="1"/>
  <c r="E1560" i="2" s="1"/>
  <c r="D1560" i="2"/>
  <c r="H1561" i="2"/>
  <c r="E1554" i="2"/>
  <c r="E1555" i="2" l="1"/>
  <c r="D1561" i="2"/>
  <c r="E1561" i="2" s="1"/>
  <c r="H1562" i="2"/>
  <c r="H1563" i="2" s="1"/>
  <c r="H1564" i="2" s="1"/>
  <c r="H1565" i="2" s="1"/>
  <c r="H1566" i="2" l="1"/>
  <c r="D1565" i="2"/>
  <c r="E1562" i="2"/>
  <c r="E1563" i="2" l="1"/>
  <c r="H1567" i="2"/>
  <c r="H1568" i="2" s="1"/>
  <c r="D1566" i="2"/>
  <c r="E1566" i="2" s="1"/>
  <c r="E1567" i="2" l="1"/>
  <c r="D1568" i="2"/>
  <c r="E1568" i="2" s="1"/>
  <c r="H1569" i="2"/>
  <c r="H1570" i="2" s="1"/>
  <c r="E1564" i="2"/>
  <c r="E1565" i="2" l="1"/>
  <c r="H1571" i="2"/>
  <c r="H1572" i="2" s="1"/>
  <c r="D1570" i="2"/>
  <c r="E1570" i="2" s="1"/>
  <c r="E1569" i="2"/>
  <c r="D1572" i="2" l="1"/>
  <c r="E1572" i="2" s="1"/>
  <c r="H1573" i="2"/>
  <c r="H1574" i="2" s="1"/>
  <c r="E1571" i="2"/>
  <c r="H1575" i="2" l="1"/>
  <c r="H1576" i="2" s="1"/>
  <c r="D1574" i="2"/>
  <c r="E1574" i="2" s="1"/>
  <c r="E1573" i="2"/>
  <c r="E1575" i="2" l="1"/>
  <c r="H1577" i="2"/>
  <c r="H1578" i="2" s="1"/>
  <c r="D1576" i="2"/>
  <c r="E1576" i="2" s="1"/>
  <c r="E1577" i="2" l="1"/>
  <c r="D1578" i="2"/>
  <c r="E1578" i="2" s="1"/>
  <c r="H1579" i="2"/>
  <c r="H1580" i="2" s="1"/>
  <c r="H1581" i="2" l="1"/>
  <c r="D1580" i="2"/>
  <c r="E1579" i="2"/>
  <c r="E1580" i="2" l="1"/>
  <c r="E1581" i="2" s="1"/>
  <c r="H1582" i="2"/>
  <c r="D1581" i="2"/>
  <c r="H1583" i="2" l="1"/>
  <c r="H1584" i="2" s="1"/>
  <c r="H1585" i="2" s="1"/>
  <c r="D1582" i="2"/>
  <c r="E1582" i="2" s="1"/>
  <c r="E1583" i="2" l="1"/>
  <c r="D1585" i="2"/>
  <c r="H1586" i="2"/>
  <c r="H1587" i="2" l="1"/>
  <c r="H1588" i="2" s="1"/>
  <c r="H1589" i="2" s="1"/>
  <c r="H1590" i="2" s="1"/>
  <c r="H1591" i="2" s="1"/>
  <c r="D1586" i="2"/>
  <c r="E1586" i="2" s="1"/>
  <c r="E1584" i="2"/>
  <c r="E1585" i="2" l="1"/>
  <c r="E1587" i="2"/>
  <c r="D1591" i="2"/>
  <c r="E1591" i="2" s="1"/>
  <c r="H1592" i="2"/>
  <c r="H1593" i="2" s="1"/>
  <c r="H1594" i="2" s="1"/>
  <c r="H1595" i="2" s="1"/>
  <c r="H1596" i="2" s="1"/>
  <c r="H1597" i="2" s="1"/>
  <c r="D1597" i="2" l="1"/>
  <c r="E1597" i="2" s="1"/>
  <c r="H1598" i="2"/>
  <c r="H1599" i="2" s="1"/>
  <c r="H1600" i="2" s="1"/>
  <c r="H1601" i="2" s="1"/>
  <c r="H1602" i="2" s="1"/>
  <c r="H1603" i="2" s="1"/>
  <c r="E1588" i="2"/>
  <c r="E1592" i="2"/>
  <c r="E1593" i="2" s="1"/>
  <c r="E1594" i="2" s="1"/>
  <c r="E1595" i="2" s="1"/>
  <c r="E1596" i="2" s="1"/>
  <c r="E1589" i="2" l="1"/>
  <c r="H1604" i="2"/>
  <c r="D1603" i="2"/>
  <c r="E1598" i="2"/>
  <c r="E1599" i="2" s="1"/>
  <c r="E1600" i="2" s="1"/>
  <c r="E1601" i="2" s="1"/>
  <c r="E1602" i="2" s="1"/>
  <c r="E1603" i="2" s="1"/>
  <c r="D1604" i="2" l="1"/>
  <c r="E1604" i="2" s="1"/>
  <c r="H1605" i="2"/>
  <c r="H1606" i="2" s="1"/>
  <c r="H1607" i="2" s="1"/>
  <c r="H1608" i="2" s="1"/>
  <c r="H1609" i="2" s="1"/>
  <c r="E1590" i="2"/>
  <c r="D1609" i="2" l="1"/>
  <c r="E1609" i="2" s="1"/>
  <c r="H1610" i="2"/>
  <c r="H1611" i="2" s="1"/>
  <c r="H1612" i="2" s="1"/>
  <c r="H1613" i="2" s="1"/>
  <c r="H1614" i="2" s="1"/>
  <c r="H1615" i="2" s="1"/>
  <c r="E1605" i="2"/>
  <c r="E1606" i="2" l="1"/>
  <c r="H1616" i="2"/>
  <c r="H1617" i="2" s="1"/>
  <c r="H1618" i="2" s="1"/>
  <c r="H1619" i="2" s="1"/>
  <c r="D1615" i="2"/>
  <c r="E1615" i="2" s="1"/>
  <c r="E1610" i="2"/>
  <c r="E1611" i="2" s="1"/>
  <c r="E1612" i="2" s="1"/>
  <c r="E1613" i="2" s="1"/>
  <c r="E1614" i="2" s="1"/>
  <c r="D1619" i="2" l="1"/>
  <c r="E1619" i="2" s="1"/>
  <c r="H1620" i="2"/>
  <c r="H1621" i="2" s="1"/>
  <c r="H1622" i="2" s="1"/>
  <c r="H1623" i="2" s="1"/>
  <c r="E1616" i="2"/>
  <c r="E1617" i="2" s="1"/>
  <c r="E1618" i="2" s="1"/>
  <c r="E1607" i="2"/>
  <c r="E1608" i="2" l="1"/>
  <c r="H1624" i="2"/>
  <c r="D1623" i="2"/>
  <c r="E1620" i="2"/>
  <c r="E1621" i="2" s="1"/>
  <c r="E1622" i="2" s="1"/>
  <c r="E1623" i="2" s="1"/>
  <c r="D1624" i="2" l="1"/>
  <c r="E1624" i="2" s="1"/>
  <c r="H1625" i="2"/>
  <c r="H1626" i="2" s="1"/>
  <c r="H1627" i="2" s="1"/>
  <c r="H1628" i="2" s="1"/>
  <c r="D1628" i="2" l="1"/>
  <c r="H1629" i="2"/>
  <c r="E1625" i="2"/>
  <c r="E1626" i="2" l="1"/>
  <c r="D1629" i="2"/>
  <c r="E1629" i="2" s="1"/>
  <c r="H1630" i="2"/>
  <c r="H1631" i="2" s="1"/>
  <c r="E1630" i="2" l="1"/>
  <c r="D1631" i="2"/>
  <c r="E1631" i="2" s="1"/>
  <c r="H1632" i="2"/>
  <c r="H1633" i="2" s="1"/>
  <c r="E1627" i="2"/>
  <c r="H1634" i="2" l="1"/>
  <c r="H1635" i="2" s="1"/>
  <c r="D1633" i="2"/>
  <c r="E1633" i="2" s="1"/>
  <c r="E1632" i="2"/>
  <c r="E1628" i="2"/>
  <c r="E1634" i="2" l="1"/>
  <c r="H1636" i="2"/>
  <c r="H1637" i="2" s="1"/>
  <c r="D1635" i="2"/>
  <c r="E1635" i="2" s="1"/>
  <c r="E1636" i="2" l="1"/>
  <c r="H1638" i="2"/>
  <c r="H1639" i="2" s="1"/>
  <c r="D1637" i="2"/>
  <c r="E1637" i="2" s="1"/>
  <c r="E1638" i="2" l="1"/>
  <c r="D1639" i="2"/>
  <c r="E1639" i="2" s="1"/>
  <c r="H1640" i="2"/>
  <c r="H1641" i="2" s="1"/>
  <c r="D1641" i="2" l="1"/>
  <c r="H1642" i="2"/>
  <c r="E1640" i="2"/>
  <c r="E1641" i="2" l="1"/>
  <c r="E1642" i="2" s="1"/>
  <c r="D1642" i="2"/>
  <c r="H1643" i="2"/>
  <c r="D1643" i="2" l="1"/>
  <c r="E1643" i="2" s="1"/>
  <c r="H1644" i="2"/>
  <c r="H1645" i="2" s="1"/>
  <c r="H1646" i="2" s="1"/>
  <c r="D1646" i="2" l="1"/>
  <c r="H1647" i="2"/>
  <c r="E1644" i="2"/>
  <c r="E1645" i="2" l="1"/>
  <c r="H1648" i="2"/>
  <c r="H1649" i="2" s="1"/>
  <c r="H1650" i="2" s="1"/>
  <c r="H1651" i="2" s="1"/>
  <c r="H1652" i="2" s="1"/>
  <c r="D1647" i="2"/>
  <c r="E1647" i="2" s="1"/>
  <c r="H1653" i="2" l="1"/>
  <c r="H1654" i="2" s="1"/>
  <c r="H1655" i="2" s="1"/>
  <c r="H1656" i="2" s="1"/>
  <c r="H1657" i="2" s="1"/>
  <c r="H1658" i="2" s="1"/>
  <c r="D1652" i="2"/>
  <c r="E1652" i="2" s="1"/>
  <c r="E1648" i="2"/>
  <c r="E1646" i="2"/>
  <c r="E1649" i="2" l="1"/>
  <c r="E1653" i="2"/>
  <c r="E1654" i="2" s="1"/>
  <c r="E1655" i="2" s="1"/>
  <c r="E1656" i="2" s="1"/>
  <c r="E1657" i="2" s="1"/>
  <c r="H1659" i="2"/>
  <c r="H1660" i="2" s="1"/>
  <c r="H1661" i="2" s="1"/>
  <c r="H1662" i="2" s="1"/>
  <c r="H1663" i="2" s="1"/>
  <c r="H1664" i="2" s="1"/>
  <c r="D1658" i="2"/>
  <c r="E1658" i="2" s="1"/>
  <c r="E1659" i="2" l="1"/>
  <c r="E1660" i="2" s="1"/>
  <c r="E1661" i="2" s="1"/>
  <c r="E1662" i="2" s="1"/>
  <c r="E1663" i="2" s="1"/>
  <c r="H1665" i="2"/>
  <c r="H1666" i="2" s="1"/>
  <c r="H1667" i="2" s="1"/>
  <c r="H1668" i="2" s="1"/>
  <c r="H1669" i="2" s="1"/>
  <c r="D1664" i="2"/>
  <c r="E1664" i="2" s="1"/>
  <c r="E1650" i="2"/>
  <c r="E1651" i="2" l="1"/>
  <c r="E1665" i="2"/>
  <c r="E1666" i="2" s="1"/>
  <c r="E1667" i="2" s="1"/>
  <c r="E1668" i="2" s="1"/>
  <c r="E1669" i="2" s="1"/>
  <c r="H1670" i="2"/>
  <c r="D1669" i="2"/>
  <c r="H1671" i="2" l="1"/>
  <c r="H1672" i="2" s="1"/>
  <c r="H1673" i="2" s="1"/>
  <c r="H1674" i="2" s="1"/>
  <c r="H1675" i="2" s="1"/>
  <c r="D1670" i="2"/>
  <c r="E1670" i="2" s="1"/>
  <c r="E1671" i="2" l="1"/>
  <c r="D1675" i="2"/>
  <c r="E1675" i="2" s="1"/>
  <c r="H1676" i="2"/>
  <c r="H1677" i="2" s="1"/>
  <c r="H1678" i="2" s="1"/>
  <c r="H1679" i="2" s="1"/>
  <c r="H1680" i="2" s="1"/>
  <c r="H1681" i="2" s="1"/>
  <c r="D1681" i="2" l="1"/>
  <c r="E1681" i="2" s="1"/>
  <c r="H1682" i="2"/>
  <c r="H1683" i="2" s="1"/>
  <c r="H1684" i="2" s="1"/>
  <c r="H1685" i="2" s="1"/>
  <c r="H1686" i="2" s="1"/>
  <c r="H1687" i="2" s="1"/>
  <c r="E1676" i="2"/>
  <c r="E1677" i="2" s="1"/>
  <c r="E1678" i="2" s="1"/>
  <c r="E1679" i="2" s="1"/>
  <c r="E1680" i="2" s="1"/>
  <c r="E1672" i="2"/>
  <c r="E1673" i="2" l="1"/>
  <c r="D1687" i="2"/>
  <c r="E1687" i="2" s="1"/>
  <c r="H1688" i="2"/>
  <c r="H1689" i="2" s="1"/>
  <c r="H1690" i="2" s="1"/>
  <c r="H1691" i="2" s="1"/>
  <c r="E1682" i="2"/>
  <c r="E1683" i="2" s="1"/>
  <c r="E1684" i="2" s="1"/>
  <c r="E1685" i="2" s="1"/>
  <c r="E1686" i="2" s="1"/>
  <c r="H1692" i="2" l="1"/>
  <c r="D1691" i="2"/>
  <c r="E1688" i="2"/>
  <c r="E1689" i="2" s="1"/>
  <c r="E1690" i="2" s="1"/>
  <c r="E1691" i="2" s="1"/>
  <c r="E1674" i="2"/>
  <c r="H1693" i="2" l="1"/>
  <c r="H1694" i="2" s="1"/>
  <c r="H1695" i="2" s="1"/>
  <c r="H1696" i="2" s="1"/>
  <c r="D1692" i="2"/>
  <c r="E1692" i="2" s="1"/>
  <c r="E1693" i="2" l="1"/>
  <c r="H1697" i="2"/>
  <c r="D1696" i="2"/>
  <c r="H1698" i="2" l="1"/>
  <c r="H1699" i="2" s="1"/>
  <c r="D1697" i="2"/>
  <c r="E1697" i="2" s="1"/>
  <c r="E1694" i="2"/>
  <c r="E1695" i="2" l="1"/>
  <c r="E1698" i="2"/>
  <c r="H1700" i="2"/>
  <c r="H1701" i="2" s="1"/>
  <c r="D1699" i="2"/>
  <c r="E1699" i="2" s="1"/>
  <c r="E1700" i="2" l="1"/>
  <c r="D1701" i="2"/>
  <c r="E1701" i="2" s="1"/>
  <c r="H1702" i="2"/>
  <c r="H1703" i="2" s="1"/>
  <c r="E1696" i="2"/>
  <c r="H1704" i="2" l="1"/>
  <c r="H1705" i="2" s="1"/>
  <c r="D1703" i="2"/>
  <c r="E1703" i="2" s="1"/>
  <c r="E1702" i="2"/>
  <c r="E1704" i="2" l="1"/>
  <c r="D1705" i="2"/>
  <c r="E1705" i="2" s="1"/>
  <c r="H1706" i="2"/>
  <c r="H1707" i="2" s="1"/>
  <c r="H1708" i="2" l="1"/>
  <c r="H1709" i="2" s="1"/>
  <c r="D1707" i="2"/>
  <c r="E1707" i="2" s="1"/>
  <c r="E1706" i="2"/>
  <c r="E1708" i="2" l="1"/>
  <c r="H1710" i="2"/>
  <c r="D1709" i="2"/>
  <c r="H1711" i="2" l="1"/>
  <c r="D1710" i="2"/>
  <c r="E1709" i="2"/>
  <c r="E1710" i="2" s="1"/>
  <c r="D1711" i="2" l="1"/>
  <c r="E1711" i="2" s="1"/>
  <c r="H1712" i="2"/>
  <c r="H1713" i="2" s="1"/>
  <c r="H1714" i="2" s="1"/>
  <c r="H1715" i="2" l="1"/>
  <c r="H1716" i="2" s="1"/>
  <c r="D1714" i="2"/>
  <c r="E1714" i="2" s="1"/>
  <c r="E1712" i="2"/>
  <c r="E1713" i="2" l="1"/>
  <c r="E1715" i="2"/>
  <c r="E1716" i="2" s="1"/>
  <c r="H1717" i="2"/>
  <c r="D1716" i="2"/>
  <c r="D1717" i="2" l="1"/>
  <c r="E1717" i="2" s="1"/>
  <c r="H1718" i="2"/>
  <c r="H1719" i="2" s="1"/>
  <c r="H1720" i="2" s="1"/>
  <c r="H1721" i="2" s="1"/>
  <c r="H1722" i="2" l="1"/>
  <c r="D1721" i="2"/>
  <c r="E1718" i="2"/>
  <c r="E1719" i="2" l="1"/>
  <c r="H1723" i="2"/>
  <c r="H1724" i="2" s="1"/>
  <c r="D1722" i="2"/>
  <c r="E1722" i="2" s="1"/>
  <c r="D1724" i="2" l="1"/>
  <c r="E1724" i="2" s="1"/>
  <c r="H1725" i="2"/>
  <c r="H1726" i="2" s="1"/>
  <c r="E1723" i="2"/>
  <c r="E1720" i="2"/>
  <c r="E1721" i="2" l="1"/>
  <c r="Y1703" i="2"/>
  <c r="Y1705" i="2"/>
  <c r="Y1714" i="2"/>
  <c r="Y1711" i="2"/>
  <c r="Y1707" i="2"/>
  <c r="H1727" i="2"/>
  <c r="D1726" i="2"/>
  <c r="E1725" i="2"/>
  <c r="Y1724" i="2"/>
  <c r="H1728" i="2" l="1"/>
  <c r="D1727" i="2"/>
  <c r="D166" i="72"/>
  <c r="Z1707" i="2"/>
  <c r="D169" i="72"/>
  <c r="Z1711" i="2"/>
  <c r="D170" i="72"/>
  <c r="Z1714" i="2"/>
  <c r="D165" i="72"/>
  <c r="Z1705" i="2"/>
  <c r="D164" i="72"/>
  <c r="Z1703" i="2"/>
  <c r="Z1724" i="2"/>
  <c r="D175" i="72"/>
  <c r="E1726" i="2"/>
  <c r="E1727" i="2" s="1"/>
  <c r="E1728" i="2" s="1"/>
  <c r="Y1722" i="2"/>
  <c r="Y1717" i="2"/>
  <c r="D174" i="72" l="1"/>
  <c r="Z1722" i="2"/>
  <c r="B46" i="65"/>
  <c r="C46" i="65" s="1"/>
  <c r="AE1714" i="2"/>
  <c r="E170" i="72"/>
  <c r="AE1724" i="2"/>
  <c r="E175" i="72"/>
  <c r="AE1711" i="2"/>
  <c r="E169" i="72"/>
  <c r="AE1707" i="2"/>
  <c r="E166" i="72"/>
  <c r="AE1705" i="2"/>
  <c r="E165" i="72"/>
  <c r="AE1703" i="2"/>
  <c r="E164" i="72"/>
  <c r="D172" i="72"/>
  <c r="Z1717" i="2"/>
  <c r="H1729" i="2"/>
  <c r="D1728" i="2"/>
  <c r="H1730" i="2" l="1"/>
  <c r="H1731" i="2" s="1"/>
  <c r="D1729" i="2"/>
  <c r="E1729" i="2" s="1"/>
  <c r="AE1717" i="2"/>
  <c r="E172" i="72"/>
  <c r="AE1722" i="2"/>
  <c r="E174" i="72"/>
  <c r="E1730" i="2" l="1"/>
  <c r="E1731" i="2" s="1"/>
  <c r="D1731" i="2"/>
  <c r="H1732" i="2"/>
  <c r="H1733" i="2" l="1"/>
  <c r="H1734" i="2" s="1"/>
  <c r="H1735" i="2" s="1"/>
  <c r="H1736" i="2" s="1"/>
  <c r="D1732" i="2"/>
  <c r="E1732" i="2" s="1"/>
  <c r="E1733" i="2" l="1"/>
  <c r="D1736" i="2"/>
  <c r="H1737" i="2"/>
  <c r="D1737" i="2" l="1"/>
  <c r="E1737" i="2" s="1"/>
  <c r="H1738" i="2"/>
  <c r="H1739" i="2" s="1"/>
  <c r="H1740" i="2" s="1"/>
  <c r="H1741" i="2" s="1"/>
  <c r="E1734" i="2"/>
  <c r="E1735" i="2" l="1"/>
  <c r="H1742" i="2"/>
  <c r="D1741" i="2"/>
  <c r="E1738" i="2"/>
  <c r="E1739" i="2" s="1"/>
  <c r="E1740" i="2" s="1"/>
  <c r="E1741" i="2" s="1"/>
  <c r="H1743" i="2" l="1"/>
  <c r="H1744" i="2" s="1"/>
  <c r="D1742" i="2"/>
  <c r="E1742" i="2" s="1"/>
  <c r="E1736" i="2"/>
  <c r="E1743" i="2" l="1"/>
  <c r="D1744" i="2"/>
  <c r="E1744" i="2" s="1"/>
  <c r="H1745" i="2"/>
  <c r="H1746" i="2" s="1"/>
  <c r="E1745" i="2" l="1"/>
  <c r="H1747" i="2"/>
  <c r="H1748" i="2" s="1"/>
  <c r="D1746" i="2"/>
  <c r="E1746" i="2" s="1"/>
  <c r="E1747" i="2" l="1"/>
  <c r="D1748" i="2"/>
  <c r="H1749" i="2"/>
  <c r="D1749" i="2" l="1"/>
  <c r="H1750" i="2"/>
  <c r="E1748" i="2"/>
  <c r="E1749" i="2" s="1"/>
  <c r="D1750" i="2" l="1"/>
  <c r="E1750" i="2" s="1"/>
  <c r="H1751" i="2"/>
  <c r="H1752" i="2" s="1"/>
  <c r="H1753" i="2" l="1"/>
  <c r="D1752" i="2"/>
  <c r="E1751" i="2"/>
  <c r="E1752" i="2" l="1"/>
  <c r="H1754" i="2"/>
  <c r="H1755" i="2" s="1"/>
  <c r="H1756" i="2" s="1"/>
  <c r="H1757" i="2" s="1"/>
  <c r="D1753" i="2"/>
  <c r="E1753" i="2" s="1"/>
  <c r="E1754" i="2" l="1"/>
  <c r="H1758" i="2"/>
  <c r="H1759" i="2" s="1"/>
  <c r="H1760" i="2" s="1"/>
  <c r="H1761" i="2" s="1"/>
  <c r="D1757" i="2"/>
  <c r="E1757" i="2" s="1"/>
  <c r="D1761" i="2" l="1"/>
  <c r="H1762" i="2"/>
  <c r="E1758" i="2"/>
  <c r="E1759" i="2" s="1"/>
  <c r="E1760" i="2" s="1"/>
  <c r="E1761" i="2" s="1"/>
  <c r="E1755" i="2"/>
  <c r="E1756" i="2" l="1"/>
  <c r="D1762" i="2"/>
  <c r="E1762" i="2" s="1"/>
  <c r="H1763" i="2"/>
  <c r="H1764" i="2" s="1"/>
  <c r="H1765" i="2" s="1"/>
  <c r="H1766" i="2" s="1"/>
  <c r="H1767" i="2" l="1"/>
  <c r="D1766" i="2"/>
  <c r="E1763" i="2"/>
  <c r="E1764" i="2" l="1"/>
  <c r="H1768" i="2"/>
  <c r="H1769" i="2" s="1"/>
  <c r="D1767" i="2"/>
  <c r="E1767" i="2" s="1"/>
  <c r="E1768" i="2" l="1"/>
  <c r="D1769" i="2"/>
  <c r="E1769" i="2" s="1"/>
  <c r="H1770" i="2"/>
  <c r="H1771" i="2" s="1"/>
  <c r="E1765" i="2"/>
  <c r="E1766" i="2" l="1"/>
  <c r="H1772" i="2"/>
  <c r="H1773" i="2" s="1"/>
  <c r="D1771" i="2"/>
  <c r="E1771" i="2" s="1"/>
  <c r="E1770" i="2"/>
  <c r="E1772" i="2" l="1"/>
  <c r="D1773" i="2"/>
  <c r="H1774" i="2"/>
  <c r="D1774" i="2" l="1"/>
  <c r="H1775" i="2"/>
  <c r="E1773" i="2"/>
  <c r="E1774" i="2" s="1"/>
  <c r="D1775" i="2" l="1"/>
  <c r="E1775" i="2" s="1"/>
  <c r="H1776" i="2"/>
  <c r="H1777" i="2" s="1"/>
  <c r="H1778" i="2" s="1"/>
  <c r="H1779" i="2" s="1"/>
  <c r="H1780" i="2" l="1"/>
  <c r="H1781" i="2" s="1"/>
  <c r="H1782" i="2" s="1"/>
  <c r="H1783" i="2" s="1"/>
  <c r="D1779" i="2"/>
  <c r="E1779" i="2" s="1"/>
  <c r="E1776" i="2"/>
  <c r="E1777" i="2" l="1"/>
  <c r="E1780" i="2"/>
  <c r="E1781" i="2" s="1"/>
  <c r="E1782" i="2" s="1"/>
  <c r="E1783" i="2" s="1"/>
  <c r="H1784" i="2"/>
  <c r="D1783" i="2"/>
  <c r="H1785" i="2" l="1"/>
  <c r="H1786" i="2" s="1"/>
  <c r="H1787" i="2" s="1"/>
  <c r="H1788" i="2" s="1"/>
  <c r="D1784" i="2"/>
  <c r="E1784" i="2" s="1"/>
  <c r="E1778" i="2"/>
  <c r="E1785" i="2" l="1"/>
  <c r="D1788" i="2"/>
  <c r="H1789" i="2"/>
  <c r="H1790" i="2" l="1"/>
  <c r="H1791" i="2" s="1"/>
  <c r="D1789" i="2"/>
  <c r="E1789" i="2" s="1"/>
  <c r="E1786" i="2"/>
  <c r="E1787" i="2" l="1"/>
  <c r="E1790" i="2"/>
  <c r="H1792" i="2"/>
  <c r="H1793" i="2" s="1"/>
  <c r="D1791" i="2"/>
  <c r="E1791" i="2" s="1"/>
  <c r="E1792" i="2" l="1"/>
  <c r="D1793" i="2"/>
  <c r="H1794" i="2"/>
  <c r="E1788" i="2"/>
  <c r="D1794" i="2" l="1"/>
  <c r="H1795" i="2"/>
  <c r="E1793" i="2"/>
  <c r="E1794" i="2" s="1"/>
  <c r="H1796" i="2" l="1"/>
  <c r="H1797" i="2" s="1"/>
  <c r="H1798" i="2" s="1"/>
  <c r="D1795" i="2"/>
  <c r="E1795" i="2" s="1"/>
  <c r="E1796" i="2" l="1"/>
  <c r="H1799" i="2"/>
  <c r="D1798" i="2"/>
  <c r="D1799" i="2" l="1"/>
  <c r="E1799" i="2" s="1"/>
  <c r="H1800" i="2"/>
  <c r="H1801" i="2" s="1"/>
  <c r="H1802" i="2" s="1"/>
  <c r="H1803" i="2" s="1"/>
  <c r="E1797" i="2"/>
  <c r="E1798" i="2" l="1"/>
  <c r="H1804" i="2"/>
  <c r="D1803" i="2"/>
  <c r="E1800" i="2"/>
  <c r="H1805" i="2" l="1"/>
  <c r="H1806" i="2" s="1"/>
  <c r="H1807" i="2" s="1"/>
  <c r="H1808" i="2" s="1"/>
  <c r="D1804" i="2"/>
  <c r="E1804" i="2" s="1"/>
  <c r="E1801" i="2"/>
  <c r="E1805" i="2" l="1"/>
  <c r="E1806" i="2" s="1"/>
  <c r="E1807" i="2" s="1"/>
  <c r="E1808" i="2" s="1"/>
  <c r="E1802" i="2"/>
  <c r="H1809" i="2"/>
  <c r="D1808" i="2"/>
  <c r="H1810" i="2" l="1"/>
  <c r="H1811" i="2" s="1"/>
  <c r="D1809" i="2"/>
  <c r="E1809" i="2" s="1"/>
  <c r="E1803" i="2"/>
  <c r="E1810" i="2" l="1"/>
  <c r="H1812" i="2"/>
  <c r="H1813" i="2" s="1"/>
  <c r="D1811" i="2"/>
  <c r="E1811" i="2" s="1"/>
  <c r="E1812" i="2" l="1"/>
  <c r="D1813" i="2"/>
  <c r="E1813" i="2" s="1"/>
  <c r="H1814" i="2"/>
  <c r="H1815" i="2" s="1"/>
  <c r="H1816" i="2" l="1"/>
  <c r="D1815" i="2"/>
  <c r="E1814" i="2"/>
  <c r="E1815" i="2" l="1"/>
  <c r="E1816" i="2" s="1"/>
  <c r="H1817" i="2"/>
  <c r="D1816" i="2"/>
  <c r="H1818" i="2" l="1"/>
  <c r="H1819" i="2" s="1"/>
  <c r="H1820" i="2" s="1"/>
  <c r="D1817" i="2"/>
  <c r="E1817" i="2" s="1"/>
  <c r="E1818" i="2" l="1"/>
  <c r="H1821" i="2"/>
  <c r="D1820" i="2"/>
  <c r="H1822" i="2" l="1"/>
  <c r="H1823" i="2" s="1"/>
  <c r="H1824" i="2" s="1"/>
  <c r="H1825" i="2" s="1"/>
  <c r="D1821" i="2"/>
  <c r="E1821" i="2" s="1"/>
  <c r="E1819" i="2"/>
  <c r="E1820" i="2" l="1"/>
  <c r="E1822" i="2"/>
  <c r="D1825" i="2"/>
  <c r="H1826" i="2"/>
  <c r="D1826" i="2" l="1"/>
  <c r="E1826" i="2" s="1"/>
  <c r="H1827" i="2"/>
  <c r="H1828" i="2" s="1"/>
  <c r="H1829" i="2" s="1"/>
  <c r="H1830" i="2" s="1"/>
  <c r="E1823" i="2"/>
  <c r="E1824" i="2" l="1"/>
  <c r="H1831" i="2"/>
  <c r="D1830" i="2"/>
  <c r="E1827" i="2"/>
  <c r="E1828" i="2" s="1"/>
  <c r="E1829" i="2" s="1"/>
  <c r="E1830" i="2" s="1"/>
  <c r="D1831" i="2" l="1"/>
  <c r="E1831" i="2" s="1"/>
  <c r="H1832" i="2"/>
  <c r="H1833" i="2" s="1"/>
  <c r="E1825" i="2"/>
  <c r="H1834" i="2" l="1"/>
  <c r="H1835" i="2" s="1"/>
  <c r="D1833" i="2"/>
  <c r="E1833" i="2" s="1"/>
  <c r="E1832" i="2"/>
  <c r="E1834" i="2" l="1"/>
  <c r="H1836" i="2"/>
  <c r="H1837" i="2" s="1"/>
  <c r="D1835" i="2"/>
  <c r="E1835" i="2" s="1"/>
  <c r="E1836" i="2" l="1"/>
  <c r="Y1835" i="2"/>
  <c r="Z1835" i="2" s="1"/>
  <c r="D1837" i="2"/>
  <c r="H1838" i="2"/>
  <c r="Y1831" i="2"/>
  <c r="Z1831" i="2" s="1"/>
  <c r="D1838" i="2" l="1"/>
  <c r="H1839" i="2"/>
  <c r="AE1835" i="2"/>
  <c r="AE1831" i="2"/>
  <c r="E1837" i="2"/>
  <c r="E1838" i="2" s="1"/>
  <c r="E1839" i="2" s="1"/>
  <c r="Y1817" i="2"/>
  <c r="Z1817" i="2" s="1"/>
  <c r="Y1821" i="2"/>
  <c r="Z1821" i="2" s="1"/>
  <c r="Y1826" i="2"/>
  <c r="Z1826" i="2" s="1"/>
  <c r="Y1833" i="2"/>
  <c r="Z1833" i="2" s="1"/>
  <c r="AE1817" i="2" l="1"/>
  <c r="AE1821" i="2"/>
  <c r="AE1826" i="2"/>
  <c r="H1840" i="2"/>
  <c r="D1839" i="2"/>
  <c r="AE1833" i="2"/>
  <c r="H1841" i="2" l="1"/>
  <c r="H1842" i="2" s="1"/>
  <c r="D1840" i="2"/>
  <c r="E1840" i="2" s="1"/>
  <c r="E1841" i="2" l="1"/>
  <c r="H1843" i="2"/>
  <c r="H1844" i="2" s="1"/>
  <c r="D1842" i="2"/>
  <c r="E1842" i="2" s="1"/>
  <c r="E1843" i="2" l="1"/>
  <c r="D1844" i="2"/>
  <c r="H1845" i="2"/>
  <c r="H1846" i="2" l="1"/>
  <c r="H1847" i="2" s="1"/>
  <c r="D1845" i="2"/>
  <c r="E1845" i="2" s="1"/>
  <c r="E1844" i="2"/>
  <c r="E1846" i="2" l="1"/>
  <c r="H1848" i="2"/>
  <c r="D1847" i="2"/>
  <c r="H1849" i="2" l="1"/>
  <c r="D1848" i="2"/>
  <c r="E1847" i="2"/>
  <c r="E1848" i="2" s="1"/>
  <c r="H1850" i="2" l="1"/>
  <c r="H1851" i="2" s="1"/>
  <c r="D1849" i="2"/>
  <c r="E1849" i="2" s="1"/>
  <c r="E1850" i="2" l="1"/>
  <c r="D1851" i="2"/>
  <c r="E1851" i="2" s="1"/>
  <c r="H1852" i="2"/>
  <c r="H1853" i="2" s="1"/>
  <c r="H1854" i="2" l="1"/>
  <c r="D1853" i="2"/>
  <c r="E1852" i="2"/>
  <c r="E1853" i="2" l="1"/>
  <c r="H1855" i="2"/>
  <c r="H1856" i="2" s="1"/>
  <c r="D1854" i="2"/>
  <c r="E1854" i="2" s="1"/>
  <c r="E1855" i="2" l="1"/>
  <c r="D1856" i="2"/>
  <c r="E1856" i="2" s="1"/>
  <c r="H1857" i="2"/>
  <c r="H1858" i="2" s="1"/>
  <c r="E1857" i="2" l="1"/>
  <c r="H1859" i="2"/>
  <c r="H1860" i="2" s="1"/>
  <c r="D1858" i="2"/>
  <c r="E1858" i="2" s="1"/>
  <c r="E1859" i="2" l="1"/>
  <c r="H1861" i="2"/>
  <c r="D1860" i="2"/>
  <c r="D1861" i="2" l="1"/>
  <c r="E1861" i="2" s="1"/>
  <c r="H1862" i="2"/>
  <c r="H1863" i="2" s="1"/>
  <c r="H1864" i="2" s="1"/>
  <c r="E1860" i="2"/>
  <c r="H1865" i="2" l="1"/>
  <c r="H1866" i="2" s="1"/>
  <c r="H1867" i="2" s="1"/>
  <c r="D1864" i="2"/>
  <c r="E1864" i="2" s="1"/>
  <c r="E1862" i="2"/>
  <c r="E1863" i="2" l="1"/>
  <c r="E1865" i="2"/>
  <c r="E1866" i="2" s="1"/>
  <c r="D1867" i="2"/>
  <c r="E1867" i="2" s="1"/>
  <c r="H1868" i="2"/>
  <c r="H1869" i="2" s="1"/>
  <c r="H1870" i="2" s="1"/>
  <c r="E1868" i="2" l="1"/>
  <c r="H1871" i="2"/>
  <c r="H1872" i="2" s="1"/>
  <c r="H1873" i="2" s="1"/>
  <c r="D1870" i="2"/>
  <c r="E1870" i="2" s="1"/>
  <c r="E1871" i="2" l="1"/>
  <c r="E1872" i="2" s="1"/>
  <c r="D1873" i="2"/>
  <c r="E1873" i="2" s="1"/>
  <c r="H1874" i="2"/>
  <c r="H1875" i="2" s="1"/>
  <c r="E1869" i="2"/>
  <c r="H1876" i="2" l="1"/>
  <c r="D1875" i="2"/>
  <c r="E1874" i="2"/>
  <c r="E1875" i="2" l="1"/>
  <c r="H1877" i="2"/>
  <c r="H1878" i="2" s="1"/>
  <c r="D1876" i="2"/>
  <c r="E1876" i="2" s="1"/>
  <c r="H1879" i="2" l="1"/>
  <c r="D1878" i="2"/>
  <c r="E1877" i="2"/>
  <c r="E1878" i="2" l="1"/>
  <c r="E1879" i="2" s="1"/>
  <c r="D1879" i="2"/>
  <c r="H1880" i="2"/>
  <c r="D1880" i="2" l="1"/>
  <c r="E1880" i="2" s="1"/>
  <c r="H1881" i="2"/>
  <c r="H1882" i="2" s="1"/>
  <c r="H1883" i="2" l="1"/>
  <c r="H1884" i="2" s="1"/>
  <c r="D1882" i="2"/>
  <c r="E1882" i="2" s="1"/>
  <c r="E1881" i="2"/>
  <c r="E1883" i="2" l="1"/>
  <c r="H1885" i="2"/>
  <c r="H1886" i="2" s="1"/>
  <c r="D1884" i="2"/>
  <c r="E1884" i="2" s="1"/>
  <c r="E1885" i="2" l="1"/>
  <c r="D1886" i="2"/>
  <c r="H1887" i="2"/>
  <c r="H1888" i="2" l="1"/>
  <c r="H1889" i="2" s="1"/>
  <c r="D1887" i="2"/>
  <c r="E1887" i="2" s="1"/>
  <c r="E1886" i="2"/>
  <c r="E1888" i="2" l="1"/>
  <c r="H1890" i="2"/>
  <c r="H1891" i="2" s="1"/>
  <c r="D1889" i="2"/>
  <c r="E1889" i="2" s="1"/>
  <c r="E1890" i="2" l="1"/>
  <c r="D1891" i="2"/>
  <c r="E1891" i="2" s="1"/>
  <c r="H1892" i="2"/>
  <c r="H1893" i="2" s="1"/>
  <c r="H1894" i="2" l="1"/>
  <c r="D1893" i="2"/>
  <c r="E1892" i="2"/>
  <c r="E1893" i="2" l="1"/>
  <c r="H1895" i="2"/>
  <c r="H1896" i="2" s="1"/>
  <c r="H1897" i="2" s="1"/>
  <c r="D1894" i="2"/>
  <c r="E1894" i="2" s="1"/>
  <c r="E1895" i="2" l="1"/>
  <c r="D1897" i="2"/>
  <c r="E1897" i="2" s="1"/>
  <c r="H1898" i="2"/>
  <c r="H1899" i="2" s="1"/>
  <c r="H1900" i="2" s="1"/>
  <c r="H1901" i="2" l="1"/>
  <c r="H1902" i="2" s="1"/>
  <c r="H1903" i="2" s="1"/>
  <c r="D1900" i="2"/>
  <c r="E1900" i="2" s="1"/>
  <c r="E1898" i="2"/>
  <c r="E1899" i="2" s="1"/>
  <c r="E1896" i="2"/>
  <c r="E1901" i="2" l="1"/>
  <c r="D1903" i="2"/>
  <c r="E1903" i="2" s="1"/>
  <c r="H1904" i="2"/>
  <c r="H1905" i="2" s="1"/>
  <c r="H1906" i="2" s="1"/>
  <c r="H1907" i="2" l="1"/>
  <c r="H1908" i="2" s="1"/>
  <c r="H1909" i="2" s="1"/>
  <c r="D1906" i="2"/>
  <c r="E1906" i="2" s="1"/>
  <c r="E1904" i="2"/>
  <c r="E1905" i="2" s="1"/>
  <c r="E1902" i="2"/>
  <c r="E1907" i="2" l="1"/>
  <c r="D1909" i="2"/>
  <c r="E1909" i="2" s="1"/>
  <c r="H1910" i="2"/>
  <c r="H1911" i="2" s="1"/>
  <c r="H1912" i="2" l="1"/>
  <c r="D1911" i="2"/>
  <c r="E1910" i="2"/>
  <c r="E1911" i="2" s="1"/>
  <c r="E1908" i="2"/>
  <c r="H1913" i="2" l="1"/>
  <c r="H1914" i="2" s="1"/>
  <c r="D1912" i="2"/>
  <c r="E1912" i="2" s="1"/>
  <c r="E1913" i="2" l="1"/>
  <c r="D1914" i="2"/>
  <c r="H1915" i="2"/>
  <c r="D1915" i="2" l="1"/>
  <c r="H1916" i="2"/>
  <c r="E1914" i="2"/>
  <c r="E1915" i="2" s="1"/>
  <c r="D1916" i="2" l="1"/>
  <c r="E1916" i="2" s="1"/>
  <c r="H1917" i="2"/>
  <c r="H1918" i="2" s="1"/>
  <c r="H1919" i="2" l="1"/>
  <c r="H1920" i="2" s="1"/>
  <c r="D1918" i="2"/>
  <c r="E1918" i="2" s="1"/>
  <c r="E1917" i="2"/>
  <c r="E1919" i="2" l="1"/>
  <c r="D1920" i="2"/>
  <c r="E1920" i="2" s="1"/>
  <c r="H1921" i="2"/>
  <c r="H1922" i="2" s="1"/>
  <c r="E1921" i="2" l="1"/>
  <c r="H1923" i="2"/>
  <c r="D1922" i="2"/>
  <c r="H1924" i="2" l="1"/>
  <c r="H1925" i="2" s="1"/>
  <c r="D1923" i="2"/>
  <c r="E1923" i="2" s="1"/>
  <c r="E1922" i="2"/>
  <c r="E1924" i="2" l="1"/>
  <c r="D1925" i="2"/>
  <c r="E1925" i="2" s="1"/>
  <c r="H1926" i="2"/>
  <c r="H1927" i="2" s="1"/>
  <c r="D1927" i="2" l="1"/>
  <c r="H1928" i="2"/>
  <c r="E1926" i="2"/>
  <c r="E1927" i="2" l="1"/>
  <c r="H1929" i="2"/>
  <c r="H1930" i="2" s="1"/>
  <c r="H1931" i="2" s="1"/>
  <c r="D1928" i="2"/>
  <c r="E1928" i="2" s="1"/>
  <c r="E1929" i="2" l="1"/>
  <c r="D1931" i="2"/>
  <c r="E1931" i="2" s="1"/>
  <c r="H1932" i="2"/>
  <c r="H1933" i="2" s="1"/>
  <c r="H1934" i="2" s="1"/>
  <c r="H1935" i="2" l="1"/>
  <c r="H1936" i="2" s="1"/>
  <c r="H1937" i="2" s="1"/>
  <c r="D1934" i="2"/>
  <c r="E1934" i="2" s="1"/>
  <c r="E1932" i="2"/>
  <c r="E1933" i="2" s="1"/>
  <c r="E1930" i="2"/>
  <c r="E1935" i="2" l="1"/>
  <c r="D1937" i="2"/>
  <c r="E1937" i="2" s="1"/>
  <c r="H1938" i="2"/>
  <c r="H1939" i="2" s="1"/>
  <c r="D1939" i="2" l="1"/>
  <c r="H1940" i="2"/>
  <c r="E1938" i="2"/>
  <c r="E1939" i="2" s="1"/>
  <c r="E1936" i="2"/>
  <c r="H1941" i="2" l="1"/>
  <c r="H1942" i="2" s="1"/>
  <c r="D1940" i="2"/>
  <c r="E1940" i="2" s="1"/>
  <c r="E1941" i="2" l="1"/>
  <c r="D1942" i="2"/>
  <c r="H1943" i="2"/>
  <c r="D1943" i="2" l="1"/>
  <c r="H1944" i="2"/>
  <c r="E1942" i="2"/>
  <c r="E1943" i="2" s="1"/>
  <c r="D1944" i="2" l="1"/>
  <c r="E1944" i="2" s="1"/>
  <c r="H1945" i="2"/>
  <c r="H1946" i="2" s="1"/>
  <c r="H1947" i="2" l="1"/>
  <c r="H1948" i="2" s="1"/>
  <c r="D1946" i="2"/>
  <c r="E1946" i="2" s="1"/>
  <c r="E1945" i="2"/>
  <c r="E1947" i="2" l="1"/>
  <c r="D1948" i="2"/>
  <c r="H1949" i="2"/>
  <c r="H1950" i="2" l="1"/>
  <c r="H1951" i="2" s="1"/>
  <c r="D1949" i="2"/>
  <c r="E1949" i="2" s="1"/>
  <c r="E1948" i="2"/>
  <c r="E1950" i="2" l="1"/>
  <c r="D1951" i="2"/>
  <c r="E1951" i="2" s="1"/>
  <c r="H1952" i="2"/>
  <c r="H1953" i="2" s="1"/>
  <c r="H1954" i="2" l="1"/>
  <c r="H1955" i="2" s="1"/>
  <c r="D1953" i="2"/>
  <c r="E1953" i="2" s="1"/>
  <c r="E1952" i="2"/>
  <c r="E1954" i="2" l="1"/>
  <c r="D1955" i="2"/>
  <c r="E1955" i="2" s="1"/>
  <c r="H1956" i="2"/>
  <c r="H1957" i="2" s="1"/>
  <c r="H1958" i="2" l="1"/>
  <c r="D1957" i="2"/>
  <c r="Y1955" i="2"/>
  <c r="Z1955" i="2" s="1"/>
  <c r="E1956" i="2"/>
  <c r="Y1946" i="2"/>
  <c r="Z1946" i="2" s="1"/>
  <c r="Y1944" i="2"/>
  <c r="Z1944" i="2" s="1"/>
  <c r="Y1951" i="2"/>
  <c r="Z1951" i="2" s="1"/>
  <c r="Y1940" i="2"/>
  <c r="Z1940" i="2" s="1"/>
  <c r="Y1937" i="2"/>
  <c r="Z1937" i="2" s="1"/>
  <c r="AE1940" i="2" l="1"/>
  <c r="AE1944" i="2"/>
  <c r="AE1946" i="2"/>
  <c r="E1957" i="2"/>
  <c r="E1958" i="2" s="1"/>
  <c r="E1959" i="2" s="1"/>
  <c r="Y1949" i="2"/>
  <c r="Z1949" i="2" s="1"/>
  <c r="Y1953" i="2"/>
  <c r="Z1953" i="2" s="1"/>
  <c r="B79" i="65"/>
  <c r="C79" i="65" s="1"/>
  <c r="AE1955" i="2"/>
  <c r="AE1951" i="2"/>
  <c r="AE1937" i="2"/>
  <c r="H1959" i="2"/>
  <c r="D1958" i="2"/>
  <c r="AE1949" i="2" l="1"/>
  <c r="B78" i="65"/>
  <c r="C78" i="65" s="1"/>
  <c r="AE1953" i="2"/>
  <c r="H1960" i="2"/>
  <c r="D1959" i="2"/>
  <c r="D1960" i="2" l="1"/>
  <c r="E1960" i="2" s="1"/>
  <c r="H1961" i="2"/>
  <c r="H1962" i="2" s="1"/>
  <c r="D1962" i="2" l="1"/>
  <c r="H1963" i="2"/>
  <c r="E1961" i="2"/>
  <c r="E1962" i="2" s="1"/>
  <c r="H1964" i="2" l="1"/>
  <c r="H1965" i="2" s="1"/>
  <c r="D1963" i="2"/>
  <c r="E1963" i="2" s="1"/>
  <c r="E1964" i="2" l="1"/>
  <c r="H1966" i="2"/>
  <c r="D1965" i="2"/>
  <c r="H1967" i="2" l="1"/>
  <c r="D1966" i="2"/>
  <c r="E1965" i="2"/>
  <c r="E1966" i="2" s="1"/>
  <c r="H1968" i="2" l="1"/>
  <c r="H1969" i="2" s="1"/>
  <c r="H1970" i="2" s="1"/>
  <c r="H1971" i="2" s="1"/>
  <c r="H1972" i="2" s="1"/>
  <c r="H1973" i="2" s="1"/>
  <c r="H1974" i="2" s="1"/>
  <c r="H1975" i="2" s="1"/>
  <c r="H1976" i="2" s="1"/>
  <c r="D1967" i="2"/>
  <c r="E1967" i="2" s="1"/>
  <c r="E1968" i="2" l="1"/>
  <c r="D1976" i="2"/>
  <c r="E1976" i="2" s="1"/>
  <c r="H1977" i="2"/>
  <c r="H1978" i="2" s="1"/>
  <c r="H1979" i="2" s="1"/>
  <c r="H1980" i="2" s="1"/>
  <c r="H1981" i="2" s="1"/>
  <c r="H1982" i="2" s="1"/>
  <c r="H1983" i="2" s="1"/>
  <c r="H1984" i="2" s="1"/>
  <c r="H1985" i="2" s="1"/>
  <c r="D1985" i="2" l="1"/>
  <c r="E1985" i="2" s="1"/>
  <c r="H1986" i="2"/>
  <c r="H1987" i="2" s="1"/>
  <c r="E1977" i="2"/>
  <c r="E1978" i="2" s="1"/>
  <c r="E1979" i="2" s="1"/>
  <c r="E1980" i="2" s="1"/>
  <c r="E1981" i="2" s="1"/>
  <c r="E1982" i="2" s="1"/>
  <c r="E1983" i="2" s="1"/>
  <c r="E1984" i="2" s="1"/>
  <c r="E1969" i="2"/>
  <c r="E1970" i="2" l="1"/>
  <c r="H1988" i="2"/>
  <c r="H1989" i="2" s="1"/>
  <c r="H1990" i="2" s="1"/>
  <c r="H1991" i="2" s="1"/>
  <c r="D1987" i="2"/>
  <c r="E1987" i="2" s="1"/>
  <c r="E1986" i="2"/>
  <c r="E1988" i="2" l="1"/>
  <c r="E1989" i="2" s="1"/>
  <c r="E1990" i="2" s="1"/>
  <c r="E1991" i="2" s="1"/>
  <c r="D1991" i="2"/>
  <c r="H1992" i="2"/>
  <c r="E1971" i="2"/>
  <c r="E1972" i="2" l="1"/>
  <c r="H1993" i="2"/>
  <c r="H1994" i="2" s="1"/>
  <c r="D1992" i="2"/>
  <c r="E1992" i="2" s="1"/>
  <c r="H1995" i="2" l="1"/>
  <c r="D1994" i="2"/>
  <c r="E1993" i="2"/>
  <c r="E1994" i="2" s="1"/>
  <c r="E1995" i="2" s="1"/>
  <c r="E1973" i="2"/>
  <c r="E1974" i="2" l="1"/>
  <c r="H1996" i="2"/>
  <c r="D1995" i="2"/>
  <c r="D1996" i="2" l="1"/>
  <c r="E1996" i="2" s="1"/>
  <c r="H1997" i="2"/>
  <c r="H1998" i="2" s="1"/>
  <c r="H1999" i="2" s="1"/>
  <c r="H2000" i="2" s="1"/>
  <c r="H2001" i="2" s="1"/>
  <c r="H2002" i="2" s="1"/>
  <c r="H2003" i="2" s="1"/>
  <c r="H2004" i="2" s="1"/>
  <c r="H2005" i="2" s="1"/>
  <c r="E1975" i="2"/>
  <c r="D2005" i="2" l="1"/>
  <c r="H2006" i="2"/>
  <c r="E1997" i="2"/>
  <c r="E1998" i="2" l="1"/>
  <c r="H2007" i="2"/>
  <c r="H2008" i="2" s="1"/>
  <c r="D2006" i="2"/>
  <c r="E2006" i="2" s="1"/>
  <c r="E2007" i="2" l="1"/>
  <c r="E2008" i="2" s="1"/>
  <c r="E2009" i="2" s="1"/>
  <c r="H2009" i="2"/>
  <c r="D2008" i="2"/>
  <c r="E1999" i="2"/>
  <c r="E2000" i="2" l="1"/>
  <c r="H2010" i="2"/>
  <c r="D2009" i="2"/>
  <c r="D2010" i="2" l="1"/>
  <c r="E2010" i="2" s="1"/>
  <c r="H2011" i="2"/>
  <c r="H2012" i="2" s="1"/>
  <c r="H2013" i="2" s="1"/>
  <c r="H2014" i="2" s="1"/>
  <c r="H2015" i="2" s="1"/>
  <c r="H2016" i="2" s="1"/>
  <c r="H2017" i="2" s="1"/>
  <c r="H2018" i="2" s="1"/>
  <c r="H2019" i="2" s="1"/>
  <c r="E2001" i="2"/>
  <c r="E2002" i="2" l="1"/>
  <c r="D2019" i="2"/>
  <c r="E2019" i="2" s="1"/>
  <c r="H2020" i="2"/>
  <c r="H2021" i="2" s="1"/>
  <c r="H2022" i="2" s="1"/>
  <c r="H2023" i="2" s="1"/>
  <c r="H2024" i="2" s="1"/>
  <c r="H2025" i="2" s="1"/>
  <c r="H2026" i="2" s="1"/>
  <c r="H2027" i="2" s="1"/>
  <c r="H2028" i="2" s="1"/>
  <c r="E2011" i="2"/>
  <c r="E2012" i="2" s="1"/>
  <c r="E2013" i="2" s="1"/>
  <c r="E2014" i="2" s="1"/>
  <c r="E2015" i="2" s="1"/>
  <c r="E2016" i="2" s="1"/>
  <c r="E2017" i="2" s="1"/>
  <c r="E2018" i="2" s="1"/>
  <c r="H2029" i="2" l="1"/>
  <c r="H2030" i="2" s="1"/>
  <c r="H2031" i="2" s="1"/>
  <c r="H2032" i="2" s="1"/>
  <c r="H2033" i="2" s="1"/>
  <c r="H2034" i="2" s="1"/>
  <c r="H2035" i="2" s="1"/>
  <c r="H2036" i="2" s="1"/>
  <c r="H2037" i="2" s="1"/>
  <c r="D2028" i="2"/>
  <c r="E2028" i="2" s="1"/>
  <c r="E2020" i="2"/>
  <c r="E2021" i="2" s="1"/>
  <c r="E2022" i="2" s="1"/>
  <c r="E2023" i="2" s="1"/>
  <c r="E2024" i="2" s="1"/>
  <c r="E2025" i="2" s="1"/>
  <c r="E2026" i="2" s="1"/>
  <c r="E2027" i="2" s="1"/>
  <c r="E2003" i="2"/>
  <c r="E2004" i="2" l="1"/>
  <c r="E2029" i="2"/>
  <c r="E2030" i="2" s="1"/>
  <c r="E2031" i="2" s="1"/>
  <c r="E2032" i="2" s="1"/>
  <c r="E2033" i="2" s="1"/>
  <c r="E2034" i="2" s="1"/>
  <c r="E2035" i="2" s="1"/>
  <c r="E2036" i="2" s="1"/>
  <c r="H2038" i="2"/>
  <c r="H2039" i="2" s="1"/>
  <c r="H2040" i="2" s="1"/>
  <c r="H2041" i="2" s="1"/>
  <c r="H2042" i="2" s="1"/>
  <c r="H2043" i="2" s="1"/>
  <c r="H2044" i="2" s="1"/>
  <c r="H2045" i="2" s="1"/>
  <c r="H2046" i="2" s="1"/>
  <c r="D2037" i="2"/>
  <c r="E2037" i="2" s="1"/>
  <c r="E2038" i="2" l="1"/>
  <c r="D2046" i="2"/>
  <c r="E2046" i="2" s="1"/>
  <c r="H2047" i="2"/>
  <c r="H2048" i="2" s="1"/>
  <c r="E2005" i="2"/>
  <c r="H2049" i="2" l="1"/>
  <c r="H2050" i="2" s="1"/>
  <c r="H2051" i="2" s="1"/>
  <c r="H2052" i="2" s="1"/>
  <c r="D2048" i="2"/>
  <c r="E2048" i="2" s="1"/>
  <c r="E2047" i="2"/>
  <c r="E2039" i="2"/>
  <c r="E2049" i="2" l="1"/>
  <c r="E2050" i="2" s="1"/>
  <c r="E2051" i="2" s="1"/>
  <c r="E2040" i="2"/>
  <c r="D2052" i="2"/>
  <c r="E2052" i="2" s="1"/>
  <c r="H2053" i="2"/>
  <c r="H2054" i="2" s="1"/>
  <c r="H2055" i="2" l="1"/>
  <c r="H2056" i="2" s="1"/>
  <c r="H2057" i="2" s="1"/>
  <c r="H2058" i="2" s="1"/>
  <c r="D2054" i="2"/>
  <c r="E2054" i="2" s="1"/>
  <c r="E2041" i="2"/>
  <c r="E2053" i="2"/>
  <c r="E2042" i="2" l="1"/>
  <c r="E2055" i="2"/>
  <c r="E2056" i="2" s="1"/>
  <c r="E2057" i="2" s="1"/>
  <c r="E2058" i="2" s="1"/>
  <c r="D2058" i="2"/>
  <c r="H2059" i="2"/>
  <c r="D2059" i="2" l="1"/>
  <c r="E2059" i="2" s="1"/>
  <c r="H2060" i="2"/>
  <c r="H2061" i="2" s="1"/>
  <c r="E2043" i="2"/>
  <c r="E2044" i="2" l="1"/>
  <c r="H2062" i="2"/>
  <c r="D2061" i="2"/>
  <c r="E2060" i="2"/>
  <c r="E2061" i="2" s="1"/>
  <c r="E2062" i="2" s="1"/>
  <c r="E2063" i="2" s="1"/>
  <c r="H2063" i="2" l="1"/>
  <c r="D2062" i="2"/>
  <c r="E2045" i="2"/>
  <c r="Y2028" i="2"/>
  <c r="Z2028" i="2" s="1"/>
  <c r="Y2046" i="2"/>
  <c r="Z2046" i="2" s="1"/>
  <c r="Y2052" i="2"/>
  <c r="Z2052" i="2" s="1"/>
  <c r="AE2046" i="2" l="1"/>
  <c r="B52" i="65"/>
  <c r="C52" i="65" s="1"/>
  <c r="AE2028" i="2"/>
  <c r="Y2059" i="2"/>
  <c r="Z2059" i="2" s="1"/>
  <c r="Y2054" i="2"/>
  <c r="Z2054" i="2" s="1"/>
  <c r="Y2048" i="2"/>
  <c r="Z2048" i="2" s="1"/>
  <c r="Y2037" i="2"/>
  <c r="Z2037" i="2" s="1"/>
  <c r="B26" i="65"/>
  <c r="C26" i="65" s="1"/>
  <c r="AE2052" i="2"/>
  <c r="H2064" i="2"/>
  <c r="D2063" i="2"/>
  <c r="AE2048" i="2" l="1"/>
  <c r="B4" i="65"/>
  <c r="C4" i="65" s="1"/>
  <c r="AE2054" i="2"/>
  <c r="AE2059" i="2"/>
  <c r="B264" i="65"/>
  <c r="C264" i="65" s="1"/>
  <c r="AE2037" i="2"/>
  <c r="H2065" i="2"/>
  <c r="H2066" i="2" s="1"/>
  <c r="H2067" i="2" s="1"/>
  <c r="H2068" i="2" s="1"/>
  <c r="D2064" i="2"/>
  <c r="E2064" i="2" s="1"/>
  <c r="E2065" i="2" l="1"/>
  <c r="E2066" i="2" s="1"/>
  <c r="E2067" i="2" s="1"/>
  <c r="H2069" i="2"/>
  <c r="H2070" i="2" s="1"/>
  <c r="H2071" i="2" s="1"/>
  <c r="H2072" i="2" s="1"/>
  <c r="H2073" i="2" s="1"/>
  <c r="D2068" i="2"/>
  <c r="E2068" i="2" s="1"/>
  <c r="E2069" i="2" l="1"/>
  <c r="D2073" i="2"/>
  <c r="E2073" i="2" s="1"/>
  <c r="H2074" i="2"/>
  <c r="H2075" i="2" s="1"/>
  <c r="H2076" i="2" s="1"/>
  <c r="H2077" i="2" s="1"/>
  <c r="H2078" i="2" s="1"/>
  <c r="D2078" i="2" l="1"/>
  <c r="E2078" i="2" s="1"/>
  <c r="H2079" i="2"/>
  <c r="H2080" i="2" s="1"/>
  <c r="H2081" i="2" s="1"/>
  <c r="H2082" i="2" s="1"/>
  <c r="H2083" i="2" s="1"/>
  <c r="E2074" i="2"/>
  <c r="E2075" i="2" s="1"/>
  <c r="E2076" i="2" s="1"/>
  <c r="E2077" i="2" s="1"/>
  <c r="E2070" i="2"/>
  <c r="E2071" i="2" l="1"/>
  <c r="H2084" i="2"/>
  <c r="D2083" i="2"/>
  <c r="E2079" i="2"/>
  <c r="E2080" i="2" s="1"/>
  <c r="E2081" i="2" s="1"/>
  <c r="E2082" i="2" s="1"/>
  <c r="E2083" i="2" s="1"/>
  <c r="H2085" i="2" l="1"/>
  <c r="H2086" i="2" s="1"/>
  <c r="D2084" i="2"/>
  <c r="E2084" i="2" s="1"/>
  <c r="E2072" i="2"/>
  <c r="E2085" i="2" l="1"/>
  <c r="D2086" i="2"/>
  <c r="H2087" i="2"/>
  <c r="H2088" i="2" l="1"/>
  <c r="H2089" i="2" s="1"/>
  <c r="D2087" i="2"/>
  <c r="E2087" i="2" s="1"/>
  <c r="E2086" i="2"/>
  <c r="Y2087" i="2" l="1"/>
  <c r="Z2087" i="2" s="1"/>
  <c r="E2088" i="2"/>
  <c r="H2090" i="2"/>
  <c r="D2089" i="2"/>
  <c r="H2091" i="2" l="1"/>
  <c r="D2090" i="2"/>
  <c r="E2089" i="2"/>
  <c r="E2090" i="2" s="1"/>
  <c r="E2091" i="2" s="1"/>
  <c r="Y2068" i="2"/>
  <c r="Z2068" i="2" s="1"/>
  <c r="Y2078" i="2"/>
  <c r="Z2078" i="2" s="1"/>
  <c r="Y2084" i="2"/>
  <c r="Z2084" i="2" s="1"/>
  <c r="Y2073" i="2"/>
  <c r="Z2073" i="2" s="1"/>
  <c r="Y2064" i="2"/>
  <c r="Z2064" i="2" s="1"/>
  <c r="B178" i="65"/>
  <c r="C178" i="65" s="1"/>
  <c r="AE2087" i="2"/>
  <c r="B84" i="65" l="1"/>
  <c r="C84" i="65" s="1"/>
  <c r="AE2064" i="2"/>
  <c r="B34" i="65"/>
  <c r="C34" i="65" s="1"/>
  <c r="AE2073" i="2"/>
  <c r="B206" i="65"/>
  <c r="C206" i="65" s="1"/>
  <c r="AE2084" i="2"/>
  <c r="B257" i="65"/>
  <c r="C257" i="65" s="1"/>
  <c r="AE2078" i="2"/>
  <c r="B39" i="65"/>
  <c r="C39" i="65" s="1"/>
  <c r="AE2068" i="2"/>
  <c r="D2091" i="2"/>
  <c r="H2092" i="2"/>
  <c r="D2092" i="2" l="1"/>
  <c r="E2092" i="2" s="1"/>
  <c r="H2093" i="2"/>
  <c r="H2094" i="2" s="1"/>
  <c r="H2095" i="2" l="1"/>
  <c r="H2096" i="2" s="1"/>
  <c r="D2094" i="2"/>
  <c r="E2094" i="2" s="1"/>
  <c r="E2093" i="2"/>
  <c r="E2095" i="2" l="1"/>
  <c r="H2097" i="2"/>
  <c r="H2098" i="2" s="1"/>
  <c r="D2096" i="2"/>
  <c r="E2096" i="2" s="1"/>
  <c r="E2097" i="2" l="1"/>
  <c r="D2098" i="2"/>
  <c r="E2098" i="2" s="1"/>
  <c r="H2099" i="2"/>
  <c r="H2100" i="2" s="1"/>
  <c r="H2101" i="2" s="1"/>
  <c r="H2102" i="2" s="1"/>
  <c r="H2103" i="2" l="1"/>
  <c r="D2102" i="2"/>
  <c r="E2099" i="2"/>
  <c r="E2100" i="2" l="1"/>
  <c r="D2103" i="2"/>
  <c r="E2103" i="2" s="1"/>
  <c r="H2104" i="2"/>
  <c r="H2105" i="2" s="1"/>
  <c r="E2104" i="2" l="1"/>
  <c r="H2106" i="2"/>
  <c r="H2107" i="2" s="1"/>
  <c r="D2105" i="2"/>
  <c r="E2105" i="2" s="1"/>
  <c r="E2101" i="2"/>
  <c r="E2106" i="2" l="1"/>
  <c r="H2108" i="2"/>
  <c r="D2107" i="2"/>
  <c r="E2102" i="2"/>
  <c r="H2109" i="2" l="1"/>
  <c r="H2110" i="2" s="1"/>
  <c r="H2111" i="2" s="1"/>
  <c r="H2112" i="2" s="1"/>
  <c r="H2113" i="2" s="1"/>
  <c r="H2114" i="2" s="1"/>
  <c r="D2108" i="2"/>
  <c r="E2108" i="2" s="1"/>
  <c r="E2107" i="2"/>
  <c r="E2109" i="2" l="1"/>
  <c r="H2115" i="2"/>
  <c r="D2114" i="2"/>
  <c r="H2116" i="2" l="1"/>
  <c r="H2117" i="2" s="1"/>
  <c r="D2115" i="2"/>
  <c r="E2115" i="2" s="1"/>
  <c r="E2110" i="2"/>
  <c r="E2111" i="2" l="1"/>
  <c r="E2116" i="2"/>
  <c r="D2117" i="2"/>
  <c r="E2117" i="2" s="1"/>
  <c r="H2118" i="2"/>
  <c r="H2119" i="2" s="1"/>
  <c r="H2120" i="2" l="1"/>
  <c r="H2121" i="2" s="1"/>
  <c r="D2119" i="2"/>
  <c r="E2119" i="2" s="1"/>
  <c r="E2118" i="2"/>
  <c r="E2112" i="2"/>
  <c r="E2113" i="2" l="1"/>
  <c r="Y2108" i="2"/>
  <c r="Z2108" i="2" s="1"/>
  <c r="Y2115" i="2"/>
  <c r="Z2115" i="2" s="1"/>
  <c r="Y2119" i="2"/>
  <c r="Z2119" i="2" s="1"/>
  <c r="E2120" i="2"/>
  <c r="E2121" i="2" s="1"/>
  <c r="E2122" i="2" s="1"/>
  <c r="E2123" i="2" s="1"/>
  <c r="H2122" i="2"/>
  <c r="D2121" i="2"/>
  <c r="D2122" i="2" l="1"/>
  <c r="H2123" i="2"/>
  <c r="B188" i="65"/>
  <c r="C188" i="65" s="1"/>
  <c r="AE2115" i="2"/>
  <c r="B254" i="65"/>
  <c r="C254" i="65" s="1"/>
  <c r="AE2108" i="2"/>
  <c r="B164" i="65"/>
  <c r="C164" i="65" s="1"/>
  <c r="AE2119" i="2"/>
  <c r="E2114" i="2"/>
  <c r="Y2103" i="2"/>
  <c r="Z2103" i="2" s="1"/>
  <c r="Y2117" i="2"/>
  <c r="Z2117" i="2" s="1"/>
  <c r="Y2105" i="2"/>
  <c r="Z2105" i="2" s="1"/>
  <c r="B185" i="65" l="1"/>
  <c r="C185" i="65" s="1"/>
  <c r="AE2117" i="2"/>
  <c r="B100" i="65"/>
  <c r="C100" i="65" s="1"/>
  <c r="AE2103" i="2"/>
  <c r="B208" i="65"/>
  <c r="C208" i="65" s="1"/>
  <c r="AE2105" i="2"/>
  <c r="D2123" i="2"/>
  <c r="H2124" i="2"/>
  <c r="H2125" i="2" l="1"/>
  <c r="H2126" i="2" s="1"/>
  <c r="D2124" i="2"/>
  <c r="E2124" i="2" s="1"/>
  <c r="E2125" i="2" l="1"/>
  <c r="E2126" i="2" s="1"/>
  <c r="H2127" i="2"/>
  <c r="D2126" i="2"/>
  <c r="H2128" i="2" l="1"/>
  <c r="H2129" i="2" s="1"/>
  <c r="D2127" i="2"/>
  <c r="E2127" i="2" s="1"/>
  <c r="E2128" i="2" l="1"/>
  <c r="D2129" i="2"/>
  <c r="H2130" i="2"/>
  <c r="D2130" i="2" l="1"/>
  <c r="E2130" i="2" s="1"/>
  <c r="H2131" i="2"/>
  <c r="H2132" i="2" s="1"/>
  <c r="E2129" i="2"/>
  <c r="H2133" i="2" l="1"/>
  <c r="D2132" i="2"/>
  <c r="E2131" i="2"/>
  <c r="E2132" i="2" l="1"/>
  <c r="H2134" i="2"/>
  <c r="H2135" i="2" s="1"/>
  <c r="H2136" i="2" s="1"/>
  <c r="H2137" i="2" s="1"/>
  <c r="D2133" i="2"/>
  <c r="E2133" i="2" s="1"/>
  <c r="E2134" i="2" l="1"/>
  <c r="H2138" i="2"/>
  <c r="H2139" i="2" s="1"/>
  <c r="D2137" i="2"/>
  <c r="E2137" i="2" s="1"/>
  <c r="E2138" i="2" l="1"/>
  <c r="H2140" i="2"/>
  <c r="H2141" i="2" s="1"/>
  <c r="D2139" i="2"/>
  <c r="E2139" i="2" s="1"/>
  <c r="E2135" i="2"/>
  <c r="E2140" i="2" l="1"/>
  <c r="D2141" i="2"/>
  <c r="E2141" i="2" s="1"/>
  <c r="H2142" i="2"/>
  <c r="H2143" i="2" s="1"/>
  <c r="E2136" i="2"/>
  <c r="H2144" i="2" l="1"/>
  <c r="D2143" i="2"/>
  <c r="Y2141" i="2"/>
  <c r="Z2141" i="2" s="1"/>
  <c r="E2142" i="2"/>
  <c r="Y2137" i="2"/>
  <c r="Z2137" i="2" s="1"/>
  <c r="Y2127" i="2"/>
  <c r="Z2127" i="2" s="1"/>
  <c r="Y2130" i="2"/>
  <c r="Z2130" i="2" s="1"/>
  <c r="Y2124" i="2"/>
  <c r="Z2124" i="2" s="1"/>
  <c r="B195" i="65" l="1"/>
  <c r="C195" i="65" s="1"/>
  <c r="AE2124" i="2"/>
  <c r="B40" i="65"/>
  <c r="C40" i="65" s="1"/>
  <c r="AE2127" i="2"/>
  <c r="B139" i="65"/>
  <c r="C139" i="65" s="1"/>
  <c r="AE2137" i="2"/>
  <c r="B259" i="65"/>
  <c r="C259" i="65" s="1"/>
  <c r="AE2141" i="2"/>
  <c r="B203" i="65"/>
  <c r="C203" i="65" s="1"/>
  <c r="AE2130" i="2"/>
  <c r="E2143" i="2"/>
  <c r="E2144" i="2" s="1"/>
  <c r="E2145" i="2" s="1"/>
  <c r="Y2133" i="2"/>
  <c r="Z2133" i="2" s="1"/>
  <c r="Y2139" i="2"/>
  <c r="Z2139" i="2" s="1"/>
  <c r="H2145" i="2"/>
  <c r="D2144" i="2"/>
  <c r="H2146" i="2" l="1"/>
  <c r="D2145" i="2"/>
  <c r="B54" i="65"/>
  <c r="C54" i="65" s="1"/>
  <c r="AE2139" i="2"/>
  <c r="B204" i="65"/>
  <c r="C204" i="65" s="1"/>
  <c r="AE2133" i="2"/>
  <c r="H2147" i="2" l="1"/>
  <c r="D2146" i="2"/>
  <c r="E2146" i="2" s="1"/>
  <c r="E2147" i="2" l="1"/>
  <c r="Y16" i="2" l="1"/>
  <c r="Z16" i="2" s="1"/>
  <c r="Y175" i="2"/>
  <c r="Z175" i="2" s="1"/>
  <c r="Y21" i="2"/>
  <c r="Z21" i="2" s="1"/>
  <c r="Y23" i="2"/>
  <c r="Z23" i="2" s="1"/>
  <c r="Y18" i="2"/>
  <c r="Z18" i="2" s="1"/>
  <c r="Y180" i="2"/>
  <c r="Z180" i="2" s="1"/>
  <c r="Y178" i="2"/>
  <c r="Z178" i="2" s="1"/>
  <c r="Y25" i="2"/>
  <c r="Z25" i="2" s="1"/>
  <c r="Y183" i="2"/>
  <c r="Z183" i="2" s="1"/>
  <c r="Y31" i="2"/>
  <c r="Z31" i="2" s="1"/>
  <c r="Y27" i="2"/>
  <c r="Z27" i="2" s="1"/>
  <c r="Y29" i="2"/>
  <c r="Z29" i="2" s="1"/>
  <c r="Y33" i="2"/>
  <c r="Z33" i="2" s="1"/>
  <c r="Y35" i="2"/>
  <c r="Z35" i="2" s="1"/>
  <c r="Y188" i="2"/>
  <c r="Z188" i="2" s="1"/>
  <c r="Y37" i="2"/>
  <c r="Z37" i="2" s="1"/>
  <c r="Y191" i="2"/>
  <c r="Z191" i="2" s="1"/>
  <c r="Y43" i="2"/>
  <c r="Z43" i="2" s="1"/>
  <c r="Y40" i="2"/>
  <c r="Z40" i="2" s="1"/>
  <c r="Y49" i="2"/>
  <c r="Z49" i="2" s="1"/>
  <c r="Y197" i="2"/>
  <c r="Z197" i="2" s="1"/>
  <c r="Y194" i="2"/>
  <c r="Z194" i="2" s="1"/>
  <c r="Y45" i="2"/>
  <c r="Z45" i="2" s="1"/>
  <c r="Y51" i="2"/>
  <c r="Z51" i="2" s="1"/>
  <c r="Y202" i="2"/>
  <c r="Z202" i="2" s="1"/>
  <c r="Y53" i="2"/>
  <c r="Z53" i="2" s="1"/>
  <c r="Y205" i="2"/>
  <c r="Z205" i="2" s="1"/>
  <c r="Y55" i="2"/>
  <c r="Z55" i="2" s="1"/>
  <c r="Y59" i="2"/>
  <c r="Z59" i="2" s="1"/>
  <c r="Y57" i="2"/>
  <c r="Z57" i="2" s="1"/>
  <c r="Y61" i="2"/>
  <c r="Z61" i="2" s="1"/>
  <c r="Y208" i="2"/>
  <c r="Z208" i="2" s="1"/>
  <c r="Y211" i="2"/>
  <c r="Z211" i="2" s="1"/>
  <c r="Y65" i="2"/>
  <c r="Z65" i="2" s="1"/>
  <c r="Y63" i="2"/>
  <c r="Z63" i="2" s="1"/>
  <c r="Y67" i="2"/>
  <c r="Z67" i="2" s="1"/>
  <c r="Y76" i="2"/>
  <c r="Z76" i="2" s="1"/>
  <c r="Y80" i="2"/>
  <c r="Z80" i="2" s="1"/>
  <c r="Y241" i="2"/>
  <c r="Z241" i="2" s="1"/>
  <c r="Y237" i="2"/>
  <c r="Z237" i="2" s="1"/>
  <c r="Y245" i="2"/>
  <c r="Z245" i="2" s="1"/>
  <c r="Y87" i="2"/>
  <c r="Z87" i="2" s="1"/>
  <c r="Y89" i="2"/>
  <c r="Z89" i="2" s="1"/>
  <c r="Y249" i="2"/>
  <c r="Z249" i="2" s="1"/>
  <c r="Y91" i="2"/>
  <c r="Z91" i="2" s="1"/>
  <c r="Y95" i="2"/>
  <c r="Z95" i="2" s="1"/>
  <c r="Y253" i="2"/>
  <c r="Z253" i="2" s="1"/>
  <c r="Y257" i="2"/>
  <c r="Z257" i="2" s="1"/>
  <c r="Y102" i="2"/>
  <c r="Z102" i="2" s="1"/>
  <c r="Y261" i="2"/>
  <c r="Z261" i="2" s="1"/>
  <c r="Y108" i="2"/>
  <c r="Z108" i="2" s="1"/>
  <c r="Y266" i="2"/>
  <c r="Z266" i="2" s="1"/>
  <c r="Y271" i="2"/>
  <c r="Z271" i="2" s="1"/>
  <c r="Y276" i="2"/>
  <c r="Z276" i="2" s="1"/>
  <c r="Y112" i="2"/>
  <c r="Z112" i="2" s="1"/>
  <c r="Y116" i="2"/>
  <c r="Z116" i="2" s="1"/>
  <c r="Y119" i="2"/>
  <c r="Z119" i="2" s="1"/>
  <c r="Y284" i="2"/>
  <c r="Z284" i="2" s="1"/>
  <c r="Y281" i="2"/>
  <c r="Z281" i="2" s="1"/>
  <c r="Y121" i="2"/>
  <c r="Z121" i="2" s="1"/>
  <c r="Y287" i="2"/>
  <c r="Z287" i="2" s="1"/>
  <c r="Y123" i="2"/>
  <c r="Z123" i="2" s="1"/>
  <c r="Y291" i="2"/>
  <c r="Z291" i="2" s="1"/>
  <c r="Y125" i="2"/>
  <c r="Z125" i="2" s="1"/>
  <c r="Y296" i="2"/>
  <c r="Z296" i="2" s="1"/>
  <c r="Y127" i="2"/>
  <c r="Z127" i="2" s="1"/>
  <c r="Y129" i="2"/>
  <c r="Z129" i="2" s="1"/>
  <c r="Y301" i="2"/>
  <c r="Z301" i="2" s="1"/>
  <c r="Y131" i="2"/>
  <c r="Z131" i="2" s="1"/>
  <c r="Y133" i="2"/>
  <c r="Z133" i="2" s="1"/>
  <c r="Y306" i="2"/>
  <c r="Z306" i="2" s="1"/>
  <c r="Y310" i="2"/>
  <c r="Z310" i="2" s="1"/>
  <c r="Y135" i="2"/>
  <c r="Z135" i="2" s="1"/>
  <c r="Y319" i="2"/>
  <c r="Z319" i="2" s="1"/>
  <c r="Y321" i="2"/>
  <c r="Z321" i="2" s="1"/>
  <c r="Y325" i="2"/>
  <c r="Z325" i="2" s="1"/>
  <c r="Y143" i="2"/>
  <c r="Z143" i="2" s="1"/>
  <c r="Y141" i="2"/>
  <c r="Z141" i="2" s="1"/>
  <c r="Y329" i="2"/>
  <c r="Z329" i="2" s="1"/>
  <c r="Y333" i="2"/>
  <c r="Z333" i="2" s="1"/>
  <c r="Y147" i="2"/>
  <c r="Z147" i="2" s="1"/>
  <c r="Y145" i="2"/>
  <c r="Z145" i="2" s="1"/>
  <c r="Y337" i="2"/>
  <c r="Z337" i="2" s="1"/>
  <c r="Y341" i="2"/>
  <c r="Z341" i="2" s="1"/>
  <c r="Y153" i="2"/>
  <c r="Z153" i="2" s="1"/>
  <c r="Y345" i="2"/>
  <c r="Z345" i="2" s="1"/>
  <c r="Y149" i="2"/>
  <c r="Z149" i="2" s="1"/>
  <c r="Y349" i="2"/>
  <c r="Z349" i="2" s="1"/>
  <c r="Y353" i="2"/>
  <c r="Z353" i="2" s="1"/>
  <c r="Y357" i="2"/>
  <c r="Z357" i="2" s="1"/>
  <c r="Y362" i="2"/>
  <c r="Z362" i="2" s="1"/>
  <c r="Y367" i="2"/>
  <c r="Z367" i="2" s="1"/>
  <c r="Y372" i="2"/>
  <c r="Z372" i="2" s="1"/>
  <c r="Y377" i="2"/>
  <c r="Z377" i="2" s="1"/>
  <c r="Y383" i="2"/>
  <c r="Z383" i="2" s="1"/>
  <c r="Y380" i="2"/>
  <c r="Z380" i="2" s="1"/>
  <c r="Y386" i="2"/>
  <c r="Z386" i="2" s="1"/>
  <c r="Y390" i="2"/>
  <c r="Z390" i="2" s="1"/>
  <c r="Y395" i="2"/>
  <c r="Z395" i="2" s="1"/>
  <c r="Y400" i="2"/>
  <c r="Z400" i="2" s="1"/>
  <c r="Y405" i="2"/>
  <c r="Z405" i="2" s="1"/>
  <c r="Y409" i="2"/>
  <c r="Z409" i="2" s="1"/>
  <c r="Y418" i="2"/>
  <c r="Z418" i="2" s="1"/>
  <c r="Y420" i="2"/>
  <c r="Z420" i="2" s="1"/>
  <c r="Y424" i="2"/>
  <c r="Z424" i="2" s="1"/>
  <c r="Y428" i="2"/>
  <c r="Z428" i="2" s="1"/>
  <c r="Y432" i="2"/>
  <c r="Z432" i="2" s="1"/>
  <c r="Y436" i="2"/>
  <c r="Z436" i="2" s="1"/>
  <c r="Y440" i="2"/>
  <c r="Z440" i="2" s="1"/>
  <c r="Y444" i="2"/>
  <c r="Z444" i="2" s="1"/>
  <c r="Y448" i="2"/>
  <c r="Z448" i="2" s="1"/>
  <c r="Y453" i="2"/>
  <c r="Z453" i="2" s="1"/>
  <c r="Y458" i="2"/>
  <c r="Z458" i="2" s="1"/>
  <c r="Y468" i="2"/>
  <c r="Z468" i="2" s="1"/>
  <c r="Y463" i="2"/>
  <c r="Z463" i="2" s="1"/>
  <c r="Y471" i="2"/>
  <c r="Z471" i="2" s="1"/>
  <c r="Y474" i="2"/>
  <c r="Z474" i="2" s="1"/>
  <c r="Y481" i="2"/>
  <c r="Z481" i="2" s="1"/>
  <c r="Y477" i="2"/>
  <c r="Z477" i="2" s="1"/>
  <c r="Y486" i="2"/>
  <c r="Z486" i="2" s="1"/>
  <c r="Y491" i="2"/>
  <c r="Z491" i="2" s="1"/>
  <c r="Y496" i="2"/>
  <c r="Z496" i="2" s="1"/>
  <c r="Y500" i="2"/>
  <c r="Z500" i="2" s="1"/>
  <c r="Y509" i="2"/>
  <c r="Z509" i="2" s="1"/>
  <c r="Y511" i="2"/>
  <c r="Z511" i="2" s="1"/>
  <c r="Y515" i="2"/>
  <c r="Z515" i="2" s="1"/>
  <c r="Y519" i="2"/>
  <c r="Z519" i="2" s="1"/>
  <c r="Y523" i="2"/>
  <c r="Z523" i="2" s="1"/>
  <c r="Y527" i="2"/>
  <c r="Z527" i="2" s="1"/>
  <c r="Y531" i="2"/>
  <c r="Z531" i="2" s="1"/>
  <c r="Y535" i="2"/>
  <c r="Z535" i="2" s="1"/>
  <c r="Y539" i="2"/>
  <c r="Z539" i="2" s="1"/>
  <c r="Y544" i="2"/>
  <c r="Z544" i="2" s="1"/>
  <c r="Y549" i="2"/>
  <c r="Z549" i="2" s="1"/>
  <c r="Y554" i="2"/>
  <c r="Z554" i="2" s="1"/>
  <c r="Y559" i="2"/>
  <c r="Z559" i="2" s="1"/>
  <c r="Y562" i="2"/>
  <c r="Z562" i="2" s="1"/>
  <c r="Y565" i="2"/>
  <c r="Z565" i="2" s="1"/>
  <c r="Y572" i="2"/>
  <c r="Z572" i="2" s="1"/>
  <c r="Y568" i="2"/>
  <c r="Z568" i="2" s="1"/>
  <c r="Y577" i="2"/>
  <c r="Z577" i="2" s="1"/>
  <c r="Y582" i="2"/>
  <c r="Z582" i="2" s="1"/>
  <c r="Y587" i="2"/>
  <c r="Z587" i="2" s="1"/>
  <c r="Y591" i="2"/>
  <c r="Z591" i="2" s="1"/>
  <c r="Y595" i="2"/>
  <c r="Z595" i="2" s="1"/>
  <c r="Y599" i="2"/>
  <c r="Z599" i="2" s="1"/>
  <c r="Y603" i="2"/>
  <c r="Z603" i="2" s="1"/>
  <c r="Y607" i="2"/>
  <c r="Z607" i="2" s="1"/>
  <c r="Y611" i="2"/>
  <c r="Z611" i="2" s="1"/>
  <c r="Y615" i="2"/>
  <c r="Z615" i="2" s="1"/>
  <c r="Y620" i="2"/>
  <c r="Z620" i="2" s="1"/>
  <c r="Y630" i="2"/>
  <c r="Z630" i="2" s="1"/>
  <c r="Y625" i="2"/>
  <c r="Z625" i="2" s="1"/>
  <c r="Y668" i="2"/>
  <c r="Z668" i="2" s="1"/>
  <c r="Y665" i="2"/>
  <c r="Z665" i="2" s="1"/>
  <c r="Y671" i="2"/>
  <c r="Z671" i="2" s="1"/>
  <c r="Y675" i="2"/>
  <c r="Z675" i="2" s="1"/>
  <c r="Y683" i="2"/>
  <c r="Z683" i="2" s="1"/>
  <c r="Y687" i="2"/>
  <c r="Z687" i="2" s="1"/>
  <c r="Y690" i="2"/>
  <c r="Z690" i="2" s="1"/>
  <c r="Y694" i="2"/>
  <c r="Z694" i="2" s="1"/>
  <c r="Y697" i="2"/>
  <c r="Z697" i="2" s="1"/>
  <c r="Y700" i="2"/>
  <c r="Z700" i="2" s="1"/>
  <c r="Y704" i="2"/>
  <c r="Z704" i="2" s="1"/>
  <c r="Y716" i="2"/>
  <c r="Z716" i="2" s="1"/>
  <c r="Y708" i="2"/>
  <c r="Z708" i="2" s="1"/>
  <c r="Y720" i="2"/>
  <c r="Z720" i="2" s="1"/>
  <c r="Y723" i="2"/>
  <c r="Z723" i="2" s="1"/>
  <c r="Y727" i="2"/>
  <c r="Z727" i="2" s="1"/>
  <c r="Y730" i="2"/>
  <c r="Z730" i="2" s="1"/>
  <c r="Y733" i="2"/>
  <c r="Z733" i="2" s="1"/>
  <c r="Y745" i="2"/>
  <c r="Z745" i="2" s="1"/>
  <c r="Y737" i="2"/>
  <c r="Z737" i="2" s="1"/>
  <c r="Y749" i="2"/>
  <c r="Z749" i="2" s="1"/>
  <c r="Y752" i="2"/>
  <c r="Z752" i="2" s="1"/>
  <c r="Y756" i="2"/>
  <c r="Z756" i="2" s="1"/>
  <c r="Y759" i="2"/>
  <c r="Z759" i="2" s="1"/>
  <c r="Y762" i="2"/>
  <c r="Z762" i="2" s="1"/>
  <c r="Y774" i="2"/>
  <c r="Z774" i="2" s="1"/>
  <c r="Y766" i="2"/>
  <c r="Z766" i="2" s="1"/>
  <c r="Y778" i="2"/>
  <c r="Z778" i="2" s="1"/>
  <c r="Y781" i="2"/>
  <c r="Z781" i="2" s="1"/>
  <c r="Y813" i="2"/>
  <c r="Z813" i="2" s="1"/>
  <c r="Y809" i="2"/>
  <c r="Z809" i="2" s="1"/>
  <c r="Y816" i="2"/>
  <c r="Z816" i="2" s="1"/>
  <c r="Y820" i="2"/>
  <c r="Z820" i="2" s="1"/>
  <c r="Y823" i="2"/>
  <c r="Z823" i="2" s="1"/>
  <c r="Y826" i="2"/>
  <c r="Z826" i="2" s="1"/>
  <c r="Y830" i="2"/>
  <c r="Z830" i="2" s="1"/>
  <c r="Y832" i="2"/>
  <c r="Z832" i="2" s="1"/>
  <c r="Y834" i="2"/>
  <c r="Z834" i="2" s="1"/>
  <c r="Y838" i="2"/>
  <c r="Z838" i="2" s="1"/>
  <c r="Y836" i="2"/>
  <c r="Z836" i="2" s="1"/>
  <c r="Y840" i="2"/>
  <c r="Z840" i="2" s="1"/>
  <c r="Y844" i="2"/>
  <c r="Z844" i="2" s="1"/>
  <c r="Y848" i="2"/>
  <c r="Z848" i="2" s="1"/>
  <c r="Y851" i="2"/>
  <c r="Z851" i="2" s="1"/>
  <c r="Y855" i="2"/>
  <c r="Z855" i="2" s="1"/>
  <c r="Y858" i="2"/>
  <c r="Z858" i="2" s="1"/>
  <c r="Y861" i="2"/>
  <c r="Z861" i="2" s="1"/>
  <c r="Y865" i="2"/>
  <c r="Z865" i="2" s="1"/>
  <c r="Y869" i="2"/>
  <c r="Z869" i="2" s="1"/>
  <c r="Y867" i="2"/>
  <c r="Z867" i="2" s="1"/>
  <c r="Y871" i="2"/>
  <c r="Z871" i="2" s="1"/>
  <c r="Y873" i="2"/>
  <c r="Z873" i="2" s="1"/>
  <c r="Y875" i="2"/>
  <c r="Z875" i="2" s="1"/>
  <c r="Y879" i="2"/>
  <c r="Z879" i="2" s="1"/>
  <c r="Y883" i="2"/>
  <c r="Z883" i="2" s="1"/>
  <c r="Y886" i="2"/>
  <c r="Z886" i="2" s="1"/>
  <c r="Y890" i="2"/>
  <c r="Z890" i="2" s="1"/>
  <c r="Y893" i="2"/>
  <c r="Z893" i="2" s="1"/>
  <c r="Y896" i="2"/>
  <c r="Z896" i="2" s="1"/>
  <c r="Y900" i="2"/>
  <c r="Z900" i="2" s="1"/>
  <c r="Y902" i="2"/>
  <c r="Z902" i="2" s="1"/>
  <c r="Y904" i="2"/>
  <c r="Z904" i="2" s="1"/>
  <c r="Y908" i="2"/>
  <c r="Z908" i="2" s="1"/>
  <c r="Y906" i="2"/>
  <c r="Z906" i="2" s="1"/>
  <c r="Y910" i="2"/>
  <c r="Z910" i="2" s="1"/>
  <c r="Y914" i="2"/>
  <c r="Z914" i="2" s="1"/>
  <c r="Y918" i="2"/>
  <c r="Z918" i="2" s="1"/>
  <c r="Y921" i="2"/>
  <c r="Z921" i="2" s="1"/>
  <c r="Y925" i="2"/>
  <c r="Z925" i="2" s="1"/>
  <c r="Y928" i="2"/>
  <c r="Z928" i="2" s="1"/>
  <c r="Y932" i="2"/>
  <c r="Z932" i="2" s="1"/>
  <c r="Y936" i="2"/>
  <c r="Z936" i="2" s="1"/>
  <c r="Y938" i="2"/>
  <c r="Z938" i="2" s="1"/>
  <c r="Y940" i="2"/>
  <c r="Z940" i="2" s="1"/>
  <c r="Y942" i="2"/>
  <c r="Z942" i="2" s="1"/>
  <c r="Y944" i="2"/>
  <c r="Z944" i="2" s="1"/>
  <c r="Y946" i="2"/>
  <c r="Z946" i="2" s="1"/>
  <c r="Y950" i="2"/>
  <c r="Z950" i="2" s="1"/>
  <c r="Y976" i="2"/>
  <c r="Z976" i="2" s="1"/>
  <c r="Y979" i="2"/>
  <c r="Z979" i="2" s="1"/>
  <c r="Y982" i="2"/>
  <c r="Z982" i="2" s="1"/>
  <c r="Y985" i="2"/>
  <c r="Z985" i="2" s="1"/>
  <c r="Y988" i="2"/>
  <c r="Z988" i="2" s="1"/>
  <c r="Y995" i="2"/>
  <c r="Z995" i="2" s="1"/>
  <c r="Y998" i="2"/>
  <c r="Z998" i="2" s="1"/>
  <c r="Y1001" i="2"/>
  <c r="Z1001" i="2" s="1"/>
  <c r="Y1004" i="2"/>
  <c r="Z1004" i="2" s="1"/>
  <c r="Y1007" i="2"/>
  <c r="Z1007" i="2" s="1"/>
  <c r="Y1014" i="2"/>
  <c r="Z1014" i="2" s="1"/>
  <c r="Y1017" i="2"/>
  <c r="Z1017" i="2" s="1"/>
  <c r="Y1020" i="2"/>
  <c r="Z1020" i="2" s="1"/>
  <c r="Y1023" i="2"/>
  <c r="Z1023" i="2" s="1"/>
  <c r="Y1026" i="2"/>
  <c r="Z1026" i="2" s="1"/>
  <c r="Y1033" i="2"/>
  <c r="Z1033" i="2" s="1"/>
  <c r="Y1036" i="2"/>
  <c r="Z1036" i="2" s="1"/>
  <c r="Y1039" i="2"/>
  <c r="Z1039" i="2" s="1"/>
  <c r="Y1042" i="2"/>
  <c r="Z1042" i="2" s="1"/>
  <c r="Y1045" i="2"/>
  <c r="Z1045" i="2" s="1"/>
  <c r="Y1052" i="2"/>
  <c r="Z1052" i="2" s="1"/>
  <c r="Y1072" i="2"/>
  <c r="Z1072" i="2" s="1"/>
  <c r="Y1075" i="2"/>
  <c r="Z1075" i="2" s="1"/>
  <c r="Y1078" i="2"/>
  <c r="Z1078" i="2" s="1"/>
  <c r="Y1085" i="2"/>
  <c r="Z1085" i="2" s="1"/>
  <c r="Y1088" i="2"/>
  <c r="Z1088" i="2" s="1"/>
  <c r="Y1091" i="2"/>
  <c r="Z1091" i="2" s="1"/>
  <c r="Y1098" i="2"/>
  <c r="Z1098" i="2" s="1"/>
  <c r="Y1101" i="2"/>
  <c r="Z1101" i="2" s="1"/>
  <c r="Y1104" i="2"/>
  <c r="Z1104" i="2" s="1"/>
  <c r="Y1111" i="2"/>
  <c r="Z1111" i="2" s="1"/>
  <c r="Y1114" i="2"/>
  <c r="Z1114" i="2" s="1"/>
  <c r="Y1117" i="2"/>
  <c r="Z1117" i="2" s="1"/>
  <c r="Y1138" i="2"/>
  <c r="Z1138" i="2" s="1"/>
  <c r="Y1213" i="2"/>
  <c r="Y1215" i="2"/>
  <c r="Y1217" i="2"/>
  <c r="Y1219" i="2"/>
  <c r="Y1225" i="2"/>
  <c r="Y1231" i="2"/>
  <c r="Y1237" i="2"/>
  <c r="Y1235" i="2"/>
  <c r="Y1239" i="2"/>
  <c r="Y1245" i="2"/>
  <c r="Y1241" i="2"/>
  <c r="Y1247" i="2"/>
  <c r="Y1249" i="2"/>
  <c r="Y1251" i="2"/>
  <c r="Y1257" i="2"/>
  <c r="Y1263" i="2"/>
  <c r="Y1267" i="2"/>
  <c r="Y1269" i="2"/>
  <c r="Y1271" i="2"/>
  <c r="Y1277" i="2"/>
  <c r="Y1273" i="2"/>
  <c r="Y1279" i="2"/>
  <c r="Y1281" i="2"/>
  <c r="Y1283" i="2"/>
  <c r="Y1289" i="2"/>
  <c r="Y1295" i="2"/>
  <c r="Y1299" i="2"/>
  <c r="Y1301" i="2"/>
  <c r="Y1303" i="2"/>
  <c r="Y1309" i="2"/>
  <c r="Y1305" i="2"/>
  <c r="Y1311" i="2"/>
  <c r="Y1313" i="2"/>
  <c r="Y1315" i="2"/>
  <c r="Y1321" i="2"/>
  <c r="Y1333" i="2"/>
  <c r="Y1327" i="2"/>
  <c r="Y1337" i="2"/>
  <c r="Y1339" i="2"/>
  <c r="Y1341" i="2"/>
  <c r="Y1347" i="2"/>
  <c r="Y1343" i="2"/>
  <c r="Y1351" i="2"/>
  <c r="Y1372" i="2"/>
  <c r="Z1372" i="2" s="1"/>
  <c r="Y1376" i="2"/>
  <c r="Z1376" i="2" s="1"/>
  <c r="Y1374" i="2"/>
  <c r="Z1374" i="2" s="1"/>
  <c r="Y1382" i="2"/>
  <c r="Z1382" i="2" s="1"/>
  <c r="Y1388" i="2"/>
  <c r="Z1388" i="2" s="1"/>
  <c r="Y1384" i="2"/>
  <c r="Z1384" i="2" s="1"/>
  <c r="Y1390" i="2"/>
  <c r="Z1390" i="2" s="1"/>
  <c r="Y1392" i="2"/>
  <c r="Z1392" i="2" s="1"/>
  <c r="Y1398" i="2"/>
  <c r="Z1398" i="2" s="1"/>
  <c r="Y1407" i="2"/>
  <c r="Z1407" i="2" s="1"/>
  <c r="Y1409" i="2"/>
  <c r="Z1409" i="2" s="1"/>
  <c r="Y1413" i="2"/>
  <c r="Z1413" i="2" s="1"/>
  <c r="Y1415" i="2"/>
  <c r="Z1415" i="2" s="1"/>
  <c r="Y1418" i="2"/>
  <c r="Z1418" i="2" s="1"/>
  <c r="Y1427" i="2"/>
  <c r="Z1427" i="2" s="1"/>
  <c r="Y1431" i="2"/>
  <c r="Z1431" i="2" s="1"/>
  <c r="Y1433" i="2"/>
  <c r="Z1433" i="2" s="1"/>
  <c r="Y1459" i="2"/>
  <c r="Y1462" i="2"/>
  <c r="Y1466" i="2"/>
  <c r="Y1471" i="2"/>
  <c r="Y1478" i="2"/>
  <c r="Y1483" i="2"/>
  <c r="Y1489" i="2"/>
  <c r="Y1494" i="2"/>
  <c r="Y1496" i="2"/>
  <c r="Y1498" i="2"/>
  <c r="Y1500" i="2"/>
  <c r="Y1502" i="2"/>
  <c r="Y1504" i="2"/>
  <c r="Y1508" i="2"/>
  <c r="Y1512" i="2"/>
  <c r="Y1517" i="2"/>
  <c r="Y1523" i="2"/>
  <c r="Y1530" i="2"/>
  <c r="Y1535" i="2"/>
  <c r="Y1540" i="2"/>
  <c r="Y1546" i="2"/>
  <c r="Y1552" i="2"/>
  <c r="Y1556" i="2"/>
  <c r="Y1561" i="2"/>
  <c r="Y1566" i="2"/>
  <c r="Y1568" i="2"/>
  <c r="Y1570" i="2"/>
  <c r="Y1572" i="2"/>
  <c r="Y1574" i="2"/>
  <c r="Y1576" i="2"/>
  <c r="Y1578" i="2"/>
  <c r="Y1582" i="2"/>
  <c r="Y1586" i="2"/>
  <c r="Y1597" i="2"/>
  <c r="Y1591" i="2"/>
  <c r="Y1604" i="2"/>
  <c r="Y1615" i="2"/>
  <c r="Y1609" i="2"/>
  <c r="Y1619" i="2"/>
  <c r="Y1624" i="2"/>
  <c r="Y1629" i="2"/>
  <c r="Y1631" i="2"/>
  <c r="Y1633" i="2"/>
  <c r="Y1635" i="2"/>
  <c r="Y1637" i="2"/>
  <c r="Y1643" i="2"/>
  <c r="Y1639" i="2"/>
  <c r="Y1647" i="2"/>
  <c r="Y1652" i="2"/>
  <c r="Y1658" i="2"/>
  <c r="Y1664" i="2"/>
  <c r="Y1670" i="2"/>
  <c r="Y1681" i="2"/>
  <c r="Y1675" i="2"/>
  <c r="Y1687" i="2"/>
  <c r="Y1692" i="2"/>
  <c r="Y1697" i="2"/>
  <c r="Y1699" i="2"/>
  <c r="Y1701" i="2"/>
  <c r="Y1729" i="2"/>
  <c r="Z1729" i="2" s="1"/>
  <c r="Y1732" i="2"/>
  <c r="Z1732" i="2" s="1"/>
  <c r="Y1737" i="2"/>
  <c r="Z1737" i="2" s="1"/>
  <c r="Y1742" i="2"/>
  <c r="Z1742" i="2" s="1"/>
  <c r="Y1744" i="2"/>
  <c r="Z1744" i="2" s="1"/>
  <c r="Y1746" i="2"/>
  <c r="Z1746" i="2" s="1"/>
  <c r="Y1750" i="2"/>
  <c r="Z1750" i="2" s="1"/>
  <c r="Y1753" i="2"/>
  <c r="Z1753" i="2" s="1"/>
  <c r="Y1757" i="2"/>
  <c r="Z1757" i="2" s="1"/>
  <c r="Y1762" i="2"/>
  <c r="Z1762" i="2" s="1"/>
  <c r="Y1767" i="2"/>
  <c r="Z1767" i="2" s="1"/>
  <c r="Y1769" i="2"/>
  <c r="Z1769" i="2" s="1"/>
  <c r="Y1771" i="2"/>
  <c r="Z1771" i="2" s="1"/>
  <c r="Y1775" i="2"/>
  <c r="Z1775" i="2" s="1"/>
  <c r="Y1779" i="2"/>
  <c r="Z1779" i="2" s="1"/>
  <c r="Y1784" i="2"/>
  <c r="Z1784" i="2" s="1"/>
  <c r="Y1789" i="2"/>
  <c r="Z1789" i="2" s="1"/>
  <c r="Y1791" i="2"/>
  <c r="Z1791" i="2" s="1"/>
  <c r="Y1795" i="2"/>
  <c r="Z1795" i="2" s="1"/>
  <c r="Y1799" i="2"/>
  <c r="Z1799" i="2" s="1"/>
  <c r="Y1804" i="2"/>
  <c r="Z1804" i="2" s="1"/>
  <c r="Y1809" i="2"/>
  <c r="Z1809" i="2" s="1"/>
  <c r="Y1811" i="2"/>
  <c r="Z1811" i="2" s="1"/>
  <c r="Y1813" i="2"/>
  <c r="Z1813" i="2" s="1"/>
  <c r="Y1840" i="2"/>
  <c r="Z1840" i="2" s="1"/>
  <c r="Y1842" i="2"/>
  <c r="Z1842" i="2" s="1"/>
  <c r="Y1845" i="2"/>
  <c r="Z1845" i="2" s="1"/>
  <c r="Y1849" i="2"/>
  <c r="Z1849" i="2" s="1"/>
  <c r="Y1851" i="2"/>
  <c r="Z1851" i="2" s="1"/>
  <c r="Y1854" i="2"/>
  <c r="Z1854" i="2" s="1"/>
  <c r="Y1856" i="2"/>
  <c r="Z1856" i="2" s="1"/>
  <c r="Y1861" i="2"/>
  <c r="Z1861" i="2" s="1"/>
  <c r="Y1858" i="2"/>
  <c r="Z1858" i="2" s="1"/>
  <c r="Y1864" i="2"/>
  <c r="Z1864" i="2" s="1"/>
  <c r="Y1867" i="2"/>
  <c r="Z1867" i="2" s="1"/>
  <c r="Y1870" i="2"/>
  <c r="Z1870" i="2" s="1"/>
  <c r="Y1873" i="2"/>
  <c r="Z1873" i="2" s="1"/>
  <c r="Y1876" i="2"/>
  <c r="Z1876" i="2" s="1"/>
  <c r="Y1880" i="2"/>
  <c r="Z1880" i="2" s="1"/>
  <c r="Y1882" i="2"/>
  <c r="Z1882" i="2" s="1"/>
  <c r="Y1884" i="2"/>
  <c r="Z1884" i="2" s="1"/>
  <c r="Y1887" i="2"/>
  <c r="Z1887" i="2" s="1"/>
  <c r="Y1889" i="2"/>
  <c r="Z1889" i="2" s="1"/>
  <c r="Y1894" i="2"/>
  <c r="Z1894" i="2" s="1"/>
  <c r="Y1891" i="2"/>
  <c r="Z1891" i="2" s="1"/>
  <c r="Y1897" i="2"/>
  <c r="Z1897" i="2" s="1"/>
  <c r="Y1900" i="2"/>
  <c r="Z1900" i="2" s="1"/>
  <c r="Y1903" i="2"/>
  <c r="Z1903" i="2" s="1"/>
  <c r="Y1906" i="2"/>
  <c r="Z1906" i="2" s="1"/>
  <c r="Y1909" i="2"/>
  <c r="Z1909" i="2" s="1"/>
  <c r="Y1912" i="2"/>
  <c r="Z1912" i="2" s="1"/>
  <c r="Y1916" i="2"/>
  <c r="Z1916" i="2" s="1"/>
  <c r="Y1918" i="2"/>
  <c r="Z1918" i="2" s="1"/>
  <c r="Y1928" i="2"/>
  <c r="Z1928" i="2" s="1"/>
  <c r="Y1923" i="2"/>
  <c r="Z1923" i="2" s="1"/>
  <c r="Y1920" i="2"/>
  <c r="Z1920" i="2" s="1"/>
  <c r="Y1925" i="2"/>
  <c r="Z1925" i="2" s="1"/>
  <c r="Y1934" i="2"/>
  <c r="Z1934" i="2" s="1"/>
  <c r="Y1931" i="2"/>
  <c r="Z1931" i="2" s="1"/>
  <c r="Y1960" i="2"/>
  <c r="Z1960" i="2" s="1"/>
  <c r="Y1963" i="2"/>
  <c r="Z1963" i="2" s="1"/>
  <c r="Y1967" i="2"/>
  <c r="Z1967" i="2" s="1"/>
  <c r="Y1976" i="2"/>
  <c r="Z1976" i="2" s="1"/>
  <c r="Y1985" i="2"/>
  <c r="Z1985" i="2" s="1"/>
  <c r="Y1987" i="2"/>
  <c r="Z1987" i="2" s="1"/>
  <c r="Y1992" i="2"/>
  <c r="Z1992" i="2" s="1"/>
  <c r="Y1996" i="2"/>
  <c r="Z1996" i="2" s="1"/>
  <c r="Y2006" i="2"/>
  <c r="Z2006" i="2" s="1"/>
  <c r="Y2010" i="2"/>
  <c r="Z2010" i="2" s="1"/>
  <c r="Y2019" i="2"/>
  <c r="Z2019" i="2" s="1"/>
  <c r="Y2092" i="2"/>
  <c r="Z2092" i="2" s="1"/>
  <c r="Y2094" i="2"/>
  <c r="Z2094" i="2" s="1"/>
  <c r="Y2096" i="2"/>
  <c r="Z2096" i="2" s="1"/>
  <c r="Y2098" i="2"/>
  <c r="Z2098" i="2" s="1"/>
  <c r="B3" i="65" l="1"/>
  <c r="C3" i="65" s="1"/>
  <c r="AE1985" i="2"/>
  <c r="AE1920" i="2"/>
  <c r="AE1903" i="2"/>
  <c r="AE1882" i="2"/>
  <c r="B221" i="65"/>
  <c r="C221" i="65" s="1"/>
  <c r="AE1861" i="2"/>
  <c r="AE1813" i="2"/>
  <c r="AE1784" i="2"/>
  <c r="AE1753" i="2"/>
  <c r="D163" i="72"/>
  <c r="Z1701" i="2"/>
  <c r="D152" i="72"/>
  <c r="Z1664" i="2"/>
  <c r="Z1633" i="2"/>
  <c r="D141" i="72"/>
  <c r="D129" i="72"/>
  <c r="Z1591" i="2"/>
  <c r="D119" i="72"/>
  <c r="Z1570" i="2"/>
  <c r="D109" i="72"/>
  <c r="Z1535" i="2"/>
  <c r="D97" i="72"/>
  <c r="Z1500" i="2"/>
  <c r="D86" i="72"/>
  <c r="Z1466" i="2"/>
  <c r="AE1413" i="2"/>
  <c r="B158" i="65"/>
  <c r="C158" i="65" s="1"/>
  <c r="AE1382" i="2"/>
  <c r="Z1339" i="2"/>
  <c r="D65" i="72"/>
  <c r="D51" i="72"/>
  <c r="Z1305" i="2"/>
  <c r="D41" i="72"/>
  <c r="Z1281" i="2"/>
  <c r="D29" i="72"/>
  <c r="Z1257" i="2"/>
  <c r="D19" i="72"/>
  <c r="Z1237" i="2"/>
  <c r="B121" i="65"/>
  <c r="C121" i="65" s="1"/>
  <c r="AE1117" i="2"/>
  <c r="B114" i="65"/>
  <c r="C114" i="65" s="1"/>
  <c r="AE1085" i="2"/>
  <c r="B65" i="65"/>
  <c r="C65" i="65" s="1"/>
  <c r="AE1036" i="2"/>
  <c r="B218" i="65"/>
  <c r="C218" i="65" s="1"/>
  <c r="AE1004" i="2"/>
  <c r="B236" i="65"/>
  <c r="C236" i="65" s="1"/>
  <c r="AE976" i="2"/>
  <c r="AE932" i="2"/>
  <c r="AE908" i="2"/>
  <c r="AE883" i="2"/>
  <c r="AE861" i="2"/>
  <c r="B179" i="65"/>
  <c r="C179" i="65" s="1"/>
  <c r="AE838" i="2"/>
  <c r="B240" i="65"/>
  <c r="C240" i="65" s="1"/>
  <c r="AE809" i="2"/>
  <c r="AE756" i="2"/>
  <c r="AE723" i="2"/>
  <c r="B161" i="65"/>
  <c r="C161" i="65" s="1"/>
  <c r="AE690" i="2"/>
  <c r="AE630" i="2"/>
  <c r="AE591" i="2"/>
  <c r="AE559" i="2"/>
  <c r="AE523" i="2"/>
  <c r="AE486" i="2"/>
  <c r="AE453" i="2"/>
  <c r="AE420" i="2"/>
  <c r="B199" i="65"/>
  <c r="C199" i="65" s="1"/>
  <c r="AE380" i="2"/>
  <c r="B24" i="65"/>
  <c r="C24" i="65" s="1"/>
  <c r="AE349" i="2"/>
  <c r="AE333" i="2"/>
  <c r="B9" i="65"/>
  <c r="C9" i="65" s="1"/>
  <c r="AE310" i="2"/>
  <c r="B61" i="65"/>
  <c r="C61" i="65" s="1"/>
  <c r="AE125" i="2"/>
  <c r="B53" i="65"/>
  <c r="C53" i="65" s="1"/>
  <c r="AE116" i="2"/>
  <c r="B15" i="65"/>
  <c r="C15" i="65" s="1"/>
  <c r="AE257" i="2"/>
  <c r="B18" i="65"/>
  <c r="C18" i="65" s="1"/>
  <c r="AE237" i="2"/>
  <c r="B43" i="65"/>
  <c r="C43" i="65" s="1"/>
  <c r="AE208" i="2"/>
  <c r="AE51" i="2"/>
  <c r="B55" i="65"/>
  <c r="C55" i="65" s="1"/>
  <c r="AE37" i="2"/>
  <c r="B226" i="65"/>
  <c r="C226" i="65" s="1"/>
  <c r="B230" i="65"/>
  <c r="C230" i="65" s="1"/>
  <c r="AE25" i="2"/>
  <c r="B35" i="65"/>
  <c r="C35" i="65" s="1"/>
  <c r="AE2094" i="2"/>
  <c r="AE2092" i="2"/>
  <c r="B138" i="65"/>
  <c r="C138" i="65" s="1"/>
  <c r="AE1976" i="2"/>
  <c r="AE1923" i="2"/>
  <c r="AE1900" i="2"/>
  <c r="AE1880" i="2"/>
  <c r="B82" i="65"/>
  <c r="C82" i="65" s="1"/>
  <c r="AE1856" i="2"/>
  <c r="AE1811" i="2"/>
  <c r="AE1779" i="2"/>
  <c r="B213" i="65"/>
  <c r="C213" i="65" s="1"/>
  <c r="AE1750" i="2"/>
  <c r="D162" i="72"/>
  <c r="Z1699" i="2"/>
  <c r="D151" i="72"/>
  <c r="Z1658" i="2"/>
  <c r="D140" i="72"/>
  <c r="Z1631" i="2"/>
  <c r="Z1597" i="2"/>
  <c r="D130" i="72"/>
  <c r="D118" i="72"/>
  <c r="Z1568" i="2"/>
  <c r="Z1530" i="2"/>
  <c r="D108" i="72"/>
  <c r="Z1498" i="2"/>
  <c r="D96" i="72"/>
  <c r="Z1462" i="2"/>
  <c r="D84" i="72"/>
  <c r="AE1409" i="2"/>
  <c r="B193" i="65"/>
  <c r="C193" i="65" s="1"/>
  <c r="AE1374" i="2"/>
  <c r="D64" i="72"/>
  <c r="Z1337" i="2"/>
  <c r="D54" i="72"/>
  <c r="Z1309" i="2"/>
  <c r="D40" i="72"/>
  <c r="Z1279" i="2"/>
  <c r="D27" i="72"/>
  <c r="Z1251" i="2"/>
  <c r="D16" i="72"/>
  <c r="Z1231" i="2"/>
  <c r="B116" i="65"/>
  <c r="C116" i="65" s="1"/>
  <c r="AE1114" i="2"/>
  <c r="B123" i="65"/>
  <c r="C123" i="65" s="1"/>
  <c r="AE1078" i="2"/>
  <c r="B234" i="65"/>
  <c r="C234" i="65" s="1"/>
  <c r="AE1033" i="2"/>
  <c r="B32" i="65"/>
  <c r="C32" i="65" s="1"/>
  <c r="AE1001" i="2"/>
  <c r="AE950" i="2"/>
  <c r="AE928" i="2"/>
  <c r="AE904" i="2"/>
  <c r="AE879" i="2"/>
  <c r="B106" i="65"/>
  <c r="C106" i="65" s="1"/>
  <c r="AE858" i="2"/>
  <c r="B191" i="65"/>
  <c r="C191" i="65" s="1"/>
  <c r="AE834" i="2"/>
  <c r="B105" i="65"/>
  <c r="C105" i="65" s="1"/>
  <c r="AE813" i="2"/>
  <c r="AE752" i="2"/>
  <c r="AE720" i="2"/>
  <c r="B72" i="65"/>
  <c r="C72" i="65" s="1"/>
  <c r="AE687" i="2"/>
  <c r="AE620" i="2"/>
  <c r="AE587" i="2"/>
  <c r="AE554" i="2"/>
  <c r="AE519" i="2"/>
  <c r="AE477" i="2"/>
  <c r="AE448" i="2"/>
  <c r="AE418" i="2"/>
  <c r="AE383" i="2"/>
  <c r="B265" i="65"/>
  <c r="C265" i="65" s="1"/>
  <c r="AE149" i="2"/>
  <c r="AE329" i="2"/>
  <c r="B154" i="65"/>
  <c r="C154" i="65" s="1"/>
  <c r="AE306" i="2"/>
  <c r="B202" i="65"/>
  <c r="C202" i="65" s="1"/>
  <c r="AE291" i="2"/>
  <c r="B75" i="65"/>
  <c r="C75" i="65" s="1"/>
  <c r="AE112" i="2"/>
  <c r="B14" i="65"/>
  <c r="C14" i="65" s="1"/>
  <c r="AE253" i="2"/>
  <c r="B19" i="65"/>
  <c r="C19" i="65" s="1"/>
  <c r="AE241" i="2"/>
  <c r="AE61" i="2"/>
  <c r="B271" i="65"/>
  <c r="C271" i="65" s="1"/>
  <c r="AE45" i="2"/>
  <c r="B49" i="65"/>
  <c r="C49" i="65" s="1"/>
  <c r="B98" i="65"/>
  <c r="C98" i="65" s="1"/>
  <c r="AE188" i="2"/>
  <c r="B76" i="65"/>
  <c r="C76" i="65" s="1"/>
  <c r="AE178" i="2"/>
  <c r="B192" i="65"/>
  <c r="C192" i="65" s="1"/>
  <c r="AE2096" i="2"/>
  <c r="AE2019" i="2"/>
  <c r="B25" i="65"/>
  <c r="C25" i="65" s="1"/>
  <c r="AE1967" i="2"/>
  <c r="AE1928" i="2"/>
  <c r="AE1897" i="2"/>
  <c r="B183" i="65"/>
  <c r="C183" i="65" s="1"/>
  <c r="AE1876" i="2"/>
  <c r="AE1854" i="2"/>
  <c r="B157" i="65"/>
  <c r="C157" i="65" s="1"/>
  <c r="AE1809" i="2"/>
  <c r="AE1775" i="2"/>
  <c r="B187" i="65"/>
  <c r="C187" i="65" s="1"/>
  <c r="AE1746" i="2"/>
  <c r="D161" i="72"/>
  <c r="Z1697" i="2"/>
  <c r="D150" i="72"/>
  <c r="Z1652" i="2"/>
  <c r="D139" i="72"/>
  <c r="Z1629" i="2"/>
  <c r="D128" i="72"/>
  <c r="Z1586" i="2"/>
  <c r="D117" i="72"/>
  <c r="Z1566" i="2"/>
  <c r="Z1523" i="2"/>
  <c r="D106" i="72"/>
  <c r="D95" i="72"/>
  <c r="Z1496" i="2"/>
  <c r="D83" i="72"/>
  <c r="Z1459" i="2"/>
  <c r="AE1407" i="2"/>
  <c r="B86" i="65"/>
  <c r="C86" i="65" s="1"/>
  <c r="AE1376" i="2"/>
  <c r="D60" i="72"/>
  <c r="Z1327" i="2"/>
  <c r="D50" i="72"/>
  <c r="Z1303" i="2"/>
  <c r="D36" i="72"/>
  <c r="Z1273" i="2"/>
  <c r="D26" i="72"/>
  <c r="Z1249" i="2"/>
  <c r="D14" i="72"/>
  <c r="Z1225" i="2"/>
  <c r="B111" i="65"/>
  <c r="C111" i="65" s="1"/>
  <c r="AE1111" i="2"/>
  <c r="B118" i="65"/>
  <c r="C118" i="65" s="1"/>
  <c r="AE1075" i="2"/>
  <c r="B149" i="65"/>
  <c r="C149" i="65" s="1"/>
  <c r="AE1026" i="2"/>
  <c r="B68" i="65"/>
  <c r="C68" i="65" s="1"/>
  <c r="AE998" i="2"/>
  <c r="AE946" i="2"/>
  <c r="AE925" i="2"/>
  <c r="AE902" i="2"/>
  <c r="B182" i="65"/>
  <c r="C182" i="65" s="1"/>
  <c r="AE875" i="2"/>
  <c r="AE855" i="2"/>
  <c r="B181" i="65"/>
  <c r="C181" i="65" s="1"/>
  <c r="AE832" i="2"/>
  <c r="AE781" i="2"/>
  <c r="AE749" i="2"/>
  <c r="AE708" i="2"/>
  <c r="B275" i="65"/>
  <c r="C275" i="65" s="1"/>
  <c r="AE683" i="2"/>
  <c r="AE615" i="2"/>
  <c r="AE582" i="2"/>
  <c r="AE549" i="2"/>
  <c r="AE515" i="2"/>
  <c r="AE481" i="2"/>
  <c r="AE444" i="2"/>
  <c r="AE409" i="2"/>
  <c r="AE377" i="2"/>
  <c r="AE345" i="2"/>
  <c r="B128" i="65"/>
  <c r="C128" i="65" s="1"/>
  <c r="AE141" i="2"/>
  <c r="B151" i="65"/>
  <c r="C151" i="65" s="1"/>
  <c r="AE133" i="2"/>
  <c r="B58" i="65"/>
  <c r="C58" i="65" s="1"/>
  <c r="AE123" i="2"/>
  <c r="B88" i="65"/>
  <c r="C88" i="65" s="1"/>
  <c r="AE276" i="2"/>
  <c r="B279" i="65"/>
  <c r="C279" i="65" s="1"/>
  <c r="AE95" i="2"/>
  <c r="B27" i="65"/>
  <c r="C27" i="65" s="1"/>
  <c r="AE80" i="2"/>
  <c r="AE57" i="2"/>
  <c r="B272" i="65"/>
  <c r="C272" i="65" s="1"/>
  <c r="B44" i="65"/>
  <c r="C44" i="65" s="1"/>
  <c r="AE194" i="2"/>
  <c r="B228" i="65"/>
  <c r="C228" i="65" s="1"/>
  <c r="AE35" i="2"/>
  <c r="B239" i="65"/>
  <c r="C239" i="65" s="1"/>
  <c r="AE180" i="2"/>
  <c r="AE2010" i="2"/>
  <c r="B144" i="65"/>
  <c r="C144" i="65" s="1"/>
  <c r="AE1963" i="2"/>
  <c r="AE1918" i="2"/>
  <c r="B80" i="65"/>
  <c r="C80" i="65" s="1"/>
  <c r="AE1891" i="2"/>
  <c r="B51" i="65"/>
  <c r="C51" i="65" s="1"/>
  <c r="AE1873" i="2"/>
  <c r="AE1851" i="2"/>
  <c r="AE1804" i="2"/>
  <c r="AE1771" i="2"/>
  <c r="B186" i="65"/>
  <c r="C186" i="65" s="1"/>
  <c r="AE1744" i="2"/>
  <c r="D159" i="72"/>
  <c r="Z1692" i="2"/>
  <c r="D149" i="72"/>
  <c r="Z1647" i="2"/>
  <c r="Z1624" i="2"/>
  <c r="D137" i="72"/>
  <c r="D126" i="72"/>
  <c r="Z1582" i="2"/>
  <c r="D115" i="72"/>
  <c r="Z1561" i="2"/>
  <c r="D105" i="72"/>
  <c r="Z1517" i="2"/>
  <c r="D94" i="72"/>
  <c r="Z1494" i="2"/>
  <c r="AE1433" i="2"/>
  <c r="B99" i="65"/>
  <c r="C99" i="65" s="1"/>
  <c r="AE1398" i="2"/>
  <c r="B38" i="65"/>
  <c r="C38" i="65" s="1"/>
  <c r="AE1372" i="2"/>
  <c r="Z1333" i="2"/>
  <c r="D62" i="72"/>
  <c r="D49" i="72"/>
  <c r="Z1301" i="2"/>
  <c r="Z1277" i="2"/>
  <c r="D39" i="72"/>
  <c r="D25" i="72"/>
  <c r="Z1247" i="2"/>
  <c r="D12" i="72"/>
  <c r="Z1219" i="2"/>
  <c r="B125" i="65"/>
  <c r="C125" i="65" s="1"/>
  <c r="AE1104" i="2"/>
  <c r="B113" i="65"/>
  <c r="C113" i="65" s="1"/>
  <c r="AE1072" i="2"/>
  <c r="B219" i="65"/>
  <c r="C219" i="65" s="1"/>
  <c r="AE1023" i="2"/>
  <c r="B237" i="65"/>
  <c r="C237" i="65" s="1"/>
  <c r="AE995" i="2"/>
  <c r="AE944" i="2"/>
  <c r="AE921" i="2"/>
  <c r="AE900" i="2"/>
  <c r="AE873" i="2"/>
  <c r="AE851" i="2"/>
  <c r="B190" i="65"/>
  <c r="C190" i="65" s="1"/>
  <c r="AE830" i="2"/>
  <c r="AE778" i="2"/>
  <c r="AE737" i="2"/>
  <c r="AE716" i="2"/>
  <c r="B280" i="65"/>
  <c r="C280" i="65" s="1"/>
  <c r="AE675" i="2"/>
  <c r="AE611" i="2"/>
  <c r="AE577" i="2"/>
  <c r="AE544" i="2"/>
  <c r="AE511" i="2"/>
  <c r="AE474" i="2"/>
  <c r="AE440" i="2"/>
  <c r="AE405" i="2"/>
  <c r="AE372" i="2"/>
  <c r="B142" i="65"/>
  <c r="C142" i="65" s="1"/>
  <c r="AE153" i="2"/>
  <c r="B129" i="65"/>
  <c r="C129" i="65" s="1"/>
  <c r="AE143" i="2"/>
  <c r="B62" i="65"/>
  <c r="C62" i="65" s="1"/>
  <c r="AE131" i="2"/>
  <c r="B201" i="65"/>
  <c r="C201" i="65" s="1"/>
  <c r="AE287" i="2"/>
  <c r="B91" i="65"/>
  <c r="C91" i="65" s="1"/>
  <c r="AE271" i="2"/>
  <c r="B95" i="65"/>
  <c r="C95" i="65" s="1"/>
  <c r="AE91" i="2"/>
  <c r="B64" i="65"/>
  <c r="C64" i="65" s="1"/>
  <c r="AE76" i="2"/>
  <c r="B267" i="65"/>
  <c r="C267" i="65" s="1"/>
  <c r="AE59" i="2"/>
  <c r="B156" i="65"/>
  <c r="C156" i="65" s="1"/>
  <c r="AE197" i="2"/>
  <c r="B227" i="65"/>
  <c r="C227" i="65" s="1"/>
  <c r="AE33" i="2"/>
  <c r="AE18" i="2"/>
  <c r="B263" i="65"/>
  <c r="C263" i="65" s="1"/>
  <c r="AE2006" i="2"/>
  <c r="B277" i="65"/>
  <c r="C277" i="65" s="1"/>
  <c r="AE1960" i="2"/>
  <c r="AE1916" i="2"/>
  <c r="B220" i="65"/>
  <c r="C220" i="65" s="1"/>
  <c r="AE1894" i="2"/>
  <c r="B93" i="65"/>
  <c r="C93" i="65" s="1"/>
  <c r="AE1870" i="2"/>
  <c r="AE1849" i="2"/>
  <c r="AE1799" i="2"/>
  <c r="AE1769" i="2"/>
  <c r="B184" i="65"/>
  <c r="C184" i="65" s="1"/>
  <c r="AE1742" i="2"/>
  <c r="D157" i="72"/>
  <c r="Z1687" i="2"/>
  <c r="D144" i="72"/>
  <c r="Z1639" i="2"/>
  <c r="D135" i="72"/>
  <c r="Z1619" i="2"/>
  <c r="D123" i="72"/>
  <c r="Z1578" i="2"/>
  <c r="D113" i="72"/>
  <c r="Z1556" i="2"/>
  <c r="D104" i="72"/>
  <c r="Z1512" i="2"/>
  <c r="Z1489" i="2"/>
  <c r="D92" i="72"/>
  <c r="AE1431" i="2"/>
  <c r="AE1392" i="2"/>
  <c r="D72" i="72"/>
  <c r="Z1351" i="2"/>
  <c r="D59" i="72"/>
  <c r="Z1321" i="2"/>
  <c r="D48" i="72"/>
  <c r="Z1299" i="2"/>
  <c r="Z1271" i="2"/>
  <c r="D35" i="72"/>
  <c r="D21" i="72"/>
  <c r="Z1241" i="2"/>
  <c r="D11" i="72"/>
  <c r="Z1217" i="2"/>
  <c r="B120" i="65"/>
  <c r="C120" i="65" s="1"/>
  <c r="AE1101" i="2"/>
  <c r="B235" i="65"/>
  <c r="C235" i="65" s="1"/>
  <c r="AE1052" i="2"/>
  <c r="B33" i="65"/>
  <c r="C33" i="65" s="1"/>
  <c r="AE1020" i="2"/>
  <c r="B147" i="65"/>
  <c r="C147" i="65" s="1"/>
  <c r="AE988" i="2"/>
  <c r="AE942" i="2"/>
  <c r="AE918" i="2"/>
  <c r="AE896" i="2"/>
  <c r="AE871" i="2"/>
  <c r="AE848" i="2"/>
  <c r="B233" i="65"/>
  <c r="C233" i="65" s="1"/>
  <c r="AE826" i="2"/>
  <c r="AE766" i="2"/>
  <c r="AE745" i="2"/>
  <c r="B8" i="65"/>
  <c r="C8" i="65" s="1"/>
  <c r="AE704" i="2"/>
  <c r="B7" i="65"/>
  <c r="C7" i="65" s="1"/>
  <c r="AE671" i="2"/>
  <c r="AE607" i="2"/>
  <c r="AE568" i="2"/>
  <c r="AE539" i="2"/>
  <c r="AE509" i="2"/>
  <c r="AE471" i="2"/>
  <c r="AE436" i="2"/>
  <c r="AE400" i="2"/>
  <c r="AE367" i="2"/>
  <c r="AE341" i="2"/>
  <c r="AE325" i="2"/>
  <c r="B42" i="65"/>
  <c r="C42" i="65" s="1"/>
  <c r="AE301" i="2"/>
  <c r="B60" i="65"/>
  <c r="C60" i="65" s="1"/>
  <c r="AE121" i="2"/>
  <c r="B90" i="65"/>
  <c r="C90" i="65" s="1"/>
  <c r="AE266" i="2"/>
  <c r="B13" i="65"/>
  <c r="C13" i="65" s="1"/>
  <c r="AE249" i="2"/>
  <c r="B270" i="65"/>
  <c r="C270" i="65" s="1"/>
  <c r="AE67" i="2"/>
  <c r="B135" i="65"/>
  <c r="C135" i="65" s="1"/>
  <c r="AE55" i="2"/>
  <c r="AE49" i="2"/>
  <c r="B56" i="65"/>
  <c r="C56" i="65" s="1"/>
  <c r="B225" i="65"/>
  <c r="C225" i="65" s="1"/>
  <c r="AE29" i="2"/>
  <c r="B231" i="65"/>
  <c r="C231" i="65" s="1"/>
  <c r="AE23" i="2"/>
  <c r="AE1996" i="2"/>
  <c r="B223" i="65"/>
  <c r="C223" i="65" s="1"/>
  <c r="AE1931" i="2"/>
  <c r="AE1912" i="2"/>
  <c r="AE1889" i="2"/>
  <c r="B94" i="65"/>
  <c r="C94" i="65" s="1"/>
  <c r="AE1867" i="2"/>
  <c r="B83" i="65"/>
  <c r="C83" i="65" s="1"/>
  <c r="AE1845" i="2"/>
  <c r="B207" i="65"/>
  <c r="C207" i="65" s="1"/>
  <c r="AE1795" i="2"/>
  <c r="AE1767" i="2"/>
  <c r="B211" i="65"/>
  <c r="C211" i="65" s="1"/>
  <c r="AE1737" i="2"/>
  <c r="D155" i="72"/>
  <c r="Z1675" i="2"/>
  <c r="D147" i="72"/>
  <c r="Z1643" i="2"/>
  <c r="D133" i="72"/>
  <c r="Z1609" i="2"/>
  <c r="D122" i="72"/>
  <c r="Z1576" i="2"/>
  <c r="D112" i="72"/>
  <c r="Z1552" i="2"/>
  <c r="D102" i="72"/>
  <c r="Z1508" i="2"/>
  <c r="D90" i="72"/>
  <c r="Z1483" i="2"/>
  <c r="AE1427" i="2"/>
  <c r="AE1390" i="2"/>
  <c r="D67" i="72"/>
  <c r="Z1343" i="2"/>
  <c r="D57" i="72"/>
  <c r="Z1315" i="2"/>
  <c r="D46" i="72"/>
  <c r="Z1295" i="2"/>
  <c r="D34" i="72"/>
  <c r="Z1269" i="2"/>
  <c r="D24" i="72"/>
  <c r="Z1245" i="2"/>
  <c r="Z1215" i="2"/>
  <c r="D10" i="72"/>
  <c r="B115" i="65"/>
  <c r="C115" i="65" s="1"/>
  <c r="AE1098" i="2"/>
  <c r="B145" i="65"/>
  <c r="C145" i="65" s="1"/>
  <c r="AE1045" i="2"/>
  <c r="B69" i="65"/>
  <c r="C69" i="65" s="1"/>
  <c r="AE1017" i="2"/>
  <c r="B217" i="65"/>
  <c r="C217" i="65" s="1"/>
  <c r="AE985" i="2"/>
  <c r="AE940" i="2"/>
  <c r="AE914" i="2"/>
  <c r="AE893" i="2"/>
  <c r="AE867" i="2"/>
  <c r="AE844" i="2"/>
  <c r="B107" i="65"/>
  <c r="C107" i="65" s="1"/>
  <c r="AE823" i="2"/>
  <c r="AE774" i="2"/>
  <c r="AE733" i="2"/>
  <c r="AE700" i="2"/>
  <c r="B5" i="65"/>
  <c r="C5" i="65" s="1"/>
  <c r="AE665" i="2"/>
  <c r="AE603" i="2"/>
  <c r="AE572" i="2"/>
  <c r="AE535" i="2"/>
  <c r="AE500" i="2"/>
  <c r="AE463" i="2"/>
  <c r="AE432" i="2"/>
  <c r="AE395" i="2"/>
  <c r="AE362" i="2"/>
  <c r="AE337" i="2"/>
  <c r="AE321" i="2"/>
  <c r="B59" i="65"/>
  <c r="C59" i="65" s="1"/>
  <c r="AE129" i="2"/>
  <c r="B89" i="65"/>
  <c r="C89" i="65" s="1"/>
  <c r="AE281" i="2"/>
  <c r="B163" i="65"/>
  <c r="C163" i="65" s="1"/>
  <c r="AE108" i="2"/>
  <c r="B102" i="65"/>
  <c r="C102" i="65" s="1"/>
  <c r="AE89" i="2"/>
  <c r="B268" i="65"/>
  <c r="C268" i="65" s="1"/>
  <c r="AE63" i="2"/>
  <c r="B20" i="65"/>
  <c r="C20" i="65" s="1"/>
  <c r="AE205" i="2"/>
  <c r="B45" i="65"/>
  <c r="C45" i="65" s="1"/>
  <c r="AE40" i="2"/>
  <c r="AE27" i="2"/>
  <c r="B232" i="65"/>
  <c r="C232" i="65" s="1"/>
  <c r="AE21" i="2"/>
  <c r="B224" i="65"/>
  <c r="C224" i="65" s="1"/>
  <c r="B276" i="65"/>
  <c r="C276" i="65" s="1"/>
  <c r="AE2098" i="2"/>
  <c r="AE1992" i="2"/>
  <c r="AE1934" i="2"/>
  <c r="AE1909" i="2"/>
  <c r="AE1887" i="2"/>
  <c r="B222" i="65"/>
  <c r="C222" i="65" s="1"/>
  <c r="AE1864" i="2"/>
  <c r="B77" i="65"/>
  <c r="C77" i="65" s="1"/>
  <c r="AE1842" i="2"/>
  <c r="AE1791" i="2"/>
  <c r="AE1762" i="2"/>
  <c r="B209" i="65"/>
  <c r="C209" i="65" s="1"/>
  <c r="AE1732" i="2"/>
  <c r="Z1681" i="2"/>
  <c r="D156" i="72"/>
  <c r="D143" i="72"/>
  <c r="Z1637" i="2"/>
  <c r="D134" i="72"/>
  <c r="Z1615" i="2"/>
  <c r="D121" i="72"/>
  <c r="Z1574" i="2"/>
  <c r="D111" i="72"/>
  <c r="Z1546" i="2"/>
  <c r="D99" i="72"/>
  <c r="Z1504" i="2"/>
  <c r="D89" i="72"/>
  <c r="Z1478" i="2"/>
  <c r="AE1418" i="2"/>
  <c r="B162" i="65"/>
  <c r="C162" i="65" s="1"/>
  <c r="AE1384" i="2"/>
  <c r="D70" i="72"/>
  <c r="Z1347" i="2"/>
  <c r="Z1313" i="2"/>
  <c r="D56" i="72"/>
  <c r="Z1289" i="2"/>
  <c r="D44" i="72"/>
  <c r="D33" i="72"/>
  <c r="Z1267" i="2"/>
  <c r="D20" i="72"/>
  <c r="Z1239" i="2"/>
  <c r="D9" i="72"/>
  <c r="Z1213" i="2"/>
  <c r="B124" i="65"/>
  <c r="C124" i="65" s="1"/>
  <c r="AE1091" i="2"/>
  <c r="B215" i="65"/>
  <c r="C215" i="65" s="1"/>
  <c r="AE1042" i="2"/>
  <c r="B238" i="65"/>
  <c r="C238" i="65" s="1"/>
  <c r="AE1014" i="2"/>
  <c r="B31" i="65"/>
  <c r="C31" i="65" s="1"/>
  <c r="AE982" i="2"/>
  <c r="AE938" i="2"/>
  <c r="AE910" i="2"/>
  <c r="AE890" i="2"/>
  <c r="AE869" i="2"/>
  <c r="B180" i="65"/>
  <c r="C180" i="65" s="1"/>
  <c r="AE840" i="2"/>
  <c r="B104" i="65"/>
  <c r="C104" i="65" s="1"/>
  <c r="AE820" i="2"/>
  <c r="AE762" i="2"/>
  <c r="AE730" i="2"/>
  <c r="AE697" i="2"/>
  <c r="B6" i="65"/>
  <c r="C6" i="65" s="1"/>
  <c r="AE668" i="2"/>
  <c r="AE599" i="2"/>
  <c r="AE565" i="2"/>
  <c r="AE531" i="2"/>
  <c r="AE496" i="2"/>
  <c r="AE468" i="2"/>
  <c r="AE428" i="2"/>
  <c r="AE390" i="2"/>
  <c r="B23" i="65"/>
  <c r="C23" i="65" s="1"/>
  <c r="AE357" i="2"/>
  <c r="B127" i="65"/>
  <c r="C127" i="65" s="1"/>
  <c r="AE145" i="2"/>
  <c r="B50" i="65"/>
  <c r="C50" i="65" s="1"/>
  <c r="AE319" i="2"/>
  <c r="B57" i="65"/>
  <c r="C57" i="65" s="1"/>
  <c r="AE127" i="2"/>
  <c r="B200" i="65"/>
  <c r="C200" i="65" s="1"/>
  <c r="AE284" i="2"/>
  <c r="B16" i="65"/>
  <c r="C16" i="65" s="1"/>
  <c r="AE261" i="2"/>
  <c r="B101" i="65"/>
  <c r="C101" i="65" s="1"/>
  <c r="AE87" i="2"/>
  <c r="AE65" i="2"/>
  <c r="B269" i="65"/>
  <c r="C269" i="65" s="1"/>
  <c r="B273" i="65"/>
  <c r="C273" i="65" s="1"/>
  <c r="AE53" i="2"/>
  <c r="AE43" i="2"/>
  <c r="B48" i="65"/>
  <c r="C48" i="65" s="1"/>
  <c r="B229" i="65"/>
  <c r="C229" i="65" s="1"/>
  <c r="AE31" i="2"/>
  <c r="B71" i="65"/>
  <c r="C71" i="65" s="1"/>
  <c r="AE175" i="2"/>
  <c r="B28" i="65"/>
  <c r="C28" i="65" s="1"/>
  <c r="AE1987" i="2"/>
  <c r="AE1925" i="2"/>
  <c r="AE1906" i="2"/>
  <c r="B103" i="65"/>
  <c r="C103" i="65" s="1"/>
  <c r="AE1884" i="2"/>
  <c r="B81" i="65"/>
  <c r="C81" i="65" s="1"/>
  <c r="AE1858" i="2"/>
  <c r="B96" i="65"/>
  <c r="C96" i="65" s="1"/>
  <c r="AE1840" i="2"/>
  <c r="AE1789" i="2"/>
  <c r="B210" i="65"/>
  <c r="C210" i="65" s="1"/>
  <c r="AE1757" i="2"/>
  <c r="B212" i="65"/>
  <c r="C212" i="65" s="1"/>
  <c r="AE1729" i="2"/>
  <c r="D154" i="72"/>
  <c r="Z1670" i="2"/>
  <c r="D142" i="72"/>
  <c r="Z1635" i="2"/>
  <c r="Z1604" i="2"/>
  <c r="D132" i="72"/>
  <c r="Z1572" i="2"/>
  <c r="D120" i="72"/>
  <c r="Z1540" i="2"/>
  <c r="D110" i="72"/>
  <c r="D98" i="72"/>
  <c r="Z1502" i="2"/>
  <c r="D87" i="72"/>
  <c r="Z1471" i="2"/>
  <c r="AE1415" i="2"/>
  <c r="AE1388" i="2"/>
  <c r="D66" i="72"/>
  <c r="Z1341" i="2"/>
  <c r="D55" i="72"/>
  <c r="Z1311" i="2"/>
  <c r="D42" i="72"/>
  <c r="Z1283" i="2"/>
  <c r="Z1263" i="2"/>
  <c r="D31" i="72"/>
  <c r="D18" i="72"/>
  <c r="Z1235" i="2"/>
  <c r="B132" i="65"/>
  <c r="C132" i="65" s="1"/>
  <c r="AE1138" i="2"/>
  <c r="B119" i="65"/>
  <c r="C119" i="65" s="1"/>
  <c r="AE1088" i="2"/>
  <c r="B29" i="65"/>
  <c r="C29" i="65" s="1"/>
  <c r="AE1039" i="2"/>
  <c r="B148" i="65"/>
  <c r="C148" i="65" s="1"/>
  <c r="AE1007" i="2"/>
  <c r="B67" i="65"/>
  <c r="C67" i="65" s="1"/>
  <c r="AE979" i="2"/>
  <c r="AE936" i="2"/>
  <c r="AE906" i="2"/>
  <c r="AE886" i="2"/>
  <c r="AE865" i="2"/>
  <c r="B176" i="65"/>
  <c r="C176" i="65" s="1"/>
  <c r="AE836" i="2"/>
  <c r="B278" i="65"/>
  <c r="C278" i="65" s="1"/>
  <c r="AE816" i="2"/>
  <c r="AE759" i="2"/>
  <c r="AE727" i="2"/>
  <c r="AE694" i="2"/>
  <c r="AE625" i="2"/>
  <c r="AE595" i="2"/>
  <c r="AE562" i="2"/>
  <c r="AE527" i="2"/>
  <c r="AE491" i="2"/>
  <c r="AE458" i="2"/>
  <c r="AE424" i="2"/>
  <c r="AE386" i="2"/>
  <c r="B22" i="65"/>
  <c r="C22" i="65" s="1"/>
  <c r="AE353" i="2"/>
  <c r="B140" i="65"/>
  <c r="C140" i="65" s="1"/>
  <c r="AE147" i="2"/>
  <c r="B141" i="65"/>
  <c r="C141" i="65" s="1"/>
  <c r="AE135" i="2"/>
  <c r="B197" i="65"/>
  <c r="C197" i="65" s="1"/>
  <c r="AE296" i="2"/>
  <c r="B63" i="65"/>
  <c r="C63" i="65" s="1"/>
  <c r="AE119" i="2"/>
  <c r="B274" i="65"/>
  <c r="C274" i="65" s="1"/>
  <c r="AE102" i="2"/>
  <c r="B12" i="65"/>
  <c r="C12" i="65" s="1"/>
  <c r="AE245" i="2"/>
  <c r="B92" i="65"/>
  <c r="C92" i="65" s="1"/>
  <c r="AE211" i="2"/>
  <c r="B97" i="65"/>
  <c r="C97" i="65" s="1"/>
  <c r="AE202" i="2"/>
  <c r="B21" i="65"/>
  <c r="C21" i="65" s="1"/>
  <c r="AE191" i="2"/>
  <c r="B137" i="65"/>
  <c r="C137" i="65" s="1"/>
  <c r="AE183" i="2"/>
  <c r="AE16" i="2"/>
  <c r="B258" i="65"/>
  <c r="C258" i="65" s="1"/>
  <c r="B37" i="65" l="1"/>
  <c r="C37" i="65" s="1"/>
  <c r="AE1213" i="2"/>
  <c r="E9" i="72"/>
  <c r="AE1315" i="2"/>
  <c r="E57" i="72"/>
  <c r="B249" i="65"/>
  <c r="C249" i="65" s="1"/>
  <c r="AE1483" i="2"/>
  <c r="E90" i="72"/>
  <c r="AE1609" i="2"/>
  <c r="E133" i="72"/>
  <c r="B262" i="65"/>
  <c r="C262" i="65" s="1"/>
  <c r="AE1489" i="2"/>
  <c r="E92" i="72"/>
  <c r="AE1247" i="2"/>
  <c r="E25" i="72"/>
  <c r="B174" i="65"/>
  <c r="C174" i="65" s="1"/>
  <c r="AE1494" i="2"/>
  <c r="E94" i="72"/>
  <c r="B177" i="65"/>
  <c r="C177" i="65" s="1"/>
  <c r="AE1496" i="2"/>
  <c r="E95" i="72"/>
  <c r="AE1629" i="2"/>
  <c r="E139" i="72"/>
  <c r="AE1568" i="2"/>
  <c r="E118" i="72"/>
  <c r="AE1699" i="2"/>
  <c r="E162" i="72"/>
  <c r="AE1339" i="2"/>
  <c r="E65" i="72"/>
  <c r="B172" i="65"/>
  <c r="C172" i="65" s="1"/>
  <c r="AE1500" i="2"/>
  <c r="E97" i="72"/>
  <c r="AE1670" i="2"/>
  <c r="E154" i="72"/>
  <c r="AE1313" i="2"/>
  <c r="E56" i="72"/>
  <c r="B250" i="65"/>
  <c r="C250" i="65" s="1"/>
  <c r="AE1478" i="2"/>
  <c r="E89" i="72"/>
  <c r="AE1615" i="2"/>
  <c r="E134" i="72"/>
  <c r="B36" i="65"/>
  <c r="C36" i="65" s="1"/>
  <c r="AE1215" i="2"/>
  <c r="E10" i="72"/>
  <c r="B165" i="65"/>
  <c r="C165" i="65" s="1"/>
  <c r="AE1241" i="2"/>
  <c r="E21" i="72"/>
  <c r="AE1351" i="2"/>
  <c r="E72" i="72"/>
  <c r="B244" i="65"/>
  <c r="C244" i="65" s="1"/>
  <c r="AE1512" i="2"/>
  <c r="E104" i="72"/>
  <c r="AE1639" i="2"/>
  <c r="E144" i="72"/>
  <c r="AE1624" i="2"/>
  <c r="E137" i="72"/>
  <c r="AE1249" i="2"/>
  <c r="E26" i="72"/>
  <c r="AE1309" i="2"/>
  <c r="E54" i="72"/>
  <c r="AE1257" i="2"/>
  <c r="E29" i="72"/>
  <c r="AE1633" i="2"/>
  <c r="E141" i="72"/>
  <c r="AE1263" i="2"/>
  <c r="E31" i="72"/>
  <c r="B253" i="65"/>
  <c r="C253" i="65" s="1"/>
  <c r="AE1540" i="2"/>
  <c r="E110" i="72"/>
  <c r="B169" i="65"/>
  <c r="C169" i="65" s="1"/>
  <c r="AE1239" i="2"/>
  <c r="E20" i="72"/>
  <c r="AE1347" i="2"/>
  <c r="E70" i="72"/>
  <c r="AE1245" i="2"/>
  <c r="E24" i="72"/>
  <c r="AE1343" i="2"/>
  <c r="E67" i="72"/>
  <c r="AE1508" i="2"/>
  <c r="E102" i="72"/>
  <c r="AE1643" i="2"/>
  <c r="E147" i="72"/>
  <c r="B248" i="65"/>
  <c r="C248" i="65" s="1"/>
  <c r="AE1517" i="2"/>
  <c r="E105" i="72"/>
  <c r="AE1647" i="2"/>
  <c r="E149" i="72"/>
  <c r="AE1652" i="2"/>
  <c r="E150" i="72"/>
  <c r="AE1535" i="2"/>
  <c r="E109" i="72"/>
  <c r="B246" i="65"/>
  <c r="C246" i="65" s="1"/>
  <c r="AE1664" i="2"/>
  <c r="E152" i="72"/>
  <c r="AE1283" i="2"/>
  <c r="E42" i="72"/>
  <c r="B168" i="65"/>
  <c r="C168" i="65" s="1"/>
  <c r="AE1504" i="2"/>
  <c r="E99" i="72"/>
  <c r="AE1637" i="2"/>
  <c r="E143" i="72"/>
  <c r="B256" i="65"/>
  <c r="C256" i="65" s="1"/>
  <c r="AE1556" i="2"/>
  <c r="E113" i="72"/>
  <c r="AE1687" i="2"/>
  <c r="E157" i="72"/>
  <c r="AE1277" i="2"/>
  <c r="E39" i="72"/>
  <c r="AE1273" i="2"/>
  <c r="E36" i="72"/>
  <c r="AE1523" i="2"/>
  <c r="E106" i="72"/>
  <c r="B205" i="65"/>
  <c r="C205" i="65" s="1"/>
  <c r="AE1231" i="2"/>
  <c r="E16" i="72"/>
  <c r="AE1337" i="2"/>
  <c r="E64" i="72"/>
  <c r="B214" i="65"/>
  <c r="C214" i="65" s="1"/>
  <c r="AE1462" i="2"/>
  <c r="E84" i="72"/>
  <c r="AE1597" i="2"/>
  <c r="E130" i="72"/>
  <c r="AE1281" i="2"/>
  <c r="E41" i="72"/>
  <c r="B167" i="65"/>
  <c r="C167" i="65" s="1"/>
  <c r="AE1572" i="2"/>
  <c r="E120" i="72"/>
  <c r="AE1267" i="2"/>
  <c r="E33" i="72"/>
  <c r="AE1269" i="2"/>
  <c r="E34" i="72"/>
  <c r="B255" i="65"/>
  <c r="C255" i="65" s="1"/>
  <c r="AE1552" i="2"/>
  <c r="E112" i="72"/>
  <c r="AE1675" i="2"/>
  <c r="E155" i="72"/>
  <c r="AE1271" i="2"/>
  <c r="E35" i="72"/>
  <c r="AE1301" i="2"/>
  <c r="E49" i="72"/>
  <c r="AE1561" i="2"/>
  <c r="E115" i="72"/>
  <c r="AE1692" i="2"/>
  <c r="E159" i="72"/>
  <c r="AE1566" i="2"/>
  <c r="E117" i="72"/>
  <c r="AE1697" i="2"/>
  <c r="E161" i="72"/>
  <c r="AE1631" i="2"/>
  <c r="E140" i="72"/>
  <c r="AE1570" i="2"/>
  <c r="E119" i="72"/>
  <c r="AE1701" i="2"/>
  <c r="E163" i="72"/>
  <c r="AE1311" i="2"/>
  <c r="E55" i="72"/>
  <c r="B247" i="65"/>
  <c r="C247" i="65" s="1"/>
  <c r="AE1471" i="2"/>
  <c r="E87" i="72"/>
  <c r="B251" i="65"/>
  <c r="C251" i="65" s="1"/>
  <c r="AE1546" i="2"/>
  <c r="E111" i="72"/>
  <c r="AE1299" i="2"/>
  <c r="E48" i="72"/>
  <c r="B175" i="65"/>
  <c r="C175" i="65" s="1"/>
  <c r="AE1578" i="2"/>
  <c r="E123" i="72"/>
  <c r="AE1303" i="2"/>
  <c r="E50" i="72"/>
  <c r="AE1251" i="2"/>
  <c r="E27" i="72"/>
  <c r="B171" i="65"/>
  <c r="C171" i="65" s="1"/>
  <c r="AE1498" i="2"/>
  <c r="E96" i="72"/>
  <c r="AE1305" i="2"/>
  <c r="E51" i="72"/>
  <c r="AE1604" i="2"/>
  <c r="E132" i="72"/>
  <c r="B252" i="65"/>
  <c r="C252" i="65" s="1"/>
  <c r="AE1681" i="2"/>
  <c r="E156" i="72"/>
  <c r="AE1295" i="2"/>
  <c r="E46" i="72"/>
  <c r="AE1576" i="2"/>
  <c r="E122" i="72"/>
  <c r="B85" i="65"/>
  <c r="C85" i="65" s="1"/>
  <c r="AE1219" i="2"/>
  <c r="E12" i="72"/>
  <c r="AE1582" i="2"/>
  <c r="E126" i="72"/>
  <c r="B47" i="65"/>
  <c r="C47" i="65" s="1"/>
  <c r="AE1459" i="2"/>
  <c r="E83" i="72"/>
  <c r="AE1586" i="2"/>
  <c r="E128" i="72"/>
  <c r="AE1658" i="2"/>
  <c r="E151" i="72"/>
  <c r="B245" i="65"/>
  <c r="C245" i="65" s="1"/>
  <c r="AE1466" i="2"/>
  <c r="E86" i="72"/>
  <c r="AE1591" i="2"/>
  <c r="E129" i="72"/>
  <c r="B189" i="65"/>
  <c r="C189" i="65" s="1"/>
  <c r="AE1235" i="2"/>
  <c r="E18" i="72"/>
  <c r="B170" i="65"/>
  <c r="C170" i="65" s="1"/>
  <c r="AE1341" i="2"/>
  <c r="E66" i="72"/>
  <c r="B166" i="65"/>
  <c r="C166" i="65" s="1"/>
  <c r="AE1502" i="2"/>
  <c r="E98" i="72"/>
  <c r="AE1635" i="2"/>
  <c r="E142" i="72"/>
  <c r="AE1289" i="2"/>
  <c r="E44" i="72"/>
  <c r="AE1574" i="2"/>
  <c r="E121" i="72"/>
  <c r="B194" i="65"/>
  <c r="C194" i="65" s="1"/>
  <c r="AE1217" i="2"/>
  <c r="E11" i="72"/>
  <c r="B242" i="65"/>
  <c r="C242" i="65" s="1"/>
  <c r="AE1321" i="2"/>
  <c r="E59" i="72"/>
  <c r="AE1619" i="2"/>
  <c r="E135" i="72"/>
  <c r="AE1333" i="2"/>
  <c r="E62" i="72"/>
  <c r="B241" i="65"/>
  <c r="C241" i="65" s="1"/>
  <c r="AE1225" i="2"/>
  <c r="E14" i="72"/>
  <c r="B243" i="65"/>
  <c r="C243" i="65" s="1"/>
  <c r="AE1327" i="2"/>
  <c r="E60" i="72"/>
  <c r="AE1279" i="2"/>
  <c r="E40" i="72"/>
  <c r="AE1530" i="2"/>
  <c r="E108" i="72"/>
  <c r="B173" i="65"/>
  <c r="C173" i="65" s="1"/>
  <c r="AE1237" i="2"/>
  <c r="E19" i="72"/>
  <c r="I1" i="72" l="1"/>
  <c r="I3" i="72"/>
  <c r="I4" i="72" s="1"/>
  <c r="K1" i="72" l="1"/>
  <c r="I2" i="72"/>
  <c r="K2" i="72" s="1"/>
  <c r="Z118" i="2"/>
  <c r="AE118" i="2" s="1"/>
  <c r="K4" i="75" l="1"/>
  <c r="K5" i="75"/>
  <c r="K6" i="75"/>
  <c r="E9" i="5" l="1"/>
  <c r="I9" i="5"/>
  <c r="I6" i="5"/>
  <c r="C197" i="61"/>
  <c r="W2147" i="2"/>
  <c r="Z2147" i="2"/>
  <c r="B164" i="64"/>
  <c r="C164" i="64"/>
  <c r="A9" i="5" a="1"/>
  <c r="Y2147" i="2"/>
  <c r="Y2146" i="2"/>
  <c r="Z2146" i="2"/>
  <c r="B136" i="65"/>
  <c r="C136" i="65"/>
  <c r="A9" i="73" a="1"/>
  <c r="E252" i="73"/>
  <c r="I252" i="73"/>
  <c r="J252" i="73"/>
  <c r="K252" i="73"/>
  <c r="B28" i="68"/>
  <c r="U1120" i="2"/>
  <c r="R1120" i="2"/>
  <c r="R1121" i="2"/>
  <c r="Z1121" i="2"/>
  <c r="Z1109" i="2"/>
  <c r="AC1109" i="2"/>
  <c r="E101" i="5"/>
  <c r="I101" i="5"/>
  <c r="J101" i="5"/>
  <c r="B23" i="68"/>
  <c r="U1067" i="2"/>
  <c r="R1067" i="2"/>
  <c r="R1068" i="2"/>
  <c r="Z1068" i="2"/>
  <c r="Z1050" i="2"/>
  <c r="AE1050" i="2"/>
  <c r="Z2145" i="2"/>
  <c r="AE2145" i="2"/>
  <c r="E275" i="73"/>
  <c r="I275" i="73"/>
  <c r="J275" i="73"/>
  <c r="K275" i="73"/>
  <c r="K296" i="73"/>
  <c r="E19" i="5"/>
  <c r="I19" i="5"/>
  <c r="J19" i="5"/>
  <c r="E94" i="73"/>
  <c r="I94" i="73"/>
  <c r="E133" i="73"/>
  <c r="I133" i="73"/>
  <c r="J133" i="73"/>
  <c r="K133" i="73"/>
  <c r="Z2143" i="2"/>
  <c r="G72" i="70"/>
  <c r="H72" i="70"/>
  <c r="B20" i="68"/>
  <c r="U1010" i="2"/>
  <c r="R1010" i="2"/>
  <c r="X1010" i="2"/>
  <c r="Z1010" i="2"/>
  <c r="AE1010" i="2"/>
  <c r="E287" i="73"/>
  <c r="I287" i="73"/>
  <c r="J287" i="73"/>
  <c r="K287" i="73"/>
  <c r="E219" i="73"/>
  <c r="I219" i="73"/>
  <c r="J219" i="73"/>
  <c r="K219" i="73"/>
  <c r="E214" i="5"/>
  <c r="I214" i="5"/>
  <c r="K214" i="5"/>
  <c r="E340" i="5"/>
  <c r="I340" i="5"/>
  <c r="K340" i="5"/>
  <c r="E120" i="5"/>
  <c r="I120" i="5"/>
  <c r="J120" i="5"/>
  <c r="E51" i="5"/>
  <c r="I51" i="5"/>
  <c r="J51" i="5"/>
  <c r="E161" i="73"/>
  <c r="I161" i="73"/>
  <c r="J161" i="73"/>
  <c r="E279" i="73"/>
  <c r="I279" i="73"/>
  <c r="J279" i="73"/>
  <c r="K279" i="73"/>
  <c r="E24" i="73"/>
  <c r="I24" i="73"/>
  <c r="J24" i="73"/>
  <c r="K24" i="73"/>
  <c r="E212" i="73"/>
  <c r="I212" i="73"/>
  <c r="J212" i="73"/>
  <c r="K212" i="73"/>
  <c r="E129" i="73"/>
  <c r="I129" i="73"/>
  <c r="J129" i="73"/>
  <c r="K129" i="73"/>
  <c r="E96" i="73"/>
  <c r="I96" i="73"/>
  <c r="J96" i="73"/>
  <c r="E174" i="5"/>
  <c r="I174" i="5"/>
  <c r="E191" i="73"/>
  <c r="I191" i="73"/>
  <c r="J191" i="73"/>
  <c r="K191" i="73"/>
  <c r="E96" i="5"/>
  <c r="I96" i="5"/>
  <c r="J96" i="5"/>
  <c r="E33" i="73"/>
  <c r="I33" i="73"/>
  <c r="J33" i="73"/>
  <c r="K33" i="73"/>
  <c r="E237" i="5"/>
  <c r="I237" i="5"/>
  <c r="J237" i="5"/>
  <c r="E14" i="5"/>
  <c r="I14" i="5"/>
  <c r="J14" i="5"/>
  <c r="E41" i="5"/>
  <c r="I41" i="5"/>
  <c r="J41" i="5"/>
  <c r="E172" i="5"/>
  <c r="I172" i="5"/>
  <c r="J172" i="5"/>
  <c r="E319" i="5"/>
  <c r="I319" i="5"/>
  <c r="K319" i="5"/>
  <c r="E197" i="73"/>
  <c r="I197" i="73"/>
  <c r="J197" i="73"/>
  <c r="K197" i="73"/>
  <c r="M3" i="75"/>
  <c r="M4" i="75"/>
  <c r="E19" i="73"/>
  <c r="I19" i="73"/>
  <c r="J19" i="73"/>
  <c r="B27" i="68"/>
  <c r="U1107" i="2"/>
  <c r="R1107" i="2"/>
  <c r="X1107" i="2"/>
  <c r="Z1107" i="2"/>
  <c r="AC1107" i="2"/>
  <c r="E110" i="5"/>
  <c r="I110" i="5"/>
  <c r="J110" i="5"/>
  <c r="E305" i="5"/>
  <c r="I305" i="5"/>
  <c r="K305" i="5"/>
  <c r="E193" i="5"/>
  <c r="I193" i="5"/>
  <c r="E44" i="73"/>
  <c r="I44" i="73"/>
  <c r="J44" i="73"/>
  <c r="K44" i="73"/>
  <c r="E18" i="5"/>
  <c r="I18" i="5"/>
  <c r="E75" i="5"/>
  <c r="I75" i="5"/>
  <c r="J75" i="5"/>
  <c r="E324" i="5"/>
  <c r="I324" i="5"/>
  <c r="J324" i="5"/>
  <c r="E141" i="5"/>
  <c r="I141" i="5"/>
  <c r="K141" i="5"/>
  <c r="B26" i="68"/>
  <c r="U1094" i="2"/>
  <c r="R1094" i="2"/>
  <c r="X1094" i="2"/>
  <c r="Z1094" i="2"/>
  <c r="AE1094" i="2"/>
  <c r="E90" i="5"/>
  <c r="I90" i="5"/>
  <c r="J90" i="5"/>
  <c r="E205" i="5"/>
  <c r="I205" i="5"/>
  <c r="J205" i="5"/>
  <c r="E256" i="5"/>
  <c r="I256" i="5"/>
  <c r="K256" i="5"/>
  <c r="E145" i="73"/>
  <c r="I145" i="73"/>
  <c r="J145" i="73"/>
  <c r="K145" i="73"/>
  <c r="E132" i="5"/>
  <c r="I132" i="5"/>
  <c r="K132" i="5"/>
  <c r="E294" i="5"/>
  <c r="I294" i="5"/>
  <c r="K294" i="5"/>
  <c r="E279" i="5"/>
  <c r="I279" i="5"/>
  <c r="J279" i="5"/>
  <c r="E274" i="5"/>
  <c r="I274" i="5"/>
  <c r="J274" i="5"/>
  <c r="E100" i="5"/>
  <c r="I100" i="5"/>
  <c r="J100" i="5"/>
  <c r="E146" i="73"/>
  <c r="I146" i="73"/>
  <c r="J146" i="73"/>
  <c r="K146" i="73"/>
  <c r="C18" i="70"/>
  <c r="E18" i="70"/>
  <c r="E76" i="73"/>
  <c r="I76" i="73"/>
  <c r="J76" i="73"/>
  <c r="K76" i="73"/>
  <c r="E61" i="73"/>
  <c r="I61" i="73"/>
  <c r="J61" i="73"/>
  <c r="K61" i="73"/>
  <c r="E148" i="5"/>
  <c r="I148" i="5"/>
  <c r="K148" i="5"/>
  <c r="E61" i="5"/>
  <c r="I61" i="5"/>
  <c r="K61" i="5"/>
  <c r="B19" i="68"/>
  <c r="U991" i="2"/>
  <c r="R991" i="2"/>
  <c r="R992" i="2"/>
  <c r="Z992" i="2"/>
  <c r="Z973" i="2"/>
  <c r="C29" i="70"/>
  <c r="C42" i="70"/>
  <c r="D24" i="70"/>
  <c r="G25" i="70"/>
  <c r="E210" i="73"/>
  <c r="I210" i="73"/>
  <c r="J210" i="73"/>
  <c r="K210" i="73"/>
  <c r="E189" i="73"/>
  <c r="I189" i="73"/>
  <c r="J189" i="73"/>
  <c r="K189" i="73"/>
  <c r="E217" i="5"/>
  <c r="I217" i="5"/>
  <c r="K217" i="5"/>
  <c r="E31" i="73"/>
  <c r="I31" i="73"/>
  <c r="J31" i="73"/>
  <c r="K31" i="73"/>
  <c r="E250" i="73"/>
  <c r="I250" i="73"/>
  <c r="J250" i="73"/>
  <c r="K250" i="73"/>
  <c r="E165" i="5"/>
  <c r="I165" i="5"/>
  <c r="J165" i="5"/>
  <c r="B29" i="68"/>
  <c r="U1133" i="2"/>
  <c r="R1133" i="2"/>
  <c r="X1133" i="2"/>
  <c r="Z1133" i="2"/>
  <c r="AE1133" i="2"/>
  <c r="J6" i="5"/>
  <c r="K6" i="5"/>
  <c r="E84" i="5"/>
  <c r="I84" i="5"/>
  <c r="J84" i="5"/>
  <c r="E251" i="5"/>
  <c r="I251" i="5"/>
  <c r="K251" i="5"/>
  <c r="E303" i="5"/>
  <c r="I303" i="5"/>
  <c r="K303" i="5"/>
  <c r="E120" i="73"/>
  <c r="I120" i="73"/>
  <c r="J120" i="73"/>
  <c r="K120" i="73"/>
  <c r="E298" i="5"/>
  <c r="I298" i="5"/>
  <c r="K298" i="5"/>
  <c r="R1134" i="2"/>
  <c r="Z1134" i="2"/>
  <c r="Z1132" i="2"/>
  <c r="AC1132" i="2"/>
  <c r="E204" i="5"/>
  <c r="I204" i="5"/>
  <c r="J204" i="5"/>
  <c r="E327" i="5"/>
  <c r="I327" i="5"/>
  <c r="J327" i="5"/>
  <c r="E100" i="73"/>
  <c r="I100" i="73"/>
  <c r="J100" i="73"/>
  <c r="K100" i="73"/>
  <c r="R1108" i="2"/>
  <c r="R1109" i="2"/>
  <c r="X1109" i="2"/>
  <c r="B25" i="68"/>
  <c r="U1081" i="2"/>
  <c r="R1081" i="2"/>
  <c r="X1081" i="2"/>
  <c r="Z1081" i="2"/>
  <c r="AE1081" i="2"/>
  <c r="R1082" i="2"/>
  <c r="Z1082" i="2"/>
  <c r="Z1069" i="2"/>
  <c r="G58" i="70"/>
  <c r="K58" i="70"/>
  <c r="E166" i="73"/>
  <c r="I166" i="73"/>
  <c r="J166" i="73"/>
  <c r="K166" i="73"/>
  <c r="E117" i="73"/>
  <c r="I117" i="73"/>
  <c r="J117" i="73"/>
  <c r="K117" i="73"/>
  <c r="E342" i="5"/>
  <c r="I342" i="5"/>
  <c r="K342" i="5"/>
  <c r="E301" i="5"/>
  <c r="I301" i="5"/>
  <c r="J301" i="5"/>
  <c r="E176" i="73"/>
  <c r="I176" i="73"/>
  <c r="J176" i="73"/>
  <c r="R1011" i="2"/>
  <c r="Z1011" i="2"/>
  <c r="Z1009" i="2"/>
  <c r="AE1009" i="2"/>
  <c r="E86" i="73"/>
  <c r="I86" i="73"/>
  <c r="J86" i="73"/>
  <c r="K86" i="73"/>
  <c r="E162" i="73"/>
  <c r="I162" i="73"/>
  <c r="J162" i="73"/>
  <c r="K162" i="73"/>
  <c r="E284" i="5"/>
  <c r="I284" i="5"/>
  <c r="J284" i="5"/>
  <c r="E105" i="5"/>
  <c r="I105" i="5"/>
  <c r="J105" i="5"/>
  <c r="E285" i="73"/>
  <c r="I285" i="73"/>
  <c r="J285" i="73"/>
  <c r="K285" i="73"/>
  <c r="E205" i="73"/>
  <c r="I205" i="73"/>
  <c r="J205" i="73"/>
  <c r="E143" i="5"/>
  <c r="I143" i="5"/>
  <c r="J143" i="5"/>
  <c r="E147" i="5"/>
  <c r="I147" i="5"/>
  <c r="K147" i="5"/>
  <c r="E29" i="73"/>
  <c r="I29" i="73"/>
  <c r="J29" i="73"/>
  <c r="E158" i="73"/>
  <c r="I158" i="73"/>
  <c r="J158" i="73"/>
  <c r="E231" i="73"/>
  <c r="I231" i="73"/>
  <c r="J231" i="73"/>
  <c r="C28" i="68"/>
  <c r="D28" i="68"/>
  <c r="E25" i="73"/>
  <c r="I25" i="73"/>
  <c r="J25" i="73"/>
  <c r="K25" i="73"/>
  <c r="E29" i="70"/>
  <c r="E42" i="70"/>
  <c r="E43" i="70"/>
  <c r="R1095" i="2"/>
  <c r="R1096" i="2"/>
  <c r="X1096" i="2"/>
  <c r="E289" i="73"/>
  <c r="I289" i="73"/>
  <c r="J289" i="73"/>
  <c r="K289" i="73"/>
  <c r="E130" i="73"/>
  <c r="I130" i="73"/>
  <c r="J130" i="73"/>
  <c r="K130" i="73"/>
  <c r="E124" i="5"/>
  <c r="I124" i="5"/>
  <c r="J124" i="5"/>
  <c r="E280" i="73"/>
  <c r="I280" i="73"/>
  <c r="J280" i="73"/>
  <c r="K280" i="73"/>
  <c r="C41" i="70"/>
  <c r="E41" i="70"/>
  <c r="E339" i="5"/>
  <c r="I339" i="5"/>
  <c r="K339" i="5"/>
  <c r="E247" i="5"/>
  <c r="I247" i="5"/>
  <c r="J247" i="5"/>
  <c r="E59" i="5"/>
  <c r="I59" i="5"/>
  <c r="K59" i="5"/>
  <c r="AC1069" i="2"/>
  <c r="E131" i="73"/>
  <c r="I131" i="73"/>
  <c r="J131" i="73"/>
  <c r="K131" i="73"/>
  <c r="E56" i="73"/>
  <c r="I56" i="73"/>
  <c r="J56" i="73"/>
  <c r="K56" i="73"/>
  <c r="E282" i="73"/>
  <c r="I282" i="73"/>
  <c r="J282" i="73"/>
  <c r="K282" i="73"/>
  <c r="K303" i="73"/>
  <c r="K304" i="73"/>
  <c r="K305" i="73"/>
  <c r="K306" i="73"/>
  <c r="K307" i="73"/>
  <c r="K308" i="73"/>
  <c r="K309" i="73"/>
  <c r="K310" i="73"/>
  <c r="K311" i="73"/>
  <c r="K312" i="73"/>
  <c r="K313" i="73"/>
  <c r="K314" i="73"/>
  <c r="K315" i="73"/>
  <c r="K316" i="73"/>
  <c r="AE2143" i="2"/>
  <c r="E10" i="73"/>
  <c r="I10" i="73"/>
  <c r="J10" i="73"/>
  <c r="K10" i="73"/>
  <c r="E57" i="73"/>
  <c r="I57" i="73"/>
  <c r="J57" i="73"/>
  <c r="K57" i="73"/>
  <c r="E266" i="5"/>
  <c r="I266" i="5"/>
  <c r="J266" i="5"/>
  <c r="U1048" i="2"/>
  <c r="B22" i="68"/>
  <c r="C22" i="68"/>
  <c r="D22" i="68"/>
  <c r="Z1108" i="2"/>
  <c r="Z1096" i="2"/>
  <c r="B21" i="68"/>
  <c r="U1029" i="2"/>
  <c r="R1029" i="2"/>
  <c r="R1030" i="2"/>
  <c r="R1031" i="2"/>
  <c r="X1031" i="2"/>
  <c r="E83" i="73"/>
  <c r="I83" i="73"/>
  <c r="J83" i="73"/>
  <c r="K83" i="73"/>
  <c r="E137" i="73"/>
  <c r="I137" i="73"/>
  <c r="J137" i="73"/>
  <c r="K137" i="73"/>
  <c r="E157" i="73"/>
  <c r="I157" i="73"/>
  <c r="J157" i="73"/>
  <c r="K157" i="73"/>
  <c r="K193" i="5"/>
  <c r="J193" i="5"/>
  <c r="E51" i="73"/>
  <c r="I51" i="73"/>
  <c r="J51" i="73"/>
  <c r="G57" i="70"/>
  <c r="H57" i="70"/>
  <c r="K18" i="5"/>
  <c r="J18" i="5"/>
  <c r="R1110" i="2"/>
  <c r="E35" i="73"/>
  <c r="I35" i="73"/>
  <c r="E32" i="73"/>
  <c r="I32" i="73"/>
  <c r="J32" i="73"/>
  <c r="K32" i="73"/>
  <c r="E232" i="73"/>
  <c r="I232" i="73"/>
  <c r="J232" i="73"/>
  <c r="K232" i="73"/>
  <c r="E245" i="73"/>
  <c r="I245" i="73"/>
  <c r="J245" i="73"/>
  <c r="K245" i="73"/>
  <c r="E188" i="73"/>
  <c r="I188" i="73"/>
  <c r="J188" i="73"/>
  <c r="K188" i="73"/>
  <c r="E34" i="73"/>
  <c r="I34" i="73"/>
  <c r="J34" i="73"/>
  <c r="K34" i="73"/>
  <c r="E98" i="73"/>
  <c r="I98" i="73"/>
  <c r="J98" i="73"/>
  <c r="K98" i="73"/>
  <c r="E201" i="5"/>
  <c r="I201" i="5"/>
  <c r="J201" i="5"/>
  <c r="E258" i="73"/>
  <c r="I258" i="73"/>
  <c r="AC2136" i="2"/>
  <c r="AC193" i="2"/>
  <c r="AC73" i="2"/>
  <c r="AC1599" i="2"/>
  <c r="AC720" i="2"/>
  <c r="AC2068" i="2"/>
  <c r="AC1592" i="2"/>
  <c r="AC1317" i="2"/>
  <c r="AC934" i="2"/>
  <c r="AC347" i="2"/>
  <c r="AC113" i="2"/>
  <c r="AC1416" i="2"/>
  <c r="F42" i="73"/>
  <c r="G165" i="73"/>
  <c r="B187" i="73"/>
  <c r="G79" i="73"/>
  <c r="G224" i="73"/>
  <c r="F241" i="73"/>
  <c r="G174" i="73"/>
  <c r="G242" i="73"/>
  <c r="D29" i="70"/>
  <c r="G27" i="70"/>
  <c r="E194" i="73"/>
  <c r="I194" i="73"/>
  <c r="J194" i="73"/>
  <c r="K194" i="73"/>
  <c r="E203" i="73"/>
  <c r="I203" i="73"/>
  <c r="J203" i="73"/>
  <c r="K203" i="73"/>
  <c r="E178" i="73"/>
  <c r="I178" i="73"/>
  <c r="J178" i="73"/>
  <c r="K178" i="73"/>
  <c r="E91" i="73"/>
  <c r="I91" i="73"/>
  <c r="J91" i="73"/>
  <c r="K91" i="73"/>
  <c r="E262" i="73"/>
  <c r="I262" i="73"/>
  <c r="J262" i="73"/>
  <c r="K262" i="73"/>
  <c r="AE1109" i="2"/>
  <c r="J35" i="73"/>
  <c r="E297" i="5"/>
  <c r="E183" i="5"/>
  <c r="AC49" i="2"/>
  <c r="AC1725" i="2"/>
  <c r="AC474" i="2"/>
  <c r="AC1637" i="2"/>
  <c r="AC527" i="2"/>
  <c r="AC812" i="2"/>
  <c r="AC530" i="2"/>
  <c r="AC507" i="2"/>
  <c r="AC1674" i="2"/>
  <c r="AC143" i="2"/>
  <c r="AC119" i="2"/>
  <c r="AC1611" i="2"/>
  <c r="AC1242" i="2"/>
  <c r="AC1359" i="2"/>
  <c r="AC2053" i="2"/>
  <c r="AC729" i="2"/>
  <c r="AC525" i="2"/>
  <c r="AC289" i="2"/>
  <c r="AC1970" i="2"/>
  <c r="AC2122" i="2"/>
  <c r="AC1367" i="2"/>
  <c r="AC91" i="2"/>
  <c r="X992" i="2"/>
  <c r="H182" i="73"/>
  <c r="D244" i="73"/>
  <c r="B30" i="73"/>
  <c r="B96" i="73"/>
  <c r="B15" i="73"/>
  <c r="AC1094" i="2"/>
  <c r="J294" i="5"/>
  <c r="AE1134" i="2"/>
  <c r="E30" i="73"/>
  <c r="K165" i="5"/>
  <c r="K84" i="5"/>
  <c r="AE1132" i="2"/>
  <c r="E209" i="73"/>
  <c r="E132" i="73"/>
  <c r="E27" i="73"/>
  <c r="AC1804" i="2"/>
  <c r="AC705" i="2"/>
  <c r="AC845" i="2"/>
  <c r="AC1772" i="2"/>
  <c r="AC206" i="2"/>
  <c r="AC1782" i="2"/>
  <c r="AC226" i="2"/>
  <c r="AC1184" i="2"/>
  <c r="D167" i="73"/>
  <c r="B274" i="73"/>
  <c r="F211" i="73"/>
  <c r="F263" i="73"/>
  <c r="F101" i="73"/>
  <c r="B163" i="73"/>
  <c r="H223" i="73"/>
  <c r="F261" i="73"/>
  <c r="G208" i="73"/>
  <c r="D226" i="73"/>
  <c r="D27" i="70"/>
  <c r="E41" i="73"/>
  <c r="E184" i="73"/>
  <c r="E104" i="73"/>
  <c r="E143" i="73"/>
  <c r="E183" i="73"/>
  <c r="X1011" i="2"/>
  <c r="E267" i="73"/>
  <c r="D40" i="70"/>
  <c r="D37" i="70"/>
  <c r="AC814" i="2"/>
  <c r="AC1090" i="2"/>
  <c r="AC236" i="2"/>
  <c r="AC775" i="2"/>
  <c r="AC537" i="2"/>
  <c r="AC2139" i="2"/>
  <c r="H14" i="73"/>
  <c r="F184" i="73"/>
  <c r="D176" i="73"/>
  <c r="AC1158" i="2"/>
  <c r="AC85" i="2"/>
  <c r="AC429" i="2"/>
  <c r="AC1583" i="2"/>
  <c r="AC780" i="2"/>
  <c r="AC994" i="2"/>
  <c r="AC870" i="2"/>
  <c r="AC1097" i="2"/>
  <c r="AC394" i="2"/>
  <c r="AC1071" i="2"/>
  <c r="AC509" i="2"/>
  <c r="AC1154" i="2"/>
  <c r="AC1702" i="2"/>
  <c r="AC1060" i="2"/>
  <c r="AC624" i="2"/>
  <c r="AC585" i="2"/>
  <c r="E154" i="73"/>
  <c r="E26" i="73"/>
  <c r="AE1068" i="2"/>
  <c r="AC1186" i="2"/>
  <c r="AC1640" i="2"/>
  <c r="AC1957" i="2"/>
  <c r="AC2024" i="2"/>
  <c r="AC2020" i="2"/>
  <c r="AC1948" i="2"/>
  <c r="AC1590" i="2"/>
  <c r="AC61" i="2"/>
  <c r="AC885" i="2"/>
  <c r="AC1651" i="2"/>
  <c r="AC445" i="2"/>
  <c r="AC781" i="2"/>
  <c r="AC1235" i="2"/>
  <c r="AC792" i="2"/>
  <c r="AC1562" i="2"/>
  <c r="AC996" i="2"/>
  <c r="AC1462" i="2"/>
  <c r="AC1144" i="2"/>
  <c r="AC589" i="2"/>
  <c r="AC1903" i="2"/>
  <c r="AC1038" i="2"/>
  <c r="AC1057" i="2"/>
  <c r="AC1366" i="2"/>
  <c r="AC1872" i="2"/>
  <c r="AC83" i="2"/>
  <c r="AC460" i="2"/>
  <c r="AC2127" i="2"/>
  <c r="AC2086" i="2"/>
  <c r="AC1985" i="2"/>
  <c r="AC162" i="2"/>
  <c r="AC1921" i="2"/>
  <c r="AC1291" i="2"/>
  <c r="AC1716" i="2"/>
  <c r="AC291" i="2"/>
  <c r="AC1802" i="2"/>
  <c r="AC457" i="2"/>
  <c r="AC1505" i="2"/>
  <c r="AC1248" i="2"/>
  <c r="AC988" i="2"/>
  <c r="AC1708" i="2"/>
  <c r="AC520" i="2"/>
  <c r="AC1512" i="2"/>
  <c r="AC807" i="2"/>
  <c r="AC1125" i="2"/>
  <c r="AC1963" i="2"/>
  <c r="AC764" i="2"/>
  <c r="AC317" i="2"/>
  <c r="AC1348" i="2"/>
  <c r="AC829" i="2"/>
  <c r="AC56" i="2"/>
  <c r="AC1958" i="2"/>
  <c r="AC716" i="2"/>
  <c r="AC1364" i="2"/>
  <c r="AC554" i="2"/>
  <c r="AC2104" i="2"/>
  <c r="J258" i="73"/>
  <c r="K258" i="73"/>
  <c r="E72" i="5"/>
  <c r="I72" i="5"/>
  <c r="K72" i="5"/>
  <c r="E174" i="73"/>
  <c r="I174" i="73"/>
  <c r="J174" i="73"/>
  <c r="E154" i="5"/>
  <c r="I154" i="5"/>
  <c r="E293" i="5"/>
  <c r="I293" i="5"/>
  <c r="K293" i="5"/>
  <c r="E122" i="5"/>
  <c r="I122" i="5"/>
  <c r="J122" i="5"/>
  <c r="E48" i="5"/>
  <c r="I48" i="5"/>
  <c r="K48" i="5"/>
  <c r="E46" i="5"/>
  <c r="I46" i="5"/>
  <c r="J46" i="5"/>
  <c r="E180" i="5"/>
  <c r="I180" i="5"/>
  <c r="E107" i="5"/>
  <c r="I107" i="5"/>
  <c r="K107" i="5"/>
  <c r="E15" i="73"/>
  <c r="I15" i="73"/>
  <c r="J15" i="73"/>
  <c r="K15" i="73"/>
  <c r="E230" i="5"/>
  <c r="I230" i="5"/>
  <c r="J230" i="5"/>
  <c r="C7" i="70"/>
  <c r="C19" i="70"/>
  <c r="D2" i="70"/>
  <c r="D19" i="70"/>
  <c r="E261" i="5"/>
  <c r="I261" i="5"/>
  <c r="J261" i="5"/>
  <c r="E59" i="73"/>
  <c r="I59" i="73"/>
  <c r="J59" i="73"/>
  <c r="R1048" i="2"/>
  <c r="R1049" i="2"/>
  <c r="R1050" i="2"/>
  <c r="R1051" i="2"/>
  <c r="X1051" i="2"/>
  <c r="E142" i="73"/>
  <c r="I142" i="73"/>
  <c r="J142" i="73"/>
  <c r="K142" i="73"/>
  <c r="E27" i="5"/>
  <c r="I27" i="5"/>
  <c r="J27" i="5"/>
  <c r="E167" i="5"/>
  <c r="I167" i="5"/>
  <c r="K167" i="5"/>
  <c r="E225" i="73"/>
  <c r="I225" i="73"/>
  <c r="J225" i="73"/>
  <c r="E190" i="73"/>
  <c r="I190" i="73"/>
  <c r="J190" i="73"/>
  <c r="K190" i="73"/>
  <c r="E18" i="73"/>
  <c r="I18" i="73"/>
  <c r="J18" i="73"/>
  <c r="K18" i="73"/>
  <c r="E285" i="5"/>
  <c r="I285" i="5"/>
  <c r="J285" i="5"/>
  <c r="E256" i="73"/>
  <c r="I256" i="73"/>
  <c r="J256" i="73"/>
  <c r="K256" i="73"/>
  <c r="E282" i="5"/>
  <c r="I282" i="5"/>
  <c r="J282" i="5"/>
  <c r="E254" i="5"/>
  <c r="I254" i="5"/>
  <c r="K254" i="5"/>
  <c r="E226" i="73"/>
  <c r="I226" i="73"/>
  <c r="J226" i="73"/>
  <c r="E173" i="73"/>
  <c r="I173" i="73"/>
  <c r="J173" i="73"/>
  <c r="E287" i="5"/>
  <c r="I287" i="5"/>
  <c r="K287" i="5"/>
  <c r="C95" i="61"/>
  <c r="W1082" i="2"/>
  <c r="Y1082" i="2"/>
  <c r="Y1081" i="2"/>
  <c r="E135" i="5"/>
  <c r="I135" i="5"/>
  <c r="K135" i="5"/>
  <c r="E92" i="73"/>
  <c r="I92" i="73"/>
  <c r="J92" i="73"/>
  <c r="K92" i="73"/>
  <c r="E227" i="73"/>
  <c r="I227" i="73"/>
  <c r="J227" i="73"/>
  <c r="K227" i="73"/>
  <c r="E276" i="73"/>
  <c r="I276" i="73"/>
  <c r="J276" i="73"/>
  <c r="E220" i="73"/>
  <c r="I220" i="73"/>
  <c r="J220" i="73"/>
  <c r="K220" i="73"/>
  <c r="E87" i="73"/>
  <c r="I87" i="73"/>
  <c r="J87" i="73"/>
  <c r="K87" i="73"/>
  <c r="E234" i="5"/>
  <c r="I234" i="5"/>
  <c r="J234" i="5"/>
  <c r="E159" i="5"/>
  <c r="I159" i="5"/>
  <c r="J159" i="5"/>
  <c r="E240" i="5"/>
  <c r="I240" i="5"/>
  <c r="J240" i="5"/>
  <c r="E128" i="73"/>
  <c r="I128" i="73"/>
  <c r="J128" i="73"/>
  <c r="K128" i="73"/>
  <c r="E326" i="5"/>
  <c r="I326" i="5"/>
  <c r="K326" i="5"/>
  <c r="E310" i="5"/>
  <c r="I310" i="5"/>
  <c r="J310" i="5"/>
  <c r="E137" i="5"/>
  <c r="I137" i="5"/>
  <c r="J137" i="5"/>
  <c r="E52" i="73"/>
  <c r="I52" i="73"/>
  <c r="J52" i="73"/>
  <c r="K52" i="73"/>
  <c r="E134" i="5"/>
  <c r="I134" i="5"/>
  <c r="K134" i="5"/>
  <c r="E176" i="5"/>
  <c r="I176" i="5"/>
  <c r="J176" i="5"/>
  <c r="E84" i="73"/>
  <c r="I84" i="73"/>
  <c r="J84" i="73"/>
  <c r="E219" i="5"/>
  <c r="I219" i="5"/>
  <c r="J219" i="5"/>
  <c r="E262" i="5"/>
  <c r="I262" i="5"/>
  <c r="K262" i="5"/>
  <c r="E235" i="73"/>
  <c r="I235" i="73"/>
  <c r="J235" i="73"/>
  <c r="K235" i="73"/>
  <c r="E36" i="73"/>
  <c r="I36" i="73"/>
  <c r="J36" i="73"/>
  <c r="K36" i="73"/>
  <c r="E238" i="5"/>
  <c r="I238" i="5"/>
  <c r="K238" i="5"/>
  <c r="E126" i="73"/>
  <c r="I126" i="73"/>
  <c r="J126" i="73"/>
  <c r="K126" i="73"/>
  <c r="Z171" i="2"/>
  <c r="G50" i="70"/>
  <c r="H50" i="70"/>
  <c r="H73" i="70"/>
  <c r="H75" i="70"/>
  <c r="E76" i="5"/>
  <c r="I76" i="5"/>
  <c r="K76" i="5"/>
  <c r="E299" i="5"/>
  <c r="I299" i="5"/>
  <c r="J299" i="5"/>
  <c r="E233" i="5"/>
  <c r="I233" i="5"/>
  <c r="J233" i="5"/>
  <c r="E112" i="73"/>
  <c r="I112" i="73"/>
  <c r="J112" i="73"/>
  <c r="K112" i="73"/>
  <c r="E44" i="5"/>
  <c r="I44" i="5"/>
  <c r="J44" i="5"/>
  <c r="E125" i="5"/>
  <c r="I125" i="5"/>
  <c r="K125" i="5"/>
  <c r="E334" i="5"/>
  <c r="I334" i="5"/>
  <c r="J334" i="5"/>
  <c r="E261" i="73"/>
  <c r="I261" i="73"/>
  <c r="J261" i="73"/>
  <c r="K261" i="73"/>
  <c r="E257" i="73"/>
  <c r="I257" i="73"/>
  <c r="J257" i="73"/>
  <c r="K257" i="73"/>
  <c r="E119" i="5"/>
  <c r="I119" i="5"/>
  <c r="J119" i="5"/>
  <c r="E246" i="5"/>
  <c r="I246" i="5"/>
  <c r="K246" i="5"/>
  <c r="E265" i="5"/>
  <c r="I265" i="5"/>
  <c r="K265" i="5"/>
  <c r="E295" i="5"/>
  <c r="I295" i="5"/>
  <c r="J295" i="5"/>
  <c r="Z1095" i="2"/>
  <c r="Z1093" i="2"/>
  <c r="AC1093" i="2"/>
  <c r="E306" i="5"/>
  <c r="I306" i="5"/>
  <c r="J306" i="5"/>
  <c r="E126" i="5"/>
  <c r="I126" i="5"/>
  <c r="K126" i="5"/>
  <c r="E270" i="5"/>
  <c r="I270" i="5"/>
  <c r="K270" i="5"/>
  <c r="E286" i="73"/>
  <c r="I286" i="73"/>
  <c r="J286" i="73"/>
  <c r="E118" i="73"/>
  <c r="I118" i="73"/>
  <c r="J118" i="73"/>
  <c r="K118" i="73"/>
  <c r="E172" i="73"/>
  <c r="I172" i="73"/>
  <c r="J172" i="73"/>
  <c r="K172" i="73"/>
  <c r="E95" i="73"/>
  <c r="I95" i="73"/>
  <c r="J95" i="73"/>
  <c r="E97" i="73"/>
  <c r="I97" i="73"/>
  <c r="J97" i="73"/>
  <c r="E296" i="5"/>
  <c r="I296" i="5"/>
  <c r="K296" i="5"/>
  <c r="E124" i="73"/>
  <c r="I124" i="73"/>
  <c r="J124" i="73"/>
  <c r="E207" i="5"/>
  <c r="I207" i="5"/>
  <c r="J207" i="5"/>
  <c r="C29" i="68"/>
  <c r="D29" i="68"/>
  <c r="E64" i="5"/>
  <c r="I64" i="5"/>
  <c r="J64" i="5"/>
  <c r="E186" i="73"/>
  <c r="I186" i="73"/>
  <c r="J186" i="73"/>
  <c r="E22" i="5"/>
  <c r="I22" i="5"/>
  <c r="J22" i="5"/>
  <c r="E157" i="5"/>
  <c r="I157" i="5"/>
  <c r="K157" i="5"/>
  <c r="AE1095" i="2"/>
  <c r="E16" i="5"/>
  <c r="I16" i="5"/>
  <c r="J16" i="5"/>
  <c r="E52" i="5"/>
  <c r="I52" i="5"/>
  <c r="J52" i="5"/>
  <c r="E146" i="5"/>
  <c r="I146" i="5"/>
  <c r="J146" i="5"/>
  <c r="E28" i="5"/>
  <c r="I28" i="5"/>
  <c r="J28" i="5"/>
  <c r="E16" i="73"/>
  <c r="I16" i="73"/>
  <c r="J16" i="73"/>
  <c r="K16" i="73"/>
  <c r="E12" i="73"/>
  <c r="I12" i="73"/>
  <c r="J12" i="73"/>
  <c r="E68" i="5"/>
  <c r="I68" i="5"/>
  <c r="J68" i="5"/>
  <c r="E338" i="5"/>
  <c r="I338" i="5"/>
  <c r="J338" i="5"/>
  <c r="E67" i="73"/>
  <c r="I67" i="73"/>
  <c r="J67" i="73"/>
  <c r="K67" i="73"/>
  <c r="E276" i="5"/>
  <c r="I276" i="5"/>
  <c r="K276" i="5"/>
  <c r="R1069" i="2"/>
  <c r="X1069" i="2"/>
  <c r="E314" i="5"/>
  <c r="I314" i="5"/>
  <c r="K314" i="5"/>
  <c r="E127" i="73"/>
  <c r="I127" i="73"/>
  <c r="J127" i="73"/>
  <c r="E344" i="5"/>
  <c r="I344" i="5"/>
  <c r="K344" i="5"/>
  <c r="E134" i="73"/>
  <c r="I134" i="73"/>
  <c r="J134" i="73"/>
  <c r="K134" i="73"/>
  <c r="E201" i="73"/>
  <c r="I201" i="73"/>
  <c r="J201" i="73"/>
  <c r="K201" i="73"/>
  <c r="E60" i="5"/>
  <c r="I60" i="5"/>
  <c r="K60" i="5"/>
  <c r="E169" i="5"/>
  <c r="I169" i="5"/>
  <c r="J169" i="5"/>
  <c r="E168" i="73"/>
  <c r="I168" i="73"/>
  <c r="J168" i="73"/>
  <c r="E39" i="5"/>
  <c r="I39" i="5"/>
  <c r="J39" i="5"/>
  <c r="E229" i="5"/>
  <c r="I229" i="5"/>
  <c r="J229" i="5"/>
  <c r="E273" i="73"/>
  <c r="I273" i="73"/>
  <c r="J273" i="73"/>
  <c r="K273" i="73"/>
  <c r="E181" i="73"/>
  <c r="I181" i="73"/>
  <c r="J181" i="73"/>
  <c r="K181" i="73"/>
  <c r="R1083" i="2"/>
  <c r="X1083" i="2"/>
  <c r="G73" i="70"/>
  <c r="E263" i="5"/>
  <c r="I263" i="5"/>
  <c r="J263" i="5"/>
  <c r="E148" i="73"/>
  <c r="I148" i="73"/>
  <c r="J148" i="73"/>
  <c r="K148" i="73"/>
  <c r="E185" i="73"/>
  <c r="I185" i="73"/>
  <c r="J185" i="73"/>
  <c r="K185" i="73"/>
  <c r="E111" i="73"/>
  <c r="I111" i="73"/>
  <c r="J111" i="73"/>
  <c r="K111" i="73"/>
  <c r="E32" i="5"/>
  <c r="I32" i="5"/>
  <c r="J32" i="5"/>
  <c r="R1012" i="2"/>
  <c r="R1013" i="2"/>
  <c r="X1013" i="2"/>
  <c r="E46" i="73"/>
  <c r="I46" i="73"/>
  <c r="J46" i="73"/>
  <c r="K46" i="73"/>
  <c r="E72" i="73"/>
  <c r="I72" i="73"/>
  <c r="J72" i="73"/>
  <c r="K72" i="73"/>
  <c r="E91" i="5"/>
  <c r="I91" i="5"/>
  <c r="J91" i="5"/>
  <c r="E17" i="5"/>
  <c r="I17" i="5"/>
  <c r="K17" i="5"/>
  <c r="E20" i="5"/>
  <c r="I20" i="5"/>
  <c r="K20" i="5"/>
  <c r="E102" i="5"/>
  <c r="I102" i="5"/>
  <c r="K102" i="5"/>
  <c r="E320" i="5"/>
  <c r="I320" i="5"/>
  <c r="J320" i="5"/>
  <c r="E25" i="5"/>
  <c r="I25" i="5"/>
  <c r="K25" i="5"/>
  <c r="E252" i="5"/>
  <c r="I252" i="5"/>
  <c r="J252" i="5"/>
  <c r="E317" i="5"/>
  <c r="I317" i="5"/>
  <c r="J317" i="5"/>
  <c r="E71" i="5"/>
  <c r="I71" i="5"/>
  <c r="K71" i="5"/>
  <c r="E187" i="5"/>
  <c r="I187" i="5"/>
  <c r="K187" i="5"/>
  <c r="E103" i="5"/>
  <c r="I103" i="5"/>
  <c r="J103" i="5"/>
  <c r="E67" i="5"/>
  <c r="I67" i="5"/>
  <c r="K67" i="5"/>
  <c r="D36" i="70"/>
  <c r="G26" i="70"/>
  <c r="E160" i="73"/>
  <c r="I160" i="73"/>
  <c r="J160" i="73"/>
  <c r="K160" i="73"/>
  <c r="E28" i="73"/>
  <c r="I28" i="73"/>
  <c r="J28" i="73"/>
  <c r="K28" i="73"/>
  <c r="E230" i="73"/>
  <c r="I230" i="73"/>
  <c r="J230" i="73"/>
  <c r="K230" i="73"/>
  <c r="E277" i="5"/>
  <c r="I277" i="5"/>
  <c r="J277" i="5"/>
  <c r="E281" i="5"/>
  <c r="I281" i="5"/>
  <c r="J281" i="5"/>
  <c r="R1122" i="2"/>
  <c r="X1122" i="2"/>
  <c r="E97" i="5"/>
  <c r="I97" i="5"/>
  <c r="K97" i="5"/>
  <c r="E53" i="5"/>
  <c r="I53" i="5"/>
  <c r="K53" i="5"/>
  <c r="E207" i="73"/>
  <c r="I207" i="73"/>
  <c r="J207" i="73"/>
  <c r="X1120" i="2"/>
  <c r="Z1120" i="2"/>
  <c r="AC1120" i="2"/>
  <c r="K154" i="5"/>
  <c r="E272" i="5"/>
  <c r="I272" i="5"/>
  <c r="R1070" i="2"/>
  <c r="R1071" i="2"/>
  <c r="E49" i="5"/>
  <c r="I49" i="5"/>
  <c r="J49" i="5"/>
  <c r="E182" i="73"/>
  <c r="I182" i="73"/>
  <c r="J182" i="73"/>
  <c r="E187" i="73"/>
  <c r="I187" i="73"/>
  <c r="J187" i="73"/>
  <c r="K187" i="73"/>
  <c r="E85" i="73"/>
  <c r="I85" i="73"/>
  <c r="J85" i="73"/>
  <c r="K85" i="73"/>
  <c r="E11" i="5"/>
  <c r="I11" i="5"/>
  <c r="K11" i="5"/>
  <c r="K46" i="5"/>
  <c r="E328" i="5"/>
  <c r="I328" i="5"/>
  <c r="J180" i="5"/>
  <c r="E284" i="73"/>
  <c r="I284" i="73"/>
  <c r="J284" i="73"/>
  <c r="K284" i="73"/>
  <c r="E113" i="5"/>
  <c r="I113" i="5"/>
  <c r="E136" i="5"/>
  <c r="I136" i="5"/>
  <c r="J136" i="5"/>
  <c r="E286" i="5"/>
  <c r="I286" i="5"/>
  <c r="J286" i="5"/>
  <c r="E55" i="5"/>
  <c r="I55" i="5"/>
  <c r="E88" i="5"/>
  <c r="I88" i="5"/>
  <c r="J88" i="5"/>
  <c r="E336" i="5"/>
  <c r="I336" i="5"/>
  <c r="E228" i="73"/>
  <c r="I228" i="73"/>
  <c r="E290" i="5"/>
  <c r="I290" i="5"/>
  <c r="K290" i="5"/>
  <c r="E47" i="73"/>
  <c r="I47" i="73"/>
  <c r="K294" i="73"/>
  <c r="E278" i="5"/>
  <c r="I278" i="5"/>
  <c r="K278" i="5"/>
  <c r="R1123" i="2"/>
  <c r="E77" i="5"/>
  <c r="I77" i="5"/>
  <c r="K77" i="5"/>
  <c r="E109" i="73"/>
  <c r="I109" i="73"/>
  <c r="J109" i="73"/>
  <c r="K109" i="73"/>
  <c r="E222" i="73"/>
  <c r="I222" i="73"/>
  <c r="J222" i="73"/>
  <c r="E63" i="5"/>
  <c r="I63" i="5"/>
  <c r="J63" i="5"/>
  <c r="C94" i="61"/>
  <c r="W992" i="2"/>
  <c r="Y992" i="2"/>
  <c r="Y991" i="2"/>
  <c r="E231" i="5"/>
  <c r="H140" i="73"/>
  <c r="E249" i="73"/>
  <c r="E114" i="73"/>
  <c r="E60" i="73"/>
  <c r="I60" i="73"/>
  <c r="J60" i="73"/>
  <c r="E335" i="5"/>
  <c r="I335" i="5"/>
  <c r="J335" i="5"/>
  <c r="E151" i="5"/>
  <c r="I151" i="5"/>
  <c r="J151" i="5"/>
  <c r="E215" i="73"/>
  <c r="W1121" i="2"/>
  <c r="AE171" i="2"/>
  <c r="E288" i="73"/>
  <c r="I288" i="73"/>
  <c r="J288" i="73"/>
  <c r="Z1106" i="2"/>
  <c r="E325" i="5"/>
  <c r="K113" i="5"/>
  <c r="H205" i="73"/>
  <c r="G156" i="73"/>
  <c r="B106" i="73"/>
  <c r="E198" i="5"/>
  <c r="E170" i="5"/>
  <c r="E81" i="5"/>
  <c r="E211" i="5"/>
  <c r="I211" i="5"/>
  <c r="K211" i="5"/>
  <c r="AC273" i="2"/>
  <c r="AC880" i="2"/>
  <c r="AC2083" i="2"/>
  <c r="AC1272" i="2"/>
  <c r="AC335" i="2"/>
  <c r="AC1005" i="2"/>
  <c r="AC524" i="2"/>
  <c r="AC156" i="2"/>
  <c r="AC1720" i="2"/>
  <c r="AC730" i="2"/>
  <c r="AC1912" i="2"/>
  <c r="AC1691" i="2"/>
  <c r="AC794" i="2"/>
  <c r="AC1197" i="2"/>
  <c r="AC865" i="2"/>
  <c r="AC387" i="2"/>
  <c r="AC1855" i="2"/>
  <c r="AC1747" i="2"/>
  <c r="AC1200" i="2"/>
  <c r="AC1228" i="2"/>
  <c r="AC1881" i="2"/>
  <c r="AC447" i="2"/>
  <c r="AC1533" i="2"/>
  <c r="AC204" i="2"/>
  <c r="E204" i="73"/>
  <c r="I204" i="73"/>
  <c r="J204" i="73"/>
  <c r="C19" i="68"/>
  <c r="K72" i="70"/>
  <c r="J214" i="5"/>
  <c r="E69" i="73"/>
  <c r="I69" i="73"/>
  <c r="J69" i="73"/>
  <c r="E14" i="73"/>
  <c r="I14" i="73"/>
  <c r="J14" i="73"/>
  <c r="K14" i="73"/>
  <c r="E37" i="73"/>
  <c r="I37" i="73"/>
  <c r="J37" i="73"/>
  <c r="K120" i="5"/>
  <c r="AC2147" i="2"/>
  <c r="K51" i="5"/>
  <c r="Z974" i="2"/>
  <c r="AC850" i="2"/>
  <c r="AC1542" i="2"/>
  <c r="AC1316" i="2"/>
  <c r="AC1634" i="2"/>
  <c r="AC103" i="2"/>
  <c r="AC1338" i="2"/>
  <c r="AC232" i="2"/>
  <c r="AC799" i="2"/>
  <c r="AC195" i="2"/>
  <c r="AC1779" i="2"/>
  <c r="AC1260" i="2"/>
  <c r="AC397" i="2"/>
  <c r="AC438" i="2"/>
  <c r="AC886" i="2"/>
  <c r="AC466" i="2"/>
  <c r="AC314" i="2"/>
  <c r="AC1854" i="2"/>
  <c r="AC2105" i="2"/>
  <c r="AC441" i="2"/>
  <c r="AC526" i="2"/>
  <c r="AC1655" i="2"/>
  <c r="F125" i="73"/>
  <c r="B28" i="73"/>
  <c r="G112" i="73"/>
  <c r="B49" i="73"/>
  <c r="K90" i="5"/>
  <c r="J132" i="5"/>
  <c r="E65" i="73"/>
  <c r="E99" i="73"/>
  <c r="I99" i="73"/>
  <c r="J99" i="73"/>
  <c r="K99" i="73"/>
  <c r="E156" i="73"/>
  <c r="E195" i="73"/>
  <c r="I195" i="73"/>
  <c r="J195" i="73"/>
  <c r="K195" i="73"/>
  <c r="J148" i="5"/>
  <c r="E144" i="73"/>
  <c r="I144" i="73"/>
  <c r="J144" i="73"/>
  <c r="K144" i="73"/>
  <c r="J217" i="5"/>
  <c r="AC1134" i="2"/>
  <c r="I30" i="73"/>
  <c r="J30" i="73"/>
  <c r="K30" i="73"/>
  <c r="J251" i="5"/>
  <c r="K204" i="5"/>
  <c r="E74" i="73"/>
  <c r="I74" i="73"/>
  <c r="J74" i="73"/>
  <c r="E192" i="73"/>
  <c r="I192" i="73"/>
  <c r="J192" i="73"/>
  <c r="E169" i="73"/>
  <c r="I169" i="73"/>
  <c r="J169" i="73"/>
  <c r="AC1735" i="2"/>
  <c r="AC834" i="2"/>
  <c r="AC1189" i="2"/>
  <c r="AC601" i="2"/>
  <c r="AC1645" i="2"/>
  <c r="AC1008" i="2"/>
  <c r="AC1960" i="2"/>
  <c r="AC37" i="2"/>
  <c r="K59" i="73"/>
  <c r="E202" i="73"/>
  <c r="J167" i="5"/>
  <c r="E106" i="73"/>
  <c r="E105" i="73"/>
  <c r="I105" i="73"/>
  <c r="J105" i="73"/>
  <c r="X1121" i="2"/>
  <c r="J135" i="5"/>
  <c r="K159" i="5"/>
  <c r="K137" i="5"/>
  <c r="K233" i="5"/>
  <c r="K119" i="5"/>
  <c r="J265" i="5"/>
  <c r="K97" i="73"/>
  <c r="K207" i="5"/>
  <c r="K28" i="5"/>
  <c r="J314" i="5"/>
  <c r="X1012" i="2"/>
  <c r="X1068" i="2"/>
  <c r="D33" i="70"/>
  <c r="D30" i="70"/>
  <c r="K252" i="5"/>
  <c r="K277" i="5"/>
  <c r="J53" i="5"/>
  <c r="B196" i="64"/>
  <c r="AC1191" i="2"/>
  <c r="AC2027" i="2"/>
  <c r="AC305" i="2"/>
  <c r="AC92" i="2"/>
  <c r="AC295" i="2"/>
  <c r="K136" i="5"/>
  <c r="K286" i="5"/>
  <c r="K88" i="5"/>
  <c r="B20" i="73"/>
  <c r="B253" i="73"/>
  <c r="H171" i="73"/>
  <c r="AC1011" i="2"/>
  <c r="AC1321" i="2"/>
  <c r="AC947" i="2"/>
  <c r="AC2123" i="2"/>
  <c r="AC1622" i="2"/>
  <c r="AC2107" i="2"/>
  <c r="AC1967" i="2"/>
  <c r="AC105" i="2"/>
  <c r="AC122" i="2"/>
  <c r="AC219" i="2"/>
  <c r="AC1199" i="2"/>
  <c r="AC267" i="2"/>
  <c r="AC772" i="2"/>
  <c r="AC2052" i="2"/>
  <c r="AC1659" i="2"/>
  <c r="E218" i="73"/>
  <c r="I218" i="73"/>
  <c r="J218" i="73"/>
  <c r="K218" i="73"/>
  <c r="E196" i="73"/>
  <c r="E237" i="73"/>
  <c r="E229" i="73"/>
  <c r="AE1082" i="2"/>
  <c r="AC1121" i="2"/>
  <c r="K222" i="73"/>
  <c r="AC254" i="2"/>
  <c r="AC1697" i="2"/>
  <c r="AC689" i="2"/>
  <c r="AC43" i="2"/>
  <c r="AC1882" i="2"/>
  <c r="AC1051" i="2"/>
  <c r="AC671" i="2"/>
  <c r="AC788" i="2"/>
  <c r="AC1089" i="2"/>
  <c r="AC1665" i="2"/>
  <c r="AC1037" i="2"/>
  <c r="AC1110" i="2"/>
  <c r="AC1607" i="2"/>
  <c r="AC724" i="2"/>
  <c r="AC542" i="2"/>
  <c r="AC769" i="2"/>
  <c r="AC87" i="2"/>
  <c r="AC704" i="2"/>
  <c r="AC1115" i="2"/>
  <c r="AC862" i="2"/>
  <c r="AC1571" i="2"/>
  <c r="AC150" i="2"/>
  <c r="AC1669" i="2"/>
  <c r="AC427" i="2"/>
  <c r="AC1911" i="2"/>
  <c r="AC199" i="2"/>
  <c r="AC1383" i="2"/>
  <c r="AC1495" i="2"/>
  <c r="AC635" i="2"/>
  <c r="AC1951" i="2"/>
  <c r="AC1821" i="2"/>
  <c r="AC1973" i="2"/>
  <c r="AC1445" i="2"/>
  <c r="AC1544" i="2"/>
  <c r="AC1812" i="2"/>
  <c r="AC248" i="2"/>
  <c r="AC452" i="2"/>
  <c r="AC1785" i="2"/>
  <c r="AC887" i="2"/>
  <c r="AC372" i="2"/>
  <c r="AC1195" i="2"/>
  <c r="AC1616" i="2"/>
  <c r="AC129" i="2"/>
  <c r="AC1498" i="2"/>
  <c r="AC52" i="2"/>
  <c r="F267" i="73"/>
  <c r="AC1499" i="2"/>
  <c r="AC1749" i="2"/>
  <c r="AC1546" i="2"/>
  <c r="AC843" i="2"/>
  <c r="AC884" i="2"/>
  <c r="AC1276" i="2"/>
  <c r="AC931" i="2"/>
  <c r="AC958" i="2"/>
  <c r="AC1279" i="2"/>
  <c r="AC1046" i="2"/>
  <c r="Z993" i="2"/>
  <c r="AE993" i="2"/>
  <c r="AE1011" i="2"/>
  <c r="E278" i="73"/>
  <c r="I278" i="73"/>
  <c r="J278" i="73"/>
  <c r="K278" i="73"/>
  <c r="K299" i="73"/>
  <c r="X1070" i="2"/>
  <c r="J107" i="5"/>
  <c r="E222" i="5"/>
  <c r="I222" i="5"/>
  <c r="J222" i="5"/>
  <c r="E31" i="5"/>
  <c r="I31" i="5"/>
  <c r="J31" i="5"/>
  <c r="E115" i="5"/>
  <c r="I115" i="5"/>
  <c r="K115" i="5"/>
  <c r="E242" i="5"/>
  <c r="I242" i="5"/>
  <c r="K242" i="5"/>
  <c r="E331" i="5"/>
  <c r="I331" i="5"/>
  <c r="K331" i="5"/>
  <c r="E209" i="5"/>
  <c r="I209" i="5"/>
  <c r="J209" i="5"/>
  <c r="E236" i="5"/>
  <c r="I236" i="5"/>
  <c r="J236" i="5"/>
  <c r="E140" i="5"/>
  <c r="I140" i="5"/>
  <c r="J140" i="5"/>
  <c r="E161" i="5"/>
  <c r="I161" i="5"/>
  <c r="K161" i="5"/>
  <c r="E311" i="5"/>
  <c r="I311" i="5"/>
  <c r="K311" i="5"/>
  <c r="E130" i="5"/>
  <c r="I130" i="5"/>
  <c r="K130" i="5"/>
  <c r="E184" i="5"/>
  <c r="I184" i="5"/>
  <c r="K184" i="5"/>
  <c r="E191" i="5"/>
  <c r="I191" i="5"/>
  <c r="J191" i="5"/>
  <c r="E37" i="5"/>
  <c r="I37" i="5"/>
  <c r="J37" i="5"/>
  <c r="E243" i="5"/>
  <c r="I243" i="5"/>
  <c r="K243" i="5"/>
  <c r="E150" i="5"/>
  <c r="I150" i="5"/>
  <c r="K150" i="5"/>
  <c r="E213" i="5"/>
  <c r="I213" i="5"/>
  <c r="K213" i="5"/>
  <c r="E194" i="5"/>
  <c r="I194" i="5"/>
  <c r="K194" i="5"/>
  <c r="E289" i="5"/>
  <c r="I289" i="5"/>
  <c r="K289" i="5"/>
  <c r="E111" i="5"/>
  <c r="I111" i="5"/>
  <c r="J111" i="5"/>
  <c r="E206" i="5"/>
  <c r="I206" i="5"/>
  <c r="K206" i="5"/>
  <c r="E85" i="5"/>
  <c r="I85" i="5"/>
  <c r="J85" i="5"/>
  <c r="E43" i="73"/>
  <c r="I43" i="73"/>
  <c r="J43" i="73"/>
  <c r="K43" i="73"/>
  <c r="E211" i="73"/>
  <c r="I211" i="73"/>
  <c r="J211" i="73"/>
  <c r="K211" i="73"/>
  <c r="E79" i="73"/>
  <c r="I79" i="73"/>
  <c r="J79" i="73"/>
  <c r="E26" i="5"/>
  <c r="I26" i="5"/>
  <c r="K26" i="5"/>
  <c r="E40" i="5"/>
  <c r="I40" i="5"/>
  <c r="J40" i="5"/>
  <c r="E38" i="5"/>
  <c r="I38" i="5"/>
  <c r="K38" i="5"/>
  <c r="E269" i="5"/>
  <c r="I269" i="5"/>
  <c r="J269" i="5"/>
  <c r="E62" i="5"/>
  <c r="I62" i="5"/>
  <c r="J62" i="5"/>
  <c r="E244" i="5"/>
  <c r="I244" i="5"/>
  <c r="K244" i="5"/>
  <c r="E271" i="5"/>
  <c r="I271" i="5"/>
  <c r="J271" i="5"/>
  <c r="E21" i="5"/>
  <c r="I21" i="5"/>
  <c r="J21" i="5"/>
  <c r="E73" i="5"/>
  <c r="I73" i="5"/>
  <c r="K73" i="5"/>
  <c r="E307" i="5"/>
  <c r="I307" i="5"/>
  <c r="J307" i="5"/>
  <c r="E177" i="5"/>
  <c r="I177" i="5"/>
  <c r="J177" i="5"/>
  <c r="E118" i="5"/>
  <c r="I118" i="5"/>
  <c r="K118" i="5"/>
  <c r="E171" i="5"/>
  <c r="I171" i="5"/>
  <c r="J171" i="5"/>
  <c r="E322" i="5"/>
  <c r="I322" i="5"/>
  <c r="K322" i="5"/>
  <c r="E112" i="5"/>
  <c r="I112" i="5"/>
  <c r="K112" i="5"/>
  <c r="E188" i="5"/>
  <c r="I188" i="5"/>
  <c r="J188" i="5"/>
  <c r="E54" i="5"/>
  <c r="I54" i="5"/>
  <c r="K54" i="5"/>
  <c r="E23" i="5"/>
  <c r="I23" i="5"/>
  <c r="J23" i="5"/>
  <c r="E30" i="5"/>
  <c r="I30" i="5"/>
  <c r="K30" i="5"/>
  <c r="E77" i="73"/>
  <c r="I77" i="73"/>
  <c r="J77" i="73"/>
  <c r="K77" i="73"/>
  <c r="E221" i="5"/>
  <c r="I221" i="5"/>
  <c r="J221" i="5"/>
  <c r="E81" i="73"/>
  <c r="I81" i="73"/>
  <c r="J81" i="73"/>
  <c r="K81" i="73"/>
  <c r="E259" i="73"/>
  <c r="I259" i="73"/>
  <c r="J259" i="73"/>
  <c r="K259" i="73"/>
  <c r="E224" i="5"/>
  <c r="I224" i="5"/>
  <c r="J224" i="5"/>
  <c r="E42" i="5"/>
  <c r="I42" i="5"/>
  <c r="K42" i="5"/>
  <c r="E195" i="5"/>
  <c r="I195" i="5"/>
  <c r="K195" i="5"/>
  <c r="E288" i="5"/>
  <c r="I288" i="5"/>
  <c r="K288" i="5"/>
  <c r="E15" i="5"/>
  <c r="I15" i="5"/>
  <c r="K15" i="5"/>
  <c r="E24" i="5"/>
  <c r="I24" i="5"/>
  <c r="K24" i="5"/>
  <c r="E117" i="5"/>
  <c r="I117" i="5"/>
  <c r="J117" i="5"/>
  <c r="E153" i="5"/>
  <c r="I153" i="5"/>
  <c r="J153" i="5"/>
  <c r="E227" i="5"/>
  <c r="I227" i="5"/>
  <c r="J227" i="5"/>
  <c r="E156" i="5"/>
  <c r="I156" i="5"/>
  <c r="J156" i="5"/>
  <c r="E267" i="5"/>
  <c r="I267" i="5"/>
  <c r="J267" i="5"/>
  <c r="E235" i="5"/>
  <c r="I235" i="5"/>
  <c r="J235" i="5"/>
  <c r="E56" i="5"/>
  <c r="I56" i="5"/>
  <c r="K56" i="5"/>
  <c r="E149" i="5"/>
  <c r="I149" i="5"/>
  <c r="J149" i="5"/>
  <c r="E312" i="5"/>
  <c r="I312" i="5"/>
  <c r="K312" i="5"/>
  <c r="X1067" i="2"/>
  <c r="Z1067" i="2"/>
  <c r="AE1067" i="2"/>
  <c r="E254" i="73"/>
  <c r="I254" i="73"/>
  <c r="J254" i="73"/>
  <c r="K254" i="73"/>
  <c r="X1029" i="2"/>
  <c r="Z1029" i="2"/>
  <c r="AC1029" i="2"/>
  <c r="E94" i="5"/>
  <c r="I94" i="5"/>
  <c r="K94" i="5"/>
  <c r="E179" i="5"/>
  <c r="I179" i="5"/>
  <c r="K179" i="5"/>
  <c r="E123" i="5"/>
  <c r="I123" i="5"/>
  <c r="J123" i="5"/>
  <c r="E181" i="5"/>
  <c r="I181" i="5"/>
  <c r="K181" i="5"/>
  <c r="E10" i="5"/>
  <c r="I10" i="5"/>
  <c r="K10" i="5"/>
  <c r="E309" i="5"/>
  <c r="I309" i="5"/>
  <c r="J309" i="5"/>
  <c r="E253" i="73"/>
  <c r="I253" i="73"/>
  <c r="J253" i="73"/>
  <c r="K253" i="73"/>
  <c r="X991" i="2"/>
  <c r="Z991" i="2"/>
  <c r="B159" i="65"/>
  <c r="C159" i="65"/>
  <c r="E178" i="5"/>
  <c r="I178" i="5"/>
  <c r="J178" i="5"/>
  <c r="E33" i="5"/>
  <c r="I33" i="5"/>
  <c r="K33" i="5"/>
  <c r="E253" i="5"/>
  <c r="I253" i="5"/>
  <c r="K253" i="5"/>
  <c r="E129" i="5"/>
  <c r="I129" i="5"/>
  <c r="K129" i="5"/>
  <c r="E13" i="5"/>
  <c r="I13" i="5"/>
  <c r="K13" i="5"/>
  <c r="E283" i="5"/>
  <c r="I283" i="5"/>
  <c r="J283" i="5"/>
  <c r="E82" i="5"/>
  <c r="I82" i="5"/>
  <c r="J82" i="5"/>
  <c r="E63" i="73"/>
  <c r="I63" i="73"/>
  <c r="J63" i="73"/>
  <c r="E95" i="5"/>
  <c r="I95" i="5"/>
  <c r="K95" i="5"/>
  <c r="E206" i="73"/>
  <c r="I206" i="73"/>
  <c r="J206" i="73"/>
  <c r="K206" i="73"/>
  <c r="E45" i="5"/>
  <c r="I45" i="5"/>
  <c r="J45" i="5"/>
  <c r="E241" i="73"/>
  <c r="I241" i="73"/>
  <c r="J241" i="73"/>
  <c r="K241" i="73"/>
  <c r="E131" i="5"/>
  <c r="I131" i="5"/>
  <c r="J131" i="5"/>
  <c r="E232" i="5"/>
  <c r="I232" i="5"/>
  <c r="K232" i="5"/>
  <c r="E323" i="5"/>
  <c r="I323" i="5"/>
  <c r="J323" i="5"/>
  <c r="E217" i="73"/>
  <c r="I217" i="73"/>
  <c r="J217" i="73"/>
  <c r="K217" i="73"/>
  <c r="E86" i="5"/>
  <c r="I86" i="5"/>
  <c r="K86" i="5"/>
  <c r="E43" i="5"/>
  <c r="I43" i="5"/>
  <c r="K43" i="5"/>
  <c r="E228" i="5"/>
  <c r="I228" i="5"/>
  <c r="K228" i="5"/>
  <c r="E163" i="5"/>
  <c r="I163" i="5"/>
  <c r="K163" i="5"/>
  <c r="E142" i="5"/>
  <c r="I142" i="5"/>
  <c r="K142" i="5"/>
  <c r="E70" i="5"/>
  <c r="I70" i="5"/>
  <c r="J70" i="5"/>
  <c r="R1135" i="2"/>
  <c r="R1136" i="2"/>
  <c r="R1137" i="2"/>
  <c r="X1137" i="2"/>
  <c r="E275" i="5"/>
  <c r="I275" i="5"/>
  <c r="K275" i="5"/>
  <c r="E35" i="5"/>
  <c r="I35" i="5"/>
  <c r="J35" i="5"/>
  <c r="E98" i="5"/>
  <c r="I98" i="5"/>
  <c r="J98" i="5"/>
  <c r="E79" i="5"/>
  <c r="I79" i="5"/>
  <c r="K79" i="5"/>
  <c r="E208" i="5"/>
  <c r="I208" i="5"/>
  <c r="K208" i="5"/>
  <c r="E121" i="5"/>
  <c r="I121" i="5"/>
  <c r="J121" i="5"/>
  <c r="E210" i="5"/>
  <c r="I210" i="5"/>
  <c r="K210" i="5"/>
  <c r="E268" i="73"/>
  <c r="I268" i="73"/>
  <c r="J268" i="73"/>
  <c r="K268" i="73"/>
  <c r="R993" i="2"/>
  <c r="X993" i="2"/>
  <c r="E196" i="5"/>
  <c r="I196" i="5"/>
  <c r="W1108" i="2"/>
  <c r="Y1108" i="2"/>
  <c r="Y1107" i="2"/>
  <c r="E283" i="73"/>
  <c r="I283" i="73"/>
  <c r="J283" i="73"/>
  <c r="K283" i="73"/>
  <c r="E54" i="73"/>
  <c r="I54" i="73"/>
  <c r="J54" i="73"/>
  <c r="K54" i="73"/>
  <c r="E223" i="5"/>
  <c r="I223" i="5"/>
  <c r="K223" i="5"/>
  <c r="E212" i="5"/>
  <c r="I212" i="5"/>
  <c r="J212" i="5"/>
  <c r="E49" i="73"/>
  <c r="I49" i="73"/>
  <c r="J49" i="73"/>
  <c r="K49" i="73"/>
  <c r="E74" i="5"/>
  <c r="I74" i="5"/>
  <c r="K74" i="5"/>
  <c r="E241" i="5"/>
  <c r="I241" i="5"/>
  <c r="J241" i="5"/>
  <c r="E9" i="73"/>
  <c r="I9" i="73"/>
  <c r="J9" i="73"/>
  <c r="K9" i="73"/>
  <c r="E133" i="5"/>
  <c r="I133" i="5"/>
  <c r="K133" i="5"/>
  <c r="E36" i="5"/>
  <c r="I36" i="5"/>
  <c r="J36" i="5"/>
  <c r="E155" i="73"/>
  <c r="I155" i="73"/>
  <c r="J155" i="73"/>
  <c r="E141" i="73"/>
  <c r="I141" i="73"/>
  <c r="J141" i="73"/>
  <c r="E122" i="73"/>
  <c r="I122" i="73"/>
  <c r="J122" i="73"/>
  <c r="K122" i="73"/>
  <c r="Z1080" i="2"/>
  <c r="AC1080" i="2"/>
  <c r="E149" i="73"/>
  <c r="I149" i="73"/>
  <c r="J149" i="73"/>
  <c r="K149" i="73"/>
  <c r="Z1119" i="2"/>
  <c r="K196" i="5"/>
  <c r="E291" i="5"/>
  <c r="I291" i="5"/>
  <c r="J291" i="5"/>
  <c r="E259" i="5"/>
  <c r="I259" i="5"/>
  <c r="J259" i="5"/>
  <c r="E190" i="5"/>
  <c r="I190" i="5"/>
  <c r="K190" i="5"/>
  <c r="E260" i="5"/>
  <c r="I260" i="5"/>
  <c r="J260" i="5"/>
  <c r="E89" i="5"/>
  <c r="I89" i="5"/>
  <c r="J89" i="5"/>
  <c r="E139" i="5"/>
  <c r="I139" i="5"/>
  <c r="K139" i="5"/>
  <c r="E114" i="5"/>
  <c r="I114" i="5"/>
  <c r="J114" i="5"/>
  <c r="E216" i="5"/>
  <c r="I216" i="5"/>
  <c r="K216" i="5"/>
  <c r="E168" i="5"/>
  <c r="I168" i="5"/>
  <c r="J168" i="5"/>
  <c r="E155" i="5"/>
  <c r="I155" i="5"/>
  <c r="J155" i="5"/>
  <c r="E192" i="5"/>
  <c r="I192" i="5"/>
  <c r="J192" i="5"/>
  <c r="E78" i="5"/>
  <c r="I78" i="5"/>
  <c r="J78" i="5"/>
  <c r="E332" i="5"/>
  <c r="I332" i="5"/>
  <c r="J332" i="5"/>
  <c r="E80" i="5"/>
  <c r="I80" i="5"/>
  <c r="J80" i="5"/>
  <c r="E220" i="5"/>
  <c r="I220" i="5"/>
  <c r="J220" i="5"/>
  <c r="E73" i="73"/>
  <c r="I73" i="73"/>
  <c r="J73" i="73"/>
  <c r="E53" i="73"/>
  <c r="I53" i="73"/>
  <c r="J53" i="73"/>
  <c r="E23" i="73"/>
  <c r="I23" i="73"/>
  <c r="J23" i="73"/>
  <c r="K23" i="73"/>
  <c r="E29" i="5"/>
  <c r="I29" i="5"/>
  <c r="J29" i="5"/>
  <c r="E343" i="5"/>
  <c r="I343" i="5"/>
  <c r="J343" i="5"/>
  <c r="E99" i="5"/>
  <c r="I99" i="5"/>
  <c r="J99" i="5"/>
  <c r="E186" i="5"/>
  <c r="I186" i="5"/>
  <c r="J186" i="5"/>
  <c r="E119" i="73"/>
  <c r="I119" i="73"/>
  <c r="J119" i="73"/>
  <c r="K119" i="73"/>
  <c r="E17" i="73"/>
  <c r="I17" i="73"/>
  <c r="J17" i="73"/>
  <c r="K17" i="73"/>
  <c r="E200" i="5"/>
  <c r="I200" i="5"/>
  <c r="K200" i="5"/>
  <c r="E257" i="5"/>
  <c r="I257" i="5"/>
  <c r="K257" i="5"/>
  <c r="E164" i="5"/>
  <c r="I164" i="5"/>
  <c r="K164" i="5"/>
  <c r="E185" i="5"/>
  <c r="I185" i="5"/>
  <c r="J185" i="5"/>
  <c r="E333" i="5"/>
  <c r="I333" i="5"/>
  <c r="J333" i="5"/>
  <c r="E245" i="5"/>
  <c r="E47" i="5"/>
  <c r="I47" i="5"/>
  <c r="K47" i="5"/>
  <c r="J47" i="5"/>
  <c r="E300" i="5"/>
  <c r="I300" i="5"/>
  <c r="E337" i="5"/>
  <c r="I337" i="5"/>
  <c r="J337" i="5"/>
  <c r="E258" i="5"/>
  <c r="I258" i="5"/>
  <c r="J72" i="5"/>
  <c r="E180" i="73"/>
  <c r="I180" i="73"/>
  <c r="E66" i="73"/>
  <c r="I66" i="73"/>
  <c r="E50" i="73"/>
  <c r="I50" i="73"/>
  <c r="J50" i="73"/>
  <c r="E39" i="73"/>
  <c r="I39" i="73"/>
  <c r="J39" i="73"/>
  <c r="E123" i="73"/>
  <c r="I123" i="73"/>
  <c r="J123" i="73"/>
  <c r="G24" i="68"/>
  <c r="E281" i="73"/>
  <c r="I281" i="73"/>
  <c r="J281" i="73"/>
  <c r="K281" i="73"/>
  <c r="K302" i="73"/>
  <c r="E292" i="5"/>
  <c r="I292" i="5"/>
  <c r="K292" i="5"/>
  <c r="E277" i="73"/>
  <c r="I277" i="73"/>
  <c r="J277" i="73"/>
  <c r="K277" i="73"/>
  <c r="E199" i="5"/>
  <c r="I199" i="5"/>
  <c r="K199" i="5"/>
  <c r="E270" i="73"/>
  <c r="I270" i="73"/>
  <c r="J270" i="73"/>
  <c r="K270" i="73"/>
  <c r="E82" i="73"/>
  <c r="I82" i="73"/>
  <c r="J82" i="73"/>
  <c r="E308" i="5"/>
  <c r="I308" i="5"/>
  <c r="E321" i="5"/>
  <c r="I321" i="5"/>
  <c r="E271" i="73"/>
  <c r="I271" i="73"/>
  <c r="J271" i="73"/>
  <c r="E264" i="5"/>
  <c r="I264" i="5"/>
  <c r="J11" i="5"/>
  <c r="E215" i="5"/>
  <c r="I215" i="5"/>
  <c r="E87" i="5"/>
  <c r="I87" i="5"/>
  <c r="J87" i="5"/>
  <c r="E162" i="5"/>
  <c r="I162" i="5"/>
  <c r="I231" i="5"/>
  <c r="F99" i="73"/>
  <c r="J211" i="5"/>
  <c r="E22" i="73"/>
  <c r="I249" i="73"/>
  <c r="E167" i="73"/>
  <c r="I167" i="73"/>
  <c r="J167" i="73"/>
  <c r="I114" i="73"/>
  <c r="E198" i="73"/>
  <c r="I198" i="73"/>
  <c r="J198" i="73"/>
  <c r="E89" i="73"/>
  <c r="I89" i="73"/>
  <c r="J89" i="73"/>
  <c r="E80" i="73"/>
  <c r="I80" i="73"/>
  <c r="J80" i="73"/>
  <c r="K80" i="73"/>
  <c r="E2" i="65" a="1"/>
  <c r="J94" i="73"/>
  <c r="E208" i="73"/>
  <c r="I208" i="73"/>
  <c r="J208" i="73"/>
  <c r="K208" i="73"/>
  <c r="Z1083" i="2"/>
  <c r="E159" i="73"/>
  <c r="I159" i="73"/>
  <c r="E274" i="73"/>
  <c r="I274" i="73"/>
  <c r="J274" i="73"/>
  <c r="K274" i="73"/>
  <c r="K295" i="73"/>
  <c r="E11" i="73"/>
  <c r="I11" i="73"/>
  <c r="J11" i="73"/>
  <c r="K11" i="73"/>
  <c r="E246" i="73"/>
  <c r="I246" i="73"/>
  <c r="J246" i="73"/>
  <c r="K246" i="73"/>
  <c r="E166" i="5"/>
  <c r="I166" i="5"/>
  <c r="E239" i="73"/>
  <c r="I239" i="73"/>
  <c r="J239" i="73"/>
  <c r="E102" i="73"/>
  <c r="I102" i="73"/>
  <c r="J102" i="73"/>
  <c r="AC1096" i="2"/>
  <c r="Z1070" i="2"/>
  <c r="X1071" i="2"/>
  <c r="E75" i="73"/>
  <c r="E83" i="5"/>
  <c r="E150" i="73"/>
  <c r="E152" i="5"/>
  <c r="E329" i="5"/>
  <c r="I325" i="5"/>
  <c r="E318" i="5"/>
  <c r="H204" i="73"/>
  <c r="H55" i="73"/>
  <c r="B14" i="73"/>
  <c r="I198" i="5"/>
  <c r="E138" i="5"/>
  <c r="I138" i="5"/>
  <c r="J138" i="5"/>
  <c r="I170" i="5"/>
  <c r="E128" i="5"/>
  <c r="I128" i="5"/>
  <c r="K128" i="5"/>
  <c r="I81" i="5"/>
  <c r="E116" i="5"/>
  <c r="I116" i="5"/>
  <c r="K116" i="5"/>
  <c r="I318" i="5"/>
  <c r="K318" i="5"/>
  <c r="AC190" i="2"/>
  <c r="AC688" i="2"/>
  <c r="AC1977" i="2"/>
  <c r="AC2009" i="2"/>
  <c r="AC914" i="2"/>
  <c r="AC1497" i="2"/>
  <c r="AC896" i="2"/>
  <c r="AC1867" i="2"/>
  <c r="AC694" i="2"/>
  <c r="AC1443" i="2"/>
  <c r="AC1401" i="2"/>
  <c r="AC682" i="2"/>
  <c r="AC257" i="2"/>
  <c r="AC1764" i="2"/>
  <c r="AC1138" i="2"/>
  <c r="AC1079" i="2"/>
  <c r="AC1930" i="2"/>
  <c r="AC1646" i="2"/>
  <c r="AC1688" i="2"/>
  <c r="AC1482" i="2"/>
  <c r="AC1612" i="2"/>
  <c r="AC2041" i="2"/>
  <c r="AC840" i="2"/>
  <c r="AC2072" i="2"/>
  <c r="G6" i="76"/>
  <c r="H6" i="76"/>
  <c r="K101" i="5"/>
  <c r="AC1050" i="2"/>
  <c r="AC2145" i="2"/>
  <c r="W1011" i="2"/>
  <c r="Y1011" i="2"/>
  <c r="Y1010" i="2"/>
  <c r="AC1431" i="2"/>
  <c r="AC115" i="2"/>
  <c r="AC732" i="2"/>
  <c r="AC959" i="2"/>
  <c r="AC801" i="2"/>
  <c r="AC951" i="2"/>
  <c r="AC1201" i="2"/>
  <c r="AC357" i="2"/>
  <c r="AC651" i="2"/>
  <c r="AC1969" i="2"/>
  <c r="AC1313" i="2"/>
  <c r="AC1884" i="2"/>
  <c r="AC2028" i="2"/>
  <c r="AC1971" i="2"/>
  <c r="AC1213" i="2"/>
  <c r="AC2066" i="2"/>
  <c r="AC1580" i="2"/>
  <c r="AC1450" i="2"/>
  <c r="AC310" i="2"/>
  <c r="AC97" i="2"/>
  <c r="AC1996" i="2"/>
  <c r="AC1767" i="2"/>
  <c r="J61" i="5"/>
  <c r="D42" i="70"/>
  <c r="D34" i="70"/>
  <c r="J303" i="5"/>
  <c r="K327" i="5"/>
  <c r="I209" i="73"/>
  <c r="J209" i="73"/>
  <c r="K209" i="73"/>
  <c r="K74" i="73"/>
  <c r="K192" i="73"/>
  <c r="E171" i="73"/>
  <c r="I132" i="73"/>
  <c r="AC1081" i="2"/>
  <c r="AC1828" i="2"/>
  <c r="AC1454" i="2"/>
  <c r="AC265" i="2"/>
  <c r="AC221" i="2"/>
  <c r="AC369" i="2"/>
  <c r="AC422" i="2"/>
  <c r="AC395" i="2"/>
  <c r="AC1744" i="2"/>
  <c r="H271" i="73"/>
  <c r="D36" i="73"/>
  <c r="D60" i="73"/>
  <c r="F278" i="73"/>
  <c r="G125" i="73"/>
  <c r="D12" i="70"/>
  <c r="D16" i="70"/>
  <c r="D15" i="70"/>
  <c r="D5" i="70"/>
  <c r="D3" i="70"/>
  <c r="E121" i="73"/>
  <c r="I121" i="73"/>
  <c r="J121" i="73"/>
  <c r="K121" i="73"/>
  <c r="E20" i="73"/>
  <c r="I20" i="73"/>
  <c r="J20" i="73"/>
  <c r="K20" i="73"/>
  <c r="E152" i="73"/>
  <c r="I152" i="73"/>
  <c r="J152" i="73"/>
  <c r="K152" i="73"/>
  <c r="I41" i="73"/>
  <c r="J41" i="73"/>
  <c r="K41" i="73"/>
  <c r="E136" i="73"/>
  <c r="I136" i="73"/>
  <c r="J136" i="73"/>
  <c r="K230" i="5"/>
  <c r="E62" i="73"/>
  <c r="I202" i="73"/>
  <c r="E234" i="73"/>
  <c r="K105" i="73"/>
  <c r="K225" i="73"/>
  <c r="D26" i="70"/>
  <c r="U1121" i="2"/>
  <c r="E38" i="73"/>
  <c r="K234" i="5"/>
  <c r="E200" i="73"/>
  <c r="I200" i="73"/>
  <c r="J200" i="73"/>
  <c r="K310" i="5"/>
  <c r="K219" i="5"/>
  <c r="I183" i="73"/>
  <c r="J76" i="5"/>
  <c r="J125" i="5"/>
  <c r="E71" i="73"/>
  <c r="K95" i="73"/>
  <c r="J296" i="5"/>
  <c r="K186" i="73"/>
  <c r="K16" i="5"/>
  <c r="J344" i="5"/>
  <c r="K32" i="5"/>
  <c r="J102" i="5"/>
  <c r="K320" i="5"/>
  <c r="D25" i="70"/>
  <c r="J71" i="5"/>
  <c r="J162" i="5"/>
  <c r="AC800" i="2"/>
  <c r="AC1601" i="2"/>
  <c r="AC1308" i="2"/>
  <c r="AC414" i="2"/>
  <c r="AC180" i="2"/>
  <c r="AC741" i="2"/>
  <c r="B29" i="73"/>
  <c r="D107" i="73"/>
  <c r="C21" i="68"/>
  <c r="X1123" i="2"/>
  <c r="W1049" i="2"/>
  <c r="AC478" i="2"/>
  <c r="AC1741" i="2"/>
  <c r="AC141" i="2"/>
  <c r="AC1467" i="2"/>
  <c r="AC1176" i="2"/>
  <c r="AC472" i="2"/>
  <c r="AC531" i="2"/>
  <c r="AC1319" i="2"/>
  <c r="AC936" i="2"/>
  <c r="AC1518" i="2"/>
  <c r="AC1641" i="2"/>
  <c r="AC828" i="2"/>
  <c r="AC222" i="2"/>
  <c r="AC970" i="2"/>
  <c r="AC1241" i="2"/>
  <c r="E116" i="73"/>
  <c r="K40" i="5"/>
  <c r="K21" i="5"/>
  <c r="K177" i="5"/>
  <c r="J112" i="5"/>
  <c r="K224" i="5"/>
  <c r="K227" i="5"/>
  <c r="J56" i="5"/>
  <c r="AE1029" i="2"/>
  <c r="E139" i="73"/>
  <c r="J181" i="5"/>
  <c r="E265" i="73"/>
  <c r="K82" i="5"/>
  <c r="J86" i="5"/>
  <c r="K35" i="5"/>
  <c r="E177" i="73"/>
  <c r="K141" i="73"/>
  <c r="AC1567" i="2"/>
  <c r="AC1992" i="2"/>
  <c r="AC1935" i="2"/>
  <c r="AC419" i="2"/>
  <c r="AC1535" i="2"/>
  <c r="AC701" i="2"/>
  <c r="AC382" i="2"/>
  <c r="AC165" i="2"/>
  <c r="AC900" i="2"/>
  <c r="AC823" i="2"/>
  <c r="AC1871" i="2"/>
  <c r="AC1705" i="2"/>
  <c r="AC51" i="2"/>
  <c r="AC1602" i="2"/>
  <c r="AC1426" i="2"/>
  <c r="AC696" i="2"/>
  <c r="AC893" i="2"/>
  <c r="AC360" i="2"/>
  <c r="AC963" i="2"/>
  <c r="AC2080" i="2"/>
  <c r="D270" i="73"/>
  <c r="H192" i="73"/>
  <c r="B184" i="73"/>
  <c r="AC895" i="2"/>
  <c r="AC533" i="2"/>
  <c r="AC1370" i="2"/>
  <c r="AC292" i="2"/>
  <c r="AC139" i="2"/>
  <c r="AC1693" i="2"/>
  <c r="AC269" i="2"/>
  <c r="AC634" i="2"/>
  <c r="AC815" i="2"/>
  <c r="AC1478" i="2"/>
  <c r="I245" i="5"/>
  <c r="J245" i="5"/>
  <c r="E65" i="5"/>
  <c r="I65" i="5"/>
  <c r="J65" i="5"/>
  <c r="E255" i="5"/>
  <c r="I255" i="5"/>
  <c r="J255" i="5"/>
  <c r="E173" i="5"/>
  <c r="I173" i="5"/>
  <c r="J173" i="5"/>
  <c r="J290" i="5"/>
  <c r="E108" i="5"/>
  <c r="I108" i="5"/>
  <c r="J47" i="73"/>
  <c r="E66" i="5"/>
  <c r="I66" i="5"/>
  <c r="K55" i="5"/>
  <c r="J55" i="5"/>
  <c r="E50" i="5"/>
  <c r="I50" i="5"/>
  <c r="J336" i="5"/>
  <c r="K336" i="5"/>
  <c r="E109" i="5"/>
  <c r="I109" i="5"/>
  <c r="J109" i="5"/>
  <c r="J228" i="73"/>
  <c r="E175" i="5"/>
  <c r="I175" i="5"/>
  <c r="E104" i="5"/>
  <c r="I104" i="5"/>
  <c r="E101" i="73"/>
  <c r="I101" i="73"/>
  <c r="J101" i="73"/>
  <c r="E202" i="5"/>
  <c r="I202" i="5"/>
  <c r="Z1049" i="2"/>
  <c r="AE1049" i="2"/>
  <c r="AC1049" i="2"/>
  <c r="E239" i="5"/>
  <c r="I239" i="5"/>
  <c r="J239" i="5"/>
  <c r="E345" i="5"/>
  <c r="I345" i="5"/>
  <c r="K161" i="73"/>
  <c r="AC171" i="2"/>
  <c r="E151" i="73"/>
  <c r="I151" i="73"/>
  <c r="J151" i="73"/>
  <c r="K151" i="73"/>
  <c r="Z1122" i="2"/>
  <c r="AC1122" i="2"/>
  <c r="E189" i="5"/>
  <c r="I189" i="5"/>
  <c r="J189" i="5"/>
  <c r="E92" i="5"/>
  <c r="I92" i="5"/>
  <c r="K92" i="5"/>
  <c r="E175" i="73"/>
  <c r="I175" i="73"/>
  <c r="J175" i="73"/>
  <c r="K175" i="73"/>
  <c r="E304" i="5"/>
  <c r="I304" i="5"/>
  <c r="J304" i="5"/>
  <c r="W1030" i="2"/>
  <c r="I6" i="73"/>
  <c r="J6" i="73"/>
  <c r="K6" i="73"/>
  <c r="E213" i="73"/>
  <c r="I213" i="73"/>
  <c r="J213" i="73"/>
  <c r="K213" i="73"/>
  <c r="R1032" i="2"/>
  <c r="E160" i="5"/>
  <c r="I160" i="5"/>
  <c r="K160" i="5"/>
  <c r="W1134" i="2"/>
  <c r="Y1134" i="2"/>
  <c r="Y1133" i="2"/>
  <c r="E13" i="73"/>
  <c r="I13" i="73"/>
  <c r="J13" i="73"/>
  <c r="K13" i="73"/>
  <c r="J48" i="5"/>
  <c r="E280" i="5"/>
  <c r="I280" i="5"/>
  <c r="E250" i="5"/>
  <c r="I250" i="5"/>
  <c r="K328" i="5"/>
  <c r="K180" i="5"/>
  <c r="E40" i="73"/>
  <c r="I40" i="73"/>
  <c r="J40" i="73"/>
  <c r="J113" i="5"/>
  <c r="E313" i="5"/>
  <c r="I313" i="5"/>
  <c r="J313" i="5"/>
  <c r="E203" i="5"/>
  <c r="I203" i="5"/>
  <c r="J203" i="5"/>
  <c r="E330" i="5"/>
  <c r="I330" i="5"/>
  <c r="J330" i="5"/>
  <c r="E106" i="5"/>
  <c r="I106" i="5"/>
  <c r="J106" i="5"/>
  <c r="E58" i="5"/>
  <c r="I58" i="5"/>
  <c r="J58" i="5"/>
  <c r="E273" i="5"/>
  <c r="I273" i="5"/>
  <c r="K273" i="5"/>
  <c r="E158" i="5"/>
  <c r="I158" i="5"/>
  <c r="J158" i="5"/>
  <c r="Z1066" i="2"/>
  <c r="E244" i="73"/>
  <c r="I244" i="73"/>
  <c r="J244" i="73"/>
  <c r="K244" i="73"/>
  <c r="E221" i="73"/>
  <c r="I221" i="73"/>
  <c r="J221" i="73"/>
  <c r="E68" i="73"/>
  <c r="I68" i="73"/>
  <c r="J68" i="73"/>
  <c r="W1095" i="2"/>
  <c r="Z1030" i="2"/>
  <c r="AC1030" i="2"/>
  <c r="E34" i="5"/>
  <c r="I34" i="5"/>
  <c r="K34" i="5"/>
  <c r="E341" i="5"/>
  <c r="I341" i="5"/>
  <c r="J341" i="5"/>
  <c r="Z1047" i="2"/>
  <c r="E147" i="73"/>
  <c r="I147" i="73"/>
  <c r="J147" i="73"/>
  <c r="K147" i="73"/>
  <c r="W1068" i="2"/>
  <c r="Y1068" i="2"/>
  <c r="Y1067" i="2"/>
  <c r="E90" i="73"/>
  <c r="I90" i="73"/>
  <c r="J90" i="73"/>
  <c r="K90" i="73"/>
  <c r="E55" i="73"/>
  <c r="I55" i="73"/>
  <c r="J55" i="73"/>
  <c r="Y1030" i="2"/>
  <c r="Y1029" i="2"/>
  <c r="E268" i="5"/>
  <c r="I268" i="5"/>
  <c r="E218" i="5"/>
  <c r="I218" i="5"/>
  <c r="K218" i="5"/>
  <c r="J218" i="5"/>
  <c r="I24" i="68"/>
  <c r="E93" i="5"/>
  <c r="I93" i="5"/>
  <c r="F183" i="73"/>
  <c r="H159" i="73"/>
  <c r="G134" i="73"/>
  <c r="F253" i="73"/>
  <c r="Z1028" i="2"/>
  <c r="AC1028" i="2"/>
  <c r="E88" i="73"/>
  <c r="I88" i="73"/>
  <c r="E243" i="73"/>
  <c r="I243" i="73"/>
  <c r="J243" i="73"/>
  <c r="E238" i="73"/>
  <c r="I238" i="73"/>
  <c r="J238" i="73"/>
  <c r="E103" i="73"/>
  <c r="I103" i="73"/>
  <c r="J103" i="73"/>
  <c r="K103" i="73"/>
  <c r="E45" i="73"/>
  <c r="I45" i="73"/>
  <c r="J45" i="73"/>
  <c r="K45" i="73"/>
  <c r="E58" i="73"/>
  <c r="I58" i="73"/>
  <c r="J58" i="73"/>
  <c r="K58" i="73"/>
  <c r="C23" i="68"/>
  <c r="D23" i="68"/>
  <c r="E247" i="73"/>
  <c r="I247" i="73"/>
  <c r="J247" i="73"/>
  <c r="K247" i="73"/>
  <c r="C27" i="68"/>
  <c r="E260" i="73"/>
  <c r="I260" i="73"/>
  <c r="J260" i="73"/>
  <c r="E224" i="73"/>
  <c r="I224" i="73"/>
  <c r="E12" i="5"/>
  <c r="I12" i="5"/>
  <c r="E223" i="73"/>
  <c r="I223" i="73"/>
  <c r="J223" i="73"/>
  <c r="K223" i="73"/>
  <c r="E214" i="73"/>
  <c r="I214" i="73"/>
  <c r="J214" i="73"/>
  <c r="K214" i="73"/>
  <c r="E125" i="73"/>
  <c r="I125" i="73"/>
  <c r="J125" i="73"/>
  <c r="K125" i="73"/>
  <c r="E269" i="73"/>
  <c r="I269" i="73"/>
  <c r="J269" i="73"/>
  <c r="E264" i="73"/>
  <c r="I264" i="73"/>
  <c r="J264" i="73"/>
  <c r="Z1012" i="2"/>
  <c r="J174" i="5"/>
  <c r="E57" i="5"/>
  <c r="I57" i="5"/>
  <c r="E236" i="73"/>
  <c r="I236" i="73"/>
  <c r="J236" i="73"/>
  <c r="Z2144" i="2"/>
  <c r="Y1121" i="2"/>
  <c r="Y1120" i="2"/>
  <c r="X1048" i="2"/>
  <c r="J300" i="5"/>
  <c r="K258" i="5"/>
  <c r="K201" i="5"/>
  <c r="J180" i="73"/>
  <c r="E225" i="5"/>
  <c r="I225" i="5"/>
  <c r="J66" i="73"/>
  <c r="K66" i="73"/>
  <c r="E316" i="5"/>
  <c r="I316" i="5"/>
  <c r="E127" i="5"/>
  <c r="I127" i="5"/>
  <c r="J127" i="5"/>
  <c r="E145" i="5"/>
  <c r="I145" i="5"/>
  <c r="E69" i="5"/>
  <c r="I69" i="5"/>
  <c r="J69" i="5"/>
  <c r="K69" i="5"/>
  <c r="K174" i="73"/>
  <c r="E107" i="73"/>
  <c r="I107" i="73"/>
  <c r="J107" i="73"/>
  <c r="E64" i="73"/>
  <c r="I64" i="73"/>
  <c r="J64" i="73"/>
  <c r="K64" i="73"/>
  <c r="J154" i="5"/>
  <c r="C25" i="68"/>
  <c r="J272" i="5"/>
  <c r="K49" i="5"/>
  <c r="J293" i="5"/>
  <c r="K122" i="5"/>
  <c r="I75" i="73"/>
  <c r="J75" i="73"/>
  <c r="J199" i="5"/>
  <c r="I83" i="5"/>
  <c r="I150" i="73"/>
  <c r="I152" i="5"/>
  <c r="J152" i="5"/>
  <c r="E182" i="5"/>
  <c r="E226" i="5"/>
  <c r="E315" i="5"/>
  <c r="E302" i="5"/>
  <c r="I302" i="5"/>
  <c r="K302" i="5"/>
  <c r="J321" i="5"/>
  <c r="K271" i="73"/>
  <c r="E197" i="5"/>
  <c r="I197" i="5"/>
  <c r="K197" i="5"/>
  <c r="E249" i="5"/>
  <c r="J318" i="5"/>
  <c r="D23" i="73"/>
  <c r="D169" i="73"/>
  <c r="B23" i="73"/>
  <c r="Z990" i="2"/>
  <c r="AC1830" i="2"/>
  <c r="AC1387" i="2"/>
  <c r="AC166" i="2"/>
  <c r="AC453" i="2"/>
  <c r="AC1563" i="2"/>
  <c r="AC1501" i="2"/>
  <c r="AC666" i="2"/>
  <c r="AC332" i="2"/>
  <c r="AC1680" i="2"/>
  <c r="AC1299" i="2"/>
  <c r="AC1627" i="2"/>
  <c r="AC16" i="2"/>
  <c r="AC1475" i="2"/>
  <c r="AC1844" i="2"/>
  <c r="AC2000" i="2"/>
  <c r="AC385" i="2"/>
  <c r="AC1398" i="2"/>
  <c r="AC1690" i="2"/>
  <c r="AC1136" i="2"/>
  <c r="AC2050" i="2"/>
  <c r="AC410" i="2"/>
  <c r="AC1569" i="2"/>
  <c r="K167" i="73"/>
  <c r="J114" i="73"/>
  <c r="K114" i="73"/>
  <c r="AE1028" i="2"/>
  <c r="J88" i="73"/>
  <c r="K88" i="73"/>
  <c r="K243" i="73"/>
  <c r="K238" i="73"/>
  <c r="D27" i="68"/>
  <c r="K260" i="73"/>
  <c r="J224" i="73"/>
  <c r="K224" i="73"/>
  <c r="J12" i="5"/>
  <c r="K264" i="73"/>
  <c r="AE1047" i="2"/>
  <c r="K19" i="5"/>
  <c r="K94" i="73"/>
  <c r="AC1083" i="2"/>
  <c r="AE1083" i="2"/>
  <c r="C20" i="68"/>
  <c r="E153" i="73"/>
  <c r="I153" i="73"/>
  <c r="J153" i="73"/>
  <c r="K204" i="73"/>
  <c r="D19" i="68"/>
  <c r="AC1010" i="2"/>
  <c r="G18" i="68"/>
  <c r="K69" i="73"/>
  <c r="E42" i="73"/>
  <c r="I42" i="73"/>
  <c r="J42" i="73"/>
  <c r="K37" i="73"/>
  <c r="E242" i="73"/>
  <c r="I242" i="73"/>
  <c r="J242" i="73"/>
  <c r="J340" i="5"/>
  <c r="K96" i="73"/>
  <c r="K174" i="5"/>
  <c r="K57" i="5"/>
  <c r="K236" i="73"/>
  <c r="AE2144" i="2"/>
  <c r="AC1106" i="2"/>
  <c r="K14" i="5"/>
  <c r="K172" i="5"/>
  <c r="M5" i="75"/>
  <c r="K19" i="73"/>
  <c r="K110" i="5"/>
  <c r="B160" i="65"/>
  <c r="AC1914" i="2"/>
  <c r="AC1556" i="2"/>
  <c r="AC681" i="2"/>
  <c r="AC935" i="2"/>
  <c r="AC1624" i="2"/>
  <c r="AC1750" i="2"/>
  <c r="AC1962" i="2"/>
  <c r="AC233" i="2"/>
  <c r="AC1593" i="2"/>
  <c r="AC1831" i="2"/>
  <c r="AC606" i="2"/>
  <c r="AC1795" i="2"/>
  <c r="AC607" i="2"/>
  <c r="AC1770" i="2"/>
  <c r="AC2003" i="2"/>
  <c r="AC2065" i="2"/>
  <c r="AC403" i="2"/>
  <c r="AC1466" i="2"/>
  <c r="AC440" i="2"/>
  <c r="AC1572" i="2"/>
  <c r="AC868" i="2"/>
  <c r="AC543" i="2"/>
  <c r="J141" i="5"/>
  <c r="J256" i="5"/>
  <c r="K274" i="5"/>
  <c r="E263" i="73"/>
  <c r="I263" i="73"/>
  <c r="J263" i="73"/>
  <c r="K263" i="73"/>
  <c r="I65" i="73"/>
  <c r="J65" i="73"/>
  <c r="K65" i="73"/>
  <c r="K100" i="5"/>
  <c r="B220" i="64"/>
  <c r="AC137" i="2"/>
  <c r="AC1440" i="2"/>
  <c r="AC238" i="2"/>
  <c r="AC1326" i="2"/>
  <c r="AC1339" i="2"/>
  <c r="AC1237" i="2"/>
  <c r="AC322" i="2"/>
  <c r="AC1866" i="2"/>
  <c r="K295" i="5"/>
  <c r="I71" i="73"/>
  <c r="K146" i="5"/>
  <c r="J276" i="5"/>
  <c r="U1068" i="2"/>
  <c r="D32" i="70"/>
  <c r="D38" i="70"/>
  <c r="E165" i="73"/>
  <c r="I165" i="73"/>
  <c r="J165" i="73"/>
  <c r="J97" i="5"/>
  <c r="K291" i="73"/>
  <c r="AC1743" i="2"/>
  <c r="AC1868" i="2"/>
  <c r="AC1407" i="2"/>
  <c r="AC202" i="2"/>
  <c r="AC1216" i="2"/>
  <c r="AC989" i="2"/>
  <c r="AC1676" i="2"/>
  <c r="AC1167" i="2"/>
  <c r="AC1997" i="2"/>
  <c r="AC1371" i="2"/>
  <c r="AC182" i="2"/>
  <c r="AC966" i="2"/>
  <c r="AC1574" i="2"/>
  <c r="AC751" i="2"/>
  <c r="AC1875" i="2"/>
  <c r="AC1672" i="2"/>
  <c r="AC1989" i="2"/>
  <c r="AC1597" i="2"/>
  <c r="AC126" i="2"/>
  <c r="AC242" i="2"/>
  <c r="AC697" i="2"/>
  <c r="AC1307" i="2"/>
  <c r="AC1019" i="2"/>
  <c r="E108" i="73"/>
  <c r="J26" i="5"/>
  <c r="K271" i="5"/>
  <c r="J118" i="5"/>
  <c r="J54" i="5"/>
  <c r="I229" i="73"/>
  <c r="J42" i="5"/>
  <c r="K117" i="5"/>
  <c r="K156" i="5"/>
  <c r="E164" i="73"/>
  <c r="I164" i="73"/>
  <c r="J164" i="73"/>
  <c r="K164" i="73"/>
  <c r="AE991" i="2"/>
  <c r="J10" i="5"/>
  <c r="I265" i="73"/>
  <c r="I26" i="73"/>
  <c r="K283" i="5"/>
  <c r="J95" i="5"/>
  <c r="J275" i="5"/>
  <c r="K98" i="5"/>
  <c r="J208" i="5"/>
  <c r="J74" i="5"/>
  <c r="AE1119" i="2"/>
  <c r="AC587" i="2"/>
  <c r="AC106" i="2"/>
  <c r="AC1500" i="2"/>
  <c r="AC1346" i="2"/>
  <c r="AC941" i="2"/>
  <c r="AC674" i="2"/>
  <c r="AC690" i="2"/>
  <c r="AC450" i="2"/>
  <c r="AC101" i="2"/>
  <c r="AC1282" i="2"/>
  <c r="AC260" i="2"/>
  <c r="AC225" i="2"/>
  <c r="AC573" i="2"/>
  <c r="AC365" i="2"/>
  <c r="AC405" i="2"/>
  <c r="AC1430" i="2"/>
  <c r="AC1163" i="2"/>
  <c r="AC1832" i="2"/>
  <c r="AC2031" i="2"/>
  <c r="AC449" i="2"/>
  <c r="AC610" i="2"/>
  <c r="AC1277" i="2"/>
  <c r="AC605" i="2"/>
  <c r="AC1664" i="2"/>
  <c r="AC1368" i="2"/>
  <c r="AC2111" i="2"/>
  <c r="AC1723" i="2"/>
  <c r="AC504" i="2"/>
  <c r="AC80" i="2"/>
  <c r="AC1713" i="2"/>
  <c r="AC691" i="2"/>
  <c r="AC1148" i="2"/>
  <c r="AC1103" i="2"/>
  <c r="AC830" i="2"/>
  <c r="AC783" i="2"/>
  <c r="AC711" i="2"/>
  <c r="AC660" i="2"/>
  <c r="AC409" i="2"/>
  <c r="AC1227" i="2"/>
  <c r="AC667" i="2"/>
  <c r="AC1775" i="2"/>
  <c r="AC1790" i="2"/>
  <c r="AC1557" i="2"/>
  <c r="AC949" i="2"/>
  <c r="AC415" i="2"/>
  <c r="AC45" i="2"/>
  <c r="AC1537" i="2"/>
  <c r="AC94" i="2"/>
  <c r="AC78" i="2"/>
  <c r="AC29" i="2"/>
  <c r="AC2121" i="2"/>
  <c r="AC1309" i="2"/>
  <c r="AC1114" i="2"/>
  <c r="AC351" i="2"/>
  <c r="AC676" i="2"/>
  <c r="AC2029" i="2"/>
  <c r="AC437" i="2"/>
  <c r="AC1269" i="2"/>
  <c r="AC1385" i="2"/>
  <c r="AC1972" i="2"/>
  <c r="AC220" i="2"/>
  <c r="AC26" i="2"/>
  <c r="AC1256" i="2"/>
  <c r="AC299" i="2"/>
  <c r="AC1390" i="2"/>
  <c r="AC93" i="2"/>
  <c r="AC17" i="2"/>
  <c r="AC231" i="2"/>
  <c r="AC2061" i="2"/>
  <c r="AC1968" i="2"/>
  <c r="AC1417" i="2"/>
  <c r="AC1820" i="2"/>
  <c r="AC1933" i="2"/>
  <c r="AC1862" i="2"/>
  <c r="AC813" i="2"/>
  <c r="AC499" i="2"/>
  <c r="AC501" i="2"/>
  <c r="AC1439" i="2"/>
  <c r="AC1015" i="2"/>
  <c r="AC1739" i="2"/>
  <c r="AC2115" i="2"/>
  <c r="AC290" i="2"/>
  <c r="AC1312" i="2"/>
  <c r="AC194" i="2"/>
  <c r="AC892" i="2"/>
  <c r="AC285" i="2"/>
  <c r="AC678" i="2"/>
  <c r="AC1453" i="2"/>
  <c r="AC1130" i="2"/>
  <c r="AC398" i="2"/>
  <c r="AC658" i="2"/>
  <c r="AC1838" i="2"/>
  <c r="AC408" i="2"/>
  <c r="AC548" i="2"/>
  <c r="AC1377" i="2"/>
  <c r="AC1214" i="2"/>
  <c r="AC545" i="2"/>
  <c r="AC655" i="2"/>
  <c r="AC806" i="2"/>
  <c r="AC102" i="2"/>
  <c r="AC984" i="2"/>
  <c r="E251" i="73"/>
  <c r="I251" i="73"/>
  <c r="J251" i="73"/>
  <c r="AE974" i="2"/>
  <c r="AC974" i="2"/>
  <c r="K300" i="73"/>
  <c r="J57" i="5"/>
  <c r="K96" i="5"/>
  <c r="AE1106" i="2"/>
  <c r="K237" i="5"/>
  <c r="K41" i="5"/>
  <c r="J319" i="5"/>
  <c r="M6" i="75"/>
  <c r="AE1107" i="2"/>
  <c r="AE1122" i="2"/>
  <c r="C160" i="65"/>
  <c r="J305" i="5"/>
  <c r="K51" i="73"/>
  <c r="K57" i="70"/>
  <c r="X1110" i="2"/>
  <c r="K35" i="73"/>
  <c r="K75" i="5"/>
  <c r="Z1048" i="2"/>
  <c r="AE1048" i="2"/>
  <c r="AC1048" i="2"/>
  <c r="K180" i="73"/>
  <c r="J225" i="5"/>
  <c r="I297" i="5"/>
  <c r="K127" i="5"/>
  <c r="D25" i="68"/>
  <c r="I183" i="5"/>
  <c r="E248" i="5"/>
  <c r="I248" i="5"/>
  <c r="J248" i="5"/>
  <c r="K308" i="5"/>
  <c r="I182" i="5"/>
  <c r="K182" i="5"/>
  <c r="J302" i="5"/>
  <c r="J280" i="5"/>
  <c r="I249" i="5"/>
  <c r="K249" i="5"/>
  <c r="AC1573" i="2"/>
  <c r="AC1224" i="2"/>
  <c r="AC1434" i="2"/>
  <c r="AC659" i="2"/>
  <c r="AC1166" i="2"/>
  <c r="AC1751" i="2"/>
  <c r="AC1063" i="2"/>
  <c r="AC2128" i="2"/>
  <c r="AC811" i="2"/>
  <c r="AC1981" i="2"/>
  <c r="AC1325" i="2"/>
  <c r="AC1605" i="2"/>
  <c r="AC483" i="2"/>
  <c r="AC1412" i="2"/>
  <c r="AC320" i="2"/>
  <c r="AC340" i="2"/>
  <c r="AC1993" i="2"/>
  <c r="AC134" i="2"/>
  <c r="AC1888" i="2"/>
  <c r="AC858" i="2"/>
  <c r="AC570" i="2"/>
  <c r="AC1023" i="2"/>
  <c r="AC1394" i="2"/>
  <c r="AC411" i="2"/>
  <c r="AC127" i="2"/>
  <c r="AC490" i="2"/>
  <c r="AC59" i="2"/>
  <c r="AC1064" i="2"/>
  <c r="AC1738" i="2"/>
  <c r="AC494" i="2"/>
  <c r="AC2138" i="2"/>
  <c r="G24" i="70"/>
  <c r="D10" i="70"/>
  <c r="D8" i="70"/>
  <c r="D6" i="70"/>
  <c r="I184" i="73"/>
  <c r="K261" i="5"/>
  <c r="I62" i="73"/>
  <c r="J62" i="73"/>
  <c r="K27" i="5"/>
  <c r="I234" i="73"/>
  <c r="I106" i="73"/>
  <c r="E255" i="73"/>
  <c r="I255" i="73"/>
  <c r="J255" i="73"/>
  <c r="K255" i="73"/>
  <c r="X1082" i="2"/>
  <c r="K282" i="5"/>
  <c r="E240" i="73"/>
  <c r="I104" i="73"/>
  <c r="J287" i="5"/>
  <c r="E140" i="73"/>
  <c r="I140" i="73"/>
  <c r="J140" i="73"/>
  <c r="I38" i="73"/>
  <c r="K200" i="73"/>
  <c r="J134" i="5"/>
  <c r="I143" i="73"/>
  <c r="J238" i="5"/>
  <c r="K334" i="5"/>
  <c r="C26" i="68"/>
  <c r="AE1093" i="2"/>
  <c r="K64" i="5"/>
  <c r="AC1095" i="2"/>
  <c r="K127" i="73"/>
  <c r="K263" i="5"/>
  <c r="I267" i="73"/>
  <c r="D31" i="70"/>
  <c r="D39" i="70"/>
  <c r="K103" i="5"/>
  <c r="AE1120" i="2"/>
  <c r="K215" i="5"/>
  <c r="K40" i="73"/>
  <c r="AC1536" i="2"/>
  <c r="AC1704" i="2"/>
  <c r="AC1360" i="2"/>
  <c r="AC1247" i="2"/>
  <c r="AC519" i="2"/>
  <c r="AC937" i="2"/>
  <c r="AC1944" i="2"/>
  <c r="AC209" i="2"/>
  <c r="AC626" i="2"/>
  <c r="AC1864" i="2"/>
  <c r="AC1924" i="2"/>
  <c r="AC277" i="2"/>
  <c r="AC361" i="2"/>
  <c r="AC1851" i="2"/>
  <c r="AC860" i="2"/>
  <c r="AC1787" i="2"/>
  <c r="AC389" i="2"/>
  <c r="AC230" i="2"/>
  <c r="AC565" i="2"/>
  <c r="AC726" i="2"/>
  <c r="AC433" i="2"/>
  <c r="AC1869" i="2"/>
  <c r="G159" i="73"/>
  <c r="G278" i="73"/>
  <c r="B215" i="73"/>
  <c r="F19" i="73"/>
  <c r="B248" i="73"/>
  <c r="F233" i="73"/>
  <c r="D175" i="73"/>
  <c r="D232" i="73"/>
  <c r="D118" i="73"/>
  <c r="J93" i="5"/>
  <c r="K222" i="5"/>
  <c r="K31" i="5"/>
  <c r="U1134" i="2"/>
  <c r="X1134" i="2"/>
  <c r="J115" i="5"/>
  <c r="J242" i="5"/>
  <c r="J331" i="5"/>
  <c r="K209" i="5"/>
  <c r="K236" i="5"/>
  <c r="K140" i="5"/>
  <c r="J161" i="5"/>
  <c r="J311" i="5"/>
  <c r="J130" i="5"/>
  <c r="J184" i="5"/>
  <c r="K191" i="5"/>
  <c r="J243" i="5"/>
  <c r="J150" i="5"/>
  <c r="J213" i="5"/>
  <c r="J289" i="5"/>
  <c r="J206" i="5"/>
  <c r="E138" i="73"/>
  <c r="I138" i="73"/>
  <c r="J138" i="73"/>
  <c r="K138" i="73"/>
  <c r="R994" i="2"/>
  <c r="X994" i="2"/>
  <c r="E216" i="73"/>
  <c r="I216" i="73"/>
  <c r="J216" i="73"/>
  <c r="E115" i="73"/>
  <c r="I115" i="73"/>
  <c r="J115" i="73"/>
  <c r="I196" i="73"/>
  <c r="I237" i="73"/>
  <c r="I108" i="73"/>
  <c r="J108" i="73"/>
  <c r="I116" i="73"/>
  <c r="J38" i="5"/>
  <c r="J244" i="5"/>
  <c r="J73" i="5"/>
  <c r="K171" i="5"/>
  <c r="K188" i="5"/>
  <c r="J229" i="73"/>
  <c r="K221" i="5"/>
  <c r="J24" i="5"/>
  <c r="J312" i="5"/>
  <c r="E163" i="73"/>
  <c r="AC991" i="2"/>
  <c r="K123" i="5"/>
  <c r="J26" i="73"/>
  <c r="K26" i="73"/>
  <c r="J13" i="5"/>
  <c r="AC1082" i="2"/>
  <c r="K9" i="5"/>
  <c r="J223" i="5"/>
  <c r="K241" i="5"/>
  <c r="J133" i="5"/>
  <c r="AC1068" i="2"/>
  <c r="AC1035" i="2"/>
  <c r="AC1929" i="2"/>
  <c r="AC1363" i="2"/>
  <c r="AC1661" i="2"/>
  <c r="AC1217" i="2"/>
  <c r="AC283" i="2"/>
  <c r="AC1264" i="2"/>
  <c r="AC1596" i="2"/>
  <c r="AC154" i="2"/>
  <c r="AC1287" i="2"/>
  <c r="AC760" i="2"/>
  <c r="AC1025" i="2"/>
  <c r="AC2129" i="2"/>
  <c r="AC556" i="2"/>
  <c r="AC1753" i="2"/>
  <c r="AC512" i="2"/>
  <c r="AC1085" i="2"/>
  <c r="AC63" i="2"/>
  <c r="AC706" i="2"/>
  <c r="AC123" i="2"/>
  <c r="AC157" i="2"/>
  <c r="AC1354" i="2"/>
  <c r="AC377" i="2"/>
  <c r="AC2017" i="2"/>
  <c r="AC1437" i="2"/>
  <c r="AC703" i="2"/>
  <c r="AC1042" i="2"/>
  <c r="AC541" i="2"/>
  <c r="AC1128" i="2"/>
  <c r="AC1620" i="2"/>
  <c r="AC25" i="2"/>
  <c r="AC272" i="2"/>
  <c r="AC528" i="2"/>
  <c r="AC714" i="2"/>
  <c r="AC1763" i="2"/>
  <c r="AC1878" i="2"/>
  <c r="AC2063" i="2"/>
  <c r="AC1863" i="2"/>
  <c r="AC1907" i="2"/>
  <c r="AC881" i="2"/>
  <c r="AC76" i="2"/>
  <c r="AC2108" i="2"/>
  <c r="AC1092" i="2"/>
  <c r="AC952" i="2"/>
  <c r="AC396" i="2"/>
  <c r="AC497" i="2"/>
  <c r="AC599" i="2"/>
  <c r="AC1836" i="2"/>
  <c r="AC957" i="2"/>
  <c r="AC852" i="2"/>
  <c r="AC1684" i="2"/>
  <c r="J66" i="5"/>
  <c r="J50" i="5"/>
  <c r="U992" i="2"/>
  <c r="D261" i="73"/>
  <c r="F222" i="73"/>
  <c r="F110" i="73"/>
  <c r="H282" i="73"/>
  <c r="G273" i="73"/>
  <c r="D73" i="73"/>
  <c r="F225" i="73"/>
  <c r="B61" i="73"/>
  <c r="G280" i="73"/>
  <c r="D233" i="73"/>
  <c r="F176" i="73"/>
  <c r="F143" i="73"/>
  <c r="H113" i="73"/>
  <c r="B57" i="73"/>
  <c r="B150" i="73"/>
  <c r="G216" i="73"/>
  <c r="H260" i="73"/>
  <c r="F147" i="73"/>
  <c r="B92" i="73"/>
  <c r="D269" i="73"/>
  <c r="B16" i="73"/>
  <c r="G30" i="73"/>
  <c r="F92" i="73"/>
  <c r="G143" i="73"/>
  <c r="H252" i="73"/>
  <c r="H153" i="73"/>
  <c r="H68" i="73"/>
  <c r="H52" i="73"/>
  <c r="D28" i="73"/>
  <c r="G82" i="73"/>
  <c r="H230" i="73"/>
  <c r="D81" i="73"/>
  <c r="D79" i="73"/>
  <c r="H217" i="73"/>
  <c r="G51" i="73"/>
  <c r="B255" i="73"/>
  <c r="D238" i="73"/>
  <c r="D147" i="73"/>
  <c r="B26" i="73"/>
  <c r="G148" i="73"/>
  <c r="G184" i="73"/>
  <c r="H172" i="73"/>
  <c r="E7" i="70"/>
  <c r="E19" i="70"/>
  <c r="E20" i="70"/>
  <c r="H58" i="70"/>
  <c r="E110" i="73"/>
  <c r="I110" i="73"/>
  <c r="J110" i="73"/>
  <c r="K110" i="73"/>
  <c r="E78" i="73"/>
  <c r="I78" i="73"/>
  <c r="J78" i="73"/>
  <c r="K78" i="73"/>
  <c r="E135" i="73"/>
  <c r="I135" i="73"/>
  <c r="J135" i="73"/>
  <c r="K135" i="73"/>
  <c r="J342" i="5"/>
  <c r="E70" i="73"/>
  <c r="I70" i="73"/>
  <c r="J70" i="73"/>
  <c r="K70" i="73"/>
  <c r="K301" i="5"/>
  <c r="K176" i="73"/>
  <c r="AC1009" i="2"/>
  <c r="K284" i="5"/>
  <c r="K105" i="5"/>
  <c r="R1097" i="2"/>
  <c r="X1097" i="2"/>
  <c r="K205" i="73"/>
  <c r="K143" i="5"/>
  <c r="J147" i="5"/>
  <c r="K29" i="73"/>
  <c r="K158" i="73"/>
  <c r="K231" i="73"/>
  <c r="E179" i="73"/>
  <c r="I179" i="73"/>
  <c r="J179" i="73"/>
  <c r="K179" i="73"/>
  <c r="E21" i="73"/>
  <c r="I21" i="73"/>
  <c r="J21" i="73"/>
  <c r="K21" i="73"/>
  <c r="AC1108" i="2"/>
  <c r="AE1108" i="2"/>
  <c r="K124" i="5"/>
  <c r="K301" i="73"/>
  <c r="D41" i="70"/>
  <c r="J339" i="5"/>
  <c r="K247" i="5"/>
  <c r="X1108" i="2"/>
  <c r="U1108" i="2"/>
  <c r="J59" i="5"/>
  <c r="AE1069" i="2"/>
  <c r="X1095" i="2"/>
  <c r="U1095" i="2"/>
  <c r="U1030" i="2"/>
  <c r="X1030" i="2"/>
  <c r="AC2146" i="2"/>
  <c r="AE2146" i="2"/>
  <c r="AC2143" i="2"/>
  <c r="K266" i="5"/>
  <c r="AE1096" i="2"/>
  <c r="K268" i="5"/>
  <c r="J24" i="68"/>
  <c r="U1049" i="2"/>
  <c r="X1049" i="2"/>
  <c r="AE973" i="2"/>
  <c r="AC973" i="2"/>
  <c r="D7" i="70"/>
  <c r="E272" i="73"/>
  <c r="I272" i="73"/>
  <c r="J272" i="73"/>
  <c r="K272" i="73"/>
  <c r="K293" i="73"/>
  <c r="K300" i="5"/>
  <c r="J258" i="5"/>
  <c r="K225" i="5"/>
  <c r="K50" i="73"/>
  <c r="K39" i="73"/>
  <c r="K123" i="73"/>
  <c r="K297" i="5"/>
  <c r="J316" i="5"/>
  <c r="K145" i="5"/>
  <c r="J292" i="5"/>
  <c r="K182" i="73"/>
  <c r="J183" i="5"/>
  <c r="K248" i="5"/>
  <c r="E144" i="5"/>
  <c r="I144" i="5"/>
  <c r="J144" i="5"/>
  <c r="J150" i="73"/>
  <c r="K150" i="73"/>
  <c r="K152" i="5"/>
  <c r="I315" i="5"/>
  <c r="K315" i="5"/>
  <c r="I329" i="5"/>
  <c r="J329" i="5"/>
  <c r="K321" i="5"/>
  <c r="K264" i="5"/>
  <c r="K250" i="5"/>
  <c r="K162" i="5"/>
  <c r="J328" i="5"/>
  <c r="J231" i="5"/>
  <c r="AC418" i="2"/>
  <c r="AC1679" i="2"/>
  <c r="AC883" i="2"/>
  <c r="AC144" i="2"/>
  <c r="AC582" i="2"/>
  <c r="AC771" i="2"/>
  <c r="AC1447" i="2"/>
  <c r="AC434" i="2"/>
  <c r="AC462" i="2"/>
  <c r="AC1714" i="2"/>
  <c r="AC300" i="2"/>
  <c r="AC337" i="2"/>
  <c r="AC948" i="2"/>
  <c r="AC1909" i="2"/>
  <c r="AC2060" i="2"/>
  <c r="AC1887" i="2"/>
  <c r="AC1484" i="2"/>
  <c r="AC737" i="2"/>
  <c r="AC798" i="2"/>
  <c r="AC1131" i="2"/>
  <c r="AC218" i="2"/>
  <c r="AC1328" i="2"/>
  <c r="AC1178" i="2"/>
  <c r="AC976" i="2"/>
  <c r="AC2097" i="2"/>
  <c r="AC683" i="2"/>
  <c r="AC604" i="2"/>
  <c r="AC1266" i="2"/>
  <c r="AC1379" i="2"/>
  <c r="AC1729" i="2"/>
  <c r="AC649" i="2"/>
  <c r="AC1895" i="2"/>
  <c r="AC1558" i="2"/>
  <c r="AC1837" i="2"/>
  <c r="AC1722" i="2"/>
  <c r="AC1145" i="2"/>
  <c r="AC1104" i="2"/>
  <c r="AC2137" i="2"/>
  <c r="AC1630" i="2"/>
  <c r="AC552" i="2"/>
  <c r="AC1229" i="2"/>
  <c r="AC1126" i="2"/>
  <c r="AC508" i="2"/>
  <c r="AC1927" i="2"/>
  <c r="AC721" i="2"/>
  <c r="AC188" i="2"/>
  <c r="AC417" i="2"/>
  <c r="AC903" i="2"/>
  <c r="AC1800" i="2"/>
  <c r="AC1143" i="2"/>
  <c r="AC1016" i="2"/>
  <c r="AC725" i="2"/>
  <c r="AC1734" i="2"/>
  <c r="AC707" i="2"/>
  <c r="AC2099" i="2"/>
  <c r="AC1198" i="2"/>
  <c r="AC240" i="2"/>
  <c r="AC876" i="2"/>
  <c r="AC742" i="2"/>
  <c r="AC489" i="2"/>
  <c r="AC677" i="2"/>
  <c r="AC135" i="2"/>
  <c r="AC2101" i="2"/>
  <c r="AC758" i="2"/>
  <c r="AC1650" i="2"/>
  <c r="AC821" i="2"/>
  <c r="AC733" i="2"/>
  <c r="AC118" i="2"/>
  <c r="AC950" i="2"/>
  <c r="AC1422" i="2"/>
  <c r="AC2082" i="2"/>
  <c r="AC2073" i="2"/>
  <c r="AC321" i="2"/>
  <c r="AC27" i="2"/>
  <c r="AC2040" i="2"/>
  <c r="AC47" i="2"/>
  <c r="AC1995" i="2"/>
  <c r="J262" i="5"/>
  <c r="K299" i="5"/>
  <c r="K44" i="5"/>
  <c r="J71" i="73"/>
  <c r="K286" i="73"/>
  <c r="K124" i="73"/>
  <c r="E113" i="73"/>
  <c r="K68" i="5"/>
  <c r="K168" i="73"/>
  <c r="J17" i="5"/>
  <c r="J267" i="73"/>
  <c r="K267" i="73"/>
  <c r="D35" i="70"/>
  <c r="J187" i="5"/>
  <c r="C196" i="64"/>
  <c r="AC1889" i="2"/>
  <c r="AC932" i="2"/>
  <c r="AC75" i="2"/>
  <c r="AC1177" i="2"/>
  <c r="AC978" i="2"/>
  <c r="AC534" i="2"/>
  <c r="K66" i="5"/>
  <c r="K109" i="5"/>
  <c r="F128" i="73"/>
  <c r="H168" i="73"/>
  <c r="F60" i="73"/>
  <c r="G116" i="73"/>
  <c r="J278" i="5"/>
  <c r="AC993" i="2"/>
  <c r="Y1049" i="2"/>
  <c r="E2" i="64" a="1"/>
  <c r="AC734" i="2"/>
  <c r="AC1156" i="2"/>
  <c r="AC980" i="2"/>
  <c r="AC1576" i="2"/>
  <c r="AC323" i="2"/>
  <c r="AC464" i="2"/>
  <c r="AC2001" i="2"/>
  <c r="AC1805" i="2"/>
  <c r="AC1793" i="2"/>
  <c r="AC1345" i="2"/>
  <c r="AC2021" i="2"/>
  <c r="AC1100" i="2"/>
  <c r="AC312" i="2"/>
  <c r="K216" i="73"/>
  <c r="K115" i="73"/>
  <c r="J196" i="73"/>
  <c r="J237" i="73"/>
  <c r="K79" i="73"/>
  <c r="J116" i="73"/>
  <c r="K116" i="73"/>
  <c r="K62" i="5"/>
  <c r="X1135" i="2"/>
  <c r="J30" i="5"/>
  <c r="J195" i="5"/>
  <c r="K153" i="5"/>
  <c r="K235" i="5"/>
  <c r="AC1067" i="2"/>
  <c r="I163" i="73"/>
  <c r="G4" i="71"/>
  <c r="AC38" i="2"/>
  <c r="AC535" i="2"/>
  <c r="AC2074" i="2"/>
  <c r="AC609" i="2"/>
  <c r="AC262" i="2"/>
  <c r="AC1223" i="2"/>
  <c r="AC177" i="2"/>
  <c r="AC1021" i="2"/>
  <c r="AC1606" i="2"/>
  <c r="AC1879" i="2"/>
  <c r="AC1165" i="2"/>
  <c r="AC1717" i="2"/>
  <c r="AC851" i="2"/>
  <c r="AC2058" i="2"/>
  <c r="AC856" i="2"/>
  <c r="AC1026" i="2"/>
  <c r="AC877" i="2"/>
  <c r="AC1297" i="2"/>
  <c r="AC493" i="2"/>
  <c r="AC364" i="2"/>
  <c r="AC50" i="2"/>
  <c r="AC1232" i="2"/>
  <c r="AC1298" i="2"/>
  <c r="AC1105" i="2"/>
  <c r="AC521" i="2"/>
  <c r="AC985" i="2"/>
  <c r="AC2098" i="2"/>
  <c r="AC1294" i="2"/>
  <c r="AC1515" i="2"/>
  <c r="AC915" i="2"/>
  <c r="AC128" i="2"/>
  <c r="AC1330" i="2"/>
  <c r="AC416" i="2"/>
  <c r="AC455" i="2"/>
  <c r="AC2026" i="2"/>
  <c r="AC833" i="2"/>
  <c r="AC1206" i="2"/>
  <c r="AC1187" i="2"/>
  <c r="AC421" i="2"/>
  <c r="AC15" i="2"/>
  <c r="AC1632" i="2"/>
  <c r="AC1721" i="2"/>
  <c r="AC402" i="2"/>
  <c r="AC692" i="2"/>
  <c r="AC39" i="2"/>
  <c r="AC532" i="2"/>
  <c r="AC699" i="2"/>
  <c r="AC1940" i="2"/>
  <c r="AC282" i="2"/>
  <c r="AC1638" i="2"/>
  <c r="AC1175" i="2"/>
  <c r="AC805" i="2"/>
  <c r="AC1701" i="2"/>
  <c r="AC1952" i="2"/>
  <c r="AC2051" i="2"/>
  <c r="AC239" i="2"/>
  <c r="AC1212" i="2"/>
  <c r="AC448" i="2"/>
  <c r="AC334" i="2"/>
  <c r="AC404" i="2"/>
  <c r="AC739" i="2"/>
  <c r="AC212" i="2"/>
  <c r="AC848" i="2"/>
  <c r="AC1438" i="2"/>
  <c r="AC170" i="2"/>
  <c r="AC1152" i="2"/>
  <c r="AC1825" i="2"/>
  <c r="AC744" i="2"/>
  <c r="AC1203" i="2"/>
  <c r="AC2048" i="2"/>
  <c r="AC2124" i="2"/>
  <c r="AC1448" i="2"/>
  <c r="AC54" i="2"/>
  <c r="AC743" i="2"/>
  <c r="AC1331" i="2"/>
  <c r="AC523" i="2"/>
  <c r="AC1510" i="2"/>
  <c r="AC1905" i="2"/>
  <c r="AC2049" i="2"/>
  <c r="AC475" i="2"/>
  <c r="AC766" i="2"/>
  <c r="AC1811" i="2"/>
  <c r="AC954" i="2"/>
  <c r="AC685" i="2"/>
  <c r="AC319" i="2"/>
  <c r="AC1900" i="2"/>
  <c r="AC88" i="2"/>
  <c r="AC1355" i="2"/>
  <c r="AC476" i="2"/>
  <c r="AC1205" i="2"/>
  <c r="AC1980" i="2"/>
  <c r="AC1784" i="2"/>
  <c r="AC1781" i="2"/>
  <c r="AC793" i="2"/>
  <c r="AC293" i="2"/>
  <c r="AC1411" i="2"/>
  <c r="AC695" i="2"/>
  <c r="AC344" i="2"/>
  <c r="AC1762" i="2"/>
  <c r="AC498" i="2"/>
  <c r="AC2120" i="2"/>
  <c r="AC1261" i="2"/>
  <c r="AC647" i="2"/>
  <c r="AC1161" i="2"/>
  <c r="AC133" i="2"/>
  <c r="AC580" i="2"/>
  <c r="AC1566" i="2"/>
  <c r="AC386" i="2"/>
  <c r="AC1587" i="2"/>
  <c r="AC1503" i="2"/>
  <c r="AC1994" i="2"/>
  <c r="AC516" i="2"/>
  <c r="AC1188" i="2"/>
  <c r="AC602" i="2"/>
  <c r="AC270" i="2"/>
  <c r="AC345" i="2"/>
  <c r="AC1964" i="2"/>
  <c r="AC1153" i="2"/>
  <c r="AC18" i="2"/>
  <c r="AC205" i="2"/>
  <c r="AC1336" i="2"/>
  <c r="AC983" i="2"/>
  <c r="AC1151" i="2"/>
  <c r="AC112" i="2"/>
  <c r="AC1221" i="2"/>
  <c r="AC436" i="2"/>
  <c r="AC1826" i="2"/>
  <c r="AC1561" i="2"/>
  <c r="AC863" i="2"/>
  <c r="AC1374" i="2"/>
  <c r="AC1598" i="2"/>
  <c r="AC1017" i="2"/>
  <c r="AC1045" i="2"/>
  <c r="AC1301" i="2"/>
  <c r="AC2006" i="2"/>
  <c r="AC391" i="2"/>
  <c r="AC388" i="2"/>
  <c r="AC1244" i="2"/>
  <c r="AC592" i="2"/>
  <c r="AC1841" i="2"/>
  <c r="AC503" i="2"/>
  <c r="AC1473" i="2"/>
  <c r="AC551" i="2"/>
  <c r="AC555" i="2"/>
  <c r="AC1766" i="2"/>
  <c r="AC1393" i="2"/>
  <c r="AC1575" i="2"/>
  <c r="AC1857" i="2"/>
  <c r="I139" i="73"/>
  <c r="J265" i="73"/>
  <c r="K178" i="5"/>
  <c r="K45" i="5"/>
  <c r="J43" i="5"/>
  <c r="J79" i="5"/>
  <c r="J196" i="5"/>
  <c r="I177" i="73"/>
  <c r="K155" i="73"/>
  <c r="AE1080" i="2"/>
  <c r="AC1263" i="2"/>
  <c r="AC313" i="2"/>
  <c r="AC1519" i="2"/>
  <c r="AC1591" i="2"/>
  <c r="AC399" i="2"/>
  <c r="AC1419" i="2"/>
  <c r="AC1712" i="2"/>
  <c r="AC1623" i="2"/>
  <c r="AC1949" i="2"/>
  <c r="AC1961" i="2"/>
  <c r="K291" i="5"/>
  <c r="K260" i="5"/>
  <c r="J139" i="5"/>
  <c r="K168" i="5"/>
  <c r="K192" i="5"/>
  <c r="K80" i="5"/>
  <c r="E48" i="73"/>
  <c r="K343" i="5"/>
  <c r="K185" i="5"/>
  <c r="K173" i="5"/>
  <c r="AC1388" i="2"/>
  <c r="AC326" i="2"/>
  <c r="AC777" i="2"/>
  <c r="AC1160" i="2"/>
  <c r="AC1464" i="2"/>
  <c r="AC998" i="2"/>
  <c r="AC164" i="2"/>
  <c r="AC1978" i="2"/>
  <c r="AC616" i="2"/>
  <c r="AC1976" i="2"/>
  <c r="AC1357" i="2"/>
  <c r="AC1185" i="2"/>
  <c r="AC1551" i="2"/>
  <c r="AC773" i="2"/>
  <c r="AC803" i="2"/>
  <c r="AC31" i="2"/>
  <c r="AC1324" i="2"/>
  <c r="AC1086" i="2"/>
  <c r="AC1230" i="2"/>
  <c r="AC1974" i="2"/>
  <c r="AC1538" i="2"/>
  <c r="AC1053" i="2"/>
  <c r="AC1899" i="2"/>
  <c r="AC837" i="2"/>
  <c r="AC1196" i="2"/>
  <c r="AC920" i="2"/>
  <c r="AC1801" i="2"/>
  <c r="AC1547" i="2"/>
  <c r="AC912" i="2"/>
  <c r="AC787" i="2"/>
  <c r="AC2125" i="2"/>
  <c r="AC2022" i="2"/>
  <c r="AC136" i="2"/>
  <c r="AC774" i="2"/>
  <c r="AC109" i="2"/>
  <c r="AC463" i="2"/>
  <c r="AC1642" i="2"/>
  <c r="AC1647" i="2"/>
  <c r="AC1429" i="2"/>
  <c r="AC842" i="2"/>
  <c r="AC2076" i="2"/>
  <c r="AC1361" i="2"/>
  <c r="AC1848" i="2"/>
  <c r="AC198" i="2"/>
  <c r="AC1076" i="2"/>
  <c r="AC1677" i="2"/>
  <c r="AC1892" i="2"/>
  <c r="AC927" i="2"/>
  <c r="AC1193" i="2"/>
  <c r="AC1452" i="2"/>
  <c r="AC1000" i="2"/>
  <c r="AC96" i="2"/>
  <c r="AC1257" i="2"/>
  <c r="AC355" i="2"/>
  <c r="AC735" i="2"/>
  <c r="AC2018" i="2"/>
  <c r="AC311" i="2"/>
  <c r="AC327" i="2"/>
  <c r="AC653" i="2"/>
  <c r="AC1139" i="2"/>
  <c r="AC1777" i="2"/>
  <c r="AC715" i="2"/>
  <c r="AC955" i="2"/>
  <c r="AC539" i="2"/>
  <c r="AC1267" i="2"/>
  <c r="AC719" i="2"/>
  <c r="AC167" i="2"/>
  <c r="AC72" i="2"/>
  <c r="AC278" i="2"/>
  <c r="AC316" i="2"/>
  <c r="AC576" i="2"/>
  <c r="AC943" i="2"/>
  <c r="AC1013" i="2"/>
  <c r="AC1149" i="2"/>
  <c r="AC1494" i="2"/>
  <c r="AC1352" i="2"/>
  <c r="AC1737" i="2"/>
  <c r="AC413" i="2"/>
  <c r="AC663" i="2"/>
  <c r="AC1656" i="2"/>
  <c r="AC468" i="2"/>
  <c r="AC1349" i="2"/>
  <c r="AC353" i="2"/>
  <c r="AC746" i="2"/>
  <c r="AC235" i="2"/>
  <c r="AC1668" i="2"/>
  <c r="AC2007" i="2"/>
  <c r="J175" i="5"/>
  <c r="F181" i="73"/>
  <c r="H122" i="73"/>
  <c r="F69" i="73"/>
  <c r="B129" i="73"/>
  <c r="H143" i="73"/>
  <c r="D268" i="73"/>
  <c r="H129" i="73"/>
  <c r="B285" i="73"/>
  <c r="D84" i="73"/>
  <c r="B251" i="73"/>
  <c r="F132" i="73"/>
  <c r="B154" i="73"/>
  <c r="B179" i="73"/>
  <c r="AC641" i="2"/>
  <c r="AC147" i="2"/>
  <c r="AC333" i="2"/>
  <c r="AC1666" i="2"/>
  <c r="AC1022" i="2"/>
  <c r="AC1225" i="2"/>
  <c r="AC2019" i="2"/>
  <c r="AC1220" i="2"/>
  <c r="AC1333" i="2"/>
  <c r="AC2126" i="2"/>
  <c r="AC1987" i="2"/>
  <c r="AC938" i="2"/>
  <c r="AC909" i="2"/>
  <c r="AC1202" i="2"/>
  <c r="AC469" i="2"/>
  <c r="AC1663" i="2"/>
  <c r="AC891" i="2"/>
  <c r="AC926" i="2"/>
  <c r="AC181" i="2"/>
  <c r="AC1485" i="2"/>
  <c r="AC910" i="2"/>
  <c r="AC2140" i="2"/>
  <c r="AC1481" i="2"/>
  <c r="AC330" i="2"/>
  <c r="AC2059" i="2"/>
  <c r="AC1816" i="2"/>
  <c r="AC1421" i="2"/>
  <c r="AC1776" i="2"/>
  <c r="AC1633" i="2"/>
  <c r="AC761" i="2"/>
  <c r="AC2045" i="2"/>
  <c r="AC1943" i="2"/>
  <c r="AC229" i="2"/>
  <c r="AC1058" i="2"/>
  <c r="AC1692" i="2"/>
  <c r="AC53" i="2"/>
  <c r="AC1711" i="2"/>
  <c r="AC20" i="2"/>
  <c r="AC657" i="2"/>
  <c r="AC923" i="2"/>
  <c r="AC756" i="2"/>
  <c r="AC1420" i="2"/>
  <c r="AC686" i="2"/>
  <c r="AC1378" i="2"/>
  <c r="AC1236" i="2"/>
  <c r="AC924" i="2"/>
  <c r="AC444" i="2"/>
  <c r="AC1683" i="2"/>
  <c r="AC1625" i="2"/>
  <c r="AC750" i="2"/>
  <c r="AC855" i="2"/>
  <c r="AC1300" i="2"/>
  <c r="AC736" i="2"/>
  <c r="AC1249" i="2"/>
  <c r="AC196" i="2"/>
  <c r="AC253" i="2"/>
  <c r="AC1615" i="2"/>
  <c r="AC1233" i="2"/>
  <c r="AC869" i="2"/>
  <c r="AC640" i="2"/>
  <c r="AC630" i="2"/>
  <c r="AC622" i="2"/>
  <c r="AC718" i="2"/>
  <c r="AC2046" i="2"/>
  <c r="AC339" i="2"/>
  <c r="AC1174" i="2"/>
  <c r="AC1427" i="2"/>
  <c r="AC745" i="2"/>
  <c r="AC1238" i="2"/>
  <c r="AC913" i="2"/>
  <c r="AC642" i="2"/>
  <c r="AC1403" i="2"/>
  <c r="AC1559" i="2"/>
  <c r="AC808" i="2"/>
  <c r="AC558" i="2"/>
  <c r="AC748" i="2"/>
  <c r="AC1552" i="2"/>
  <c r="AC618" i="2"/>
  <c r="AC1509" i="2"/>
  <c r="AC1758" i="2"/>
  <c r="AC1204" i="2"/>
  <c r="AC767" i="2"/>
  <c r="AC1231" i="2"/>
  <c r="AC296" i="2"/>
  <c r="AC35" i="2"/>
  <c r="AC1027" i="2"/>
  <c r="AC2106" i="2"/>
  <c r="AC981" i="2"/>
  <c r="AC158" i="2"/>
  <c r="AC1040" i="2"/>
  <c r="AC1660" i="2"/>
  <c r="AC1288" i="2"/>
  <c r="AC1662" i="2"/>
  <c r="AC1915" i="2"/>
  <c r="AC2103" i="2"/>
  <c r="AC2012" i="2"/>
  <c r="AC907" i="2"/>
  <c r="AC1380" i="2"/>
  <c r="AC1250" i="2"/>
  <c r="AC1670" i="2"/>
  <c r="AC1703" i="2"/>
  <c r="D158" i="73"/>
  <c r="H146" i="73"/>
  <c r="F232" i="73"/>
  <c r="H107" i="73"/>
  <c r="B180" i="73"/>
  <c r="B145" i="73"/>
  <c r="B231" i="73"/>
  <c r="F32" i="73"/>
  <c r="H213" i="73"/>
  <c r="H276" i="73"/>
  <c r="H264" i="73"/>
  <c r="D100" i="73"/>
  <c r="G76" i="73"/>
  <c r="D10" i="73"/>
  <c r="D207" i="73"/>
  <c r="H263" i="73"/>
  <c r="B24" i="73"/>
  <c r="H256" i="73"/>
  <c r="D104" i="73"/>
  <c r="G202" i="73"/>
  <c r="H127" i="73"/>
  <c r="F97" i="73"/>
  <c r="D55" i="73"/>
  <c r="D93" i="73"/>
  <c r="G259" i="73"/>
  <c r="B281" i="73"/>
  <c r="H120" i="73"/>
  <c r="F115" i="73"/>
  <c r="G22" i="73"/>
  <c r="G150" i="73"/>
  <c r="B95" i="73"/>
  <c r="D78" i="73"/>
  <c r="G230" i="73"/>
  <c r="B122" i="73"/>
  <c r="B249" i="73"/>
  <c r="B257" i="73"/>
  <c r="G47" i="73"/>
  <c r="B221" i="73"/>
  <c r="G227" i="73"/>
  <c r="G204" i="73"/>
  <c r="B119" i="73"/>
  <c r="G26" i="73"/>
  <c r="G201" i="73"/>
  <c r="F167" i="73"/>
  <c r="D114" i="73"/>
  <c r="H94" i="73"/>
  <c r="H108" i="73"/>
  <c r="G275" i="73"/>
  <c r="G255" i="73"/>
  <c r="F165" i="73"/>
  <c r="D289" i="73"/>
  <c r="F177" i="73"/>
  <c r="F67" i="73"/>
  <c r="G106" i="73"/>
  <c r="F182" i="73"/>
  <c r="H100" i="73"/>
  <c r="H72" i="73"/>
  <c r="D172" i="73"/>
  <c r="H61" i="73"/>
  <c r="D140" i="73"/>
  <c r="G262" i="73"/>
  <c r="D197" i="73"/>
  <c r="B277" i="73"/>
  <c r="F141" i="73"/>
  <c r="H77" i="73"/>
  <c r="B141" i="73"/>
  <c r="D22" i="73"/>
  <c r="H166" i="73"/>
  <c r="B22" i="73"/>
  <c r="B278" i="73"/>
  <c r="D42" i="73"/>
  <c r="F127" i="73"/>
  <c r="G120" i="73"/>
  <c r="H162" i="73"/>
  <c r="G131" i="73"/>
  <c r="B189" i="73"/>
  <c r="B103" i="73"/>
  <c r="G65" i="73"/>
  <c r="F158" i="73"/>
  <c r="D245" i="73"/>
  <c r="D19" i="73"/>
  <c r="D32" i="73"/>
  <c r="F221" i="73"/>
  <c r="B157" i="73"/>
  <c r="F77" i="73"/>
  <c r="G46" i="73"/>
  <c r="B38" i="73"/>
  <c r="G260" i="73"/>
  <c r="F59" i="73"/>
  <c r="D272" i="73"/>
  <c r="B128" i="73"/>
  <c r="F96" i="73"/>
  <c r="B252" i="73"/>
  <c r="G221" i="73"/>
  <c r="B54" i="73"/>
  <c r="B177" i="73"/>
  <c r="D199" i="73"/>
  <c r="B48" i="73"/>
  <c r="F260" i="73"/>
  <c r="H20" i="73"/>
  <c r="D20" i="73"/>
  <c r="F198" i="73"/>
  <c r="H265" i="73"/>
  <c r="D66" i="73"/>
  <c r="D239" i="73"/>
  <c r="B62" i="73"/>
  <c r="B245" i="73"/>
  <c r="H112" i="73"/>
  <c r="B52" i="73"/>
  <c r="D240" i="73"/>
  <c r="B34" i="73"/>
  <c r="F244" i="73"/>
  <c r="F152" i="73"/>
  <c r="G199" i="73"/>
  <c r="G39" i="73"/>
  <c r="B288" i="73"/>
  <c r="F269" i="73"/>
  <c r="B75" i="73"/>
  <c r="B136" i="73"/>
  <c r="D59" i="73"/>
  <c r="D99" i="73"/>
  <c r="F209" i="73"/>
  <c r="H27" i="73"/>
  <c r="D113" i="73"/>
  <c r="B160" i="73"/>
  <c r="F144" i="73"/>
  <c r="G225" i="73"/>
  <c r="D274" i="73"/>
  <c r="F61" i="73"/>
  <c r="F168" i="73"/>
  <c r="G253" i="73"/>
  <c r="H232" i="73"/>
  <c r="D190" i="73"/>
  <c r="D170" i="73"/>
  <c r="H270" i="73"/>
  <c r="H134" i="73"/>
  <c r="F151" i="73"/>
  <c r="F204" i="73"/>
  <c r="F25" i="73"/>
  <c r="D171" i="73"/>
  <c r="B85" i="73"/>
  <c r="F18" i="73"/>
  <c r="D40" i="73"/>
  <c r="D250" i="73"/>
  <c r="D141" i="73"/>
  <c r="F172" i="73"/>
  <c r="D260" i="73"/>
  <c r="H278" i="73"/>
  <c r="F231" i="73"/>
  <c r="H244" i="73"/>
  <c r="B191" i="73"/>
  <c r="B82" i="73"/>
  <c r="F170" i="73"/>
  <c r="G21" i="73"/>
  <c r="B195" i="73"/>
  <c r="F206" i="73"/>
  <c r="G95" i="73"/>
  <c r="B17" i="73"/>
  <c r="F285" i="73"/>
  <c r="F63" i="73"/>
  <c r="D138" i="73"/>
  <c r="B171" i="73"/>
  <c r="F196" i="73"/>
  <c r="B31" i="73"/>
  <c r="G144" i="73"/>
  <c r="H131" i="73"/>
  <c r="B219" i="73"/>
  <c r="F129" i="73"/>
  <c r="H239" i="73"/>
  <c r="H15" i="73"/>
  <c r="F283" i="73"/>
  <c r="F10" i="73"/>
  <c r="B260" i="73"/>
  <c r="G235" i="73"/>
  <c r="G191" i="73"/>
  <c r="B190" i="73"/>
  <c r="H274" i="73"/>
  <c r="G247" i="73"/>
  <c r="F194" i="73"/>
  <c r="F236" i="73"/>
  <c r="B77" i="73"/>
  <c r="G173" i="73"/>
  <c r="D65" i="73"/>
  <c r="D75" i="73"/>
  <c r="D160" i="73"/>
  <c r="D256" i="73"/>
  <c r="F243" i="73"/>
  <c r="H104" i="73"/>
  <c r="G104" i="73"/>
  <c r="G101" i="73"/>
  <c r="D103" i="73"/>
  <c r="H135" i="73"/>
  <c r="G111" i="73"/>
  <c r="D46" i="73"/>
  <c r="B239" i="73"/>
  <c r="G164" i="73"/>
  <c r="B194" i="73"/>
  <c r="B124" i="73"/>
  <c r="B159" i="73"/>
  <c r="H186" i="73"/>
  <c r="H208" i="73"/>
  <c r="B259" i="73"/>
  <c r="F64" i="73"/>
  <c r="D266" i="73"/>
  <c r="F76" i="73"/>
  <c r="G14" i="73"/>
  <c r="F289" i="73"/>
  <c r="G96" i="73"/>
  <c r="B19" i="73"/>
  <c r="G67" i="73"/>
  <c r="G85" i="73"/>
  <c r="F159" i="73"/>
  <c r="D259" i="73"/>
  <c r="B60" i="73"/>
  <c r="D181" i="73"/>
  <c r="D68" i="73"/>
  <c r="F166" i="73"/>
  <c r="H59" i="73"/>
  <c r="D264" i="73"/>
  <c r="H101" i="73"/>
  <c r="B36" i="73"/>
  <c r="D187" i="73"/>
  <c r="G99" i="73"/>
  <c r="D263" i="73"/>
  <c r="F247" i="73"/>
  <c r="B11" i="73"/>
  <c r="F155" i="73"/>
  <c r="G276" i="73"/>
  <c r="D110" i="73"/>
  <c r="B230" i="73"/>
  <c r="D285" i="73"/>
  <c r="G45" i="73"/>
  <c r="F81" i="73"/>
  <c r="D62" i="73"/>
  <c r="D203" i="73"/>
  <c r="D252" i="73"/>
  <c r="H47" i="73"/>
  <c r="F54" i="73"/>
  <c r="H28" i="73"/>
  <c r="B107" i="73"/>
  <c r="B100" i="73"/>
  <c r="F83" i="73"/>
  <c r="F79" i="73"/>
  <c r="G75" i="73"/>
  <c r="G43" i="73"/>
  <c r="F228" i="73"/>
  <c r="G86" i="73"/>
  <c r="D174" i="73"/>
  <c r="H242" i="73"/>
  <c r="B101" i="73"/>
  <c r="H258" i="73"/>
  <c r="G183" i="73"/>
  <c r="F138" i="73"/>
  <c r="F30" i="73"/>
  <c r="B21" i="73"/>
  <c r="H136" i="73"/>
  <c r="D282" i="73"/>
  <c r="D96" i="73"/>
  <c r="G100" i="73"/>
  <c r="F189" i="73"/>
  <c r="B256" i="73"/>
  <c r="H147" i="73"/>
  <c r="F15" i="73"/>
  <c r="B158" i="73"/>
  <c r="G130" i="73"/>
  <c r="F287" i="73"/>
  <c r="G139" i="73"/>
  <c r="F93" i="73"/>
  <c r="B109" i="73"/>
  <c r="G282" i="73"/>
  <c r="B121" i="73"/>
  <c r="H109" i="73"/>
  <c r="F197" i="73"/>
  <c r="D11" i="73"/>
  <c r="H198" i="73"/>
  <c r="B35" i="73"/>
  <c r="D126" i="73"/>
  <c r="G229" i="73"/>
  <c r="H280" i="73"/>
  <c r="B280" i="73"/>
  <c r="H98" i="73"/>
  <c r="F26" i="73"/>
  <c r="G232" i="73"/>
  <c r="B273" i="73"/>
  <c r="G288" i="73"/>
  <c r="D271" i="73"/>
  <c r="D90" i="73"/>
  <c r="F131" i="73"/>
  <c r="D67" i="73"/>
  <c r="H272" i="73"/>
  <c r="G25" i="73"/>
  <c r="H170" i="73"/>
  <c r="D247" i="73"/>
  <c r="H188" i="73"/>
  <c r="B111" i="73"/>
  <c r="G12" i="73"/>
  <c r="F280" i="73"/>
  <c r="F161" i="73"/>
  <c r="B198" i="73"/>
  <c r="H238" i="73"/>
  <c r="G265" i="73"/>
  <c r="G178" i="73"/>
  <c r="H53" i="73"/>
  <c r="F275" i="73"/>
  <c r="H227" i="73"/>
  <c r="D205" i="73"/>
  <c r="F137" i="73"/>
  <c r="D177" i="73"/>
  <c r="H145" i="73"/>
  <c r="F136" i="73"/>
  <c r="H181" i="73"/>
  <c r="B72" i="73"/>
  <c r="B193" i="73"/>
  <c r="D154" i="73"/>
  <c r="B169" i="73"/>
  <c r="B197" i="73"/>
  <c r="G16" i="73"/>
  <c r="B201" i="73"/>
  <c r="B246" i="73"/>
  <c r="F66" i="73"/>
  <c r="F191" i="73"/>
  <c r="B151" i="73"/>
  <c r="H285" i="73"/>
  <c r="D221" i="73"/>
  <c r="F262" i="73"/>
  <c r="B284" i="73"/>
  <c r="D88" i="73"/>
  <c r="D130" i="73"/>
  <c r="B149" i="73"/>
  <c r="H178" i="73"/>
  <c r="B220" i="73"/>
  <c r="F163" i="73"/>
  <c r="D184" i="73"/>
  <c r="F281" i="73"/>
  <c r="F201" i="73"/>
  <c r="F240" i="73"/>
  <c r="B51" i="73"/>
  <c r="D159" i="73"/>
  <c r="H114" i="73"/>
  <c r="F36" i="73"/>
  <c r="B216" i="73"/>
  <c r="B37" i="73"/>
  <c r="F186" i="73"/>
  <c r="B73" i="73"/>
  <c r="H218" i="73"/>
  <c r="H118" i="73"/>
  <c r="G246" i="73"/>
  <c r="F208" i="73"/>
  <c r="G196" i="73"/>
  <c r="F248" i="73"/>
  <c r="F16" i="73"/>
  <c r="H91" i="73"/>
  <c r="H111" i="73"/>
  <c r="H21" i="73"/>
  <c r="D142" i="73"/>
  <c r="G109" i="73"/>
  <c r="G244" i="73"/>
  <c r="H48" i="73"/>
  <c r="F113" i="73"/>
  <c r="B227" i="73"/>
  <c r="H130" i="73"/>
  <c r="H56" i="73"/>
  <c r="F277" i="73"/>
  <c r="G103" i="73"/>
  <c r="B205" i="73"/>
  <c r="F224" i="73"/>
  <c r="D219" i="73"/>
  <c r="B83" i="73"/>
  <c r="G210" i="73"/>
  <c r="G219" i="73"/>
  <c r="F173" i="73"/>
  <c r="F271" i="73"/>
  <c r="F250" i="73"/>
  <c r="H90" i="73"/>
  <c r="G28" i="73"/>
  <c r="H84" i="73"/>
  <c r="G77" i="73"/>
  <c r="F268" i="73"/>
  <c r="D12" i="73"/>
  <c r="G123" i="73"/>
  <c r="B213" i="73"/>
  <c r="D106" i="73"/>
  <c r="AC1066" i="2"/>
  <c r="B66" i="5"/>
  <c r="D211" i="5"/>
  <c r="H103" i="5"/>
  <c r="D303" i="5"/>
  <c r="H78" i="5"/>
  <c r="H72" i="5"/>
  <c r="D115" i="5"/>
  <c r="D26" i="5"/>
  <c r="F295" i="5"/>
  <c r="G325" i="5"/>
  <c r="G304" i="5"/>
  <c r="H167" i="5"/>
  <c r="H120" i="5"/>
  <c r="H281" i="5"/>
  <c r="D330" i="5"/>
  <c r="B80" i="5"/>
  <c r="H70" i="5"/>
  <c r="D15" i="5"/>
  <c r="B325" i="5"/>
  <c r="H329" i="5"/>
  <c r="H54" i="5"/>
  <c r="D102" i="5"/>
  <c r="D294" i="5"/>
  <c r="D315" i="5"/>
  <c r="G232" i="5"/>
  <c r="B132" i="5"/>
  <c r="G324" i="5"/>
  <c r="H220" i="5"/>
  <c r="H93" i="5"/>
  <c r="F325" i="5"/>
  <c r="B146" i="5"/>
  <c r="H294" i="5"/>
  <c r="D181" i="5"/>
  <c r="B335" i="5"/>
  <c r="F239" i="5"/>
  <c r="G87" i="5"/>
  <c r="D299" i="5"/>
  <c r="G46" i="5"/>
  <c r="H104" i="5"/>
  <c r="F21" i="5"/>
  <c r="G247" i="5"/>
  <c r="G311" i="5"/>
  <c r="G66" i="5"/>
  <c r="F266" i="5"/>
  <c r="F90" i="5"/>
  <c r="G239" i="5"/>
  <c r="D109" i="5"/>
  <c r="B331" i="5"/>
  <c r="B342" i="5"/>
  <c r="D328" i="5"/>
  <c r="D230" i="5"/>
  <c r="D193" i="5"/>
  <c r="D192" i="5"/>
  <c r="H269" i="5"/>
  <c r="G61" i="5"/>
  <c r="B137" i="5"/>
  <c r="B338" i="5"/>
  <c r="B109" i="5"/>
  <c r="G256" i="5"/>
  <c r="B162" i="5"/>
  <c r="D243" i="5"/>
  <c r="F73" i="5"/>
  <c r="F277" i="5"/>
  <c r="G154" i="5"/>
  <c r="F210" i="5"/>
  <c r="G95" i="5"/>
  <c r="F339" i="5"/>
  <c r="F335" i="5"/>
  <c r="G257" i="5"/>
  <c r="H21" i="5"/>
  <c r="G308" i="5"/>
  <c r="D23" i="5"/>
  <c r="F256" i="5"/>
  <c r="B295" i="5"/>
  <c r="F343" i="5"/>
  <c r="H17" i="5"/>
  <c r="G306" i="5"/>
  <c r="G56" i="5"/>
  <c r="H224" i="5"/>
  <c r="H196" i="5"/>
  <c r="D76" i="5"/>
  <c r="G74" i="5"/>
  <c r="G84" i="5"/>
  <c r="D293" i="5"/>
  <c r="G68" i="5"/>
  <c r="F67" i="5"/>
  <c r="G237" i="5"/>
  <c r="H280" i="5"/>
  <c r="G92" i="5"/>
  <c r="B135" i="5"/>
  <c r="D107" i="5"/>
  <c r="H116" i="5"/>
  <c r="B204" i="5"/>
  <c r="F55" i="5"/>
  <c r="B320" i="5"/>
  <c r="D10" i="5"/>
  <c r="G292" i="5"/>
  <c r="H300" i="5"/>
  <c r="G14" i="5"/>
  <c r="G28" i="5"/>
  <c r="G224" i="5"/>
  <c r="D146" i="5"/>
  <c r="B221" i="5"/>
  <c r="B282" i="5"/>
  <c r="F163" i="5"/>
  <c r="D311" i="5"/>
  <c r="F74" i="5"/>
  <c r="F92" i="5"/>
  <c r="H291" i="5"/>
  <c r="D253" i="5"/>
  <c r="D89" i="5"/>
  <c r="H233" i="5"/>
  <c r="D77" i="5"/>
  <c r="F106" i="5"/>
  <c r="B46" i="5"/>
  <c r="D99" i="5"/>
  <c r="H302" i="5"/>
  <c r="D275" i="5"/>
  <c r="B324" i="5"/>
  <c r="H91" i="5"/>
  <c r="D67" i="5"/>
  <c r="G301" i="5"/>
  <c r="D280" i="5"/>
  <c r="G207" i="5"/>
  <c r="H128" i="5"/>
  <c r="G45" i="5"/>
  <c r="G315" i="5"/>
  <c r="AC114" i="2"/>
  <c r="AC1253" i="2"/>
  <c r="AC2113" i="2"/>
  <c r="AC1817" i="2"/>
  <c r="AC2037" i="2"/>
  <c r="AC1524" i="2"/>
  <c r="AC1280" i="2"/>
  <c r="AC1405" i="2"/>
  <c r="AC628" i="2"/>
  <c r="AC1843" i="2"/>
  <c r="AC359" i="2"/>
  <c r="AC1386" i="2"/>
  <c r="AC163" i="2"/>
  <c r="AC383" i="2"/>
  <c r="AC1373" i="2"/>
  <c r="AC1937" i="2"/>
  <c r="AC825" i="2"/>
  <c r="AC1014" i="2"/>
  <c r="AC426" i="2"/>
  <c r="AC1745" i="2"/>
  <c r="AC1334" i="2"/>
  <c r="AC1648" i="2"/>
  <c r="AC1698" i="2"/>
  <c r="AC1792" i="2"/>
  <c r="AC992" i="2"/>
  <c r="AC443" i="2"/>
  <c r="AC1251" i="2"/>
  <c r="AC1658" i="2"/>
  <c r="AC371" i="2"/>
  <c r="AC1617" i="2"/>
  <c r="AC621" i="2"/>
  <c r="AC997" i="2"/>
  <c r="AC563" i="2"/>
  <c r="AC1157" i="2"/>
  <c r="AC297" i="2"/>
  <c r="AC1532" i="2"/>
  <c r="AC255" i="2"/>
  <c r="AC458" i="2"/>
  <c r="AC1487" i="2"/>
  <c r="AC782" i="2"/>
  <c r="AC23" i="2"/>
  <c r="AC553" i="2"/>
  <c r="AC81" i="2"/>
  <c r="AC197" i="2"/>
  <c r="AC747" i="2"/>
  <c r="AC173" i="2"/>
  <c r="AC1293" i="2"/>
  <c r="AC680" i="2"/>
  <c r="AC328" i="2"/>
  <c r="AC859" i="2"/>
  <c r="AC251" i="2"/>
  <c r="AC1687" i="2"/>
  <c r="AC1823" i="2"/>
  <c r="AC1504" i="2"/>
  <c r="AC1222" i="2"/>
  <c r="AC1673" i="2"/>
  <c r="AC1810" i="2"/>
  <c r="AC1337" i="2"/>
  <c r="AC1001" i="2"/>
  <c r="AC1700" i="2"/>
  <c r="AC506" i="2"/>
  <c r="B271" i="73"/>
  <c r="F162" i="73"/>
  <c r="D33" i="73"/>
  <c r="B208" i="73"/>
  <c r="H144" i="73"/>
  <c r="H148" i="73"/>
  <c r="B56" i="73"/>
  <c r="B59" i="73"/>
  <c r="H161" i="73"/>
  <c r="D18" i="73"/>
  <c r="G243" i="73"/>
  <c r="B167" i="73"/>
  <c r="H62" i="73"/>
  <c r="B135" i="73"/>
  <c r="H246" i="73"/>
  <c r="G151" i="73"/>
  <c r="F146" i="73"/>
  <c r="D161" i="73"/>
  <c r="F207" i="73"/>
  <c r="D56" i="73"/>
  <c r="H183" i="73"/>
  <c r="F149" i="73"/>
  <c r="G258" i="73"/>
  <c r="F31" i="73"/>
  <c r="H30" i="73"/>
  <c r="H267" i="73"/>
  <c r="H281" i="73"/>
  <c r="G55" i="73"/>
  <c r="F188" i="73"/>
  <c r="D164" i="73"/>
  <c r="G286" i="73"/>
  <c r="G54" i="73"/>
  <c r="H23" i="73"/>
  <c r="F254" i="73"/>
  <c r="H261" i="73"/>
  <c r="F148" i="73"/>
  <c r="D108" i="73"/>
  <c r="B182" i="73"/>
  <c r="B275" i="73"/>
  <c r="G110" i="73"/>
  <c r="B18" i="73"/>
  <c r="F169" i="73"/>
  <c r="G222" i="73"/>
  <c r="B183" i="73"/>
  <c r="F24" i="73"/>
  <c r="B44" i="73"/>
  <c r="D115" i="73"/>
  <c r="F230" i="73"/>
  <c r="F140" i="73"/>
  <c r="H233" i="73"/>
  <c r="H22" i="73"/>
  <c r="H137" i="73"/>
  <c r="D92" i="73"/>
  <c r="B200" i="73"/>
  <c r="H180" i="73"/>
  <c r="F38" i="73"/>
  <c r="D47" i="73"/>
  <c r="F22" i="73"/>
  <c r="F218" i="73"/>
  <c r="B237" i="73"/>
  <c r="B130" i="73"/>
  <c r="F154" i="73"/>
  <c r="F174" i="73"/>
  <c r="D179" i="73"/>
  <c r="G155" i="73"/>
  <c r="G172" i="73"/>
  <c r="D213" i="73"/>
  <c r="B13" i="73"/>
  <c r="G107" i="73"/>
  <c r="G93" i="73"/>
  <c r="G283" i="73"/>
  <c r="D26" i="73"/>
  <c r="G27" i="73"/>
  <c r="F116" i="73"/>
  <c r="B143" i="73"/>
  <c r="H176" i="73"/>
  <c r="D216" i="73"/>
  <c r="D222" i="73"/>
  <c r="H200" i="73"/>
  <c r="B176" i="73"/>
  <c r="G233" i="73"/>
  <c r="B113" i="73"/>
  <c r="D105" i="73"/>
  <c r="H250" i="73"/>
  <c r="H139" i="73"/>
  <c r="G121" i="73"/>
  <c r="B247" i="73"/>
  <c r="F85" i="73"/>
  <c r="G138" i="73"/>
  <c r="G245" i="73"/>
  <c r="H257" i="73"/>
  <c r="B131" i="73"/>
  <c r="F112" i="73"/>
  <c r="A9" i="73"/>
  <c r="B267" i="73"/>
  <c r="B112" i="73"/>
  <c r="G15" i="73"/>
  <c r="F55" i="73"/>
  <c r="G70" i="73"/>
  <c r="D124" i="73"/>
  <c r="F71" i="73"/>
  <c r="H26" i="73"/>
  <c r="B137" i="73"/>
  <c r="F185" i="73"/>
  <c r="F210" i="73"/>
  <c r="D14" i="73"/>
  <c r="G226" i="73"/>
  <c r="F84" i="73"/>
  <c r="H18" i="73"/>
  <c r="G152" i="73"/>
  <c r="G142" i="73"/>
  <c r="B210" i="73"/>
  <c r="B242" i="73"/>
  <c r="G177" i="73"/>
  <c r="D30" i="73"/>
  <c r="G29" i="73"/>
  <c r="G170" i="73"/>
  <c r="H167" i="73"/>
  <c r="G279" i="73"/>
  <c r="F284" i="73"/>
  <c r="H209" i="73"/>
  <c r="H195" i="73"/>
  <c r="G256" i="73"/>
  <c r="D37" i="73"/>
  <c r="H65" i="73"/>
  <c r="B204" i="73"/>
  <c r="D217" i="73"/>
  <c r="B192" i="73"/>
  <c r="D53" i="73"/>
  <c r="H202" i="73"/>
  <c r="D21" i="73"/>
  <c r="F235" i="73"/>
  <c r="D136" i="73"/>
  <c r="B33" i="73"/>
  <c r="H138" i="73"/>
  <c r="D13" i="73"/>
  <c r="B244" i="73"/>
  <c r="G32" i="73"/>
  <c r="F86" i="73"/>
  <c r="H234" i="73"/>
  <c r="F68" i="73"/>
  <c r="G277" i="73"/>
  <c r="G89" i="73"/>
  <c r="B65" i="73"/>
  <c r="F145" i="73"/>
  <c r="B39" i="73"/>
  <c r="H163" i="73"/>
  <c r="H67" i="73"/>
  <c r="H189" i="73"/>
  <c r="G182" i="73"/>
  <c r="B94" i="73"/>
  <c r="H207" i="73"/>
  <c r="F27" i="73"/>
  <c r="D144" i="73"/>
  <c r="B172" i="73"/>
  <c r="D248" i="73"/>
  <c r="D212" i="73"/>
  <c r="G197" i="73"/>
  <c r="F274" i="73"/>
  <c r="D146" i="73"/>
  <c r="F120" i="73"/>
  <c r="G19" i="73"/>
  <c r="G136" i="73"/>
  <c r="B218" i="73"/>
  <c r="G200" i="73"/>
  <c r="H248" i="73"/>
  <c r="F88" i="73"/>
  <c r="D131" i="73"/>
  <c r="D127" i="73"/>
  <c r="B261" i="73"/>
  <c r="H288" i="73"/>
  <c r="F130" i="73"/>
  <c r="F160" i="73"/>
  <c r="G269" i="73"/>
  <c r="B265" i="73"/>
  <c r="F133" i="73"/>
  <c r="D168" i="73"/>
  <c r="F82" i="73"/>
  <c r="D200" i="73"/>
  <c r="D165" i="73"/>
  <c r="B98" i="73"/>
  <c r="AC1218" i="2"/>
  <c r="AC1474" i="2"/>
  <c r="AC1883" i="2"/>
  <c r="AC244" i="2"/>
  <c r="AC1886" i="2"/>
  <c r="AC241" i="2"/>
  <c r="AC1685" i="2"/>
  <c r="AC1376" i="2"/>
  <c r="AC857" i="2"/>
  <c r="AC186" i="2"/>
  <c r="AC1112" i="2"/>
  <c r="AC1530" i="2"/>
  <c r="AC263" i="2"/>
  <c r="AC1311" i="2"/>
  <c r="AC1290" i="2"/>
  <c r="AC928" i="2"/>
  <c r="AC24" i="2"/>
  <c r="AC1730" i="2"/>
  <c r="AC184" i="2"/>
  <c r="AC1999" i="2"/>
  <c r="H123" i="73"/>
  <c r="G169" i="73"/>
  <c r="B225" i="73"/>
  <c r="B175" i="73"/>
  <c r="H201" i="73"/>
  <c r="G17" i="73"/>
  <c r="B173" i="73"/>
  <c r="H64" i="73"/>
  <c r="H214" i="73"/>
  <c r="H29" i="73"/>
  <c r="G257" i="73"/>
  <c r="D286" i="73"/>
  <c r="B115" i="73"/>
  <c r="D214" i="73"/>
  <c r="B229" i="73"/>
  <c r="F50" i="73"/>
  <c r="G10" i="73"/>
  <c r="G129" i="73"/>
  <c r="F171" i="73"/>
  <c r="D281" i="73"/>
  <c r="F200" i="73"/>
  <c r="F34" i="73"/>
  <c r="H60" i="73"/>
  <c r="D44" i="73"/>
  <c r="B43" i="73"/>
  <c r="D198" i="73"/>
  <c r="B233" i="73"/>
  <c r="H255" i="73"/>
  <c r="G240" i="73"/>
  <c r="D236" i="73"/>
  <c r="G289" i="73"/>
  <c r="H277" i="73"/>
  <c r="F126" i="73"/>
  <c r="D109" i="73"/>
  <c r="G268" i="73"/>
  <c r="D151" i="73"/>
  <c r="H119" i="73"/>
  <c r="D195" i="73"/>
  <c r="D223" i="73"/>
  <c r="B181" i="73"/>
  <c r="F286" i="73"/>
  <c r="D257" i="73"/>
  <c r="F37" i="73"/>
  <c r="D229" i="73"/>
  <c r="H42" i="73"/>
  <c r="H289" i="73"/>
  <c r="F199" i="73"/>
  <c r="H128" i="73"/>
  <c r="AC1757" i="2"/>
  <c r="AC2023" i="2"/>
  <c r="AC1375" i="2"/>
  <c r="AC2079" i="2"/>
  <c r="AC482" i="2"/>
  <c r="AC1581" i="2"/>
  <c r="AC929" i="2"/>
  <c r="AC1456" i="2"/>
  <c r="AC2039" i="2"/>
  <c r="H151" i="5"/>
  <c r="F71" i="5"/>
  <c r="G188" i="5"/>
  <c r="B327" i="5"/>
  <c r="G141" i="5"/>
  <c r="H223" i="5"/>
  <c r="G51" i="5"/>
  <c r="G130" i="5"/>
  <c r="G253" i="5"/>
  <c r="D176" i="5"/>
  <c r="D323" i="5"/>
  <c r="D122" i="5"/>
  <c r="F282" i="5"/>
  <c r="F164" i="5"/>
  <c r="D261" i="5"/>
  <c r="D177" i="5"/>
  <c r="F318" i="5"/>
  <c r="H71" i="5"/>
  <c r="H178" i="5"/>
  <c r="D259" i="5"/>
  <c r="D130" i="5"/>
  <c r="D267" i="5"/>
  <c r="B59" i="5"/>
  <c r="H86" i="5"/>
  <c r="D258" i="5"/>
  <c r="D198" i="5"/>
  <c r="F320" i="5"/>
  <c r="H170" i="5"/>
  <c r="D160" i="5"/>
  <c r="H254" i="5"/>
  <c r="G273" i="5"/>
  <c r="H18" i="5"/>
  <c r="F204" i="5"/>
  <c r="F154" i="5"/>
  <c r="D58" i="5"/>
  <c r="D247" i="5"/>
  <c r="H125" i="5"/>
  <c r="F229" i="5"/>
  <c r="F53" i="5"/>
  <c r="G137" i="5"/>
  <c r="B202" i="5"/>
  <c r="B25" i="5"/>
  <c r="D90" i="5"/>
  <c r="G121" i="5"/>
  <c r="D171" i="5"/>
  <c r="G179" i="5"/>
  <c r="B177" i="5"/>
  <c r="D218" i="5"/>
  <c r="F182" i="5"/>
  <c r="H109" i="5"/>
  <c r="F16" i="5"/>
  <c r="G114" i="5"/>
  <c r="D72" i="5"/>
  <c r="H38" i="5"/>
  <c r="F84" i="5"/>
  <c r="G165" i="5"/>
  <c r="H195" i="5"/>
  <c r="F189" i="5"/>
  <c r="H19" i="5"/>
  <c r="B287" i="5"/>
  <c r="F156" i="5"/>
  <c r="G159" i="5"/>
  <c r="B138" i="5"/>
  <c r="D70" i="5"/>
  <c r="G276" i="5"/>
  <c r="G168" i="5"/>
  <c r="F269" i="5"/>
  <c r="G144" i="5"/>
  <c r="AC908" i="2"/>
  <c r="AC28" i="2"/>
  <c r="AC820" i="2"/>
  <c r="AC757" i="2"/>
  <c r="AC795" i="2"/>
  <c r="AC752" i="2"/>
  <c r="B96" i="5"/>
  <c r="B247" i="5"/>
  <c r="D132" i="5"/>
  <c r="D21" i="5"/>
  <c r="B193" i="5"/>
  <c r="G140" i="5"/>
  <c r="H200" i="5"/>
  <c r="F188" i="5"/>
  <c r="G142" i="5"/>
  <c r="G103" i="5"/>
  <c r="F130" i="5"/>
  <c r="H30" i="5"/>
  <c r="D226" i="5"/>
  <c r="AC66" i="2"/>
  <c r="AC1259" i="2"/>
  <c r="AC1807" i="2"/>
  <c r="AC375" i="2"/>
  <c r="AC1916" i="2"/>
  <c r="AC596" i="2"/>
  <c r="AC65" i="2"/>
  <c r="D234" i="73"/>
  <c r="F223" i="73"/>
  <c r="B127" i="73"/>
  <c r="B40" i="73"/>
  <c r="J190" i="5"/>
  <c r="E199" i="73"/>
  <c r="I199" i="73"/>
  <c r="J199" i="73"/>
  <c r="K199" i="73"/>
  <c r="J216" i="5"/>
  <c r="K78" i="5"/>
  <c r="K73" i="73"/>
  <c r="I48" i="73"/>
  <c r="E193" i="73"/>
  <c r="K186" i="5"/>
  <c r="K333" i="5"/>
  <c r="AC1917" i="2"/>
  <c r="AC1270" i="2"/>
  <c r="AC1258" i="2"/>
  <c r="AC2013" i="2"/>
  <c r="AC488" i="2"/>
  <c r="AC515" i="2"/>
  <c r="AC1479" i="2"/>
  <c r="AC1169" i="2"/>
  <c r="AC325" i="2"/>
  <c r="AC480" i="2"/>
  <c r="AC428" i="2"/>
  <c r="AC1954" i="2"/>
  <c r="AC307" i="2"/>
  <c r="AC1032" i="2"/>
  <c r="AC346" i="2"/>
  <c r="AC1589" i="2"/>
  <c r="AC1822" i="2"/>
  <c r="AC1055" i="2"/>
  <c r="AC58" i="2"/>
  <c r="AC1728" i="2"/>
  <c r="AC1006" i="2"/>
  <c r="AC461" i="2"/>
  <c r="AC169" i="2"/>
  <c r="AC1926" i="2"/>
  <c r="D135" i="73"/>
  <c r="AC1170" i="2"/>
  <c r="AC117" i="2"/>
  <c r="AC1682" i="2"/>
  <c r="AC1861" i="2"/>
  <c r="AC1748" i="2"/>
  <c r="AC140" i="2"/>
  <c r="AC1399" i="2"/>
  <c r="AC1789" i="2"/>
  <c r="AC2141" i="2"/>
  <c r="AC1922" i="2"/>
  <c r="AC74" i="2"/>
  <c r="AC1506" i="2"/>
  <c r="AC2131" i="2"/>
  <c r="AC266" i="2"/>
  <c r="AC1925" i="2"/>
  <c r="AC1709" i="2"/>
  <c r="AC1755" i="2"/>
  <c r="AC1428" i="2"/>
  <c r="AC945" i="2"/>
  <c r="AC1508" i="2"/>
  <c r="D273" i="5"/>
  <c r="H115" i="5"/>
  <c r="B106" i="5"/>
  <c r="H210" i="5"/>
  <c r="D241" i="5"/>
  <c r="F194" i="5"/>
  <c r="F198" i="5"/>
  <c r="F76" i="5"/>
  <c r="H266" i="5"/>
  <c r="F313" i="5"/>
  <c r="B256" i="5"/>
  <c r="D16" i="5"/>
  <c r="B276" i="5"/>
  <c r="F232" i="5"/>
  <c r="G24" i="5"/>
  <c r="B323" i="5"/>
  <c r="H273" i="5"/>
  <c r="G93" i="5"/>
  <c r="B288" i="5"/>
  <c r="B81" i="5"/>
  <c r="K221" i="73"/>
  <c r="K68" i="73"/>
  <c r="Y1095" i="2"/>
  <c r="Y1094" i="2"/>
  <c r="J202" i="5"/>
  <c r="J345" i="5"/>
  <c r="I18" i="68"/>
  <c r="J18" i="68"/>
  <c r="E233" i="73"/>
  <c r="I233" i="73"/>
  <c r="J233" i="73"/>
  <c r="K233" i="73"/>
  <c r="K288" i="73"/>
  <c r="K189" i="5"/>
  <c r="J92" i="5"/>
  <c r="K304" i="5"/>
  <c r="J159" i="73"/>
  <c r="K159" i="73"/>
  <c r="J166" i="5"/>
  <c r="K166" i="5"/>
  <c r="K239" i="73"/>
  <c r="AE1070" i="2"/>
  <c r="AC1070" i="2"/>
  <c r="X1032" i="2"/>
  <c r="J160" i="5"/>
  <c r="E170" i="73"/>
  <c r="I170" i="73"/>
  <c r="J170" i="73"/>
  <c r="K170" i="73"/>
  <c r="J308" i="5"/>
  <c r="K144" i="5"/>
  <c r="J83" i="5"/>
  <c r="J182" i="5"/>
  <c r="J264" i="5"/>
  <c r="J249" i="5"/>
  <c r="AC673" i="2"/>
  <c r="AC648" i="2"/>
  <c r="AC1113" i="2"/>
  <c r="AC753" i="2"/>
  <c r="AC1234" i="2"/>
  <c r="AC308" i="2"/>
  <c r="AC1936" i="2"/>
  <c r="AC1555" i="2"/>
  <c r="AC1410" i="2"/>
  <c r="AC442" i="2"/>
  <c r="AC637" i="2"/>
  <c r="AC866" i="2"/>
  <c r="AC392" i="2"/>
  <c r="AC477" i="2"/>
  <c r="AC1226" i="2"/>
  <c r="AC656" i="2"/>
  <c r="AC1255" i="2"/>
  <c r="AC1540" i="2"/>
  <c r="AC30" i="2"/>
  <c r="AC575" i="2"/>
  <c r="AC1140" i="2"/>
  <c r="AC536" i="2"/>
  <c r="AC2132" i="2"/>
  <c r="AC906" i="2"/>
  <c r="AC481" i="2"/>
  <c r="AC1470" i="2"/>
  <c r="AC34" i="2"/>
  <c r="AC505" i="2"/>
  <c r="AC1043" i="2"/>
  <c r="AC502" i="2"/>
  <c r="AC2092" i="2"/>
  <c r="AC2077" i="2"/>
  <c r="AC560" i="2"/>
  <c r="AC2043" i="2"/>
  <c r="AC1727" i="2"/>
  <c r="AC1657" i="2"/>
  <c r="AC1595" i="2"/>
  <c r="AC306" i="2"/>
  <c r="AC1919" i="2"/>
  <c r="AC1983" i="2"/>
  <c r="AC116" i="2"/>
  <c r="AC514" i="2"/>
  <c r="AC367" i="2"/>
  <c r="AC1564" i="2"/>
  <c r="AC956" i="2"/>
  <c r="AC55" i="2"/>
  <c r="AC1275" i="2"/>
  <c r="AC849" i="2"/>
  <c r="AC1560" i="2"/>
  <c r="AC1343" i="2"/>
  <c r="AC243" i="2"/>
  <c r="AC1585" i="2"/>
  <c r="AC702" i="2"/>
  <c r="AC1455" i="2"/>
  <c r="AC1034" i="2"/>
  <c r="AC1522" i="2"/>
  <c r="AC977" i="2"/>
  <c r="AC684" i="2"/>
  <c r="AC124" i="2"/>
  <c r="AC301" i="2"/>
  <c r="AC1938" i="2"/>
  <c r="AC370" i="2"/>
  <c r="AC1292" i="2"/>
  <c r="AC40" i="2"/>
  <c r="AC1402" i="2"/>
  <c r="G251" i="73"/>
  <c r="G264" i="73"/>
  <c r="G203" i="73"/>
  <c r="H177" i="73"/>
  <c r="B206" i="73"/>
  <c r="F195" i="73"/>
  <c r="D149" i="73"/>
  <c r="G108" i="73"/>
  <c r="B108" i="73"/>
  <c r="H254" i="73"/>
  <c r="B287" i="73"/>
  <c r="D29" i="73"/>
  <c r="H185" i="73"/>
  <c r="B241" i="73"/>
  <c r="D16" i="73"/>
  <c r="D237" i="73"/>
  <c r="H197" i="73"/>
  <c r="G87" i="73"/>
  <c r="H262" i="73"/>
  <c r="D102" i="73"/>
  <c r="H251" i="73"/>
  <c r="G168" i="73"/>
  <c r="H228" i="73"/>
  <c r="D186" i="73"/>
  <c r="G44" i="73"/>
  <c r="H73" i="73"/>
  <c r="G214" i="73"/>
  <c r="D225" i="73"/>
  <c r="F121" i="73"/>
  <c r="B258" i="73"/>
  <c r="B89" i="73"/>
  <c r="H50" i="73"/>
  <c r="B88" i="73"/>
  <c r="G166" i="73"/>
  <c r="F187" i="73"/>
  <c r="H196" i="73"/>
  <c r="F214" i="73"/>
  <c r="B148" i="73"/>
  <c r="D275" i="73"/>
  <c r="B47" i="73"/>
  <c r="G72" i="73"/>
  <c r="G92" i="73"/>
  <c r="H219" i="73"/>
  <c r="D287" i="73"/>
  <c r="B32" i="73"/>
  <c r="B165" i="73"/>
  <c r="H106" i="73"/>
  <c r="F246" i="73"/>
  <c r="H193" i="73"/>
  <c r="B45" i="73"/>
  <c r="D64" i="73"/>
  <c r="B147" i="73"/>
  <c r="B53" i="73"/>
  <c r="D74" i="73"/>
  <c r="H226" i="73"/>
  <c r="H237" i="73"/>
  <c r="H49" i="73"/>
  <c r="B10" i="73"/>
  <c r="D284" i="73"/>
  <c r="D116" i="73"/>
  <c r="G146" i="73"/>
  <c r="B161" i="73"/>
  <c r="G63" i="73"/>
  <c r="F192" i="73"/>
  <c r="H191" i="73"/>
  <c r="G157" i="73"/>
  <c r="H85" i="73"/>
  <c r="B80" i="73"/>
  <c r="B79" i="73"/>
  <c r="F288" i="73"/>
  <c r="D77" i="73"/>
  <c r="D210" i="73"/>
  <c r="G80" i="73"/>
  <c r="G161" i="73"/>
  <c r="D31" i="73"/>
  <c r="F102" i="73"/>
  <c r="H75" i="73"/>
  <c r="D87" i="73"/>
  <c r="B269" i="73"/>
  <c r="G71" i="73"/>
  <c r="G180" i="73"/>
  <c r="D148" i="73"/>
  <c r="B264" i="73"/>
  <c r="G206" i="73"/>
  <c r="B104" i="73"/>
  <c r="D255" i="73"/>
  <c r="G192" i="73"/>
  <c r="B235" i="73"/>
  <c r="D188" i="73"/>
  <c r="B272" i="73"/>
  <c r="F119" i="73"/>
  <c r="F226" i="73"/>
  <c r="G68" i="73"/>
  <c r="D182" i="73"/>
  <c r="B234" i="73"/>
  <c r="G69" i="73"/>
  <c r="F257" i="73"/>
  <c r="H124" i="73"/>
  <c r="D121" i="73"/>
  <c r="F237" i="73"/>
  <c r="H150" i="73"/>
  <c r="F114" i="73"/>
  <c r="H240" i="73"/>
  <c r="B90" i="73"/>
  <c r="H66" i="73"/>
  <c r="H80" i="73"/>
  <c r="G234" i="73"/>
  <c r="H190" i="73"/>
  <c r="B123" i="73"/>
  <c r="H164" i="73"/>
  <c r="G220" i="73"/>
  <c r="D227" i="73"/>
  <c r="B279" i="73"/>
  <c r="D82" i="73"/>
  <c r="G250" i="73"/>
  <c r="G11" i="73"/>
  <c r="D41" i="73"/>
  <c r="F91" i="73"/>
  <c r="F78" i="73"/>
  <c r="G137" i="73"/>
  <c r="D166" i="73"/>
  <c r="G13" i="73"/>
  <c r="G213" i="73"/>
  <c r="B156" i="73"/>
  <c r="B270" i="73"/>
  <c r="H224" i="73"/>
  <c r="B68" i="73"/>
  <c r="B133" i="73"/>
  <c r="G209" i="73"/>
  <c r="D86" i="73"/>
  <c r="G270" i="73"/>
  <c r="H241" i="73"/>
  <c r="H174" i="73"/>
  <c r="B74" i="73"/>
  <c r="B50" i="73"/>
  <c r="B42" i="73"/>
  <c r="G205" i="73"/>
  <c r="F153" i="73"/>
  <c r="B166" i="73"/>
  <c r="B170" i="73"/>
  <c r="F139" i="73"/>
  <c r="D76" i="73"/>
  <c r="D265" i="73"/>
  <c r="G158" i="73"/>
  <c r="AC890" i="2"/>
  <c r="AC1137" i="2"/>
  <c r="AC1543" i="2"/>
  <c r="AC368" i="2"/>
  <c r="AC901" i="2"/>
  <c r="AC1628" i="2"/>
  <c r="AC972" i="2"/>
  <c r="AC64" i="2"/>
  <c r="AC341" i="2"/>
  <c r="AC1514" i="2"/>
  <c r="AC999" i="2"/>
  <c r="AC430" i="2"/>
  <c r="AC1406" i="2"/>
  <c r="AC784" i="2"/>
  <c r="AC613" i="2"/>
  <c r="AC304" i="2"/>
  <c r="AC1446" i="2"/>
  <c r="AC470" i="2"/>
  <c r="AC1604" i="2"/>
  <c r="AC765" i="2"/>
  <c r="F39" i="73"/>
  <c r="D206" i="73"/>
  <c r="F74" i="73"/>
  <c r="D251" i="73"/>
  <c r="D137" i="73"/>
  <c r="D83" i="73"/>
  <c r="B254" i="73"/>
  <c r="D215" i="73"/>
  <c r="G261" i="73"/>
  <c r="D194" i="73"/>
  <c r="F255" i="73"/>
  <c r="H24" i="73"/>
  <c r="D72" i="73"/>
  <c r="B46" i="73"/>
  <c r="B70" i="73"/>
  <c r="B132" i="73"/>
  <c r="G274" i="73"/>
  <c r="G117" i="73"/>
  <c r="F272" i="73"/>
  <c r="D101" i="73"/>
  <c r="D249" i="73"/>
  <c r="D70" i="73"/>
  <c r="H89" i="73"/>
  <c r="H92" i="73"/>
  <c r="F108" i="73"/>
  <c r="AC822" i="2"/>
  <c r="AC268" i="2"/>
  <c r="AC69" i="2"/>
  <c r="AC1458" i="2"/>
  <c r="AC1353" i="2"/>
  <c r="AC1966" i="2"/>
  <c r="AC1636" i="2"/>
  <c r="AC841" i="2"/>
  <c r="AC213" i="2"/>
  <c r="D186" i="5"/>
  <c r="H245" i="5"/>
  <c r="G182" i="5"/>
  <c r="H80" i="5"/>
  <c r="F58" i="5"/>
  <c r="G275" i="5"/>
  <c r="G117" i="5"/>
  <c r="D194" i="5"/>
  <c r="G48" i="5"/>
  <c r="G166" i="5"/>
  <c r="G277" i="5"/>
  <c r="F323" i="5"/>
  <c r="H339" i="5"/>
  <c r="G27" i="5"/>
  <c r="D203" i="5"/>
  <c r="D215" i="5"/>
  <c r="H29" i="5"/>
  <c r="H235" i="5"/>
  <c r="G305" i="5"/>
  <c r="D249" i="5"/>
  <c r="H317" i="5"/>
  <c r="G317" i="5"/>
  <c r="H241" i="5"/>
  <c r="G125" i="5"/>
  <c r="F41" i="5"/>
  <c r="H343" i="5"/>
  <c r="B30" i="5"/>
  <c r="F19" i="5"/>
  <c r="B245" i="5"/>
  <c r="G90" i="5"/>
  <c r="B22" i="5"/>
  <c r="D148" i="5"/>
  <c r="B209" i="5"/>
  <c r="B174" i="5"/>
  <c r="F175" i="5"/>
  <c r="F48" i="5"/>
  <c r="F272" i="5"/>
  <c r="B238" i="5"/>
  <c r="AC1400" i="2"/>
  <c r="AC1614" i="2"/>
  <c r="AC336" i="2"/>
  <c r="AC1588" i="2"/>
  <c r="AC1340" i="2"/>
  <c r="AC1444" i="2"/>
  <c r="AC1780" i="2"/>
  <c r="AC2110" i="2"/>
  <c r="AC2075" i="2"/>
  <c r="AC731" i="2"/>
  <c r="AC1877" i="2"/>
  <c r="AC412" i="2"/>
  <c r="AC810" i="2"/>
  <c r="H46" i="73"/>
  <c r="K259" i="5"/>
  <c r="K89" i="5"/>
  <c r="K155" i="5"/>
  <c r="K220" i="5"/>
  <c r="E248" i="73"/>
  <c r="I248" i="73"/>
  <c r="J248" i="73"/>
  <c r="I193" i="73"/>
  <c r="J193" i="73"/>
  <c r="J200" i="5"/>
  <c r="K245" i="5"/>
  <c r="AC1565" i="2"/>
  <c r="AC234" i="2"/>
  <c r="AC1694" i="2"/>
  <c r="AC961" i="2"/>
  <c r="AC712" i="2"/>
  <c r="AC967" i="2"/>
  <c r="AC1215" i="2"/>
  <c r="AC100" i="2"/>
  <c r="AC1752" i="2"/>
  <c r="AC631" i="2"/>
  <c r="AC425" i="2"/>
  <c r="F239" i="73"/>
  <c r="G231" i="73"/>
  <c r="F266" i="73"/>
  <c r="H97" i="73"/>
  <c r="B188" i="73"/>
  <c r="AC1036" i="2"/>
  <c r="AC486" i="2"/>
  <c r="AC1020" i="2"/>
  <c r="AC1931" i="2"/>
  <c r="AC762" i="2"/>
  <c r="AC1529" i="2"/>
  <c r="AC593" i="2"/>
  <c r="AC964" i="2"/>
  <c r="AC485" i="2"/>
  <c r="AC168" i="2"/>
  <c r="AC179" i="2"/>
  <c r="AC1173" i="2"/>
  <c r="AC1441" i="2"/>
  <c r="AC491" i="2"/>
  <c r="AC1603" i="2"/>
  <c r="AC1073" i="2"/>
  <c r="AC1901" i="2"/>
  <c r="AC1897" i="2"/>
  <c r="AC287" i="2"/>
  <c r="AC2038" i="2"/>
  <c r="AC816" i="2"/>
  <c r="AC1335" i="2"/>
  <c r="AC259" i="2"/>
  <c r="AC1041" i="2"/>
  <c r="AC1742" i="2"/>
  <c r="AC882" i="2"/>
  <c r="AC832" i="2"/>
  <c r="AC646" i="2"/>
  <c r="AC1939" i="2"/>
  <c r="AC380" i="2"/>
  <c r="AC1209" i="2"/>
  <c r="AC2047" i="2"/>
  <c r="AC318" i="2"/>
  <c r="AC1870" i="2"/>
  <c r="G267" i="73"/>
  <c r="F179" i="73"/>
  <c r="G41" i="73"/>
  <c r="H287" i="73"/>
  <c r="G228" i="73"/>
  <c r="H32" i="73"/>
  <c r="D224" i="73"/>
  <c r="F213" i="73"/>
  <c r="G74" i="73"/>
  <c r="H194" i="73"/>
  <c r="B78" i="73"/>
  <c r="D208" i="73"/>
  <c r="D262" i="73"/>
  <c r="F216" i="73"/>
  <c r="H76" i="73"/>
  <c r="H243" i="73"/>
  <c r="F282" i="73"/>
  <c r="D80" i="73"/>
  <c r="H43" i="73"/>
  <c r="H39" i="73"/>
  <c r="H187" i="73"/>
  <c r="F56" i="73"/>
  <c r="D196" i="73"/>
  <c r="B114" i="73"/>
  <c r="H36" i="73"/>
  <c r="G154" i="73"/>
  <c r="G113" i="73"/>
  <c r="H286" i="73"/>
  <c r="F95" i="73"/>
  <c r="G59" i="73"/>
  <c r="G90" i="73"/>
  <c r="B178" i="73"/>
  <c r="B120" i="73"/>
  <c r="B236" i="73"/>
  <c r="F49" i="73"/>
  <c r="B99" i="73"/>
  <c r="H41" i="73"/>
  <c r="B69" i="73"/>
  <c r="G171" i="73"/>
  <c r="B202" i="73"/>
  <c r="H54" i="73"/>
  <c r="H13" i="73"/>
  <c r="B153" i="73"/>
  <c r="F265" i="73"/>
  <c r="H235" i="73"/>
  <c r="F89" i="73"/>
  <c r="D50" i="73"/>
  <c r="G207" i="73"/>
  <c r="D173" i="73"/>
  <c r="D283" i="73"/>
  <c r="H154" i="73"/>
  <c r="H220" i="73"/>
  <c r="G272" i="73"/>
  <c r="G53" i="73"/>
  <c r="G50" i="73"/>
  <c r="G31" i="73"/>
  <c r="H199" i="73"/>
  <c r="B266" i="73"/>
  <c r="G195" i="73"/>
  <c r="G57" i="73"/>
  <c r="D192" i="73"/>
  <c r="H284" i="73"/>
  <c r="H221" i="73"/>
  <c r="D143" i="73"/>
  <c r="H165" i="73"/>
  <c r="D48" i="73"/>
  <c r="G64" i="73"/>
  <c r="F118" i="73"/>
  <c r="B138" i="73"/>
  <c r="D220" i="73"/>
  <c r="B186" i="73"/>
  <c r="F100" i="73"/>
  <c r="H63" i="73"/>
  <c r="H275" i="73"/>
  <c r="G62" i="73"/>
  <c r="F215" i="73"/>
  <c r="F23" i="73"/>
  <c r="F276" i="73"/>
  <c r="H206" i="73"/>
  <c r="H17" i="73"/>
  <c r="B174" i="73"/>
  <c r="F72" i="73"/>
  <c r="H45" i="73"/>
  <c r="G194" i="73"/>
  <c r="H78" i="73"/>
  <c r="B86" i="73"/>
  <c r="H125" i="73"/>
  <c r="H155" i="73"/>
  <c r="B117" i="73"/>
  <c r="G162" i="73"/>
  <c r="F117" i="73"/>
  <c r="G84" i="73"/>
  <c r="F251" i="73"/>
  <c r="B110" i="73"/>
  <c r="H160" i="73"/>
  <c r="D267" i="73"/>
  <c r="B262" i="73"/>
  <c r="G36" i="73"/>
  <c r="H245" i="73"/>
  <c r="D279" i="73"/>
  <c r="G176" i="73"/>
  <c r="B93" i="73"/>
  <c r="B155" i="73"/>
  <c r="F256" i="73"/>
  <c r="F46" i="73"/>
  <c r="D133" i="73"/>
  <c r="G163" i="73"/>
  <c r="G37" i="73"/>
  <c r="F51" i="73"/>
  <c r="H12" i="73"/>
  <c r="G73" i="73"/>
  <c r="G128" i="73"/>
  <c r="G118" i="73"/>
  <c r="B240" i="73"/>
  <c r="G179" i="73"/>
  <c r="H99" i="73"/>
  <c r="H151" i="73"/>
  <c r="F87" i="73"/>
  <c r="D235" i="73"/>
  <c r="G248" i="73"/>
  <c r="F104" i="73"/>
  <c r="F229" i="73"/>
  <c r="G56" i="73"/>
  <c r="D163" i="73"/>
  <c r="B126" i="73"/>
  <c r="D35" i="73"/>
  <c r="G119" i="73"/>
  <c r="F90" i="73"/>
  <c r="B222" i="73"/>
  <c r="G132" i="73"/>
  <c r="G40" i="73"/>
  <c r="D123" i="73"/>
  <c r="H34" i="73"/>
  <c r="H110" i="73"/>
  <c r="F157" i="73"/>
  <c r="D38" i="73"/>
  <c r="G193" i="73"/>
  <c r="G266" i="73"/>
  <c r="H96" i="73"/>
  <c r="G133" i="73"/>
  <c r="G239" i="73"/>
  <c r="D211" i="73"/>
  <c r="H11" i="73"/>
  <c r="F44" i="73"/>
  <c r="H40" i="73"/>
  <c r="H210" i="73"/>
  <c r="G249" i="73"/>
  <c r="H126" i="73"/>
  <c r="F238" i="73"/>
  <c r="H116" i="73"/>
  <c r="B164" i="73"/>
  <c r="H69" i="73"/>
  <c r="G285" i="73"/>
  <c r="F227" i="73"/>
  <c r="B232" i="73"/>
  <c r="D254" i="73"/>
  <c r="F17" i="73"/>
  <c r="G122" i="73"/>
  <c r="H132" i="73"/>
  <c r="B41" i="73"/>
  <c r="D204" i="73"/>
  <c r="H70" i="73"/>
  <c r="B118" i="73"/>
  <c r="F57" i="73"/>
  <c r="H82" i="73"/>
  <c r="D230" i="73"/>
  <c r="H216" i="73"/>
  <c r="H103" i="73"/>
  <c r="D58" i="73"/>
  <c r="B58" i="73"/>
  <c r="H169" i="73"/>
  <c r="G237" i="73"/>
  <c r="H16" i="73"/>
  <c r="B223" i="73"/>
  <c r="G42" i="73"/>
  <c r="D253" i="73"/>
  <c r="G236" i="73"/>
  <c r="G38" i="73"/>
  <c r="G141" i="73"/>
  <c r="D17" i="73"/>
  <c r="F234" i="73"/>
  <c r="G124" i="73"/>
  <c r="G98" i="73"/>
  <c r="F220" i="73"/>
  <c r="H184" i="73"/>
  <c r="K313" i="5"/>
  <c r="K203" i="5"/>
  <c r="K330" i="5"/>
  <c r="K106" i="5"/>
  <c r="K58" i="5"/>
  <c r="J273" i="5"/>
  <c r="K158" i="5"/>
  <c r="AE1066" i="2"/>
  <c r="B280" i="5"/>
  <c r="H307" i="5"/>
  <c r="B98" i="5"/>
  <c r="B105" i="5"/>
  <c r="F79" i="5"/>
  <c r="G267" i="5"/>
  <c r="G318" i="5"/>
  <c r="F240" i="5"/>
  <c r="G262" i="5"/>
  <c r="F15" i="5"/>
  <c r="G322" i="5"/>
  <c r="D245" i="5"/>
  <c r="D127" i="5"/>
  <c r="B328" i="5"/>
  <c r="A9" i="5"/>
  <c r="D34" i="5"/>
  <c r="B14" i="5"/>
  <c r="H69" i="5"/>
  <c r="B180" i="5"/>
  <c r="F192" i="5"/>
  <c r="F227" i="5"/>
  <c r="D269" i="5"/>
  <c r="D345" i="5"/>
  <c r="D265" i="5"/>
  <c r="D182" i="5"/>
  <c r="B150" i="5"/>
  <c r="H32" i="5"/>
  <c r="H217" i="5"/>
  <c r="B148" i="5"/>
  <c r="F207" i="5"/>
  <c r="F237" i="5"/>
  <c r="D125" i="5"/>
  <c r="D101" i="5"/>
  <c r="B306" i="5"/>
  <c r="F317" i="5"/>
  <c r="D139" i="5"/>
  <c r="G229" i="5"/>
  <c r="G209" i="5"/>
  <c r="B99" i="5"/>
  <c r="G258" i="5"/>
  <c r="H155" i="5"/>
  <c r="F228" i="5"/>
  <c r="D161" i="5"/>
  <c r="F336" i="5"/>
  <c r="H248" i="5"/>
  <c r="G191" i="5"/>
  <c r="D169" i="5"/>
  <c r="G97" i="5"/>
  <c r="B344" i="5"/>
  <c r="G135" i="5"/>
  <c r="H75" i="5"/>
  <c r="B74" i="5"/>
  <c r="H278" i="5"/>
  <c r="B317" i="5"/>
  <c r="D62" i="5"/>
  <c r="F274" i="5"/>
  <c r="H142" i="5"/>
  <c r="D71" i="5"/>
  <c r="D223" i="5"/>
  <c r="Z1031" i="2"/>
  <c r="AC1031" i="2"/>
  <c r="H111" i="68"/>
  <c r="H112" i="68"/>
  <c r="E93" i="73"/>
  <c r="I93" i="73"/>
  <c r="J93" i="73"/>
  <c r="K93" i="73"/>
  <c r="AE1030" i="2"/>
  <c r="J34" i="5"/>
  <c r="K341" i="5"/>
  <c r="AC1047" i="2"/>
  <c r="K55" i="73"/>
  <c r="J268" i="5"/>
  <c r="J145" i="5"/>
  <c r="K107" i="73"/>
  <c r="K83" i="5"/>
  <c r="J315" i="5"/>
  <c r="K329" i="5"/>
  <c r="K325" i="5"/>
  <c r="K93" i="5"/>
  <c r="AC1033" i="2"/>
  <c r="AC1262" i="2"/>
  <c r="AC496" i="2"/>
  <c r="AC942" i="2"/>
  <c r="AC1979" i="2"/>
  <c r="AC406" i="2"/>
  <c r="AC1327" i="2"/>
  <c r="AC1347" i="2"/>
  <c r="AC1626" i="2"/>
  <c r="AC280" i="2"/>
  <c r="AC1699" i="2"/>
  <c r="AC559" i="2"/>
  <c r="AC1350" i="2"/>
  <c r="AC363" i="2"/>
  <c r="AC675" i="2"/>
  <c r="AC1827" i="2"/>
  <c r="AC1761" i="2"/>
  <c r="AC638" i="2"/>
  <c r="AC1786" i="2"/>
  <c r="AC203" i="2"/>
  <c r="AC566" i="2"/>
  <c r="AC2095" i="2"/>
  <c r="AC899" i="2"/>
  <c r="AC995" i="2"/>
  <c r="AC1305" i="2"/>
  <c r="AC1116" i="2"/>
  <c r="AC1341" i="2"/>
  <c r="AC1545" i="2"/>
  <c r="AC495" i="2"/>
  <c r="AC479" i="2"/>
  <c r="AC1507" i="2"/>
  <c r="AC1577" i="2"/>
  <c r="AC379" i="2"/>
  <c r="AC1435" i="2"/>
  <c r="AC1609" i="2"/>
  <c r="AC754" i="2"/>
  <c r="AC2100" i="2"/>
  <c r="AC420" i="2"/>
  <c r="AC2117" i="2"/>
  <c r="AC2116" i="2"/>
  <c r="AC1846" i="2"/>
  <c r="AC1281" i="2"/>
  <c r="AC381" i="2"/>
  <c r="AC529" i="2"/>
  <c r="AC1644" i="2"/>
  <c r="AC894" i="2"/>
  <c r="AC2071" i="2"/>
  <c r="AC975" i="2"/>
  <c r="AC2002" i="2"/>
  <c r="AC1570" i="2"/>
  <c r="AC1799" i="2"/>
  <c r="AC2114" i="2"/>
  <c r="AC401" i="2"/>
  <c r="AC693" i="2"/>
  <c r="AC446" i="2"/>
  <c r="AC1839" i="2"/>
  <c r="AC1003" i="2"/>
  <c r="AC324" i="2"/>
  <c r="AC90" i="2"/>
  <c r="AC668" i="2"/>
  <c r="AC302" i="2"/>
  <c r="AC390" i="2"/>
  <c r="AC568" i="2"/>
  <c r="AC763" i="2"/>
  <c r="AC274" i="2"/>
  <c r="AC431" i="2"/>
  <c r="AC1678" i="2"/>
  <c r="AC1853" i="2"/>
  <c r="AC149" i="2"/>
  <c r="AC847" i="2"/>
  <c r="AC1245" i="2"/>
  <c r="AC1123" i="2"/>
  <c r="AC1774" i="2"/>
  <c r="AC1117" i="2"/>
  <c r="AC1461" i="2"/>
  <c r="AC223" i="2"/>
  <c r="AC1746" i="2"/>
  <c r="AC664" i="2"/>
  <c r="AC661" i="2"/>
  <c r="AC1578" i="2"/>
  <c r="AC215" i="2"/>
  <c r="AC1084" i="2"/>
  <c r="AC2014" i="2"/>
  <c r="AC1172" i="2"/>
  <c r="AC1813" i="2"/>
  <c r="B84" i="73"/>
  <c r="H156" i="73"/>
  <c r="F98" i="73"/>
  <c r="B207" i="73"/>
  <c r="H51" i="73"/>
  <c r="H179" i="73"/>
  <c r="G20" i="73"/>
  <c r="G160" i="73"/>
  <c r="G287" i="73"/>
  <c r="D61" i="73"/>
  <c r="H33" i="73"/>
  <c r="D134" i="73"/>
  <c r="G97" i="73"/>
  <c r="G167" i="73"/>
  <c r="F80" i="73"/>
  <c r="F94" i="73"/>
  <c r="H236" i="73"/>
  <c r="F20" i="73"/>
  <c r="G60" i="73"/>
  <c r="D128" i="73"/>
  <c r="F135" i="73"/>
  <c r="F52" i="73"/>
  <c r="F252" i="73"/>
  <c r="H71" i="73"/>
  <c r="G24" i="73"/>
  <c r="G218" i="73"/>
  <c r="G102" i="73"/>
  <c r="F212" i="73"/>
  <c r="B250" i="73"/>
  <c r="H102" i="73"/>
  <c r="F70" i="73"/>
  <c r="F75" i="73"/>
  <c r="H57" i="73"/>
  <c r="H83" i="73"/>
  <c r="D246" i="73"/>
  <c r="B286" i="73"/>
  <c r="H86" i="73"/>
  <c r="AC1982" i="2"/>
  <c r="AC1304" i="2"/>
  <c r="AC1296" i="2"/>
  <c r="AC1303" i="2"/>
  <c r="AC2067" i="2"/>
  <c r="AC79" i="2"/>
  <c r="AC473" i="2"/>
  <c r="AC1271" i="2"/>
  <c r="AC1798" i="2"/>
  <c r="H202" i="5"/>
  <c r="F52" i="5"/>
  <c r="H212" i="5"/>
  <c r="H275" i="5"/>
  <c r="H209" i="5"/>
  <c r="G250" i="5"/>
  <c r="D100" i="5"/>
  <c r="D61" i="5"/>
  <c r="H246" i="5"/>
  <c r="F54" i="5"/>
  <c r="B203" i="5"/>
  <c r="D339" i="5"/>
  <c r="G44" i="5"/>
  <c r="F161" i="5"/>
  <c r="H63" i="5"/>
  <c r="D41" i="5"/>
  <c r="B182" i="5"/>
  <c r="D305" i="5"/>
  <c r="G42" i="5"/>
  <c r="B32" i="5"/>
  <c r="D82" i="5"/>
  <c r="H48" i="5"/>
  <c r="G214" i="5"/>
  <c r="B112" i="5"/>
  <c r="G226" i="5"/>
  <c r="F172" i="5"/>
  <c r="B160" i="5"/>
  <c r="G283" i="5"/>
  <c r="B153" i="5"/>
  <c r="G105" i="5"/>
  <c r="B172" i="5"/>
  <c r="H309" i="5"/>
  <c r="D197" i="5"/>
  <c r="D31" i="5"/>
  <c r="D27" i="5"/>
  <c r="H26" i="5"/>
  <c r="G228" i="5"/>
  <c r="H163" i="5"/>
  <c r="G333" i="5"/>
  <c r="H74" i="5"/>
  <c r="G335" i="5"/>
  <c r="B124" i="5"/>
  <c r="H271" i="5"/>
  <c r="F260" i="5"/>
  <c r="G78" i="5"/>
  <c r="B314" i="5"/>
  <c r="AC824" i="2"/>
  <c r="AC1239" i="2"/>
  <c r="AC1413" i="2"/>
  <c r="AC600" i="2"/>
  <c r="AC1179" i="2"/>
  <c r="AC145" i="2"/>
  <c r="AC1056" i="2"/>
  <c r="AC132" i="2"/>
  <c r="AC547" i="2"/>
  <c r="AC2010" i="2"/>
  <c r="AC902" i="2"/>
  <c r="AC1740" i="2"/>
  <c r="AC662" i="2"/>
  <c r="AC42" i="2"/>
  <c r="AC1284" i="2"/>
  <c r="AC513" i="2"/>
  <c r="AC1391" i="2"/>
  <c r="AC1819" i="2"/>
  <c r="AC665" i="2"/>
  <c r="AC1155" i="2"/>
  <c r="AC1553" i="2"/>
  <c r="AC518" i="2"/>
  <c r="AC905" i="2"/>
  <c r="AC1091" i="2"/>
  <c r="AC1527" i="2"/>
  <c r="AC1975" i="2"/>
  <c r="AC281" i="2"/>
  <c r="AC210" i="2"/>
  <c r="AC1856" i="2"/>
  <c r="AC1523" i="2"/>
  <c r="AC1492" i="2"/>
  <c r="AC1773" i="2"/>
  <c r="AC1934" i="2"/>
  <c r="AC727" i="2"/>
  <c r="AC89" i="2"/>
  <c r="AC1314" i="2"/>
  <c r="AC1829" i="2"/>
  <c r="AC1845" i="2"/>
  <c r="AC2134" i="2"/>
  <c r="AC2005" i="2"/>
  <c r="AC1550" i="2"/>
  <c r="AC1686" i="2"/>
  <c r="H157" i="73"/>
  <c r="B27" i="73"/>
  <c r="B91" i="73"/>
  <c r="D117" i="73"/>
  <c r="B63" i="73"/>
  <c r="D288" i="73"/>
  <c r="F53" i="73"/>
  <c r="D57" i="73"/>
  <c r="H158" i="73"/>
  <c r="F142" i="73"/>
  <c r="H231" i="73"/>
  <c r="F258" i="73"/>
  <c r="H38" i="73"/>
  <c r="D97" i="73"/>
  <c r="F156" i="73"/>
  <c r="B283" i="73"/>
  <c r="H10" i="73"/>
  <c r="G198" i="73"/>
  <c r="B66" i="73"/>
  <c r="D125" i="73"/>
  <c r="G254" i="73"/>
  <c r="F249" i="73"/>
  <c r="H25" i="73"/>
  <c r="F58" i="73"/>
  <c r="F62" i="73"/>
  <c r="D145" i="73"/>
  <c r="G18" i="73"/>
  <c r="F124" i="73"/>
  <c r="H273" i="73"/>
  <c r="B203" i="73"/>
  <c r="H283" i="73"/>
  <c r="G212" i="73"/>
  <c r="G271" i="73"/>
  <c r="D150" i="73"/>
  <c r="B105" i="73"/>
  <c r="F134" i="73"/>
  <c r="G34" i="73"/>
  <c r="D24" i="73"/>
  <c r="D189" i="73"/>
  <c r="B168" i="73"/>
  <c r="G175" i="73"/>
  <c r="H87" i="73"/>
  <c r="B76" i="73"/>
  <c r="B212" i="73"/>
  <c r="H212" i="73"/>
  <c r="D15" i="73"/>
  <c r="F164" i="73"/>
  <c r="H268" i="73"/>
  <c r="B81" i="73"/>
  <c r="B125" i="73"/>
  <c r="B140" i="73"/>
  <c r="B243" i="73"/>
  <c r="H279" i="73"/>
  <c r="G238" i="73"/>
  <c r="H31" i="73"/>
  <c r="F106" i="73"/>
  <c r="F205" i="73"/>
  <c r="D89" i="73"/>
  <c r="D51" i="73"/>
  <c r="D119" i="73"/>
  <c r="F73" i="73"/>
  <c r="D112" i="73"/>
  <c r="B55" i="73"/>
  <c r="D201" i="73"/>
  <c r="D71" i="73"/>
  <c r="G241" i="73"/>
  <c r="H211" i="73"/>
  <c r="F180" i="73"/>
  <c r="F178" i="73"/>
  <c r="F123" i="73"/>
  <c r="D273" i="73"/>
  <c r="H266" i="73"/>
  <c r="H203" i="73"/>
  <c r="F48" i="73"/>
  <c r="F103" i="73"/>
  <c r="D122" i="73"/>
  <c r="B142" i="73"/>
  <c r="H105" i="73"/>
  <c r="D54" i="73"/>
  <c r="H253" i="73"/>
  <c r="F40" i="73"/>
  <c r="D152" i="73"/>
  <c r="D34" i="73"/>
  <c r="H249" i="73"/>
  <c r="H225" i="73"/>
  <c r="G149" i="73"/>
  <c r="F245" i="73"/>
  <c r="F14" i="73"/>
  <c r="D129" i="73"/>
  <c r="G35" i="73"/>
  <c r="D153" i="73"/>
  <c r="G66" i="73"/>
  <c r="D91" i="73"/>
  <c r="H269" i="73"/>
  <c r="F29" i="73"/>
  <c r="G49" i="73"/>
  <c r="D209" i="73"/>
  <c r="G48" i="73"/>
  <c r="D183" i="73"/>
  <c r="G91" i="73"/>
  <c r="F264" i="73"/>
  <c r="D243" i="73"/>
  <c r="D242" i="73"/>
  <c r="B211" i="73"/>
  <c r="B144" i="73"/>
  <c r="B226" i="73"/>
  <c r="B71" i="73"/>
  <c r="F13" i="73"/>
  <c r="B228" i="73"/>
  <c r="H58" i="73"/>
  <c r="H79" i="73"/>
  <c r="H141" i="73"/>
  <c r="B209" i="73"/>
  <c r="H215" i="73"/>
  <c r="D278" i="73"/>
  <c r="H115" i="73"/>
  <c r="D132" i="73"/>
  <c r="G188" i="73"/>
  <c r="B102" i="73"/>
  <c r="G281" i="73"/>
  <c r="F122" i="73"/>
  <c r="H259" i="73"/>
  <c r="G23" i="73"/>
  <c r="G81" i="73"/>
  <c r="F175" i="73"/>
  <c r="F203" i="73"/>
  <c r="B263" i="73"/>
  <c r="B217" i="73"/>
  <c r="H117" i="73"/>
  <c r="D25" i="73"/>
  <c r="D277" i="73"/>
  <c r="D120" i="73"/>
  <c r="F65" i="73"/>
  <c r="B289" i="73"/>
  <c r="G33" i="73"/>
  <c r="B276" i="73"/>
  <c r="H81" i="73"/>
  <c r="D218" i="73"/>
  <c r="B268" i="73"/>
  <c r="G185" i="73"/>
  <c r="G83" i="73"/>
  <c r="D39" i="73"/>
  <c r="F109" i="73"/>
  <c r="F45" i="73"/>
  <c r="F259" i="73"/>
  <c r="H173" i="73"/>
  <c r="B12" i="73"/>
  <c r="B64" i="73"/>
  <c r="H149" i="73"/>
  <c r="D111" i="73"/>
  <c r="H247" i="73"/>
  <c r="H37" i="73"/>
  <c r="D280" i="73"/>
  <c r="G105" i="73"/>
  <c r="H93" i="73"/>
  <c r="D228" i="73"/>
  <c r="AC1818" i="2"/>
  <c r="AC779" i="2"/>
  <c r="AC1344" i="2"/>
  <c r="AC1124" i="2"/>
  <c r="AC1146" i="2"/>
  <c r="AC125" i="2"/>
  <c r="AC1639" i="2"/>
  <c r="AC1362" i="2"/>
  <c r="AC1582" i="2"/>
  <c r="AC2015" i="2"/>
  <c r="AC2135" i="2"/>
  <c r="AC1207" i="2"/>
  <c r="AC1849" i="2"/>
  <c r="AC1457" i="2"/>
  <c r="AC827" i="2"/>
  <c r="AC925" i="2"/>
  <c r="AC1842" i="2"/>
  <c r="AC2130" i="2"/>
  <c r="AC178" i="2"/>
  <c r="AC1268" i="2"/>
  <c r="AC1190" i="2"/>
  <c r="AC1087" i="2"/>
  <c r="AC1568" i="2"/>
  <c r="AC148" i="2"/>
  <c r="AC946" i="2"/>
  <c r="AC1600" i="2"/>
  <c r="AC86" i="2"/>
  <c r="AC888" i="2"/>
  <c r="AC867" i="2"/>
  <c r="AC1323" i="2"/>
  <c r="AC629" i="2"/>
  <c r="AC1874" i="2"/>
  <c r="AC95" i="2"/>
  <c r="AC797" i="2"/>
  <c r="AC722" i="2"/>
  <c r="AC1852" i="2"/>
  <c r="AC1913" i="2"/>
  <c r="AC160" i="2"/>
  <c r="AC933" i="2"/>
  <c r="AC1876" i="2"/>
  <c r="AC1898" i="2"/>
  <c r="AC1489" i="2"/>
  <c r="AC70" i="2"/>
  <c r="AC342" i="2"/>
  <c r="AC1496" i="2"/>
  <c r="AC2094" i="2"/>
  <c r="AC1183" i="2"/>
  <c r="AC1408" i="2"/>
  <c r="AC853" i="2"/>
  <c r="AC709" i="2"/>
  <c r="AC1880" i="2"/>
  <c r="AC846" i="2"/>
  <c r="AC350" i="2"/>
  <c r="AC670" i="2"/>
  <c r="AC1904" i="2"/>
  <c r="AC1654" i="2"/>
  <c r="AC939" i="2"/>
  <c r="AC456" i="2"/>
  <c r="AC738" i="2"/>
  <c r="AC465" i="2"/>
  <c r="AC1834" i="2"/>
  <c r="AC1618" i="2"/>
  <c r="AC1631" i="2"/>
  <c r="AC500" i="2"/>
  <c r="AC654" i="2"/>
  <c r="AC1289" i="2"/>
  <c r="AC1797" i="2"/>
  <c r="AC174" i="2"/>
  <c r="AC930" i="2"/>
  <c r="AC1791" i="2"/>
  <c r="AC1332" i="2"/>
  <c r="AC1956" i="2"/>
  <c r="AC1039" i="2"/>
  <c r="AC1511" i="2"/>
  <c r="AC965" i="2"/>
  <c r="AC373" i="2"/>
  <c r="AC183" i="2"/>
  <c r="AC1472" i="2"/>
  <c r="AC567" i="2"/>
  <c r="AC579" i="2"/>
  <c r="AC256" i="2"/>
  <c r="AC1127" i="2"/>
  <c r="AC1074" i="2"/>
  <c r="AC2119" i="2"/>
  <c r="AC1707" i="2"/>
  <c r="AC1733" i="2"/>
  <c r="AC627" i="2"/>
  <c r="AC224" i="2"/>
  <c r="AC831" i="2"/>
  <c r="AC303" i="2"/>
  <c r="AC578" i="2"/>
  <c r="AC987" i="2"/>
  <c r="AC1423" i="2"/>
  <c r="AC1824" i="2"/>
  <c r="AC921" i="2"/>
  <c r="AC1210" i="2"/>
  <c r="AC200" i="2"/>
  <c r="D238" i="5"/>
  <c r="D306" i="5"/>
  <c r="H172" i="5"/>
  <c r="B154" i="5"/>
  <c r="G81" i="5"/>
  <c r="D199" i="5"/>
  <c r="H313" i="5"/>
  <c r="D212" i="5"/>
  <c r="H159" i="5"/>
  <c r="B31" i="5"/>
  <c r="B312" i="5"/>
  <c r="G192" i="5"/>
  <c r="F302" i="5"/>
  <c r="B339" i="5"/>
  <c r="D277" i="5"/>
  <c r="F208" i="5"/>
  <c r="F63" i="5"/>
  <c r="B297" i="5"/>
  <c r="F330" i="5"/>
  <c r="H231" i="5"/>
  <c r="B259" i="5"/>
  <c r="G111" i="5"/>
  <c r="F308" i="5"/>
  <c r="F332" i="5"/>
  <c r="D184" i="5"/>
  <c r="B54" i="5"/>
  <c r="H131" i="5"/>
  <c r="D24" i="5"/>
  <c r="F167" i="5"/>
  <c r="D134" i="5"/>
  <c r="H244" i="5"/>
  <c r="B178" i="5"/>
  <c r="F258" i="5"/>
  <c r="G274" i="5"/>
  <c r="F286" i="5"/>
  <c r="G65" i="5"/>
  <c r="G289" i="5"/>
  <c r="G30" i="5"/>
  <c r="B343" i="5"/>
  <c r="D22" i="5"/>
  <c r="B50" i="5"/>
  <c r="B152" i="5"/>
  <c r="H148" i="5"/>
  <c r="G295" i="5"/>
  <c r="B27" i="5"/>
  <c r="F13" i="5"/>
  <c r="F178" i="5"/>
  <c r="G70" i="5"/>
  <c r="H121" i="5"/>
  <c r="D49" i="5"/>
  <c r="G220" i="5"/>
  <c r="B68" i="5"/>
  <c r="H192" i="5"/>
  <c r="F39" i="5"/>
  <c r="H127" i="5"/>
  <c r="B215" i="5"/>
  <c r="F319" i="5"/>
  <c r="D180" i="5"/>
  <c r="B255" i="5"/>
  <c r="D224" i="5"/>
  <c r="F24" i="5"/>
  <c r="B20" i="5"/>
  <c r="F244" i="5"/>
  <c r="F315" i="5"/>
  <c r="F70" i="5"/>
  <c r="H56" i="5"/>
  <c r="H42" i="5"/>
  <c r="F36" i="5"/>
  <c r="G254" i="5"/>
  <c r="H122" i="5"/>
  <c r="B175" i="5"/>
  <c r="F86" i="5"/>
  <c r="G91" i="5"/>
  <c r="D114" i="5"/>
  <c r="AC467" i="2"/>
  <c r="AC1449" i="2"/>
  <c r="AC161" i="2"/>
  <c r="AC1054" i="2"/>
  <c r="AC759" i="2"/>
  <c r="F344" i="5"/>
  <c r="D329" i="5"/>
  <c r="D63" i="5"/>
  <c r="H90" i="5"/>
  <c r="G238" i="5"/>
  <c r="F179" i="5"/>
  <c r="F304" i="5"/>
  <c r="F47" i="5"/>
  <c r="H27" i="5"/>
  <c r="F191" i="5"/>
  <c r="G163" i="5"/>
  <c r="G200" i="5"/>
  <c r="B113" i="5"/>
  <c r="H305" i="5"/>
  <c r="G297" i="5"/>
  <c r="F113" i="5"/>
  <c r="D254" i="5"/>
  <c r="H292" i="5"/>
  <c r="F145" i="5"/>
  <c r="F224" i="5"/>
  <c r="B199" i="5"/>
  <c r="G167" i="5"/>
  <c r="B254" i="5"/>
  <c r="F146" i="5"/>
  <c r="F294" i="5"/>
  <c r="D155" i="5"/>
  <c r="D137" i="5"/>
  <c r="B206" i="5"/>
  <c r="B225" i="5"/>
  <c r="H136" i="5"/>
  <c r="F289" i="5"/>
  <c r="D42" i="5"/>
  <c r="G21" i="5"/>
  <c r="H230" i="5"/>
  <c r="B38" i="5"/>
  <c r="G29" i="5"/>
  <c r="B240" i="5"/>
  <c r="D159" i="5"/>
  <c r="B270" i="5"/>
  <c r="F139" i="5"/>
  <c r="H279" i="5"/>
  <c r="F293" i="5"/>
  <c r="H46" i="5"/>
  <c r="G158" i="5"/>
  <c r="F254" i="5"/>
  <c r="F126" i="5"/>
  <c r="H49" i="5"/>
  <c r="B120" i="5"/>
  <c r="F43" i="5"/>
  <c r="G219" i="5"/>
  <c r="D276" i="5"/>
  <c r="F200" i="5"/>
  <c r="H182" i="5"/>
  <c r="H205" i="5"/>
  <c r="G150" i="5"/>
  <c r="B142" i="5"/>
  <c r="H238" i="5"/>
  <c r="B24" i="5"/>
  <c r="H320" i="5"/>
  <c r="B53" i="5"/>
  <c r="F202" i="5"/>
  <c r="B49" i="5"/>
  <c r="H325" i="5"/>
  <c r="G270" i="5"/>
  <c r="D20" i="5"/>
  <c r="G345" i="5"/>
  <c r="G64" i="5"/>
  <c r="D219" i="5"/>
  <c r="G337" i="5"/>
  <c r="F123" i="5"/>
  <c r="F111" i="5"/>
  <c r="H240" i="5"/>
  <c r="D206" i="5"/>
  <c r="D68" i="5"/>
  <c r="D274" i="5"/>
  <c r="H272" i="5"/>
  <c r="F311" i="5"/>
  <c r="F190" i="5"/>
  <c r="B165" i="5"/>
  <c r="F46" i="5"/>
  <c r="B101" i="5"/>
  <c r="G131" i="5"/>
  <c r="D257" i="5"/>
  <c r="AC1517" i="2"/>
  <c r="AC770" i="2"/>
  <c r="AC968" i="2"/>
  <c r="AC279" i="2"/>
  <c r="AC2091" i="2"/>
  <c r="AC889" i="2"/>
  <c r="AC338" i="2"/>
  <c r="AC1192" i="2"/>
  <c r="AC1424" i="2"/>
  <c r="AC1548" i="2"/>
  <c r="AC1211" i="2"/>
  <c r="AC187" i="2"/>
  <c r="AC1062" i="2"/>
  <c r="AC315" i="2"/>
  <c r="AC755" i="2"/>
  <c r="AC1381" i="2"/>
  <c r="AC192" i="2"/>
  <c r="AC1369" i="2"/>
  <c r="AC172" i="2"/>
  <c r="AC44" i="2"/>
  <c r="AC2087" i="2"/>
  <c r="AC557" i="2"/>
  <c r="AC817" i="2"/>
  <c r="AC1847" i="2"/>
  <c r="AC1342" i="2"/>
  <c r="AC13" i="2"/>
  <c r="AC1860" i="2"/>
  <c r="AC1621" i="2"/>
  <c r="AC790" i="2"/>
  <c r="AC844" i="2"/>
  <c r="AC835" i="2"/>
  <c r="AC374" i="2"/>
  <c r="AC789" i="2"/>
  <c r="AC250" i="2"/>
  <c r="AC1990" i="2"/>
  <c r="AC1463" i="2"/>
  <c r="AC1351" i="2"/>
  <c r="AC1610" i="2"/>
  <c r="AC546" i="2"/>
  <c r="AC432" i="2"/>
  <c r="AC917" i="2"/>
  <c r="AC249" i="2"/>
  <c r="AC1468" i="2"/>
  <c r="AC953" i="2"/>
  <c r="AC1044" i="2"/>
  <c r="AC2034" i="2"/>
  <c r="AC1135" i="2"/>
  <c r="AC62" i="2"/>
  <c r="AC1923" i="2"/>
  <c r="AC598" i="2"/>
  <c r="AC1946" i="2"/>
  <c r="H44" i="73"/>
  <c r="G61" i="73"/>
  <c r="G263" i="73"/>
  <c r="B116" i="73"/>
  <c r="H133" i="73"/>
  <c r="F11" i="73"/>
  <c r="F219" i="73"/>
  <c r="G189" i="73"/>
  <c r="G135" i="73"/>
  <c r="D178" i="73"/>
  <c r="F150" i="73"/>
  <c r="F107" i="73"/>
  <c r="D139" i="73"/>
  <c r="F12" i="73"/>
  <c r="B214" i="73"/>
  <c r="B134" i="73"/>
  <c r="B162" i="73"/>
  <c r="G211" i="73"/>
  <c r="D27" i="73"/>
  <c r="B185" i="73"/>
  <c r="G58" i="73"/>
  <c r="H229" i="73"/>
  <c r="B146" i="73"/>
  <c r="G115" i="73"/>
  <c r="D185" i="73"/>
  <c r="F111" i="73"/>
  <c r="F43" i="73"/>
  <c r="F193" i="73"/>
  <c r="D231" i="73"/>
  <c r="G88" i="73"/>
  <c r="D52" i="73"/>
  <c r="G217" i="73"/>
  <c r="D63" i="73"/>
  <c r="D45" i="73"/>
  <c r="F33" i="73"/>
  <c r="D43" i="73"/>
  <c r="B224" i="73"/>
  <c r="G52" i="73"/>
  <c r="G127" i="73"/>
  <c r="F273" i="73"/>
  <c r="D94" i="73"/>
  <c r="B67" i="73"/>
  <c r="D162" i="73"/>
  <c r="H64" i="5"/>
  <c r="G71" i="5"/>
  <c r="G88" i="5"/>
  <c r="D118" i="5"/>
  <c r="F40" i="5"/>
  <c r="D246" i="5"/>
  <c r="D317" i="5"/>
  <c r="G281" i="5"/>
  <c r="B82" i="5"/>
  <c r="D32" i="5"/>
  <c r="H177" i="5"/>
  <c r="F30" i="5"/>
  <c r="D78" i="5"/>
  <c r="G52" i="5"/>
  <c r="H247" i="5"/>
  <c r="F216" i="5"/>
  <c r="G190" i="5"/>
  <c r="G75" i="5"/>
  <c r="B257" i="5"/>
  <c r="B62" i="5"/>
  <c r="D310" i="5"/>
  <c r="G145" i="5"/>
  <c r="G62" i="5"/>
  <c r="B119" i="5"/>
  <c r="H35" i="5"/>
  <c r="B194" i="5"/>
  <c r="G205" i="5"/>
  <c r="D142" i="5"/>
  <c r="F205" i="5"/>
  <c r="B253" i="5"/>
  <c r="F199" i="5"/>
  <c r="G343" i="5"/>
  <c r="F217" i="5"/>
  <c r="D336" i="5"/>
  <c r="F10" i="5"/>
  <c r="B212" i="5"/>
  <c r="B163" i="5"/>
  <c r="F333" i="5"/>
  <c r="H330" i="5"/>
  <c r="D341" i="5"/>
  <c r="B121" i="5"/>
  <c r="H299" i="5"/>
  <c r="H39" i="5"/>
  <c r="F310" i="5"/>
  <c r="B26" i="5"/>
  <c r="H234" i="5"/>
  <c r="D204" i="5"/>
  <c r="G340" i="5"/>
  <c r="H251" i="5"/>
  <c r="B21" i="5"/>
  <c r="H149" i="5"/>
  <c r="F280" i="5"/>
  <c r="G147" i="5"/>
  <c r="G124" i="5"/>
  <c r="F245" i="5"/>
  <c r="H158" i="5"/>
  <c r="B13" i="5"/>
  <c r="G175" i="5"/>
  <c r="F138" i="5"/>
  <c r="H318" i="5"/>
  <c r="D302" i="5"/>
  <c r="H97" i="5"/>
  <c r="G58" i="5"/>
  <c r="D210" i="5"/>
  <c r="B234" i="5"/>
  <c r="B262" i="5"/>
  <c r="D214" i="5"/>
  <c r="F83" i="5"/>
  <c r="B210" i="5"/>
  <c r="H106" i="5"/>
  <c r="B97" i="5"/>
  <c r="B236" i="5"/>
  <c r="F271" i="5"/>
  <c r="F142" i="5"/>
  <c r="D178" i="5"/>
  <c r="F236" i="5"/>
  <c r="H100" i="5"/>
  <c r="B198" i="5"/>
  <c r="H228" i="5"/>
  <c r="G122" i="5"/>
  <c r="G13" i="5"/>
  <c r="F128" i="5"/>
  <c r="G242" i="5"/>
  <c r="D236" i="5"/>
  <c r="B281" i="5"/>
  <c r="F341" i="5"/>
  <c r="B56" i="5"/>
  <c r="D113" i="5"/>
  <c r="D17" i="5"/>
  <c r="B77" i="5"/>
  <c r="B337" i="5"/>
  <c r="D106" i="5"/>
  <c r="H232" i="5"/>
  <c r="H186" i="5"/>
  <c r="B334" i="5"/>
  <c r="B19" i="5"/>
  <c r="G342" i="5"/>
  <c r="G119" i="5"/>
  <c r="G210" i="5"/>
  <c r="F334" i="5"/>
  <c r="D209" i="5"/>
  <c r="H194" i="5"/>
  <c r="F187" i="5"/>
  <c r="H262" i="5"/>
  <c r="G264" i="5"/>
  <c r="B222" i="5"/>
  <c r="H36" i="5"/>
  <c r="B171" i="5"/>
  <c r="F61" i="5"/>
  <c r="F82" i="5"/>
  <c r="G344" i="5"/>
  <c r="F18" i="5"/>
  <c r="D19" i="5"/>
  <c r="H40" i="5"/>
  <c r="G309" i="5"/>
  <c r="B127" i="5"/>
  <c r="B207" i="5"/>
  <c r="B58" i="5"/>
  <c r="B197" i="5"/>
  <c r="H198" i="5"/>
  <c r="B48" i="5"/>
  <c r="G261" i="5"/>
  <c r="H298" i="5"/>
  <c r="F288" i="5"/>
  <c r="D248" i="5"/>
  <c r="G16" i="5"/>
  <c r="D54" i="5"/>
  <c r="H197" i="5"/>
  <c r="F160" i="5"/>
  <c r="G310" i="5"/>
  <c r="G230" i="5"/>
  <c r="G108" i="5"/>
  <c r="H276" i="5"/>
  <c r="H332" i="5"/>
  <c r="G298" i="5"/>
  <c r="F99" i="5"/>
  <c r="H274" i="5"/>
  <c r="G206" i="5"/>
  <c r="H85" i="5"/>
  <c r="H229" i="5"/>
  <c r="D108" i="5"/>
  <c r="G53" i="5"/>
  <c r="H150" i="5"/>
  <c r="F102" i="5"/>
  <c r="B79" i="5"/>
  <c r="F303" i="5"/>
  <c r="F168" i="5"/>
  <c r="B90" i="5"/>
  <c r="G241" i="5"/>
  <c r="G69" i="5"/>
  <c r="G312" i="5"/>
  <c r="F136" i="5"/>
  <c r="D123" i="5"/>
  <c r="B217" i="5"/>
  <c r="B266" i="5"/>
  <c r="D141" i="5"/>
  <c r="F23" i="5"/>
  <c r="G57" i="5"/>
  <c r="D250" i="5"/>
  <c r="G286" i="5"/>
  <c r="B321" i="5"/>
  <c r="F249" i="5"/>
  <c r="G233" i="5"/>
  <c r="F44" i="5"/>
  <c r="G231" i="5"/>
  <c r="D239" i="5"/>
  <c r="H288" i="5"/>
  <c r="F50" i="5"/>
  <c r="G41" i="5"/>
  <c r="G94" i="5"/>
  <c r="F91" i="5"/>
  <c r="D334" i="5"/>
  <c r="B211" i="5"/>
  <c r="H225" i="5"/>
  <c r="H10" i="5"/>
  <c r="F159" i="5"/>
  <c r="B196" i="5"/>
  <c r="F195" i="5"/>
  <c r="H184" i="5"/>
  <c r="B224" i="5"/>
  <c r="H135" i="5"/>
  <c r="D318" i="5"/>
  <c r="G123" i="5"/>
  <c r="B15" i="5"/>
  <c r="H243" i="5"/>
  <c r="H94" i="5"/>
  <c r="F72" i="5"/>
  <c r="H92" i="5"/>
  <c r="B114" i="5"/>
  <c r="G79" i="5"/>
  <c r="F32" i="5"/>
  <c r="G184" i="5"/>
  <c r="H261" i="5"/>
  <c r="D94" i="5"/>
  <c r="G146" i="5"/>
  <c r="B232" i="5"/>
  <c r="B34" i="5"/>
  <c r="D333" i="5"/>
  <c r="D131" i="5"/>
  <c r="B170" i="5"/>
  <c r="F11" i="5"/>
  <c r="H227" i="5"/>
  <c r="D263" i="5"/>
  <c r="D126" i="5"/>
  <c r="B319" i="5"/>
  <c r="B35" i="5"/>
  <c r="F209" i="5"/>
  <c r="F212" i="5"/>
  <c r="H58" i="5"/>
  <c r="D331" i="5"/>
  <c r="B184" i="5"/>
  <c r="D316" i="5"/>
  <c r="G178" i="5"/>
  <c r="B18" i="5"/>
  <c r="D98" i="5"/>
  <c r="F29" i="5"/>
  <c r="B237" i="5"/>
  <c r="F220" i="5"/>
  <c r="B296" i="5"/>
  <c r="B130" i="5"/>
  <c r="B55" i="5"/>
  <c r="B277" i="5"/>
  <c r="G330" i="5"/>
  <c r="B249" i="5"/>
  <c r="D271" i="5"/>
  <c r="H41" i="5"/>
  <c r="H37" i="5"/>
  <c r="D75" i="5"/>
  <c r="G332" i="5"/>
  <c r="G222" i="5"/>
  <c r="B299" i="5"/>
  <c r="D143" i="5"/>
  <c r="B108" i="5"/>
  <c r="G314" i="5"/>
  <c r="F186" i="5"/>
  <c r="D154" i="5"/>
  <c r="F171" i="5"/>
  <c r="D191" i="5"/>
  <c r="D342" i="5"/>
  <c r="H59" i="5"/>
  <c r="F329" i="5"/>
  <c r="B104" i="5"/>
  <c r="D167" i="5"/>
  <c r="F342" i="5"/>
  <c r="G54" i="5"/>
  <c r="F223" i="5"/>
  <c r="G99" i="5"/>
  <c r="D111" i="5"/>
  <c r="D91" i="5"/>
  <c r="B201" i="5"/>
  <c r="G185" i="5"/>
  <c r="G151" i="5"/>
  <c r="B307" i="5"/>
  <c r="D322" i="5"/>
  <c r="H134" i="5"/>
  <c r="G73" i="5"/>
  <c r="H270" i="5"/>
  <c r="B144" i="5"/>
  <c r="G155" i="5"/>
  <c r="B301" i="5"/>
  <c r="D240" i="5"/>
  <c r="H315" i="5"/>
  <c r="F173" i="5"/>
  <c r="G249" i="5"/>
  <c r="B286" i="5"/>
  <c r="B345" i="5"/>
  <c r="D262" i="5"/>
  <c r="B291" i="5"/>
  <c r="G328" i="5"/>
  <c r="B271" i="5"/>
  <c r="H199" i="5"/>
  <c r="H112" i="5"/>
  <c r="G338" i="5"/>
  <c r="B220" i="5"/>
  <c r="D162" i="5"/>
  <c r="H204" i="5"/>
  <c r="D30" i="5"/>
  <c r="B92" i="5"/>
  <c r="G18" i="5"/>
  <c r="H111" i="5"/>
  <c r="F338" i="5"/>
  <c r="I22" i="73"/>
  <c r="J22" i="73"/>
  <c r="K22" i="73"/>
  <c r="J249" i="73"/>
  <c r="K249" i="73"/>
  <c r="AC1629" i="2"/>
  <c r="AC561" i="2"/>
  <c r="AC1696" i="2"/>
  <c r="AC1652" i="2"/>
  <c r="AC1719" i="2"/>
  <c r="AC2054" i="2"/>
  <c r="AC1302" i="2"/>
  <c r="AC1101" i="2"/>
  <c r="AC1432" i="2"/>
  <c r="AC1754" i="2"/>
  <c r="AC1460" i="2"/>
  <c r="AC1018" i="2"/>
  <c r="AC517" i="2"/>
  <c r="AC2085" i="2"/>
  <c r="AC1991" i="2"/>
  <c r="AC111" i="2"/>
  <c r="AC871" i="2"/>
  <c r="AC175" i="2"/>
  <c r="AC155" i="2"/>
  <c r="AC2035" i="2"/>
  <c r="AC246" i="2"/>
  <c r="AC2033" i="2"/>
  <c r="AC358" i="2"/>
  <c r="AC214" i="2"/>
  <c r="AC1833" i="2"/>
  <c r="AC1910" i="2"/>
  <c r="AC584" i="2"/>
  <c r="AC400" i="2"/>
  <c r="AC1442" i="2"/>
  <c r="AC1077" i="2"/>
  <c r="AC1986" i="2"/>
  <c r="AC1490" i="2"/>
  <c r="AC1689" i="2"/>
  <c r="AC873" i="2"/>
  <c r="AC836" i="2"/>
  <c r="AC802" i="2"/>
  <c r="AC276" i="2"/>
  <c r="AC284" i="2"/>
  <c r="AC331" i="2"/>
  <c r="AC1283" i="2"/>
  <c r="AC687" i="2"/>
  <c r="AC1088" i="2"/>
  <c r="AC620" i="2"/>
  <c r="AC878" i="2"/>
  <c r="AC1480" i="2"/>
  <c r="AC2004" i="2"/>
  <c r="AC1513" i="2"/>
  <c r="AC459" i="2"/>
  <c r="AC14" i="2"/>
  <c r="AC2011" i="2"/>
  <c r="AC1953" i="2"/>
  <c r="AC33" i="2"/>
  <c r="AC1329" i="2"/>
  <c r="AC1168" i="2"/>
  <c r="AC1814" i="2"/>
  <c r="AC1246" i="2"/>
  <c r="AC2057" i="2"/>
  <c r="AC1392" i="2"/>
  <c r="AC1404" i="2"/>
  <c r="AC1007" i="2"/>
  <c r="AC608" i="2"/>
  <c r="AC376" i="2"/>
  <c r="AC1718" i="2"/>
  <c r="AC749" i="2"/>
  <c r="AC854" i="2"/>
  <c r="AC572" i="2"/>
  <c r="AC2062" i="2"/>
  <c r="AC1075" i="2"/>
  <c r="AC82" i="2"/>
  <c r="AC562" i="2"/>
  <c r="AC633" i="2"/>
  <c r="AC1310" i="2"/>
  <c r="AC1955" i="2"/>
  <c r="AC2069" i="2"/>
  <c r="AC1208" i="2"/>
  <c r="AC1486" i="2"/>
  <c r="AC1180" i="2"/>
  <c r="AC1732" i="2"/>
  <c r="AC583" i="2"/>
  <c r="AC1890" i="2"/>
  <c r="AC1815" i="2"/>
  <c r="AC261" i="2"/>
  <c r="AC451" i="2"/>
  <c r="AC962" i="2"/>
  <c r="AC343" i="2"/>
  <c r="AC969" i="2"/>
  <c r="AC1808" i="2"/>
  <c r="AC1491" i="2"/>
  <c r="AC77" i="2"/>
  <c r="AC1418" i="2"/>
  <c r="AC176" i="2"/>
  <c r="AC1531" i="2"/>
  <c r="AC1850" i="2"/>
  <c r="AC2093" i="2"/>
  <c r="AC1731" i="2"/>
  <c r="AC348" i="2"/>
  <c r="AC1436" i="2"/>
  <c r="AC48" i="2"/>
  <c r="AC1320" i="2"/>
  <c r="AC776" i="2"/>
  <c r="AC2081" i="2"/>
  <c r="AC1414" i="2"/>
  <c r="AC1274" i="2"/>
  <c r="AC1315" i="2"/>
  <c r="AC1649" i="2"/>
  <c r="AC679" i="2"/>
  <c r="AC57" i="2"/>
  <c r="AC1395" i="2"/>
  <c r="AC1004" i="2"/>
  <c r="AC645" i="2"/>
  <c r="AC138" i="2"/>
  <c r="AC228" i="2"/>
  <c r="AC286" i="2"/>
  <c r="AC2030" i="2"/>
  <c r="AC32" i="2"/>
  <c r="AC2044" i="2"/>
  <c r="AC708" i="2"/>
  <c r="AC19" i="2"/>
  <c r="AC1942" i="2"/>
  <c r="AC67" i="2"/>
  <c r="AC142" i="2"/>
  <c r="AC1534" i="2"/>
  <c r="AC838" i="2"/>
  <c r="AC1265" i="2"/>
  <c r="AC672" i="2"/>
  <c r="AC1099" i="2"/>
  <c r="AC1318" i="2"/>
  <c r="AC2084" i="2"/>
  <c r="AC2142" i="2"/>
  <c r="AC1382" i="2"/>
  <c r="AC1756" i="2"/>
  <c r="AC1194" i="2"/>
  <c r="AC511" i="2"/>
  <c r="AC1959" i="2"/>
  <c r="B139" i="73"/>
  <c r="AC874" i="2"/>
  <c r="AC1885" i="2"/>
  <c r="AC650" i="2"/>
  <c r="AC1584" i="2"/>
  <c r="AC1858" i="2"/>
  <c r="AC643" i="2"/>
  <c r="AC423" i="2"/>
  <c r="AC152" i="2"/>
  <c r="AC1945" i="2"/>
  <c r="AC1182" i="2"/>
  <c r="AC1891" i="2"/>
  <c r="AC818" i="2"/>
  <c r="AC574" i="2"/>
  <c r="AC271" i="2"/>
  <c r="AC1667" i="2"/>
  <c r="AC1653" i="2"/>
  <c r="AC1356" i="2"/>
  <c r="AC2056" i="2"/>
  <c r="AC623" i="2"/>
  <c r="AC1150" i="2"/>
  <c r="D276" i="73"/>
  <c r="B238" i="73"/>
  <c r="B97" i="73"/>
  <c r="G190" i="73"/>
  <c r="F35" i="73"/>
  <c r="F217" i="73"/>
  <c r="F47" i="73"/>
  <c r="G181" i="73"/>
  <c r="F28" i="73"/>
  <c r="D241" i="73"/>
  <c r="D95" i="73"/>
  <c r="H222" i="73"/>
  <c r="H121" i="73"/>
  <c r="D85" i="73"/>
  <c r="B87" i="73"/>
  <c r="G78" i="73"/>
  <c r="D193" i="73"/>
  <c r="H35" i="73"/>
  <c r="G153" i="73"/>
  <c r="D202" i="73"/>
  <c r="B282" i="73"/>
  <c r="H152" i="73"/>
  <c r="H19" i="73"/>
  <c r="B196" i="73"/>
  <c r="D49" i="73"/>
  <c r="D69" i="73"/>
  <c r="D98" i="73"/>
  <c r="G252" i="73"/>
  <c r="B25" i="73"/>
  <c r="D155" i="73"/>
  <c r="H88" i="73"/>
  <c r="F279" i="73"/>
  <c r="D180" i="73"/>
  <c r="G147" i="73"/>
  <c r="F270" i="73"/>
  <c r="D191" i="73"/>
  <c r="G140" i="73"/>
  <c r="G223" i="73"/>
  <c r="G215" i="73"/>
  <c r="G101" i="5"/>
  <c r="H16" i="5"/>
  <c r="B73" i="5"/>
  <c r="H338" i="5"/>
  <c r="F257" i="5"/>
  <c r="D213" i="5"/>
  <c r="G172" i="5"/>
  <c r="D196" i="5"/>
  <c r="D187" i="5"/>
  <c r="H73" i="5"/>
  <c r="H221" i="5"/>
  <c r="G218" i="5"/>
  <c r="B122" i="5"/>
  <c r="H81" i="5"/>
  <c r="B268" i="5"/>
  <c r="H162" i="5"/>
  <c r="H28" i="5"/>
  <c r="D283" i="5"/>
  <c r="H138" i="5"/>
  <c r="H123" i="5"/>
  <c r="F285" i="5"/>
  <c r="B63" i="5"/>
  <c r="F147" i="5"/>
  <c r="B94" i="5"/>
  <c r="D117" i="5"/>
  <c r="B223" i="5"/>
  <c r="H287" i="5"/>
  <c r="G37" i="5"/>
  <c r="H13" i="5"/>
  <c r="F169" i="5"/>
  <c r="G173" i="5"/>
  <c r="B279" i="5"/>
  <c r="B28" i="5"/>
  <c r="D252" i="5"/>
  <c r="D221" i="5"/>
  <c r="D201" i="5"/>
  <c r="D172" i="5"/>
  <c r="G282" i="5"/>
  <c r="G336" i="5"/>
  <c r="G177" i="5"/>
  <c r="F181" i="5"/>
  <c r="B69" i="5"/>
  <c r="F301" i="5"/>
  <c r="D128" i="5"/>
  <c r="F81" i="5"/>
  <c r="G265" i="5"/>
  <c r="D297" i="5"/>
  <c r="D190" i="5"/>
  <c r="H181" i="5"/>
  <c r="F345" i="5"/>
  <c r="G118" i="5"/>
  <c r="H312" i="5"/>
  <c r="F230" i="5"/>
  <c r="D235" i="5"/>
  <c r="G223" i="5"/>
  <c r="F314" i="5"/>
  <c r="H33" i="5"/>
  <c r="G227" i="5"/>
  <c r="G34" i="5"/>
  <c r="H164" i="5"/>
  <c r="H301" i="5"/>
  <c r="D326" i="5"/>
  <c r="F37" i="5"/>
  <c r="G246" i="5"/>
  <c r="G278" i="5"/>
  <c r="B310" i="5"/>
  <c r="G77" i="5"/>
  <c r="B181" i="5"/>
  <c r="G221" i="5"/>
  <c r="B308" i="5"/>
  <c r="H249" i="5"/>
  <c r="B83" i="5"/>
  <c r="F267" i="5"/>
  <c r="D73" i="5"/>
  <c r="D69" i="5"/>
  <c r="D40" i="5"/>
  <c r="B305" i="5"/>
  <c r="D268" i="5"/>
  <c r="B341" i="5"/>
  <c r="F27" i="5"/>
  <c r="G156" i="5"/>
  <c r="D145" i="5"/>
  <c r="H76" i="5"/>
  <c r="D244" i="5"/>
  <c r="G112" i="5"/>
  <c r="D340" i="5"/>
  <c r="F176" i="5"/>
  <c r="G300" i="5"/>
  <c r="B250" i="5"/>
  <c r="F306" i="5"/>
  <c r="F340" i="5"/>
  <c r="D332" i="5"/>
  <c r="G263" i="5"/>
  <c r="F137" i="5"/>
  <c r="B17" i="5"/>
  <c r="D308" i="5"/>
  <c r="D272" i="5"/>
  <c r="H51" i="5"/>
  <c r="H99" i="5"/>
  <c r="H285" i="5"/>
  <c r="G40" i="5"/>
  <c r="D86" i="5"/>
  <c r="B230" i="5"/>
  <c r="H283" i="5"/>
  <c r="F218" i="5"/>
  <c r="F69" i="5"/>
  <c r="D152" i="5"/>
  <c r="H50" i="5"/>
  <c r="B134" i="5"/>
  <c r="F12" i="5"/>
  <c r="B200" i="5"/>
  <c r="H11" i="5"/>
  <c r="H101" i="5"/>
  <c r="D296" i="5"/>
  <c r="F233" i="5"/>
  <c r="D88" i="5"/>
  <c r="H213" i="5"/>
  <c r="D92" i="5"/>
  <c r="B156" i="5"/>
  <c r="B45" i="5"/>
  <c r="F201" i="5"/>
  <c r="G153" i="5"/>
  <c r="D136" i="5"/>
  <c r="B44" i="5"/>
  <c r="G110" i="5"/>
  <c r="B41" i="5"/>
  <c r="F165" i="5"/>
  <c r="F95" i="5"/>
  <c r="B187" i="5"/>
  <c r="G49" i="5"/>
  <c r="F75" i="5"/>
  <c r="G201" i="5"/>
  <c r="B251" i="5"/>
  <c r="D228" i="5"/>
  <c r="G321" i="5"/>
  <c r="F31" i="5"/>
  <c r="B65" i="5"/>
  <c r="G285" i="5"/>
  <c r="F119" i="5"/>
  <c r="F213" i="5"/>
  <c r="H314" i="5"/>
  <c r="H344" i="5"/>
  <c r="G251" i="5"/>
  <c r="B43" i="5"/>
  <c r="H260" i="5"/>
  <c r="F177" i="5"/>
  <c r="F135" i="5"/>
  <c r="D35" i="5"/>
  <c r="G269" i="5"/>
  <c r="B260" i="5"/>
  <c r="G82" i="5"/>
  <c r="H321" i="5"/>
  <c r="D80" i="5"/>
  <c r="H146" i="5"/>
  <c r="F321" i="5"/>
  <c r="D325" i="5"/>
  <c r="B125" i="5"/>
  <c r="G202" i="5"/>
  <c r="G174" i="5"/>
  <c r="D116" i="5"/>
  <c r="B33" i="5"/>
  <c r="D135" i="5"/>
  <c r="B139" i="5"/>
  <c r="G194" i="5"/>
  <c r="B195" i="5"/>
  <c r="D319" i="5"/>
  <c r="F180" i="5"/>
  <c r="D83" i="5"/>
  <c r="B161" i="5"/>
  <c r="H218" i="5"/>
  <c r="D216" i="5"/>
  <c r="F251" i="5"/>
  <c r="B336" i="5"/>
  <c r="F42" i="5"/>
  <c r="B167" i="5"/>
  <c r="G129" i="5"/>
  <c r="H141" i="5"/>
  <c r="D202" i="5"/>
  <c r="D52" i="5"/>
  <c r="B60" i="5"/>
  <c r="F33" i="5"/>
  <c r="B332" i="5"/>
  <c r="G113" i="5"/>
  <c r="G302" i="5"/>
  <c r="D157" i="5"/>
  <c r="F129" i="5"/>
  <c r="D29" i="5"/>
  <c r="B110" i="5"/>
  <c r="H113" i="5"/>
  <c r="H297" i="5"/>
  <c r="G272" i="5"/>
  <c r="F109" i="5"/>
  <c r="F291" i="5"/>
  <c r="B263" i="5"/>
  <c r="B111" i="5"/>
  <c r="G86" i="5"/>
  <c r="B233" i="5"/>
  <c r="G134" i="5"/>
  <c r="D344" i="5"/>
  <c r="H84" i="5"/>
  <c r="F296" i="5"/>
  <c r="D112" i="5"/>
  <c r="B248" i="5"/>
  <c r="B272" i="5"/>
  <c r="F238" i="5"/>
  <c r="D66" i="5"/>
  <c r="G160" i="5"/>
  <c r="G170" i="5"/>
  <c r="D292" i="5"/>
  <c r="D314" i="5"/>
  <c r="F170" i="5"/>
  <c r="H333" i="5"/>
  <c r="H62" i="5"/>
  <c r="D103" i="5"/>
  <c r="H55" i="5"/>
  <c r="F305" i="5"/>
  <c r="G199" i="5"/>
  <c r="G104" i="5"/>
  <c r="D174" i="5"/>
  <c r="B192" i="5"/>
  <c r="H144" i="5"/>
  <c r="G33" i="5"/>
  <c r="F279" i="5"/>
  <c r="H168" i="5"/>
  <c r="G195" i="5"/>
  <c r="D290" i="5"/>
  <c r="D153" i="5"/>
  <c r="B40" i="5"/>
  <c r="F327" i="5"/>
  <c r="H174" i="5"/>
  <c r="F60" i="5"/>
  <c r="H47" i="5"/>
  <c r="F28" i="5"/>
  <c r="D343" i="5"/>
  <c r="G291" i="5"/>
  <c r="B318" i="5"/>
  <c r="F312" i="5"/>
  <c r="G313" i="5"/>
  <c r="G288" i="5"/>
  <c r="H65" i="5"/>
  <c r="F45" i="5"/>
  <c r="G212" i="5"/>
  <c r="F221" i="5"/>
  <c r="B89" i="5"/>
  <c r="H237" i="5"/>
  <c r="H171" i="5"/>
  <c r="B72" i="5"/>
  <c r="B70" i="5"/>
  <c r="F124" i="5"/>
  <c r="B133" i="5"/>
  <c r="F150" i="5"/>
  <c r="F110" i="5"/>
  <c r="D14" i="5"/>
  <c r="H189" i="5"/>
  <c r="H282" i="5"/>
  <c r="F206" i="5"/>
  <c r="F80" i="5"/>
  <c r="H252" i="5"/>
  <c r="D120" i="5"/>
  <c r="H15" i="5"/>
  <c r="D307" i="5"/>
  <c r="G236" i="5"/>
  <c r="B84" i="5"/>
  <c r="B123" i="5"/>
  <c r="H342" i="5"/>
  <c r="D104" i="5"/>
  <c r="F265" i="5"/>
  <c r="H161" i="5"/>
  <c r="D234" i="5"/>
  <c r="F261" i="5"/>
  <c r="B293" i="5"/>
  <c r="F26" i="5"/>
  <c r="D264" i="5"/>
  <c r="H258" i="5"/>
  <c r="F134" i="5"/>
  <c r="F328" i="5"/>
  <c r="F122" i="5"/>
  <c r="D313" i="5"/>
  <c r="G100" i="5"/>
  <c r="G35" i="5"/>
  <c r="H107" i="5"/>
  <c r="G59" i="5"/>
  <c r="F326" i="5"/>
  <c r="D84" i="5"/>
  <c r="G162" i="5"/>
  <c r="H191" i="5"/>
  <c r="H23" i="5"/>
  <c r="D295" i="5"/>
  <c r="B265" i="5"/>
  <c r="B78" i="5"/>
  <c r="D87" i="5"/>
  <c r="D28" i="5"/>
  <c r="H334" i="5"/>
  <c r="F125" i="5"/>
  <c r="D217" i="5"/>
  <c r="H203" i="5"/>
  <c r="H215" i="5"/>
  <c r="H311" i="5"/>
  <c r="G20" i="5"/>
  <c r="F116" i="5"/>
  <c r="H180" i="5"/>
  <c r="B12" i="5"/>
  <c r="D129" i="5"/>
  <c r="H256" i="5"/>
  <c r="D185" i="5"/>
  <c r="H45" i="5"/>
  <c r="B52" i="5"/>
  <c r="H105" i="5"/>
  <c r="H284" i="5"/>
  <c r="B76" i="5"/>
  <c r="H14" i="5"/>
  <c r="G279" i="5"/>
  <c r="D289" i="5"/>
  <c r="G326" i="5"/>
  <c r="D74" i="5"/>
  <c r="F337" i="5"/>
  <c r="H31" i="5"/>
  <c r="G235" i="5"/>
  <c r="D55" i="5"/>
  <c r="F307" i="5"/>
  <c r="G143" i="5"/>
  <c r="G38" i="5"/>
  <c r="D242" i="5"/>
  <c r="H132" i="5"/>
  <c r="B191" i="5"/>
  <c r="F225" i="5"/>
  <c r="B71" i="5"/>
  <c r="H95" i="5"/>
  <c r="G266" i="5"/>
  <c r="H88" i="5"/>
  <c r="B100" i="5"/>
  <c r="D93" i="5"/>
  <c r="H331" i="5"/>
  <c r="G60" i="5"/>
  <c r="B273" i="5"/>
  <c r="G290" i="5"/>
  <c r="D285" i="5"/>
  <c r="B64" i="5"/>
  <c r="H22" i="5"/>
  <c r="B118" i="5"/>
  <c r="H57" i="5"/>
  <c r="B227" i="5"/>
  <c r="F140" i="5"/>
  <c r="H211" i="5"/>
  <c r="D312" i="5"/>
  <c r="G31" i="5"/>
  <c r="H82" i="5"/>
  <c r="H20" i="5"/>
  <c r="G102" i="5"/>
  <c r="H264" i="5"/>
  <c r="B157" i="5"/>
  <c r="B329" i="5"/>
  <c r="H140" i="5"/>
  <c r="B298" i="5"/>
  <c r="D270" i="5"/>
  <c r="F105" i="5"/>
  <c r="D85" i="5"/>
  <c r="F103" i="5"/>
  <c r="F118" i="5"/>
  <c r="G36" i="5"/>
  <c r="B264" i="5"/>
  <c r="G67" i="5"/>
  <c r="H340" i="5"/>
  <c r="F117" i="5"/>
  <c r="B290" i="5"/>
  <c r="F20" i="5"/>
  <c r="B88" i="5"/>
  <c r="D320" i="5"/>
  <c r="F141" i="5"/>
  <c r="B284" i="5"/>
  <c r="H250" i="5"/>
  <c r="F157" i="5"/>
  <c r="B179" i="5"/>
  <c r="B333" i="5"/>
  <c r="F255" i="5"/>
  <c r="G85" i="5"/>
  <c r="B147" i="5"/>
  <c r="D266" i="5"/>
  <c r="B143" i="5"/>
  <c r="D59" i="5"/>
  <c r="D97" i="5"/>
  <c r="F132" i="5"/>
  <c r="G96" i="5"/>
  <c r="H169" i="5"/>
  <c r="H336" i="5"/>
  <c r="H267" i="5"/>
  <c r="G126" i="5"/>
  <c r="H310" i="5"/>
  <c r="B169" i="5"/>
  <c r="G157" i="5"/>
  <c r="B102" i="5"/>
  <c r="B151" i="5"/>
  <c r="H68" i="5"/>
  <c r="F281" i="5"/>
  <c r="D188" i="5"/>
  <c r="B131" i="5"/>
  <c r="H319" i="5"/>
  <c r="F96" i="5"/>
  <c r="H147" i="5"/>
  <c r="B87" i="5"/>
  <c r="D220" i="5"/>
  <c r="F183" i="5"/>
  <c r="F226" i="5"/>
  <c r="G245" i="5"/>
  <c r="G11" i="5"/>
  <c r="D95" i="5"/>
  <c r="H188" i="5"/>
  <c r="F98" i="5"/>
  <c r="D298" i="5"/>
  <c r="B168" i="5"/>
  <c r="K12" i="5"/>
  <c r="K269" i="73"/>
  <c r="K290" i="73"/>
  <c r="K60" i="73"/>
  <c r="K335" i="5"/>
  <c r="K151" i="5"/>
  <c r="AE1031" i="2"/>
  <c r="I215" i="73"/>
  <c r="J215" i="73"/>
  <c r="K215" i="73"/>
  <c r="AC544" i="2"/>
  <c r="AC120" i="2"/>
  <c r="AC1594" i="2"/>
  <c r="AC1525" i="2"/>
  <c r="AC362" i="2"/>
  <c r="AC1920" i="2"/>
  <c r="AC540" i="2"/>
  <c r="AC208" i="2"/>
  <c r="AC1768" i="2"/>
  <c r="AC99" i="2"/>
  <c r="AC617" i="2"/>
  <c r="AC1619" i="2"/>
  <c r="AC1715" i="2"/>
  <c r="AC569" i="2"/>
  <c r="AC2089" i="2"/>
  <c r="AC1771" i="2"/>
  <c r="AC2133" i="2"/>
  <c r="AC1998" i="2"/>
  <c r="AC785" i="2"/>
  <c r="AC1159" i="2"/>
  <c r="AC1252" i="2"/>
  <c r="AC1840" i="2"/>
  <c r="AC98" i="2"/>
  <c r="AC104" i="2"/>
  <c r="AC1788" i="2"/>
  <c r="AC1520" i="2"/>
  <c r="AC839" i="2"/>
  <c r="AC153" i="2"/>
  <c r="AC1141" i="2"/>
  <c r="AC146" i="2"/>
  <c r="AC1465" i="2"/>
  <c r="AC110" i="2"/>
  <c r="AC1783" i="2"/>
  <c r="AC329" i="2"/>
  <c r="AC1278" i="2"/>
  <c r="AC986" i="2"/>
  <c r="AC108" i="2"/>
  <c r="AC1286" i="2"/>
  <c r="AC46" i="2"/>
  <c r="AC740" i="2"/>
  <c r="AC1521" i="2"/>
  <c r="AC611" i="2"/>
  <c r="AC1671" i="2"/>
  <c r="AC1397" i="2"/>
  <c r="AC1796" i="2"/>
  <c r="AC728" i="2"/>
  <c r="AC619" i="2"/>
  <c r="AC595" i="2"/>
  <c r="AC1809" i="2"/>
  <c r="AC918" i="2"/>
  <c r="AC591" i="2"/>
  <c r="AC1254" i="2"/>
  <c r="AC778" i="2"/>
  <c r="AC1372" i="2"/>
  <c r="AC151" i="2"/>
  <c r="AC615" i="2"/>
  <c r="AC2090" i="2"/>
  <c r="AC2025" i="2"/>
  <c r="AC586" i="2"/>
  <c r="AC1164" i="2"/>
  <c r="AC1471" i="2"/>
  <c r="AC1643" i="2"/>
  <c r="AC471" i="2"/>
  <c r="AC68" i="2"/>
  <c r="AC60" i="2"/>
  <c r="AC71" i="2"/>
  <c r="AC786" i="2"/>
  <c r="AC1928" i="2"/>
  <c r="AC2032" i="2"/>
  <c r="AC1415" i="2"/>
  <c r="AC130" i="2"/>
  <c r="AC1695" i="2"/>
  <c r="AC1493" i="2"/>
  <c r="AC1896" i="2"/>
  <c r="AC960" i="2"/>
  <c r="AC22" i="2"/>
  <c r="AC1526" i="2"/>
  <c r="AC309" i="2"/>
  <c r="AC1147" i="2"/>
  <c r="AC940" i="2"/>
  <c r="AC131" i="2"/>
  <c r="AC919" i="2"/>
  <c r="AC2109" i="2"/>
  <c r="AC652" i="2"/>
  <c r="AC1906" i="2"/>
  <c r="AC1710" i="2"/>
  <c r="AC393" i="2"/>
  <c r="AC897" i="2"/>
  <c r="AC1502" i="2"/>
  <c r="AC1932" i="2"/>
  <c r="AC366" i="2"/>
  <c r="AC717" i="2"/>
  <c r="AC2042" i="2"/>
  <c r="AC1061" i="2"/>
  <c r="AC1409" i="2"/>
  <c r="J179" i="5"/>
  <c r="I154" i="73"/>
  <c r="J33" i="5"/>
  <c r="K323" i="5"/>
  <c r="J163" i="5"/>
  <c r="G9" i="5"/>
  <c r="J77" i="5"/>
  <c r="AC12" i="2"/>
  <c r="AC550" i="2"/>
  <c r="AC594" i="2"/>
  <c r="AC21" i="2"/>
  <c r="AC2096" i="2"/>
  <c r="AC211" i="2"/>
  <c r="AC1098" i="2"/>
  <c r="AC1760" i="2"/>
  <c r="AC484" i="2"/>
  <c r="AC424" i="2"/>
  <c r="K114" i="5"/>
  <c r="K332" i="5"/>
  <c r="J48" i="73"/>
  <c r="K99" i="5"/>
  <c r="J257" i="5"/>
  <c r="K65" i="5"/>
  <c r="AC1295" i="2"/>
  <c r="AC904" i="2"/>
  <c r="AC1865" i="2"/>
  <c r="AC1078" i="2"/>
  <c r="AC1528" i="2"/>
  <c r="AC487" i="2"/>
  <c r="AC861" i="2"/>
  <c r="AC791" i="2"/>
  <c r="AC1102" i="2"/>
  <c r="AC1675" i="2"/>
  <c r="AC2112" i="2"/>
  <c r="AC1459" i="2"/>
  <c r="AC577" i="2"/>
  <c r="AC2102" i="2"/>
  <c r="AC1002" i="2"/>
  <c r="AC1365" i="2"/>
  <c r="AC603" i="2"/>
  <c r="AC1129" i="2"/>
  <c r="AC1769" i="2"/>
  <c r="AC1859" i="2"/>
  <c r="AC1171" i="2"/>
  <c r="AC252" i="2"/>
  <c r="AC189" i="2"/>
  <c r="AC1425" i="2"/>
  <c r="AC2064" i="2"/>
  <c r="AC1306" i="2"/>
  <c r="AC1516" i="2"/>
  <c r="AC1477" i="2"/>
  <c r="AC1219" i="2"/>
  <c r="AC700" i="2"/>
  <c r="AC1835" i="2"/>
  <c r="AC698" i="2"/>
  <c r="AC1181" i="2"/>
  <c r="AC1726" i="2"/>
  <c r="AC1947" i="2"/>
  <c r="AC864" i="2"/>
  <c r="AC911" i="2"/>
  <c r="AC809" i="2"/>
  <c r="AC636" i="2"/>
  <c r="AC1554" i="2"/>
  <c r="AC632" i="2"/>
  <c r="AC1988" i="2"/>
  <c r="AC979" i="2"/>
  <c r="AC84" i="2"/>
  <c r="AC1941" i="2"/>
  <c r="AC227" i="2"/>
  <c r="AC639" i="2"/>
  <c r="AC1539" i="2"/>
  <c r="AC1803" i="2"/>
  <c r="AC549" i="2"/>
  <c r="AC207" i="2"/>
  <c r="AC2088" i="2"/>
  <c r="AC723" i="2"/>
  <c r="AC1778" i="2"/>
  <c r="AC201" i="2"/>
  <c r="AC710" i="2"/>
  <c r="AC1451" i="2"/>
  <c r="AC644" i="2"/>
  <c r="AC564" i="2"/>
  <c r="AC614" i="2"/>
  <c r="AC1765" i="2"/>
  <c r="AC275" i="2"/>
  <c r="AC1579" i="2"/>
  <c r="AC590" i="2"/>
  <c r="AC1549" i="2"/>
  <c r="AC354" i="2"/>
  <c r="AC1608" i="2"/>
  <c r="AC1024" i="2"/>
  <c r="AC982" i="2"/>
  <c r="AC1433" i="2"/>
  <c r="AC1240" i="2"/>
  <c r="AC1681" i="2"/>
  <c r="AC669" i="2"/>
  <c r="AC384" i="2"/>
  <c r="AC1142" i="2"/>
  <c r="AC36" i="2"/>
  <c r="AC916" i="2"/>
  <c r="AC581" i="2"/>
  <c r="AC378" i="2"/>
  <c r="AC216" i="2"/>
  <c r="AC349" i="2"/>
  <c r="AC1893" i="2"/>
  <c r="AC1894" i="2"/>
  <c r="AC2036" i="2"/>
  <c r="D335" i="5"/>
  <c r="G252" i="5"/>
  <c r="H208" i="5"/>
  <c r="G196" i="5"/>
  <c r="G189" i="5"/>
  <c r="B29" i="5"/>
  <c r="F331" i="5"/>
  <c r="G186" i="5"/>
  <c r="D324" i="5"/>
  <c r="G39" i="5"/>
  <c r="D279" i="5"/>
  <c r="G109" i="5"/>
  <c r="D65" i="5"/>
  <c r="H43" i="5"/>
  <c r="H183" i="5"/>
  <c r="G106" i="5"/>
  <c r="G187" i="5"/>
  <c r="F158" i="5"/>
  <c r="D124" i="5"/>
  <c r="D175" i="5"/>
  <c r="H102" i="5"/>
  <c r="G216" i="5"/>
  <c r="D301" i="5"/>
  <c r="H265" i="5"/>
  <c r="D205" i="5"/>
  <c r="B242" i="5"/>
  <c r="G244" i="5"/>
  <c r="F66" i="5"/>
  <c r="B183" i="5"/>
  <c r="G307" i="5"/>
  <c r="B128" i="5"/>
  <c r="B303" i="5"/>
  <c r="F93" i="5"/>
  <c r="H137" i="5"/>
  <c r="H25" i="5"/>
  <c r="D200" i="5"/>
  <c r="G243" i="5"/>
  <c r="F108" i="5"/>
  <c r="D43" i="5"/>
  <c r="D225" i="5"/>
  <c r="G169" i="5"/>
  <c r="F322" i="5"/>
  <c r="G193" i="5"/>
  <c r="F65" i="5"/>
  <c r="F115" i="5"/>
  <c r="F268" i="5"/>
  <c r="G181" i="5"/>
  <c r="H341" i="5"/>
  <c r="B261" i="5"/>
  <c r="H126" i="5"/>
  <c r="H306" i="5"/>
  <c r="B226" i="5"/>
  <c r="F153" i="5"/>
  <c r="B313" i="5"/>
  <c r="B140" i="5"/>
  <c r="B283" i="5"/>
  <c r="D183" i="5"/>
  <c r="H206" i="5"/>
  <c r="D166" i="5"/>
  <c r="B37" i="5"/>
  <c r="H216" i="5"/>
  <c r="G240" i="5"/>
  <c r="G213" i="5"/>
  <c r="B285" i="5"/>
  <c r="H89" i="5"/>
  <c r="H201" i="5"/>
  <c r="G293" i="5"/>
  <c r="H296" i="5"/>
  <c r="G329" i="5"/>
  <c r="H327" i="5"/>
  <c r="B244" i="5"/>
  <c r="G203" i="5"/>
  <c r="B304" i="5"/>
  <c r="G63" i="5"/>
  <c r="B42" i="5"/>
  <c r="B91" i="5"/>
  <c r="D309" i="5"/>
  <c r="F131" i="5"/>
  <c r="B239" i="5"/>
  <c r="F242" i="5"/>
  <c r="D119" i="5"/>
  <c r="F78" i="5"/>
  <c r="H303" i="5"/>
  <c r="B213" i="5"/>
  <c r="H173" i="5"/>
  <c r="B189" i="5"/>
  <c r="F259" i="5"/>
  <c r="H293" i="5"/>
  <c r="F120" i="5"/>
  <c r="G215" i="5"/>
  <c r="F234" i="5"/>
  <c r="G98" i="5"/>
  <c r="D173" i="5"/>
  <c r="G176" i="5"/>
  <c r="H290" i="5"/>
  <c r="B294" i="5"/>
  <c r="D222" i="5"/>
  <c r="F112" i="5"/>
  <c r="F166" i="5"/>
  <c r="H157" i="5"/>
  <c r="G259" i="5"/>
  <c r="H242" i="5"/>
  <c r="B75" i="5"/>
  <c r="F97" i="5"/>
  <c r="G83" i="5"/>
  <c r="H187" i="5"/>
  <c r="H190" i="5"/>
  <c r="F149" i="5"/>
  <c r="D57" i="5"/>
  <c r="H326" i="5"/>
  <c r="F89" i="5"/>
  <c r="H226" i="5"/>
  <c r="D232" i="5"/>
  <c r="H286" i="5"/>
  <c r="H124" i="5"/>
  <c r="D105" i="5"/>
  <c r="B218" i="5"/>
  <c r="D33" i="5"/>
  <c r="B57" i="5"/>
  <c r="H24" i="5"/>
  <c r="F278" i="5"/>
  <c r="B190" i="5"/>
  <c r="B159" i="5"/>
  <c r="F215" i="5"/>
  <c r="D50" i="5"/>
  <c r="H83" i="5"/>
  <c r="H295" i="5"/>
  <c r="H176" i="5"/>
  <c r="F290" i="5"/>
  <c r="H179" i="5"/>
  <c r="H263" i="5"/>
  <c r="H222" i="5"/>
  <c r="F85" i="5"/>
  <c r="H328" i="5"/>
  <c r="G115" i="5"/>
  <c r="H79" i="5"/>
  <c r="F51" i="5"/>
  <c r="H316" i="5"/>
  <c r="G50" i="5"/>
  <c r="G284" i="5"/>
  <c r="G183" i="5"/>
  <c r="G25" i="5"/>
  <c r="D13" i="5"/>
  <c r="H96" i="5"/>
  <c r="B155" i="5"/>
  <c r="B289" i="5"/>
  <c r="G331" i="5"/>
  <c r="B241" i="5"/>
  <c r="G127" i="5"/>
  <c r="H60" i="5"/>
  <c r="G217" i="5"/>
  <c r="G225" i="5"/>
  <c r="D207" i="5"/>
  <c r="F276" i="5"/>
  <c r="H53" i="5"/>
  <c r="D291" i="5"/>
  <c r="D260" i="5"/>
  <c r="B141" i="5"/>
  <c r="B36" i="5"/>
  <c r="G23" i="5"/>
  <c r="G327" i="5"/>
  <c r="H77" i="5"/>
  <c r="D37" i="5"/>
  <c r="G197" i="5"/>
  <c r="F25" i="5"/>
  <c r="D12" i="5"/>
  <c r="G116" i="5"/>
  <c r="F214" i="5"/>
  <c r="F87" i="5"/>
  <c r="B214" i="5"/>
  <c r="D44" i="5"/>
  <c r="D140" i="5"/>
  <c r="H289" i="5"/>
  <c r="F196" i="5"/>
  <c r="B219" i="5"/>
  <c r="G22" i="5"/>
  <c r="B267" i="5"/>
  <c r="F263" i="5"/>
  <c r="D229" i="5"/>
  <c r="B95" i="5"/>
  <c r="F247" i="5"/>
  <c r="F297" i="5"/>
  <c r="B23" i="5"/>
  <c r="B243" i="5"/>
  <c r="D53" i="5"/>
  <c r="G208" i="5"/>
  <c r="B67" i="5"/>
  <c r="G17" i="5"/>
  <c r="F298" i="5"/>
  <c r="G294" i="5"/>
  <c r="G149" i="5"/>
  <c r="D304" i="5"/>
  <c r="B186" i="5"/>
  <c r="F250" i="5"/>
  <c r="H257" i="5"/>
  <c r="B302" i="5"/>
  <c r="F246" i="5"/>
  <c r="H165" i="5"/>
  <c r="F211" i="5"/>
  <c r="F185" i="5"/>
  <c r="G128" i="5"/>
  <c r="D233" i="5"/>
  <c r="H193" i="5"/>
  <c r="D79" i="5"/>
  <c r="G180" i="5"/>
  <c r="B149" i="5"/>
  <c r="G55" i="5"/>
  <c r="G248" i="5"/>
  <c r="B126" i="5"/>
  <c r="H153" i="5"/>
  <c r="B228" i="5"/>
  <c r="F121" i="5"/>
  <c r="F243" i="5"/>
  <c r="D165" i="5"/>
  <c r="D144" i="5"/>
  <c r="H67" i="5"/>
  <c r="B116" i="5"/>
  <c r="B278" i="5"/>
  <c r="H156" i="5"/>
  <c r="D38" i="5"/>
  <c r="B11" i="5"/>
  <c r="D150" i="5"/>
  <c r="D195" i="5"/>
  <c r="G171" i="5"/>
  <c r="H207" i="5"/>
  <c r="F114" i="5"/>
  <c r="D288" i="5"/>
  <c r="G287" i="5"/>
  <c r="D284" i="5"/>
  <c r="G76" i="5"/>
  <c r="F148" i="5"/>
  <c r="F262" i="5"/>
  <c r="G334" i="5"/>
  <c r="H108" i="5"/>
  <c r="F284" i="5"/>
  <c r="D227" i="5"/>
  <c r="G303" i="5"/>
  <c r="H34" i="5"/>
  <c r="D147" i="5"/>
  <c r="B309" i="5"/>
  <c r="G15" i="5"/>
  <c r="D278" i="5"/>
  <c r="F248" i="5"/>
  <c r="B258" i="5"/>
  <c r="H117" i="5"/>
  <c r="H219" i="5"/>
  <c r="H152" i="5"/>
  <c r="G138" i="5"/>
  <c r="D164" i="5"/>
  <c r="H119" i="5"/>
  <c r="B166" i="5"/>
  <c r="F38" i="5"/>
  <c r="B246" i="5"/>
  <c r="B292" i="5"/>
  <c r="D231" i="5"/>
  <c r="H87" i="5"/>
  <c r="D237" i="5"/>
  <c r="D39" i="5"/>
  <c r="F283" i="5"/>
  <c r="F275" i="5"/>
  <c r="G136" i="5"/>
  <c r="H268" i="5"/>
  <c r="B208" i="5"/>
  <c r="B61" i="5"/>
  <c r="G32" i="5"/>
  <c r="H129" i="5"/>
  <c r="H114" i="5"/>
  <c r="F17" i="5"/>
  <c r="B216" i="5"/>
  <c r="F59" i="5"/>
  <c r="B158" i="5"/>
  <c r="D179" i="5"/>
  <c r="F68" i="5"/>
  <c r="H12" i="5"/>
  <c r="D81" i="5"/>
  <c r="G72" i="5"/>
  <c r="B340" i="5"/>
  <c r="D47" i="5"/>
  <c r="B205" i="5"/>
  <c r="F324" i="5"/>
  <c r="F253" i="5"/>
  <c r="B176" i="5"/>
  <c r="G133" i="5"/>
  <c r="B229" i="5"/>
  <c r="D327" i="5"/>
  <c r="F94" i="5"/>
  <c r="G152" i="5"/>
  <c r="F64" i="5"/>
  <c r="B252" i="5"/>
  <c r="F155" i="5"/>
  <c r="D11" i="5"/>
  <c r="D46" i="5"/>
  <c r="F174" i="5"/>
  <c r="F143" i="5"/>
  <c r="F241" i="5"/>
  <c r="B330" i="5"/>
  <c r="F22" i="5"/>
  <c r="H337" i="5"/>
  <c r="D300" i="5"/>
  <c r="D287" i="5"/>
  <c r="G211" i="5"/>
  <c r="D25" i="5"/>
  <c r="D337" i="5"/>
  <c r="B117" i="5"/>
  <c r="H44" i="5"/>
  <c r="G268" i="5"/>
  <c r="H160" i="5"/>
  <c r="D251" i="5"/>
  <c r="H118" i="5"/>
  <c r="D256" i="5"/>
  <c r="D255" i="5"/>
  <c r="B93" i="5"/>
  <c r="B51" i="5"/>
  <c r="H304" i="5"/>
  <c r="H214" i="5"/>
  <c r="F309" i="5"/>
  <c r="F35" i="5"/>
  <c r="B322" i="5"/>
  <c r="B188" i="5"/>
  <c r="D56" i="5"/>
  <c r="D48" i="5"/>
  <c r="G234" i="5"/>
  <c r="D281" i="5"/>
  <c r="B107" i="5"/>
  <c r="B274" i="5"/>
  <c r="H308" i="5"/>
  <c r="D110" i="5"/>
  <c r="D282" i="5"/>
  <c r="F62" i="5"/>
  <c r="B269" i="5"/>
  <c r="F316" i="5"/>
  <c r="D208" i="5"/>
  <c r="G12" i="5"/>
  <c r="B173" i="5"/>
  <c r="B326" i="5"/>
  <c r="G26" i="5"/>
  <c r="H324" i="5"/>
  <c r="D36" i="5"/>
  <c r="F231" i="5"/>
  <c r="F88" i="5"/>
  <c r="B311" i="5"/>
  <c r="B10" i="5"/>
  <c r="G107" i="5"/>
  <c r="G47" i="5"/>
  <c r="D189" i="5"/>
  <c r="D163" i="5"/>
  <c r="H154" i="5"/>
  <c r="G10" i="5"/>
  <c r="H253" i="5"/>
  <c r="H185" i="5"/>
  <c r="D151" i="5"/>
  <c r="F100" i="5"/>
  <c r="G89" i="5"/>
  <c r="D138" i="5"/>
  <c r="H335" i="5"/>
  <c r="D286" i="5"/>
  <c r="F222" i="5"/>
  <c r="G19" i="5"/>
  <c r="H166" i="5"/>
  <c r="F273" i="5"/>
  <c r="F184" i="5"/>
  <c r="F34" i="5"/>
  <c r="G341" i="5"/>
  <c r="B103" i="5"/>
  <c r="D96" i="5"/>
  <c r="B164" i="5"/>
  <c r="F162" i="5"/>
  <c r="G43" i="5"/>
  <c r="F152" i="5"/>
  <c r="D321" i="5"/>
  <c r="D149" i="5"/>
  <c r="G148" i="5"/>
  <c r="G296" i="5"/>
  <c r="H143" i="5"/>
  <c r="D121" i="5"/>
  <c r="B231" i="5"/>
  <c r="H255" i="5"/>
  <c r="H139" i="5"/>
  <c r="F127" i="5"/>
  <c r="G323" i="5"/>
  <c r="G198" i="5"/>
  <c r="G80" i="5"/>
  <c r="F252" i="5"/>
  <c r="H98" i="5"/>
  <c r="F57" i="5"/>
  <c r="F270" i="5"/>
  <c r="G320" i="5"/>
  <c r="G161" i="5"/>
  <c r="H239" i="5"/>
  <c r="G260" i="5"/>
  <c r="F101" i="5"/>
  <c r="H133" i="5"/>
  <c r="D64" i="5"/>
  <c r="H61" i="5"/>
  <c r="F133" i="5"/>
  <c r="H323" i="5"/>
  <c r="H322" i="5"/>
  <c r="B300" i="5"/>
  <c r="F49" i="5"/>
  <c r="H66" i="5"/>
  <c r="F104" i="5"/>
  <c r="H345" i="5"/>
  <c r="B85" i="5"/>
  <c r="F287" i="5"/>
  <c r="B129" i="5"/>
  <c r="G255" i="5"/>
  <c r="G319" i="5"/>
  <c r="H110" i="5"/>
  <c r="F299" i="5"/>
  <c r="B316" i="5"/>
  <c r="B136" i="5"/>
  <c r="F292" i="5"/>
  <c r="F193" i="5"/>
  <c r="G132" i="5"/>
  <c r="B145" i="5"/>
  <c r="F107" i="5"/>
  <c r="F14" i="5"/>
  <c r="D168" i="5"/>
  <c r="D156" i="5"/>
  <c r="G280" i="5"/>
  <c r="G164" i="5"/>
  <c r="G316" i="5"/>
  <c r="H130" i="5"/>
  <c r="F219" i="5"/>
  <c r="G299" i="5"/>
  <c r="D45" i="5"/>
  <c r="D158" i="5"/>
  <c r="G271" i="5"/>
  <c r="H52" i="5"/>
  <c r="B275" i="5"/>
  <c r="F235" i="5"/>
  <c r="H175" i="5"/>
  <c r="D133" i="5"/>
  <c r="D338" i="5"/>
  <c r="F203" i="5"/>
  <c r="D18" i="5"/>
  <c r="F144" i="5"/>
  <c r="D60" i="5"/>
  <c r="G120" i="5"/>
  <c r="H277" i="5"/>
  <c r="F264" i="5"/>
  <c r="D170" i="5"/>
  <c r="B47" i="5"/>
  <c r="F151" i="5"/>
  <c r="B16" i="5"/>
  <c r="H145" i="5"/>
  <c r="H236" i="5"/>
  <c r="H259" i="5"/>
  <c r="B86" i="5"/>
  <c r="F300" i="5"/>
  <c r="G204" i="5"/>
  <c r="B185" i="5"/>
  <c r="F77" i="5"/>
  <c r="B39" i="5"/>
  <c r="G139" i="5"/>
  <c r="D51" i="5"/>
  <c r="F197" i="5"/>
  <c r="G339" i="5"/>
  <c r="B115" i="5"/>
  <c r="B315" i="5"/>
  <c r="F56" i="5"/>
  <c r="B235" i="5"/>
  <c r="J198" i="5"/>
  <c r="K138" i="5"/>
  <c r="K170" i="5"/>
  <c r="J128" i="5"/>
  <c r="J81" i="5"/>
  <c r="J116" i="5"/>
  <c r="AC245" i="2"/>
  <c r="AC826" i="2"/>
  <c r="AC1384" i="2"/>
  <c r="AC510" i="2"/>
  <c r="AC294" i="2"/>
  <c r="AC298" i="2"/>
  <c r="AC922" i="2"/>
  <c r="AC288" i="2"/>
  <c r="AC264" i="2"/>
  <c r="AC538" i="2"/>
  <c r="AC1488" i="2"/>
  <c r="AC1358" i="2"/>
  <c r="AC796" i="2"/>
  <c r="AC1706" i="2"/>
  <c r="AC492" i="2"/>
  <c r="AC2016" i="2"/>
  <c r="AC1736" i="2"/>
  <c r="G284" i="73"/>
  <c r="B152" i="73"/>
  <c r="D156" i="73"/>
  <c r="G186" i="73"/>
  <c r="K324" i="5"/>
  <c r="K205" i="5"/>
  <c r="K279" i="5"/>
  <c r="I156" i="73"/>
  <c r="J156" i="73"/>
  <c r="D18" i="70"/>
  <c r="C220" i="64"/>
  <c r="AC1133" i="2"/>
  <c r="J298" i="5"/>
  <c r="K169" i="73"/>
  <c r="I171" i="73"/>
  <c r="J171" i="73"/>
  <c r="J132" i="73"/>
  <c r="I27" i="73"/>
  <c r="J27" i="73"/>
  <c r="AC872" i="2"/>
  <c r="AC597" i="2"/>
  <c r="AC612" i="2"/>
  <c r="AC1052" i="2"/>
  <c r="AC121" i="2"/>
  <c r="AC191" i="2"/>
  <c r="AC1059" i="2"/>
  <c r="D4" i="70"/>
  <c r="X1050" i="2"/>
  <c r="R1084" i="2"/>
  <c r="J202" i="73"/>
  <c r="J234" i="73"/>
  <c r="J106" i="73"/>
  <c r="K106" i="73"/>
  <c r="U1082" i="2"/>
  <c r="K173" i="73"/>
  <c r="I240" i="73"/>
  <c r="J240" i="73"/>
  <c r="J104" i="73"/>
  <c r="K276" i="73"/>
  <c r="J38" i="73"/>
  <c r="J326" i="5"/>
  <c r="K84" i="73"/>
  <c r="J183" i="73"/>
  <c r="U1011" i="2"/>
  <c r="J126" i="5"/>
  <c r="E266" i="73"/>
  <c r="I113" i="73"/>
  <c r="J113" i="73"/>
  <c r="J157" i="5"/>
  <c r="K12" i="73"/>
  <c r="J60" i="5"/>
  <c r="K229" i="5"/>
  <c r="J20" i="5"/>
  <c r="J25" i="5"/>
  <c r="D28" i="70"/>
  <c r="K317" i="5"/>
  <c r="K281" i="5"/>
  <c r="K207" i="73"/>
  <c r="K298" i="73"/>
  <c r="AC1285" i="2"/>
  <c r="AC1396" i="2"/>
  <c r="AC1162" i="2"/>
  <c r="AC1918" i="2"/>
  <c r="AC2078" i="2"/>
  <c r="AC1794" i="2"/>
  <c r="AC435" i="2"/>
  <c r="AC258" i="2"/>
  <c r="AC407" i="2"/>
  <c r="AC898" i="2"/>
  <c r="AC1072" i="2"/>
  <c r="AC1476" i="2"/>
  <c r="AC1273" i="2"/>
  <c r="AC237" i="2"/>
  <c r="AC185" i="2"/>
  <c r="AC1724" i="2"/>
  <c r="AC879" i="2"/>
  <c r="AC1806" i="2"/>
  <c r="AC1613" i="2"/>
  <c r="AC1322" i="2"/>
  <c r="J154" i="73"/>
  <c r="K154" i="73"/>
  <c r="X1136" i="2"/>
  <c r="J142" i="5"/>
  <c r="J9" i="5"/>
  <c r="K212" i="5"/>
  <c r="J177" i="73"/>
  <c r="K177" i="73"/>
  <c r="AE1121" i="2"/>
  <c r="K63" i="5"/>
  <c r="AC2055" i="2"/>
  <c r="AC1965" i="2"/>
  <c r="AC159" i="2"/>
  <c r="AC1118" i="2"/>
  <c r="AC41" i="2"/>
  <c r="AC819" i="2"/>
  <c r="AC625" i="2"/>
  <c r="AC1111" i="2"/>
  <c r="AC454" i="2"/>
  <c r="AC1243" i="2"/>
  <c r="AC439" i="2"/>
  <c r="AC1984" i="2"/>
  <c r="AC1873" i="2"/>
  <c r="AC944" i="2"/>
  <c r="AC107" i="2"/>
  <c r="AC571" i="2"/>
  <c r="AC1950" i="2"/>
  <c r="AC1541" i="2"/>
  <c r="AC2008" i="2"/>
  <c r="AC352" i="2"/>
  <c r="AC1908" i="2"/>
  <c r="AC1483" i="2"/>
  <c r="AC1902" i="2"/>
  <c r="AC356" i="2"/>
  <c r="AE992" i="2"/>
  <c r="AC1065" i="2"/>
  <c r="F242" i="73"/>
  <c r="H142" i="73"/>
  <c r="G94" i="73"/>
  <c r="H74" i="73"/>
  <c r="B199" i="73"/>
  <c r="AC247" i="2"/>
  <c r="AC1635" i="2"/>
  <c r="AC804" i="2"/>
  <c r="AC522" i="2"/>
  <c r="AC1759" i="2"/>
  <c r="AC1469" i="2"/>
  <c r="AC2118" i="2"/>
  <c r="AC971" i="2"/>
  <c r="AC768" i="2"/>
  <c r="AC217" i="2"/>
  <c r="AC713" i="2"/>
  <c r="AC875" i="2"/>
  <c r="AC2070" i="2"/>
  <c r="AC1586" i="2"/>
  <c r="AC1389" i="2"/>
  <c r="AC588" i="2"/>
  <c r="G114" i="73"/>
  <c r="D258" i="73"/>
  <c r="H175" i="73"/>
  <c r="F21" i="73"/>
  <c r="G145" i="73"/>
  <c r="G126" i="73"/>
  <c r="D157" i="73"/>
  <c r="F41" i="73"/>
  <c r="F202" i="73"/>
  <c r="F105" i="73"/>
  <c r="F190" i="73"/>
  <c r="H95" i="73"/>
  <c r="G187" i="73"/>
  <c r="K47" i="73"/>
  <c r="K337" i="5"/>
  <c r="J297" i="5"/>
  <c r="K316" i="5"/>
  <c r="K272" i="5"/>
  <c r="K183" i="5"/>
  <c r="K82" i="73"/>
  <c r="I226" i="5"/>
  <c r="J226" i="5"/>
  <c r="J325" i="5"/>
  <c r="J197" i="5"/>
  <c r="K231" i="5"/>
  <c r="K102" i="73"/>
  <c r="K132" i="73"/>
  <c r="K27" i="73"/>
  <c r="K175" i="5"/>
  <c r="J108" i="5"/>
  <c r="B9" i="5"/>
  <c r="D13" i="70"/>
  <c r="D17" i="70"/>
  <c r="D14" i="70"/>
  <c r="D9" i="70"/>
  <c r="D11" i="70"/>
  <c r="J184" i="73"/>
  <c r="K184" i="73"/>
  <c r="K285" i="5"/>
  <c r="J254" i="5"/>
  <c r="K226" i="73"/>
  <c r="K297" i="73"/>
  <c r="K240" i="5"/>
  <c r="K176" i="5"/>
  <c r="J246" i="5"/>
  <c r="K306" i="5"/>
  <c r="J270" i="5"/>
  <c r="I266" i="73"/>
  <c r="J266" i="73"/>
  <c r="K266" i="73"/>
  <c r="K22" i="5"/>
  <c r="K52" i="5"/>
  <c r="K338" i="5"/>
  <c r="K169" i="5"/>
  <c r="K39" i="5"/>
  <c r="B9" i="73"/>
  <c r="D9" i="73"/>
  <c r="K91" i="5"/>
  <c r="J67" i="5"/>
  <c r="K165" i="73"/>
  <c r="K50" i="5"/>
  <c r="G9" i="73"/>
  <c r="G6" i="73"/>
  <c r="E2" i="64"/>
  <c r="J288" i="5"/>
  <c r="K267" i="5"/>
  <c r="J139" i="73"/>
  <c r="K139" i="73"/>
  <c r="J253" i="5"/>
  <c r="K131" i="5"/>
  <c r="J228" i="5"/>
  <c r="J210" i="5"/>
  <c r="G6" i="5"/>
  <c r="K53" i="73"/>
  <c r="K29" i="5"/>
  <c r="J164" i="5"/>
  <c r="K255" i="5"/>
  <c r="AC1119" i="2"/>
  <c r="K198" i="73"/>
  <c r="K89" i="73"/>
  <c r="AE1012" i="2"/>
  <c r="AC1012" i="2"/>
  <c r="AC2144" i="2"/>
  <c r="K226" i="5"/>
  <c r="J215" i="5"/>
  <c r="K87" i="5"/>
  <c r="AE990" i="2"/>
  <c r="K198" i="5"/>
  <c r="J170" i="5"/>
  <c r="K81" i="5"/>
  <c r="E2" i="65"/>
  <c r="D20" i="68"/>
  <c r="K153" i="73"/>
  <c r="K42" i="73"/>
  <c r="K242" i="73"/>
  <c r="J104" i="5"/>
  <c r="K104" i="5"/>
  <c r="K101" i="73"/>
  <c r="K202" i="5"/>
  <c r="K239" i="5"/>
  <c r="K345" i="5"/>
  <c r="K108" i="5"/>
  <c r="G29" i="70"/>
  <c r="K136" i="73"/>
  <c r="K62" i="73"/>
  <c r="G28" i="70"/>
  <c r="K240" i="73"/>
  <c r="J143" i="73"/>
  <c r="K143" i="73"/>
  <c r="K183" i="73"/>
  <c r="K71" i="73"/>
  <c r="F9" i="73"/>
  <c r="K228" i="73"/>
  <c r="D21" i="68"/>
  <c r="Y1048" i="2"/>
  <c r="K37" i="5"/>
  <c r="J194" i="5"/>
  <c r="K111" i="5"/>
  <c r="K85" i="5"/>
  <c r="K237" i="73"/>
  <c r="K108" i="73"/>
  <c r="K269" i="5"/>
  <c r="K307" i="5"/>
  <c r="J322" i="5"/>
  <c r="K23" i="5"/>
  <c r="J15" i="5"/>
  <c r="K149" i="5"/>
  <c r="J94" i="5"/>
  <c r="K309" i="5"/>
  <c r="K265" i="73"/>
  <c r="J129" i="5"/>
  <c r="K63" i="73"/>
  <c r="J232" i="5"/>
  <c r="K70" i="5"/>
  <c r="K121" i="5"/>
  <c r="K36" i="5"/>
  <c r="K280" i="5"/>
  <c r="K292" i="73"/>
  <c r="D9" i="5"/>
  <c r="AC990" i="2"/>
  <c r="K251" i="73"/>
  <c r="K171" i="73"/>
  <c r="K234" i="73"/>
  <c r="K104" i="73"/>
  <c r="K140" i="73"/>
  <c r="D26" i="68"/>
  <c r="K75" i="73"/>
  <c r="J250" i="5"/>
  <c r="K196" i="73"/>
  <c r="K229" i="73"/>
  <c r="J163" i="73"/>
  <c r="K163" i="73"/>
  <c r="K156" i="73"/>
  <c r="X1084" i="2"/>
  <c r="K202" i="73"/>
  <c r="K38" i="73"/>
  <c r="K113" i="73"/>
  <c r="H9" i="73"/>
  <c r="F9" i="5"/>
  <c r="K193" i="73"/>
  <c r="H9" i="5"/>
  <c r="K248" i="73"/>
  <c r="K48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</authors>
  <commentList>
    <comment ref="C5" authorId="0" shapeId="0" xr:uid="{1907E05F-E267-4B90-A6F0-A56917D657C2}">
      <text>
        <r>
          <rPr>
            <b/>
            <sz val="8"/>
            <color indexed="81"/>
            <rFont val="Segoe UI"/>
            <family val="2"/>
          </rPr>
          <t>Inserir quantidade somente no serviço "célula em branco"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  <author>tc={4E7CEDAF-B282-42A9-8E6E-CE82946093DD}</author>
  </authors>
  <commentList>
    <comment ref="C10" authorId="0" shapeId="0" xr:uid="{BC07B1EE-6798-4C82-85B6-B37B12612D23}">
      <text>
        <r>
          <rPr>
            <b/>
            <sz val="8"/>
            <color indexed="81"/>
            <rFont val="Segoe UI"/>
            <family val="2"/>
          </rPr>
          <t>Quantidade de vezes que o insumo e o serviço aparecem no orçamento</t>
        </r>
      </text>
    </comment>
    <comment ref="U10" authorId="0" shapeId="0" xr:uid="{6E51351E-730B-48C9-B158-FC9DF2A7871E}">
      <text>
        <r>
          <rPr>
            <b/>
            <sz val="8"/>
            <color indexed="81"/>
            <rFont val="Segoe UI"/>
            <family val="2"/>
          </rPr>
          <t>Inserir quantidade somente no serviço "célula em branco"</t>
        </r>
      </text>
    </comment>
    <comment ref="AC10" authorId="1" shapeId="0" xr:uid="{4E7CEDAF-B282-42A9-8E6E-CE82946093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relação ao total sem taxa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Oliveira Santana</author>
    <author>Renata Fernandes Narita</author>
  </authors>
  <commentList>
    <comment ref="G11" authorId="0" shapeId="0" xr:uid="{5BC4A089-DB37-4E8B-98E8-DE9589F5B03A}">
      <text>
        <r>
          <rPr>
            <sz val="9"/>
            <color indexed="81"/>
            <rFont val="Segoe UI"/>
            <family val="2"/>
          </rPr>
          <t>Incluindo o Térreo</t>
        </r>
      </text>
    </comment>
    <comment ref="G12" authorId="1" shapeId="0" xr:uid="{D7DD2E80-F376-4CF8-A429-6255E321FE61}">
      <text>
        <r>
          <rPr>
            <sz val="9"/>
            <color indexed="81"/>
            <rFont val="Segoe UI"/>
            <family val="2"/>
          </rPr>
          <t xml:space="preserve">
+ 3 - (2 fund. direta + 1 fund. Ind.)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<sst xmlns="http://schemas.openxmlformats.org/spreadsheetml/2006/main" count="12263" uniqueCount="1272">
  <si>
    <t>Obra</t>
  </si>
  <si>
    <t>Célula Construtiva</t>
  </si>
  <si>
    <t>Etapa</t>
  </si>
  <si>
    <t>Subetapa</t>
  </si>
  <si>
    <t>Serviço</t>
  </si>
  <si>
    <t>vb</t>
  </si>
  <si>
    <t>Código</t>
  </si>
  <si>
    <t>Descrição</t>
  </si>
  <si>
    <t>Quantidade</t>
  </si>
  <si>
    <t>Controle Tecnologico - Coleta materiais da obra</t>
  </si>
  <si>
    <t>mês</t>
  </si>
  <si>
    <t>Coluna1</t>
  </si>
  <si>
    <t>Un.</t>
  </si>
  <si>
    <t>Ordem</t>
  </si>
  <si>
    <t>Nivel</t>
  </si>
  <si>
    <t>Quant. Serviço</t>
  </si>
  <si>
    <t>Quant. orçada</t>
  </si>
  <si>
    <t>Coef.</t>
  </si>
  <si>
    <t>Preço Unit. Insumo</t>
  </si>
  <si>
    <t>Insumo</t>
  </si>
  <si>
    <t>Controle Tecnológico - Ensaio de concreto endurecido/grouth - compressão simples / Detalhe: Concreto</t>
  </si>
  <si>
    <t>Controle Tecnológico - Ensaio de concreto endurecido/grouth - compressão simples / Detalhe: Groute</t>
  </si>
  <si>
    <t>Unidade Construtiva</t>
  </si>
  <si>
    <t>Item</t>
  </si>
  <si>
    <t>Unid.</t>
  </si>
  <si>
    <t>Obra:</t>
  </si>
  <si>
    <t>Data:</t>
  </si>
  <si>
    <t>Perc. (%)</t>
  </si>
  <si>
    <t>Preço Comp.</t>
  </si>
  <si>
    <t>Observações</t>
  </si>
  <si>
    <t>Guincheiro</t>
  </si>
  <si>
    <t>Índice</t>
  </si>
  <si>
    <t>Área Construída</t>
  </si>
  <si>
    <t>unid</t>
  </si>
  <si>
    <t>01.001.002.003</t>
  </si>
  <si>
    <t/>
  </si>
  <si>
    <t>Não</t>
  </si>
  <si>
    <t>Qtde.</t>
  </si>
  <si>
    <t xml:space="preserve">Dados da obra </t>
  </si>
  <si>
    <t>Nº de condominios</t>
  </si>
  <si>
    <t>Área do Terreno</t>
  </si>
  <si>
    <t>T+9</t>
  </si>
  <si>
    <t>resistências</t>
  </si>
  <si>
    <t>Prazo de Terraplanagem</t>
  </si>
  <si>
    <t>T+16</t>
  </si>
  <si>
    <t>N° de Torres</t>
  </si>
  <si>
    <t>T+18</t>
  </si>
  <si>
    <t>T+20</t>
  </si>
  <si>
    <t>Prazo para controle (fundação)</t>
  </si>
  <si>
    <t>Prazo para controle (estrutura)</t>
  </si>
  <si>
    <t>Quantidade de resistências de blocos</t>
  </si>
  <si>
    <t>Apartamentos possuem terraço?</t>
  </si>
  <si>
    <t>Existe porta na cozinha com acesso para AS no terraço?</t>
  </si>
  <si>
    <t>Caixilhos possuem persiana integrada?</t>
  </si>
  <si>
    <t>Descrição/Especificação</t>
  </si>
  <si>
    <t>V. Unit. (R$)</t>
  </si>
  <si>
    <t>V. Total
(R$)</t>
  </si>
  <si>
    <t>CONTROLE TECNOLÓGICO  - CONCRETO</t>
  </si>
  <si>
    <t>01.001.002.001</t>
  </si>
  <si>
    <t>Vb</t>
  </si>
  <si>
    <t>1 Única Vez</t>
  </si>
  <si>
    <t>unid.</t>
  </si>
  <si>
    <t>2 coletas semanais x  4 semanas x XX meses x XX torres + 15 (p/ anexos)</t>
  </si>
  <si>
    <t>Auxiliar de Laboratorista
(Moldador para argamassa, grouth, concreto, bloco) mês</t>
  </si>
  <si>
    <t>Prazo da Fundação</t>
  </si>
  <si>
    <t>Prazo da Estrutura</t>
  </si>
  <si>
    <t>cps</t>
  </si>
  <si>
    <t>Fundação: 4 CPs por betoneira (6m3)</t>
  </si>
  <si>
    <t>Estrutura: 3 CPs por betoneira (6m3)</t>
  </si>
  <si>
    <t>Determinação do módulo de deformação tangente inicial (Eci) (módulo de elasticidade), Incluindo Avaliação Estática dos Resultados (NBR 8522 e NBR 12655)</t>
  </si>
  <si>
    <t>ensaio</t>
  </si>
  <si>
    <t>SUBTOTAL:</t>
  </si>
  <si>
    <t>ensaios</t>
  </si>
  <si>
    <t>ACUSTICA - ENSAIO DE RUIDOS ( PISO + FACHADA)</t>
  </si>
  <si>
    <t>1 ensaio</t>
  </si>
  <si>
    <t>ENSAIO PARA CAIXILHOS</t>
  </si>
  <si>
    <t>Permeabilidade ao ar
Estanqueidade a agua
Resistencias a cargas uniformes distribuidas</t>
  </si>
  <si>
    <t>ENSAIO PARA GUARDA-CORPO</t>
  </si>
  <si>
    <t>1 prototipo por projeto</t>
  </si>
  <si>
    <t>ENSAIOS PARA ARGAMASSA DE REVESTIMENTO (FACHADA)</t>
  </si>
  <si>
    <t>1 ensaio por torre</t>
  </si>
  <si>
    <t>ENSAIO PARA REVESTIMENTOS CERÂMICOS</t>
  </si>
  <si>
    <t>ENSAIO PARA ANCORAGEM (GANHOS DA COBERTURA)</t>
  </si>
  <si>
    <t>ENSAIOS PARA ALVENARIA ESTRUTURAL</t>
  </si>
  <si>
    <t>Ensaio de Argamassa - Determinação da resistência a compressão - no cubo (NBR 15961-2/2011)</t>
  </si>
  <si>
    <t>Ensaio Prisma - Determinação da resistência a compressão - Oco (NBR 15961-2/2011)</t>
  </si>
  <si>
    <t>Ensaio Prisma - Determinação da resistência a compressão - Cheio (NBR 15961-2/2011)</t>
  </si>
  <si>
    <t>Ensaio de Bloco - Determinação da resistência a compressão com dimensionamento (NBR 12118)</t>
  </si>
  <si>
    <t xml:space="preserve">6 cps x  núm classes de resistencia </t>
  </si>
  <si>
    <t>Ensaio de Bloco - Determinação da absorção e área liquida (NBR 12118)</t>
  </si>
  <si>
    <t>3 cps x núm classe de resistencia</t>
  </si>
  <si>
    <t xml:space="preserve">VALOR TOTAL: </t>
  </si>
  <si>
    <t>Preço total / Verba</t>
  </si>
  <si>
    <t>OK</t>
  </si>
  <si>
    <t>ok</t>
  </si>
  <si>
    <t>Coluna3</t>
  </si>
  <si>
    <t>Repetições Insumo</t>
  </si>
  <si>
    <t xml:space="preserve">Preço Total </t>
  </si>
  <si>
    <t>Insumos com Cód</t>
  </si>
  <si>
    <t>Parâmetro</t>
  </si>
  <si>
    <t>Apto</t>
  </si>
  <si>
    <t>MÊS</t>
  </si>
  <si>
    <t>1 ensaio por tipo de caixilho (dormitório, sala, área de serviço e banheiro e terraço, se houver)</t>
  </si>
  <si>
    <r>
      <t>A cada 5 pav.</t>
    </r>
    <r>
      <rPr>
        <sz val="9"/>
        <color theme="0" tint="-0.499984740745262"/>
        <rFont val="Calibri"/>
        <family val="2"/>
        <scheme val="minor"/>
      </rPr>
      <t xml:space="preserve"> (e quando houver troca de fornecedor)</t>
    </r>
  </si>
  <si>
    <r>
      <rPr>
        <b/>
        <sz val="9"/>
        <rFont val="Calibri"/>
        <family val="2"/>
        <scheme val="minor"/>
      </rPr>
      <t>Ensaio de Desempenho Acustico para piso</t>
    </r>
    <r>
      <rPr>
        <sz val="9"/>
        <rFont val="Calibri"/>
        <family val="2"/>
        <scheme val="minor"/>
      </rPr>
      <t xml:space="preserve">
Ensaio de ruído aéreo e ruído de impacto em Laje</t>
    </r>
    <r>
      <rPr>
        <b/>
        <sz val="9"/>
        <rFont val="Calibri"/>
        <family val="2"/>
        <scheme val="minor"/>
      </rPr>
      <t xml:space="preserve"> </t>
    </r>
    <r>
      <rPr>
        <sz val="9"/>
        <rFont val="Calibri"/>
        <family val="2"/>
        <scheme val="minor"/>
      </rPr>
      <t>de dorm.</t>
    </r>
  </si>
  <si>
    <r>
      <rPr>
        <b/>
        <sz val="9"/>
        <rFont val="Calibri"/>
        <family val="2"/>
        <scheme val="minor"/>
      </rPr>
      <t>Ensaio de Desempenho Acustico para vedação externa</t>
    </r>
    <r>
      <rPr>
        <sz val="9"/>
        <rFont val="Calibri"/>
        <family val="2"/>
        <scheme val="minor"/>
      </rPr>
      <t xml:space="preserve">
Ensaio de isolamento a ruído aéreo em Fachada de dorm.</t>
    </r>
  </si>
  <si>
    <r>
      <t xml:space="preserve">
Resistencia as operações de manuseio com manutenção
</t>
    </r>
    <r>
      <rPr>
        <b/>
        <sz val="9"/>
        <rFont val="Calibri"/>
        <family val="2"/>
        <scheme val="minor"/>
      </rPr>
      <t xml:space="preserve">SEM persiana integrada
</t>
    </r>
  </si>
  <si>
    <r>
      <t xml:space="preserve">
Resistencia as operações de manuseio com manutenção
</t>
    </r>
    <r>
      <rPr>
        <b/>
        <sz val="9"/>
        <rFont val="Calibri"/>
        <family val="2"/>
        <scheme val="minor"/>
      </rPr>
      <t xml:space="preserve">COM persiana integrada
</t>
    </r>
  </si>
  <si>
    <r>
      <rPr>
        <b/>
        <sz val="9"/>
        <rFont val="Calibri"/>
        <family val="2"/>
        <scheme val="minor"/>
      </rPr>
      <t>Ensaio de guarda-corpo</t>
    </r>
    <r>
      <rPr>
        <sz val="9"/>
        <rFont val="Calibri"/>
        <family val="2"/>
        <scheme val="minor"/>
      </rPr>
      <t xml:space="preserve">
Determinação do esforço horizontal, esforço vertical e Resistencia a impactos</t>
    </r>
  </si>
  <si>
    <r>
      <rPr>
        <b/>
        <sz val="9"/>
        <rFont val="Calibri"/>
        <family val="2"/>
        <scheme val="minor"/>
      </rPr>
      <t xml:space="preserve">Ensaio de arrancamento de argamassa de revestimento </t>
    </r>
    <r>
      <rPr>
        <sz val="9"/>
        <rFont val="Calibri"/>
        <family val="2"/>
        <scheme val="minor"/>
      </rPr>
      <t xml:space="preserve">
Determinação da aderencia a tração</t>
    </r>
  </si>
  <si>
    <r>
      <t>Aderência em Revestimento Cerâmico</t>
    </r>
    <r>
      <rPr>
        <b/>
        <u/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Determinação da aderência a tração (NBR 13754)</t>
    </r>
  </si>
  <si>
    <r>
      <t xml:space="preserve">Torre Alta: 1 ensaio por torre, </t>
    </r>
    <r>
      <rPr>
        <b/>
        <u/>
        <sz val="9"/>
        <color theme="0" tint="-0.499984740745262"/>
        <rFont val="Calibri"/>
        <family val="2"/>
        <scheme val="minor"/>
      </rPr>
      <t>por referência de produto</t>
    </r>
  </si>
  <si>
    <r>
      <rPr>
        <b/>
        <sz val="9"/>
        <rFont val="Calibri"/>
        <family val="2"/>
        <scheme val="minor"/>
      </rPr>
      <t>Arrancamento de ganchos da cobertura</t>
    </r>
    <r>
      <rPr>
        <sz val="9"/>
        <rFont val="Calibri"/>
        <family val="2"/>
        <scheme val="minor"/>
      </rPr>
      <t xml:space="preserve">
Ensaio de Arrancamento</t>
    </r>
  </si>
  <si>
    <r>
      <rPr>
        <b/>
        <sz val="9"/>
        <rFont val="Calibri"/>
        <family val="2"/>
        <scheme val="minor"/>
      </rPr>
      <t>Arrancamento de ganchos da cobertura</t>
    </r>
    <r>
      <rPr>
        <sz val="9"/>
        <rFont val="Calibri"/>
        <family val="2"/>
        <scheme val="minor"/>
      </rPr>
      <t xml:space="preserve">
Emissão de Relatorio e Laudos, incluindo Mobilização/ Desmobilização</t>
    </r>
  </si>
  <si>
    <r>
      <t xml:space="preserve">1 por </t>
    </r>
    <r>
      <rPr>
        <b/>
        <u/>
        <sz val="9"/>
        <color theme="0" tint="-0.499984740745262"/>
        <rFont val="Calibri"/>
        <family val="2"/>
        <scheme val="minor"/>
      </rPr>
      <t xml:space="preserve">tipo </t>
    </r>
    <r>
      <rPr>
        <b/>
        <sz val="9"/>
        <color theme="0" tint="-0.499984740745262"/>
        <rFont val="Calibri"/>
        <family val="2"/>
        <scheme val="minor"/>
      </rPr>
      <t xml:space="preserve">de torre </t>
    </r>
  </si>
  <si>
    <r>
      <t xml:space="preserve">≥  12Mpa: 6 CP's x núm pav x núm torres  + ANEXOS </t>
    </r>
    <r>
      <rPr>
        <b/>
        <sz val="9"/>
        <color rgb="FFFF0000"/>
        <rFont val="Calibri"/>
        <family val="2"/>
        <scheme val="minor"/>
      </rPr>
      <t>(CONSIDERAR +6 CPs PARA CADA PAVIMENTO DE ANEXOS - INCLUINDO EMBASAMENTO  E PLATIBANDA - SE HOUVER)</t>
    </r>
    <r>
      <rPr>
        <b/>
        <sz val="9"/>
        <color theme="0" tint="-0.499984740745262"/>
        <rFont val="Calibri"/>
        <family val="2"/>
        <scheme val="minor"/>
      </rPr>
      <t xml:space="preserve">
Torre alta: 6CPs por pavimento</t>
    </r>
  </si>
  <si>
    <t>Ref. de Qtde. de Resistências de Blocos</t>
  </si>
  <si>
    <t>Item Orçam.</t>
  </si>
  <si>
    <t>Nº de pavimentos (Térreo+Tipo)</t>
  </si>
  <si>
    <r>
      <t>Volume de concreto - contenções e arrimos</t>
    </r>
    <r>
      <rPr>
        <sz val="9"/>
        <color rgb="FF0602AE"/>
        <rFont val="Calibri"/>
        <family val="2"/>
        <scheme val="minor"/>
      </rPr>
      <t xml:space="preserve"> </t>
    </r>
    <r>
      <rPr>
        <b/>
        <sz val="9"/>
        <color rgb="FF0602AE"/>
        <rFont val="Calibri"/>
        <family val="2"/>
        <scheme val="minor"/>
      </rPr>
      <t>(COM PERDA)</t>
    </r>
  </si>
  <si>
    <r>
      <t>Volume de concreto - fundação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0602AE"/>
        <rFont val="Calibri"/>
        <family val="2"/>
        <scheme val="minor"/>
      </rPr>
      <t>(COM PERDA)</t>
    </r>
  </si>
  <si>
    <r>
      <t>Volume de concreto - estrutura</t>
    </r>
    <r>
      <rPr>
        <b/>
        <sz val="9"/>
        <color rgb="FF0602AE"/>
        <rFont val="Calibri"/>
        <family val="2"/>
        <scheme val="minor"/>
      </rPr>
      <t xml:space="preserve"> (COM PERDA)</t>
    </r>
  </si>
  <si>
    <t>DI01</t>
  </si>
  <si>
    <t xml:space="preserve">PPRA/PCMSO </t>
  </si>
  <si>
    <t>Laudo e ART</t>
  </si>
  <si>
    <t>DI02</t>
  </si>
  <si>
    <t>ARQUITETURA</t>
  </si>
  <si>
    <t>Data</t>
  </si>
  <si>
    <r>
      <t xml:space="preserve">≥  12Mpa: 6 CP's x núm pav x núm torres </t>
    </r>
    <r>
      <rPr>
        <b/>
        <sz val="9"/>
        <color rgb="FFFF0000"/>
        <rFont val="Calibri"/>
        <family val="2"/>
        <scheme val="minor"/>
      </rPr>
      <t>+ ANEXOS (CONSIDERAR +6 CPs PARA CADA PAVIMENTO DE ANEXOS - INCLUINDO EMBASAMENTO  E PLATIBANDA - SE HOUVER)</t>
    </r>
    <r>
      <rPr>
        <b/>
        <sz val="9"/>
        <color theme="0" tint="-0.499984740745262"/>
        <rFont val="Calibri"/>
        <family val="2"/>
        <scheme val="minor"/>
      </rPr>
      <t xml:space="preserve">
Torre alta: 6CPs por pavimento
</t>
    </r>
    <r>
      <rPr>
        <b/>
        <sz val="9"/>
        <color rgb="FF0602AE"/>
        <rFont val="Calibri"/>
        <family val="2"/>
        <scheme val="minor"/>
      </rPr>
      <t>P/ pavimento &gt; 600m²: 12 CPs</t>
    </r>
  </si>
  <si>
    <r>
      <t xml:space="preserve">12 CP's x núm pav x núm torres 
</t>
    </r>
    <r>
      <rPr>
        <b/>
        <sz val="9"/>
        <color rgb="FFFF0000"/>
        <rFont val="Calibri"/>
        <family val="2"/>
        <scheme val="minor"/>
      </rPr>
      <t>Torre alta: 12CPs por pavimento</t>
    </r>
    <r>
      <rPr>
        <b/>
        <sz val="9"/>
        <color theme="0" tint="-0.499984740745262"/>
        <rFont val="Calibri"/>
        <family val="2"/>
        <scheme val="minor"/>
      </rPr>
      <t xml:space="preserve">
</t>
    </r>
    <r>
      <rPr>
        <b/>
        <sz val="9"/>
        <color rgb="FF0602AE"/>
        <rFont val="Calibri"/>
        <family val="2"/>
        <scheme val="minor"/>
      </rPr>
      <t>P/ pavimento &gt; 600m²: 12 CPs</t>
    </r>
  </si>
  <si>
    <t>Base Quant. Serviço</t>
  </si>
  <si>
    <t>Empresa:</t>
  </si>
  <si>
    <t>Revisão</t>
  </si>
  <si>
    <t>ORÇAMENTO EXECUTIVO</t>
  </si>
  <si>
    <t>Sondagem do terreno</t>
  </si>
  <si>
    <t>Projeto de climatização</t>
  </si>
  <si>
    <t>Empresa</t>
  </si>
  <si>
    <t>DADOS OBRA</t>
  </si>
  <si>
    <t>Unidade</t>
  </si>
  <si>
    <t>ÁREA DO TERRENO</t>
  </si>
  <si>
    <t>M2</t>
  </si>
  <si>
    <t>ÁREA CONSTRUÍDA</t>
  </si>
  <si>
    <t>UN</t>
  </si>
  <si>
    <t>MESES DE OBRA</t>
  </si>
  <si>
    <t>NÚMERO DE PAVIMENTOS</t>
  </si>
  <si>
    <t>IPTU</t>
  </si>
  <si>
    <t>EQUIPAMENTOS</t>
  </si>
  <si>
    <t>Nº Unidade Construtiva</t>
  </si>
  <si>
    <t>Nº Célula Construtiva</t>
  </si>
  <si>
    <t>Nº Etapa</t>
  </si>
  <si>
    <t>Nº Subetapa</t>
  </si>
  <si>
    <t>Nº Serviço</t>
  </si>
  <si>
    <t>Cliente</t>
  </si>
  <si>
    <t>Prazo</t>
  </si>
  <si>
    <t>R$/m²</t>
  </si>
  <si>
    <t>Repetições</t>
  </si>
  <si>
    <t>Tela fachadeira</t>
  </si>
  <si>
    <t>Considerado preliminar</t>
  </si>
  <si>
    <t>M</t>
  </si>
  <si>
    <t>KG</t>
  </si>
  <si>
    <t>ACO CA-50A 6,30 MM (1/4)</t>
  </si>
  <si>
    <t>ARAME RECOZIDO 18 BWG, 1,25MM (0,010 KG/M)</t>
  </si>
  <si>
    <t>ESPACADOR CIRCULAR 40MM</t>
  </si>
  <si>
    <t>ACO CA-50A 8,00 MM (5/16)</t>
  </si>
  <si>
    <t>ACO CA-50A 12,50 MM (1/2)</t>
  </si>
  <si>
    <t>ACO CA-50A 20,00 MM (3/4)</t>
  </si>
  <si>
    <t>M3</t>
  </si>
  <si>
    <t>BOMBEAMENTO DE CONCRETO USINADO</t>
  </si>
  <si>
    <t>RETROESCAVADEIRA SOBRE RODAS COM CARREGADEIRA</t>
  </si>
  <si>
    <t>H</t>
  </si>
  <si>
    <t>VB</t>
  </si>
  <si>
    <t>DESMOLDANTE</t>
  </si>
  <si>
    <t>PREGO COM CABEÇA 15 X 18</t>
  </si>
  <si>
    <t>PREGO 17 x 21 COM CABECA</t>
  </si>
  <si>
    <t>Tabua de pinus 20x2,5x300cm</t>
  </si>
  <si>
    <t>SARRAFO DE MADEIRA 7,0 x 3 M</t>
  </si>
  <si>
    <t>L</t>
  </si>
  <si>
    <t>ACO CA-50A 10,00 MM (3/8)</t>
  </si>
  <si>
    <t>ACO CA-50A 16,00 MM (5/8)</t>
  </si>
  <si>
    <t>ACO CA-60 5,00 MM</t>
  </si>
  <si>
    <t>Aco CA-50A 25,00 mm (1)</t>
  </si>
  <si>
    <t>Lastro de concreto magro-aplicado em blocos-espessura 5cm</t>
  </si>
  <si>
    <t>CONCRETO MAGRO 150 KG CIM/M3</t>
  </si>
  <si>
    <t>CONCRETO USINADO BOMBEÁVEL FCK 40 MPA BRITA 0 SLUMP 12 +- 2</t>
  </si>
  <si>
    <t>Mão de Obra</t>
  </si>
  <si>
    <t>MAO DE OBRA PARA EXECUCAO DE INFRAESTRUTURA</t>
  </si>
  <si>
    <t>Armacao aco CA-50 ø 6.3mm para supraestrutura corte e dobra em indústria</t>
  </si>
  <si>
    <t>Armacao aco CA-50 ø 8.0mm para supraestrutura corte e dobra em indústria</t>
  </si>
  <si>
    <t>Armacao aco CA-50 ø 10.0mm para supraestrutura corte e dobra em indústria</t>
  </si>
  <si>
    <t>Armacao aco CA-50 ø 12.5mm para supraestrutura corte e dobra em indústria</t>
  </si>
  <si>
    <t>Armacao aco CA-50 ø 16.0mm para supraestrutura corte e dobra em indústria</t>
  </si>
  <si>
    <t>Armacao aco CA-50 ø 20.0mm para supraestrutura corte e dobra em indústria</t>
  </si>
  <si>
    <t>Armacao aco CA-50 ø 25.0mm para supraestrutura corte e dobra em indústria</t>
  </si>
  <si>
    <t>PONTALETE DE PINUS 2,5 X 10 CM</t>
  </si>
  <si>
    <t>Fabricação de fôrma para laje em chapa de madeira compensada plastificada e=14 mm - 2 jogos</t>
  </si>
  <si>
    <t>Montagem e desmontagem de fôrma para laje em chapa de madeira compensada plastificada</t>
  </si>
  <si>
    <t>Arame recozido 12 BWG</t>
  </si>
  <si>
    <t>Montagem e desmontagem de fôrma para pilares em chapa de madeira compensada plastificada</t>
  </si>
  <si>
    <t>Montagem e desmontagem de fôrma para vigas em chapa de madeira compensada plastificada</t>
  </si>
  <si>
    <t>Montagem de fôrma para escadarias em chapa de madeira compensada plastificada e=14 mm - 2 jogos</t>
  </si>
  <si>
    <t>CH</t>
  </si>
  <si>
    <t>Cimento Portland CP II - E</t>
  </si>
  <si>
    <t>MAO DE OBRA PARA POLIMENTO DE PISO DE CONCRETO</t>
  </si>
  <si>
    <t>PO ENDURECEDOR PARA CONCRETO ESTAMPADO</t>
  </si>
  <si>
    <t>MAO DE OBRA PARA EXECUCAO DE SUPRAESTRUTURA EM CONCRETO ARMADO</t>
  </si>
  <si>
    <t>Alvenaria de vedacao de blocos ceramicos furados na horizontal de 11.5x19x29cm (espessura 11.5cm) com argamassa industrializada de assentamento</t>
  </si>
  <si>
    <t>ARGAMASSA ESTABILIZADA P/ ASSENTAMENTO</t>
  </si>
  <si>
    <t>BLOCO CERAMICO VEDACAO 11,5 X 19 X 29 CM - FUROS NA HORIZONTAL</t>
  </si>
  <si>
    <t>Alvenaria de vedacao de blocos ceramicos furados na horizontal de 14x19x29cm (espessura 14cm) com argamassa industrializada de assentamento</t>
  </si>
  <si>
    <t>BLOCO CERAMICO VEDACAO 14 X 19 X 29 CM - FUROS NA HORIZONTAL</t>
  </si>
  <si>
    <t>Verga/contraverga de concreto, moldada in loco</t>
  </si>
  <si>
    <t>CONCRETO USINADO BOMBEAVEL FCK 20 MPA BRITA 0+1 SLUMP 14+/-2</t>
  </si>
  <si>
    <t>Tela soldada para ligacao alvenaria/estrutura - para blocos de 9 a 14cm</t>
  </si>
  <si>
    <t>TELA AMARRAÇÃO MALHA 15 X 15MM - 7,5 X 50CM D= 1,24MM</t>
  </si>
  <si>
    <t>PINO LISO EM ACO GALVANIZADO 1/2 X 22MM COM ARRUELA</t>
  </si>
  <si>
    <t>CARTUCHO 22 - CARGA LEVE PARA FINCA PINO A POLVORA</t>
  </si>
  <si>
    <t>Encunhamento de alvenaria de vedacao com argamassa expansiva</t>
  </si>
  <si>
    <t>ARGAMASSA PARA ENCUNHAMENTO</t>
  </si>
  <si>
    <t>Mao de obra empreitada vedacoes internas e externas - assentamento blocos ceramicos</t>
  </si>
  <si>
    <t>LEVANTAMENTO TOPOGRAFICO</t>
  </si>
  <si>
    <t>SONDAGEM</t>
  </si>
  <si>
    <t>Projeto Arquitetônico</t>
  </si>
  <si>
    <t>PROJETO ARQUITETONICO</t>
  </si>
  <si>
    <t>Projeto Estrutural</t>
  </si>
  <si>
    <t>PROJETO ESTRUTURAL</t>
  </si>
  <si>
    <t>PROJETO ELETRICO</t>
  </si>
  <si>
    <t>Projeto hidrossanitário</t>
  </si>
  <si>
    <t>PROJETO HIDROSSANITARIO</t>
  </si>
  <si>
    <t>Projeto De Climatização</t>
  </si>
  <si>
    <t>Consultoria de Orçamento e Planejamento</t>
  </si>
  <si>
    <t>ORCAMENTO E PLANEJAMENTO</t>
  </si>
  <si>
    <t>CONTROLE TECNOLOGICO DO CONCRETO</t>
  </si>
  <si>
    <t>Custo Unitário</t>
  </si>
  <si>
    <t>Definição</t>
  </si>
  <si>
    <t>Definição Item (Tipo)</t>
  </si>
  <si>
    <t>Grupo</t>
  </si>
  <si>
    <t>SE</t>
  </si>
  <si>
    <t>SERVICO DE EMPREITADA DE CONSTRUCAO CIVIL</t>
  </si>
  <si>
    <t>ESQUADRIAS DE ALUMINIO</t>
  </si>
  <si>
    <t>OU</t>
  </si>
  <si>
    <t>Outros</t>
  </si>
  <si>
    <t>INSUMOS PARA ORÇAMENTO</t>
  </si>
  <si>
    <t>MT</t>
  </si>
  <si>
    <t>Materiais</t>
  </si>
  <si>
    <t>Concreto Usinado Bombeavel</t>
  </si>
  <si>
    <t>MOBILIARIO E DECORACOES PARA AREAS COMUNS</t>
  </si>
  <si>
    <t>Equipamentos Comunitarios</t>
  </si>
  <si>
    <t>INSTALACAO MECANICA</t>
  </si>
  <si>
    <t>Locacao De Andaime, Escoramento Metalico E Balanci</t>
  </si>
  <si>
    <t>ITENS EVENTUAIS E NAO ORCADOS</t>
  </si>
  <si>
    <t>Empreitada Instalacao Hidraulica</t>
  </si>
  <si>
    <t>Mão de obra de instalações eletricas</t>
  </si>
  <si>
    <t>Empreitada Instalacao Eletrica</t>
  </si>
  <si>
    <t>MAO DE OBRA PARA CHAPISCO E REBOCO INTERNOS</t>
  </si>
  <si>
    <t>Mao De Obra Para Paredes E Paineis</t>
  </si>
  <si>
    <t>Esquadria De Aluminio</t>
  </si>
  <si>
    <t>ARGAMASSA ESTABILIZADA PARA REBOCO</t>
  </si>
  <si>
    <t>Argamassa Para Revestimento</t>
  </si>
  <si>
    <t>Servico De Pintura E Revestimentos Especiais Inter</t>
  </si>
  <si>
    <t>MAO DE OBRA PARA CHAPISCO E REBOCO EXTERNOS</t>
  </si>
  <si>
    <t>MES</t>
  </si>
  <si>
    <t>PAISAGISMO</t>
  </si>
  <si>
    <t>Servico De Empreitada De Construcao Civil</t>
  </si>
  <si>
    <t>Locacao De Equipamentos De Transporte</t>
  </si>
  <si>
    <t>TINTA ACRILICO PREMIUM FOSCO</t>
  </si>
  <si>
    <t>Tintas</t>
  </si>
  <si>
    <t>MAO DE OBRA PARA PINTURA ACRILICA EM PAREDES EXTERNAS - 2 DEMAOS</t>
  </si>
  <si>
    <t>Servico De Pintura E Revestimentos Especiais Exter</t>
  </si>
  <si>
    <t>ENGENHEIRO CIVIL</t>
  </si>
  <si>
    <t>MO</t>
  </si>
  <si>
    <t>Mao De Obra Direta</t>
  </si>
  <si>
    <t>Esquadria De Madeira</t>
  </si>
  <si>
    <t>MAO DE OBRA EXECUCAO CONTRAPISO COMUM</t>
  </si>
  <si>
    <t>Mao De Obra Para Pisos Cimentados</t>
  </si>
  <si>
    <t>MAO DE OBRA PARA COLOCACAO E REJUNTAMENTO DE PORCELANATO</t>
  </si>
  <si>
    <t>Mao De Obra Para Revestimento Ceramico</t>
  </si>
  <si>
    <t>LIMPEZA FINAL DA OBRA</t>
  </si>
  <si>
    <t>ARGAMASSA ESTABILIZADA P/ CONTRAPISO</t>
  </si>
  <si>
    <t>MATERIAL HIDRAULICO</t>
  </si>
  <si>
    <t>Mao De Obra De Revestimento Em Gesso</t>
  </si>
  <si>
    <t>MAO DE OBRA PARA PINTURA LATEX ACRILICA EM TETO - 3 DEMAOS</t>
  </si>
  <si>
    <t>RODAPÉ EM POLIESTIRENO PU 10CM</t>
  </si>
  <si>
    <t>Revestimento Em Madeira</t>
  </si>
  <si>
    <t>Bloco Ceramico</t>
  </si>
  <si>
    <t>COMUNICACAO VISUAL INTERNA / EXTERNA</t>
  </si>
  <si>
    <t>Distanciadores Plasticos</t>
  </si>
  <si>
    <t>GRANITO POLIDO</t>
  </si>
  <si>
    <t>Revestimento Em Pedra</t>
  </si>
  <si>
    <t>Membranas, Mantas E Tintas</t>
  </si>
  <si>
    <t>TINTA EPOXI PARA PISO</t>
  </si>
  <si>
    <t>Ensaios, Calibracao E Levantamentos</t>
  </si>
  <si>
    <t>DESMOBILIZACAO PESSOAL/EQUIPAMENTOS</t>
  </si>
  <si>
    <t>PROJETOS</t>
  </si>
  <si>
    <t>INSTALACOES DE PROTECAO E ATERRAMENTO - SPDA</t>
  </si>
  <si>
    <t>ARGAMASSA POLIMERICA IMPERMEABILIZANTE</t>
  </si>
  <si>
    <t>Aditivos Para Argamassas</t>
  </si>
  <si>
    <t>FORNECIMENTO DE MATERIAL PARA INSTALACAO DE EXAUSTAO DE CHURRASQUEIRAS</t>
  </si>
  <si>
    <t>Empreitada Instalacao Mecânica</t>
  </si>
  <si>
    <t>Projeto De Arquitetura</t>
  </si>
  <si>
    <t>DESPESAS COM VIZINHOS</t>
  </si>
  <si>
    <t>MAO DE OBRA PARA COLOCACAO DE RODAPE DE POLIESTIRENO</t>
  </si>
  <si>
    <t>Arames</t>
  </si>
  <si>
    <t>MAO DE OBRA PARA IMPERMEABILIZACAO COM ARGAMASSA POLIMERICA</t>
  </si>
  <si>
    <t>Servico De Impermeabilizacao</t>
  </si>
  <si>
    <t>DESPESAS DE CONSUMO - ENERGIA</t>
  </si>
  <si>
    <t>Consumo Periodico</t>
  </si>
  <si>
    <t>Argamassa Para Alvenaria</t>
  </si>
  <si>
    <t>Projeto De Estrutura</t>
  </si>
  <si>
    <t>MAO DE OBRA PARA REGULARIZACAO DE SUPERFICIE</t>
  </si>
  <si>
    <t>Locação Balancim manual</t>
  </si>
  <si>
    <t>SUPORTE PARA BANDEJA 250CM + 80CM A 90° PERFIL 3" X 2,65 CARGA 250KG N</t>
  </si>
  <si>
    <t>Andaime, Escoramento Metalico E Balancim</t>
  </si>
  <si>
    <t>FORNECIMENTO DE M.O. PARA INSTALACAO DE EXAUSTAO DE CHURRASQUEIRAS</t>
  </si>
  <si>
    <t>Despesas</t>
  </si>
  <si>
    <t>ARGAMASSA COLANTE AC II</t>
  </si>
  <si>
    <t>INSTALACOES PROVISORIAS DE CANTEIRO</t>
  </si>
  <si>
    <t>M.O. INSTALAÇÃO DE PORTAS DE MADEIRA</t>
  </si>
  <si>
    <t>Taxas de Aprovação de Projetos e Alvarás (Prefeituras/Bombeiro)</t>
  </si>
  <si>
    <t>INSUMOS PARA ORCAMENTO SINTETICO</t>
  </si>
  <si>
    <t>SERVICO DE SEGURANCA DO TRABALHO TERCEIRIZADO</t>
  </si>
  <si>
    <t>Equipamento de ar-condicionado</t>
  </si>
  <si>
    <t>Equipamentos</t>
  </si>
  <si>
    <t>MAO DE OBRA DE IMPERMEABILIZACAO</t>
  </si>
  <si>
    <t>DESPESAS DE CONSUMO - AGUA</t>
  </si>
  <si>
    <t>Equipamentos De Proteção Individual (Epi)</t>
  </si>
  <si>
    <t>M.O. PARA EXECUCAO DE PROTECAO MECANICA EM SUPERFICIE IMPERMEABILIZADA</t>
  </si>
  <si>
    <t>MANTA ASFALTICA ELASTOMERICA EM POLIESTER 3MM, TIPO III, CLASSE B, ACA</t>
  </si>
  <si>
    <t>Projeto De Instalações Hidraulicas</t>
  </si>
  <si>
    <t>ARGAMASSA ESTABILIZADA PARA CHAPISCO</t>
  </si>
  <si>
    <t>Massas</t>
  </si>
  <si>
    <t>Argamassa Para Rejuntamento</t>
  </si>
  <si>
    <t>LOCACAO DE BANHEIRO QUIMICO</t>
  </si>
  <si>
    <t>Locacao Para Apoio De Canteiro</t>
  </si>
  <si>
    <t>SELADOR PVA</t>
  </si>
  <si>
    <t>Fundos</t>
  </si>
  <si>
    <t>Demolicao com retirada de entulho ate nivel do piso</t>
  </si>
  <si>
    <t>Demolicoes</t>
  </si>
  <si>
    <t>Elementos De Fixacao</t>
  </si>
  <si>
    <t>MASSA CORRIDA PVA</t>
  </si>
  <si>
    <t>Projeto De Instalacoes Eletricas</t>
  </si>
  <si>
    <t>Elementos Vazados</t>
  </si>
  <si>
    <t>TELA FACHADEIRA MOSQUITEIRA</t>
  </si>
  <si>
    <t>Pvc, Nylon E Derivados</t>
  </si>
  <si>
    <t>CIMENTO PORTLAND CP II 32 - Z</t>
  </si>
  <si>
    <t>Cimento</t>
  </si>
  <si>
    <t>Telas Metalicas</t>
  </si>
  <si>
    <t>Implantacao E Movimento De Terra</t>
  </si>
  <si>
    <t>Pergolado de madeira</t>
  </si>
  <si>
    <t>Coberturas Especiais</t>
  </si>
  <si>
    <t>MAO DE OBRA PARA PINTURA ACRILICA EM PISO</t>
  </si>
  <si>
    <t>INSTALACOES PROVISORIAS REDE DE AGUA</t>
  </si>
  <si>
    <t>TELA ARAME GALVANIZADO FIO 24 BWG MALHA 1/2"</t>
  </si>
  <si>
    <t>TELHA ACO ZINCADO TRAPEZOIDAL</t>
  </si>
  <si>
    <t>Telhas</t>
  </si>
  <si>
    <t>INSTALACOES PROVISORIAS REDE ELETRICA</t>
  </si>
  <si>
    <t>ADESIVO DE BASE ACRILICA COMPATIVEL COM CIMENTO</t>
  </si>
  <si>
    <t>Adesivos</t>
  </si>
  <si>
    <t>ARGAMASSA COLANTE AC III</t>
  </si>
  <si>
    <t>SELADOR ACRILICO</t>
  </si>
  <si>
    <t>AREIA MEDIA</t>
  </si>
  <si>
    <t>Desmoldantes</t>
  </si>
  <si>
    <t>IPTU - IMPOSTO PREDIAL E TERRITORIAL URBANO</t>
  </si>
  <si>
    <t>Impostos</t>
  </si>
  <si>
    <t>MAO DE OBRA PARA COLOCACAO E REJUNTAMENTO DE AZULEJO</t>
  </si>
  <si>
    <t>MAO DE OBRA PARA COLOCACAO DE SOLEIRAS EM GRANITO - m²</t>
  </si>
  <si>
    <t>Mao De Obra De Revestimento Em Pedra</t>
  </si>
  <si>
    <t>GUARDA CORPO DE VAOS</t>
  </si>
  <si>
    <t>PRIMER A BASE DE ASFALTO MODIFICADO DILUIDO EM SOLVENTE APLIC. A FRIO</t>
  </si>
  <si>
    <t>MAO DE OBRA PARA EXECUCAO DE PISO CIMENTADO</t>
  </si>
  <si>
    <t>COLA PARA RODAPE DE POLIESTIRENO</t>
  </si>
  <si>
    <t>DESPESAS DE CONSUMO - INTERNET</t>
  </si>
  <si>
    <t>Acessorios P/ Pintura</t>
  </si>
  <si>
    <t>MAO DE OBRA PARA COLOCACAO DE PISO CONCREGRAMA</t>
  </si>
  <si>
    <t>MAO DE OBRA PARA COLOCACAO DE PEITORIL</t>
  </si>
  <si>
    <t>SERVICO DE PINTURA E REVESTIMENTOS ESPECIAIS</t>
  </si>
  <si>
    <t>Vedantes</t>
  </si>
  <si>
    <t>ESPUMA EXPANSIVA DE POLIURETANO 500G</t>
  </si>
  <si>
    <t>CHAPA COMPENSADO RESINADA 14 MM (2,20 X 1,10)</t>
  </si>
  <si>
    <t>Caibro madeira pinus 5x10x300cm</t>
  </si>
  <si>
    <t>CIMENTO BRANCO</t>
  </si>
  <si>
    <t>IMPERMEABILIZANTE MANTA LIQUIDA BRANCA</t>
  </si>
  <si>
    <t>Taxas de ART e RRT</t>
  </si>
  <si>
    <t>MAO DE OBRA PARA IMPERMEABILIZACAO COM MANTA LIQUIDA</t>
  </si>
  <si>
    <t>TINTA ACRILICA PARA PISO</t>
  </si>
  <si>
    <t>DESPESAS DE CONSUMO - COLETA DE LIXO</t>
  </si>
  <si>
    <t>Servico De Limpeza</t>
  </si>
  <si>
    <t>CAIBRO MADEIRA PINUS 8CM X 8 CM</t>
  </si>
  <si>
    <t>EQ</t>
  </si>
  <si>
    <t>Equipamentos De Transporte</t>
  </si>
  <si>
    <t>BLOCO CERAMICO VEDACAO 9 X 19 X 29 CM - FUROS NA HORIZONTAL</t>
  </si>
  <si>
    <t>BUCHA T PARA RODAPE</t>
  </si>
  <si>
    <t>Taxa Aprovação Ambiental (Lap/Lai/Auc)/Compensatória)</t>
  </si>
  <si>
    <t>TABUA DE MADEIRA 2,5 X 30 CM (1 X 12)</t>
  </si>
  <si>
    <t>VIGOTA 7,5 X 7,5 CM (3 X 3")</t>
  </si>
  <si>
    <t>Vigas De Madeira</t>
  </si>
  <si>
    <t>MAO DE OBRA PARA COLOCACAO E REJUNTAMENTO DE PISO CERAMICO</t>
  </si>
  <si>
    <t>TAXAS DE APROVACAO E ALVARAS</t>
  </si>
  <si>
    <t>Alvaras</t>
  </si>
  <si>
    <t>FORNECIMENTO DE M.O. PARA INFRAESTRUTURA DE AR CONDICIONADO</t>
  </si>
  <si>
    <t>PREGO DE ACO 18 X 27 COM CABECA</t>
  </si>
  <si>
    <t>Formas</t>
  </si>
  <si>
    <t>FITA CREPE 25MMX50M</t>
  </si>
  <si>
    <t>Despesas cartorio e juridicas</t>
  </si>
  <si>
    <t>Taxa de Aprovação Ambiental</t>
  </si>
  <si>
    <t>Taxas de Aprovação de Projetos (Hidrossanitário)</t>
  </si>
  <si>
    <t>Taxa de Aprovação de Projetos (Elétrico)</t>
  </si>
  <si>
    <t xml:space="preserve">   GERENCIAMENTO TÉCNICO E ADMINISTRATIVO</t>
  </si>
  <si>
    <t xml:space="preserve">   GERENCIAMENTO TÉCNICO</t>
  </si>
  <si>
    <t xml:space="preserve">   ESTUDOS | PROJETOS | CONSULTORIAS</t>
  </si>
  <si>
    <t xml:space="preserve">   Estudos</t>
  </si>
  <si>
    <t xml:space="preserve">   Projetos</t>
  </si>
  <si>
    <t xml:space="preserve">   Consultorias</t>
  </si>
  <si>
    <t xml:space="preserve">   TAXAS | DOCUMENTOS</t>
  </si>
  <si>
    <t xml:space="preserve">   Licenciamento - Taxas - Impostos</t>
  </si>
  <si>
    <t xml:space="preserve">   SEGURANÇA | MEIO AMBIENTE | SAÚDE</t>
  </si>
  <si>
    <t xml:space="preserve">   Segurança do Trabalho</t>
  </si>
  <si>
    <t xml:space="preserve">   Equipamentos de Proteção</t>
  </si>
  <si>
    <t>Bandeja de protecao primaria</t>
  </si>
  <si>
    <t>Guarda-corpo de laje apos desforma</t>
  </si>
  <si>
    <t>Guarda-corpo de vaos, fixado em forma de madeira, em trama de madeira com tela de polipropileno</t>
  </si>
  <si>
    <t>Fechamento removivel de vaos de porta de elevador em madeira</t>
  </si>
  <si>
    <t>Varal de seguranca com cabo de aco</t>
  </si>
  <si>
    <t xml:space="preserve">   ADMINISTRAÇÃO | CANTEIRO DE OBRAS</t>
  </si>
  <si>
    <t xml:space="preserve">   Equipe de Gestão e Apoio</t>
  </si>
  <si>
    <t xml:space="preserve">   Operação Inicial do Canteiro</t>
  </si>
  <si>
    <t>Demolições</t>
  </si>
  <si>
    <t xml:space="preserve">   Despesas de Consumo e Manutenção</t>
  </si>
  <si>
    <t xml:space="preserve">   Instalações Provisórias</t>
  </si>
  <si>
    <t>Instalacoes provisorias de rede de água</t>
  </si>
  <si>
    <t>Instalacoes provisorias de rede elétrica</t>
  </si>
  <si>
    <t>Tapume em telha metalica</t>
  </si>
  <si>
    <t xml:space="preserve">   EQUIPAMENTOS</t>
  </si>
  <si>
    <t xml:space="preserve">   Equipamentos de Carga e Transporte</t>
  </si>
  <si>
    <t xml:space="preserve">   Equipamentos de Obra</t>
  </si>
  <si>
    <t xml:space="preserve">   Armadura</t>
  </si>
  <si>
    <t xml:space="preserve">   Concreto</t>
  </si>
  <si>
    <t xml:space="preserve">   FUNDAÇÃO RASA</t>
  </si>
  <si>
    <t xml:space="preserve">   Forma</t>
  </si>
  <si>
    <t xml:space="preserve">   Mão de Obra</t>
  </si>
  <si>
    <t xml:space="preserve">   Alvenaria de Vedação com Blocos Cerâmicos</t>
  </si>
  <si>
    <t xml:space="preserve">   Alvenaria de Vedação com Blocos de Concreto</t>
  </si>
  <si>
    <t xml:space="preserve">   Serviços Complementares</t>
  </si>
  <si>
    <t xml:space="preserve">   Quadros Elétricos e Disjuntores</t>
  </si>
  <si>
    <t xml:space="preserve">   Eletrodutos e Eletrocalhas</t>
  </si>
  <si>
    <t xml:space="preserve">   Fios e Cabos Elétricos</t>
  </si>
  <si>
    <t xml:space="preserve">   Pontos de Tomadas e Interruptores</t>
  </si>
  <si>
    <t xml:space="preserve">   Luminárias - Lâmpadas e Acessórios</t>
  </si>
  <si>
    <t>Mao de obra de instalacoes eletricas</t>
  </si>
  <si>
    <t xml:space="preserve">   Instalações de Água Fria</t>
  </si>
  <si>
    <t xml:space="preserve">   Instalações de Água Pluvial</t>
  </si>
  <si>
    <t xml:space="preserve">   Instalações de Esgoto</t>
  </si>
  <si>
    <t xml:space="preserve">   Aparelhos Sanitários - Louças - Metais e Acessórios</t>
  </si>
  <si>
    <t>Loucas e metais</t>
  </si>
  <si>
    <t xml:space="preserve">   Instalações Preventivas</t>
  </si>
  <si>
    <t xml:space="preserve">   INSTALAÇÕES SPDA</t>
  </si>
  <si>
    <t xml:space="preserve">   Instalações SPDA</t>
  </si>
  <si>
    <t>Instalacoes de Protecao e Aterramento - SPDA</t>
  </si>
  <si>
    <t xml:space="preserve">   Instalações de Climatização</t>
  </si>
  <si>
    <t>Infraestrutura para instalacao de ar condicionado</t>
  </si>
  <si>
    <t xml:space="preserve">   Instalações de Exaustão Mecânica</t>
  </si>
  <si>
    <t xml:space="preserve">   Impermeabilização Flexível com Membrana</t>
  </si>
  <si>
    <t>Impermeabilizacao com manta liquida em peitoris</t>
  </si>
  <si>
    <t xml:space="preserve">   Tratamentos</t>
  </si>
  <si>
    <t>Mao de obra para impermeabilizacao de peitoris</t>
  </si>
  <si>
    <t xml:space="preserve">   Regularizacao de superficie para impermeabilizacao</t>
  </si>
  <si>
    <t>Regularizacao de superficie para impermeabilizacao</t>
  </si>
  <si>
    <t xml:space="preserve">   Impermeabilização Flexível com Manta</t>
  </si>
  <si>
    <t>Impermeabilizacao com manta asfaltica espessura 4mm, uma camada, aplicacao com primer asfaltico</t>
  </si>
  <si>
    <t xml:space="preserve">   Impermeabilização Rígida</t>
  </si>
  <si>
    <t>Impermeabilizacao com argamassa polimerica impermeabilizante</t>
  </si>
  <si>
    <t xml:space="preserve">   Proteção Mecânica</t>
  </si>
  <si>
    <t>Protecao mecanica de superficie com argamassa de cimento e areia , traço 1:3, E=5cm</t>
  </si>
  <si>
    <t>Mao de obra para regularizacao de superficie</t>
  </si>
  <si>
    <t>Mao de obra para impermeabilizacao de manta asfaltica</t>
  </si>
  <si>
    <t>Mao de obra para impermeabilizacao com argamassa polimerica</t>
  </si>
  <si>
    <t>Mao de obra para execucao de protecao mecanica em superficie impermeabilizada</t>
  </si>
  <si>
    <t xml:space="preserve">   Contrapiso</t>
  </si>
  <si>
    <t>Piso cimentado com argamassa de cimento e areia traço 1:3, espessura 1,5cm</t>
  </si>
  <si>
    <t xml:space="preserve">   Reboco</t>
  </si>
  <si>
    <t>Chapisco aplicado em estruturas de concreto, com desempenadeira dentada, de argamassa industrializada</t>
  </si>
  <si>
    <t>Chapisco aplicado em alvenarias internas, com colher de pedreiro, de argamassa estabilizada</t>
  </si>
  <si>
    <t>Massa unica para reboco interno em argamassa estabilizada, espessura de 20mm, com execucao de taliscas</t>
  </si>
  <si>
    <t>Estucamento de estrutura de concreto em pilares e vigas</t>
  </si>
  <si>
    <t>Mao de obra para reboco interno, incluindo chapisco</t>
  </si>
  <si>
    <t>Mao de obra para execucao de contrapiso comum e acústico</t>
  </si>
  <si>
    <t xml:space="preserve">   Revestimento Interno Argamassado em Teto</t>
  </si>
  <si>
    <t>Estucamento de estrutura de concreto em teto</t>
  </si>
  <si>
    <t xml:space="preserve">   Acabamento em Gesso</t>
  </si>
  <si>
    <t xml:space="preserve">   Acabamentos em Piso</t>
  </si>
  <si>
    <t xml:space="preserve">   Rodapés</t>
  </si>
  <si>
    <t>Rodape de poliestireno 10cm</t>
  </si>
  <si>
    <t xml:space="preserve">   Soleiras</t>
  </si>
  <si>
    <t>Soleira em granito, acabamento polido, espessura 2cm</t>
  </si>
  <si>
    <t xml:space="preserve">   Peitoris</t>
  </si>
  <si>
    <t>Peitoril em granito, acabamento polido, espessura 2cm</t>
  </si>
  <si>
    <t>Mao de obra para colocacao de rodape de poliestireno</t>
  </si>
  <si>
    <t>Mao de obra para colocacao de soleiras em granito</t>
  </si>
  <si>
    <t>Mao de obra para colocacao de peitoril</t>
  </si>
  <si>
    <t xml:space="preserve">   Sistemas de Pintura Interna em Piso</t>
  </si>
  <si>
    <t xml:space="preserve">   Sistemas de Pintura Interna em Parede</t>
  </si>
  <si>
    <t xml:space="preserve">   Sistemas de Pintura Interna em Teto</t>
  </si>
  <si>
    <t>Pintura com tinta latex acrilica, acabamento fosco em teto, 3 demaos</t>
  </si>
  <si>
    <t xml:space="preserve">   Esquadrias metalicas</t>
  </si>
  <si>
    <t>Fixacao de de contramarcos com argamassa</t>
  </si>
  <si>
    <t>Esquadrias de Aluminio - Fornecimento e instalacao incluindo vidros</t>
  </si>
  <si>
    <t xml:space="preserve">   Esquadrias de Madeira</t>
  </si>
  <si>
    <t>Guarda-corpos de aluminio e vidro</t>
  </si>
  <si>
    <t>Porta de madeira- folha leve/média - 60x210cm- fixacao com espuma expansiva</t>
  </si>
  <si>
    <t>Porta de madeira- folha leve/média - 80x210cm- fixacao com espuma expansiva</t>
  </si>
  <si>
    <t>Porta de madeira, folha leve/média, 90x210cm, fixacao com espuma expansiva - fornecimento e instalacao</t>
  </si>
  <si>
    <t>Mao de obra para instalação de portas de madeira</t>
  </si>
  <si>
    <t xml:space="preserve">   Pergolados</t>
  </si>
  <si>
    <t xml:space="preserve">   Revestimento Argamassado em Fachada</t>
  </si>
  <si>
    <t>Chapisco aplicado em alvenarias externas, com colher de pedreiro, de argamassa estabilizada</t>
  </si>
  <si>
    <t>Massa unica para reboco externo em argamassa estabilizada, espessura de 35mm</t>
  </si>
  <si>
    <t>Tela Soldada para Ligacao Alvenaria/Estrutura em Chapisco Externo 7,5x50cm</t>
  </si>
  <si>
    <t xml:space="preserve">   Pintura e Textura em Fachada</t>
  </si>
  <si>
    <t>Fundo selador latex acrilico em paredes externas, 1 demao</t>
  </si>
  <si>
    <t>Pintura com tinta latex acrilica branca acabamento fosco em paredes externas 2 demaos</t>
  </si>
  <si>
    <t xml:space="preserve">   Acabamentos Especiais em Fachada</t>
  </si>
  <si>
    <t>Mao de obra para reboco externo, inclui chapisco</t>
  </si>
  <si>
    <t>Mao de obra para pintura acrilica em paredes externas, 2 demaos</t>
  </si>
  <si>
    <t xml:space="preserve">   EQUIPAMENTOS E SISTEMAS ESPECIAIS</t>
  </si>
  <si>
    <t xml:space="preserve">   Equipamentos</t>
  </si>
  <si>
    <t>Elevador social</t>
  </si>
  <si>
    <t xml:space="preserve">   Sistemas Especiais</t>
  </si>
  <si>
    <t xml:space="preserve">   Churrasqueiras e/ou Lareiras</t>
  </si>
  <si>
    <t>Exaustao das churrasqueiras</t>
  </si>
  <si>
    <t xml:space="preserve">   SERVIÇOS COMPLEMENTARES E FINAIS</t>
  </si>
  <si>
    <t xml:space="preserve">   Ambientação</t>
  </si>
  <si>
    <t xml:space="preserve">   Comunicação Visual</t>
  </si>
  <si>
    <t>Comunicacao visual</t>
  </si>
  <si>
    <t xml:space="preserve">   Paisagismo</t>
  </si>
  <si>
    <t>Paisagismo</t>
  </si>
  <si>
    <t xml:space="preserve">   Serviços Finais</t>
  </si>
  <si>
    <t>Limpeza final da obra</t>
  </si>
  <si>
    <t>Desmobilizacao de pessoal, maquinas e equipamentos</t>
  </si>
  <si>
    <t xml:space="preserve">   Imprevistos e Contingências</t>
  </si>
  <si>
    <t>Itens eventuais e nao orcados</t>
  </si>
  <si>
    <t>Argamassa Polimerica Impermeabilizante</t>
  </si>
  <si>
    <t xml:space="preserve">   ESQUADRIAS - VIDROS E FERRAGENS</t>
  </si>
  <si>
    <t xml:space="preserve">   GERENCIAMENTO EXECUTIVO</t>
  </si>
  <si>
    <t xml:space="preserve">   GERENCIAMENTO ADMINISTRATIVO</t>
  </si>
  <si>
    <t xml:space="preserve">   INFRAESTRUTURA</t>
  </si>
  <si>
    <t xml:space="preserve">   SUPRAESTRUTURA</t>
  </si>
  <si>
    <t xml:space="preserve">   ALVENARIA | VEDAÇÕES | DIVISÓRIAS</t>
  </si>
  <si>
    <t xml:space="preserve">   SISTEMAS E INSTALAÇÕES ELÉTRICAS</t>
  </si>
  <si>
    <t xml:space="preserve">   SISTEMAS E INSTALAÇÕES HIDROSSANITÁRIAS | DRENAGEM</t>
  </si>
  <si>
    <t xml:space="preserve">   IMPERMEABILIZAÇÃO E TRATAMENTOS</t>
  </si>
  <si>
    <t xml:space="preserve">   REVESTIMENTOS E ACABAMENTOS INTERNOS EM TETO</t>
  </si>
  <si>
    <t xml:space="preserve">   SISTEMAS DE PINTURA INTERNA</t>
  </si>
  <si>
    <t xml:space="preserve">   COBERTURA</t>
  </si>
  <si>
    <t xml:space="preserve">   REVESTIMENTOS E ACABAMENTOS DE FACHADA</t>
  </si>
  <si>
    <t>NÚMERO DE APTOS</t>
  </si>
  <si>
    <t>Insumo Apoio</t>
  </si>
  <si>
    <t>Total</t>
  </si>
  <si>
    <t>CONCAT</t>
  </si>
  <si>
    <t>ABC INSUMOS</t>
  </si>
  <si>
    <t>Serviço Apoio</t>
  </si>
  <si>
    <t>Preço</t>
  </si>
  <si>
    <t>%Part.</t>
  </si>
  <si>
    <t>%Acum.</t>
  </si>
  <si>
    <t>INSUMOS</t>
  </si>
  <si>
    <t>ABC SERVIÇOS</t>
  </si>
  <si>
    <t>Ref. Preço</t>
  </si>
  <si>
    <t>Considerações Quant.</t>
  </si>
  <si>
    <t xml:space="preserve"> </t>
  </si>
  <si>
    <t>ORÇAMENTO DETALHADO</t>
  </si>
  <si>
    <t>Construtora ALL Empreendimentos</t>
  </si>
  <si>
    <t>ACÁCIAS FLOWE'S HOSP.</t>
  </si>
  <si>
    <t>Recebido Cliente</t>
  </si>
  <si>
    <t>Contador</t>
  </si>
  <si>
    <t>Mestre de Obras</t>
  </si>
  <si>
    <t>Projeto Comunicação e Dados</t>
  </si>
  <si>
    <t>Projeto Telefonia</t>
  </si>
  <si>
    <t>Projeto PCI (Prevenção e combate a Incêndios)</t>
  </si>
  <si>
    <t>Taxa Aprovação e legalização água e esgoto</t>
  </si>
  <si>
    <t>Taxa Aprovação e legalização elétrico</t>
  </si>
  <si>
    <t>Recebido Cliente + Média base de dados para Bembeiros</t>
  </si>
  <si>
    <t>Taxa de As Built</t>
  </si>
  <si>
    <t>Taxa de Habite-se</t>
  </si>
  <si>
    <t>Taxas de As Built</t>
  </si>
  <si>
    <t>Taxas de Habite-se</t>
  </si>
  <si>
    <t>Taxa de Alvará</t>
  </si>
  <si>
    <t>Despesas com Incorporação</t>
  </si>
  <si>
    <t>Despesas de cartório, licenças, certidões e jurídicas</t>
  </si>
  <si>
    <t>Projeto de Telefonia</t>
  </si>
  <si>
    <t>Projeto de Prevenção Combate a Incêndio</t>
  </si>
  <si>
    <t>Despesas certidão INSS</t>
  </si>
  <si>
    <t>Manuais Técnicos</t>
  </si>
  <si>
    <t>Certidão INSS</t>
  </si>
  <si>
    <t>Manuais Técnicos condomínio/proprietários</t>
  </si>
  <si>
    <t>m2</t>
  </si>
  <si>
    <t>Projeto de Segurança do Trabalho</t>
  </si>
  <si>
    <t>PROJETO DE SEGURANCA DO TRABALHO</t>
  </si>
  <si>
    <t>Elaboração do Programa de Condições e Meio Ambiente de Trabalho na indústria da construção (PCMAT)</t>
  </si>
  <si>
    <t>Elaboracao do Programa de Prevencao dos Riscos Ambientais (PPRA)</t>
  </si>
  <si>
    <t>Elaboracao do Programa PPRA e PCMAT</t>
  </si>
  <si>
    <t>Instalacoes provisorias de canteiro - Baias, Almoxarifado e Escritório</t>
  </si>
  <si>
    <t>ACO</t>
  </si>
  <si>
    <t>Agregados</t>
  </si>
  <si>
    <t>Fabricacao, montagem e desmontagem de forma para fundacao rasa, em madeira serrada</t>
  </si>
  <si>
    <t>R00</t>
  </si>
  <si>
    <t xml:space="preserve">   SUPRAESTRUTURA - 1º PAVIMENTO - SUBSOLO</t>
  </si>
  <si>
    <t xml:space="preserve">   SUPRAESTRUTURA - 8º PAVIMENTO - COBERTURA</t>
  </si>
  <si>
    <t xml:space="preserve">   SUPRAESTRUTURA - 2º PAVIMENTO - TÉRREO</t>
  </si>
  <si>
    <t>Armacao Tela Q61 para supraestrutura</t>
  </si>
  <si>
    <t>Armacao Tela Q196 para supraestrutura</t>
  </si>
  <si>
    <t>Armacao Tela Q246 para supraestrutura</t>
  </si>
  <si>
    <t>TELA ACO CARBONO CA60 M.150X150MM F.03,4MM 245X600CM Q61 (14,26KG/UN)</t>
  </si>
  <si>
    <t>TELA ACO CARBONO CA60 M.100X100MM F.05,0MM 245X600CM Q196 (45,72KG/UN)</t>
  </si>
  <si>
    <t>TELA ACO CARBONO CA60 M.100X100MM F.05,6MM 245X600CM Q246 (57,5KG/UN)</t>
  </si>
  <si>
    <t>ESPACADOR PVC CADEIRINHA HORIZONTAL ETP 25/30 NBR 6118</t>
  </si>
  <si>
    <t>LOCACAO DIARIA FORMA P/LAJE NERVURADA - CUBETA 800x200MM (AVULSO)</t>
  </si>
  <si>
    <t>Concreto usinado bombeavel para supraestrutura Fck 35MPa com Brita 0 SLUMP = 12 +/- 2 incluindo servico de bombeamento</t>
  </si>
  <si>
    <t>Montagem E Desmontagem De Fôrma De Laje Nervurada Com Cubeta E Assoalho, Pé-Direito Simples, Em Chapa De Madeira Compensada Resinada, 8 Utilizações. Af_09/2020</t>
  </si>
  <si>
    <t>Protenção</t>
  </si>
  <si>
    <t>Cordoalha CP-190 RB 12,7</t>
  </si>
  <si>
    <t>CORDOALHA DE AÇO CP190 RB 12,7mm ENGRAXADA</t>
  </si>
  <si>
    <t>% Serviço</t>
  </si>
  <si>
    <t>% Acumulado</t>
  </si>
  <si>
    <t>Canteiro de Obras Despesas</t>
  </si>
  <si>
    <t>Contenções</t>
  </si>
  <si>
    <t>Fundações</t>
  </si>
  <si>
    <t>Supraestrutura</t>
  </si>
  <si>
    <t>Alvenarias e Vedações</t>
  </si>
  <si>
    <t>Instalações elétricas, Telefônicas e SPDA</t>
  </si>
  <si>
    <t>Instalações Hidrossanitárias</t>
  </si>
  <si>
    <t>Coberturas (telhado)</t>
  </si>
  <si>
    <t>Revestimentos cerâmicos e porcelanatos</t>
  </si>
  <si>
    <t>Pintura (interna e externa)</t>
  </si>
  <si>
    <t>Louças Metais</t>
  </si>
  <si>
    <t>Orçado</t>
  </si>
  <si>
    <t>Orçado Acum.</t>
  </si>
  <si>
    <t>Aba Custo Serviços</t>
  </si>
  <si>
    <t xml:space="preserve">   Esquadrias Alumínio</t>
  </si>
  <si>
    <t xml:space="preserve">   ESQUADRIAS - VIDROS E FERRAGENS - 1º PAVIMENTO - SUBSOLO</t>
  </si>
  <si>
    <t xml:space="preserve">   ESQUADRIAS - VIDROS E FERRAGENS - 2º PAVIMENTO - TÉRREO</t>
  </si>
  <si>
    <t xml:space="preserve">   ESQUADRIAS - VIDROS E FERRAGENS - 8º PAVIMENTO - COBERTURA</t>
  </si>
  <si>
    <t xml:space="preserve">   SISTEMAS DE PINTURA INTERNA - 1º PAVIMENTO - SUBSOLO</t>
  </si>
  <si>
    <t xml:space="preserve">   IMPERMEABILIZAÇÃO E TRATAMENTOS - 1º PAVIMENTO - SUBSOLO</t>
  </si>
  <si>
    <t xml:space="preserve">   REVESTIMENTOS E ACABAMENTOS INTERNOS EM TETO - 1º PAVIMENTO - SUBSOLO</t>
  </si>
  <si>
    <t xml:space="preserve">   ALVENARIA | VEDAÇÕES | DIVISÓRIAS - 2º PAVIMENTO - TÉRREO</t>
  </si>
  <si>
    <t xml:space="preserve">   SISTEMAS E INSTALAÇÕES ELÉTRICAS - 2º PAVIMENTO - TÉRREO</t>
  </si>
  <si>
    <t xml:space="preserve">   SISTEMAS E INSTALAÇÕES HIDROSSANITÁRIAS | DRENAGEM - 2º PAVIMENTO - TÉRREO</t>
  </si>
  <si>
    <t xml:space="preserve">   INSTALAÇÕES PREVENTIVAS | GLP - 2º PAVIMENTO - TÉRREO</t>
  </si>
  <si>
    <t xml:space="preserve">   CLIMATIZAÇÃO - 2º PAVIMENTO - TÉRREO</t>
  </si>
  <si>
    <t xml:space="preserve">   IMPERMEABILIZAÇÃO E TRATAMENTOS - 2º PAVIMENTO - TÉRREO</t>
  </si>
  <si>
    <t xml:space="preserve">   REVESTIMENTOS E ACABAMENTOS INTERNOS EM TETO - 2º PAVIMENTO - TÉRREO</t>
  </si>
  <si>
    <t xml:space="preserve">   SISTEMAS DE PINTURA INTERNA - TÉRREO - 2º PAVIMENTO - TÉRREO</t>
  </si>
  <si>
    <t xml:space="preserve">   ALVENARIA | VEDAÇÕES | DIVISÓRIAS - 8º PAVIMENTO - COBERTURA</t>
  </si>
  <si>
    <t xml:space="preserve">   SISTEMAS E INSTALAÇÕES ELÉTRICAS - 8º PAVIMENTO - COBERTURA</t>
  </si>
  <si>
    <t xml:space="preserve">   SISTEMAS E INSTALAÇÕES HIDROSSANITÁRIAS | DRENAGEM - 8º PAVIMENTO - COBERTURA</t>
  </si>
  <si>
    <t xml:space="preserve">   INSTALAÇÕES PREVENTIVAS | GLP - 8º PAVIMENTO - COBERTURA</t>
  </si>
  <si>
    <t xml:space="preserve">   CLIMATIZAÇÃO - 8º PAVIMENTO - COBERTURA</t>
  </si>
  <si>
    <t xml:space="preserve">   IMPERMEABILIZAÇÃO E TRATAMENTOS - 8º PAVIMENTO - COBERTURA</t>
  </si>
  <si>
    <t xml:space="preserve">   REVESTIMENTOS E ACABAMENTOS INTERNOS EM TETO - 8º PAVIMENTO - COBERTURA</t>
  </si>
  <si>
    <t xml:space="preserve">   SISTEMAS DE PINTURA INTERNA - 8º PAVIMENTO - COBERTURA</t>
  </si>
  <si>
    <t xml:space="preserve">   SUPRAESTRUTURA - BARRILETE / CAIXA DÁGUA / CASA DE MÁQUINAS</t>
  </si>
  <si>
    <t xml:space="preserve">   ALVENARIA | VEDAÇÕES | DIVISÓRIAS - BARRILETE / CAIXA DÁGUA / CASA DE MÁQUINAS</t>
  </si>
  <si>
    <t xml:space="preserve">   SISTEMAS E INSTALAÇÕES ELÉTRICAS - BARRILETE / CAIXA DÁGUA / CASA DE MÁQUINAS</t>
  </si>
  <si>
    <t xml:space="preserve">   SISTEMAS E INSTALAÇÕES HIDROSSANITÁRIAS | DRENAGEM - BARRILETE / CAIXA DÁGUA / CASA DE MÁQUINAS</t>
  </si>
  <si>
    <t xml:space="preserve">   INSTALAÇÕES PREVENTIVAS | GLP - BARRILETE / CAIXA DÁGUA / CASA DE MÁQUINAS</t>
  </si>
  <si>
    <t xml:space="preserve">   IMPERMEABILIZAÇÃO E TRATAMENTOS - BARRILETE / CAIXA DÁGUA / CASA DE MÁQUINAS</t>
  </si>
  <si>
    <t xml:space="preserve">   REVESTIMENTOS E ACABAMENTOS INTERNOS EM TETO - BARRILETE / CAIXA DÁGUA / CASA DE MÁQUINAS</t>
  </si>
  <si>
    <t xml:space="preserve">   SISTEMAS DE PINTURA INTERNA - BARRILETE / CAIXA DÁGUA / CASA DE MÁQUINAS</t>
  </si>
  <si>
    <t xml:space="preserve">   ESQUADRIAS - VIDROS E FERRAGENS - BARRILETE / CAIXA DÁGUA / CASA DE MÁQUINAS</t>
  </si>
  <si>
    <t xml:space="preserve">   ALVENARIA | VEDAÇÕES | DIVISÓRIAS - 3º ao 7º PAVIMENTO - TIPO</t>
  </si>
  <si>
    <t xml:space="preserve">   SUPRAESTRUTURA - 3º  ao 7º PAVIMENTO - TIPO</t>
  </si>
  <si>
    <t xml:space="preserve">   SISTEMAS E INSTALAÇÕES ELÉTRICAS - 3º  ao 7º PAVIMENTO - TIPO</t>
  </si>
  <si>
    <t xml:space="preserve">   SISTEMAS E INSTALAÇÕES HIDROSSANITÁRIAS | DRENAGEM - 3º  ao 7º PAVIMENTO - TIPO</t>
  </si>
  <si>
    <t xml:space="preserve">   INSTALAÇÕES PREVENTIVAS | GLP - 3º  ao 7º PAVIMENTO - TIPO</t>
  </si>
  <si>
    <t xml:space="preserve">   CLIMATIZAÇÃO - 3º  ao 7º PAVIMENTO - TIPO</t>
  </si>
  <si>
    <t xml:space="preserve">   IMPERMEABILIZAÇÃO E TRATAMENTOS - 3º  ao 7º PAVIMENTO - TIPO</t>
  </si>
  <si>
    <t xml:space="preserve">   REVESTIMENTOS E ACABAMENTOS INTERNOS EM TETO - 3º  ao 7º PAVIMENTO - TIPO</t>
  </si>
  <si>
    <t xml:space="preserve">   SISTEMAS DE PINTURA INTERNA - 3º  ao 7º PAVIMENTO - TIPO</t>
  </si>
  <si>
    <t xml:space="preserve">   ESQUADRIAS - VIDROS E FERRAGENS - 3º  ao 7º PAVIMENTO - TIPO</t>
  </si>
  <si>
    <t xml:space="preserve">   ALVENARIA | VEDAÇÕES | DIVISÓRIAS - 1º PAVIMENTO - SUBSOLO</t>
  </si>
  <si>
    <t xml:space="preserve">   SISTEMAS E INSTALAÇÕES ELÉTRICAS - 1º PAVIMENTO - SUBSOLO</t>
  </si>
  <si>
    <t xml:space="preserve">   SISTEMAS E INSTALAÇÕES HIDROSSANITÁRIAS | DRENAGEM - 1º PAVIMENTO - SUBSOLO</t>
  </si>
  <si>
    <t xml:space="preserve">   INSTALAÇÕES PREVENTIVAS | GLP - 1º PAVIMENTO - SUBSOLO</t>
  </si>
  <si>
    <t>un</t>
  </si>
  <si>
    <t>Esquadria Metálicas</t>
  </si>
  <si>
    <t>PCF - PORTA ESPECIAL  - ABRIR (E. VERTIVAL) - 80X210</t>
  </si>
  <si>
    <t>MAO DE OBRA PARA EXECUCAO DE CONTENÇÃO</t>
  </si>
  <si>
    <t>Louças Metais e acessorios</t>
  </si>
  <si>
    <t>Barra de apoio PNE</t>
  </si>
  <si>
    <t>Acabamento de Registro</t>
  </si>
  <si>
    <t>Base de Dados</t>
  </si>
  <si>
    <t>Torneira de Jardins</t>
  </si>
  <si>
    <t>Alvenaria de vedacao de blocos ceramicos furados na horizontal de  9 X 19 X 29 cm (espessura 9cm) com argamassa industrializada de assentamento</t>
  </si>
  <si>
    <t>BLOCO CONCRETO VEDACAO 14 X 19 X 29 CM</t>
  </si>
  <si>
    <t>Alvenaria de vedacao de blocos Concreto de 14x19x29cm (espessura 14cm) com argamassa industrializada de assentamento</t>
  </si>
  <si>
    <t>MAO DE OBRA ASSENTAMENTO DE BLOCOS</t>
  </si>
  <si>
    <t>G1 - JANELA METAL - GRADE VENTILAÇÃO PERMANENTE - 120X70</t>
  </si>
  <si>
    <t>ESC01 - Escada Marinheiro</t>
  </si>
  <si>
    <t>P1 - PORTA MADEIRA ACABAMENTO MELAMÍNICO BRANCO - ABRIR (E. VERTIVAL) - 80X210</t>
  </si>
  <si>
    <t>P2 - PORTA MADEIRA ACABAMENTO MELAMÍNICO BRANCO - ABRIR (E. VERTIVAL) - 70X210</t>
  </si>
  <si>
    <t>P3 - PORTA MADEIRA ACABAMENTO MELAMÍNICO BRANCO - ABRIR (E. VERTIVAL) - 60X210</t>
  </si>
  <si>
    <t>P5 - PORTA MADEIRA ACABAMENTO MELAMÍNICO BRANCO - PIVOTANTE - 90X210</t>
  </si>
  <si>
    <t>GR1 - Gradil - 4,14X1,50</t>
  </si>
  <si>
    <t>GR2 - Guarda Corpo Escada - 1,88X1,10</t>
  </si>
  <si>
    <t>GR3 - Gaiola Metálica - 14,51X0,8</t>
  </si>
  <si>
    <t>GR4 - Guarda Corpo Escada - 3,78X1,10</t>
  </si>
  <si>
    <t>ALC01 - Alçapão 70X70</t>
  </si>
  <si>
    <t>Porta de madeira- folha leve/média - 70x210cm- fixacao com espuma expansiva</t>
  </si>
  <si>
    <t>c</t>
  </si>
  <si>
    <t>1º Pavimento - Subsolo 1 X</t>
  </si>
  <si>
    <t>2º Pavimento - Térreo - 1 X</t>
  </si>
  <si>
    <t>3º ao 7º Pavimento - Tipo -  5 X</t>
  </si>
  <si>
    <t>8º Pavimento - Cobertura -  1 X</t>
  </si>
  <si>
    <t>Pavimento Técnico -  1 X</t>
  </si>
  <si>
    <t>Revestimento Porcelanato - aplicacao em paredes externas</t>
  </si>
  <si>
    <t>Revestimento Ceramico/Porcelanato</t>
  </si>
  <si>
    <t>Artefatos de concreto - Pavimentação Externa</t>
  </si>
  <si>
    <t>ESPACADOR PVC NIVELAMENTO REVESTIMENTO 1,0MM NBR 6118</t>
  </si>
  <si>
    <t>ESPACADOR PVC JUNTA PISO 3,0MM NBR 6118</t>
  </si>
  <si>
    <t>CUNHA PVC P/NIVELAMENTO PISO NBR 6118</t>
  </si>
  <si>
    <t>Mão de obra para aplicação de Porcelanato em paredes externas</t>
  </si>
  <si>
    <t xml:space="preserve">   PISOS E PAVIMENTAÇÕES</t>
  </si>
  <si>
    <t xml:space="preserve">   PISOS E PAVIMENTAÇÕES - 1º PAVIMENTO - SUBSOLO</t>
  </si>
  <si>
    <t xml:space="preserve">   PISOS E PAVIMENTAÇÕES - TÉRREO - 2º PAVIMENTO - TÉRREO</t>
  </si>
  <si>
    <t xml:space="preserve">   PISOS E PAVIMENTAÇÕES - 3º  ao 7º PAVIMENTO - TIPO</t>
  </si>
  <si>
    <t xml:space="preserve">   PISOS E PAVIMENTAÇÕES - 8º PAVIMENTO - COBERTURA</t>
  </si>
  <si>
    <t xml:space="preserve">   PISOS E PAVIMENTAÇÕES - BARRILETE / CAIXA DÁGUA / CASA DE MÁQUINAS</t>
  </si>
  <si>
    <t xml:space="preserve">   REVESTIMENTOS INTERNOS DE PAREDE - 1º PAVIMENTO - SUBSOLO</t>
  </si>
  <si>
    <t xml:space="preserve">   REVESTIMENTOS INTERNOS DE PAREDE - 2º PAVIMENTO - TÉRREO</t>
  </si>
  <si>
    <t xml:space="preserve">   REVESTIMENTOS INTERNOS DE PAREDE - 3º  ao 7º PAVIMENTO - TIPO</t>
  </si>
  <si>
    <t xml:space="preserve">   REVESTIMENTOS INTERNOS DE PAREDE - 8º PAVIMENTO - COBERTURA</t>
  </si>
  <si>
    <t xml:space="preserve">   REVESTIMENTOS INTERNOS DE PAREDE - BARRILETE / CAIXA DÁGUA / CASA DE MÁQUINAS</t>
  </si>
  <si>
    <t xml:space="preserve">   REVESTIMENTOS INTERNOS DE PAREDE</t>
  </si>
  <si>
    <t xml:space="preserve">   Acabamentos Cerâmicos e Porcelanatos</t>
  </si>
  <si>
    <t>Revestimento em Cerâmica 60x60cm interno</t>
  </si>
  <si>
    <t>Revestimento em Porcelanato 80x80cm interno</t>
  </si>
  <si>
    <t>REJUNTE FLEXIVEL CIMENTICIO TIPO II NBR 14992</t>
  </si>
  <si>
    <t>REJUNTE FLEXIVEL EPOXI BICOMPONENTE NBR 14992</t>
  </si>
  <si>
    <t>Revestimento em Pastilhas para Piscina</t>
  </si>
  <si>
    <t>Pintura acrilica em piso e rodapé de 7cm, 2 demaos, aplicacao em antecamara e escadaria</t>
  </si>
  <si>
    <t>Pintura com tinta latex acrilica, acabamento fosco em paredes internas, 3 demaos Áreas Comuns</t>
  </si>
  <si>
    <t>Pintura com tinta latex acrilica, acabamento fosco em paredes internas, 3 demaos Áreas Privativas</t>
  </si>
  <si>
    <t>Mao de obra para pintura acrilica em paredes</t>
  </si>
  <si>
    <t>Mao de obra para pintura acrílica em teto</t>
  </si>
  <si>
    <t>PRODUTO QUIMICO - BIANCO EMBALAGEM 200L</t>
  </si>
  <si>
    <t>Chapisco de estrutura de concreto em teto</t>
  </si>
  <si>
    <t>Massa unica para reboco interno em argamassa estabilizada, de estrutura de concreto em teto</t>
  </si>
  <si>
    <t>Contrapiso comum em argamassa estabilizada, nao aderido, espessura 8cm</t>
  </si>
  <si>
    <t>Contrapiso comum em argamassa estabilizada, nao aderido, espessura 14cm</t>
  </si>
  <si>
    <t>Rodape de poliestireno 15cm</t>
  </si>
  <si>
    <t>RODAPÉ EM POLIESTIRENO PU 15CM</t>
  </si>
  <si>
    <t>CANTONEIRA ACO CARBONO ABAS IGUAIS 2"X1/8" (2,46KG/M) NBR 8261</t>
  </si>
  <si>
    <t>MADEIRA LEI - PONTALETE ANGELIM PEDRA (M3) NBR 11700</t>
  </si>
  <si>
    <t>Estrutura de Madeira Apoiada em Parede</t>
  </si>
  <si>
    <t>Cobertura Telha Fibrocimento</t>
  </si>
  <si>
    <t>TELHA FIBROCIMENTO NATURAL S/AMIANTO 08X1100X2130MM NBR 7581/15210</t>
  </si>
  <si>
    <t>PARAFUSO ACO CARBONO CAB. SEXTAVADA ROSCA BROCANTE 1/4"X3/4"</t>
  </si>
  <si>
    <t>GANCHO CHATO ACO CARBONO P/TELHA TIPO "L" 1/2"X1/8"X140MM</t>
  </si>
  <si>
    <t>PRODUTO QUIMICO - VEDA CALHA 280G - CINZA</t>
  </si>
  <si>
    <t>MAO DE OBRA PARA INSTALAÇÃO DE COBERTURA/CALHAS E RUFOS</t>
  </si>
  <si>
    <t>Calha em chapa galvanizada</t>
  </si>
  <si>
    <t>Rufo de Manta Aluminizada larg 30 cm</t>
  </si>
  <si>
    <t>RUFO ACO CARBONO GALVANIZADO CHAPA 26 DESENVOLVIMENTO 350MM</t>
  </si>
  <si>
    <t>BUCHA FIXACAO NYLON FU 08</t>
  </si>
  <si>
    <t>CALHA ACO CARBONO GALVANIZADO CHAPA 24 DESENVOLVIMENTO 400MM</t>
  </si>
  <si>
    <t>Pavimentação em  Piso/Grama de Concreto 6 cm Sobre Coxim de Areia</t>
  </si>
  <si>
    <t>BLOCO CONCRETO TIPO PISOGRAMA 35MPA 08CM NBR 6136</t>
  </si>
  <si>
    <t>PO PEDRA A GRANEL (M3) - GRANULOMETRIA 1,2 A 4,75MM NBR 7211</t>
  </si>
  <si>
    <t>INSUMO P/PAISAGISMO - TERRA PRETA</t>
  </si>
  <si>
    <t>Mao de obra para execucao de piso de concretograma</t>
  </si>
  <si>
    <t>PLANTA - GRAMA ESMERALDA (ZOYSIA JAPONICA)</t>
  </si>
  <si>
    <t>ELEVADOR SOCIAL 8 PARADAS</t>
  </si>
  <si>
    <t>SERVICO ELEVADOR SOCIAL - MANUTENCAO CORRETIVA (AVULSA)</t>
  </si>
  <si>
    <t>Fachada  - Externos</t>
  </si>
  <si>
    <t>1º Pavimento - Subsolo 1 X - Internos Parede</t>
  </si>
  <si>
    <t>2º Pavimento - Térreo - 1 X - Internos Parede</t>
  </si>
  <si>
    <t>3º ao 7º Pavimento - Tipo -  5 X - Internos Parede</t>
  </si>
  <si>
    <t>8º Pavimento - Cobertura -  1 X - Internos Parede</t>
  </si>
  <si>
    <t>Pavimento Técnico -  1 X - Internos Parede</t>
  </si>
  <si>
    <t>MAO DE OBRA PARA ESTUCAMENTO DE ESTRUTURA DE CONCRETO</t>
  </si>
  <si>
    <t xml:space="preserve">   Telhados</t>
  </si>
  <si>
    <t>MAO DE OBRA APLICACAO DE PINTURA EM PAREDES - 3 DEMAO</t>
  </si>
  <si>
    <t>Mao de obra para colocacao e rejuntamento de piso Cerâmico</t>
  </si>
  <si>
    <t>Mao de obra para colocacao e rejuntamento de piso porcelanato</t>
  </si>
  <si>
    <t>Mao de obra para colocacao e rejuntamento de Azulejo Cerâmico</t>
  </si>
  <si>
    <t>1º Pavimento - Subsolo 1 X - Internos Piso</t>
  </si>
  <si>
    <t>2º Pavimento - Térreo - 1 X - Internos Piso</t>
  </si>
  <si>
    <t>3º ao 7º Pavimento - Tipo -  5 X - Internos Piso</t>
  </si>
  <si>
    <t>8º Pavimento - Cobertura -  1 X - Internos Piso</t>
  </si>
  <si>
    <t>Pavimento Técnico -  1 X - Internos Piso</t>
  </si>
  <si>
    <t>Mao de obra para colocacao e rejuntamento de Azulejo Cerâmico e Porcelanato</t>
  </si>
  <si>
    <t>Ancoragem base 1/2" - EHX 0063</t>
  </si>
  <si>
    <t>Cunha 1/2" BI Partida - EHX 0036</t>
  </si>
  <si>
    <t>Adaptador Ancor. (AP2)B Chupeta-EHX 0027</t>
  </si>
  <si>
    <t>Tirante Plast - EHX 0621</t>
  </si>
  <si>
    <t>Par</t>
  </si>
  <si>
    <t>Pocket Former 1/2 - EHX 0009</t>
  </si>
  <si>
    <t>Pt-Plug Ø12,7 - 3,8cm</t>
  </si>
  <si>
    <t>Controle tecnológico da Protensão</t>
  </si>
  <si>
    <t>Acompanhamento e fiscalização na montagem da Protensão, locação de macacohidráulico e maçarico</t>
  </si>
  <si>
    <t xml:space="preserve">Ancoragem Para Cordoalha </t>
  </si>
  <si>
    <t>INSTALACOES -ELETRICAS E TELEFONICAS</t>
  </si>
  <si>
    <t>INSTALACOES - PCI</t>
  </si>
  <si>
    <t>Lista de Elétrica</t>
  </si>
  <si>
    <t>%</t>
  </si>
  <si>
    <t>FORNECIMENTO DE M.O. PARA EQUIPAMENTO DE AR CONDICIONADO</t>
  </si>
  <si>
    <t>COMPENSADO MADEIRA TIPO PLASTIFICADO 2200X1100X14MM NBR 1096</t>
  </si>
  <si>
    <t>Madeira de Obra</t>
  </si>
  <si>
    <t>MADEIRA PINUS/SIMILAR - SARRAFO PINUS 50X10MM NBR 11700</t>
  </si>
  <si>
    <t>MADEIRA PINUS/SIMILAR - PONTALETE 75X75MM NBR 11700/15696</t>
  </si>
  <si>
    <t>MADEIRA PINUS/SIMILAR - TABUA PINUS 200X20MM NBR 11700</t>
  </si>
  <si>
    <t>Estimativa</t>
  </si>
  <si>
    <t>Base de dados</t>
  </si>
  <si>
    <t>Manutenção de Canteiro provisório</t>
  </si>
  <si>
    <t>MANUTENÇÃO PROVISÓRIA DE CANTEIRO - ELÉTRICA/ HIDROSSANITÁRIA/VIGILÂNCIA/DETETICAÇÃO</t>
  </si>
  <si>
    <t>Equipe de Canteiro</t>
  </si>
  <si>
    <t>MOBILIARIO DE APOIO A OBRA</t>
  </si>
  <si>
    <t>EQUIPAMENTOS DE ESCRITÓRIO</t>
  </si>
  <si>
    <t>MATERIAL DE EXPEDIENTE/ESCRITÓRIO</t>
  </si>
  <si>
    <t>MATERIAL DE HIGIENE E LIMPEZA</t>
  </si>
  <si>
    <t>CÓPIAS E PLOTAGENS</t>
  </si>
  <si>
    <t>GERENCIAMENTO ELETRÔNICO</t>
  </si>
  <si>
    <t>Concreto 35 MPA, brita 1, slump 12+-2</t>
  </si>
  <si>
    <t>VALE ALIMENTACAO</t>
  </si>
  <si>
    <t>Locação de Escoras Metálicas (3,20mt)</t>
  </si>
  <si>
    <t>GUARDA CORPO ALUMINIO COM VIDRO</t>
  </si>
  <si>
    <t>Esquadrias Metálicas - Porta Corta Fogo - fornecimento e instalacao</t>
  </si>
  <si>
    <t>Esquadrias Metálicas - Janela Fixa - fornecimento e instalacao</t>
  </si>
  <si>
    <t>Esquadrias Metálicas - Gradil Entrada - fornecimento e instalacao</t>
  </si>
  <si>
    <t>Esquadrias Metálicas - Gaiola Fachadas - fornecimento e instalacao</t>
  </si>
  <si>
    <t>Esquadrias Metálicas - Escada Marinheiro - fornecimento e instalacao</t>
  </si>
  <si>
    <t>Esquadrias Metálicas - Alçapão 70x70 - fornecimento e instalacao</t>
  </si>
  <si>
    <t>Mao de obra para fixacao de Telhados</t>
  </si>
  <si>
    <t>Mao de obra de instalacoes hidrossanitárias</t>
  </si>
  <si>
    <t>Mão de Obra para Instalação Hidrossanitárias</t>
  </si>
  <si>
    <t>LOUÇAS E METAIS</t>
  </si>
  <si>
    <t>Bacia com Caixa Acoplada</t>
  </si>
  <si>
    <t>BACIA SANITARIA LOUCA P/CAIXA ACOPLADA</t>
  </si>
  <si>
    <t>CAIXA ACOPLADA LOUCA P/DESCARGA</t>
  </si>
  <si>
    <t>ANEL VEDACAO C/GUIA P/VASO SANITARIO 4"</t>
  </si>
  <si>
    <t>ENGATE FLEXIVEL PVC 1/2"X30CM NBR 14878</t>
  </si>
  <si>
    <t>PARAFUSO ACO CARBONO CAB. CASTELO ARRUELA E BUCHA S08</t>
  </si>
  <si>
    <t>FITA VEDA ROSCA 18MMX50M NBR 13124</t>
  </si>
  <si>
    <t>MASSA PLASTICA BRANCA BI-COMPONENTE POLIESTER 400G</t>
  </si>
  <si>
    <t>SELANTE PU40 BASE POLIURETANO BRANCO 280ML</t>
  </si>
  <si>
    <t>Barras de Apoio PCD</t>
  </si>
  <si>
    <t>CUBA ACO INOX 304 P/PIA COZINHA EMBUTIR SIMPLES Nº0 400X340X140MM</t>
  </si>
  <si>
    <t>SIFAO PVC FLEXIVEL MULTIUSO BRANCO 63CM</t>
  </si>
  <si>
    <t>VALVULA COMUM P/PIA COZINHA ACO CARBONO CROMADO 1"</t>
  </si>
  <si>
    <t>TORNEIRA LATAO CROMADO PAREDE P/PIA 1/2" C33 BICA ALTA</t>
  </si>
  <si>
    <t>Cuba simples em Inox / Metais</t>
  </si>
  <si>
    <t>TORNEIRA LATAO CROMADO MESA P/LAVATORIO 1/2" NOVA PERTUTTI BICA BAIXA</t>
  </si>
  <si>
    <t>VALVULA P/LAVATORIO ACO CARBONO CROMADO 1"</t>
  </si>
  <si>
    <t>VALVULA P/TANQUE ACO CARBONO CROMADO 1"</t>
  </si>
  <si>
    <t>CUBA LOUCA P/LAVATORIO REDONDA EMBUTIR</t>
  </si>
  <si>
    <t>ACABAMENTO REGISTRO LATAO CROMADO 3/4" NBR 15705</t>
  </si>
  <si>
    <t>Lavatório  / Metais</t>
  </si>
  <si>
    <t>Bancada Pia Cozinha - Granito Comercial</t>
  </si>
  <si>
    <t>SUPORTE APOIO ACO CARBONO P/PIA 40CM TUBO 50X30X0,90MM BRANCO</t>
  </si>
  <si>
    <t>Acessórios - Instalação de Bancada Pia Cozinha</t>
  </si>
  <si>
    <t>Tanque de Louça</t>
  </si>
  <si>
    <t>TORNEIRA LATAO CROMADO PAREDE P/TANQUE 1/2" C33 C/SAIDA P/MAQUINA</t>
  </si>
  <si>
    <t>TANQUE LOUCA SUSPENSO</t>
  </si>
  <si>
    <t>Torneira de Jardim</t>
  </si>
  <si>
    <t>SERVICO LOCACAO/TRANSPORTE/DESCARTE CACAMBA 5M3 - RESIDUOS CLASSE A</t>
  </si>
  <si>
    <t>Compra Carrinho Plataforma</t>
  </si>
  <si>
    <t>Compra Carrinho de mão</t>
  </si>
  <si>
    <t>Compra Girica 60l</t>
  </si>
  <si>
    <t>Compra Carrinho mini paletes</t>
  </si>
  <si>
    <t>Locação Andaime Suspenso Manual</t>
  </si>
  <si>
    <t>Equipamentos, Ferramentas e acessorios de Apoio ao Canteiro de Obra</t>
  </si>
  <si>
    <t>Locação de caçambas para retirada de entulho</t>
  </si>
  <si>
    <t>SERVICO LOCACAO/TRANSPORTE/DESCARTE CACAMBA 5M3 - RESIDUOS CLASSE B</t>
  </si>
  <si>
    <t>SERVICO LOCACAO/TRANSPORTE/DESCARTE CACAMBA 5M3 - RESIDUOS CLASSE C</t>
  </si>
  <si>
    <t>SERVICO LOCACAO/TRANSPORTE/DESCARTE CACAMBA 5M3 - RESIDUOS CLASSE D</t>
  </si>
  <si>
    <t>5 Caçamba por mês para o Prazo de obra</t>
  </si>
  <si>
    <t>MAO DE OBRA PARA EMASSAMENTO EM TETO</t>
  </si>
  <si>
    <t>Empreiteiro de Terraplenagem / Escavação e Carga Mecanizada em Corte - Desaterro</t>
  </si>
  <si>
    <t>SERVICO TOPOGRAFIA (DIARIA)</t>
  </si>
  <si>
    <t>DIA</t>
  </si>
  <si>
    <t>Instalação de Equipamentos de Piscina</t>
  </si>
  <si>
    <t>Instalação equipamentos para piscina</t>
  </si>
  <si>
    <t>Skimmer - 50 mm</t>
  </si>
  <si>
    <t>Trocador de calor integrado</t>
  </si>
  <si>
    <t>Filtro mod. FM 50 125kg areia - bomba BM de 3/4 cv - Sodramar</t>
  </si>
  <si>
    <t>Moto bomba 3/4 cv mono auxiliar - Sodramar</t>
  </si>
  <si>
    <t>Dispositivo de Aspiração / 1.1/2"</t>
  </si>
  <si>
    <t>Dispositivo de Retorno / 1.1/2"</t>
  </si>
  <si>
    <t>Dreno de Fundo 1.1/2"</t>
  </si>
  <si>
    <t>ETAPA</t>
  </si>
  <si>
    <t>VALOR ORÇADO</t>
  </si>
  <si>
    <t>VALOR / m²</t>
  </si>
  <si>
    <t>GERENCIAMENTO TÉCNICO E ADMINISTRATIVO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</si>
  <si>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</si>
  <si>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</si>
  <si>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</si>
  <si>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</si>
  <si>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</si>
  <si>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</si>
  <si>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</si>
  <si>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</si>
  <si>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E ACABAMENTOS INTERNOS EM TETO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</si>
  <si>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</si>
  <si>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</si>
  <si>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</si>
  <si>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</si>
  <si>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</si>
  <si>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</si>
  <si>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</si>
  <si>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CUB/ESTADO</t>
  </si>
  <si>
    <t>DATA BASE</t>
  </si>
  <si>
    <t>FERRAMENTAS E EQUIPAMENTOS APOIO</t>
  </si>
  <si>
    <t>REVESTIMENTO - HIT GRIS 80X80 EXT RET</t>
  </si>
  <si>
    <t>REVESTIMENTO - HIT GRIS 80X80 NAT RET</t>
  </si>
  <si>
    <t>REVESTIMENTO - HANGAR CHICAGO 60X60 NAT BOLD</t>
  </si>
  <si>
    <t>Sistema de linha de vida tipo varal de segurança com tubo h=7,5 e acessórios incluindo sapata de fixação e pino de travamento</t>
  </si>
  <si>
    <t>Abraçadeira para linha de vida em aço galvanizado para poste de 3" de cabo 1/2"</t>
  </si>
  <si>
    <t>Cabo de aço SAE 1020 1/2" - 6/25 Alma de aço</t>
  </si>
  <si>
    <t xml:space="preserve">Manilha reta padrão "D", corpo forjado em aço carbono 1045 c/ pino reforçado alloy, roscado 1/2". </t>
  </si>
  <si>
    <t xml:space="preserve">Esticador gancho-olhal para cabo de aço 1/2" em aço forjado DIN 1480 </t>
  </si>
  <si>
    <t>Clip Para Cabo de Aço 1/2</t>
  </si>
  <si>
    <t>kg</t>
  </si>
  <si>
    <t>Locacao Equipamentos - Andaime</t>
  </si>
  <si>
    <t>Locacao Equipamentos - Balancim</t>
  </si>
  <si>
    <t>LIXA EM FOLHA PARA PAREDE OU MADEIRA N° 120</t>
  </si>
  <si>
    <t>Limpeza mecanizada do terreno</t>
  </si>
  <si>
    <t>Despesas de consumo - Internet</t>
  </si>
  <si>
    <t>Despesas de consumo - Energia</t>
  </si>
  <si>
    <t>Despesas de consumo - Água</t>
  </si>
  <si>
    <t>Despesas de consumo - Equipamentos de Escritório</t>
  </si>
  <si>
    <t>Despesas de consumo - Mobiliário de Obra</t>
  </si>
  <si>
    <t>Despesas de consumo - Cópias</t>
  </si>
  <si>
    <t>Despesas de consumo - Gerenciamento Eletronico</t>
  </si>
  <si>
    <t>Montagem e desmontagem de Balancim</t>
  </si>
  <si>
    <t>Manutencao para Veículos proprios</t>
  </si>
  <si>
    <t>MANUTENCAO PARA VEICULOS PROPRIOS</t>
  </si>
  <si>
    <t>Manutenção periódica Mini Grua</t>
  </si>
  <si>
    <t>Manutenção periódica Guincho de Coluna</t>
  </si>
  <si>
    <t>Montagem e Desmontagem de Mini-grua</t>
  </si>
  <si>
    <t>Mobilização e desmobilização de Mini-grua</t>
  </si>
  <si>
    <t>Manutencao para Equipamentos proprios - Mini Grua</t>
  </si>
  <si>
    <t>Montagem e Desmontagem - Mini Grua</t>
  </si>
  <si>
    <t>Mobilização e desmobilização - Mini-grua</t>
  </si>
  <si>
    <t>Controle Tecnológico de Concreto - Supraestrutura</t>
  </si>
  <si>
    <t>Controle Tecnológico de Concreto - Infraestrura e Contenção</t>
  </si>
  <si>
    <t xml:space="preserve">   MOVIMENTAÇÃO DE TERRA</t>
  </si>
  <si>
    <t xml:space="preserve">   CONTENÇÕES</t>
  </si>
  <si>
    <t xml:space="preserve">   CONTENÇÃO</t>
  </si>
  <si>
    <t xml:space="preserve">   Corte e aterro</t>
  </si>
  <si>
    <t xml:space="preserve">   Escavação e Reaterro de Valas</t>
  </si>
  <si>
    <t xml:space="preserve">   Lastro de estrutura de concreto</t>
  </si>
  <si>
    <t>SERVICO LOCACAO DIARIA CAMINHAO TRUCK 15M3 C/OPERADOR (AVULSO)</t>
  </si>
  <si>
    <t>Fabricação de fôrma para Pilares em chapa de madeira compensada plastificada e=14 mm - 2 jogos</t>
  </si>
  <si>
    <t>Fabricação de fôrma para Escadas em chapa de madeira compensada plastificada e=14 mm - 2 jogos</t>
  </si>
  <si>
    <t>Fabricação de fôrma para vigas em chapa de madeira compensada plastificada e=14 mm - 2 jogos</t>
  </si>
  <si>
    <t>QUADROS E DISJUNTORES - SUBSOLO</t>
  </si>
  <si>
    <t>QUADROS E DISJUNTORES - TERREO</t>
  </si>
  <si>
    <t>QUADROS E DISJUNTORES - TIPO (x5)</t>
  </si>
  <si>
    <t>QUADROS E DISJUNTORES - COBERTURA</t>
  </si>
  <si>
    <t>QUADROS E DISJUNTORES - PAVIMENTO TECNICO</t>
  </si>
  <si>
    <t>ELETRODUTOS, CAIXAS E ELETROCALHAS - SUBSOLO</t>
  </si>
  <si>
    <t>ELETRODUTOS, CAIXAS E ELETROCALHAS - TERREO</t>
  </si>
  <si>
    <t>ELETRODUTOS, CAIXAS E ELETROCALHAS - TIPO (X5)</t>
  </si>
  <si>
    <t>ELETRODUTOS, CAIXAS E ELETROCALHAS - COBERTURA</t>
  </si>
  <si>
    <t>ELETRODUTOS, CAIXAS E ELETROCALHAS - PAVIMENTO TECNICO</t>
  </si>
  <si>
    <t>FIAÇÃO - SUBSOLO</t>
  </si>
  <si>
    <t>FIAÇÃO - TERREO</t>
  </si>
  <si>
    <t>FIAÇÃO - TIPO (X5)</t>
  </si>
  <si>
    <t>FIAÇÃO - COBERTURA</t>
  </si>
  <si>
    <t>FIAÇÃO - PAVIMENTO TECNICO</t>
  </si>
  <si>
    <t>LUMINÁRIAS - SUBSOLO</t>
  </si>
  <si>
    <t>LUMINÁRIAS - TERREO</t>
  </si>
  <si>
    <t>LUMINÁRIAS - TIPO (X5)</t>
  </si>
  <si>
    <t>LUMINÁRIAS - COBERTURA</t>
  </si>
  <si>
    <t>LUMINÁRIAS - PAVIMENTO TECNICO</t>
  </si>
  <si>
    <t>PONTOS DE TOMADA E INTERRUPTORES - SUBSOLO</t>
  </si>
  <si>
    <t>PONTOS DE TOMADA E INTERRUPTORES - TERREO</t>
  </si>
  <si>
    <t>PONTOS DE TOMADA E INTERRUPTORES - TIPO (X5)</t>
  </si>
  <si>
    <t>PONTOS DE TOMADA E INTERRUPTORES - COBERTURA</t>
  </si>
  <si>
    <t>PONTOS DE TOMADA E INTERRUPTORES - PAVIMENTO TECNICO</t>
  </si>
  <si>
    <t>Luminárias e Acessorios - Subsolo</t>
  </si>
  <si>
    <t>Pontos de Tomadas e Interruptores - Subsolo</t>
  </si>
  <si>
    <t>Cabos e Fiacoes - Subsolo</t>
  </si>
  <si>
    <t>Eletrodutos e Eletrocalhas - Subsolo</t>
  </si>
  <si>
    <t>Quadros e Disjuntores - Térreo</t>
  </si>
  <si>
    <t>Eletrodutos e Eletrocalhas - Térreo</t>
  </si>
  <si>
    <t>Cabos e Fiacoes - Térreo</t>
  </si>
  <si>
    <t>Pontos de Tomadas e Interruptores - Térreo</t>
  </si>
  <si>
    <t>Luminárias e Acessorios - Térreo</t>
  </si>
  <si>
    <t>ELETRODUTOS, CAIXAS E ELETROCALHAS - TIPO (x5)</t>
  </si>
  <si>
    <t>FIAÇÃO - TIPO (x5)</t>
  </si>
  <si>
    <t>PONTOS DE TOMADA E INTERRUPTORES - TIPO (x5)</t>
  </si>
  <si>
    <t>LUMINÁRIAS - TIPO (x5)</t>
  </si>
  <si>
    <t>Quadros e Disjuntores - Tipo (x5)</t>
  </si>
  <si>
    <t>Eletrodutos e Eletrocalhas - Tipo (x5)</t>
  </si>
  <si>
    <t>Cabos e Fiacoes - Tipo (x5)</t>
  </si>
  <si>
    <t>Pontos de Tomadas e Interruptores - Tipo (x5)</t>
  </si>
  <si>
    <t>Luminárias e Acessorios - Tipo (x5)</t>
  </si>
  <si>
    <t>Quadros e Disjuntores - Cobertura</t>
  </si>
  <si>
    <t>Eletrodutos e Eletrocalhas - Cobertura</t>
  </si>
  <si>
    <t>Cabos e Fiacoes - Cobertura</t>
  </si>
  <si>
    <t>Pontos de Tomadas e Interruptores - Cobertura</t>
  </si>
  <si>
    <t>Luminárias e Acessorios - Cobertura</t>
  </si>
  <si>
    <t>Quadros e Disjuntores - Pavimento Técnico</t>
  </si>
  <si>
    <t>Eletrodutos e Eletrocalhas - Pavimento Técnico</t>
  </si>
  <si>
    <t>Cabos e Fiacoes - Pavimento Técnico</t>
  </si>
  <si>
    <t>Pontos de Tomadas e Interruptores - Pavimento Técnico</t>
  </si>
  <si>
    <t>Luminárias e Acessorios - Pavimento Técnico</t>
  </si>
  <si>
    <t>INSTALAÇÕES AGUA FRIA - SUBSOLO</t>
  </si>
  <si>
    <t>INSTALAÇÕES AGUA FRIA - TERREO</t>
  </si>
  <si>
    <t>INSTALAÇÕES AGUA FRIA - TIPO (X5)</t>
  </si>
  <si>
    <t>INSTALAÇÕES AGUA FRIA - COBERTURA</t>
  </si>
  <si>
    <t>INSTALAÇÕES AGUA FRIA - PAVIMENTO TECNICO</t>
  </si>
  <si>
    <t>INSTALAÇÕES AGUA PLUVIAIS - SUBSOLO</t>
  </si>
  <si>
    <t>INSTALAÇÕES AGUA PLUVIAIS - TERREO</t>
  </si>
  <si>
    <t>INSTALAÇÕES AGUA PLUVIAIS - TIPO (X5)</t>
  </si>
  <si>
    <t>INSTALAÇÕES AGUA PLUVIAIS - COBERTURA</t>
  </si>
  <si>
    <t>INSTALAÇÕES AGUA PLUVIAIS - PAVIMENTO TECNICO</t>
  </si>
  <si>
    <t>INSTALAÇÕES ESGOTO - SUBSOLO</t>
  </si>
  <si>
    <t>INSTALAÇÕES ESGOTO - TERREO</t>
  </si>
  <si>
    <t>INSTALAÇÕES ESGOTO - TIPO (X5)</t>
  </si>
  <si>
    <t>INSTALAÇÕES ESGOTO - COBERTURA</t>
  </si>
  <si>
    <t>INSTALAÇÕES ESGOTO - PAVIMENTO TECNICO</t>
  </si>
  <si>
    <t>INSTALAÇÕES PREVENTIVAS - SUBSOLO</t>
  </si>
  <si>
    <t>INSTALAÇÕES PREVENTIVAS - TERREO</t>
  </si>
  <si>
    <t>INSTALAÇÕES PREVENTIVAS - TIPO (X5)</t>
  </si>
  <si>
    <t>INSTALAÇÕES PREVENTIVAS - COBERTURA</t>
  </si>
  <si>
    <t>INSTALAÇÕES PREVENTIVAS - PAVIMENTO TECNICO</t>
  </si>
  <si>
    <t>Neutrol Base Agua Baldrame Emulsão Asfaltica</t>
  </si>
  <si>
    <t>CHAPISCO COLANTE 20KG</t>
  </si>
  <si>
    <t>Serviços complementares Entrega obra</t>
  </si>
  <si>
    <t>PISOS E PAVIMENTAÇÕES</t>
  </si>
  <si>
    <t>REVESTIMENTOS INTERNOS EM PAREDE</t>
  </si>
  <si>
    <t>Revestimentos de Argamassas (Externos)</t>
  </si>
  <si>
    <t>Revestimentos de Argamassas (internos)</t>
  </si>
  <si>
    <t>1º Pavimento - Subsolo 1 X - Estucamento Parede</t>
  </si>
  <si>
    <t>2º Pavimento - Térreo - 1 X - Estucamento Parede</t>
  </si>
  <si>
    <t>3º ao 7º Pavimento - Tipo -  5 X - Estucamento Parede</t>
  </si>
  <si>
    <t>8º Pavimento - Cobertura -  1 X - Estucamento Parede</t>
  </si>
  <si>
    <t>Pavimento Técnico -  1 X - Estucamento Parede</t>
  </si>
  <si>
    <t>1º Pavimento - Subsolo 1 X - Internos Teto Massa</t>
  </si>
  <si>
    <t>2º Pavimento - Térreo - 1 X - Internos Teto Massa</t>
  </si>
  <si>
    <t>3º ao 7º Pavimento - Tipo -  5 X - Internos Teto Massa</t>
  </si>
  <si>
    <t>8º Pavimento - Cobertura -  1 X - Internos Teto Massa</t>
  </si>
  <si>
    <t>Pavimento Técnico -  1 X - Internos Teto Massa</t>
  </si>
  <si>
    <t>MÃO-DE-OBRA GESSO LISO</t>
  </si>
  <si>
    <t>Mao De Obra Acabamento Em Massa Teto</t>
  </si>
  <si>
    <t>Mao De Obra Estucamento Em Massa Teto</t>
  </si>
  <si>
    <t>1º Pavimento - Subsolo 1 X - Internos Teto Estucamento</t>
  </si>
  <si>
    <t>2º Pavimento - Térreo - 1 X - Internos Teto Estucamento</t>
  </si>
  <si>
    <t>3º ao 7º Pavimento - Tipo -  5 X - Internos Teto Estucamento</t>
  </si>
  <si>
    <t>8º Pavimento - Cobertura -  1 X - Internos Teto Estucamento</t>
  </si>
  <si>
    <t>Pavimento Técnico -  1 X - Internos Teto Estucamento</t>
  </si>
  <si>
    <t>MAO DE OBRA PARA ESTUCAMENTO DE ESTRUTURA DE CONCRETO EM TETO</t>
  </si>
  <si>
    <t xml:space="preserve">   INSTALAÇÕES DE COMUNICAÇÕES</t>
  </si>
  <si>
    <t>Sistema de interfone / controle de acesso</t>
  </si>
  <si>
    <t xml:space="preserve">   Sistema de interfone / controle de acesso</t>
  </si>
  <si>
    <t>INSTALAÇÕES DE INTERFONIA E CONTROLE DE ACESSOS</t>
  </si>
  <si>
    <t xml:space="preserve">   Telefonia/lógica/internet</t>
  </si>
  <si>
    <t>INSTLAÇÃOES DE SISTEMA DE CFTV</t>
  </si>
  <si>
    <t>INSTLAÇÃOES DE LOGICA/INTERNET/TELEFONIA</t>
  </si>
  <si>
    <t>Instalação de CFTV</t>
  </si>
  <si>
    <t>Sistema de CFTV</t>
  </si>
  <si>
    <t>Dobradiça aço inox - portas de madeira</t>
  </si>
  <si>
    <t>Fechadura Externa Com Maçaneta</t>
  </si>
  <si>
    <t>Fechadura Padrão Obra (c/ chave)</t>
  </si>
  <si>
    <t>Fechadura (c/ chave) + Dobradiça / Portas Maciças</t>
  </si>
  <si>
    <t>Fechadura (c/ chave) + Dobradiça / Portas Internas</t>
  </si>
  <si>
    <t>REVESTIMENTO -  PORCELANATO 20X120 EXT RET</t>
  </si>
  <si>
    <t>Instalação de Equipamentos de Telefonia/lógica/internet</t>
  </si>
  <si>
    <t>Instalacoes de Agua Fria - Sub Solo</t>
  </si>
  <si>
    <t>Instalacoes de Agua Fria - Térreo</t>
  </si>
  <si>
    <t>Instalacoes de Agua Fria - Cobertura</t>
  </si>
  <si>
    <t>Instalacoes de Agua Fria - Pavimento Técnico</t>
  </si>
  <si>
    <t>Instalacoes de Aguas Pluviais - Pavimento Técnico</t>
  </si>
  <si>
    <t>Instalacoes de Esgoto - Pavimento Técnico</t>
  </si>
  <si>
    <t>Instalacoes de Aguas Pluviais - Cobertura</t>
  </si>
  <si>
    <t>Instalacoes de Esgoto - Cobertura</t>
  </si>
  <si>
    <t>Instalacoes de Agua Fria - Tipo (5X)</t>
  </si>
  <si>
    <t>Instalacoes de Aguas Pluviais - Tipo (5X)</t>
  </si>
  <si>
    <t>Instalacoes de Esgoto - Tipo (5X)</t>
  </si>
  <si>
    <t>Instalacoes de Aguas Pluviais - Térreo</t>
  </si>
  <si>
    <t>Instalacoes de Esgoto - Térreo</t>
  </si>
  <si>
    <t>Instalacoes de Aguas Pluviais - Sub Solo</t>
  </si>
  <si>
    <t>Instalacoes de Esgoto - Sub Solo</t>
  </si>
  <si>
    <t>Instalacos do Sistema Preventivo de Incendio - Sub Solo</t>
  </si>
  <si>
    <t>Instalacos do Sistema Preventivo de Incendio - Térreo</t>
  </si>
  <si>
    <t>Instalacos do Sistema Preventivo de Incendio - Tipo (5X)</t>
  </si>
  <si>
    <t>Instalacos do Sistema Preventivo de Incendio - Cobertura</t>
  </si>
  <si>
    <t>Instalacos do Sistema Preventivo de Incendio - Pavimento Técnico</t>
  </si>
  <si>
    <t>MAO DE OBRA PARA PINTURA EPOXI EM PISO</t>
  </si>
  <si>
    <t>item</t>
  </si>
  <si>
    <t>01</t>
  </si>
  <si>
    <t>02</t>
  </si>
  <si>
    <t>03</t>
  </si>
  <si>
    <t>04</t>
  </si>
  <si>
    <t>06</t>
  </si>
  <si>
    <t>07</t>
  </si>
  <si>
    <t>08</t>
  </si>
  <si>
    <t>09</t>
  </si>
  <si>
    <t xml:space="preserve">   LOUÇAS E METAIS</t>
  </si>
  <si>
    <t xml:space="preserve">   LOUÇAS E METAIS - 1º PAVIMENTO - SUBSOLO</t>
  </si>
  <si>
    <t xml:space="preserve">   LOUÇAS E METAIS - 2º PAVIMENTO - TÉRREO</t>
  </si>
  <si>
    <t xml:space="preserve">   LOUÇAS E METAIS - 3º  ao 7º PAVIMENTO - TIPO</t>
  </si>
  <si>
    <t xml:space="preserve">   LOUÇAS E METAIS - 8º PAVIMENTO - COBERTURA</t>
  </si>
  <si>
    <t>CUB/SC</t>
  </si>
  <si>
    <t xml:space="preserve">   INSTALAÇÕES PREVENTIVAS</t>
  </si>
  <si>
    <t xml:space="preserve">   CLIMATIZAÇÃO </t>
  </si>
  <si>
    <t xml:space="preserve">   IMPREVISTOS E CONTINGÊNCIAS </t>
  </si>
  <si>
    <t>Revestimento interno de Rodapé Cerâmico h=0,30cm</t>
  </si>
  <si>
    <t>Revestimento interno de Rodapé Cerâmico h=0,07cm</t>
  </si>
  <si>
    <t>Revestimento interno de piso porcelanato placa 80x80cm - áreas externas</t>
  </si>
  <si>
    <t>Revestimento interno de piso Cerâmico placa 60x60cm - áreas Internos</t>
  </si>
  <si>
    <t>Mao de obra para colocacao de rodape cerâmico e porcelanato</t>
  </si>
  <si>
    <t>m</t>
  </si>
  <si>
    <t>MAO DE OBRA PARA COLOCACAO DE RODAPE CERAMICO E PORCELANATO</t>
  </si>
  <si>
    <t>1º Pavimento - Subsolo 1 X - Internos Rodapé</t>
  </si>
  <si>
    <t>2º Pavimento - Térreo - 1 X - Internos Rodapé</t>
  </si>
  <si>
    <t>3º ao 7º Pavimento - Tipo -  5 X - Internos Rodapé</t>
  </si>
  <si>
    <t>8º Pavimento - Cobertura -  1 X - Internos Rodapé</t>
  </si>
  <si>
    <t>Pavimento Técnico -  1 X - Internos Rodapé</t>
  </si>
  <si>
    <t>Revestimento interno de Rodapé Porcelanato h=0,30cm</t>
  </si>
  <si>
    <t>Revestimento interno de Rodapé Porcelanato h=0,07cm</t>
  </si>
  <si>
    <t>Revestimento interno de piso Cerâmico placa 60x60cm - áreas Internas</t>
  </si>
  <si>
    <t>Revestimento interno de piso porcelanato placa 80x80cm - áreas internas</t>
  </si>
  <si>
    <t>Revestimento interno de piso porcelanato placa 80x80cm - áreas Externas</t>
  </si>
  <si>
    <t>Revestimento interno de Rodapé Porcelanato h=0,15cm</t>
  </si>
  <si>
    <t>Revestimentos de Acabamentos (Externos)</t>
  </si>
  <si>
    <t>Massa</t>
  </si>
  <si>
    <t>Parede</t>
  </si>
  <si>
    <t>Piso</t>
  </si>
  <si>
    <t>Acabamento</t>
  </si>
  <si>
    <t>REVESTIMENTO - PASTILHA CERAMICA 5 X 5CM</t>
  </si>
  <si>
    <t>Revestimento interno de piso Ladrilho Piscina - áreas Externas</t>
  </si>
  <si>
    <t>Escavacao mecanizada para Sapatas, com previsao de forma</t>
  </si>
  <si>
    <t>Reaterro mecanizado para Sapatas, com retroescavadeira</t>
  </si>
  <si>
    <t>Armacao aco CA-50 ø 6.3mm para Contenções- cortado e dobrado em industria</t>
  </si>
  <si>
    <t>Armacao aco CA-50 ø 10.0mm para Contenções- cortado e dobrado em industria</t>
  </si>
  <si>
    <t>Rateio do Custo Global</t>
  </si>
  <si>
    <t xml:space="preserve">   Controle Tecnológico de Concreto</t>
  </si>
  <si>
    <t>Adicionar Custo do Balancete</t>
  </si>
  <si>
    <t>Concreto usinado bombeavel para Contenções Fck 35MPa com brita 0 e 1 SLUMP = 12 +/- 2 incluindo servico de bombeamento</t>
  </si>
  <si>
    <t xml:space="preserve">Pintura epoxi em piso 2 demaos - aplicacao em faixas demarcatorias de garagens </t>
  </si>
  <si>
    <t>GESSO PLACA 600X600X12MM NBR 13207/13867</t>
  </si>
  <si>
    <t>GESSO PO SECAGEM LENTA KG NBR 13207/13867</t>
  </si>
  <si>
    <t>SISAL P/ESTUQUE GESSO NBR 13207/13867</t>
  </si>
  <si>
    <t>PINO LISO P/FIXACAO DIRETA C/ARRUELA 23MM CONICA 1/4"X28MM</t>
  </si>
  <si>
    <t>ARAME ACO CARBONO GALVANIZADO LISO BWG 16 FIO 1,65MM NBR 6207</t>
  </si>
  <si>
    <t>SERVICO EMP. - INST. FORRO GESSO</t>
  </si>
  <si>
    <t>SERVICO EMP. - INST. FORRO GESSO NEGATIVO</t>
  </si>
  <si>
    <t>Forro de Gesso em Placa - material e mao de obra</t>
  </si>
  <si>
    <t>Empreitada</t>
  </si>
  <si>
    <t>Impermeabilizacao com tinta asfaltica em Fundação Rasa</t>
  </si>
  <si>
    <t>Mão de obra para impermeabilização de Fundação Rasa com tinta asfáltica</t>
  </si>
  <si>
    <t>MAO DE OBRA PARA IMPERMEABILIZACAO COM TINTA ASFALTICA</t>
  </si>
  <si>
    <t>Tratamento de ralo com manta de poliester</t>
  </si>
  <si>
    <t>IMPERMEABILIZANTE FLEXÍVEL E ELÁSTICO BICOMPONENTE COM FIBRAS</t>
  </si>
  <si>
    <t>MANTA VEU POLIESTER BRANCA, L=1,05 M X 100 M</t>
  </si>
  <si>
    <t>Mão de obra para tratamento de ralos</t>
  </si>
  <si>
    <t>MÃO DE OBRA PARA TRATAMENTO DE RALO</t>
  </si>
  <si>
    <t>MANTA ACÚSTICA DE POLIETILENO</t>
  </si>
  <si>
    <t>Mão de Obra Operações de Canteiro</t>
  </si>
  <si>
    <t>INSTALACOES DE CANTEIRO</t>
  </si>
  <si>
    <t>Orçamento</t>
  </si>
  <si>
    <t>MAO DE OBRA PARA COLOCACAO E REJUNTAMENTO DE PORCELANATO EXTERNO</t>
  </si>
  <si>
    <t>Mao de obra para estucamento de estrutura em concreto</t>
  </si>
  <si>
    <t>Mao de obra para execucao em piso cimentado</t>
  </si>
  <si>
    <t>Mao de obra - para execucao de Contenção</t>
  </si>
  <si>
    <t>Mao de obra - para execucao de infraestrutura</t>
  </si>
  <si>
    <t>Mao de obra  - para execucacao de estrutura de concreto armado em supraestrutura</t>
  </si>
  <si>
    <t xml:space="preserve">Serviços Complementares e Finais </t>
  </si>
  <si>
    <t>MAO DE OBRA PARA SERVIÇOS COMPLMENTARES E FINAIS DE OBRA</t>
  </si>
  <si>
    <t xml:space="preserve">1º Pavimento - Subsolo 1 X - Internos Piso </t>
  </si>
  <si>
    <t>1º Pavimento - Subsolo 1 X - Internos Teto</t>
  </si>
  <si>
    <t>2º Pavimento - Térreo - 1 X - Internos Teto</t>
  </si>
  <si>
    <t>3º ao 7º Pavimento - Tipo -  5 X - Internos Teto</t>
  </si>
  <si>
    <t>8º Pavimento - Cobertura -  1 X - Internos Teto</t>
  </si>
  <si>
    <t>Pavimento Técnico -  1 X - Internos Teto</t>
  </si>
  <si>
    <t xml:space="preserve">Pintura epoxi  2 demaos - aplicacao em faixas demarcatorias de garagens </t>
  </si>
  <si>
    <t>Mao de obra para pintura Epoxi - Faixa Garagens</t>
  </si>
  <si>
    <t>Mao de obra - para pintura acrilica em piso</t>
  </si>
  <si>
    <t>Levatamento Guarda Corpo de Alvenaria das Escadas</t>
  </si>
  <si>
    <t>Comprimento</t>
  </si>
  <si>
    <t>Altura</t>
  </si>
  <si>
    <t>Pavimento</t>
  </si>
  <si>
    <t>Área</t>
  </si>
  <si>
    <t>Repetição</t>
  </si>
  <si>
    <t>Alvenaria</t>
  </si>
  <si>
    <t>Revestimentos</t>
  </si>
  <si>
    <t>Corrimão</t>
  </si>
  <si>
    <t>Corrimão de madeira</t>
  </si>
  <si>
    <t>Corrimao parede de madeira</t>
  </si>
  <si>
    <t>Esquadria Madeira</t>
  </si>
  <si>
    <t>Aquisição Equipamentos - Mini Grua 500g</t>
  </si>
  <si>
    <t>Mini Grua 500kg</t>
  </si>
  <si>
    <t xml:space="preserve">   Mão de Obra Operações de Canteiro</t>
  </si>
  <si>
    <t>R01</t>
  </si>
  <si>
    <t>Difereça</t>
  </si>
  <si>
    <t xml:space="preserve">SERVICO LIMPEZA ESCAVAÇÃO E BOTA FORA </t>
  </si>
  <si>
    <t>Balancete</t>
  </si>
  <si>
    <t>CONTROLE TECNOLOGICO DO CONCRETO - FUNDAÇÃO</t>
  </si>
  <si>
    <t>VERBA PARA TAPUME</t>
  </si>
  <si>
    <t>Aço</t>
  </si>
  <si>
    <t>ARMAÇÃO MÉDIA PARA FUNDAÇÃO</t>
  </si>
  <si>
    <t>ARMAÇÃO MÉDIA PARA CONTENÇÃO</t>
  </si>
  <si>
    <t>MADEIRA DE FORMA PARA FUNDAÇÃO</t>
  </si>
  <si>
    <t>MADEIRA DE FORMA PARA CONTENÇÃO</t>
  </si>
  <si>
    <t>CONCRETO USINADO PARA FUNDAÇÃO</t>
  </si>
  <si>
    <t>CONCRETO USINADO PARA CONTENÇÃO</t>
  </si>
  <si>
    <t>Concreto usinado Para Infraestrututera</t>
  </si>
  <si>
    <t>Armacao Média para Infraestrutura</t>
  </si>
  <si>
    <t>Forma para Infraestrutura</t>
  </si>
  <si>
    <t xml:space="preserve">   Forma Apropriada</t>
  </si>
  <si>
    <t xml:space="preserve">   Armadura Apropriada</t>
  </si>
  <si>
    <t xml:space="preserve">   Concreto Apropriada</t>
  </si>
  <si>
    <t>Forma para Contenção</t>
  </si>
  <si>
    <t>Armacao Média para Contenção</t>
  </si>
  <si>
    <t>Concreto usinado Para Contenção</t>
  </si>
  <si>
    <t>Serviço Levantamento Topografico</t>
  </si>
  <si>
    <t xml:space="preserve">Quadros e Disjuntores - Subsolo </t>
  </si>
  <si>
    <t xml:space="preserve">Locacao de banheiro quimico </t>
  </si>
  <si>
    <t xml:space="preserve">Projeto eletrico </t>
  </si>
  <si>
    <t xml:space="preserve">Taxas de Aprovação de Projetos e Alvarás (Prefeituras/Bombeiro) </t>
  </si>
  <si>
    <t xml:space="preserve">Pergolado de madeira </t>
  </si>
  <si>
    <t xml:space="preserve">Mobiliario e decoracoes para areas comuns </t>
  </si>
  <si>
    <t>R02</t>
  </si>
  <si>
    <t>Real</t>
  </si>
  <si>
    <t>Equivalente</t>
  </si>
  <si>
    <t>R03</t>
  </si>
  <si>
    <t>R04</t>
  </si>
  <si>
    <t>Ajustes Quantitativos Chapisco</t>
  </si>
  <si>
    <t>BENDERTEC</t>
  </si>
  <si>
    <t>KNORR</t>
  </si>
  <si>
    <t>GERDAU</t>
  </si>
  <si>
    <t>AWA DISTRIBUIDORA DE MERCADORIA E SERVIÇOS LTDA</t>
  </si>
  <si>
    <t>Agregados Nestor</t>
  </si>
  <si>
    <t>Distribuidora Sika</t>
  </si>
  <si>
    <t>Argabrus</t>
  </si>
  <si>
    <t>Tupi Gurani Cerâmica</t>
  </si>
  <si>
    <t>Engemix</t>
  </si>
  <si>
    <t>Essence Climatização</t>
  </si>
  <si>
    <t>MGM PRODUTOS SIDERURGICOS S/A</t>
  </si>
  <si>
    <t>MILÃO ACABAMENTOS LTDA</t>
  </si>
  <si>
    <t>HOFF - SOLUÇÕES EM FERRO LTDA</t>
  </si>
  <si>
    <t>Ceimacon Entulhos</t>
  </si>
  <si>
    <t>TK Elevadores</t>
  </si>
  <si>
    <t>HABITENGE</t>
  </si>
  <si>
    <t>EVEHX Engenharia</t>
  </si>
  <si>
    <t>Portobelo</t>
  </si>
  <si>
    <t>Fort Glass transparência que fortalece</t>
  </si>
  <si>
    <t>Empreendimento - Total</t>
  </si>
  <si>
    <t xml:space="preserve">Residencial </t>
  </si>
  <si>
    <t>R$/und</t>
  </si>
  <si>
    <t>R$/m2 - Total</t>
  </si>
  <si>
    <t>R$/m2 - Privativo</t>
  </si>
  <si>
    <t>Áreas</t>
  </si>
  <si>
    <t>(R1) - Total Privativa</t>
  </si>
  <si>
    <t>(R2) - Total Torre</t>
  </si>
  <si>
    <t>(R6) - Total Residencial</t>
  </si>
  <si>
    <t>(C5) - Total Comercial</t>
  </si>
  <si>
    <t>(E1) - Total Empreendimento</t>
  </si>
  <si>
    <t>Área Equivalente Torre - Média</t>
  </si>
  <si>
    <t>Área Equivalente Residencial - Média</t>
  </si>
  <si>
    <t>Área Equivalente Comerciall - Média</t>
  </si>
  <si>
    <t>Área Equivalente Total - Média</t>
  </si>
  <si>
    <t>Área Privativa Unidades - Média</t>
  </si>
  <si>
    <t>Unidades</t>
  </si>
  <si>
    <t>Nº Unidades Residencial</t>
  </si>
  <si>
    <t>Nº Unidades Comercial</t>
  </si>
  <si>
    <t>Total de Unidades</t>
  </si>
  <si>
    <t xml:space="preserve">Grau de Eficiência </t>
  </si>
  <si>
    <t>GE Emprendimento: ( E1 ÷ R1 )</t>
  </si>
  <si>
    <t>GE Torre: ( R2 ÷ R1 )</t>
  </si>
  <si>
    <t>Total Construída ÷ Privativa Construída:  ( R1 ÷ E1 )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</si>
</sst>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&quot;* #,##0_);_(&quot;R$&quot;* \(#,##0\);_(&quot;R$&quot;* &quot;-&quot;_);_(@_)"/>
    <numFmt numFmtId="166" formatCode="_(* #,##0_);_(* \(#,##0\);_(* &quot;-&quot;_);_(@_)"/>
    <numFmt numFmtId="167" formatCode="_(&quot;R$&quot;* #,##0.00_);_(&quot;R$&quot;* \(#,##0.00\);_(&quot;R$&quot;* &quot;-&quot;??_);_(@_)"/>
    <numFmt numFmtId="168" formatCode="0.000000"/>
    <numFmt numFmtId="169" formatCode="&quot;R$&quot;\ #,##0.00"/>
    <numFmt numFmtId="170" formatCode="0.00\ &quot;m²&quot;"/>
    <numFmt numFmtId="171" formatCode="0.0"/>
    <numFmt numFmtId="172" formatCode="_(* #,##0.0000_);_(* \(#,##0.0000\);_(* &quot;-&quot;??_);_(@_)"/>
    <numFmt numFmtId="173" formatCode="_-* #.##0.00_-;\-* #.##0.00_-;_-* &quot;-&quot;??_-;_-@_-"/>
    <numFmt numFmtId="174" formatCode="0#"/>
    <numFmt numFmtId="175" formatCode="00#"/>
    <numFmt numFmtId="176" formatCode="&quot;R$&quot;\ #,##0.000000"/>
    <numFmt numFmtId="177" formatCode="#,##0.0000"/>
    <numFmt numFmtId="178" formatCode="&quot;R$&quot;\ #,##0.0000"/>
    <numFmt numFmtId="179" formatCode="#,##0.000"/>
    <numFmt numFmtId="180" formatCode="_-* #,##0.00_-;\-* #,##0.00_-;_-* &quot;-&quot;??_-;_-@"/>
    <numFmt numFmtId="181" formatCode="_-[$R$-416]\ * #,##0.00_-;\-[$R$-416]\ * #,##0.00_-;_-[$R$-416]\ * &quot;-&quot;??_-;_-@_-"/>
    <numFmt numFmtId="182" formatCode="_(* #,##0.000_);_(* \(#,##0.000\);_(* &quot;-&quot;??_);_(@_)"/>
    <numFmt numFmtId="183" formatCode="&quot;R$&quot;\ #,##0&quot; / m2&quot;"/>
    <numFmt numFmtId="184" formatCode="#,##0&quot; m2&quot;"/>
    <numFmt numFmtId="185" formatCode="#,##0&quot; m2/apto&quot;"/>
    <numFmt numFmtId="186" formatCode="#,##0&quot; m2/loja&quot;"/>
    <numFmt numFmtId="187" formatCode="#,##0&quot; m2/un total&quot;"/>
    <numFmt numFmtId="188" formatCode="#,##0&quot; UH&quot;"/>
    <numFmt numFmtId="189" formatCode="#,##0&quot; L J&quot;"/>
  </numFmts>
  <fonts count="8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7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10"/>
      <color theme="1"/>
      <name val="Arial"/>
      <family val="2"/>
    </font>
    <font>
      <b/>
      <sz val="7"/>
      <name val="Arial"/>
      <family val="2"/>
    </font>
    <font>
      <b/>
      <sz val="14"/>
      <color theme="9" tint="9.9978637043366805E-2"/>
      <name val="Arial"/>
      <family val="2"/>
    </font>
    <font>
      <b/>
      <sz val="12"/>
      <color indexed="8"/>
      <name val="Arial"/>
      <family val="2"/>
    </font>
    <font>
      <b/>
      <sz val="9"/>
      <name val="Calibri"/>
      <family val="2"/>
      <scheme val="minor"/>
    </font>
    <font>
      <sz val="9"/>
      <color indexed="81"/>
      <name val="Segoe UI"/>
      <family val="2"/>
    </font>
    <font>
      <sz val="10"/>
      <color indexed="8"/>
      <name val="MS Sans Serif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1"/>
      <name val="Segoe UI"/>
      <family val="2"/>
    </font>
    <font>
      <b/>
      <sz val="9"/>
      <color rgb="FFFF0000"/>
      <name val="Calibri"/>
      <family val="2"/>
      <scheme val="minor"/>
    </font>
    <font>
      <b/>
      <sz val="7"/>
      <color rgb="FFFF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i/>
      <sz val="8"/>
      <color theme="1"/>
      <name val="Arial"/>
      <family val="2"/>
    </font>
    <font>
      <sz val="9"/>
      <name val="Calibri"/>
      <family val="2"/>
      <scheme val="minor"/>
    </font>
    <font>
      <b/>
      <sz val="9"/>
      <color rgb="FF0602AE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rgb="FF0602AE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u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theme="0" tint="-0.499984740745262"/>
      <name val="Calibri"/>
      <family val="2"/>
      <scheme val="minor"/>
    </font>
    <font>
      <sz val="6"/>
      <color theme="0" tint="-0.34998626667073579"/>
      <name val="Calibri"/>
      <family val="2"/>
      <scheme val="minor"/>
    </font>
    <font>
      <b/>
      <sz val="6"/>
      <color theme="1" tint="0.34998626667073579"/>
      <name val="Calibri"/>
      <family val="2"/>
      <scheme val="minor"/>
    </font>
    <font>
      <b/>
      <sz val="11"/>
      <color theme="0"/>
      <name val="Arial"/>
      <family val="2"/>
    </font>
    <font>
      <b/>
      <sz val="8"/>
      <color rgb="FFF43800"/>
      <name val="Arial"/>
      <family val="2"/>
    </font>
    <font>
      <b/>
      <sz val="10"/>
      <color rgb="FF121212"/>
      <name val="Poppins"/>
    </font>
    <font>
      <sz val="10"/>
      <color rgb="FF121212"/>
      <name val="Poppins"/>
    </font>
    <font>
      <sz val="8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22"/>
      <color rgb="FF255AE5"/>
      <name val="Poppins"/>
    </font>
    <font>
      <b/>
      <sz val="30"/>
      <color rgb="FF255AE5"/>
      <name val="Poppins"/>
    </font>
    <font>
      <sz val="18"/>
      <color rgb="FF121212"/>
      <name val="Poppins"/>
    </font>
    <font>
      <sz val="14"/>
      <color rgb="FF121212"/>
      <name val="Poppins"/>
    </font>
    <font>
      <sz val="8"/>
      <color theme="1"/>
      <name val="Poppins"/>
    </font>
    <font>
      <b/>
      <sz val="14"/>
      <color rgb="FF002060"/>
      <name val="Poppins"/>
    </font>
    <font>
      <sz val="11"/>
      <color rgb="FF121212"/>
      <name val="Poppins"/>
    </font>
    <font>
      <b/>
      <sz val="8"/>
      <color theme="0"/>
      <name val="Poppins"/>
    </font>
    <font>
      <b/>
      <sz val="10"/>
      <color theme="0" tint="-0.499984740745262"/>
      <name val="Arial"/>
      <family val="2"/>
    </font>
    <font>
      <b/>
      <sz val="14"/>
      <name val="Arial"/>
      <family val="2"/>
    </font>
    <font>
      <sz val="10"/>
      <name val="Calibri"/>
      <family val="2"/>
    </font>
    <font>
      <sz val="10"/>
      <color theme="0"/>
      <name val="Arial"/>
      <family val="2"/>
    </font>
    <font>
      <sz val="10"/>
      <color theme="0"/>
      <name val="Calibri"/>
      <family val="2"/>
    </font>
    <font>
      <b/>
      <sz val="8"/>
      <color rgb="FFE23600"/>
      <name val="Arial"/>
      <family val="2"/>
    </font>
    <font>
      <sz val="10"/>
      <color rgb="FF1A1A1A"/>
      <name val="Dosis"/>
    </font>
    <font>
      <sz val="10"/>
      <color theme="1"/>
      <name val="Poppins"/>
    </font>
    <font>
      <b/>
      <sz val="10"/>
      <color theme="0"/>
      <name val="Arial"/>
      <family val="2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4"/>
      <color theme="1"/>
      <name val="Calibri Light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"/>
      <color theme="0"/>
      <name val="Arial"/>
      <family val="2"/>
    </font>
    <font>
      <sz val="1"/>
      <name val="Arial"/>
      <family val="2"/>
    </font>
    <font>
      <b/>
      <sz val="1"/>
      <color theme="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545454"/>
        <bgColor indexed="64"/>
      </patternFill>
    </fill>
    <fill>
      <patternFill patternType="solid">
        <fgColor rgb="FFF43800"/>
        <bgColor indexed="64"/>
      </patternFill>
    </fill>
    <fill>
      <patternFill patternType="solid">
        <fgColor rgb="FF29292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rgb="FF255AE5"/>
      </patternFill>
    </fill>
    <fill>
      <patternFill patternType="solid">
        <fgColor theme="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indexed="64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/>
      <right/>
      <top style="hair">
        <color theme="0" tint="-0.499984740745262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2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1" tint="0.499984740745262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rgb="FF000000"/>
      </right>
      <top style="hair">
        <color rgb="FF000000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8">
    <xf numFmtId="0" fontId="0" fillId="0" borderId="0"/>
    <xf numFmtId="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0" fontId="10" fillId="0" borderId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0" fontId="10" fillId="0" borderId="0"/>
    <xf numFmtId="9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19" fillId="0" borderId="0" applyFont="0" applyFill="0" applyBorder="0" applyAlignment="0" applyProtection="0"/>
    <xf numFmtId="0" fontId="22" fillId="0" borderId="0"/>
    <xf numFmtId="167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10" fillId="0" borderId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7" fontId="22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6" fillId="0" borderId="0"/>
    <xf numFmtId="167" fontId="10" fillId="0" borderId="0" applyFont="0" applyFill="0" applyBorder="0" applyAlignment="0" applyProtection="0"/>
    <xf numFmtId="0" fontId="5" fillId="0" borderId="0"/>
    <xf numFmtId="0" fontId="10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17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164" fontId="10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2" fillId="0" borderId="86" applyNumberFormat="0" applyFill="0" applyAlignment="0" applyProtection="0"/>
    <xf numFmtId="0" fontId="73" fillId="26" borderId="0" applyNumberFormat="0" applyBorder="0" applyAlignment="0" applyProtection="0"/>
  </cellStyleXfs>
  <cellXfs count="516">
    <xf numFmtId="0" fontId="0" fillId="0" borderId="0" xfId="0"/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69" fontId="0" fillId="0" borderId="0" xfId="0" applyNumberFormat="1" applyAlignment="1">
      <alignment vertical="center"/>
    </xf>
    <xf numFmtId="0" fontId="12" fillId="0" borderId="11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1" fillId="0" borderId="0" xfId="0" applyFont="1"/>
    <xf numFmtId="0" fontId="0" fillId="0" borderId="0" xfId="0" applyAlignment="1">
      <alignment horizontal="right" vertical="center"/>
    </xf>
    <xf numFmtId="0" fontId="0" fillId="2" borderId="11" xfId="0" applyFill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0" xfId="0" applyFont="1" applyAlignment="1">
      <alignment vertical="center"/>
    </xf>
    <xf numFmtId="169" fontId="0" fillId="0" borderId="0" xfId="0" applyNumberFormat="1" applyAlignment="1">
      <alignment horizontal="left" vertical="center"/>
    </xf>
    <xf numFmtId="0" fontId="25" fillId="0" borderId="0" xfId="33" applyFont="1"/>
    <xf numFmtId="0" fontId="25" fillId="0" borderId="0" xfId="33" applyFont="1" applyAlignment="1">
      <alignment horizontal="center"/>
    </xf>
    <xf numFmtId="0" fontId="25" fillId="0" borderId="0" xfId="33" applyFont="1" applyAlignment="1">
      <alignment vertical="center"/>
    </xf>
    <xf numFmtId="4" fontId="25" fillId="0" borderId="0" xfId="33" applyNumberFormat="1" applyFont="1"/>
    <xf numFmtId="167" fontId="25" fillId="0" borderId="0" xfId="33" applyNumberFormat="1" applyFont="1"/>
    <xf numFmtId="4" fontId="25" fillId="0" borderId="0" xfId="33" applyNumberFormat="1" applyFont="1" applyAlignment="1">
      <alignment vertical="center"/>
    </xf>
    <xf numFmtId="167" fontId="25" fillId="0" borderId="0" xfId="33" applyNumberFormat="1" applyFont="1" applyAlignment="1">
      <alignment vertical="center"/>
    </xf>
    <xf numFmtId="0" fontId="39" fillId="0" borderId="0" xfId="33" applyFont="1" applyAlignment="1">
      <alignment vertical="center"/>
    </xf>
    <xf numFmtId="0" fontId="33" fillId="4" borderId="17" xfId="34" applyFont="1" applyFill="1" applyBorder="1" applyAlignment="1">
      <alignment horizontal="center" vertical="center"/>
    </xf>
    <xf numFmtId="0" fontId="33" fillId="4" borderId="17" xfId="33" applyFont="1" applyFill="1" applyBorder="1" applyAlignment="1">
      <alignment vertical="center" wrapText="1"/>
    </xf>
    <xf numFmtId="167" fontId="33" fillId="4" borderId="17" xfId="26" applyFont="1" applyFill="1" applyBorder="1" applyAlignment="1" applyProtection="1">
      <alignment vertical="center"/>
      <protection locked="0"/>
    </xf>
    <xf numFmtId="4" fontId="33" fillId="0" borderId="17" xfId="35" applyNumberFormat="1" applyFont="1" applyFill="1" applyBorder="1" applyAlignment="1" applyProtection="1">
      <alignment horizontal="center" vertical="center"/>
      <protection locked="0"/>
    </xf>
    <xf numFmtId="167" fontId="33" fillId="4" borderId="17" xfId="33" applyNumberFormat="1" applyFont="1" applyFill="1" applyBorder="1" applyAlignment="1">
      <alignment vertical="center"/>
    </xf>
    <xf numFmtId="4" fontId="40" fillId="0" borderId="17" xfId="33" applyNumberFormat="1" applyFont="1" applyBorder="1" applyAlignment="1">
      <alignment vertical="center" wrapText="1"/>
    </xf>
    <xf numFmtId="167" fontId="39" fillId="0" borderId="0" xfId="33" applyNumberFormat="1" applyFont="1" applyAlignment="1">
      <alignment vertical="center"/>
    </xf>
    <xf numFmtId="0" fontId="33" fillId="4" borderId="12" xfId="34" applyFont="1" applyFill="1" applyBorder="1" applyAlignment="1">
      <alignment horizontal="center" vertical="center"/>
    </xf>
    <xf numFmtId="0" fontId="33" fillId="4" borderId="12" xfId="33" applyFont="1" applyFill="1" applyBorder="1" applyAlignment="1">
      <alignment vertical="center" wrapText="1"/>
    </xf>
    <xf numFmtId="4" fontId="33" fillId="0" borderId="12" xfId="35" applyNumberFormat="1" applyFont="1" applyFill="1" applyBorder="1" applyAlignment="1" applyProtection="1">
      <alignment horizontal="center" vertical="center"/>
      <protection locked="0"/>
    </xf>
    <xf numFmtId="167" fontId="33" fillId="4" borderId="12" xfId="33" applyNumberFormat="1" applyFont="1" applyFill="1" applyBorder="1" applyAlignment="1">
      <alignment vertical="center"/>
    </xf>
    <xf numFmtId="4" fontId="40" fillId="0" borderId="12" xfId="33" applyNumberFormat="1" applyFont="1" applyBorder="1" applyAlignment="1">
      <alignment vertical="center" wrapText="1"/>
    </xf>
    <xf numFmtId="0" fontId="25" fillId="0" borderId="0" xfId="33" applyFont="1" applyAlignment="1">
      <alignment vertical="center" wrapText="1"/>
    </xf>
    <xf numFmtId="0" fontId="33" fillId="4" borderId="14" xfId="34" applyFont="1" applyFill="1" applyBorder="1" applyAlignment="1">
      <alignment horizontal="center" vertical="center"/>
    </xf>
    <xf numFmtId="167" fontId="33" fillId="4" borderId="14" xfId="33" applyNumberFormat="1" applyFont="1" applyFill="1" applyBorder="1" applyAlignment="1">
      <alignment vertical="center"/>
    </xf>
    <xf numFmtId="4" fontId="40" fillId="0" borderId="14" xfId="33" applyNumberFormat="1" applyFont="1" applyBorder="1" applyAlignment="1">
      <alignment vertical="center" wrapText="1"/>
    </xf>
    <xf numFmtId="0" fontId="42" fillId="0" borderId="9" xfId="34" applyFont="1" applyBorder="1" applyAlignment="1">
      <alignment horizontal="left" vertical="center" wrapText="1"/>
    </xf>
    <xf numFmtId="0" fontId="42" fillId="0" borderId="0" xfId="34" applyFont="1" applyAlignment="1">
      <alignment horizontal="left" vertical="center" wrapText="1"/>
    </xf>
    <xf numFmtId="167" fontId="42" fillId="0" borderId="0" xfId="34" applyNumberFormat="1" applyFont="1" applyAlignment="1">
      <alignment horizontal="left" vertical="center" wrapText="1"/>
    </xf>
    <xf numFmtId="0" fontId="25" fillId="0" borderId="0" xfId="33" applyFont="1" applyAlignment="1">
      <alignment wrapText="1"/>
    </xf>
    <xf numFmtId="0" fontId="42" fillId="0" borderId="0" xfId="34" applyFont="1" applyAlignment="1">
      <alignment vertical="center" wrapText="1"/>
    </xf>
    <xf numFmtId="4" fontId="35" fillId="3" borderId="0" xfId="36" applyNumberFormat="1" applyFont="1" applyFill="1" applyBorder="1" applyAlignment="1">
      <alignment vertical="center"/>
    </xf>
    <xf numFmtId="4" fontId="35" fillId="3" borderId="10" xfId="36" applyNumberFormat="1" applyFont="1" applyFill="1" applyBorder="1" applyAlignment="1">
      <alignment vertical="center"/>
    </xf>
    <xf numFmtId="167" fontId="35" fillId="3" borderId="10" xfId="36" applyNumberFormat="1" applyFont="1" applyFill="1" applyBorder="1" applyAlignment="1">
      <alignment vertical="center"/>
    </xf>
    <xf numFmtId="167" fontId="33" fillId="4" borderId="18" xfId="33" applyNumberFormat="1" applyFont="1" applyFill="1" applyBorder="1" applyAlignment="1">
      <alignment vertical="center"/>
    </xf>
    <xf numFmtId="167" fontId="35" fillId="3" borderId="0" xfId="36" applyNumberFormat="1" applyFont="1" applyFill="1" applyBorder="1" applyAlignment="1">
      <alignment vertical="center"/>
    </xf>
    <xf numFmtId="4" fontId="40" fillId="4" borderId="12" xfId="33" applyNumberFormat="1" applyFont="1" applyFill="1" applyBorder="1" applyAlignment="1">
      <alignment vertical="center" wrapText="1"/>
    </xf>
    <xf numFmtId="4" fontId="40" fillId="4" borderId="12" xfId="33" quotePrefix="1" applyNumberFormat="1" applyFont="1" applyFill="1" applyBorder="1" applyAlignment="1">
      <alignment vertical="center" wrapText="1"/>
    </xf>
    <xf numFmtId="0" fontId="33" fillId="0" borderId="0" xfId="19" applyFont="1" applyAlignment="1">
      <alignment vertical="center"/>
    </xf>
    <xf numFmtId="0" fontId="20" fillId="0" borderId="0" xfId="19" applyFont="1" applyAlignment="1">
      <alignment horizontal="center" vertical="center"/>
    </xf>
    <xf numFmtId="4" fontId="33" fillId="0" borderId="0" xfId="19" applyNumberFormat="1" applyFont="1" applyAlignment="1">
      <alignment horizontal="center" vertical="center"/>
    </xf>
    <xf numFmtId="0" fontId="33" fillId="0" borderId="0" xfId="19" applyFont="1" applyAlignment="1">
      <alignment horizontal="center" vertical="center"/>
    </xf>
    <xf numFmtId="172" fontId="39" fillId="0" borderId="0" xfId="24" applyNumberFormat="1" applyFont="1" applyAlignment="1">
      <alignment vertical="center"/>
    </xf>
    <xf numFmtId="0" fontId="25" fillId="4" borderId="6" xfId="33" applyFont="1" applyFill="1" applyBorder="1" applyAlignment="1">
      <alignment horizontal="center" vertical="center"/>
    </xf>
    <xf numFmtId="0" fontId="46" fillId="0" borderId="0" xfId="33" applyFont="1" applyAlignment="1">
      <alignment horizontal="right"/>
    </xf>
    <xf numFmtId="0" fontId="46" fillId="0" borderId="0" xfId="33" applyFont="1"/>
    <xf numFmtId="0" fontId="46" fillId="0" borderId="0" xfId="33" applyFont="1" applyAlignment="1">
      <alignment horizontal="right" vertical="center"/>
    </xf>
    <xf numFmtId="0" fontId="46" fillId="0" borderId="0" xfId="33" applyFont="1" applyAlignment="1">
      <alignment vertical="center"/>
    </xf>
    <xf numFmtId="3" fontId="46" fillId="0" borderId="0" xfId="33" applyNumberFormat="1" applyFont="1" applyAlignment="1">
      <alignment horizontal="right" vertical="center"/>
    </xf>
    <xf numFmtId="0" fontId="47" fillId="0" borderId="0" xfId="33" applyFont="1" applyAlignment="1">
      <alignment horizontal="right" vertical="center"/>
    </xf>
    <xf numFmtId="0" fontId="47" fillId="0" borderId="0" xfId="33" applyFont="1" applyAlignment="1">
      <alignment vertical="center"/>
    </xf>
    <xf numFmtId="0" fontId="20" fillId="5" borderId="6" xfId="34" applyFont="1" applyFill="1" applyBorder="1" applyAlignment="1">
      <alignment vertical="center"/>
    </xf>
    <xf numFmtId="0" fontId="20" fillId="5" borderId="8" xfId="34" applyFont="1" applyFill="1" applyBorder="1" applyAlignment="1">
      <alignment vertical="center"/>
    </xf>
    <xf numFmtId="0" fontId="20" fillId="5" borderId="8" xfId="34" applyFont="1" applyFill="1" applyBorder="1" applyAlignment="1">
      <alignment vertical="center" wrapText="1"/>
    </xf>
    <xf numFmtId="167" fontId="20" fillId="5" borderId="8" xfId="34" applyNumberFormat="1" applyFont="1" applyFill="1" applyBorder="1" applyAlignment="1">
      <alignment vertical="center" wrapText="1"/>
    </xf>
    <xf numFmtId="0" fontId="42" fillId="5" borderId="6" xfId="34" applyFont="1" applyFill="1" applyBorder="1" applyAlignment="1">
      <alignment vertical="center" wrapText="1"/>
    </xf>
    <xf numFmtId="0" fontId="42" fillId="5" borderId="8" xfId="34" applyFont="1" applyFill="1" applyBorder="1" applyAlignment="1">
      <alignment vertical="center" wrapText="1"/>
    </xf>
    <xf numFmtId="0" fontId="33" fillId="5" borderId="8" xfId="33" applyFont="1" applyFill="1" applyBorder="1" applyAlignment="1">
      <alignment vertical="center"/>
    </xf>
    <xf numFmtId="0" fontId="37" fillId="4" borderId="12" xfId="33" applyFont="1" applyFill="1" applyBorder="1" applyAlignment="1">
      <alignment horizontal="center" vertical="center"/>
    </xf>
    <xf numFmtId="167" fontId="24" fillId="0" borderId="0" xfId="33" applyNumberFormat="1" applyFont="1" applyAlignment="1">
      <alignment horizontal="center" vertical="center"/>
    </xf>
    <xf numFmtId="0" fontId="38" fillId="0" borderId="0" xfId="33" applyFont="1" applyAlignment="1">
      <alignment vertical="center"/>
    </xf>
    <xf numFmtId="4" fontId="33" fillId="4" borderId="17" xfId="35" applyNumberFormat="1" applyFont="1" applyFill="1" applyBorder="1" applyAlignment="1" applyProtection="1">
      <alignment horizontal="center" vertical="center"/>
      <protection locked="0"/>
    </xf>
    <xf numFmtId="4" fontId="33" fillId="4" borderId="12" xfId="35" applyNumberFormat="1" applyFont="1" applyFill="1" applyBorder="1" applyAlignment="1" applyProtection="1">
      <alignment horizontal="center" vertical="center"/>
      <protection locked="0"/>
    </xf>
    <xf numFmtId="167" fontId="33" fillId="0" borderId="17" xfId="26" applyFont="1" applyFill="1" applyBorder="1" applyAlignment="1" applyProtection="1">
      <alignment vertical="center"/>
      <protection locked="0"/>
    </xf>
    <xf numFmtId="167" fontId="33" fillId="0" borderId="12" xfId="26" applyFont="1" applyFill="1" applyBorder="1" applyAlignment="1" applyProtection="1">
      <alignment vertical="center"/>
      <protection locked="0"/>
    </xf>
    <xf numFmtId="167" fontId="33" fillId="0" borderId="14" xfId="26" applyFont="1" applyFill="1" applyBorder="1" applyAlignment="1" applyProtection="1">
      <alignment vertical="center"/>
      <protection locked="0"/>
    </xf>
    <xf numFmtId="0" fontId="23" fillId="5" borderId="7" xfId="34" applyFont="1" applyFill="1" applyBorder="1" applyAlignment="1">
      <alignment vertical="center"/>
    </xf>
    <xf numFmtId="0" fontId="43" fillId="5" borderId="7" xfId="33" applyFont="1" applyFill="1" applyBorder="1" applyAlignment="1">
      <alignment vertical="center" wrapText="1"/>
    </xf>
    <xf numFmtId="0" fontId="43" fillId="5" borderId="7" xfId="33" applyFont="1" applyFill="1" applyBorder="1" applyAlignment="1">
      <alignment wrapText="1"/>
    </xf>
    <xf numFmtId="0" fontId="43" fillId="5" borderId="18" xfId="33" applyFont="1" applyFill="1" applyBorder="1" applyAlignment="1">
      <alignment wrapText="1"/>
    </xf>
    <xf numFmtId="0" fontId="23" fillId="5" borderId="16" xfId="34" applyFont="1" applyFill="1" applyBorder="1" applyAlignment="1">
      <alignment vertical="center"/>
    </xf>
    <xf numFmtId="0" fontId="24" fillId="0" borderId="0" xfId="33" applyFont="1" applyAlignment="1">
      <alignment horizontal="center" vertical="center" wrapText="1"/>
    </xf>
    <xf numFmtId="4" fontId="24" fillId="0" borderId="0" xfId="33" applyNumberFormat="1" applyFont="1" applyAlignment="1">
      <alignment horizontal="center" vertical="center" wrapText="1"/>
    </xf>
    <xf numFmtId="167" fontId="24" fillId="0" borderId="0" xfId="33" applyNumberFormat="1" applyFont="1" applyAlignment="1">
      <alignment horizontal="center" vertical="center" wrapText="1"/>
    </xf>
    <xf numFmtId="0" fontId="24" fillId="0" borderId="0" xfId="33" applyFont="1" applyAlignment="1">
      <alignment vertical="center"/>
    </xf>
    <xf numFmtId="167" fontId="24" fillId="0" borderId="0" xfId="33" applyNumberFormat="1" applyFont="1" applyAlignment="1">
      <alignment vertical="center"/>
    </xf>
    <xf numFmtId="0" fontId="25" fillId="0" borderId="0" xfId="33" applyFont="1" applyAlignment="1">
      <alignment horizontal="center" vertical="center"/>
    </xf>
    <xf numFmtId="0" fontId="25" fillId="0" borderId="0" xfId="33" applyFont="1" applyAlignment="1">
      <alignment horizontal="right" vertical="center"/>
    </xf>
    <xf numFmtId="1" fontId="33" fillId="0" borderId="0" xfId="33" applyNumberFormat="1" applyFont="1" applyAlignment="1">
      <alignment horizontal="center" vertical="center"/>
    </xf>
    <xf numFmtId="0" fontId="27" fillId="0" borderId="0" xfId="33" applyFont="1" applyAlignment="1">
      <alignment vertical="center"/>
    </xf>
    <xf numFmtId="167" fontId="27" fillId="0" borderId="0" xfId="33" applyNumberFormat="1" applyFont="1" applyAlignment="1">
      <alignment vertical="center"/>
    </xf>
    <xf numFmtId="167" fontId="20" fillId="5" borderId="8" xfId="26" applyFont="1" applyFill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30" fillId="0" borderId="23" xfId="0" applyFont="1" applyBorder="1" applyAlignment="1">
      <alignment vertical="center"/>
    </xf>
    <xf numFmtId="0" fontId="30" fillId="0" borderId="23" xfId="0" applyFont="1" applyBorder="1" applyAlignment="1">
      <alignment horizontal="left" vertical="center"/>
    </xf>
    <xf numFmtId="0" fontId="50" fillId="10" borderId="25" xfId="57" applyFont="1" applyFill="1" applyBorder="1" applyAlignment="1">
      <alignment vertical="center" wrapText="1"/>
    </xf>
    <xf numFmtId="0" fontId="51" fillId="3" borderId="26" xfId="57" applyFont="1" applyFill="1" applyBorder="1" applyAlignment="1">
      <alignment horizontal="left" vertical="center" wrapText="1"/>
    </xf>
    <xf numFmtId="0" fontId="51" fillId="3" borderId="27" xfId="57" applyFont="1" applyFill="1" applyBorder="1" applyAlignment="1">
      <alignment horizontal="center" vertical="center" wrapText="1"/>
    </xf>
    <xf numFmtId="173" fontId="51" fillId="3" borderId="27" xfId="58" applyFont="1" applyFill="1" applyBorder="1" applyAlignment="1">
      <alignment horizontal="left" vertical="center" wrapText="1"/>
    </xf>
    <xf numFmtId="0" fontId="52" fillId="3" borderId="27" xfId="57" applyFont="1" applyFill="1" applyBorder="1" applyAlignment="1">
      <alignment horizontal="center" vertical="center" wrapText="1"/>
    </xf>
    <xf numFmtId="0" fontId="53" fillId="3" borderId="28" xfId="57" applyFont="1" applyFill="1" applyBorder="1"/>
    <xf numFmtId="0" fontId="3" fillId="0" borderId="0" xfId="57"/>
    <xf numFmtId="0" fontId="50" fillId="10" borderId="29" xfId="57" applyFont="1" applyFill="1" applyBorder="1" applyAlignment="1">
      <alignment vertical="center" wrapText="1"/>
    </xf>
    <xf numFmtId="0" fontId="51" fillId="3" borderId="22" xfId="57" applyFont="1" applyFill="1" applyBorder="1" applyAlignment="1">
      <alignment horizontal="left" vertical="center" wrapText="1"/>
    </xf>
    <xf numFmtId="0" fontId="51" fillId="3" borderId="23" xfId="57" applyFont="1" applyFill="1" applyBorder="1" applyAlignment="1">
      <alignment horizontal="center" vertical="center" wrapText="1"/>
    </xf>
    <xf numFmtId="173" fontId="51" fillId="3" borderId="23" xfId="58" applyFont="1" applyFill="1" applyBorder="1" applyAlignment="1">
      <alignment horizontal="left" vertical="center" wrapText="1"/>
    </xf>
    <xf numFmtId="0" fontId="52" fillId="3" borderId="23" xfId="57" applyFont="1" applyFill="1" applyBorder="1" applyAlignment="1">
      <alignment horizontal="center" vertical="center" wrapText="1"/>
    </xf>
    <xf numFmtId="0" fontId="53" fillId="3" borderId="30" xfId="57" applyFont="1" applyFill="1" applyBorder="1"/>
    <xf numFmtId="14" fontId="51" fillId="3" borderId="22" xfId="57" applyNumberFormat="1" applyFont="1" applyFill="1" applyBorder="1" applyAlignment="1">
      <alignment horizontal="left" vertical="center" wrapText="1"/>
    </xf>
    <xf numFmtId="14" fontId="51" fillId="3" borderId="23" xfId="57" applyNumberFormat="1" applyFont="1" applyFill="1" applyBorder="1" applyAlignment="1">
      <alignment horizontal="center" vertical="center" wrapText="1"/>
    </xf>
    <xf numFmtId="14" fontId="52" fillId="3" borderId="23" xfId="57" applyNumberFormat="1" applyFont="1" applyFill="1" applyBorder="1" applyAlignment="1">
      <alignment horizontal="center" vertical="center" wrapText="1"/>
    </xf>
    <xf numFmtId="0" fontId="55" fillId="3" borderId="32" xfId="57" applyFont="1" applyFill="1" applyBorder="1" applyAlignment="1">
      <alignment vertical="center" wrapText="1"/>
    </xf>
    <xf numFmtId="0" fontId="55" fillId="3" borderId="0" xfId="57" applyFont="1" applyFill="1" applyAlignment="1">
      <alignment vertical="center" wrapText="1"/>
    </xf>
    <xf numFmtId="0" fontId="55" fillId="3" borderId="33" xfId="57" applyFont="1" applyFill="1" applyBorder="1" applyAlignment="1">
      <alignment vertical="center" wrapText="1"/>
    </xf>
    <xf numFmtId="0" fontId="55" fillId="3" borderId="34" xfId="57" applyFont="1" applyFill="1" applyBorder="1" applyAlignment="1">
      <alignment vertical="center" wrapText="1"/>
    </xf>
    <xf numFmtId="0" fontId="55" fillId="3" borderId="35" xfId="57" applyFont="1" applyFill="1" applyBorder="1" applyAlignment="1">
      <alignment vertical="center" wrapText="1"/>
    </xf>
    <xf numFmtId="0" fontId="55" fillId="3" borderId="36" xfId="57" applyFont="1" applyFill="1" applyBorder="1" applyAlignment="1">
      <alignment vertical="center" wrapText="1"/>
    </xf>
    <xf numFmtId="0" fontId="53" fillId="0" borderId="0" xfId="57" applyFont="1"/>
    <xf numFmtId="0" fontId="53" fillId="0" borderId="0" xfId="57" applyFont="1" applyAlignment="1">
      <alignment horizontal="center"/>
    </xf>
    <xf numFmtId="173" fontId="53" fillId="0" borderId="0" xfId="58" applyFont="1" applyAlignment="1">
      <alignment horizontal="center"/>
    </xf>
    <xf numFmtId="0" fontId="59" fillId="0" borderId="0" xfId="57" applyFont="1" applyAlignment="1">
      <alignment horizontal="center"/>
    </xf>
    <xf numFmtId="0" fontId="50" fillId="10" borderId="25" xfId="59" applyFont="1" applyFill="1" applyBorder="1" applyAlignment="1">
      <alignment vertical="center" wrapText="1"/>
    </xf>
    <xf numFmtId="0" fontId="51" fillId="3" borderId="26" xfId="59" applyFont="1" applyFill="1" applyBorder="1" applyAlignment="1">
      <alignment horizontal="left" vertical="center" wrapText="1"/>
    </xf>
    <xf numFmtId="0" fontId="51" fillId="3" borderId="27" xfId="59" applyFont="1" applyFill="1" applyBorder="1" applyAlignment="1">
      <alignment horizontal="center" vertical="center" wrapText="1"/>
    </xf>
    <xf numFmtId="164" fontId="51" fillId="3" borderId="27" xfId="60" applyFont="1" applyFill="1" applyBorder="1" applyAlignment="1">
      <alignment horizontal="left" vertical="center" wrapText="1"/>
    </xf>
    <xf numFmtId="0" fontId="53" fillId="3" borderId="28" xfId="59" applyFont="1" applyFill="1" applyBorder="1"/>
    <xf numFmtId="0" fontId="3" fillId="0" borderId="0" xfId="59"/>
    <xf numFmtId="0" fontId="50" fillId="10" borderId="29" xfId="59" applyFont="1" applyFill="1" applyBorder="1" applyAlignment="1">
      <alignment vertical="center" wrapText="1"/>
    </xf>
    <xf numFmtId="0" fontId="51" fillId="3" borderId="22" xfId="59" applyFont="1" applyFill="1" applyBorder="1" applyAlignment="1">
      <alignment horizontal="left" vertical="center" wrapText="1"/>
    </xf>
    <xf numFmtId="0" fontId="51" fillId="3" borderId="23" xfId="59" applyFont="1" applyFill="1" applyBorder="1" applyAlignment="1">
      <alignment horizontal="center" vertical="center" wrapText="1"/>
    </xf>
    <xf numFmtId="164" fontId="51" fillId="3" borderId="23" xfId="60" applyFont="1" applyFill="1" applyBorder="1" applyAlignment="1">
      <alignment horizontal="left" vertical="center" wrapText="1"/>
    </xf>
    <xf numFmtId="0" fontId="53" fillId="3" borderId="30" xfId="59" applyFont="1" applyFill="1" applyBorder="1"/>
    <xf numFmtId="0" fontId="60" fillId="3" borderId="32" xfId="59" applyFont="1" applyFill="1" applyBorder="1" applyAlignment="1">
      <alignment vertical="center" wrapText="1"/>
    </xf>
    <xf numFmtId="0" fontId="60" fillId="3" borderId="0" xfId="59" applyFont="1" applyFill="1" applyAlignment="1">
      <alignment horizontal="center" vertical="center" wrapText="1"/>
    </xf>
    <xf numFmtId="164" fontId="60" fillId="3" borderId="0" xfId="60" applyFont="1" applyFill="1" applyBorder="1" applyAlignment="1">
      <alignment horizontal="center" vertical="center" wrapText="1"/>
    </xf>
    <xf numFmtId="0" fontId="53" fillId="3" borderId="33" xfId="59" applyFont="1" applyFill="1" applyBorder="1"/>
    <xf numFmtId="0" fontId="51" fillId="3" borderId="32" xfId="59" applyFont="1" applyFill="1" applyBorder="1" applyAlignment="1">
      <alignment horizontal="left" vertical="center" wrapText="1"/>
    </xf>
    <xf numFmtId="0" fontId="51" fillId="3" borderId="0" xfId="59" applyFont="1" applyFill="1" applyAlignment="1">
      <alignment horizontal="left" vertical="center" wrapText="1"/>
    </xf>
    <xf numFmtId="0" fontId="51" fillId="3" borderId="0" xfId="59" applyFont="1" applyFill="1" applyAlignment="1">
      <alignment horizontal="center" vertical="center" wrapText="1"/>
    </xf>
    <xf numFmtId="164" fontId="51" fillId="3" borderId="0" xfId="60" applyFont="1" applyFill="1" applyBorder="1" applyAlignment="1">
      <alignment horizontal="left" vertical="center" wrapText="1"/>
    </xf>
    <xf numFmtId="0" fontId="61" fillId="3" borderId="33" xfId="59" applyFont="1" applyFill="1" applyBorder="1"/>
    <xf numFmtId="0" fontId="52" fillId="3" borderId="32" xfId="59" applyFont="1" applyFill="1" applyBorder="1"/>
    <xf numFmtId="0" fontId="62" fillId="13" borderId="25" xfId="59" applyFont="1" applyFill="1" applyBorder="1" applyAlignment="1">
      <alignment horizontal="center" vertical="center"/>
    </xf>
    <xf numFmtId="0" fontId="62" fillId="13" borderId="37" xfId="59" applyFont="1" applyFill="1" applyBorder="1" applyAlignment="1">
      <alignment horizontal="center" vertical="center" wrapText="1"/>
    </xf>
    <xf numFmtId="164" fontId="62" fillId="13" borderId="38" xfId="60" applyFont="1" applyFill="1" applyBorder="1" applyAlignment="1">
      <alignment horizontal="center" vertical="center" wrapText="1"/>
    </xf>
    <xf numFmtId="0" fontId="52" fillId="3" borderId="39" xfId="59" applyFont="1" applyFill="1" applyBorder="1" applyAlignment="1">
      <alignment vertical="center" wrapText="1"/>
    </xf>
    <xf numFmtId="164" fontId="52" fillId="3" borderId="40" xfId="60" applyFont="1" applyFill="1" applyBorder="1" applyAlignment="1">
      <alignment horizontal="center" vertical="center" wrapText="1"/>
    </xf>
    <xf numFmtId="164" fontId="52" fillId="3" borderId="41" xfId="60" applyFont="1" applyFill="1" applyBorder="1" applyAlignment="1">
      <alignment vertical="center" wrapText="1"/>
    </xf>
    <xf numFmtId="0" fontId="52" fillId="3" borderId="42" xfId="59" applyFont="1" applyFill="1" applyBorder="1" applyAlignment="1">
      <alignment vertical="center" wrapText="1"/>
    </xf>
    <xf numFmtId="164" fontId="52" fillId="3" borderId="43" xfId="60" applyFont="1" applyFill="1" applyBorder="1" applyAlignment="1">
      <alignment horizontal="center" vertical="center" wrapText="1"/>
    </xf>
    <xf numFmtId="164" fontId="52" fillId="3" borderId="44" xfId="60" applyFont="1" applyFill="1" applyBorder="1" applyAlignment="1">
      <alignment vertical="center" wrapText="1"/>
    </xf>
    <xf numFmtId="0" fontId="52" fillId="3" borderId="45" xfId="59" applyFont="1" applyFill="1" applyBorder="1" applyAlignment="1">
      <alignment vertical="center" wrapText="1"/>
    </xf>
    <xf numFmtId="164" fontId="52" fillId="3" borderId="46" xfId="60" applyFont="1" applyFill="1" applyBorder="1" applyAlignment="1">
      <alignment horizontal="center" vertical="center" wrapText="1"/>
    </xf>
    <xf numFmtId="164" fontId="52" fillId="3" borderId="47" xfId="60" applyFont="1" applyFill="1" applyBorder="1" applyAlignment="1">
      <alignment vertical="center" wrapText="1"/>
    </xf>
    <xf numFmtId="0" fontId="61" fillId="3" borderId="34" xfId="59" applyFont="1" applyFill="1" applyBorder="1"/>
    <xf numFmtId="0" fontId="61" fillId="3" borderId="35" xfId="59" applyFont="1" applyFill="1" applyBorder="1" applyAlignment="1">
      <alignment horizontal="center"/>
    </xf>
    <xf numFmtId="164" fontId="61" fillId="3" borderId="35" xfId="60" applyFont="1" applyFill="1" applyBorder="1" applyAlignment="1">
      <alignment horizontal="center"/>
    </xf>
    <xf numFmtId="0" fontId="61" fillId="3" borderId="36" xfId="59" applyFont="1" applyFill="1" applyBorder="1"/>
    <xf numFmtId="0" fontId="53" fillId="0" borderId="0" xfId="59" applyFont="1"/>
    <xf numFmtId="0" fontId="53" fillId="0" borderId="0" xfId="59" applyFont="1" applyAlignment="1">
      <alignment horizontal="center"/>
    </xf>
    <xf numFmtId="164" fontId="53" fillId="0" borderId="0" xfId="60" applyFont="1" applyAlignment="1">
      <alignment horizontal="center"/>
    </xf>
    <xf numFmtId="0" fontId="14" fillId="14" borderId="0" xfId="0" applyFont="1" applyFill="1" applyAlignment="1">
      <alignment horizontal="center" vertical="center" wrapText="1"/>
    </xf>
    <xf numFmtId="174" fontId="14" fillId="14" borderId="0" xfId="0" applyNumberFormat="1" applyFont="1" applyFill="1" applyAlignment="1">
      <alignment horizontal="left" vertical="center"/>
    </xf>
    <xf numFmtId="0" fontId="14" fillId="14" borderId="0" xfId="0" applyFont="1" applyFill="1" applyAlignment="1">
      <alignment horizontal="left" vertical="center"/>
    </xf>
    <xf numFmtId="175" fontId="14" fillId="14" borderId="0" xfId="0" applyNumberFormat="1" applyFont="1" applyFill="1" applyAlignment="1">
      <alignment horizontal="left" vertical="center"/>
    </xf>
    <xf numFmtId="4" fontId="14" fillId="14" borderId="0" xfId="0" applyNumberFormat="1" applyFont="1" applyFill="1" applyAlignment="1">
      <alignment horizontal="center" vertical="center" wrapText="1"/>
    </xf>
    <xf numFmtId="168" fontId="14" fillId="14" borderId="0" xfId="0" applyNumberFormat="1" applyFont="1" applyFill="1" applyAlignment="1">
      <alignment horizontal="center" vertical="center" wrapText="1"/>
    </xf>
    <xf numFmtId="169" fontId="14" fillId="14" borderId="0" xfId="0" applyNumberFormat="1" applyFont="1" applyFill="1" applyAlignment="1">
      <alignment horizontal="center" vertical="center" wrapText="1"/>
    </xf>
    <xf numFmtId="169" fontId="14" fillId="14" borderId="19" xfId="0" applyNumberFormat="1" applyFont="1" applyFill="1" applyBorder="1" applyAlignment="1">
      <alignment horizontal="center" vertical="center" wrapText="1"/>
    </xf>
    <xf numFmtId="4" fontId="14" fillId="14" borderId="15" xfId="0" applyNumberFormat="1" applyFont="1" applyFill="1" applyBorder="1" applyAlignment="1">
      <alignment horizontal="center" vertical="center" wrapText="1"/>
    </xf>
    <xf numFmtId="169" fontId="14" fillId="8" borderId="48" xfId="0" applyNumberFormat="1" applyFont="1" applyFill="1" applyBorder="1" applyAlignment="1">
      <alignment horizontal="center" vertical="center" wrapText="1"/>
    </xf>
    <xf numFmtId="14" fontId="30" fillId="0" borderId="0" xfId="0" applyNumberFormat="1" applyFont="1" applyAlignment="1">
      <alignment horizontal="left" vertical="center"/>
    </xf>
    <xf numFmtId="4" fontId="30" fillId="0" borderId="0" xfId="0" applyNumberFormat="1" applyFont="1" applyAlignment="1">
      <alignment vertical="center"/>
    </xf>
    <xf numFmtId="169" fontId="30" fillId="0" borderId="0" xfId="0" applyNumberFormat="1" applyFont="1" applyAlignment="1">
      <alignment horizontal="left" vertical="center"/>
    </xf>
    <xf numFmtId="169" fontId="30" fillId="0" borderId="0" xfId="0" applyNumberFormat="1" applyFont="1" applyAlignment="1">
      <alignment vertical="center"/>
    </xf>
    <xf numFmtId="4" fontId="32" fillId="0" borderId="0" xfId="0" applyNumberFormat="1" applyFont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30" fillId="0" borderId="3" xfId="0" applyFont="1" applyBorder="1" applyAlignment="1">
      <alignment horizontal="left" vertical="center"/>
    </xf>
    <xf numFmtId="0" fontId="14" fillId="8" borderId="23" xfId="0" applyFont="1" applyFill="1" applyBorder="1" applyAlignment="1">
      <alignment vertical="center"/>
    </xf>
    <xf numFmtId="0" fontId="0" fillId="8" borderId="23" xfId="0" applyFill="1" applyBorder="1"/>
    <xf numFmtId="0" fontId="11" fillId="8" borderId="23" xfId="0" applyFont="1" applyFill="1" applyBorder="1"/>
    <xf numFmtId="0" fontId="14" fillId="14" borderId="53" xfId="0" applyFont="1" applyFill="1" applyBorder="1" applyAlignment="1">
      <alignment horizontal="center" vertical="center" wrapText="1"/>
    </xf>
    <xf numFmtId="0" fontId="0" fillId="0" borderId="4" xfId="0" applyBorder="1"/>
    <xf numFmtId="0" fontId="11" fillId="0" borderId="4" xfId="0" applyFont="1" applyBorder="1"/>
    <xf numFmtId="0" fontId="14" fillId="8" borderId="52" xfId="0" applyFont="1" applyFill="1" applyBorder="1" applyAlignment="1">
      <alignment horizontal="center" vertical="center" wrapText="1"/>
    </xf>
    <xf numFmtId="0" fontId="14" fillId="8" borderId="51" xfId="0" applyFont="1" applyFill="1" applyBorder="1" applyAlignment="1">
      <alignment horizontal="center" vertical="center" wrapText="1"/>
    </xf>
    <xf numFmtId="0" fontId="14" fillId="8" borderId="50" xfId="0" applyFont="1" applyFill="1" applyBorder="1" applyAlignment="1">
      <alignment horizontal="center" vertical="center" wrapText="1"/>
    </xf>
    <xf numFmtId="4" fontId="14" fillId="8" borderId="50" xfId="0" applyNumberFormat="1" applyFont="1" applyFill="1" applyBorder="1" applyAlignment="1">
      <alignment horizontal="center" vertical="center" wrapText="1"/>
    </xf>
    <xf numFmtId="168" fontId="14" fillId="8" borderId="50" xfId="0" applyNumberFormat="1" applyFont="1" applyFill="1" applyBorder="1" applyAlignment="1">
      <alignment horizontal="center" vertical="center" wrapText="1"/>
    </xf>
    <xf numFmtId="169" fontId="14" fillId="8" borderId="50" xfId="0" applyNumberFormat="1" applyFont="1" applyFill="1" applyBorder="1" applyAlignment="1">
      <alignment horizontal="center" vertical="center" wrapText="1"/>
    </xf>
    <xf numFmtId="169" fontId="14" fillId="8" borderId="51" xfId="0" applyNumberFormat="1" applyFont="1" applyFill="1" applyBorder="1" applyAlignment="1">
      <alignment horizontal="center" vertical="center" wrapText="1"/>
    </xf>
    <xf numFmtId="0" fontId="11" fillId="0" borderId="1" xfId="0" applyFont="1" applyBorder="1"/>
    <xf numFmtId="49" fontId="30" fillId="0" borderId="3" xfId="0" applyNumberFormat="1" applyFont="1" applyBorder="1" applyAlignment="1">
      <alignment horizontal="left" vertical="center"/>
    </xf>
    <xf numFmtId="0" fontId="30" fillId="0" borderId="3" xfId="0" applyFont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0" fontId="25" fillId="8" borderId="6" xfId="33" applyFont="1" applyFill="1" applyBorder="1" applyAlignment="1">
      <alignment horizontal="center"/>
    </xf>
    <xf numFmtId="0" fontId="23" fillId="8" borderId="16" xfId="34" applyFont="1" applyFill="1" applyBorder="1" applyAlignment="1">
      <alignment horizontal="center" vertical="center"/>
    </xf>
    <xf numFmtId="0" fontId="23" fillId="8" borderId="14" xfId="34" applyFont="1" applyFill="1" applyBorder="1" applyAlignment="1">
      <alignment horizontal="center" vertical="center"/>
    </xf>
    <xf numFmtId="0" fontId="23" fillId="8" borderId="14" xfId="34" applyFont="1" applyFill="1" applyBorder="1" applyAlignment="1">
      <alignment horizontal="center" vertical="center" wrapText="1"/>
    </xf>
    <xf numFmtId="0" fontId="23" fillId="8" borderId="13" xfId="34" applyFont="1" applyFill="1" applyBorder="1" applyAlignment="1">
      <alignment horizontal="center" vertical="center" wrapText="1"/>
    </xf>
    <xf numFmtId="4" fontId="23" fillId="8" borderId="14" xfId="34" applyNumberFormat="1" applyFont="1" applyFill="1" applyBorder="1" applyAlignment="1">
      <alignment horizontal="center" vertical="center" wrapText="1"/>
    </xf>
    <xf numFmtId="167" fontId="23" fillId="8" borderId="14" xfId="34" applyNumberFormat="1" applyFont="1" applyFill="1" applyBorder="1" applyAlignment="1">
      <alignment horizontal="center" vertical="center" wrapText="1"/>
    </xf>
    <xf numFmtId="0" fontId="43" fillId="8" borderId="8" xfId="33" applyFont="1" applyFill="1" applyBorder="1" applyAlignment="1">
      <alignment vertical="center"/>
    </xf>
    <xf numFmtId="167" fontId="23" fillId="8" borderId="8" xfId="26" applyFont="1" applyFill="1" applyBorder="1" applyAlignment="1">
      <alignment vertical="center"/>
    </xf>
    <xf numFmtId="167" fontId="43" fillId="8" borderId="7" xfId="33" applyNumberFormat="1" applyFont="1" applyFill="1" applyBorder="1"/>
    <xf numFmtId="0" fontId="11" fillId="0" borderId="0" xfId="0" applyFont="1" applyAlignment="1">
      <alignment wrapText="1"/>
    </xf>
    <xf numFmtId="169" fontId="49" fillId="8" borderId="49" xfId="0" applyNumberFormat="1" applyFont="1" applyFill="1" applyBorder="1" applyAlignment="1">
      <alignment horizontal="center" vertical="center"/>
    </xf>
    <xf numFmtId="0" fontId="64" fillId="0" borderId="23" xfId="0" applyFont="1" applyBorder="1" applyAlignment="1">
      <alignment vertical="center"/>
    </xf>
    <xf numFmtId="49" fontId="14" fillId="16" borderId="21" xfId="68" applyNumberFormat="1" applyFont="1" applyFill="1" applyBorder="1" applyAlignment="1">
      <alignment vertical="center"/>
    </xf>
    <xf numFmtId="0" fontId="11" fillId="0" borderId="24" xfId="68" applyFont="1" applyBorder="1" applyAlignment="1">
      <alignment horizontal="left" vertical="center"/>
    </xf>
    <xf numFmtId="4" fontId="11" fillId="0" borderId="24" xfId="68" applyNumberFormat="1" applyFont="1" applyBorder="1" applyAlignment="1">
      <alignment horizontal="left" vertical="center"/>
    </xf>
    <xf numFmtId="0" fontId="14" fillId="8" borderId="54" xfId="0" applyFont="1" applyFill="1" applyBorder="1" applyAlignment="1">
      <alignment horizontal="center" vertical="center" wrapText="1"/>
    </xf>
    <xf numFmtId="0" fontId="49" fillId="6" borderId="22" xfId="0" applyFont="1" applyFill="1" applyBorder="1" applyAlignment="1">
      <alignment horizontal="center" vertical="center" wrapText="1"/>
    </xf>
    <xf numFmtId="0" fontId="49" fillId="6" borderId="23" xfId="0" applyFont="1" applyFill="1" applyBorder="1" applyAlignment="1">
      <alignment horizontal="left" vertical="center"/>
    </xf>
    <xf numFmtId="0" fontId="49" fillId="6" borderId="23" xfId="0" applyFont="1" applyFill="1" applyBorder="1" applyAlignment="1">
      <alignment horizontal="center" vertical="center" wrapText="1"/>
    </xf>
    <xf numFmtId="0" fontId="49" fillId="6" borderId="24" xfId="0" applyFont="1" applyFill="1" applyBorder="1" applyAlignment="1">
      <alignment horizontal="center" vertical="center" wrapText="1"/>
    </xf>
    <xf numFmtId="4" fontId="33" fillId="5" borderId="8" xfId="33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64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169" fontId="49" fillId="14" borderId="0" xfId="0" applyNumberFormat="1" applyFont="1" applyFill="1" applyAlignment="1">
      <alignment horizontal="center"/>
    </xf>
    <xf numFmtId="0" fontId="11" fillId="0" borderId="0" xfId="0" quotePrefix="1" applyFont="1" applyAlignment="1">
      <alignment horizontal="left" vertical="center"/>
    </xf>
    <xf numFmtId="3" fontId="11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center" vertical="center"/>
    </xf>
    <xf numFmtId="174" fontId="11" fillId="0" borderId="0" xfId="0" applyNumberFormat="1" applyFont="1" applyAlignment="1">
      <alignment horizontal="left" vertical="center"/>
    </xf>
    <xf numFmtId="175" fontId="11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 wrapText="1"/>
    </xf>
    <xf numFmtId="169" fontId="15" fillId="0" borderId="0" xfId="0" applyNumberFormat="1" applyFont="1" applyAlignment="1">
      <alignment horizontal="left"/>
    </xf>
    <xf numFmtId="10" fontId="11" fillId="0" borderId="0" xfId="6" applyNumberFormat="1" applyFont="1" applyFill="1" applyBorder="1" applyAlignment="1">
      <alignment vertical="center"/>
    </xf>
    <xf numFmtId="4" fontId="15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1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65" fillId="3" borderId="55" xfId="0" applyFont="1" applyFill="1" applyBorder="1" applyAlignment="1">
      <alignment horizontal="left"/>
    </xf>
    <xf numFmtId="0" fontId="65" fillId="3" borderId="55" xfId="0" applyFont="1" applyFill="1" applyBorder="1" applyAlignment="1">
      <alignment horizontal="center"/>
    </xf>
    <xf numFmtId="0" fontId="65" fillId="17" borderId="56" xfId="0" applyFont="1" applyFill="1" applyBorder="1" applyAlignment="1">
      <alignment horizontal="center"/>
    </xf>
    <xf numFmtId="0" fontId="67" fillId="6" borderId="55" xfId="0" applyFont="1" applyFill="1" applyBorder="1" applyAlignment="1">
      <alignment horizontal="center"/>
    </xf>
    <xf numFmtId="0" fontId="14" fillId="6" borderId="0" xfId="0" applyFont="1" applyFill="1"/>
    <xf numFmtId="0" fontId="13" fillId="6" borderId="11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68" fillId="6" borderId="23" xfId="0" applyFont="1" applyFill="1" applyBorder="1" applyAlignment="1">
      <alignment horizontal="center" vertical="center" wrapText="1"/>
    </xf>
    <xf numFmtId="0" fontId="0" fillId="9" borderId="58" xfId="0" applyFill="1" applyBorder="1" applyAlignment="1">
      <alignment vertical="center"/>
    </xf>
    <xf numFmtId="0" fontId="13" fillId="6" borderId="59" xfId="0" applyFont="1" applyFill="1" applyBorder="1" applyAlignment="1">
      <alignment horizontal="center" vertical="center"/>
    </xf>
    <xf numFmtId="0" fontId="11" fillId="9" borderId="57" xfId="0" applyFont="1" applyFill="1" applyBorder="1"/>
    <xf numFmtId="0" fontId="11" fillId="9" borderId="58" xfId="0" applyFont="1" applyFill="1" applyBorder="1"/>
    <xf numFmtId="0" fontId="49" fillId="6" borderId="48" xfId="0" applyFont="1" applyFill="1" applyBorder="1" applyAlignment="1">
      <alignment horizontal="center" vertical="center" wrapText="1"/>
    </xf>
    <xf numFmtId="0" fontId="65" fillId="3" borderId="60" xfId="0" applyFont="1" applyFill="1" applyBorder="1" applyAlignment="1">
      <alignment horizontal="left"/>
    </xf>
    <xf numFmtId="0" fontId="65" fillId="3" borderId="60" xfId="0" applyFont="1" applyFill="1" applyBorder="1" applyAlignment="1">
      <alignment horizontal="center"/>
    </xf>
    <xf numFmtId="0" fontId="0" fillId="9" borderId="61" xfId="0" applyFill="1" applyBorder="1" applyAlignment="1">
      <alignment horizontal="right" vertical="center"/>
    </xf>
    <xf numFmtId="0" fontId="0" fillId="9" borderId="62" xfId="0" applyFill="1" applyBorder="1" applyAlignment="1">
      <alignment vertical="center"/>
    </xf>
    <xf numFmtId="0" fontId="0" fillId="9" borderId="62" xfId="0" applyFill="1" applyBorder="1" applyAlignment="1">
      <alignment horizontal="center" vertical="center"/>
    </xf>
    <xf numFmtId="4" fontId="13" fillId="9" borderId="62" xfId="0" applyNumberFormat="1" applyFont="1" applyFill="1" applyBorder="1" applyAlignment="1">
      <alignment horizontal="center" vertical="center"/>
    </xf>
    <xf numFmtId="167" fontId="17" fillId="9" borderId="62" xfId="0" applyNumberFormat="1" applyFont="1" applyFill="1" applyBorder="1" applyAlignment="1">
      <alignment horizontal="center" vertical="center"/>
    </xf>
    <xf numFmtId="167" fontId="13" fillId="9" borderId="62" xfId="0" applyNumberFormat="1" applyFont="1" applyFill="1" applyBorder="1" applyAlignment="1">
      <alignment horizontal="center" vertical="center"/>
    </xf>
    <xf numFmtId="167" fontId="14" fillId="9" borderId="62" xfId="51" applyFont="1" applyFill="1" applyBorder="1"/>
    <xf numFmtId="167" fontId="13" fillId="15" borderId="63" xfId="0" applyNumberFormat="1" applyFont="1" applyFill="1" applyBorder="1" applyAlignment="1">
      <alignment horizontal="center" vertical="center"/>
    </xf>
    <xf numFmtId="0" fontId="13" fillId="6" borderId="60" xfId="0" applyFont="1" applyFill="1" applyBorder="1" applyAlignment="1">
      <alignment horizontal="left" vertical="center"/>
    </xf>
    <xf numFmtId="0" fontId="13" fillId="6" borderId="60" xfId="0" applyFont="1" applyFill="1" applyBorder="1" applyAlignment="1">
      <alignment horizontal="center" vertical="center"/>
    </xf>
    <xf numFmtId="167" fontId="13" fillId="6" borderId="60" xfId="0" applyNumberFormat="1" applyFont="1" applyFill="1" applyBorder="1" applyAlignment="1">
      <alignment horizontal="center" vertical="center"/>
    </xf>
    <xf numFmtId="9" fontId="13" fillId="6" borderId="60" xfId="6" applyFont="1" applyFill="1" applyBorder="1" applyAlignment="1">
      <alignment horizontal="center" vertical="center"/>
    </xf>
    <xf numFmtId="3" fontId="66" fillId="7" borderId="60" xfId="0" applyNumberFormat="1" applyFont="1" applyFill="1" applyBorder="1" applyAlignment="1">
      <alignment horizontal="right" vertical="center"/>
    </xf>
    <xf numFmtId="0" fontId="66" fillId="7" borderId="60" xfId="0" applyFont="1" applyFill="1" applyBorder="1" applyAlignment="1">
      <alignment horizontal="center" vertical="center"/>
    </xf>
    <xf numFmtId="4" fontId="31" fillId="7" borderId="60" xfId="0" applyNumberFormat="1" applyFont="1" applyFill="1" applyBorder="1" applyAlignment="1">
      <alignment horizontal="center" vertical="center"/>
    </xf>
    <xf numFmtId="167" fontId="66" fillId="7" borderId="60" xfId="0" applyNumberFormat="1" applyFont="1" applyFill="1" applyBorder="1" applyAlignment="1">
      <alignment horizontal="center" vertical="center"/>
    </xf>
    <xf numFmtId="167" fontId="0" fillId="7" borderId="60" xfId="0" applyNumberFormat="1" applyFill="1" applyBorder="1" applyAlignment="1">
      <alignment vertical="center"/>
    </xf>
    <xf numFmtId="9" fontId="13" fillId="7" borderId="60" xfId="6" applyFont="1" applyFill="1" applyBorder="1" applyAlignment="1">
      <alignment horizontal="center" vertical="center"/>
    </xf>
    <xf numFmtId="3" fontId="12" fillId="7" borderId="60" xfId="0" applyNumberFormat="1" applyFont="1" applyFill="1" applyBorder="1" applyAlignment="1">
      <alignment horizontal="right" vertical="center"/>
    </xf>
    <xf numFmtId="0" fontId="12" fillId="7" borderId="60" xfId="0" applyFont="1" applyFill="1" applyBorder="1" applyAlignment="1">
      <alignment vertical="center"/>
    </xf>
    <xf numFmtId="0" fontId="12" fillId="7" borderId="60" xfId="0" applyFont="1" applyFill="1" applyBorder="1" applyAlignment="1">
      <alignment horizontal="center" vertical="center"/>
    </xf>
    <xf numFmtId="4" fontId="12" fillId="7" borderId="60" xfId="0" applyNumberFormat="1" applyFont="1" applyFill="1" applyBorder="1" applyAlignment="1">
      <alignment vertical="center"/>
    </xf>
    <xf numFmtId="167" fontId="12" fillId="7" borderId="60" xfId="0" applyNumberFormat="1" applyFont="1" applyFill="1" applyBorder="1" applyAlignment="1">
      <alignment vertical="center"/>
    </xf>
    <xf numFmtId="9" fontId="12" fillId="7" borderId="60" xfId="6" applyFont="1" applyFill="1" applyBorder="1" applyAlignment="1">
      <alignment vertical="center"/>
    </xf>
    <xf numFmtId="0" fontId="0" fillId="9" borderId="62" xfId="0" applyFill="1" applyBorder="1" applyAlignment="1">
      <alignment horizontal="right" vertical="center"/>
    </xf>
    <xf numFmtId="0" fontId="67" fillId="18" borderId="64" xfId="0" applyFont="1" applyFill="1" applyBorder="1" applyAlignment="1">
      <alignment horizontal="center"/>
    </xf>
    <xf numFmtId="0" fontId="30" fillId="0" borderId="22" xfId="0" applyFont="1" applyBorder="1" applyAlignment="1">
      <alignment vertical="center"/>
    </xf>
    <xf numFmtId="164" fontId="67" fillId="18" borderId="64" xfId="73" applyFont="1" applyFill="1" applyBorder="1" applyAlignment="1">
      <alignment horizontal="center"/>
    </xf>
    <xf numFmtId="164" fontId="65" fillId="3" borderId="60" xfId="73" applyFont="1" applyFill="1" applyBorder="1" applyAlignment="1">
      <alignment horizontal="right"/>
    </xf>
    <xf numFmtId="164" fontId="65" fillId="17" borderId="56" xfId="73" applyFont="1" applyFill="1" applyBorder="1" applyAlignment="1">
      <alignment horizontal="center"/>
    </xf>
    <xf numFmtId="164" fontId="0" fillId="0" borderId="0" xfId="73" applyFont="1"/>
    <xf numFmtId="176" fontId="11" fillId="0" borderId="0" xfId="0" applyNumberFormat="1" applyFont="1"/>
    <xf numFmtId="164" fontId="65" fillId="19" borderId="60" xfId="73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20" borderId="21" xfId="0" applyFill="1" applyBorder="1"/>
    <xf numFmtId="10" fontId="0" fillId="20" borderId="21" xfId="6" applyNumberFormat="1" applyFont="1" applyFill="1" applyBorder="1"/>
    <xf numFmtId="10" fontId="0" fillId="20" borderId="21" xfId="0" applyNumberFormat="1" applyFill="1" applyBorder="1"/>
    <xf numFmtId="164" fontId="0" fillId="20" borderId="21" xfId="0" applyNumberFormat="1" applyFill="1" applyBorder="1"/>
    <xf numFmtId="0" fontId="0" fillId="0" borderId="21" xfId="0" applyBorder="1"/>
    <xf numFmtId="164" fontId="0" fillId="0" borderId="21" xfId="73" applyFont="1" applyBorder="1"/>
    <xf numFmtId="164" fontId="11" fillId="0" borderId="66" xfId="73" applyFont="1" applyBorder="1"/>
    <xf numFmtId="10" fontId="11" fillId="0" borderId="66" xfId="0" applyNumberFormat="1" applyFont="1" applyBorder="1"/>
    <xf numFmtId="164" fontId="11" fillId="0" borderId="66" xfId="0" applyNumberFormat="1" applyFont="1" applyBorder="1"/>
    <xf numFmtId="164" fontId="0" fillId="0" borderId="67" xfId="0" applyNumberFormat="1" applyBorder="1"/>
    <xf numFmtId="164" fontId="11" fillId="0" borderId="69" xfId="73" applyFont="1" applyBorder="1"/>
    <xf numFmtId="10" fontId="11" fillId="0" borderId="69" xfId="0" applyNumberFormat="1" applyFont="1" applyBorder="1"/>
    <xf numFmtId="164" fontId="11" fillId="0" borderId="69" xfId="0" applyNumberFormat="1" applyFont="1" applyBorder="1"/>
    <xf numFmtId="164" fontId="0" fillId="0" borderId="70" xfId="0" applyNumberFormat="1" applyBorder="1"/>
    <xf numFmtId="164" fontId="11" fillId="0" borderId="72" xfId="73" applyFont="1" applyBorder="1"/>
    <xf numFmtId="10" fontId="11" fillId="0" borderId="72" xfId="0" applyNumberFormat="1" applyFont="1" applyBorder="1"/>
    <xf numFmtId="164" fontId="11" fillId="0" borderId="72" xfId="0" applyNumberFormat="1" applyFont="1" applyBorder="1"/>
    <xf numFmtId="164" fontId="0" fillId="0" borderId="73" xfId="0" applyNumberFormat="1" applyBorder="1"/>
    <xf numFmtId="164" fontId="65" fillId="3" borderId="60" xfId="73" applyFont="1" applyFill="1" applyBorder="1" applyAlignment="1">
      <alignment horizontal="left"/>
    </xf>
    <xf numFmtId="177" fontId="63" fillId="0" borderId="0" xfId="0" applyNumberFormat="1" applyFont="1" applyAlignment="1">
      <alignment vertical="center"/>
    </xf>
    <xf numFmtId="177" fontId="64" fillId="0" borderId="0" xfId="0" applyNumberFormat="1" applyFont="1" applyAlignment="1">
      <alignment horizontal="center" vertical="center"/>
    </xf>
    <xf numFmtId="177" fontId="30" fillId="0" borderId="23" xfId="0" applyNumberFormat="1" applyFont="1" applyBorder="1" applyAlignment="1">
      <alignment vertical="center"/>
    </xf>
    <xf numFmtId="177" fontId="30" fillId="0" borderId="0" xfId="0" applyNumberFormat="1" applyFont="1" applyAlignment="1">
      <alignment vertical="center"/>
    </xf>
    <xf numFmtId="177" fontId="14" fillId="8" borderId="50" xfId="0" applyNumberFormat="1" applyFont="1" applyFill="1" applyBorder="1" applyAlignment="1">
      <alignment horizontal="center" vertical="center" wrapText="1"/>
    </xf>
    <xf numFmtId="177" fontId="14" fillId="14" borderId="0" xfId="0" applyNumberFormat="1" applyFont="1" applyFill="1" applyAlignment="1">
      <alignment horizontal="center" vertical="center" wrapText="1"/>
    </xf>
    <xf numFmtId="177" fontId="11" fillId="0" borderId="0" xfId="0" applyNumberFormat="1" applyFont="1" applyAlignment="1">
      <alignment vertical="center"/>
    </xf>
    <xf numFmtId="0" fontId="11" fillId="0" borderId="65" xfId="0" applyFont="1" applyBorder="1" applyAlignment="1">
      <alignment horizontal="left" indent="2"/>
    </xf>
    <xf numFmtId="0" fontId="11" fillId="0" borderId="68" xfId="0" applyFont="1" applyBorder="1" applyAlignment="1">
      <alignment horizontal="left" indent="2"/>
    </xf>
    <xf numFmtId="0" fontId="11" fillId="0" borderId="71" xfId="0" applyFont="1" applyBorder="1" applyAlignment="1">
      <alignment horizontal="left" indent="2"/>
    </xf>
    <xf numFmtId="178" fontId="11" fillId="0" borderId="0" xfId="0" applyNumberFormat="1" applyFont="1"/>
    <xf numFmtId="0" fontId="65" fillId="0" borderId="60" xfId="0" applyFont="1" applyBorder="1" applyAlignment="1">
      <alignment horizontal="left"/>
    </xf>
    <xf numFmtId="0" fontId="65" fillId="0" borderId="60" xfId="0" applyFont="1" applyBorder="1" applyAlignment="1">
      <alignment horizontal="center"/>
    </xf>
    <xf numFmtId="164" fontId="65" fillId="0" borderId="60" xfId="73" applyFont="1" applyFill="1" applyBorder="1" applyAlignment="1">
      <alignment horizontal="right"/>
    </xf>
    <xf numFmtId="167" fontId="64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179" fontId="11" fillId="0" borderId="0" xfId="0" applyNumberFormat="1" applyFont="1" applyAlignment="1">
      <alignment vertical="center"/>
    </xf>
    <xf numFmtId="0" fontId="70" fillId="0" borderId="0" xfId="74" applyFont="1" applyAlignment="1">
      <alignment vertical="center"/>
    </xf>
    <xf numFmtId="0" fontId="1" fillId="0" borderId="0" xfId="74"/>
    <xf numFmtId="0" fontId="70" fillId="0" borderId="0" xfId="74" applyFont="1" applyAlignment="1">
      <alignment horizontal="center" vertical="center"/>
    </xf>
    <xf numFmtId="180" fontId="70" fillId="0" borderId="0" xfId="74" applyNumberFormat="1" applyFont="1" applyAlignment="1">
      <alignment vertical="center"/>
    </xf>
    <xf numFmtId="0" fontId="1" fillId="0" borderId="0" xfId="74" applyAlignment="1">
      <alignment horizontal="center"/>
    </xf>
    <xf numFmtId="44" fontId="61" fillId="3" borderId="33" xfId="73" applyNumberFormat="1" applyFont="1" applyFill="1" applyBorder="1"/>
    <xf numFmtId="10" fontId="0" fillId="0" borderId="0" xfId="0" applyNumberFormat="1"/>
    <xf numFmtId="4" fontId="11" fillId="0" borderId="0" xfId="0" applyNumberFormat="1" applyFont="1"/>
    <xf numFmtId="0" fontId="11" fillId="0" borderId="0" xfId="0" quotePrefix="1" applyFont="1"/>
    <xf numFmtId="169" fontId="11" fillId="0" borderId="0" xfId="0" applyNumberFormat="1" applyFont="1"/>
    <xf numFmtId="10" fontId="0" fillId="0" borderId="0" xfId="6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3" fontId="11" fillId="0" borderId="0" xfId="0" applyNumberFormat="1" applyFont="1" applyAlignment="1">
      <alignment vertical="center"/>
    </xf>
    <xf numFmtId="164" fontId="69" fillId="0" borderId="0" xfId="73" applyFont="1" applyAlignment="1">
      <alignment horizontal="center" vertical="center"/>
    </xf>
    <xf numFmtId="164" fontId="69" fillId="0" borderId="0" xfId="73" applyFont="1" applyAlignment="1">
      <alignment vertical="center"/>
    </xf>
    <xf numFmtId="164" fontId="69" fillId="0" borderId="0" xfId="73" applyFont="1" applyAlignment="1">
      <alignment horizontal="left" vertical="center"/>
    </xf>
    <xf numFmtId="0" fontId="14" fillId="21" borderId="21" xfId="74" applyFont="1" applyFill="1" applyBorder="1" applyAlignment="1">
      <alignment horizontal="left" vertical="center"/>
    </xf>
    <xf numFmtId="0" fontId="14" fillId="21" borderId="21" xfId="74" applyFont="1" applyFill="1" applyBorder="1" applyAlignment="1">
      <alignment horizontal="center" vertical="center"/>
    </xf>
    <xf numFmtId="0" fontId="30" fillId="22" borderId="74" xfId="74" quotePrefix="1" applyFont="1" applyFill="1" applyBorder="1" applyAlignment="1">
      <alignment horizontal="left" vertical="center"/>
    </xf>
    <xf numFmtId="0" fontId="30" fillId="22" borderId="74" xfId="74" applyFont="1" applyFill="1" applyBorder="1" applyAlignment="1">
      <alignment horizontal="left" vertical="center"/>
    </xf>
    <xf numFmtId="0" fontId="30" fillId="23" borderId="77" xfId="74" quotePrefix="1" applyFont="1" applyFill="1" applyBorder="1" applyAlignment="1">
      <alignment horizontal="left" vertical="center"/>
    </xf>
    <xf numFmtId="0" fontId="30" fillId="23" borderId="77" xfId="74" applyFont="1" applyFill="1" applyBorder="1" applyAlignment="1">
      <alignment horizontal="left" vertical="center"/>
    </xf>
    <xf numFmtId="0" fontId="30" fillId="22" borderId="77" xfId="74" quotePrefix="1" applyFont="1" applyFill="1" applyBorder="1" applyAlignment="1">
      <alignment horizontal="left" vertical="center"/>
    </xf>
    <xf numFmtId="0" fontId="30" fillId="22" borderId="77" xfId="74" applyFont="1" applyFill="1" applyBorder="1" applyAlignment="1">
      <alignment horizontal="left" vertical="center"/>
    </xf>
    <xf numFmtId="181" fontId="14" fillId="21" borderId="21" xfId="74" applyNumberFormat="1" applyFont="1" applyFill="1" applyBorder="1" applyAlignment="1">
      <alignment horizontal="center" vertical="center"/>
    </xf>
    <xf numFmtId="167" fontId="11" fillId="22" borderId="75" xfId="51" applyFont="1" applyFill="1" applyBorder="1" applyAlignment="1">
      <alignment horizontal="left" vertical="center"/>
    </xf>
    <xf numFmtId="10" fontId="30" fillId="22" borderId="75" xfId="74" applyNumberFormat="1" applyFont="1" applyFill="1" applyBorder="1" applyAlignment="1">
      <alignment horizontal="center" vertical="center"/>
    </xf>
    <xf numFmtId="181" fontId="30" fillId="22" borderId="76" xfId="75" applyNumberFormat="1" applyFont="1" applyFill="1" applyBorder="1" applyAlignment="1">
      <alignment horizontal="center" vertical="center"/>
    </xf>
    <xf numFmtId="167" fontId="30" fillId="23" borderId="78" xfId="51" applyFont="1" applyFill="1" applyBorder="1" applyAlignment="1">
      <alignment horizontal="left" vertical="center"/>
    </xf>
    <xf numFmtId="10" fontId="30" fillId="23" borderId="78" xfId="74" applyNumberFormat="1" applyFont="1" applyFill="1" applyBorder="1" applyAlignment="1">
      <alignment horizontal="center" vertical="center"/>
    </xf>
    <xf numFmtId="181" fontId="30" fillId="23" borderId="79" xfId="74" applyNumberFormat="1" applyFont="1" applyFill="1" applyBorder="1" applyAlignment="1">
      <alignment horizontal="center" vertical="center"/>
    </xf>
    <xf numFmtId="167" fontId="30" fillId="22" borderId="78" xfId="51" applyFont="1" applyFill="1" applyBorder="1" applyAlignment="1">
      <alignment horizontal="left" vertical="center"/>
    </xf>
    <xf numFmtId="10" fontId="30" fillId="22" borderId="78" xfId="74" applyNumberFormat="1" applyFont="1" applyFill="1" applyBorder="1" applyAlignment="1">
      <alignment horizontal="center" vertical="center"/>
    </xf>
    <xf numFmtId="181" fontId="30" fillId="22" borderId="79" xfId="74" applyNumberFormat="1" applyFont="1" applyFill="1" applyBorder="1" applyAlignment="1">
      <alignment horizontal="center" vertical="center"/>
    </xf>
    <xf numFmtId="167" fontId="11" fillId="22" borderId="78" xfId="51" applyFont="1" applyFill="1" applyBorder="1" applyAlignment="1">
      <alignment horizontal="left" vertical="center"/>
    </xf>
    <xf numFmtId="0" fontId="30" fillId="22" borderId="80" xfId="74" applyFont="1" applyFill="1" applyBorder="1" applyAlignment="1">
      <alignment horizontal="left" vertical="center"/>
    </xf>
    <xf numFmtId="10" fontId="30" fillId="22" borderId="81" xfId="74" applyNumberFormat="1" applyFont="1" applyFill="1" applyBorder="1" applyAlignment="1">
      <alignment horizontal="center" vertical="center"/>
    </xf>
    <xf numFmtId="181" fontId="30" fillId="22" borderId="82" xfId="74" applyNumberFormat="1" applyFont="1" applyFill="1" applyBorder="1" applyAlignment="1">
      <alignment horizontal="center" vertical="center"/>
    </xf>
    <xf numFmtId="167" fontId="14" fillId="21" borderId="21" xfId="51" applyFont="1" applyFill="1" applyBorder="1" applyAlignment="1">
      <alignment horizontal="left" vertical="center"/>
    </xf>
    <xf numFmtId="9" fontId="14" fillId="21" borderId="21" xfId="74" applyNumberFormat="1" applyFont="1" applyFill="1" applyBorder="1" applyAlignment="1">
      <alignment horizontal="center" vertical="center"/>
    </xf>
    <xf numFmtId="180" fontId="14" fillId="21" borderId="21" xfId="74" applyNumberFormat="1" applyFont="1" applyFill="1" applyBorder="1" applyAlignment="1">
      <alignment horizontal="left" vertical="center"/>
    </xf>
    <xf numFmtId="17" fontId="14" fillId="21" borderId="21" xfId="74" applyNumberFormat="1" applyFont="1" applyFill="1" applyBorder="1" applyAlignment="1">
      <alignment horizontal="center" vertical="center"/>
    </xf>
    <xf numFmtId="180" fontId="14" fillId="21" borderId="21" xfId="74" applyNumberFormat="1" applyFont="1" applyFill="1" applyBorder="1" applyAlignment="1">
      <alignment horizontal="center" vertical="center"/>
    </xf>
    <xf numFmtId="172" fontId="11" fillId="0" borderId="66" xfId="0" applyNumberFormat="1" applyFont="1" applyBorder="1"/>
    <xf numFmtId="169" fontId="0" fillId="0" borderId="0" xfId="0" applyNumberFormat="1"/>
    <xf numFmtId="43" fontId="11" fillId="0" borderId="0" xfId="0" applyNumberFormat="1" applyFont="1"/>
    <xf numFmtId="4" fontId="15" fillId="0" borderId="0" xfId="0" applyNumberFormat="1" applyFont="1" applyAlignment="1">
      <alignment vertical="center"/>
    </xf>
    <xf numFmtId="43" fontId="0" fillId="0" borderId="0" xfId="0" applyNumberFormat="1"/>
    <xf numFmtId="0" fontId="11" fillId="0" borderId="83" xfId="0" applyFont="1" applyBorder="1" applyAlignment="1">
      <alignment horizontal="left" indent="2"/>
    </xf>
    <xf numFmtId="164" fontId="11" fillId="0" borderId="84" xfId="73" applyFont="1" applyBorder="1"/>
    <xf numFmtId="10" fontId="11" fillId="0" borderId="84" xfId="0" applyNumberFormat="1" applyFont="1" applyBorder="1"/>
    <xf numFmtId="164" fontId="11" fillId="0" borderId="84" xfId="0" applyNumberFormat="1" applyFont="1" applyBorder="1"/>
    <xf numFmtId="164" fontId="0" fillId="0" borderId="85" xfId="0" applyNumberFormat="1" applyBorder="1"/>
    <xf numFmtId="182" fontId="11" fillId="0" borderId="84" xfId="73" applyNumberFormat="1" applyFont="1" applyBorder="1"/>
    <xf numFmtId="164" fontId="0" fillId="0" borderId="0" xfId="73" applyFont="1" applyAlignment="1">
      <alignment horizontal="center"/>
    </xf>
    <xf numFmtId="164" fontId="0" fillId="0" borderId="0" xfId="0" applyNumberFormat="1"/>
    <xf numFmtId="0" fontId="15" fillId="25" borderId="21" xfId="74" applyFont="1" applyFill="1" applyBorder="1" applyAlignment="1">
      <alignment horizontal="left" vertical="center"/>
    </xf>
    <xf numFmtId="164" fontId="15" fillId="25" borderId="21" xfId="73" applyFont="1" applyFill="1" applyBorder="1" applyAlignment="1">
      <alignment horizontal="left" vertical="center"/>
    </xf>
    <xf numFmtId="0" fontId="14" fillId="21" borderId="0" xfId="74" applyFont="1" applyFill="1" applyAlignment="1">
      <alignment horizontal="left" vertical="center"/>
    </xf>
    <xf numFmtId="0" fontId="77" fillId="28" borderId="88" xfId="0" applyFont="1" applyFill="1" applyBorder="1" applyAlignment="1">
      <alignment horizontal="left"/>
    </xf>
    <xf numFmtId="167" fontId="79" fillId="28" borderId="91" xfId="76" applyNumberFormat="1" applyFont="1" applyFill="1" applyBorder="1" applyAlignment="1">
      <alignment horizontal="left" vertical="center"/>
    </xf>
    <xf numFmtId="167" fontId="79" fillId="28" borderId="93" xfId="76" applyNumberFormat="1" applyFont="1" applyFill="1" applyBorder="1" applyAlignment="1">
      <alignment horizontal="left" vertical="center"/>
    </xf>
    <xf numFmtId="0" fontId="80" fillId="3" borderId="4" xfId="0" applyFont="1" applyFill="1" applyBorder="1"/>
    <xf numFmtId="0" fontId="80" fillId="3" borderId="0" xfId="0" applyFont="1" applyFill="1"/>
    <xf numFmtId="0" fontId="80" fillId="3" borderId="92" xfId="0" applyFont="1" applyFill="1" applyBorder="1"/>
    <xf numFmtId="14" fontId="75" fillId="27" borderId="5" xfId="77" applyNumberFormat="1" applyFont="1" applyFill="1" applyBorder="1" applyAlignment="1">
      <alignment horizontal="center" vertical="center"/>
    </xf>
    <xf numFmtId="14" fontId="75" fillId="27" borderId="94" xfId="77" applyNumberFormat="1" applyFont="1" applyFill="1" applyBorder="1" applyAlignment="1">
      <alignment horizontal="center" vertical="center"/>
    </xf>
    <xf numFmtId="0" fontId="76" fillId="28" borderId="4" xfId="0" applyFont="1" applyFill="1" applyBorder="1" applyAlignment="1" applyProtection="1">
      <alignment horizontal="right" vertical="center"/>
      <protection hidden="1"/>
    </xf>
    <xf numFmtId="0" fontId="76" fillId="28" borderId="0" xfId="0" applyFont="1" applyFill="1" applyAlignment="1" applyProtection="1">
      <alignment horizontal="right" vertical="center"/>
      <protection hidden="1"/>
    </xf>
    <xf numFmtId="0" fontId="76" fillId="28" borderId="92" xfId="0" applyFont="1" applyFill="1" applyBorder="1" applyAlignment="1" applyProtection="1">
      <alignment horizontal="right" vertical="center"/>
      <protection hidden="1"/>
    </xf>
    <xf numFmtId="184" fontId="79" fillId="3" borderId="87" xfId="76" applyNumberFormat="1" applyFont="1" applyFill="1" applyBorder="1" applyAlignment="1">
      <alignment horizontal="right" vertical="center" indent="2"/>
    </xf>
    <xf numFmtId="184" fontId="78" fillId="3" borderId="88" xfId="76" applyNumberFormat="1" applyFont="1" applyFill="1" applyBorder="1" applyAlignment="1">
      <alignment horizontal="right" vertical="center" indent="2"/>
    </xf>
    <xf numFmtId="0" fontId="76" fillId="28" borderId="4" xfId="0" applyFont="1" applyFill="1" applyBorder="1" applyAlignment="1" applyProtection="1">
      <alignment horizontal="right" vertical="center" indent="1"/>
      <protection hidden="1"/>
    </xf>
    <xf numFmtId="0" fontId="76" fillId="28" borderId="0" xfId="0" applyFont="1" applyFill="1" applyAlignment="1" applyProtection="1">
      <alignment horizontal="right" vertical="center" indent="1"/>
      <protection hidden="1"/>
    </xf>
    <xf numFmtId="184" fontId="79" fillId="3" borderId="90" xfId="76" applyNumberFormat="1" applyFont="1" applyFill="1" applyBorder="1" applyAlignment="1">
      <alignment horizontal="right" vertical="center" indent="2"/>
    </xf>
    <xf numFmtId="184" fontId="78" fillId="3" borderId="91" xfId="76" applyNumberFormat="1" applyFont="1" applyFill="1" applyBorder="1" applyAlignment="1">
      <alignment horizontal="right" vertical="center" indent="2"/>
    </xf>
    <xf numFmtId="0" fontId="76" fillId="28" borderId="4" xfId="0" applyFont="1" applyFill="1" applyBorder="1" applyAlignment="1" applyProtection="1">
      <alignment vertical="center"/>
      <protection hidden="1"/>
    </xf>
    <xf numFmtId="0" fontId="76" fillId="28" borderId="0" xfId="0" applyFont="1" applyFill="1" applyAlignment="1" applyProtection="1">
      <alignment vertical="center"/>
      <protection hidden="1"/>
    </xf>
    <xf numFmtId="0" fontId="76" fillId="28" borderId="92" xfId="0" applyFont="1" applyFill="1" applyBorder="1" applyAlignment="1" applyProtection="1">
      <alignment horizontal="right" vertical="center" indent="1"/>
      <protection hidden="1"/>
    </xf>
    <xf numFmtId="0" fontId="76" fillId="28" borderId="1" xfId="0" applyFont="1" applyFill="1" applyBorder="1" applyAlignment="1" applyProtection="1">
      <alignment vertical="center"/>
      <protection hidden="1"/>
    </xf>
    <xf numFmtId="0" fontId="76" fillId="28" borderId="3" xfId="0" applyFont="1" applyFill="1" applyBorder="1" applyAlignment="1" applyProtection="1">
      <alignment vertical="center"/>
      <protection hidden="1"/>
    </xf>
    <xf numFmtId="0" fontId="76" fillId="28" borderId="3" xfId="0" applyFont="1" applyFill="1" applyBorder="1" applyAlignment="1" applyProtection="1">
      <alignment horizontal="right" vertical="center"/>
      <protection hidden="1"/>
    </xf>
    <xf numFmtId="0" fontId="80" fillId="3" borderId="2" xfId="0" applyFont="1" applyFill="1" applyBorder="1"/>
    <xf numFmtId="0" fontId="80" fillId="3" borderId="5" xfId="0" applyFont="1" applyFill="1" applyBorder="1"/>
    <xf numFmtId="0" fontId="80" fillId="3" borderId="94" xfId="0" applyFont="1" applyFill="1" applyBorder="1"/>
    <xf numFmtId="0" fontId="70" fillId="0" borderId="96" xfId="74" applyFont="1" applyBorder="1" applyAlignment="1">
      <alignment horizontal="center" vertical="center"/>
    </xf>
    <xf numFmtId="164" fontId="1" fillId="0" borderId="95" xfId="73" applyFont="1" applyBorder="1" applyAlignment="1">
      <alignment horizontal="center" vertical="center"/>
    </xf>
    <xf numFmtId="164" fontId="70" fillId="0" borderId="0" xfId="73" applyFont="1" applyAlignment="1">
      <alignment vertical="center"/>
    </xf>
    <xf numFmtId="44" fontId="0" fillId="0" borderId="0" xfId="0" applyNumberFormat="1"/>
    <xf numFmtId="3" fontId="82" fillId="7" borderId="60" xfId="0" applyNumberFormat="1" applyFont="1" applyFill="1" applyBorder="1" applyAlignment="1">
      <alignment horizontal="right" vertical="center"/>
    </xf>
    <xf numFmtId="0" fontId="82" fillId="7" borderId="60" xfId="0" applyFont="1" applyFill="1" applyBorder="1" applyAlignment="1">
      <alignment horizontal="center" vertical="center"/>
    </xf>
    <xf numFmtId="4" fontId="82" fillId="7" borderId="60" xfId="0" applyNumberFormat="1" applyFont="1" applyFill="1" applyBorder="1" applyAlignment="1">
      <alignment horizontal="center" vertical="center"/>
    </xf>
    <xf numFmtId="167" fontId="82" fillId="7" borderId="60" xfId="0" applyNumberFormat="1" applyFont="1" applyFill="1" applyBorder="1" applyAlignment="1">
      <alignment horizontal="center" vertical="center"/>
    </xf>
    <xf numFmtId="167" fontId="83" fillId="7" borderId="60" xfId="0" applyNumberFormat="1" applyFont="1" applyFill="1" applyBorder="1" applyAlignment="1">
      <alignment vertical="center"/>
    </xf>
    <xf numFmtId="9" fontId="84" fillId="7" borderId="60" xfId="6" applyFont="1" applyFill="1" applyBorder="1" applyAlignment="1">
      <alignment horizontal="center" vertical="center"/>
    </xf>
    <xf numFmtId="0" fontId="83" fillId="0" borderId="0" xfId="0" applyFont="1"/>
    <xf numFmtId="164" fontId="0" fillId="0" borderId="0" xfId="73" applyFont="1" applyFill="1"/>
    <xf numFmtId="167" fontId="30" fillId="22" borderId="78" xfId="51" applyFont="1" applyFill="1" applyBorder="1" applyAlignment="1">
      <alignment horizontal="left" vertical="center" wrapText="1"/>
    </xf>
    <xf numFmtId="167" fontId="70" fillId="0" borderId="0" xfId="74" applyNumberFormat="1" applyFont="1" applyAlignment="1">
      <alignment vertical="center"/>
    </xf>
    <xf numFmtId="10" fontId="70" fillId="0" borderId="0" xfId="6" applyNumberFormat="1" applyFont="1" applyAlignment="1">
      <alignment vertical="center"/>
    </xf>
    <xf numFmtId="10" fontId="70" fillId="0" borderId="0" xfId="74" applyNumberFormat="1" applyFont="1" applyAlignment="1">
      <alignment vertical="center"/>
    </xf>
    <xf numFmtId="164" fontId="0" fillId="0" borderId="0" xfId="73" applyFont="1" applyAlignment="1">
      <alignment horizontal="left"/>
    </xf>
    <xf numFmtId="167" fontId="14" fillId="21" borderId="21" xfId="51" applyFont="1" applyFill="1" applyBorder="1" applyAlignment="1">
      <alignment horizontal="center" vertical="center"/>
    </xf>
    <xf numFmtId="44" fontId="70" fillId="0" borderId="0" xfId="74" applyNumberFormat="1" applyFont="1" applyAlignment="1">
      <alignment vertical="center"/>
    </xf>
    <xf numFmtId="0" fontId="54" fillId="11" borderId="29" xfId="57" applyFont="1" applyFill="1" applyBorder="1" applyAlignment="1">
      <alignment horizontal="center" vertical="center" wrapText="1"/>
    </xf>
    <xf numFmtId="0" fontId="54" fillId="11" borderId="21" xfId="57" applyFont="1" applyFill="1" applyBorder="1" applyAlignment="1">
      <alignment horizontal="center" vertical="center" wrapText="1"/>
    </xf>
    <xf numFmtId="0" fontId="54" fillId="11" borderId="31" xfId="57" applyFont="1" applyFill="1" applyBorder="1" applyAlignment="1">
      <alignment horizontal="center" vertical="center" wrapText="1"/>
    </xf>
    <xf numFmtId="0" fontId="56" fillId="3" borderId="32" xfId="57" applyFont="1" applyFill="1" applyBorder="1" applyAlignment="1">
      <alignment horizontal="center" vertical="center" wrapText="1"/>
    </xf>
    <xf numFmtId="0" fontId="56" fillId="3" borderId="0" xfId="57" applyFont="1" applyFill="1" applyAlignment="1">
      <alignment horizontal="center" vertical="center" wrapText="1"/>
    </xf>
    <xf numFmtId="0" fontId="56" fillId="3" borderId="33" xfId="57" applyFont="1" applyFill="1" applyBorder="1" applyAlignment="1">
      <alignment horizontal="center" vertical="center" wrapText="1"/>
    </xf>
    <xf numFmtId="0" fontId="57" fillId="3" borderId="32" xfId="57" applyFont="1" applyFill="1" applyBorder="1" applyAlignment="1">
      <alignment horizontal="center" vertical="center" wrapText="1"/>
    </xf>
    <xf numFmtId="0" fontId="57" fillId="3" borderId="0" xfId="57" applyFont="1" applyFill="1" applyAlignment="1">
      <alignment horizontal="center" vertical="center" wrapText="1"/>
    </xf>
    <xf numFmtId="0" fontId="57" fillId="3" borderId="33" xfId="57" applyFont="1" applyFill="1" applyBorder="1" applyAlignment="1">
      <alignment horizontal="center" vertical="center" wrapText="1"/>
    </xf>
    <xf numFmtId="0" fontId="58" fillId="3" borderId="32" xfId="57" applyFont="1" applyFill="1" applyBorder="1" applyAlignment="1">
      <alignment horizontal="center" vertical="center" wrapText="1"/>
    </xf>
    <xf numFmtId="0" fontId="58" fillId="3" borderId="0" xfId="57" applyFont="1" applyFill="1" applyAlignment="1">
      <alignment horizontal="center" vertical="center" wrapText="1"/>
    </xf>
    <xf numFmtId="0" fontId="58" fillId="3" borderId="33" xfId="57" applyFont="1" applyFill="1" applyBorder="1" applyAlignment="1">
      <alignment horizontal="center" vertical="center" wrapText="1"/>
    </xf>
    <xf numFmtId="0" fontId="54" fillId="11" borderId="29" xfId="59" applyFont="1" applyFill="1" applyBorder="1" applyAlignment="1">
      <alignment horizontal="center" vertical="center" wrapText="1"/>
    </xf>
    <xf numFmtId="0" fontId="54" fillId="11" borderId="21" xfId="59" applyFont="1" applyFill="1" applyBorder="1" applyAlignment="1">
      <alignment horizontal="center" vertical="center" wrapText="1"/>
    </xf>
    <xf numFmtId="0" fontId="54" fillId="11" borderId="31" xfId="59" applyFont="1" applyFill="1" applyBorder="1" applyAlignment="1">
      <alignment horizontal="center" vertical="center" wrapText="1"/>
    </xf>
    <xf numFmtId="0" fontId="54" fillId="12" borderId="29" xfId="59" applyFont="1" applyFill="1" applyBorder="1" applyAlignment="1">
      <alignment horizontal="center" vertical="center" wrapText="1"/>
    </xf>
    <xf numFmtId="0" fontId="54" fillId="12" borderId="21" xfId="59" applyFont="1" applyFill="1" applyBorder="1" applyAlignment="1">
      <alignment horizontal="center" vertical="center" wrapText="1"/>
    </xf>
    <xf numFmtId="0" fontId="54" fillId="12" borderId="31" xfId="59" applyFont="1" applyFill="1" applyBorder="1" applyAlignment="1">
      <alignment horizontal="center" vertical="center" wrapText="1"/>
    </xf>
    <xf numFmtId="164" fontId="78" fillId="3" borderId="4" xfId="73" applyFont="1" applyFill="1" applyBorder="1" applyAlignment="1">
      <alignment vertical="center"/>
    </xf>
    <xf numFmtId="164" fontId="78" fillId="3" borderId="92" xfId="73" applyFont="1" applyFill="1" applyBorder="1" applyAlignment="1">
      <alignment vertical="center"/>
    </xf>
    <xf numFmtId="188" fontId="81" fillId="3" borderId="0" xfId="39" applyNumberFormat="1" applyFont="1" applyFill="1" applyBorder="1" applyAlignment="1">
      <alignment horizontal="right" vertical="center" indent="1"/>
    </xf>
    <xf numFmtId="188" fontId="81" fillId="3" borderId="92" xfId="39" applyNumberFormat="1" applyFont="1" applyFill="1" applyBorder="1" applyAlignment="1">
      <alignment horizontal="right" vertical="center" indent="1"/>
    </xf>
    <xf numFmtId="189" fontId="78" fillId="3" borderId="0" xfId="73" applyNumberFormat="1" applyFont="1" applyFill="1" applyBorder="1" applyAlignment="1">
      <alignment horizontal="right" vertical="center" indent="1"/>
    </xf>
    <xf numFmtId="189" fontId="78" fillId="3" borderId="92" xfId="73" applyNumberFormat="1" applyFont="1" applyFill="1" applyBorder="1" applyAlignment="1">
      <alignment horizontal="right" vertical="center" indent="1"/>
    </xf>
    <xf numFmtId="164" fontId="78" fillId="3" borderId="1" xfId="73" applyFont="1" applyFill="1" applyBorder="1" applyAlignment="1">
      <alignment vertical="center"/>
    </xf>
    <xf numFmtId="164" fontId="78" fillId="3" borderId="89" xfId="73" applyFont="1" applyFill="1" applyBorder="1" applyAlignment="1">
      <alignment vertical="center"/>
    </xf>
    <xf numFmtId="185" fontId="78" fillId="3" borderId="4" xfId="73" applyNumberFormat="1" applyFont="1" applyFill="1" applyBorder="1" applyAlignment="1">
      <alignment vertical="center"/>
    </xf>
    <xf numFmtId="185" fontId="78" fillId="3" borderId="92" xfId="73" applyNumberFormat="1" applyFont="1" applyFill="1" applyBorder="1" applyAlignment="1">
      <alignment vertical="center"/>
    </xf>
    <xf numFmtId="186" fontId="78" fillId="3" borderId="4" xfId="73" applyNumberFormat="1" applyFont="1" applyFill="1" applyBorder="1" applyAlignment="1">
      <alignment vertical="center"/>
    </xf>
    <xf numFmtId="186" fontId="78" fillId="3" borderId="92" xfId="73" applyNumberFormat="1" applyFont="1" applyFill="1" applyBorder="1" applyAlignment="1">
      <alignment vertical="center"/>
    </xf>
    <xf numFmtId="187" fontId="78" fillId="3" borderId="4" xfId="73" applyNumberFormat="1" applyFont="1" applyFill="1" applyBorder="1" applyAlignment="1">
      <alignment vertical="center"/>
    </xf>
    <xf numFmtId="187" fontId="78" fillId="3" borderId="92" xfId="73" applyNumberFormat="1" applyFont="1" applyFill="1" applyBorder="1" applyAlignment="1">
      <alignment vertical="center"/>
    </xf>
    <xf numFmtId="14" fontId="75" fillId="27" borderId="22" xfId="77" applyNumberFormat="1" applyFont="1" applyFill="1" applyBorder="1" applyAlignment="1">
      <alignment horizontal="center" vertical="center"/>
    </xf>
    <xf numFmtId="14" fontId="75" fillId="27" borderId="24" xfId="77" applyNumberFormat="1" applyFont="1" applyFill="1" applyBorder="1" applyAlignment="1">
      <alignment horizontal="center" vertical="center"/>
    </xf>
    <xf numFmtId="167" fontId="78" fillId="3" borderId="1" xfId="51" applyFont="1" applyFill="1" applyBorder="1" applyAlignment="1">
      <alignment vertical="center"/>
    </xf>
    <xf numFmtId="167" fontId="78" fillId="3" borderId="89" xfId="51" applyFont="1" applyFill="1" applyBorder="1" applyAlignment="1">
      <alignment vertical="center"/>
    </xf>
    <xf numFmtId="181" fontId="78" fillId="3" borderId="4" xfId="76" applyNumberFormat="1" applyFont="1" applyFill="1" applyBorder="1" applyAlignment="1">
      <alignment vertical="center"/>
    </xf>
    <xf numFmtId="181" fontId="78" fillId="3" borderId="92" xfId="76" applyNumberFormat="1" applyFont="1" applyFill="1" applyBorder="1" applyAlignment="1">
      <alignment vertical="center"/>
    </xf>
    <xf numFmtId="44" fontId="78" fillId="3" borderId="4" xfId="76" applyNumberFormat="1" applyFont="1" applyFill="1" applyBorder="1" applyAlignment="1">
      <alignment vertical="center"/>
    </xf>
    <xf numFmtId="183" fontId="78" fillId="3" borderId="92" xfId="76" applyNumberFormat="1" applyFont="1" applyFill="1" applyBorder="1" applyAlignment="1">
      <alignment vertical="center"/>
    </xf>
    <xf numFmtId="0" fontId="74" fillId="27" borderId="2" xfId="77" applyFont="1" applyFill="1" applyBorder="1" applyAlignment="1">
      <alignment horizontal="left" vertical="center"/>
    </xf>
    <xf numFmtId="0" fontId="74" fillId="27" borderId="5" xfId="77" applyFont="1" applyFill="1" applyBorder="1" applyAlignment="1">
      <alignment horizontal="left" vertical="center"/>
    </xf>
    <xf numFmtId="0" fontId="74" fillId="27" borderId="22" xfId="77" applyFont="1" applyFill="1" applyBorder="1" applyAlignment="1">
      <alignment horizontal="left" vertical="center"/>
    </xf>
    <xf numFmtId="0" fontId="74" fillId="27" borderId="23" xfId="77" applyFont="1" applyFill="1" applyBorder="1" applyAlignment="1">
      <alignment horizontal="left" vertical="center"/>
    </xf>
    <xf numFmtId="14" fontId="75" fillId="27" borderId="23" xfId="77" applyNumberFormat="1" applyFont="1" applyFill="1" applyBorder="1" applyAlignment="1">
      <alignment horizontal="center" vertical="center"/>
    </xf>
    <xf numFmtId="0" fontId="76" fillId="28" borderId="1" xfId="0" applyFont="1" applyFill="1" applyBorder="1" applyAlignment="1" applyProtection="1">
      <alignment horizontal="center" vertical="center"/>
      <protection hidden="1"/>
    </xf>
    <xf numFmtId="0" fontId="76" fillId="28" borderId="87" xfId="0" applyFont="1" applyFill="1" applyBorder="1" applyAlignment="1" applyProtection="1">
      <alignment horizontal="center" vertical="center"/>
      <protection hidden="1"/>
    </xf>
    <xf numFmtId="0" fontId="76" fillId="28" borderId="4" xfId="0" applyFont="1" applyFill="1" applyBorder="1" applyAlignment="1" applyProtection="1">
      <alignment horizontal="center" vertical="center"/>
      <protection hidden="1"/>
    </xf>
    <xf numFmtId="0" fontId="76" fillId="28" borderId="90" xfId="0" applyFont="1" applyFill="1" applyBorder="1" applyAlignment="1" applyProtection="1">
      <alignment horizontal="center" vertical="center"/>
      <protection hidden="1"/>
    </xf>
    <xf numFmtId="0" fontId="64" fillId="0" borderId="22" xfId="0" applyFont="1" applyBorder="1" applyAlignment="1">
      <alignment horizontal="center" vertical="center"/>
    </xf>
    <xf numFmtId="0" fontId="64" fillId="0" borderId="23" xfId="0" applyFont="1" applyBorder="1" applyAlignment="1">
      <alignment horizontal="center" vertical="center"/>
    </xf>
    <xf numFmtId="4" fontId="14" fillId="9" borderId="22" xfId="0" applyNumberFormat="1" applyFont="1" applyFill="1" applyBorder="1" applyAlignment="1">
      <alignment horizontal="center" vertical="center" wrapText="1"/>
    </xf>
    <xf numFmtId="4" fontId="14" fillId="9" borderId="24" xfId="0" applyNumberFormat="1" applyFont="1" applyFill="1" applyBorder="1" applyAlignment="1">
      <alignment horizontal="center" vertical="center" wrapText="1"/>
    </xf>
    <xf numFmtId="0" fontId="48" fillId="9" borderId="4" xfId="0" applyFont="1" applyFill="1" applyBorder="1" applyAlignment="1">
      <alignment horizontal="center" vertical="center" wrapText="1"/>
    </xf>
    <xf numFmtId="0" fontId="48" fillId="9" borderId="0" xfId="0" applyFont="1" applyFill="1" applyAlignment="1">
      <alignment horizontal="center" vertical="center" wrapText="1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14" fontId="30" fillId="0" borderId="22" xfId="0" applyNumberFormat="1" applyFont="1" applyBorder="1" applyAlignment="1">
      <alignment horizontal="left" vertical="center"/>
    </xf>
    <xf numFmtId="14" fontId="30" fillId="0" borderId="23" xfId="0" applyNumberFormat="1" applyFont="1" applyBorder="1" applyAlignment="1">
      <alignment horizontal="left" vertical="center"/>
    </xf>
    <xf numFmtId="0" fontId="71" fillId="24" borderId="0" xfId="0" applyFont="1" applyFill="1" applyAlignment="1">
      <alignment horizontal="center"/>
    </xf>
    <xf numFmtId="167" fontId="6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3" fillId="8" borderId="8" xfId="33" applyFont="1" applyFill="1" applyBorder="1" applyAlignment="1">
      <alignment horizontal="center" vertical="center"/>
    </xf>
    <xf numFmtId="0" fontId="23" fillId="8" borderId="7" xfId="33" applyFont="1" applyFill="1" applyBorder="1" applyAlignment="1">
      <alignment horizontal="center" vertical="center"/>
    </xf>
    <xf numFmtId="2" fontId="23" fillId="8" borderId="12" xfId="33" applyNumberFormat="1" applyFont="1" applyFill="1" applyBorder="1" applyAlignment="1">
      <alignment horizontal="center" vertical="center" wrapText="1"/>
    </xf>
    <xf numFmtId="0" fontId="23" fillId="8" borderId="12" xfId="33" applyFont="1" applyFill="1" applyBorder="1" applyAlignment="1">
      <alignment horizontal="center" vertical="center" wrapText="1"/>
    </xf>
    <xf numFmtId="0" fontId="25" fillId="4" borderId="12" xfId="33" applyFont="1" applyFill="1" applyBorder="1" applyAlignment="1">
      <alignment horizontal="center" vertical="center"/>
    </xf>
    <xf numFmtId="170" fontId="25" fillId="4" borderId="12" xfId="33" applyNumberFormat="1" applyFont="1" applyFill="1" applyBorder="1" applyAlignment="1">
      <alignment horizontal="center" vertical="center"/>
    </xf>
    <xf numFmtId="1" fontId="25" fillId="4" borderId="12" xfId="33" applyNumberFormat="1" applyFont="1" applyFill="1" applyBorder="1" applyAlignment="1">
      <alignment horizontal="center" vertical="center"/>
    </xf>
    <xf numFmtId="171" fontId="25" fillId="0" borderId="12" xfId="33" applyNumberFormat="1" applyFont="1" applyBorder="1" applyAlignment="1">
      <alignment horizontal="center" vertical="center"/>
    </xf>
    <xf numFmtId="3" fontId="25" fillId="4" borderId="12" xfId="33" applyNumberFormat="1" applyFont="1" applyFill="1" applyBorder="1" applyAlignment="1">
      <alignment horizontal="center" vertical="center"/>
    </xf>
    <xf numFmtId="0" fontId="25" fillId="4" borderId="8" xfId="33" applyFont="1" applyFill="1" applyBorder="1" applyAlignment="1">
      <alignment horizontal="center" vertical="center"/>
    </xf>
    <xf numFmtId="0" fontId="25" fillId="4" borderId="7" xfId="33" applyFont="1" applyFill="1" applyBorder="1" applyAlignment="1">
      <alignment horizontal="center" vertical="center"/>
    </xf>
    <xf numFmtId="1" fontId="33" fillId="0" borderId="12" xfId="33" applyNumberFormat="1" applyFont="1" applyBorder="1" applyAlignment="1">
      <alignment horizontal="center" vertical="center"/>
    </xf>
    <xf numFmtId="171" fontId="25" fillId="0" borderId="6" xfId="33" applyNumberFormat="1" applyFont="1" applyBorder="1" applyAlignment="1">
      <alignment horizontal="center" vertical="center"/>
    </xf>
    <xf numFmtId="171" fontId="25" fillId="0" borderId="7" xfId="33" applyNumberFormat="1" applyFont="1" applyBorder="1" applyAlignment="1">
      <alignment horizontal="center" vertical="center"/>
    </xf>
    <xf numFmtId="3" fontId="25" fillId="0" borderId="12" xfId="33" applyNumberFormat="1" applyFont="1" applyBorder="1" applyAlignment="1">
      <alignment horizontal="center" vertical="center"/>
    </xf>
    <xf numFmtId="0" fontId="23" fillId="8" borderId="6" xfId="34" applyFont="1" applyFill="1" applyBorder="1" applyAlignment="1">
      <alignment horizontal="center" vertical="center" wrapText="1"/>
    </xf>
    <xf numFmtId="0" fontId="23" fillId="8" borderId="8" xfId="34" applyFont="1" applyFill="1" applyBorder="1" applyAlignment="1">
      <alignment horizontal="center" vertical="center" wrapText="1"/>
    </xf>
    <xf numFmtId="0" fontId="20" fillId="5" borderId="8" xfId="34" applyFont="1" applyFill="1" applyBorder="1" applyAlignment="1">
      <alignment horizontal="right" vertical="center" wrapText="1"/>
    </xf>
    <xf numFmtId="0" fontId="20" fillId="5" borderId="20" xfId="34" applyFont="1" applyFill="1" applyBorder="1" applyAlignment="1">
      <alignment horizontal="right" vertical="center" wrapText="1"/>
    </xf>
  </cellXfs>
  <cellStyles count="78">
    <cellStyle name="Comma" xfId="4" xr:uid="{00000000-0005-0000-0000-000004000000}"/>
    <cellStyle name="Comma [0]" xfId="5" xr:uid="{00000000-0005-0000-0000-000005000000}"/>
    <cellStyle name="Comma [0] 2" xfId="12" xr:uid="{49B0381F-E24B-4795-8F55-C76F5754CA5E}"/>
    <cellStyle name="Comma [0] 3" xfId="47" xr:uid="{4C16AAE2-1D54-4EA9-BBBB-3435F6172807}"/>
    <cellStyle name="Comma 2" xfId="11" xr:uid="{8675C844-A524-4AF1-88C0-767A02787FD4}"/>
    <cellStyle name="Comma 3" xfId="46" xr:uid="{A88295E6-17CC-4EF9-B98E-7DF22600C82A}"/>
    <cellStyle name="Currency" xfId="2" xr:uid="{00000000-0005-0000-0000-000002000000}"/>
    <cellStyle name="Currency [0]" xfId="3" xr:uid="{00000000-0005-0000-0000-000003000000}"/>
    <cellStyle name="Currency [0] 2" xfId="10" xr:uid="{8336973E-78D4-4A2E-A1BE-4DF7A2A745F2}"/>
    <cellStyle name="Currency [0] 3" xfId="45" xr:uid="{EED215FE-32D4-41FD-B3CD-6B183062B9A5}"/>
    <cellStyle name="Currency 2" xfId="9" xr:uid="{690CDFBE-350D-4C3A-B7D4-CEE6EE7711A2}"/>
    <cellStyle name="Currency 3" xfId="44" xr:uid="{81E25274-3416-4CE9-A7D7-AFF333C551A7}"/>
    <cellStyle name="Ênfase3" xfId="77" builtinId="37"/>
    <cellStyle name="Moeda" xfId="51" builtinId="4"/>
    <cellStyle name="Moeda 2 2" xfId="61" xr:uid="{C03015F4-5861-4156-9A88-862FFE47F221}"/>
    <cellStyle name="Moeda 20" xfId="67" xr:uid="{B44BA9DB-B1E3-47BF-909F-D764E265F6ED}"/>
    <cellStyle name="Moeda 21" xfId="65" xr:uid="{B27382B0-59EA-4A2C-87CB-AB98E6042B64}"/>
    <cellStyle name="Moeda 8" xfId="26" xr:uid="{11D50FFA-E224-4A7B-ACA1-C39445AC8F5D}"/>
    <cellStyle name="Moeda 8 2" xfId="48" xr:uid="{C9CFD391-FE13-4F50-AF31-810CD57E742D}"/>
    <cellStyle name="Normal" xfId="0" builtinId="0"/>
    <cellStyle name="Normal 10" xfId="19" xr:uid="{CEFD6CEA-97D2-4570-A768-B1BF82E98285}"/>
    <cellStyle name="Normal 10 2" xfId="59" xr:uid="{066DA9F1-FF34-4A87-A815-E41B76888ECA}"/>
    <cellStyle name="Normal 11" xfId="74" xr:uid="{55526E83-6E88-476E-B782-BD0297E1883A}"/>
    <cellStyle name="Normal 12" xfId="23" xr:uid="{D1A2DA7A-1B85-4FB9-8A8E-CF228F2D20D5}"/>
    <cellStyle name="Normal 12 2" xfId="64" xr:uid="{1A133D7B-3B90-479C-8A65-093FEFB1E5FA}"/>
    <cellStyle name="Normal 13" xfId="62" xr:uid="{27126BD8-A4D0-49B3-B5E9-F61F2109AC40}"/>
    <cellStyle name="Normal 14 2 2 3 2" xfId="31" xr:uid="{91E334A2-FBC1-4E05-A816-0E1F9F611C20}"/>
    <cellStyle name="Normal 14 2 2 4 2 2" xfId="21" xr:uid="{3F5006D4-78DE-45B8-8D02-91F2F60D0BDF}"/>
    <cellStyle name="Normal 14 2 2 4 2 2 2" xfId="28" xr:uid="{A932A1B6-F6E9-4CCA-89E1-4D203B321C98}"/>
    <cellStyle name="Normal 15" xfId="22" xr:uid="{DC574689-5165-4CCB-8EC6-E8063E6159FB}"/>
    <cellStyle name="Normal 17 2" xfId="33" xr:uid="{32DCC9D5-8BCD-4E14-81E2-BF0DF56C67F9}"/>
    <cellStyle name="Normal 18" xfId="41" xr:uid="{34C0C13E-0CF2-459E-A103-60A78F7E4A8A}"/>
    <cellStyle name="Normal 2" xfId="7" xr:uid="{F8A21997-F071-452C-B132-90746F6866A3}"/>
    <cellStyle name="Normal 2 10" xfId="37" xr:uid="{57FB8FC2-2FD3-46F4-924E-5AE0F79A4DC8}"/>
    <cellStyle name="Normal 2 2" xfId="8" xr:uid="{DBC143CC-AFAF-4044-9B6E-DDCC7DF1A427}"/>
    <cellStyle name="Normal 2 2 2 2" xfId="34" xr:uid="{D4FFD0E1-4937-4D20-8208-81FA18B41DEE}"/>
    <cellStyle name="Normal 2 3 2" xfId="50" xr:uid="{CA9DA96E-1BCE-452C-88BB-385E981A0B07}"/>
    <cellStyle name="Normal 20" xfId="13" xr:uid="{FDB62DAB-3280-4441-8102-AFA5281D68F5}"/>
    <cellStyle name="Normal 243 7" xfId="16" xr:uid="{7F10D887-AEDF-41F2-9DCE-3606F9A09DC1}"/>
    <cellStyle name="Normal 3" xfId="17" xr:uid="{97E79CC6-339C-47D1-89ED-D1EFB58E5775}"/>
    <cellStyle name="Normal 3 2" xfId="57" xr:uid="{B044917E-0868-4298-964C-692DD957EAEB}"/>
    <cellStyle name="Normal 3 4" xfId="53" xr:uid="{60C14654-4DE3-43A6-B47B-F784B00D59B5}"/>
    <cellStyle name="Normal 4" xfId="52" xr:uid="{8BCD6E42-A443-4CF9-AF77-6B60CACF28BE}"/>
    <cellStyle name="Normal 4 2" xfId="30" xr:uid="{D54D7641-D4F6-4B04-919C-3018D0076A24}"/>
    <cellStyle name="Normal 4 3" xfId="68" xr:uid="{B0F93CF9-062F-4648-93AD-163EFE8E0144}"/>
    <cellStyle name="Normal 5" xfId="54" xr:uid="{173D14D7-3F40-4576-89FD-69E4096BFBD0}"/>
    <cellStyle name="Normal 6" xfId="71" xr:uid="{2CA6EBE2-CEF2-4D48-AC73-1B6C7E53785E}"/>
    <cellStyle name="Normal 7" xfId="25" xr:uid="{2E07E6B2-9127-4968-B493-761D330C9C8B}"/>
    <cellStyle name="Normal 8" xfId="72" xr:uid="{06982208-C37C-4E36-85F5-9EAD4E7DBE50}"/>
    <cellStyle name="Normal 9" xfId="66" xr:uid="{C20F3FF7-2C74-46F5-AB6B-0D27D4D91BEE}"/>
    <cellStyle name="Percent" xfId="1" xr:uid="{00000000-0005-0000-0000-000001000000}"/>
    <cellStyle name="Porcentagem" xfId="6" builtinId="5"/>
    <cellStyle name="Porcentagem 14" xfId="14" xr:uid="{61FAEBCD-A45B-49E1-BCDB-D7EB215EB0FF}"/>
    <cellStyle name="Porcentagem 2" xfId="18" xr:uid="{9B189BD0-902C-4D2D-AE50-F704316035C4}"/>
    <cellStyle name="Porcentagem 3" xfId="55" xr:uid="{3A9ABDA7-9365-4DA1-ADAC-6A7D4287F778}"/>
    <cellStyle name="Porcentagem 4" xfId="20" xr:uid="{356D4BAE-1767-4431-ABF6-3286EACF1A22}"/>
    <cellStyle name="Porcentagem 7" xfId="43" xr:uid="{C9A039B6-226E-4735-B5C6-7B51BBDF244B}"/>
    <cellStyle name="Separador de milhares 2 2 2 5" xfId="36" xr:uid="{04C598C1-B0D2-4303-96D5-A21C2C2CC74C}"/>
    <cellStyle name="Separador de milhares 2 2 2 5 2" xfId="49" xr:uid="{5DB6A588-4C1B-49B9-8F44-05361C95D493}"/>
    <cellStyle name="Título 2" xfId="76" builtinId="17"/>
    <cellStyle name="Vírgula" xfId="73" builtinId="3"/>
    <cellStyle name="Vírgula 10 2 2 4 2 2 2" xfId="29" xr:uid="{C6BB6E5F-8A88-41CC-9158-1A38A88B8F3F}"/>
    <cellStyle name="Vírgula 10 2 5" xfId="32" xr:uid="{FC316FF9-6AF4-4C29-BCBE-6E6E7A3DD7A1}"/>
    <cellStyle name="Vírgula 12" xfId="24" xr:uid="{208E78A4-B2C5-45EE-B4AC-5A31C2AC0311}"/>
    <cellStyle name="Vírgula 12 2" xfId="35" xr:uid="{B3C8B188-42D9-4778-87F6-614FA7064616}"/>
    <cellStyle name="Vírgula 14" xfId="42" xr:uid="{E07B368B-8D3D-4D7D-92E1-5ABD33DD5D97}"/>
    <cellStyle name="Vírgula 2" xfId="27" xr:uid="{03074CC9-A1CF-45EF-A198-1CDC128C9CE7}"/>
    <cellStyle name="Vírgula 2 2" xfId="69" xr:uid="{E1FB322F-2A46-4416-A6B0-51757F69A769}"/>
    <cellStyle name="Vírgula 2 2 2 4" xfId="40" xr:uid="{89F4A3E3-ACCC-4435-9EED-FD02806F6E52}"/>
    <cellStyle name="Vírgula 2 2 6" xfId="38" xr:uid="{6E6511F6-A0A6-4B35-8135-DC73E7D328EC}"/>
    <cellStyle name="Vírgula 3" xfId="56" xr:uid="{3478701B-B66E-496A-891E-1243169637AA}"/>
    <cellStyle name="Vírgula 3 2" xfId="58" xr:uid="{118076DD-64FF-4DA5-9624-D12FB4713644}"/>
    <cellStyle name="Vírgula 39" xfId="60" xr:uid="{4EAF8247-6523-45F8-BADB-3DEB2E160495}"/>
    <cellStyle name="Vírgula 4" xfId="70" xr:uid="{9F4946DE-A25F-4932-98EF-14F19565899B}"/>
    <cellStyle name="Vírgula 41" xfId="63" xr:uid="{9353F28A-FEBA-4098-8D81-652812AE4A7A}"/>
    <cellStyle name="Vírgula 5" xfId="75" xr:uid="{E04183EB-CF8D-4D8F-8658-BA76A1115A6E}"/>
    <cellStyle name="Vírgula 6" xfId="39" xr:uid="{FF5FB2E8-AC06-4949-91C6-B0FF91DB8D60}"/>
    <cellStyle name="Vírgula 7" xfId="15" xr:uid="{FF932B35-B7AB-4D5B-ACFB-BD04A479572B}"/>
  </cellStyles>
  <dxfs count="7271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 tint="-0.34998626667073579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 patternType="solid">
          <bgColor theme="0" tint="-4.9989318521683403E-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rgb="FF929292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</font>
      <fill>
        <patternFill>
          <bgColor theme="0" tint="-0.24994659260841701"/>
        </patternFill>
      </fill>
      <border>
        <top style="hair">
          <color theme="0" tint="-0.14996795556505021"/>
        </top>
        <bottom style="hair">
          <color theme="0" tint="-0.14996795556505021"/>
        </bottom>
      </border>
    </dxf>
    <dxf>
      <font>
        <b/>
        <i val="0"/>
        <color theme="0" tint="-0.34998626667073579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solid">
          <bgColor rgb="FFF7F7F7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/>
        <i val="0"/>
        <color theme="0"/>
      </font>
      <fill>
        <patternFill>
          <bgColor rgb="FF545454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b val="0"/>
        <i val="0"/>
      </font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</border>
    </dxf>
    <dxf>
      <font>
        <sz val="8"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 style="hair">
          <color theme="1" tint="0.499984740745262"/>
        </vertical>
        <horizontal style="hair">
          <color theme="1" tint="0.499984740745262"/>
        </horizontal>
      </border>
    </dxf>
  </dxfs>
  <tableStyles count="2" defaultTableStyle="TableStyleMedium2" defaultPivotStyle="PivotStyleLight16">
    <tableStyle name="Estilo de Tabela 1" pivot="0" count="1" xr9:uid="{6F89C917-A9ED-40A7-B153-DA5F686C6465}">
      <tableStyleElement type="wholeTable" dxfId="7270"/>
    </tableStyle>
    <tableStyle name="SlicerStyleDark4 2" pivot="0" table="0" count="10" xr9:uid="{DA7281C1-5CBE-4C7A-8757-3E16E0A6612D}">
      <tableStyleElement type="wholeTable" dxfId="7269"/>
      <tableStyleElement type="headerRow" dxfId="7268"/>
    </tableStyle>
  </tableStyles>
  <colors>
    <mruColors>
      <color rgb="FF1851D6"/>
      <color rgb="FFF43800"/>
      <color rgb="FFF9F9F9"/>
      <color rgb="FFE23600"/>
      <color rgb="FF640000"/>
      <color rgb="FF8A0000"/>
      <color rgb="FF29292F"/>
      <color rgb="FF545454"/>
      <color rgb="FFB6B6B6"/>
      <color rgb="FFC6E6A2"/>
    </mruColors>
  </colors>
  <extLst>
    <ext xmlns:x14="http://schemas.microsoft.com/office/spreadsheetml/2009/9/main" uri="{46F421CA-312F-682f-3DD2-61675219B42D}">
      <x14:dxfs count="8">
        <dxf>
          <font>
            <sz val="8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8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8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8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8"/>
            <color theme="7" tint="-0.249977111117893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theme="7" tint="0.59999389629810485"/>
            </left>
            <right style="thin">
              <color theme="7" tint="0.59999389629810485"/>
            </right>
            <top style="thin">
              <color theme="7" tint="0.59999389629810485"/>
            </top>
            <bottom style="thin">
              <color theme="7" tint="0.59999389629810485"/>
            </bottom>
            <vertical/>
            <horizontal/>
          </border>
        </dxf>
        <dxf>
          <font>
            <sz val="8"/>
            <color theme="0"/>
          </font>
          <fill>
            <patternFill patternType="solid">
              <fgColor theme="7"/>
              <bgColor theme="7"/>
            </patternFill>
          </fill>
          <border>
            <left style="thin">
              <color theme="7"/>
            </left>
            <right style="thin">
              <color theme="7"/>
            </right>
            <top style="thin">
              <color theme="7"/>
            </top>
            <bottom style="thin">
              <color theme="7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4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97595</xdr:colOff>
      <xdr:row>1</xdr:row>
      <xdr:rowOff>95951</xdr:rowOff>
    </xdr:from>
    <xdr:to>
      <xdr:col>5</xdr:col>
      <xdr:colOff>1525467</xdr:colOff>
      <xdr:row>2</xdr:row>
      <xdr:rowOff>101496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1736D61-ABD2-4317-8CC5-F0AA2D8CD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0655" y="324551"/>
          <a:ext cx="1427872" cy="234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97595</xdr:colOff>
      <xdr:row>0</xdr:row>
      <xdr:rowOff>225491</xdr:rowOff>
    </xdr:from>
    <xdr:to>
      <xdr:col>4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66C8BA5-393C-44D8-BDDB-7B98C9EB4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1455" y="225491"/>
          <a:ext cx="1424062" cy="236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102868</xdr:colOff>
      <xdr:row>1</xdr:row>
      <xdr:rowOff>49529</xdr:rowOff>
    </xdr:from>
    <xdr:to>
      <xdr:col>18</xdr:col>
      <xdr:colOff>24340</xdr:colOff>
      <xdr:row>1</xdr:row>
      <xdr:rowOff>300142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745A05E6-176E-477A-8882-14BD159EBF8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02868" y="108796"/>
          <a:ext cx="1480397" cy="246803"/>
        </a:xfrm>
        <a:prstGeom prst="rect">
          <a:avLst/>
        </a:prstGeom>
        <a:ln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268605</xdr:rowOff>
    </xdr:from>
    <xdr:to>
      <xdr:col>0</xdr:col>
      <xdr:colOff>1528022</xdr:colOff>
      <xdr:row>1</xdr:row>
      <xdr:rowOff>223943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B71BD1AC-BA65-470F-A5F4-ACB90202AA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47625" y="268605"/>
          <a:ext cx="1480397" cy="241088"/>
        </a:xfrm>
        <a:prstGeom prst="rect">
          <a:avLst/>
        </a:prstGeom>
        <a:ln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1</xdr:row>
      <xdr:rowOff>30480</xdr:rowOff>
    </xdr:from>
    <xdr:to>
      <xdr:col>4</xdr:col>
      <xdr:colOff>1114637</xdr:colOff>
      <xdr:row>4</xdr:row>
      <xdr:rowOff>48683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30656923-F2E4-40BB-8804-908EE4719EF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7404735" y="230505"/>
          <a:ext cx="1472777" cy="246803"/>
        </a:xfrm>
        <a:prstGeom prst="rect">
          <a:avLst/>
        </a:prstGeom>
        <a:ln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</xdr:colOff>
      <xdr:row>0</xdr:row>
      <xdr:rowOff>68580</xdr:rowOff>
    </xdr:from>
    <xdr:to>
      <xdr:col>1</xdr:col>
      <xdr:colOff>1171574</xdr:colOff>
      <xdr:row>1</xdr:row>
      <xdr:rowOff>142875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F4690E64-31CE-4122-97DC-A89414F056F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59" y="68580"/>
          <a:ext cx="1529715" cy="302895"/>
        </a:xfrm>
        <a:prstGeom prst="rect">
          <a:avLst/>
        </a:prstGeom>
        <a:ln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68580</xdr:rowOff>
    </xdr:from>
    <xdr:to>
      <xdr:col>1</xdr:col>
      <xdr:colOff>1114637</xdr:colOff>
      <xdr:row>1</xdr:row>
      <xdr:rowOff>153458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54B37E57-2FEA-4B9B-A6FE-027038F5DD0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68580"/>
          <a:ext cx="1472777" cy="246803"/>
        </a:xfrm>
        <a:prstGeom prst="rect">
          <a:avLst/>
        </a:prstGeom>
        <a:ln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0</xdr:row>
      <xdr:rowOff>68580</xdr:rowOff>
    </xdr:from>
    <xdr:to>
      <xdr:col>4</xdr:col>
      <xdr:colOff>1114637</xdr:colOff>
      <xdr:row>1</xdr:row>
      <xdr:rowOff>153458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548BF82A-2E90-41DD-A54C-D81EE119889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60960" y="68580"/>
          <a:ext cx="1472777" cy="246803"/>
        </a:xfrm>
        <a:prstGeom prst="rect">
          <a:avLst/>
        </a:prstGeom>
        <a:ln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215154</xdr:colOff>
      <xdr:row>1</xdr:row>
      <xdr:rowOff>17930</xdr:rowOff>
    </xdr:from>
    <xdr:to>
      <xdr:col>9</xdr:col>
      <xdr:colOff>8965</xdr:colOff>
      <xdr:row>3</xdr:row>
      <xdr:rowOff>73256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47F8250-65CF-4DD9-A617-80BD1B404CEC}"/>
            </a:ext>
          </a:extLst>
        </xdr:cNvPr>
        <xdr:cNvSpPr txBox="1"/>
      </xdr:nvSpPr>
      <xdr:spPr>
        <a:xfrm>
          <a:off x="448236" y="170330"/>
          <a:ext cx="10408023" cy="306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CONTROLE TECNOLÓGICO DE CONCRETO</a:t>
          </a:r>
          <a:r>
            <a:rPr lang="pt-BR" sz="16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pt-BR" sz="1600" b="1">
              <a:latin typeface="Arial" panose="020B0604020202020204" pitchFamily="34" charset="0"/>
              <a:cs typeface="Arial" panose="020B0604020202020204" pitchFamily="34" charset="0"/>
            </a:rPr>
            <a:t> E ENSAIOS</a:t>
          </a:r>
        </a:p>
      </xdr:txBody>
    </xdr:sp>
    <xdr:clientData/>
  </xdr:twoCellAnchor>
  <xdr:twoCellAnchor editAs="oneCell">
    <xdr:from>
      <xdr:col>2</xdr:col>
      <xdr:colOff>149412</xdr:colOff>
      <xdr:row>0</xdr:row>
      <xdr:rowOff>124461</xdr:rowOff>
    </xdr:from>
    <xdr:to>
      <xdr:col>3</xdr:col>
      <xdr:colOff>1451586</xdr:colOff>
      <xdr:row>3</xdr:row>
      <xdr:rowOff>35113</xdr:rowOff>
    </xdr:to>
    <xdr:pic>
      <xdr:nvPicPr>
        <xdr:cNvPr id="2" name="image3.png">
          <a:extLst>
            <a:ext uri="{FF2B5EF4-FFF2-40B4-BE49-F238E27FC236}">
              <a16:creationId xmlns:a16="http://schemas.microsoft.com/office/drawing/2014/main" id="{A92B161D-137C-4A9A-887B-05B96884A4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49412" y="124461"/>
          <a:ext cx="1689524" cy="301364"/>
        </a:xfrm>
        <a:prstGeom prst="rect">
          <a:avLst/>
        </a:prstGeom>
        <a:ln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chelle" id="{907B2D9C-C78E-475F-86EF-9B68BE4E2EAA}" userId="S::michelle.oliveira@cury.net::92e05c31-7dd8-46c2-bf4b-181ef8e05819" providerId="AD"/>
</personList>
</file>

<file path=xl/theme/theme1.xml><?xml version="1.0" encoding="utf-8"?>
<a:theme xmlns:a="http://schemas.openxmlformats.org/drawingml/2006/main" name="Office Theme">
  <a:themeElements>
    <a:clrScheme name="CURY">
      <a:dk1>
        <a:sysClr val="windowText" lastClr="000000"/>
      </a:dk1>
      <a:lt1>
        <a:sysClr val="window" lastClr="FFFFFF"/>
      </a:lt1>
      <a:dk2>
        <a:srgbClr val="242852"/>
      </a:dk2>
      <a:lt2>
        <a:srgbClr val="193B58"/>
      </a:lt2>
      <a:accent1>
        <a:srgbClr val="193B58"/>
      </a:accent1>
      <a:accent2>
        <a:srgbClr val="244B5E"/>
      </a:accent2>
      <a:accent3>
        <a:srgbClr val="595959"/>
      </a:accent3>
      <a:accent4>
        <a:srgbClr val="193B58"/>
      </a:accent4>
      <a:accent5>
        <a:srgbClr val="1B4163"/>
      </a:accent5>
      <a:accent6>
        <a:srgbClr val="0C1D2C"/>
      </a:accent6>
      <a:hlink>
        <a:srgbClr val="3F3F3F"/>
      </a:hlink>
      <a:folHlink>
        <a:srgbClr val="3F3F3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0" dT="2022-08-17T14:15:06.98" personId="{907B2D9C-C78E-475F-86EF-9B68BE4E2EAA}" id="{4E7CEDAF-B282-42A9-8E6E-CE82946093DD}">
    <text>Em relação ao total sem taxa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6477-B5DF-4BF7-AC20-793A3F718A63}">
  <sheetPr codeName="Planilha1">
    <tabColor rgb="FFE23600"/>
    <pageSetUpPr fitToPage="1"/>
  </sheetPr>
  <dimension ref="A1:F57"/>
  <sheetViews>
    <sheetView showGridLines="0" tabSelected="1" zoomScale="70" zoomScaleNormal="70" zoomScaleSheetLayoutView="70" workbookViewId="0">
      <selection activeCell="I17" sqref="I17"/>
    </sheetView>
  </sheetViews>
  <sheetFormatPr defaultColWidth="8.85546875" defaultRowHeight="21.75" x14ac:dyDescent="0.6"/>
  <cols>
    <col min="1" max="1" width="17.28515625" style="121" customWidth="1"/>
    <col min="2" max="2" width="83.7109375" style="122" customWidth="1"/>
    <col min="3" max="3" width="11.28515625" style="122" customWidth="1"/>
    <col min="4" max="4" width="11.28515625" style="123" customWidth="1"/>
    <col min="5" max="5" width="11.140625" style="124" customWidth="1"/>
    <col min="6" max="6" width="24" style="121" customWidth="1"/>
    <col min="7" max="8" width="9.28515625" style="105" bestFit="1" customWidth="1"/>
    <col min="9" max="16384" width="8.85546875" style="105"/>
  </cols>
  <sheetData>
    <row r="1" spans="1:6" ht="18" customHeight="1" x14ac:dyDescent="0.6">
      <c r="A1" s="99" t="s">
        <v>0</v>
      </c>
      <c r="B1" s="100" t="s">
        <v>569</v>
      </c>
      <c r="C1" s="101"/>
      <c r="D1" s="102"/>
      <c r="E1" s="103"/>
      <c r="F1" s="104"/>
    </row>
    <row r="2" spans="1:6" ht="18" customHeight="1" x14ac:dyDescent="0.6">
      <c r="A2" s="106" t="s">
        <v>136</v>
      </c>
      <c r="B2" s="107" t="s">
        <v>568</v>
      </c>
      <c r="C2" s="108"/>
      <c r="D2" s="109"/>
      <c r="E2" s="110"/>
      <c r="F2" s="111"/>
    </row>
    <row r="3" spans="1:6" ht="18" customHeight="1" x14ac:dyDescent="0.6">
      <c r="A3" s="106" t="s">
        <v>132</v>
      </c>
      <c r="B3" s="107" t="s">
        <v>602</v>
      </c>
      <c r="C3" s="108"/>
      <c r="D3" s="109"/>
      <c r="E3" s="110"/>
      <c r="F3" s="111"/>
    </row>
    <row r="4" spans="1:6" ht="18" customHeight="1" x14ac:dyDescent="0.6">
      <c r="A4" s="106" t="s">
        <v>127</v>
      </c>
      <c r="B4" s="112">
        <v>45463</v>
      </c>
      <c r="C4" s="113"/>
      <c r="D4" s="109"/>
      <c r="E4" s="114"/>
      <c r="F4" s="111"/>
    </row>
    <row r="5" spans="1:6" ht="20.45" customHeight="1" x14ac:dyDescent="0.25">
      <c r="A5" s="435" t="s">
        <v>133</v>
      </c>
      <c r="B5" s="436"/>
      <c r="C5" s="436"/>
      <c r="D5" s="436"/>
      <c r="E5" s="436"/>
      <c r="F5" s="437"/>
    </row>
    <row r="6" spans="1:6" ht="20.45" customHeight="1" x14ac:dyDescent="0.25">
      <c r="A6" s="115"/>
      <c r="B6" s="116"/>
      <c r="C6" s="116"/>
      <c r="D6" s="116"/>
      <c r="E6" s="116"/>
      <c r="F6" s="117"/>
    </row>
    <row r="7" spans="1:6" ht="20.45" customHeight="1" x14ac:dyDescent="0.25">
      <c r="A7" s="115"/>
      <c r="B7" s="116"/>
      <c r="C7" s="116"/>
      <c r="D7" s="116"/>
      <c r="E7" s="116"/>
      <c r="F7" s="117"/>
    </row>
    <row r="8" spans="1:6" ht="20.45" customHeight="1" x14ac:dyDescent="0.25">
      <c r="A8" s="115"/>
      <c r="B8" s="116"/>
      <c r="C8" s="116"/>
      <c r="D8" s="116"/>
      <c r="E8" s="116"/>
      <c r="F8" s="117"/>
    </row>
    <row r="9" spans="1:6" ht="20.45" customHeight="1" x14ac:dyDescent="0.25">
      <c r="A9" s="115"/>
      <c r="B9" s="116"/>
      <c r="C9" s="116"/>
      <c r="D9" s="116"/>
      <c r="E9" s="116"/>
      <c r="F9" s="117"/>
    </row>
    <row r="10" spans="1:6" ht="20.45" customHeight="1" x14ac:dyDescent="0.25">
      <c r="A10" s="115"/>
      <c r="B10" s="116"/>
      <c r="C10" s="116"/>
      <c r="D10" s="116"/>
      <c r="E10" s="116"/>
      <c r="F10" s="117"/>
    </row>
    <row r="11" spans="1:6" ht="20.45" customHeight="1" x14ac:dyDescent="0.25">
      <c r="A11" s="115"/>
      <c r="B11" s="116"/>
      <c r="C11" s="116"/>
      <c r="D11" s="116"/>
      <c r="E11" s="116"/>
      <c r="F11" s="117"/>
    </row>
    <row r="12" spans="1:6" ht="20.45" customHeight="1" x14ac:dyDescent="0.25">
      <c r="A12" s="115"/>
      <c r="B12" s="116"/>
      <c r="C12" s="116"/>
      <c r="D12" s="116"/>
      <c r="E12" s="116"/>
      <c r="F12" s="117"/>
    </row>
    <row r="13" spans="1:6" ht="20.45" customHeight="1" x14ac:dyDescent="0.25">
      <c r="A13" s="115"/>
      <c r="B13" s="116"/>
      <c r="C13" s="116"/>
      <c r="D13" s="116"/>
      <c r="E13" s="116"/>
      <c r="F13" s="117"/>
    </row>
    <row r="14" spans="1:6" ht="20.45" customHeight="1" x14ac:dyDescent="0.25">
      <c r="A14" s="115"/>
      <c r="B14" s="116"/>
      <c r="C14" s="116"/>
      <c r="D14" s="116"/>
      <c r="E14" s="116"/>
      <c r="F14" s="117"/>
    </row>
    <row r="15" spans="1:6" ht="20.45" customHeight="1" x14ac:dyDescent="0.25">
      <c r="A15" s="115"/>
      <c r="B15" s="116"/>
      <c r="C15" s="116"/>
      <c r="D15" s="116"/>
      <c r="E15" s="116"/>
      <c r="F15" s="117"/>
    </row>
    <row r="16" spans="1:6" ht="20.45" customHeight="1" x14ac:dyDescent="0.25">
      <c r="A16" s="115"/>
      <c r="B16" s="116"/>
      <c r="C16" s="116"/>
      <c r="D16" s="116"/>
      <c r="E16" s="116"/>
      <c r="F16" s="117"/>
    </row>
    <row r="17" spans="1:6" ht="20.45" customHeight="1" x14ac:dyDescent="0.25">
      <c r="A17" s="115"/>
      <c r="B17" s="116"/>
      <c r="C17" s="116"/>
      <c r="D17" s="116"/>
      <c r="E17" s="116"/>
      <c r="F17" s="117"/>
    </row>
    <row r="18" spans="1:6" ht="20.45" customHeight="1" x14ac:dyDescent="0.25">
      <c r="A18" s="115"/>
      <c r="B18" s="116"/>
      <c r="C18" s="116"/>
      <c r="D18" s="116"/>
      <c r="E18" s="116"/>
      <c r="F18" s="117"/>
    </row>
    <row r="19" spans="1:6" ht="20.45" customHeight="1" x14ac:dyDescent="0.25">
      <c r="A19" s="115"/>
      <c r="B19" s="116"/>
      <c r="C19" s="116"/>
      <c r="D19" s="116"/>
      <c r="E19" s="116"/>
      <c r="F19" s="117"/>
    </row>
    <row r="20" spans="1:6" ht="20.45" customHeight="1" x14ac:dyDescent="0.25">
      <c r="A20" s="115"/>
      <c r="B20" s="116"/>
      <c r="C20" s="116"/>
      <c r="D20" s="116"/>
      <c r="E20" s="116"/>
      <c r="F20" s="117"/>
    </row>
    <row r="21" spans="1:6" ht="20.45" customHeight="1" x14ac:dyDescent="0.25">
      <c r="A21" s="115"/>
      <c r="B21" s="116"/>
      <c r="C21" s="116"/>
      <c r="D21" s="116"/>
      <c r="E21" s="116"/>
      <c r="F21" s="117"/>
    </row>
    <row r="22" spans="1:6" ht="20.45" customHeight="1" x14ac:dyDescent="0.25">
      <c r="A22" s="115"/>
      <c r="B22" s="116"/>
      <c r="C22" s="116"/>
      <c r="D22" s="116"/>
      <c r="E22" s="116"/>
      <c r="F22" s="117"/>
    </row>
    <row r="23" spans="1:6" ht="20.45" customHeight="1" x14ac:dyDescent="0.25">
      <c r="A23" s="115"/>
      <c r="B23" s="116"/>
      <c r="C23" s="116"/>
      <c r="D23" s="116"/>
      <c r="E23" s="116"/>
      <c r="F23" s="117"/>
    </row>
    <row r="24" spans="1:6" ht="20.45" customHeight="1" x14ac:dyDescent="0.25">
      <c r="A24" s="115"/>
      <c r="B24" s="116"/>
      <c r="C24" s="116"/>
      <c r="D24" s="116"/>
      <c r="E24" s="116"/>
      <c r="F24" s="117"/>
    </row>
    <row r="25" spans="1:6" ht="20.45" customHeight="1" x14ac:dyDescent="0.25">
      <c r="A25" s="115"/>
      <c r="B25" s="116"/>
      <c r="C25" s="116"/>
      <c r="D25" s="116"/>
      <c r="E25" s="116"/>
      <c r="F25" s="117"/>
    </row>
    <row r="26" spans="1:6" ht="20.45" customHeight="1" x14ac:dyDescent="0.25">
      <c r="A26" s="438" t="str">
        <f>"ORÇAMENTO EXECUTIVO - "&amp;UPPER(B1)</f>
        <v>ORÇAMENTO EXECUTIVO - ACÁCIAS FLOWE'S HOSP.</v>
      </c>
      <c r="B26" s="439"/>
      <c r="C26" s="439"/>
      <c r="D26" s="439"/>
      <c r="E26" s="439"/>
      <c r="F26" s="440"/>
    </row>
    <row r="27" spans="1:6" ht="20.45" customHeight="1" x14ac:dyDescent="0.25">
      <c r="A27" s="438"/>
      <c r="B27" s="439"/>
      <c r="C27" s="439"/>
      <c r="D27" s="439"/>
      <c r="E27" s="439"/>
      <c r="F27" s="440"/>
    </row>
    <row r="28" spans="1:6" ht="36" customHeight="1" x14ac:dyDescent="0.25">
      <c r="A28" s="441" t="str">
        <f>B2</f>
        <v>Construtora ALL Empreendimentos</v>
      </c>
      <c r="B28" s="442"/>
      <c r="C28" s="442"/>
      <c r="D28" s="442"/>
      <c r="E28" s="442"/>
      <c r="F28" s="443"/>
    </row>
    <row r="29" spans="1:6" ht="20.45" customHeight="1" x14ac:dyDescent="0.25">
      <c r="A29" s="115"/>
      <c r="B29" s="116"/>
      <c r="C29" s="116"/>
      <c r="D29" s="116"/>
      <c r="E29" s="116"/>
      <c r="F29" s="117"/>
    </row>
    <row r="30" spans="1:6" ht="20.45" customHeight="1" x14ac:dyDescent="0.25">
      <c r="A30" s="115"/>
      <c r="B30" s="116"/>
      <c r="C30" s="116"/>
      <c r="D30" s="116"/>
      <c r="E30" s="116"/>
      <c r="F30" s="117"/>
    </row>
    <row r="31" spans="1:6" ht="20.45" customHeight="1" x14ac:dyDescent="0.25">
      <c r="A31" s="115"/>
      <c r="B31" s="116"/>
      <c r="C31" s="116"/>
      <c r="D31" s="116"/>
      <c r="E31" s="116"/>
      <c r="F31" s="117"/>
    </row>
    <row r="32" spans="1:6" ht="20.45" customHeight="1" x14ac:dyDescent="0.25">
      <c r="A32" s="115"/>
      <c r="B32" s="116"/>
      <c r="C32" s="116"/>
      <c r="D32" s="116"/>
      <c r="E32" s="116"/>
      <c r="F32" s="117"/>
    </row>
    <row r="33" spans="1:6" ht="20.45" customHeight="1" x14ac:dyDescent="0.25">
      <c r="A33" s="115"/>
      <c r="B33" s="116"/>
      <c r="C33" s="116"/>
      <c r="D33" s="116"/>
      <c r="E33" s="116"/>
      <c r="F33" s="117"/>
    </row>
    <row r="34" spans="1:6" ht="20.45" customHeight="1" x14ac:dyDescent="0.25">
      <c r="A34" s="115"/>
      <c r="B34" s="116"/>
      <c r="C34" s="116"/>
      <c r="D34" s="116"/>
      <c r="E34" s="116"/>
      <c r="F34" s="117"/>
    </row>
    <row r="35" spans="1:6" ht="20.45" customHeight="1" x14ac:dyDescent="0.25">
      <c r="A35" s="115"/>
      <c r="B35" s="116"/>
      <c r="C35" s="116"/>
      <c r="D35" s="116"/>
      <c r="E35" s="116"/>
      <c r="F35" s="117"/>
    </row>
    <row r="36" spans="1:6" ht="20.45" customHeight="1" x14ac:dyDescent="0.25">
      <c r="A36" s="115"/>
      <c r="B36" s="116"/>
      <c r="C36" s="116"/>
      <c r="D36" s="116"/>
      <c r="E36" s="116"/>
      <c r="F36" s="117"/>
    </row>
    <row r="37" spans="1:6" ht="20.45" customHeight="1" x14ac:dyDescent="0.25">
      <c r="A37" s="115"/>
      <c r="B37" s="116"/>
      <c r="C37" s="116"/>
      <c r="D37" s="116"/>
      <c r="E37" s="116"/>
      <c r="F37" s="117"/>
    </row>
    <row r="38" spans="1:6" ht="20.45" customHeight="1" x14ac:dyDescent="0.25">
      <c r="A38" s="115"/>
      <c r="B38" s="116"/>
      <c r="C38" s="116"/>
      <c r="D38" s="116"/>
      <c r="E38" s="116"/>
      <c r="F38" s="117"/>
    </row>
    <row r="39" spans="1:6" ht="20.45" customHeight="1" x14ac:dyDescent="0.25">
      <c r="A39" s="115"/>
      <c r="B39" s="116"/>
      <c r="C39" s="116"/>
      <c r="D39" s="116"/>
      <c r="E39" s="116"/>
      <c r="F39" s="117"/>
    </row>
    <row r="40" spans="1:6" ht="20.45" customHeight="1" x14ac:dyDescent="0.25">
      <c r="A40" s="115"/>
      <c r="B40" s="116"/>
      <c r="C40" s="116"/>
      <c r="D40" s="116"/>
      <c r="E40" s="116"/>
      <c r="F40" s="117"/>
    </row>
    <row r="41" spans="1:6" ht="20.45" customHeight="1" x14ac:dyDescent="0.25">
      <c r="A41" s="115"/>
      <c r="B41" s="116"/>
      <c r="C41" s="116"/>
      <c r="D41" s="116"/>
      <c r="E41" s="116"/>
      <c r="F41" s="117"/>
    </row>
    <row r="42" spans="1:6" ht="20.45" customHeight="1" x14ac:dyDescent="0.25">
      <c r="A42" s="115"/>
      <c r="B42" s="116"/>
      <c r="C42" s="116"/>
      <c r="D42" s="116"/>
      <c r="E42" s="116"/>
      <c r="F42" s="117"/>
    </row>
    <row r="43" spans="1:6" ht="20.45" customHeight="1" x14ac:dyDescent="0.25">
      <c r="A43" s="115"/>
      <c r="B43" s="116"/>
      <c r="C43" s="116"/>
      <c r="D43" s="116"/>
      <c r="E43" s="116"/>
      <c r="F43" s="117"/>
    </row>
    <row r="44" spans="1:6" ht="20.45" customHeight="1" x14ac:dyDescent="0.25">
      <c r="A44" s="115"/>
      <c r="B44" s="116"/>
      <c r="C44" s="116"/>
      <c r="D44" s="116"/>
      <c r="E44" s="116"/>
      <c r="F44" s="117"/>
    </row>
    <row r="45" spans="1:6" ht="20.45" customHeight="1" x14ac:dyDescent="0.25">
      <c r="A45" s="115"/>
      <c r="B45" s="116"/>
      <c r="C45" s="116"/>
      <c r="D45" s="116"/>
      <c r="E45" s="116"/>
      <c r="F45" s="117"/>
    </row>
    <row r="46" spans="1:6" ht="20.45" customHeight="1" x14ac:dyDescent="0.25">
      <c r="A46" s="115"/>
      <c r="B46" s="116"/>
      <c r="C46" s="116"/>
      <c r="D46" s="116"/>
      <c r="E46" s="116"/>
      <c r="F46" s="117"/>
    </row>
    <row r="47" spans="1:6" ht="20.45" customHeight="1" x14ac:dyDescent="0.25">
      <c r="A47" s="115"/>
      <c r="B47" s="116"/>
      <c r="C47" s="116"/>
      <c r="D47" s="116"/>
      <c r="E47" s="116"/>
      <c r="F47" s="117"/>
    </row>
    <row r="48" spans="1:6" ht="20.45" customHeight="1" x14ac:dyDescent="0.25">
      <c r="A48" s="115"/>
      <c r="B48" s="116"/>
      <c r="C48" s="116"/>
      <c r="D48" s="116"/>
      <c r="E48" s="116"/>
      <c r="F48" s="117"/>
    </row>
    <row r="49" spans="1:6" ht="20.45" customHeight="1" x14ac:dyDescent="0.25">
      <c r="A49" s="115"/>
      <c r="B49" s="116"/>
      <c r="C49" s="116"/>
      <c r="D49" s="116"/>
      <c r="E49" s="116"/>
      <c r="F49" s="117"/>
    </row>
    <row r="50" spans="1:6" ht="20.45" customHeight="1" x14ac:dyDescent="0.25">
      <c r="A50" s="115"/>
      <c r="B50" s="116"/>
      <c r="C50" s="116"/>
      <c r="D50" s="116"/>
      <c r="E50" s="116"/>
      <c r="F50" s="117"/>
    </row>
    <row r="51" spans="1:6" ht="20.45" customHeight="1" x14ac:dyDescent="0.25">
      <c r="A51" s="115"/>
      <c r="B51" s="116"/>
      <c r="C51" s="116"/>
      <c r="D51" s="116"/>
      <c r="E51" s="116"/>
      <c r="F51" s="117"/>
    </row>
    <row r="52" spans="1:6" ht="20.45" customHeight="1" x14ac:dyDescent="0.25">
      <c r="A52" s="115"/>
      <c r="B52" s="116"/>
      <c r="C52" s="116"/>
      <c r="D52" s="116"/>
      <c r="E52" s="116"/>
      <c r="F52" s="117"/>
    </row>
    <row r="53" spans="1:6" ht="20.45" customHeight="1" x14ac:dyDescent="0.25">
      <c r="A53" s="115"/>
      <c r="B53" s="116"/>
      <c r="C53" s="116"/>
      <c r="D53" s="116"/>
      <c r="E53" s="116"/>
      <c r="F53" s="117"/>
    </row>
    <row r="54" spans="1:6" ht="20.45" customHeight="1" x14ac:dyDescent="0.25">
      <c r="A54" s="115"/>
      <c r="B54" s="116"/>
      <c r="C54" s="116"/>
      <c r="D54" s="116"/>
      <c r="E54" s="116"/>
      <c r="F54" s="117"/>
    </row>
    <row r="55" spans="1:6" ht="20.45" customHeight="1" x14ac:dyDescent="0.25">
      <c r="A55" s="444" t="str">
        <f>"Itajaí, "&amp;TEXT(B4,"mmmm")&amp;" de "&amp;TEXT(B4,"aaa")</f>
        <v>Itajaí, junho de 2024</v>
      </c>
      <c r="B55" s="445"/>
      <c r="C55" s="445"/>
      <c r="D55" s="445"/>
      <c r="E55" s="445"/>
      <c r="F55" s="446"/>
    </row>
    <row r="56" spans="1:6" ht="20.45" customHeight="1" thickBot="1" x14ac:dyDescent="0.3">
      <c r="A56" s="118"/>
      <c r="B56" s="119"/>
      <c r="C56" s="119"/>
      <c r="D56" s="119"/>
      <c r="E56" s="119"/>
      <c r="F56" s="120"/>
    </row>
    <row r="57" spans="1:6" ht="20.45" customHeight="1" x14ac:dyDescent="0.25">
      <c r="A57" s="116"/>
      <c r="B57" s="116"/>
      <c r="C57" s="116"/>
      <c r="D57" s="116"/>
      <c r="E57" s="116"/>
      <c r="F57" s="116"/>
    </row>
  </sheetData>
  <mergeCells count="4">
    <mergeCell ref="A5:F5"/>
    <mergeCell ref="A26:F27"/>
    <mergeCell ref="A28:F28"/>
    <mergeCell ref="A55:F55"/>
  </mergeCells>
  <pageMargins left="0.51181102362204722" right="0.51181102362204722" top="0.78740157480314965" bottom="0.78740157480314965" header="0.31496062992125984" footer="0.31496062992125984"/>
  <pageSetup paperSize="9" scale="5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E2AA-D193-4566-9A75-88D8D5866572}">
  <sheetPr>
    <tabColor rgb="FF1851D6"/>
  </sheetPr>
  <dimension ref="A1:M175"/>
  <sheetViews>
    <sheetView workbookViewId="0">
      <pane ySplit="5" topLeftCell="A51" activePane="bottomLeft" state="frozen"/>
      <selection pane="bottomLeft" activeCell="K1" sqref="K1"/>
    </sheetView>
  </sheetViews>
  <sheetFormatPr defaultRowHeight="12.75" x14ac:dyDescent="0.2"/>
  <cols>
    <col min="1" max="1" width="78.85546875" bestFit="1" customWidth="1"/>
    <col min="2" max="2" width="6" customWidth="1"/>
    <col min="3" max="3" width="7.5703125" customWidth="1"/>
    <col min="4" max="4" width="17.85546875" customWidth="1"/>
    <col min="5" max="5" width="11" bestFit="1" customWidth="1"/>
    <col min="9" max="9" width="13.140625" bestFit="1" customWidth="1"/>
    <col min="10" max="10" width="12" bestFit="1" customWidth="1"/>
    <col min="11" max="11" width="13.140625" bestFit="1" customWidth="1"/>
    <col min="12" max="12" width="12" bestFit="1" customWidth="1"/>
    <col min="13" max="13" width="11" bestFit="1" customWidth="1"/>
  </cols>
  <sheetData>
    <row r="1" spans="1:13" x14ac:dyDescent="0.2">
      <c r="G1" t="s">
        <v>1127</v>
      </c>
      <c r="H1" t="s">
        <v>1126</v>
      </c>
      <c r="I1" s="375">
        <f ca="1">E8+E18+E19+E23+E33+E34+E38+E48+E49+E53+E64+E65+E69+E77+E78</f>
        <v>274173.64126000006</v>
      </c>
      <c r="J1" t="s">
        <v>1126</v>
      </c>
      <c r="K1" s="375">
        <f ca="1">I1+I3</f>
        <v>399462.74618800008</v>
      </c>
      <c r="L1" s="375"/>
      <c r="M1" s="375"/>
    </row>
    <row r="2" spans="1:13" x14ac:dyDescent="0.2">
      <c r="G2" t="s">
        <v>1127</v>
      </c>
      <c r="H2" t="s">
        <v>1129</v>
      </c>
      <c r="I2" s="375">
        <f ca="1">E6-I1</f>
        <v>123061.53370869526</v>
      </c>
      <c r="J2" t="s">
        <v>1129</v>
      </c>
      <c r="K2" s="375">
        <f ca="1">I2+I4</f>
        <v>444162.30797547527</v>
      </c>
    </row>
    <row r="3" spans="1:13" x14ac:dyDescent="0.2">
      <c r="G3" t="s">
        <v>1128</v>
      </c>
      <c r="H3" t="s">
        <v>1126</v>
      </c>
      <c r="I3" s="375">
        <f ca="1">E82+E94+E95+E101+E117+E125+E139+E146+E161+E168+E174</f>
        <v>125289.104928</v>
      </c>
    </row>
    <row r="4" spans="1:13" x14ac:dyDescent="0.2">
      <c r="G4" t="s">
        <v>1128</v>
      </c>
      <c r="H4" t="s">
        <v>1129</v>
      </c>
      <c r="I4" s="375">
        <f ca="1">E80-I3</f>
        <v>321100.77426678</v>
      </c>
    </row>
    <row r="5" spans="1:13" ht="22.5" x14ac:dyDescent="0.2">
      <c r="A5" s="188" t="s">
        <v>7</v>
      </c>
      <c r="B5" s="190" t="s">
        <v>12</v>
      </c>
      <c r="C5" s="191" t="s">
        <v>15</v>
      </c>
      <c r="D5" s="193" t="s">
        <v>28</v>
      </c>
      <c r="E5" s="194" t="s">
        <v>92</v>
      </c>
    </row>
    <row r="6" spans="1:13" x14ac:dyDescent="0.2">
      <c r="A6" s="233" t="str">
        <f>Orçamento!$S$1210</f>
        <v xml:space="preserve">   REVESTIMENTOS INTERNOS DE PAREDE</v>
      </c>
      <c r="B6" s="242" t="str">
        <f>Orçamento!$T$1210</f>
        <v/>
      </c>
      <c r="C6" s="235" t="str">
        <f>Orçamento!$U$1210</f>
        <v/>
      </c>
      <c r="D6" s="236" t="str">
        <f>Orçamento!$Y$1210</f>
        <v/>
      </c>
      <c r="E6" s="237">
        <f ca="1">Orçamento!$Z$1210</f>
        <v>397235.17496869533</v>
      </c>
    </row>
    <row r="7" spans="1:13" x14ac:dyDescent="0.2">
      <c r="A7" s="233" t="str">
        <f>Orçamento!$S$1211</f>
        <v xml:space="preserve">   REVESTIMENTOS INTERNOS DE PAREDE - 1º PAVIMENTO - SUBSOLO</v>
      </c>
      <c r="B7" s="242" t="str">
        <f>Orçamento!$T$1211</f>
        <v/>
      </c>
      <c r="C7" s="235" t="str">
        <f>Orçamento!$U$1211</f>
        <v/>
      </c>
      <c r="D7" s="236" t="str">
        <f>Orçamento!$Y$1211</f>
        <v/>
      </c>
      <c r="E7" s="237">
        <f ca="1">Orçamento!$Z$1211</f>
        <v>36323.972902451831</v>
      </c>
    </row>
    <row r="8" spans="1:13" x14ac:dyDescent="0.2">
      <c r="A8" s="233" t="str">
        <f>Orçamento!$S$1212</f>
        <v xml:space="preserve">   Reboco</v>
      </c>
      <c r="B8" s="242" t="str">
        <f>Orçamento!$T$1212</f>
        <v/>
      </c>
      <c r="C8" s="235" t="str">
        <f>Orçamento!$U$1212</f>
        <v/>
      </c>
      <c r="D8" s="236" t="str">
        <f>Orçamento!$Y$1212</f>
        <v/>
      </c>
      <c r="E8" s="237">
        <f ca="1">Orçamento!$Z$1212</f>
        <v>11199.67028</v>
      </c>
    </row>
    <row r="9" spans="1:13" x14ac:dyDescent="0.2">
      <c r="A9" s="233" t="str">
        <f>Orçamento!$S$1213</f>
        <v>Chapisco aplicado em estruturas de concreto, com desempenadeira dentada, de argamassa industrializada</v>
      </c>
      <c r="B9" s="242" t="str">
        <f>Orçamento!$T$1213</f>
        <v>M2</v>
      </c>
      <c r="C9" s="235">
        <f>Orçamento!$U$1213</f>
        <v>223.73</v>
      </c>
      <c r="D9" s="236">
        <f ca="1">Orçamento!$Y$1213</f>
        <v>5.5020000000000007</v>
      </c>
      <c r="E9" s="237">
        <f ca="1">Orçamento!$Z$1213</f>
        <v>1230.9624600000002</v>
      </c>
    </row>
    <row r="10" spans="1:13" x14ac:dyDescent="0.2">
      <c r="A10" s="233" t="str">
        <f>Orçamento!$S$1215</f>
        <v>Chapisco aplicado em alvenarias internas, com colher de pedreiro, de argamassa estabilizada</v>
      </c>
      <c r="B10" s="242" t="str">
        <f>Orçamento!$T$1215</f>
        <v>M2</v>
      </c>
      <c r="C10" s="235">
        <f>Orçamento!$U$1215</f>
        <v>203.57</v>
      </c>
      <c r="D10" s="236">
        <f ca="1">Orçamento!$Y$1215</f>
        <v>7.93</v>
      </c>
      <c r="E10" s="237">
        <f ca="1">Orçamento!$Z$1215</f>
        <v>1614.3100999999999</v>
      </c>
    </row>
    <row r="11" spans="1:13" x14ac:dyDescent="0.2">
      <c r="A11" s="233" t="str">
        <f>Orçamento!$S$1217</f>
        <v>Massa unica para reboco interno em argamassa estabilizada, espessura de 20mm, com execucao de taliscas</v>
      </c>
      <c r="B11" s="242" t="str">
        <f>Orçamento!$T$1217</f>
        <v>M2</v>
      </c>
      <c r="C11" s="235">
        <f>Orçamento!$U$1217</f>
        <v>427.3</v>
      </c>
      <c r="D11" s="236">
        <f ca="1">Orçamento!$Y$1217</f>
        <v>19.008000000000003</v>
      </c>
      <c r="E11" s="237">
        <f ca="1">Orçamento!$Z$1217</f>
        <v>8122.1184000000012</v>
      </c>
    </row>
    <row r="12" spans="1:13" x14ac:dyDescent="0.2">
      <c r="A12" s="233" t="str">
        <f>Orçamento!$S$1219</f>
        <v>Estucamento de estrutura de concreto em pilares e vigas</v>
      </c>
      <c r="B12" s="242" t="str">
        <f>Orçamento!$T$1219</f>
        <v>M2</v>
      </c>
      <c r="C12" s="235">
        <f>Orçamento!$U$1219</f>
        <v>57.36</v>
      </c>
      <c r="D12" s="236">
        <f ca="1">Orçamento!$Y$1219</f>
        <v>4.0495000000000001</v>
      </c>
      <c r="E12" s="237">
        <f ca="1">Orçamento!$Z$1219</f>
        <v>232.27932000000001</v>
      </c>
    </row>
    <row r="13" spans="1:13" x14ac:dyDescent="0.2">
      <c r="A13" s="233" t="str">
        <f>Orçamento!$S$1224</f>
        <v xml:space="preserve">   Acabamentos Cerâmicos e Porcelanatos</v>
      </c>
      <c r="B13" s="242" t="str">
        <f>Orçamento!$T$1224</f>
        <v/>
      </c>
      <c r="C13" s="235" t="str">
        <f>Orçamento!$U$1224</f>
        <v/>
      </c>
      <c r="D13" s="236" t="str">
        <f>Orçamento!$Y$1224</f>
        <v/>
      </c>
      <c r="E13" s="237">
        <f ca="1">Orçamento!$Z$1224</f>
        <v>2161.6074999999996</v>
      </c>
    </row>
    <row r="14" spans="1:13" x14ac:dyDescent="0.2">
      <c r="A14" s="233" t="str">
        <f>Orçamento!$S$1225</f>
        <v>Revestimento em Cerâmica 60x60cm interno</v>
      </c>
      <c r="B14" s="242" t="str">
        <f>Orçamento!$T$1225</f>
        <v>M2</v>
      </c>
      <c r="C14" s="235">
        <f>Orçamento!$U$1225</f>
        <v>32.5</v>
      </c>
      <c r="D14" s="236">
        <f ca="1">Orçamento!$Y$1225</f>
        <v>66.510999999999981</v>
      </c>
      <c r="E14" s="237">
        <f ca="1">Orçamento!$Z$1225</f>
        <v>2161.6074999999996</v>
      </c>
    </row>
    <row r="15" spans="1:13" x14ac:dyDescent="0.2">
      <c r="A15" s="233" t="str">
        <f>Orçamento!$S$1230</f>
        <v xml:space="preserve">   Peitoris</v>
      </c>
      <c r="B15" s="242" t="str">
        <f>Orçamento!$T$1230</f>
        <v/>
      </c>
      <c r="C15" s="235" t="str">
        <f>Orçamento!$U$1230</f>
        <v/>
      </c>
      <c r="D15" s="236" t="str">
        <f>Orçamento!$Y$1230</f>
        <v/>
      </c>
      <c r="E15" s="237">
        <f ca="1">Orçamento!$Z$1230</f>
        <v>261.61177500000002</v>
      </c>
    </row>
    <row r="16" spans="1:13" x14ac:dyDescent="0.2">
      <c r="A16" s="233" t="str">
        <f>Orçamento!$S$1231</f>
        <v>Peitoril em granito, acabamento polido, espessura 2cm</v>
      </c>
      <c r="B16" s="242" t="str">
        <f>Orçamento!$T$1231</f>
        <v>M</v>
      </c>
      <c r="C16" s="235">
        <f>Orçamento!$U$1231</f>
        <v>2.7</v>
      </c>
      <c r="D16" s="236">
        <f ca="1">Orçamento!$Y$1231</f>
        <v>96.893250000000009</v>
      </c>
      <c r="E16" s="237">
        <f ca="1">Orçamento!$Z$1231</f>
        <v>261.61177500000002</v>
      </c>
    </row>
    <row r="17" spans="1:5" x14ac:dyDescent="0.2">
      <c r="A17" s="233" t="str">
        <f>Orçamento!$S$1234</f>
        <v xml:space="preserve">   Mão de Obra</v>
      </c>
      <c r="B17" s="242" t="str">
        <f>Orçamento!$T$1234</f>
        <v/>
      </c>
      <c r="C17" s="235" t="str">
        <f>Orçamento!$U$1234</f>
        <v/>
      </c>
      <c r="D17" s="236" t="str">
        <f>Orçamento!$Y$1234</f>
        <v/>
      </c>
      <c r="E17" s="237">
        <f ca="1">Orçamento!$Z$1234</f>
        <v>22701.083347451829</v>
      </c>
    </row>
    <row r="18" spans="1:5" x14ac:dyDescent="0.2">
      <c r="A18" s="233" t="str">
        <f>Orçamento!$S$1235</f>
        <v>Mao de obra para reboco interno, incluindo chapisco</v>
      </c>
      <c r="B18" s="242" t="str">
        <f>Orçamento!$T$1235</f>
        <v>M2</v>
      </c>
      <c r="C18" s="235">
        <f>Orçamento!$U$1235</f>
        <v>427.3</v>
      </c>
      <c r="D18" s="236">
        <f ca="1">Orçamento!$Y$1235</f>
        <v>40.637259305842548</v>
      </c>
      <c r="E18" s="237">
        <f ca="1">Orçamento!$Z$1235</f>
        <v>17364.300901386519</v>
      </c>
    </row>
    <row r="19" spans="1:5" x14ac:dyDescent="0.2">
      <c r="A19" s="233" t="str">
        <f>Orçamento!$S$1237</f>
        <v>Mao de obra para estucamento de estrutura em concreto</v>
      </c>
      <c r="B19" s="242" t="str">
        <f>Orçamento!$T$1237</f>
        <v>M2</v>
      </c>
      <c r="C19" s="235">
        <f>Orçamento!$U$1237</f>
        <v>57.36</v>
      </c>
      <c r="D19" s="236">
        <f ca="1">Orçamento!$Y$1237</f>
        <v>50.894746969405425</v>
      </c>
      <c r="E19" s="237">
        <f ca="1">Orçamento!$Z$1237</f>
        <v>2919.3226861650951</v>
      </c>
    </row>
    <row r="20" spans="1:5" x14ac:dyDescent="0.2">
      <c r="A20" s="233" t="str">
        <f>Orçamento!$S$1239</f>
        <v>Mao de obra para colocacao e rejuntamento de Azulejo Cerâmico</v>
      </c>
      <c r="B20" s="242" t="str">
        <f>Orçamento!$T$1239</f>
        <v>M2</v>
      </c>
      <c r="C20" s="235">
        <f>Orçamento!$U$1239</f>
        <v>32.5</v>
      </c>
      <c r="D20" s="236">
        <f ca="1">Orçamento!$Y$1239</f>
        <v>73.511069535391343</v>
      </c>
      <c r="E20" s="237">
        <f ca="1">Orçamento!$Z$1239</f>
        <v>2389.1097599002187</v>
      </c>
    </row>
    <row r="21" spans="1:5" x14ac:dyDescent="0.2">
      <c r="A21" s="233" t="str">
        <f>Orçamento!$S$1241</f>
        <v>Mao de obra para colocacao de peitoril</v>
      </c>
      <c r="B21" s="242" t="str">
        <f>Orçamento!$T$1241</f>
        <v>M</v>
      </c>
      <c r="C21" s="235">
        <f>Orçamento!$U$1241</f>
        <v>2.7</v>
      </c>
      <c r="D21" s="236">
        <f ca="1">Orçamento!$Y$1241</f>
        <v>10.5</v>
      </c>
      <c r="E21" s="237">
        <f ca="1">Orçamento!$Z$1241</f>
        <v>28.35</v>
      </c>
    </row>
    <row r="22" spans="1:5" x14ac:dyDescent="0.2">
      <c r="A22" s="233" t="str">
        <f>Orçamento!$S$1243</f>
        <v xml:space="preserve">   REVESTIMENTOS INTERNOS DE PAREDE - 2º PAVIMENTO - TÉRREO</v>
      </c>
      <c r="B22" s="242" t="str">
        <f>Orçamento!$T$1243</f>
        <v/>
      </c>
      <c r="C22" s="235" t="str">
        <f>Orçamento!$U$1243</f>
        <v/>
      </c>
      <c r="D22" s="236" t="str">
        <f>Orçamento!$Y$1243</f>
        <v/>
      </c>
      <c r="E22" s="237">
        <f ca="1">Orçamento!$Z$1243</f>
        <v>39428.126829291177</v>
      </c>
    </row>
    <row r="23" spans="1:5" x14ac:dyDescent="0.2">
      <c r="A23" s="233" t="str">
        <f>Orçamento!$S$1244</f>
        <v xml:space="preserve">   Reboco</v>
      </c>
      <c r="B23" s="242" t="str">
        <f>Orçamento!$T$1244</f>
        <v/>
      </c>
      <c r="C23" s="235" t="str">
        <f>Orçamento!$U$1244</f>
        <v/>
      </c>
      <c r="D23" s="236" t="str">
        <f>Orçamento!$Y$1244</f>
        <v/>
      </c>
      <c r="E23" s="237">
        <f ca="1">Orçamento!$Z$1244</f>
        <v>9707.3524899999993</v>
      </c>
    </row>
    <row r="24" spans="1:5" x14ac:dyDescent="0.2">
      <c r="A24" s="233" t="str">
        <f>Orçamento!$S$1245</f>
        <v>Chapisco aplicado em estruturas de concreto, com desempenadeira dentada, de argamassa industrializada</v>
      </c>
      <c r="B24" s="242" t="str">
        <f>Orçamento!$T$1245</f>
        <v>M2</v>
      </c>
      <c r="C24" s="235">
        <f>Orçamento!$U$1245</f>
        <v>67.914000000000001</v>
      </c>
      <c r="D24" s="236">
        <f ca="1">Orçamento!$Y$1245</f>
        <v>5.5020000000000007</v>
      </c>
      <c r="E24" s="237">
        <f ca="1">Orçamento!$Z$1245</f>
        <v>373.66282800000005</v>
      </c>
    </row>
    <row r="25" spans="1:5" x14ac:dyDescent="0.2">
      <c r="A25" s="233" t="str">
        <f>Orçamento!$S$1247</f>
        <v>Chapisco aplicado em alvenarias internas, com colher de pedreiro, de argamassa estabilizada</v>
      </c>
      <c r="B25" s="242" t="str">
        <f>Orçamento!$T$1247</f>
        <v>M2</v>
      </c>
      <c r="C25" s="235">
        <f>Orçamento!$U$1247</f>
        <v>203.57</v>
      </c>
      <c r="D25" s="236">
        <f ca="1">Orçamento!$Y$1247</f>
        <v>7.93</v>
      </c>
      <c r="E25" s="237">
        <f ca="1">Orçamento!$Z$1247</f>
        <v>1614.3100999999999</v>
      </c>
    </row>
    <row r="26" spans="1:5" x14ac:dyDescent="0.2">
      <c r="A26" s="233" t="str">
        <f>Orçamento!$S$1249</f>
        <v>Massa unica para reboco interno em argamassa estabilizada, espessura de 20mm, com execucao de taliscas</v>
      </c>
      <c r="B26" s="242" t="str">
        <f>Orçamento!$T$1249</f>
        <v>M2</v>
      </c>
      <c r="C26" s="235">
        <f>Orçamento!$U$1249</f>
        <v>401.63400000000001</v>
      </c>
      <c r="D26" s="236">
        <f ca="1">Orçamento!$Y$1249</f>
        <v>19.008000000000003</v>
      </c>
      <c r="E26" s="237">
        <f ca="1">Orçamento!$Z$1249</f>
        <v>7634.2590720000017</v>
      </c>
    </row>
    <row r="27" spans="1:5" x14ac:dyDescent="0.2">
      <c r="A27" s="233" t="str">
        <f>Orçamento!$S$1251</f>
        <v>Estucamento de estrutura de concreto em pilares e vigas</v>
      </c>
      <c r="B27" s="242" t="str">
        <f>Orçamento!$T$1251</f>
        <v>M2</v>
      </c>
      <c r="C27" s="235">
        <f>Orçamento!$U$1251</f>
        <v>21.02</v>
      </c>
      <c r="D27" s="236">
        <f ca="1">Orçamento!$Y$1251</f>
        <v>4.0495000000000001</v>
      </c>
      <c r="E27" s="237">
        <f ca="1">Orçamento!$Z$1251</f>
        <v>85.120490000000004</v>
      </c>
    </row>
    <row r="28" spans="1:5" x14ac:dyDescent="0.2">
      <c r="A28" s="233" t="str">
        <f>Orçamento!$S$1256</f>
        <v xml:space="preserve">   Acabamentos Cerâmicos e Porcelanatos</v>
      </c>
      <c r="B28" s="242" t="str">
        <f>Orçamento!$T$1256</f>
        <v/>
      </c>
      <c r="C28" s="235" t="str">
        <f>Orçamento!$U$1256</f>
        <v/>
      </c>
      <c r="D28" s="236" t="str">
        <f>Orçamento!$Y$1256</f>
        <v/>
      </c>
      <c r="E28" s="237">
        <f ca="1">Orçamento!$Z$1256</f>
        <v>4616.5285099999992</v>
      </c>
    </row>
    <row r="29" spans="1:5" x14ac:dyDescent="0.2">
      <c r="A29" s="233" t="str">
        <f>Orçamento!$S$1257</f>
        <v>Revestimento em Cerâmica 60x60cm interno</v>
      </c>
      <c r="B29" s="242" t="str">
        <f>Orçamento!$T$1257</f>
        <v>M2</v>
      </c>
      <c r="C29" s="235">
        <f>Orçamento!$U$1257</f>
        <v>69.41</v>
      </c>
      <c r="D29" s="236">
        <f ca="1">Orçamento!$Y$1257</f>
        <v>66.510999999999981</v>
      </c>
      <c r="E29" s="237">
        <f ca="1">Orçamento!$Z$1257</f>
        <v>4616.5285099999983</v>
      </c>
    </row>
    <row r="30" spans="1:5" x14ac:dyDescent="0.2">
      <c r="A30" s="233" t="str">
        <f>Orçamento!$S$1262</f>
        <v xml:space="preserve">   Peitoris</v>
      </c>
      <c r="B30" s="242" t="str">
        <f>Orçamento!$T$1262</f>
        <v/>
      </c>
      <c r="C30" s="235" t="str">
        <f>Orçamento!$U$1262</f>
        <v/>
      </c>
      <c r="D30" s="236" t="str">
        <f>Orçamento!$Y$1262</f>
        <v/>
      </c>
      <c r="E30" s="237">
        <f ca="1">Orçamento!$Z$1262</f>
        <v>2355.4749074999995</v>
      </c>
    </row>
    <row r="31" spans="1:5" x14ac:dyDescent="0.2">
      <c r="A31" s="233" t="str">
        <f>Orçamento!$S$1263</f>
        <v>Peitoril em granito, acabamento polido, espessura 2cm</v>
      </c>
      <c r="B31" s="242" t="str">
        <f>Orçamento!$T$1263</f>
        <v>M</v>
      </c>
      <c r="C31" s="235">
        <f>Orçamento!$U$1263</f>
        <v>24.31</v>
      </c>
      <c r="D31" s="236">
        <f ca="1">Orçamento!$Y$1263</f>
        <v>96.893250000000009</v>
      </c>
      <c r="E31" s="237">
        <f ca="1">Orçamento!$Z$1263</f>
        <v>2355.4749075</v>
      </c>
    </row>
    <row r="32" spans="1:5" x14ac:dyDescent="0.2">
      <c r="A32" s="233" t="str">
        <f>Orçamento!$S$1266</f>
        <v xml:space="preserve">   Mão de Obra</v>
      </c>
      <c r="B32" s="242" t="str">
        <f>Orçamento!$T$1266</f>
        <v/>
      </c>
      <c r="C32" s="235" t="str">
        <f>Orçamento!$U$1266</f>
        <v/>
      </c>
      <c r="D32" s="236" t="str">
        <f>Orçamento!$Y$1266</f>
        <v/>
      </c>
      <c r="E32" s="237">
        <f ca="1">Orçamento!$Z$1266</f>
        <v>22748.770921791183</v>
      </c>
    </row>
    <row r="33" spans="1:5" x14ac:dyDescent="0.2">
      <c r="A33" s="233" t="str">
        <f>Orçamento!$S$1267</f>
        <v>Mao de obra para reboco interno, incluindo chapisco</v>
      </c>
      <c r="B33" s="242" t="str">
        <f>Orçamento!$T$1267</f>
        <v>M2</v>
      </c>
      <c r="C33" s="235">
        <f>Orçamento!$U$1267</f>
        <v>401.63400000000001</v>
      </c>
      <c r="D33" s="236">
        <f ca="1">Orçamento!$Y$1267</f>
        <v>40.637259305842548</v>
      </c>
      <c r="E33" s="237">
        <f ca="1">Orçamento!$Z$1267</f>
        <v>16321.305004042766</v>
      </c>
    </row>
    <row r="34" spans="1:5" x14ac:dyDescent="0.2">
      <c r="A34" s="233" t="str">
        <f>Orçamento!$S$1269</f>
        <v>Mao de obra para estucamento de estrutura em concreto</v>
      </c>
      <c r="B34" s="242" t="str">
        <f>Orçamento!$T$1269</f>
        <v>M2</v>
      </c>
      <c r="C34" s="235">
        <f>Orçamento!$U$1269</f>
        <v>21.02</v>
      </c>
      <c r="D34" s="236">
        <f ca="1">Orçamento!$Y$1269</f>
        <v>50.894746969405425</v>
      </c>
      <c r="E34" s="237">
        <f ca="1">Orçamento!$Z$1269</f>
        <v>1069.8075812969021</v>
      </c>
    </row>
    <row r="35" spans="1:5" x14ac:dyDescent="0.2">
      <c r="A35" s="233" t="str">
        <f>Orçamento!$S$1271</f>
        <v>Mao de obra para colocacao e rejuntamento de Azulejo Cerâmico</v>
      </c>
      <c r="B35" s="242" t="str">
        <f>Orçamento!$T$1271</f>
        <v>M2</v>
      </c>
      <c r="C35" s="235">
        <f>Orçamento!$U$1271</f>
        <v>69.41</v>
      </c>
      <c r="D35" s="236">
        <f ca="1">Orçamento!$Y$1271</f>
        <v>73.511069535391343</v>
      </c>
      <c r="E35" s="237">
        <f ca="1">Orçamento!$Z$1271</f>
        <v>5102.4033364515126</v>
      </c>
    </row>
    <row r="36" spans="1:5" x14ac:dyDescent="0.2">
      <c r="A36" s="233" t="str">
        <f>Orçamento!$S$1273</f>
        <v>Mao de obra para colocacao de peitoril</v>
      </c>
      <c r="B36" s="242" t="str">
        <f>Orçamento!$T$1273</f>
        <v>M</v>
      </c>
      <c r="C36" s="235">
        <f>Orçamento!$U$1273</f>
        <v>24.31</v>
      </c>
      <c r="D36" s="236">
        <f ca="1">Orçamento!$Y$1273</f>
        <v>10.5</v>
      </c>
      <c r="E36" s="237">
        <f ca="1">Orçamento!$Z$1273</f>
        <v>255.255</v>
      </c>
    </row>
    <row r="37" spans="1:5" x14ac:dyDescent="0.2">
      <c r="A37" s="233" t="str">
        <f>Orçamento!$S$1275</f>
        <v xml:space="preserve">   REVESTIMENTOS INTERNOS DE PAREDE - 3º  ao 7º PAVIMENTO - TIPO</v>
      </c>
      <c r="B37" s="242" t="str">
        <f>Orçamento!$T$1275</f>
        <v/>
      </c>
      <c r="C37" s="235" t="str">
        <f>Orçamento!$U$1275</f>
        <v/>
      </c>
      <c r="D37" s="236" t="str">
        <f>Orçamento!$Y$1275</f>
        <v/>
      </c>
      <c r="E37" s="237">
        <f ca="1">Orçamento!$Z$1275</f>
        <v>266698.23824494157</v>
      </c>
    </row>
    <row r="38" spans="1:5" x14ac:dyDescent="0.2">
      <c r="A38" s="233" t="str">
        <f>Orçamento!$S$1276</f>
        <v xml:space="preserve">   Reboco</v>
      </c>
      <c r="B38" s="242" t="str">
        <f>Orçamento!$T$1276</f>
        <v/>
      </c>
      <c r="C38" s="235" t="str">
        <f>Orçamento!$U$1276</f>
        <v/>
      </c>
      <c r="D38" s="236" t="str">
        <f>Orçamento!$Y$1276</f>
        <v/>
      </c>
      <c r="E38" s="237">
        <f ca="1">Orçamento!$Z$1276</f>
        <v>67943.162360000002</v>
      </c>
    </row>
    <row r="39" spans="1:5" x14ac:dyDescent="0.2">
      <c r="A39" s="233" t="str">
        <f>Orçamento!$S$1277</f>
        <v>Chapisco aplicado em estruturas de concreto, com desempenadeira dentada, de argamassa industrializada</v>
      </c>
      <c r="B39" s="242" t="str">
        <f>Orçamento!$T$1277</f>
        <v>M2</v>
      </c>
      <c r="C39" s="235">
        <f>Orçamento!$U$1277</f>
        <v>388.91</v>
      </c>
      <c r="D39" s="236">
        <f ca="1">Orçamento!$Y$1277</f>
        <v>5.5020000000000007</v>
      </c>
      <c r="E39" s="237">
        <f ca="1">Orçamento!$Z$1277</f>
        <v>2139.7828200000004</v>
      </c>
    </row>
    <row r="40" spans="1:5" x14ac:dyDescent="0.2">
      <c r="A40" s="233" t="str">
        <f>Orçamento!$S$1279</f>
        <v>Chapisco aplicado em alvenarias internas, com colher de pedreiro, de argamassa estabilizada</v>
      </c>
      <c r="B40" s="242" t="str">
        <f>Orçamento!$T$1279</f>
        <v>M2</v>
      </c>
      <c r="C40" s="235">
        <f>Orçamento!$U$1279</f>
        <v>2144.56</v>
      </c>
      <c r="D40" s="236">
        <f ca="1">Orçamento!$Y$1279</f>
        <v>7.93</v>
      </c>
      <c r="E40" s="237">
        <f ca="1">Orçamento!$Z$1279</f>
        <v>17006.360799999999</v>
      </c>
    </row>
    <row r="41" spans="1:5" x14ac:dyDescent="0.2">
      <c r="A41" s="233" t="str">
        <f>Orçamento!$S$1281</f>
        <v>Massa unica para reboco interno em argamassa estabilizada, espessura de 20mm, com execucao de taliscas</v>
      </c>
      <c r="B41" s="242" t="str">
        <f>Orçamento!$T$1281</f>
        <v>M2</v>
      </c>
      <c r="C41" s="235">
        <f>Orçamento!$U$1281</f>
        <v>2533.48</v>
      </c>
      <c r="D41" s="236">
        <f ca="1">Orçamento!$Y$1281</f>
        <v>19.008000000000003</v>
      </c>
      <c r="E41" s="237">
        <f ca="1">Orçamento!$Z$1281</f>
        <v>48156.38784000001</v>
      </c>
    </row>
    <row r="42" spans="1:5" x14ac:dyDescent="0.2">
      <c r="A42" s="233" t="str">
        <f>Orçamento!$S$1283</f>
        <v>Estucamento de estrutura de concreto em pilares e vigas</v>
      </c>
      <c r="B42" s="242" t="str">
        <f>Orçamento!$T$1283</f>
        <v>M2</v>
      </c>
      <c r="C42" s="235">
        <f>Orçamento!$U$1283</f>
        <v>158.19999999999999</v>
      </c>
      <c r="D42" s="236">
        <f ca="1">Orçamento!$Y$1283</f>
        <v>4.0495000000000001</v>
      </c>
      <c r="E42" s="237">
        <f ca="1">Orçamento!$Z$1283</f>
        <v>640.6309</v>
      </c>
    </row>
    <row r="43" spans="1:5" x14ac:dyDescent="0.2">
      <c r="A43" s="233" t="str">
        <f>Orçamento!$S$1288</f>
        <v xml:space="preserve">   Acabamentos Cerâmicos e Porcelanatos</v>
      </c>
      <c r="B43" s="242" t="str">
        <f>Orçamento!$T$1288</f>
        <v/>
      </c>
      <c r="C43" s="235" t="str">
        <f>Orçamento!$U$1288</f>
        <v/>
      </c>
      <c r="D43" s="236" t="str">
        <f>Orçamento!$Y$1288</f>
        <v/>
      </c>
      <c r="E43" s="237">
        <f ca="1">Orçamento!$Z$1288</f>
        <v>39222.201809999999</v>
      </c>
    </row>
    <row r="44" spans="1:5" x14ac:dyDescent="0.2">
      <c r="A44" s="233" t="str">
        <f>Orçamento!$S$1289</f>
        <v>Revestimento em Cerâmica 60x60cm interno</v>
      </c>
      <c r="B44" s="242" t="str">
        <f>Orçamento!$T$1289</f>
        <v>M2</v>
      </c>
      <c r="C44" s="235">
        <f>Orçamento!$U$1289</f>
        <v>589.71</v>
      </c>
      <c r="D44" s="236">
        <f ca="1">Orçamento!$Y$1289</f>
        <v>66.510999999999981</v>
      </c>
      <c r="E44" s="237">
        <f ca="1">Orçamento!$Z$1289</f>
        <v>39222.201809999991</v>
      </c>
    </row>
    <row r="45" spans="1:5" x14ac:dyDescent="0.2">
      <c r="A45" s="233" t="str">
        <f>Orçamento!$S$1294</f>
        <v xml:space="preserve">   Peitoris</v>
      </c>
      <c r="B45" s="242" t="str">
        <f>Orçamento!$T$1294</f>
        <v/>
      </c>
      <c r="C45" s="235" t="str">
        <f>Orçamento!$U$1294</f>
        <v/>
      </c>
      <c r="D45" s="236" t="str">
        <f>Orçamento!$Y$1294</f>
        <v/>
      </c>
      <c r="E45" s="237">
        <f ca="1">Orçamento!$Z$1294</f>
        <v>4671.2235824999998</v>
      </c>
    </row>
    <row r="46" spans="1:5" x14ac:dyDescent="0.2">
      <c r="A46" s="233" t="str">
        <f>Orçamento!$S$1295</f>
        <v>Peitoril em granito, acabamento polido, espessura 2cm</v>
      </c>
      <c r="B46" s="242" t="str">
        <f>Orçamento!$T$1295</f>
        <v>M</v>
      </c>
      <c r="C46" s="235">
        <f>Orçamento!$U$1295</f>
        <v>48.21</v>
      </c>
      <c r="D46" s="236">
        <f ca="1">Orçamento!$Y$1295</f>
        <v>96.893250000000009</v>
      </c>
      <c r="E46" s="237">
        <f ca="1">Orçamento!$Z$1295</f>
        <v>4671.2235825000007</v>
      </c>
    </row>
    <row r="47" spans="1:5" x14ac:dyDescent="0.2">
      <c r="A47" s="233" t="str">
        <f>Orçamento!$S$1298</f>
        <v xml:space="preserve">   Mão de Obra</v>
      </c>
      <c r="B47" s="242" t="str">
        <f>Orçamento!$T$1298</f>
        <v/>
      </c>
      <c r="C47" s="235" t="str">
        <f>Orçamento!$U$1298</f>
        <v/>
      </c>
      <c r="D47" s="236" t="str">
        <f>Orçamento!$Y$1298</f>
        <v/>
      </c>
      <c r="E47" s="237">
        <f ca="1">Orçamento!$Z$1298</f>
        <v>154861.65049244152</v>
      </c>
    </row>
    <row r="48" spans="1:5" x14ac:dyDescent="0.2">
      <c r="A48" s="233" t="str">
        <f>Orçamento!$S$1299</f>
        <v>Mao de obra para reboco interno, incluindo chapisco</v>
      </c>
      <c r="B48" s="242" t="str">
        <f>Orçamento!$T$1299</f>
        <v>M2</v>
      </c>
      <c r="C48" s="235">
        <f>Orçamento!$U$1299</f>
        <v>2533.48</v>
      </c>
      <c r="D48" s="236">
        <f ca="1">Orçamento!$Y$1299</f>
        <v>40.637259305842548</v>
      </c>
      <c r="E48" s="237">
        <f ca="1">Orçamento!$Z$1299</f>
        <v>102953.68370616598</v>
      </c>
    </row>
    <row r="49" spans="1:5" x14ac:dyDescent="0.2">
      <c r="A49" s="233" t="str">
        <f>Orçamento!$S$1301</f>
        <v>Mao de obra para estucamento de estrutura em concreto</v>
      </c>
      <c r="B49" s="242" t="str">
        <f>Orçamento!$T$1301</f>
        <v>M2</v>
      </c>
      <c r="C49" s="235">
        <f>Orçamento!$U$1301</f>
        <v>158.19999999999999</v>
      </c>
      <c r="D49" s="236">
        <f ca="1">Orçamento!$Y$1301</f>
        <v>50.894746969405425</v>
      </c>
      <c r="E49" s="237">
        <f ca="1">Orçamento!$Z$1301</f>
        <v>8051.5489705599375</v>
      </c>
    </row>
    <row r="50" spans="1:5" x14ac:dyDescent="0.2">
      <c r="A50" s="233" t="str">
        <f>Orçamento!$S$1303</f>
        <v>Mao de obra para colocacao e rejuntamento de Azulejo Cerâmico</v>
      </c>
      <c r="B50" s="242" t="str">
        <f>Orçamento!$T$1303</f>
        <v>M2</v>
      </c>
      <c r="C50" s="235">
        <f>Orçamento!$U$1303</f>
        <v>589.71</v>
      </c>
      <c r="D50" s="236">
        <f ca="1">Orçamento!$Y$1303</f>
        <v>73.511069535391343</v>
      </c>
      <c r="E50" s="237">
        <f ca="1">Orçamento!$Z$1303</f>
        <v>43350.212815715633</v>
      </c>
    </row>
    <row r="51" spans="1:5" x14ac:dyDescent="0.2">
      <c r="A51" s="233" t="str">
        <f>Orçamento!$S$1305</f>
        <v>Mao de obra para colocacao de peitoril</v>
      </c>
      <c r="B51" s="242" t="str">
        <f>Orçamento!$T$1305</f>
        <v>M</v>
      </c>
      <c r="C51" s="235">
        <f>Orçamento!$U$1305</f>
        <v>48.21</v>
      </c>
      <c r="D51" s="236">
        <f ca="1">Orçamento!$Y$1305</f>
        <v>10.5</v>
      </c>
      <c r="E51" s="237">
        <f ca="1">Orçamento!$Z$1305</f>
        <v>506.20499999999998</v>
      </c>
    </row>
    <row r="52" spans="1:5" x14ac:dyDescent="0.2">
      <c r="A52" s="233" t="str">
        <f>Orçamento!$S$1307</f>
        <v xml:space="preserve">   REVESTIMENTOS INTERNOS DE PAREDE - 8º PAVIMENTO - COBERTURA</v>
      </c>
      <c r="B52" s="242" t="str">
        <f>Orçamento!$T$1307</f>
        <v/>
      </c>
      <c r="C52" s="235" t="str">
        <f>Orçamento!$U$1307</f>
        <v/>
      </c>
      <c r="D52" s="236" t="str">
        <f>Orçamento!$Y$1307</f>
        <v/>
      </c>
      <c r="E52" s="237">
        <f ca="1">Orçamento!$Z$1307</f>
        <v>34603.335906860077</v>
      </c>
    </row>
    <row r="53" spans="1:5" x14ac:dyDescent="0.2">
      <c r="A53" s="233" t="str">
        <f>Orçamento!$S$1308</f>
        <v xml:space="preserve">   Reboco</v>
      </c>
      <c r="B53" s="242" t="str">
        <f>Orçamento!$T$1308</f>
        <v/>
      </c>
      <c r="C53" s="235" t="str">
        <f>Orçamento!$U$1308</f>
        <v/>
      </c>
      <c r="D53" s="236" t="str">
        <f>Orçamento!$Y$1308</f>
        <v/>
      </c>
      <c r="E53" s="237">
        <f ca="1">Orçamento!$Z$1308</f>
        <v>7740.9268900000006</v>
      </c>
    </row>
    <row r="54" spans="1:5" x14ac:dyDescent="0.2">
      <c r="A54" s="233" t="str">
        <f>Orçamento!$S$1309</f>
        <v>Chapisco aplicado em estruturas de concreto, com desempenadeira dentada, de argamassa industrializada</v>
      </c>
      <c r="B54" s="242" t="str">
        <f>Orçamento!$T$1309</f>
        <v>M2</v>
      </c>
      <c r="C54" s="235">
        <f>Orçamento!$U$1309</f>
        <v>108.03100000000001</v>
      </c>
      <c r="D54" s="236">
        <f ca="1">Orçamento!$Y$1309</f>
        <v>5.5020000000000007</v>
      </c>
      <c r="E54" s="237">
        <f ca="1">Orçamento!$Z$1309</f>
        <v>594.38656200000014</v>
      </c>
    </row>
    <row r="55" spans="1:5" x14ac:dyDescent="0.2">
      <c r="A55" s="233" t="str">
        <f>Orçamento!$S$1311</f>
        <v>Chapisco aplicado em alvenarias internas, com colher de pedreiro, de argamassa estabilizada</v>
      </c>
      <c r="B55" s="242" t="str">
        <f>Orçamento!$T$1311</f>
        <v>M2</v>
      </c>
      <c r="C55" s="235">
        <f>Orçamento!$U$1311</f>
        <v>203.57</v>
      </c>
      <c r="D55" s="236">
        <f ca="1">Orçamento!$Y$1311</f>
        <v>7.93</v>
      </c>
      <c r="E55" s="237">
        <f ca="1">Orçamento!$Z$1311</f>
        <v>1614.3100999999999</v>
      </c>
    </row>
    <row r="56" spans="1:5" x14ac:dyDescent="0.2">
      <c r="A56" s="233" t="str">
        <f>Orçamento!$S$1313</f>
        <v>Massa unica para reboco interno em argamassa estabilizada, espessura de 20mm, com execucao de taliscas</v>
      </c>
      <c r="B56" s="242" t="str">
        <f>Orçamento!$T$1313</f>
        <v>M2</v>
      </c>
      <c r="C56" s="235">
        <f>Orçamento!$U$1313</f>
        <v>283.59100000000001</v>
      </c>
      <c r="D56" s="236">
        <f ca="1">Orçamento!$Y$1313</f>
        <v>19.008000000000003</v>
      </c>
      <c r="E56" s="237">
        <f ca="1">Orçamento!$Z$1313</f>
        <v>5390.4977280000012</v>
      </c>
    </row>
    <row r="57" spans="1:5" x14ac:dyDescent="0.2">
      <c r="A57" s="233" t="str">
        <f>Orçamento!$S$1315</f>
        <v>Estucamento de estrutura de concreto em pilares e vigas</v>
      </c>
      <c r="B57" s="242" t="str">
        <f>Orçamento!$T$1315</f>
        <v>M2</v>
      </c>
      <c r="C57" s="235">
        <f>Orçamento!$U$1315</f>
        <v>35</v>
      </c>
      <c r="D57" s="236">
        <f ca="1">Orçamento!$Y$1315</f>
        <v>4.0495000000000001</v>
      </c>
      <c r="E57" s="237">
        <f ca="1">Orçamento!$Z$1315</f>
        <v>141.73250000000002</v>
      </c>
    </row>
    <row r="58" spans="1:5" x14ac:dyDescent="0.2">
      <c r="A58" s="233" t="str">
        <f>Orçamento!$S$1320</f>
        <v xml:space="preserve">   Acabamentos Cerâmicos e Porcelanatos</v>
      </c>
      <c r="B58" s="242" t="str">
        <f>Orçamento!$T$1320</f>
        <v/>
      </c>
      <c r="C58" s="235" t="str">
        <f>Orçamento!$U$1320</f>
        <v/>
      </c>
      <c r="D58" s="236" t="str">
        <f>Orçamento!$Y$1320</f>
        <v/>
      </c>
      <c r="E58" s="237">
        <f ca="1">Orçamento!$Z$1320</f>
        <v>7271.5741649999991</v>
      </c>
    </row>
    <row r="59" spans="1:5" x14ac:dyDescent="0.2">
      <c r="A59" s="233" t="str">
        <f>Orçamento!$S$1321</f>
        <v>Revestimento em Pastilhas para Piscina</v>
      </c>
      <c r="B59" s="242" t="str">
        <f>Orçamento!$T$1321</f>
        <v>M2</v>
      </c>
      <c r="C59" s="235">
        <f>Orçamento!$U$1321</f>
        <v>45.99</v>
      </c>
      <c r="D59" s="236">
        <f ca="1">Orçamento!$Y$1321</f>
        <v>134.14749999999998</v>
      </c>
      <c r="E59" s="237">
        <f ca="1">Orçamento!$Z$1321</f>
        <v>6169.4435249999997</v>
      </c>
    </row>
    <row r="60" spans="1:5" x14ac:dyDescent="0.2">
      <c r="A60" s="233" t="str">
        <f>Orçamento!$S$1327</f>
        <v>Revestimento em Porcelanato 80x80cm interno</v>
      </c>
      <c r="B60" s="242" t="str">
        <f>Orçamento!$T$1327</f>
        <v>M</v>
      </c>
      <c r="C60" s="235">
        <f>Orçamento!$U$1327</f>
        <v>13.14</v>
      </c>
      <c r="D60" s="236">
        <f ca="1">Orçamento!$Y$1327</f>
        <v>83.875999999999976</v>
      </c>
      <c r="E60" s="237">
        <f ca="1">Orçamento!$Z$1327</f>
        <v>1102.1306399999996</v>
      </c>
    </row>
    <row r="61" spans="1:5" x14ac:dyDescent="0.2">
      <c r="A61" s="233" t="str">
        <f>Orçamento!$S$1332</f>
        <v xml:space="preserve">   Peitoris</v>
      </c>
      <c r="B61" s="242" t="str">
        <f>Orçamento!$T$1332</f>
        <v/>
      </c>
      <c r="C61" s="235" t="str">
        <f>Orçamento!$U$1332</f>
        <v/>
      </c>
      <c r="D61" s="236" t="str">
        <f>Orçamento!$Y$1332</f>
        <v/>
      </c>
      <c r="E61" s="237">
        <f ca="1">Orçamento!$Z$1332</f>
        <v>1748.9231625</v>
      </c>
    </row>
    <row r="62" spans="1:5" x14ac:dyDescent="0.2">
      <c r="A62" s="233" t="str">
        <f>Orçamento!$S$1333</f>
        <v>Peitoril em granito, acabamento polido, espessura 2cm</v>
      </c>
      <c r="B62" s="242" t="str">
        <f>Orçamento!$T$1333</f>
        <v>M</v>
      </c>
      <c r="C62" s="235">
        <f>Orçamento!$U$1333</f>
        <v>18.05</v>
      </c>
      <c r="D62" s="236">
        <f ca="1">Orçamento!$Y$1333</f>
        <v>96.893250000000009</v>
      </c>
      <c r="E62" s="237">
        <f ca="1">Orçamento!$Z$1333</f>
        <v>1748.9231625000002</v>
      </c>
    </row>
    <row r="63" spans="1:5" x14ac:dyDescent="0.2">
      <c r="A63" s="233" t="str">
        <f>Orçamento!$S$1336</f>
        <v xml:space="preserve">   Mão de Obra</v>
      </c>
      <c r="B63" s="242" t="str">
        <f>Orçamento!$T$1336</f>
        <v/>
      </c>
      <c r="C63" s="235" t="str">
        <f>Orçamento!$U$1336</f>
        <v/>
      </c>
      <c r="D63" s="236" t="str">
        <f>Orçamento!$Y$1336</f>
        <v/>
      </c>
      <c r="E63" s="237">
        <f ca="1">Orçamento!$Z$1336</f>
        <v>17841.911689360077</v>
      </c>
    </row>
    <row r="64" spans="1:5" x14ac:dyDescent="0.2">
      <c r="A64" s="233" t="str">
        <f>Orçamento!$S$1337</f>
        <v>Mao de obra para reboco interno, incluindo chapisco</v>
      </c>
      <c r="B64" s="242" t="str">
        <f>Orçamento!$T$1337</f>
        <v>M2</v>
      </c>
      <c r="C64" s="235">
        <f>Orçamento!$U$1337</f>
        <v>283.59100000000001</v>
      </c>
      <c r="D64" s="236">
        <f ca="1">Orçamento!$Y$1337</f>
        <v>40.637259305842548</v>
      </c>
      <c r="E64" s="237">
        <f ca="1">Orçamento!$Z$1337</f>
        <v>11524.361003803195</v>
      </c>
    </row>
    <row r="65" spans="1:5" x14ac:dyDescent="0.2">
      <c r="A65" s="233" t="str">
        <f>Orçamento!$S$1339</f>
        <v>Mao de obra para estucamento de estrutura em concreto</v>
      </c>
      <c r="B65" s="242" t="str">
        <f>Orçamento!$T$1339</f>
        <v>M2</v>
      </c>
      <c r="C65" s="235">
        <f>Orçamento!$U$1339</f>
        <v>35</v>
      </c>
      <c r="D65" s="236">
        <f ca="1">Orçamento!$Y$1339</f>
        <v>50.894746969405425</v>
      </c>
      <c r="E65" s="237">
        <f ca="1">Orçamento!$Z$1339</f>
        <v>1781.3161439291898</v>
      </c>
    </row>
    <row r="66" spans="1:5" x14ac:dyDescent="0.2">
      <c r="A66" s="233" t="str">
        <f>Orçamento!$S$1341</f>
        <v>Mao de obra para colocacao e rejuntamento de Azulejo Cerâmico e Porcelanato</v>
      </c>
      <c r="B66" s="242" t="str">
        <f>Orçamento!$T$1341</f>
        <v>M2</v>
      </c>
      <c r="C66" s="235">
        <f>Orçamento!$U$1341</f>
        <v>59.13</v>
      </c>
      <c r="D66" s="236">
        <f ca="1">Orçamento!$Y$1341</f>
        <v>73.511069535391343</v>
      </c>
      <c r="E66" s="237">
        <f ca="1">Orçamento!$Z$1341</f>
        <v>4346.7095416276907</v>
      </c>
    </row>
    <row r="67" spans="1:5" x14ac:dyDescent="0.2">
      <c r="A67" s="233" t="str">
        <f>Orçamento!$S$1343</f>
        <v>Mao de obra para colocacao de peitoril</v>
      </c>
      <c r="B67" s="242" t="str">
        <f>Orçamento!$T$1343</f>
        <v>M</v>
      </c>
      <c r="C67" s="235">
        <f>Orçamento!$U$1343</f>
        <v>18.05</v>
      </c>
      <c r="D67" s="236">
        <f ca="1">Orçamento!$Y$1343</f>
        <v>10.5</v>
      </c>
      <c r="E67" s="237">
        <f ca="1">Orçamento!$Z$1343</f>
        <v>189.52500000000001</v>
      </c>
    </row>
    <row r="68" spans="1:5" x14ac:dyDescent="0.2">
      <c r="A68" s="233" t="str">
        <f>Orçamento!$S$1345</f>
        <v xml:space="preserve">   REVESTIMENTOS INTERNOS DE PAREDE - BARRILETE / CAIXA DÁGUA / CASA DE MÁQUINAS</v>
      </c>
      <c r="B68" s="242" t="str">
        <f>Orçamento!$T$1345</f>
        <v/>
      </c>
      <c r="C68" s="235" t="str">
        <f>Orçamento!$U$1345</f>
        <v/>
      </c>
      <c r="D68" s="236" t="str">
        <f>Orçamento!$Y$1345</f>
        <v/>
      </c>
      <c r="E68" s="237">
        <f ca="1">Orçamento!$Z$1345</f>
        <v>20181.501085150438</v>
      </c>
    </row>
    <row r="69" spans="1:5" x14ac:dyDescent="0.2">
      <c r="A69" s="233" t="str">
        <f>Orçamento!$S$1346</f>
        <v xml:space="preserve">   Reboco</v>
      </c>
      <c r="B69" s="242" t="str">
        <f>Orçamento!$T$1346</f>
        <v/>
      </c>
      <c r="C69" s="235" t="str">
        <f>Orçamento!$U$1346</f>
        <v/>
      </c>
      <c r="D69" s="236" t="str">
        <f>Orçamento!$Y$1346</f>
        <v/>
      </c>
      <c r="E69" s="237">
        <f ca="1">Orçamento!$Z$1346</f>
        <v>5657.5292399999998</v>
      </c>
    </row>
    <row r="70" spans="1:5" x14ac:dyDescent="0.2">
      <c r="A70" s="233" t="str">
        <f>Orçamento!$S$1347</f>
        <v>Chapisco aplicado em estruturas de concreto, com desempenadeira dentada, de argamassa industrializada</v>
      </c>
      <c r="B70" s="242" t="str">
        <f>Orçamento!$T$1347</f>
        <v>M2</v>
      </c>
      <c r="C70" s="235">
        <f>Orçamento!$U$1347</f>
        <v>34.369999999999997</v>
      </c>
      <c r="D70" s="236">
        <f ca="1">Orçamento!$Y$1347</f>
        <v>5.5020000000000007</v>
      </c>
      <c r="E70" s="237">
        <f ca="1">Orçamento!$Z$1347</f>
        <v>189.10374000000002</v>
      </c>
    </row>
    <row r="71" spans="1:5" x14ac:dyDescent="0.2">
      <c r="A71" s="233" t="str">
        <f>Orçamento!$S$1349</f>
        <v>Chapisco aplicado em alvenarias internas, com colher de pedreiro, de argamassa estabilizada</v>
      </c>
      <c r="B71" s="242" t="str">
        <f>Orçamento!$T$1349</f>
        <v>M2</v>
      </c>
      <c r="C71" s="235">
        <f>Orçamento!$U$1349</f>
        <v>203.57</v>
      </c>
      <c r="D71" s="236">
        <f ca="1">Orçamento!$Y$1349</f>
        <v>7.93</v>
      </c>
      <c r="E71" s="237">
        <f ca="1">Orçamento!$Z$1349</f>
        <v>1614.3100999999999</v>
      </c>
    </row>
    <row r="72" spans="1:5" x14ac:dyDescent="0.2">
      <c r="A72" s="233" t="str">
        <f>Orçamento!$S$1351</f>
        <v>Massa unica para reboco interno em argamassa estabilizada, espessura de 20mm, com execucao de taliscas</v>
      </c>
      <c r="B72" s="242" t="str">
        <f>Orçamento!$T$1351</f>
        <v>M2</v>
      </c>
      <c r="C72" s="235">
        <f>Orçamento!$U$1351</f>
        <v>194.19</v>
      </c>
      <c r="D72" s="236">
        <f ca="1">Orçamento!$Y$1351</f>
        <v>19.008000000000003</v>
      </c>
      <c r="E72" s="237">
        <f ca="1">Orçamento!$Z$1351</f>
        <v>3691.1635200000005</v>
      </c>
    </row>
    <row r="73" spans="1:5" x14ac:dyDescent="0.2">
      <c r="A73" s="233" t="str">
        <f>Orçamento!$S$1353</f>
        <v>Estucamento de estrutura de concreto em pilares e vigas</v>
      </c>
      <c r="B73" s="242" t="str">
        <f>Orçamento!$T$1353</f>
        <v>M2</v>
      </c>
      <c r="C73" s="235">
        <f>Orçamento!$U$1353</f>
        <v>40.24</v>
      </c>
      <c r="D73" s="236">
        <f ca="1">Orçamento!$Y$1353</f>
        <v>4.0495000000000001</v>
      </c>
      <c r="E73" s="237">
        <f ca="1">Orçamento!$Z$1353</f>
        <v>162.95188000000002</v>
      </c>
    </row>
    <row r="74" spans="1:5" x14ac:dyDescent="0.2">
      <c r="A74" s="233" t="str">
        <f>Orçamento!$S$1358</f>
        <v xml:space="preserve">   Peitoris</v>
      </c>
      <c r="B74" s="242" t="str">
        <f>Orçamento!$T$1358</f>
        <v/>
      </c>
      <c r="C74" s="235" t="str">
        <f>Orçamento!$U$1358</f>
        <v/>
      </c>
      <c r="D74" s="236" t="str">
        <f>Orçamento!$Y$1358</f>
        <v/>
      </c>
      <c r="E74" s="237">
        <f ca="1">Orçamento!$Z$1358</f>
        <v>4136.3728424999999</v>
      </c>
    </row>
    <row r="75" spans="1:5" x14ac:dyDescent="0.2">
      <c r="A75" s="233" t="str">
        <f>Orçamento!$S$1359</f>
        <v>Peitoril em granito, acabamento polido, espessura 2cm</v>
      </c>
      <c r="B75" s="242" t="str">
        <f>Orçamento!$T$1359</f>
        <v>M</v>
      </c>
      <c r="C75" s="235">
        <f>Orçamento!$U$1359</f>
        <v>42.69</v>
      </c>
      <c r="D75" s="236">
        <f ca="1">Orçamento!$Y$1359</f>
        <v>96.893250000000009</v>
      </c>
      <c r="E75" s="237">
        <f ca="1">Orçamento!$Z$1359</f>
        <v>4136.3728424999999</v>
      </c>
    </row>
    <row r="76" spans="1:5" x14ac:dyDescent="0.2">
      <c r="A76" s="233" t="str">
        <f>Orçamento!$S$1362</f>
        <v xml:space="preserve">   Mão de Obra</v>
      </c>
      <c r="B76" s="242" t="str">
        <f>Orçamento!$T$1362</f>
        <v/>
      </c>
      <c r="C76" s="235" t="str">
        <f>Orçamento!$U$1362</f>
        <v/>
      </c>
      <c r="D76" s="236" t="str">
        <f>Orçamento!$Y$1362</f>
        <v/>
      </c>
      <c r="E76" s="237">
        <f ca="1">Orçamento!$Z$1362</f>
        <v>10387.599002650439</v>
      </c>
    </row>
    <row r="77" spans="1:5" x14ac:dyDescent="0.2">
      <c r="A77" s="233" t="str">
        <f>Orçamento!$S$1363</f>
        <v>Mao de obra para reboco interno, incluindo chapisco</v>
      </c>
      <c r="B77" s="242" t="str">
        <f>Orçamento!$T$1363</f>
        <v>M2</v>
      </c>
      <c r="C77" s="235">
        <f>Orçamento!$U$1363</f>
        <v>194.19</v>
      </c>
      <c r="D77" s="236">
        <f ca="1">Orçamento!$Y$1363</f>
        <v>40.637259305842548</v>
      </c>
      <c r="E77" s="237">
        <f ca="1">Orçamento!$Z$1363</f>
        <v>7891.3493846015645</v>
      </c>
    </row>
    <row r="78" spans="1:5" x14ac:dyDescent="0.2">
      <c r="A78" s="233" t="str">
        <f>Orçamento!$S$1365</f>
        <v>Mao de obra para estucamento de estrutura em concreto</v>
      </c>
      <c r="B78" s="242" t="str">
        <f>Orçamento!$T$1365</f>
        <v>M2</v>
      </c>
      <c r="C78" s="235">
        <f>Orçamento!$U$1365</f>
        <v>40.24</v>
      </c>
      <c r="D78" s="236">
        <f ca="1">Orçamento!$Y$1365</f>
        <v>50.894746969405425</v>
      </c>
      <c r="E78" s="237">
        <f ca="1">Orçamento!$Z$1365</f>
        <v>2048.0046180488744</v>
      </c>
    </row>
    <row r="79" spans="1:5" x14ac:dyDescent="0.2">
      <c r="A79" s="233" t="str">
        <f>Orçamento!$S$1367</f>
        <v>Mao de obra para colocacao de peitoril</v>
      </c>
      <c r="B79" s="242" t="str">
        <f>Orçamento!$T$1367</f>
        <v>M</v>
      </c>
      <c r="C79" s="235">
        <f>Orçamento!$U$1367</f>
        <v>42.69</v>
      </c>
      <c r="D79" s="236">
        <f ca="1">Orçamento!$Y$1367</f>
        <v>10.5</v>
      </c>
      <c r="E79" s="237">
        <f ca="1">Orçamento!$Z$1367</f>
        <v>448.245</v>
      </c>
    </row>
    <row r="80" spans="1:5" x14ac:dyDescent="0.2">
      <c r="A80" s="233" t="str">
        <f>Orçamento!$S$1456</f>
        <v xml:space="preserve">   PISOS E PAVIMENTAÇÕES</v>
      </c>
      <c r="B80" s="242" t="str">
        <f>Orçamento!$T$1456</f>
        <v/>
      </c>
      <c r="C80" s="235" t="str">
        <f>Orçamento!$U$1456</f>
        <v/>
      </c>
      <c r="D80" s="236" t="str">
        <f>Orçamento!$Y$1456</f>
        <v/>
      </c>
      <c r="E80" s="237">
        <f ca="1">Orçamento!$Z$1456</f>
        <v>446389.87919478002</v>
      </c>
    </row>
    <row r="81" spans="1:5" x14ac:dyDescent="0.2">
      <c r="A81" s="233" t="str">
        <f>Orçamento!$S$1457</f>
        <v xml:space="preserve">   PISOS E PAVIMENTAÇÕES - 1º PAVIMENTO - SUBSOLO</v>
      </c>
      <c r="B81" s="242" t="str">
        <f>Orçamento!$T$1457</f>
        <v/>
      </c>
      <c r="C81" s="235" t="str">
        <f>Orçamento!$U$1457</f>
        <v/>
      </c>
      <c r="D81" s="236" t="str">
        <f>Orçamento!$Y$1457</f>
        <v/>
      </c>
      <c r="E81" s="237">
        <f ca="1">Orçamento!$Z$1457</f>
        <v>70005.620114043049</v>
      </c>
    </row>
    <row r="82" spans="1:5" x14ac:dyDescent="0.2">
      <c r="A82" s="233" t="str">
        <f>Orçamento!$S$1458</f>
        <v xml:space="preserve">   Contrapiso</v>
      </c>
      <c r="B82" s="242" t="str">
        <f>Orçamento!$T$1458</f>
        <v/>
      </c>
      <c r="C82" s="235" t="str">
        <f>Orçamento!$U$1458</f>
        <v/>
      </c>
      <c r="D82" s="236" t="str">
        <f>Orçamento!$Y$1458</f>
        <v/>
      </c>
      <c r="E82" s="237">
        <f ca="1">Orçamento!$Z$1458</f>
        <v>16491.191928</v>
      </c>
    </row>
    <row r="83" spans="1:5" x14ac:dyDescent="0.2">
      <c r="A83" s="233" t="str">
        <f>Orçamento!$S$1459</f>
        <v>Contrapiso comum em argamassa estabilizada, nao aderido, espessura 8cm</v>
      </c>
      <c r="B83" s="242" t="str">
        <f>Orçamento!$T$1459</f>
        <v>M2</v>
      </c>
      <c r="C83" s="235">
        <f>Orçamento!$U$1459</f>
        <v>342.74</v>
      </c>
      <c r="D83" s="236">
        <f ca="1">Orçamento!$Y$1459</f>
        <v>47.55</v>
      </c>
      <c r="E83" s="237">
        <f ca="1">Orçamento!$Z$1459</f>
        <v>16297.287</v>
      </c>
    </row>
    <row r="84" spans="1:5" x14ac:dyDescent="0.2">
      <c r="A84" s="233" t="str">
        <f>Orçamento!$S$1462</f>
        <v>Piso cimentado com argamassa de cimento e areia traço 1:3, espessura 1,5cm</v>
      </c>
      <c r="B84" s="242" t="str">
        <f>Orçamento!$T$1462</f>
        <v>M2</v>
      </c>
      <c r="C84" s="235">
        <f>Orçamento!$U$1462</f>
        <v>30.24</v>
      </c>
      <c r="D84" s="236">
        <f ca="1">Orçamento!$Y$1462</f>
        <v>6.4122000000000003</v>
      </c>
      <c r="E84" s="237">
        <f ca="1">Orçamento!$Z$1462</f>
        <v>193.90492800000001</v>
      </c>
    </row>
    <row r="85" spans="1:5" x14ac:dyDescent="0.2">
      <c r="A85" s="233" t="str">
        <f>Orçamento!$S$1465</f>
        <v xml:space="preserve">   Acabamentos em Piso</v>
      </c>
      <c r="B85" s="242" t="str">
        <f>Orçamento!$T$1465</f>
        <v/>
      </c>
      <c r="C85" s="235" t="str">
        <f>Orçamento!$U$1465</f>
        <v/>
      </c>
      <c r="D85" s="236" t="str">
        <f>Orçamento!$Y$1465</f>
        <v/>
      </c>
      <c r="E85" s="237">
        <f ca="1">Orçamento!$Z$1465</f>
        <v>18261.931799999998</v>
      </c>
    </row>
    <row r="86" spans="1:5" x14ac:dyDescent="0.2">
      <c r="A86" s="233" t="str">
        <f>Orçamento!$S$1466</f>
        <v>Revestimento interno de piso Cerâmico placa 60x60cm - áreas Internos</v>
      </c>
      <c r="B86" s="242" t="str">
        <f>Orçamento!$T$1466</f>
        <v>M2</v>
      </c>
      <c r="C86" s="235">
        <f>Orçamento!$U$1466</f>
        <v>301.72999999999996</v>
      </c>
      <c r="D86" s="236">
        <f ca="1">Orçamento!$Y$1466</f>
        <v>58.695000000000007</v>
      </c>
      <c r="E86" s="237">
        <f ca="1">Orçamento!$Z$1466</f>
        <v>17710.04235</v>
      </c>
    </row>
    <row r="87" spans="1:5" x14ac:dyDescent="0.2">
      <c r="A87" s="233" t="str">
        <f>Orçamento!$S$1471</f>
        <v>Revestimento interno de piso porcelanato placa 80x80cm - áreas externas</v>
      </c>
      <c r="B87" s="242" t="str">
        <f>Orçamento!$T$1471</f>
        <v>M2</v>
      </c>
      <c r="C87" s="235">
        <f>Orçamento!$U$1471</f>
        <v>7.29</v>
      </c>
      <c r="D87" s="236">
        <f ca="1">Orçamento!$Y$1471</f>
        <v>75.704999999999998</v>
      </c>
      <c r="E87" s="237">
        <f ca="1">Orçamento!$Z$1471</f>
        <v>551.88945000000001</v>
      </c>
    </row>
    <row r="88" spans="1:5" x14ac:dyDescent="0.2">
      <c r="A88" s="233" t="str">
        <f>Orçamento!$S$1477</f>
        <v xml:space="preserve">   Rodapés</v>
      </c>
      <c r="B88" s="242" t="str">
        <f>Orçamento!$T$1477</f>
        <v/>
      </c>
      <c r="C88" s="235" t="str">
        <f>Orçamento!$U$1477</f>
        <v/>
      </c>
      <c r="D88" s="236" t="str">
        <f>Orçamento!$Y$1477</f>
        <v/>
      </c>
      <c r="E88" s="237">
        <f ca="1">Orçamento!$Z$1477</f>
        <v>1836.4198125000005</v>
      </c>
    </row>
    <row r="89" spans="1:5" x14ac:dyDescent="0.2">
      <c r="A89" s="233" t="str">
        <f>Orçamento!$S$1478</f>
        <v>Revestimento interno de Rodapé Cerâmico h=0,30cm</v>
      </c>
      <c r="B89" s="242" t="str">
        <f>Orçamento!$T$1478</f>
        <v>M</v>
      </c>
      <c r="C89" s="235">
        <f>Orçamento!$U$1478</f>
        <v>100.43</v>
      </c>
      <c r="D89" s="236">
        <f ca="1">Orçamento!$Y$1478</f>
        <v>17.608499999999999</v>
      </c>
      <c r="E89" s="237">
        <f ca="1">Orçamento!$Z$1478</f>
        <v>1768.4216550000001</v>
      </c>
    </row>
    <row r="90" spans="1:5" x14ac:dyDescent="0.2">
      <c r="A90" s="233" t="str">
        <f>Orçamento!$S$1483</f>
        <v>Revestimento interno de Rodapé Cerâmico h=0,07cm</v>
      </c>
      <c r="B90" s="242" t="str">
        <f>Orçamento!$T$1483</f>
        <v>M</v>
      </c>
      <c r="C90" s="235">
        <f>Orçamento!$U$1483</f>
        <v>16.55</v>
      </c>
      <c r="D90" s="236">
        <f ca="1">Orçamento!$Y$1483</f>
        <v>4.1086499999999999</v>
      </c>
      <c r="E90" s="237">
        <f ca="1">Orçamento!$Z$1483</f>
        <v>67.998157500000005</v>
      </c>
    </row>
    <row r="91" spans="1:5" x14ac:dyDescent="0.2">
      <c r="A91" s="233" t="str">
        <f>Orçamento!$S$1488</f>
        <v xml:space="preserve">   Soleiras</v>
      </c>
      <c r="B91" s="242" t="str">
        <f>Orçamento!$T$1488</f>
        <v/>
      </c>
      <c r="C91" s="235" t="str">
        <f>Orçamento!$U$1488</f>
        <v/>
      </c>
      <c r="D91" s="236" t="str">
        <f>Orçamento!$Y$1488</f>
        <v/>
      </c>
      <c r="E91" s="237">
        <f ca="1">Orçamento!$Z$1488</f>
        <v>71.428500000000014</v>
      </c>
    </row>
    <row r="92" spans="1:5" x14ac:dyDescent="0.2">
      <c r="A92" s="233" t="str">
        <f>Orçamento!$S$1489</f>
        <v>Soleira em granito, acabamento polido, espessura 2cm</v>
      </c>
      <c r="B92" s="242" t="str">
        <f>Orçamento!$T$1489</f>
        <v>M2</v>
      </c>
      <c r="C92" s="235">
        <f>Orçamento!$U$1489</f>
        <v>0.11</v>
      </c>
      <c r="D92" s="236">
        <f ca="1">Orçamento!$Y$1489</f>
        <v>649.35</v>
      </c>
      <c r="E92" s="237">
        <f ca="1">Orçamento!$Z$1489</f>
        <v>71.4285</v>
      </c>
    </row>
    <row r="93" spans="1:5" x14ac:dyDescent="0.2">
      <c r="A93" s="233" t="str">
        <f>Orçamento!$S$1493</f>
        <v xml:space="preserve">   Mão de Obra</v>
      </c>
      <c r="B93" s="242" t="str">
        <f>Orçamento!$T$1493</f>
        <v/>
      </c>
      <c r="C93" s="235" t="str">
        <f>Orçamento!$U$1493</f>
        <v/>
      </c>
      <c r="D93" s="236" t="str">
        <f>Orçamento!$Y$1493</f>
        <v/>
      </c>
      <c r="E93" s="237">
        <f ca="1">Orçamento!$Z$1493</f>
        <v>33344.648073543038</v>
      </c>
    </row>
    <row r="94" spans="1:5" x14ac:dyDescent="0.2">
      <c r="A94" s="233" t="str">
        <f>Orçamento!$S$1494</f>
        <v>Mao de obra para execucao de contrapiso comum e acústico</v>
      </c>
      <c r="B94" s="242" t="str">
        <f>Orçamento!$T$1494</f>
        <v>M2</v>
      </c>
      <c r="C94" s="235">
        <f>Orçamento!$U$1494</f>
        <v>342.74</v>
      </c>
      <c r="D94" s="236">
        <f ca="1">Orçamento!$Y$1494</f>
        <v>21.975617726721353</v>
      </c>
      <c r="E94" s="237">
        <f ca="1">Orçamento!$Z$1494</f>
        <v>7531.9232196564772</v>
      </c>
    </row>
    <row r="95" spans="1:5" x14ac:dyDescent="0.2">
      <c r="A95" s="233" t="str">
        <f>Orçamento!$S$1496</f>
        <v>Mao de obra para execucao em piso cimentado</v>
      </c>
      <c r="B95" s="242" t="str">
        <f>Orçamento!$T$1496</f>
        <v>M2</v>
      </c>
      <c r="C95" s="235">
        <f>Orçamento!$U$1496</f>
        <v>30.24</v>
      </c>
      <c r="D95" s="236">
        <f ca="1">Orçamento!$Y$1496</f>
        <v>21.975617726721353</v>
      </c>
      <c r="E95" s="237">
        <f ca="1">Orçamento!$Z$1496</f>
        <v>664.54268005605365</v>
      </c>
    </row>
    <row r="96" spans="1:5" x14ac:dyDescent="0.2">
      <c r="A96" s="233" t="str">
        <f>Orçamento!$S$1498</f>
        <v>Mao de obra para colocacao e rejuntamento de piso Cerâmico</v>
      </c>
      <c r="B96" s="242" t="str">
        <f>Orçamento!$T$1498</f>
        <v>M2</v>
      </c>
      <c r="C96" s="235">
        <f>Orçamento!$U$1498</f>
        <v>301.72999999999996</v>
      </c>
      <c r="D96" s="236">
        <f ca="1">Orçamento!$Y$1498</f>
        <v>73.511069535391329</v>
      </c>
      <c r="E96" s="237">
        <f ca="1">Orçamento!$Z$1498</f>
        <v>22180.495010913623</v>
      </c>
    </row>
    <row r="97" spans="1:5" x14ac:dyDescent="0.2">
      <c r="A97" s="233" t="str">
        <f>Orçamento!$S$1500</f>
        <v>Mao de obra para colocacao e rejuntamento de piso porcelanato</v>
      </c>
      <c r="B97" s="242" t="str">
        <f>Orçamento!$T$1500</f>
        <v>M2</v>
      </c>
      <c r="C97" s="235">
        <f>Orçamento!$U$1500</f>
        <v>7.29</v>
      </c>
      <c r="D97" s="236">
        <f ca="1">Orçamento!$Y$1500</f>
        <v>73.511069535391329</v>
      </c>
      <c r="E97" s="237">
        <f ca="1">Orçamento!$Z$1500</f>
        <v>535.89569691300278</v>
      </c>
    </row>
    <row r="98" spans="1:5" x14ac:dyDescent="0.2">
      <c r="A98" s="233" t="str">
        <f>Orçamento!$S$1502</f>
        <v>Mao de obra para colocacao de rodape cerâmico e porcelanato</v>
      </c>
      <c r="B98" s="242" t="str">
        <f>Orçamento!$T$1502</f>
        <v>M</v>
      </c>
      <c r="C98" s="235">
        <f>Orçamento!$U$1502</f>
        <v>116.98</v>
      </c>
      <c r="D98" s="236">
        <f ca="1">Orçamento!$Y$1502</f>
        <v>20.778316515676838</v>
      </c>
      <c r="E98" s="237">
        <f ca="1">Orçamento!$Z$1502</f>
        <v>2430.6474660038766</v>
      </c>
    </row>
    <row r="99" spans="1:5" x14ac:dyDescent="0.2">
      <c r="A99" s="233" t="str">
        <f>Orçamento!$S$1504</f>
        <v>Mao de obra para colocacao de soleiras em granito</v>
      </c>
      <c r="B99" s="242" t="str">
        <f>Orçamento!$T$1504</f>
        <v>M</v>
      </c>
      <c r="C99" s="235">
        <f>Orçamento!$U$1504</f>
        <v>0.11</v>
      </c>
      <c r="D99" s="236">
        <f ca="1">Orçamento!$Y$1504</f>
        <v>10.4</v>
      </c>
      <c r="E99" s="237">
        <f ca="1">Orçamento!$Z$1504</f>
        <v>1.1440000000000001</v>
      </c>
    </row>
    <row r="100" spans="1:5" x14ac:dyDescent="0.2">
      <c r="A100" s="233" t="str">
        <f>Orçamento!$S$1506</f>
        <v xml:space="preserve">   PISOS E PAVIMENTAÇÕES - TÉRREO - 2º PAVIMENTO - TÉRREO</v>
      </c>
      <c r="B100" s="242" t="str">
        <f>Orçamento!$T$1506</f>
        <v/>
      </c>
      <c r="C100" s="235" t="str">
        <f>Orçamento!$U$1506</f>
        <v/>
      </c>
      <c r="D100" s="236" t="str">
        <f>Orçamento!$Y$1506</f>
        <v/>
      </c>
      <c r="E100" s="237">
        <f ca="1">Orçamento!$Z$1506</f>
        <v>80743.998114958886</v>
      </c>
    </row>
    <row r="101" spans="1:5" x14ac:dyDescent="0.2">
      <c r="A101" s="233" t="str">
        <f>Orçamento!$S$1507</f>
        <v xml:space="preserve">   Contrapiso</v>
      </c>
      <c r="B101" s="242" t="str">
        <f>Orçamento!$T$1507</f>
        <v/>
      </c>
      <c r="C101" s="235" t="str">
        <f>Orçamento!$U$1507</f>
        <v/>
      </c>
      <c r="D101" s="236" t="str">
        <f>Orçamento!$Y$1507</f>
        <v/>
      </c>
      <c r="E101" s="237">
        <f ca="1">Orçamento!$Z$1507</f>
        <v>14466.136500000001</v>
      </c>
    </row>
    <row r="102" spans="1:5" x14ac:dyDescent="0.2">
      <c r="A102" s="233" t="str">
        <f>Orçamento!$S$1508</f>
        <v>Contrapiso comum em argamassa estabilizada, nao aderido, espessura 8cm</v>
      </c>
      <c r="B102" s="242" t="str">
        <f>Orçamento!$T$1508</f>
        <v>M2</v>
      </c>
      <c r="C102" s="235">
        <f>Orçamento!$U$1508</f>
        <v>304.23</v>
      </c>
      <c r="D102" s="236">
        <f ca="1">Orçamento!$Y$1508</f>
        <v>47.55</v>
      </c>
      <c r="E102" s="237">
        <f ca="1">Orçamento!$Z$1508</f>
        <v>14466.136500000001</v>
      </c>
    </row>
    <row r="103" spans="1:5" x14ac:dyDescent="0.2">
      <c r="A103" s="233" t="str">
        <f>Orçamento!$S$1511</f>
        <v xml:space="preserve">   Acabamentos em Piso</v>
      </c>
      <c r="B103" s="242" t="str">
        <f>Orçamento!$T$1511</f>
        <v/>
      </c>
      <c r="C103" s="235" t="str">
        <f>Orçamento!$U$1511</f>
        <v/>
      </c>
      <c r="D103" s="236" t="str">
        <f>Orçamento!$Y$1511</f>
        <v/>
      </c>
      <c r="E103" s="237">
        <f ca="1">Orçamento!$Z$1511</f>
        <v>22540.388850000003</v>
      </c>
    </row>
    <row r="104" spans="1:5" x14ac:dyDescent="0.2">
      <c r="A104" s="233" t="str">
        <f>Orçamento!$S$1512</f>
        <v>Revestimento interno de piso Cerâmico placa 60x60cm - áreas Internas</v>
      </c>
      <c r="B104" s="242" t="str">
        <f>Orçamento!$T$1512</f>
        <v>M2</v>
      </c>
      <c r="C104" s="235">
        <f>Orçamento!$U$1512</f>
        <v>104.19000000000001</v>
      </c>
      <c r="D104" s="236">
        <f ca="1">Orçamento!$Y$1512</f>
        <v>58.695000000000007</v>
      </c>
      <c r="E104" s="237">
        <f ca="1">Orçamento!$Z$1512</f>
        <v>6115.4320500000013</v>
      </c>
    </row>
    <row r="105" spans="1:5" x14ac:dyDescent="0.2">
      <c r="A105" s="233" t="str">
        <f>Orçamento!$S$1517</f>
        <v>Revestimento interno de piso porcelanato placa 80x80cm - áreas internas</v>
      </c>
      <c r="B105" s="242" t="str">
        <f>Orçamento!$T$1517</f>
        <v>M2</v>
      </c>
      <c r="C105" s="235">
        <f>Orçamento!$U$1517</f>
        <v>112.38</v>
      </c>
      <c r="D105" s="236">
        <f ca="1">Orçamento!$Y$1517</f>
        <v>75.704999999999998</v>
      </c>
      <c r="E105" s="237">
        <f ca="1">Orçamento!$Z$1517</f>
        <v>8507.7278999999999</v>
      </c>
    </row>
    <row r="106" spans="1:5" x14ac:dyDescent="0.2">
      <c r="A106" s="233" t="str">
        <f>Orçamento!$S$1523</f>
        <v>Revestimento interno de piso porcelanato placa 80x80cm - áreas Externas</v>
      </c>
      <c r="B106" s="242" t="str">
        <f>Orçamento!$T$1523</f>
        <v>M2</v>
      </c>
      <c r="C106" s="235">
        <f>Orçamento!$U$1523</f>
        <v>104.58000000000001</v>
      </c>
      <c r="D106" s="236">
        <f ca="1">Orçamento!$Y$1523</f>
        <v>75.704999999999998</v>
      </c>
      <c r="E106" s="237">
        <f ca="1">Orçamento!$Z$1523</f>
        <v>7917.228900000001</v>
      </c>
    </row>
    <row r="107" spans="1:5" x14ac:dyDescent="0.2">
      <c r="A107" s="233" t="str">
        <f>Orçamento!$S$1529</f>
        <v xml:space="preserve">   Rodapés</v>
      </c>
      <c r="B107" s="242" t="str">
        <f>Orçamento!$T$1529</f>
        <v/>
      </c>
      <c r="C107" s="235" t="str">
        <f>Orçamento!$U$1529</f>
        <v/>
      </c>
      <c r="D107" s="236" t="str">
        <f>Orçamento!$Y$1529</f>
        <v/>
      </c>
      <c r="E107" s="237">
        <f ca="1">Orçamento!$Z$1529</f>
        <v>6693.0003147000007</v>
      </c>
    </row>
    <row r="108" spans="1:5" x14ac:dyDescent="0.2">
      <c r="A108" s="233" t="str">
        <f>Orçamento!$S$1530</f>
        <v>Revestimento interno de Rodapé Cerâmico h=0,30cm</v>
      </c>
      <c r="B108" s="242" t="str">
        <f>Orçamento!$T$1530</f>
        <v>M</v>
      </c>
      <c r="C108" s="235">
        <f>Orçamento!$U$1530</f>
        <v>47.85</v>
      </c>
      <c r="D108" s="236">
        <f ca="1">Orçamento!$Y$1530</f>
        <v>17.608499999999999</v>
      </c>
      <c r="E108" s="237">
        <f ca="1">Orçamento!$Z$1530</f>
        <v>842.56672500000002</v>
      </c>
    </row>
    <row r="109" spans="1:5" x14ac:dyDescent="0.2">
      <c r="A109" s="233" t="str">
        <f>Orçamento!$S$1535</f>
        <v>Revestimento interno de Rodapé Cerâmico h=0,07cm</v>
      </c>
      <c r="B109" s="242" t="str">
        <f>Orçamento!$T$1535</f>
        <v>M</v>
      </c>
      <c r="C109" s="235">
        <f>Orçamento!$U$1535</f>
        <v>25.29</v>
      </c>
      <c r="D109" s="236">
        <f ca="1">Orçamento!$Y$1535</f>
        <v>4.1086499999999999</v>
      </c>
      <c r="E109" s="237">
        <f ca="1">Orçamento!$Z$1535</f>
        <v>103.9077585</v>
      </c>
    </row>
    <row r="110" spans="1:5" x14ac:dyDescent="0.2">
      <c r="A110" s="233" t="str">
        <f>Orçamento!$S$1540</f>
        <v>Revestimento interno de Rodapé Porcelanato h=0,30cm</v>
      </c>
      <c r="B110" s="242" t="str">
        <f>Orçamento!$T$1540</f>
        <v>M</v>
      </c>
      <c r="C110" s="235">
        <f>Orçamento!$U$1540</f>
        <v>76.150000000000006</v>
      </c>
      <c r="D110" s="236">
        <f ca="1">Orçamento!$Y$1540</f>
        <v>22.711500000000001</v>
      </c>
      <c r="E110" s="237">
        <f ca="1">Orçamento!$Z$1540</f>
        <v>1729.4807250000001</v>
      </c>
    </row>
    <row r="111" spans="1:5" x14ac:dyDescent="0.2">
      <c r="A111" s="233" t="str">
        <f>Orçamento!$S$1546</f>
        <v>Revestimento interno de Rodapé Porcelanato h=0,07cm</v>
      </c>
      <c r="B111" s="242" t="str">
        <f>Orçamento!$T$1546</f>
        <v>M</v>
      </c>
      <c r="C111" s="235">
        <f>Orçamento!$U$1546</f>
        <v>10.98</v>
      </c>
      <c r="D111" s="236">
        <f ca="1">Orçamento!$Y$1546</f>
        <v>5.2993500000000004</v>
      </c>
      <c r="E111" s="237">
        <f ca="1">Orçamento!$Z$1546</f>
        <v>58.18686300000001</v>
      </c>
    </row>
    <row r="112" spans="1:5" x14ac:dyDescent="0.2">
      <c r="A112" s="233" t="str">
        <f>Orçamento!$S$1552</f>
        <v>Rodape de poliestireno 10cm</v>
      </c>
      <c r="B112" s="242" t="str">
        <f>Orçamento!$T$1552</f>
        <v>M</v>
      </c>
      <c r="C112" s="235">
        <f>Orçamento!$U$1552</f>
        <v>42</v>
      </c>
      <c r="D112" s="236">
        <f ca="1">Orçamento!$Y$1552</f>
        <v>46.634840000000011</v>
      </c>
      <c r="E112" s="237">
        <f ca="1">Orçamento!$Z$1552</f>
        <v>1958.6632800000004</v>
      </c>
    </row>
    <row r="113" spans="1:5" x14ac:dyDescent="0.2">
      <c r="A113" s="233" t="str">
        <f>Orçamento!$S$1556</f>
        <v>Rodape de poliestireno 15cm</v>
      </c>
      <c r="B113" s="242" t="str">
        <f>Orçamento!$T$1556</f>
        <v>M</v>
      </c>
      <c r="C113" s="235">
        <f>Orçamento!$U$1556</f>
        <v>28.98</v>
      </c>
      <c r="D113" s="236">
        <f ca="1">Orçamento!$Y$1556</f>
        <v>69.019840000000016</v>
      </c>
      <c r="E113" s="237">
        <f ca="1">Orçamento!$Z$1556</f>
        <v>2000.1949632000005</v>
      </c>
    </row>
    <row r="114" spans="1:5" x14ac:dyDescent="0.2">
      <c r="A114" s="233" t="str">
        <f>Orçamento!$S$1560</f>
        <v xml:space="preserve">   Soleiras</v>
      </c>
      <c r="B114" s="242" t="str">
        <f>Orçamento!$T$1560</f>
        <v/>
      </c>
      <c r="C114" s="235" t="str">
        <f>Orçamento!$U$1560</f>
        <v/>
      </c>
      <c r="D114" s="236" t="str">
        <f>Orçamento!$Y$1560</f>
        <v/>
      </c>
      <c r="E114" s="237">
        <f ca="1">Orçamento!$Z$1560</f>
        <v>1318.1804999999999</v>
      </c>
    </row>
    <row r="115" spans="1:5" x14ac:dyDescent="0.2">
      <c r="A115" s="233" t="str">
        <f>Orçamento!$S$1561</f>
        <v>Soleira em granito, acabamento polido, espessura 2cm</v>
      </c>
      <c r="B115" s="242" t="str">
        <f>Orçamento!$T$1561</f>
        <v>M2</v>
      </c>
      <c r="C115" s="235">
        <f>Orçamento!$U$1561</f>
        <v>2.0299999999999998</v>
      </c>
      <c r="D115" s="236">
        <f ca="1">Orçamento!$Y$1561</f>
        <v>649.35</v>
      </c>
      <c r="E115" s="237">
        <f ca="1">Orçamento!$Z$1561</f>
        <v>1318.1804999999999</v>
      </c>
    </row>
    <row r="116" spans="1:5" x14ac:dyDescent="0.2">
      <c r="A116" s="233" t="str">
        <f>Orçamento!$S$1565</f>
        <v xml:space="preserve">   Mão de Obra</v>
      </c>
      <c r="B116" s="242" t="str">
        <f>Orçamento!$T$1565</f>
        <v/>
      </c>
      <c r="C116" s="235" t="str">
        <f>Orçamento!$U$1565</f>
        <v/>
      </c>
      <c r="D116" s="236" t="str">
        <f>Orçamento!$Y$1565</f>
        <v/>
      </c>
      <c r="E116" s="237">
        <f ca="1">Orçamento!$Z$1565</f>
        <v>35726.291950258892</v>
      </c>
    </row>
    <row r="117" spans="1:5" x14ac:dyDescent="0.2">
      <c r="A117" s="233" t="str">
        <f>Orçamento!$S$1566</f>
        <v>Mao de obra para execucao de contrapiso comum e acústico</v>
      </c>
      <c r="B117" s="242" t="str">
        <f>Orçamento!$T$1566</f>
        <v>M2</v>
      </c>
      <c r="C117" s="235">
        <f>Orçamento!$U$1566</f>
        <v>304.23</v>
      </c>
      <c r="D117" s="236">
        <f ca="1">Orçamento!$Y$1566</f>
        <v>21.975617726721353</v>
      </c>
      <c r="E117" s="237">
        <f ca="1">Orçamento!$Z$1566</f>
        <v>6685.6421810004376</v>
      </c>
    </row>
    <row r="118" spans="1:5" x14ac:dyDescent="0.2">
      <c r="A118" s="233" t="str">
        <f>Orçamento!$S$1568</f>
        <v>Mao de obra para colocacao e rejuntamento de piso Cerâmico</v>
      </c>
      <c r="B118" s="242" t="str">
        <f>Orçamento!$T$1568</f>
        <v>M2</v>
      </c>
      <c r="C118" s="235">
        <f>Orçamento!$U$1568</f>
        <v>104.19000000000001</v>
      </c>
      <c r="D118" s="236">
        <f ca="1">Orçamento!$Y$1568</f>
        <v>73.511069535391329</v>
      </c>
      <c r="E118" s="237">
        <f ca="1">Orçamento!$Z$1568</f>
        <v>7659.1183348924233</v>
      </c>
    </row>
    <row r="119" spans="1:5" x14ac:dyDescent="0.2">
      <c r="A119" s="233" t="str">
        <f>Orçamento!$S$1570</f>
        <v>Mao de obra para colocacao e rejuntamento de piso porcelanato</v>
      </c>
      <c r="B119" s="242" t="str">
        <f>Orçamento!$T$1570</f>
        <v>M2</v>
      </c>
      <c r="C119" s="235">
        <f>Orçamento!$U$1570</f>
        <v>216.96</v>
      </c>
      <c r="D119" s="236">
        <f ca="1">Orçamento!$Y$1570</f>
        <v>73.511069535391329</v>
      </c>
      <c r="E119" s="237">
        <f ca="1">Orçamento!$Z$1570</f>
        <v>15948.961646398504</v>
      </c>
    </row>
    <row r="120" spans="1:5" x14ac:dyDescent="0.2">
      <c r="A120" s="233" t="str">
        <f>Orçamento!$S$1572</f>
        <v>Mao de obra para colocacao de rodape de poliestireno</v>
      </c>
      <c r="B120" s="242" t="str">
        <f>Orçamento!$T$1572</f>
        <v>M</v>
      </c>
      <c r="C120" s="235">
        <f>Orçamento!$U$1572</f>
        <v>70.98</v>
      </c>
      <c r="D120" s="236">
        <f ca="1">Orçamento!$Y$1572</f>
        <v>22</v>
      </c>
      <c r="E120" s="237">
        <f ca="1">Orçamento!$Z$1572</f>
        <v>1561.5600000000002</v>
      </c>
    </row>
    <row r="121" spans="1:5" x14ac:dyDescent="0.2">
      <c r="A121" s="233" t="str">
        <f>Orçamento!$S$1574</f>
        <v>Mao de obra para colocacao de rodape cerâmico e porcelanato</v>
      </c>
      <c r="B121" s="242" t="str">
        <f>Orçamento!$T$1574</f>
        <v>M</v>
      </c>
      <c r="C121" s="235">
        <f>Orçamento!$U$1574</f>
        <v>160.27000000000001</v>
      </c>
      <c r="D121" s="236">
        <f ca="1">Orçamento!$Y$1574</f>
        <v>20.778316515676838</v>
      </c>
      <c r="E121" s="237">
        <f ca="1">Orçamento!$Z$1574</f>
        <v>3330.1407879675271</v>
      </c>
    </row>
    <row r="122" spans="1:5" x14ac:dyDescent="0.2">
      <c r="A122" s="233" t="str">
        <f>Orçamento!$S$1576</f>
        <v>Mao de obra para colocacao de soleiras em granito</v>
      </c>
      <c r="B122" s="242" t="str">
        <f>Orçamento!$T$1576</f>
        <v>M</v>
      </c>
      <c r="C122" s="235">
        <f>Orçamento!$U$1576</f>
        <v>2.0299999999999998</v>
      </c>
      <c r="D122" s="236">
        <f ca="1">Orçamento!$Y$1576</f>
        <v>10.4</v>
      </c>
      <c r="E122" s="237">
        <f ca="1">Orçamento!$Z$1576</f>
        <v>21.111999999999998</v>
      </c>
    </row>
    <row r="123" spans="1:5" x14ac:dyDescent="0.2">
      <c r="A123" s="233" t="str">
        <f>Orçamento!$S$1578</f>
        <v>Mao de obra para execucao de piso de concretograma</v>
      </c>
      <c r="B123" s="242" t="str">
        <f>Orçamento!$T$1578</f>
        <v>M2</v>
      </c>
      <c r="C123" s="235">
        <f>Orçamento!$U$1578</f>
        <v>12.677</v>
      </c>
      <c r="D123" s="236">
        <f ca="1">Orçamento!$Y$1578</f>
        <v>41</v>
      </c>
      <c r="E123" s="237">
        <f ca="1">Orçamento!$Z$1578</f>
        <v>519.75699999999995</v>
      </c>
    </row>
    <row r="124" spans="1:5" x14ac:dyDescent="0.2">
      <c r="A124" s="233" t="str">
        <f>Orçamento!$S$1580</f>
        <v xml:space="preserve">   PISOS E PAVIMENTAÇÕES - 3º  ao 7º PAVIMENTO - TIPO</v>
      </c>
      <c r="B124" s="242" t="str">
        <f>Orçamento!$T$1580</f>
        <v/>
      </c>
      <c r="C124" s="235" t="str">
        <f>Orçamento!$U$1580</f>
        <v/>
      </c>
      <c r="D124" s="236" t="str">
        <f>Orçamento!$Y$1580</f>
        <v/>
      </c>
      <c r="E124" s="237">
        <f ca="1">Orçamento!$Z$1580</f>
        <v>249409.78991504983</v>
      </c>
    </row>
    <row r="125" spans="1:5" x14ac:dyDescent="0.2">
      <c r="A125" s="233" t="str">
        <f>Orçamento!$S$1581</f>
        <v xml:space="preserve">   Contrapiso</v>
      </c>
      <c r="B125" s="242" t="str">
        <f>Orçamento!$T$1581</f>
        <v/>
      </c>
      <c r="C125" s="235" t="str">
        <f>Orçamento!$U$1581</f>
        <v/>
      </c>
      <c r="D125" s="236" t="str">
        <f>Orçamento!$Y$1581</f>
        <v/>
      </c>
      <c r="E125" s="237">
        <f ca="1">Orçamento!$Z$1581</f>
        <v>45242.873999999996</v>
      </c>
    </row>
    <row r="126" spans="1:5" x14ac:dyDescent="0.2">
      <c r="A126" s="233" t="str">
        <f>Orçamento!$S$1582</f>
        <v>Contrapiso comum em argamassa estabilizada, nao aderido, espessura 8cm</v>
      </c>
      <c r="B126" s="242" t="str">
        <f>Orçamento!$T$1582</f>
        <v>M2</v>
      </c>
      <c r="C126" s="235">
        <f>Orçamento!$U$1582</f>
        <v>951.48</v>
      </c>
      <c r="D126" s="236">
        <f ca="1">Orçamento!$Y$1582</f>
        <v>47.55</v>
      </c>
      <c r="E126" s="237">
        <f ca="1">Orçamento!$Z$1582</f>
        <v>45242.873999999996</v>
      </c>
    </row>
    <row r="127" spans="1:5" x14ac:dyDescent="0.2">
      <c r="A127" s="233" t="str">
        <f>Orçamento!$S$1585</f>
        <v xml:space="preserve">   Acabamentos em Piso</v>
      </c>
      <c r="B127" s="242" t="str">
        <f>Orçamento!$T$1585</f>
        <v/>
      </c>
      <c r="C127" s="235" t="str">
        <f>Orçamento!$U$1585</f>
        <v/>
      </c>
      <c r="D127" s="236" t="str">
        <f>Orçamento!$Y$1585</f>
        <v/>
      </c>
      <c r="E127" s="237">
        <f ca="1">Orçamento!$Z$1585</f>
        <v>67773.097349999996</v>
      </c>
    </row>
    <row r="128" spans="1:5" x14ac:dyDescent="0.2">
      <c r="A128" s="233" t="str">
        <f>Orçamento!$S$1586</f>
        <v>Revestimento interno de piso Cerâmico placa 60x60cm - áreas Internas</v>
      </c>
      <c r="B128" s="242" t="str">
        <f>Orçamento!$T$1586</f>
        <v>M2</v>
      </c>
      <c r="C128" s="235">
        <f>Orçamento!$U$1586</f>
        <v>57.43</v>
      </c>
      <c r="D128" s="236">
        <f ca="1">Orçamento!$Y$1586</f>
        <v>58.695000000000007</v>
      </c>
      <c r="E128" s="237">
        <f ca="1">Orçamento!$Z$1586</f>
        <v>3370.8538500000004</v>
      </c>
    </row>
    <row r="129" spans="1:5" x14ac:dyDescent="0.2">
      <c r="A129" s="233" t="str">
        <f>Orçamento!$S$1591</f>
        <v>Revestimento interno de piso porcelanato placa 80x80cm - áreas internas</v>
      </c>
      <c r="B129" s="242" t="str">
        <f>Orçamento!$T$1591</f>
        <v>M2</v>
      </c>
      <c r="C129" s="235">
        <f>Orçamento!$U$1591</f>
        <v>738.6</v>
      </c>
      <c r="D129" s="236">
        <f ca="1">Orçamento!$Y$1591</f>
        <v>75.704999999999998</v>
      </c>
      <c r="E129" s="237">
        <f ca="1">Orçamento!$Z$1591</f>
        <v>55915.713000000003</v>
      </c>
    </row>
    <row r="130" spans="1:5" x14ac:dyDescent="0.2">
      <c r="A130" s="233" t="str">
        <f>Orçamento!$S$1597</f>
        <v>Revestimento interno de piso porcelanato placa 80x80cm - áreas Externas</v>
      </c>
      <c r="B130" s="242" t="str">
        <f>Orçamento!$T$1597</f>
        <v>M2</v>
      </c>
      <c r="C130" s="235">
        <f>Orçamento!$U$1597</f>
        <v>112.10000000000001</v>
      </c>
      <c r="D130" s="236">
        <f ca="1">Orçamento!$Y$1597</f>
        <v>75.704999999999998</v>
      </c>
      <c r="E130" s="237">
        <f ca="1">Orçamento!$Z$1597</f>
        <v>8486.5305000000008</v>
      </c>
    </row>
    <row r="131" spans="1:5" x14ac:dyDescent="0.2">
      <c r="A131" s="233" t="str">
        <f>Orçamento!$S$1603</f>
        <v xml:space="preserve">   Rodapés</v>
      </c>
      <c r="B131" s="242" t="str">
        <f>Orçamento!$T$1603</f>
        <v/>
      </c>
      <c r="C131" s="235" t="str">
        <f>Orçamento!$U$1603</f>
        <v/>
      </c>
      <c r="D131" s="236" t="str">
        <f>Orçamento!$Y$1603</f>
        <v/>
      </c>
      <c r="E131" s="237">
        <f ca="1">Orçamento!$Z$1603</f>
        <v>26132.562228000003</v>
      </c>
    </row>
    <row r="132" spans="1:5" x14ac:dyDescent="0.2">
      <c r="A132" s="233" t="str">
        <f>Orçamento!$S$1604</f>
        <v>Revestimento interno de Rodapé Cerâmico h=0,07cm</v>
      </c>
      <c r="B132" s="242" t="str">
        <f>Orçamento!$T$1604</f>
        <v>M</v>
      </c>
      <c r="C132" s="235">
        <f>Orçamento!$U$1604</f>
        <v>103.35000000000001</v>
      </c>
      <c r="D132" s="236">
        <f ca="1">Orçamento!$Y$1604</f>
        <v>4.1086499999999999</v>
      </c>
      <c r="E132" s="237">
        <f ca="1">Orçamento!$Z$1604</f>
        <v>424.62897750000002</v>
      </c>
    </row>
    <row r="133" spans="1:5" x14ac:dyDescent="0.2">
      <c r="A133" s="233" t="str">
        <f>Orçamento!$S$1609</f>
        <v>Revestimento interno de Rodapé Porcelanato h=0,07cm</v>
      </c>
      <c r="B133" s="242" t="str">
        <f>Orçamento!$T$1609</f>
        <v>M</v>
      </c>
      <c r="C133" s="235">
        <f>Orçamento!$U$1609</f>
        <v>5.3500000000000005</v>
      </c>
      <c r="D133" s="236">
        <f ca="1">Orçamento!$Y$1609</f>
        <v>5.2993500000000004</v>
      </c>
      <c r="E133" s="237">
        <f ca="1">Orçamento!$Z$1609</f>
        <v>28.351522500000005</v>
      </c>
    </row>
    <row r="134" spans="1:5" x14ac:dyDescent="0.2">
      <c r="A134" s="233" t="str">
        <f>Orçamento!$S$1615</f>
        <v>Rodape de poliestireno 10cm</v>
      </c>
      <c r="B134" s="242" t="str">
        <f>Orçamento!$T$1615</f>
        <v>M</v>
      </c>
      <c r="C134" s="235">
        <f>Orçamento!$U$1615</f>
        <v>476.8</v>
      </c>
      <c r="D134" s="236">
        <f ca="1">Orçamento!$Y$1615</f>
        <v>46.634840000000011</v>
      </c>
      <c r="E134" s="237">
        <f ca="1">Orçamento!$Z$1615</f>
        <v>22235.491712000006</v>
      </c>
    </row>
    <row r="135" spans="1:5" x14ac:dyDescent="0.2">
      <c r="A135" s="233" t="str">
        <f>Orçamento!$S$1619</f>
        <v>Rodape de poliestireno 15cm</v>
      </c>
      <c r="B135" s="242" t="str">
        <f>Orçamento!$T$1619</f>
        <v>M</v>
      </c>
      <c r="C135" s="235">
        <f>Orçamento!$U$1619</f>
        <v>49.900000000000006</v>
      </c>
      <c r="D135" s="236">
        <f ca="1">Orçamento!$Y$1619</f>
        <v>69.019840000000016</v>
      </c>
      <c r="E135" s="237">
        <f ca="1">Orçamento!$Z$1619</f>
        <v>3444.090016000001</v>
      </c>
    </row>
    <row r="136" spans="1:5" x14ac:dyDescent="0.2">
      <c r="A136" s="233" t="str">
        <f>Orçamento!$S$1623</f>
        <v xml:space="preserve">   Soleiras</v>
      </c>
      <c r="B136" s="242" t="str">
        <f>Orçamento!$T$1623</f>
        <v/>
      </c>
      <c r="C136" s="235" t="str">
        <f>Orçamento!$U$1623</f>
        <v/>
      </c>
      <c r="D136" s="236" t="str">
        <f>Orçamento!$Y$1623</f>
        <v/>
      </c>
      <c r="E136" s="237">
        <f ca="1">Orçamento!$Z$1623</f>
        <v>8610.3809999999994</v>
      </c>
    </row>
    <row r="137" spans="1:5" x14ac:dyDescent="0.2">
      <c r="A137" s="233" t="str">
        <f>Orçamento!$S$1624</f>
        <v>Soleira em granito, acabamento polido, espessura 2cm</v>
      </c>
      <c r="B137" s="242" t="str">
        <f>Orçamento!$T$1624</f>
        <v>M2</v>
      </c>
      <c r="C137" s="235">
        <f>Orçamento!$U$1624</f>
        <v>13.26</v>
      </c>
      <c r="D137" s="236">
        <f ca="1">Orçamento!$Y$1624</f>
        <v>649.35</v>
      </c>
      <c r="E137" s="237">
        <f ca="1">Orçamento!$Z$1624</f>
        <v>8610.3809999999994</v>
      </c>
    </row>
    <row r="138" spans="1:5" x14ac:dyDescent="0.2">
      <c r="A138" s="233" t="str">
        <f>Orçamento!$S$1628</f>
        <v xml:space="preserve">   Mão de Obra</v>
      </c>
      <c r="B138" s="242" t="str">
        <f>Orçamento!$T$1628</f>
        <v/>
      </c>
      <c r="C138" s="235" t="str">
        <f>Orçamento!$U$1628</f>
        <v/>
      </c>
      <c r="D138" s="236" t="str">
        <f>Orçamento!$Y$1628</f>
        <v/>
      </c>
      <c r="E138" s="237">
        <f ca="1">Orçamento!$Z$1628</f>
        <v>101650.87533704985</v>
      </c>
    </row>
    <row r="139" spans="1:5" x14ac:dyDescent="0.2">
      <c r="A139" s="233" t="str">
        <f>Orçamento!$S$1629</f>
        <v>Mao de obra para execucao de contrapiso comum e acústico</v>
      </c>
      <c r="B139" s="242" t="str">
        <f>Orçamento!$T$1629</f>
        <v>M2</v>
      </c>
      <c r="C139" s="235">
        <f>Orçamento!$U$1629</f>
        <v>951.48</v>
      </c>
      <c r="D139" s="236">
        <f ca="1">Orçamento!$Y$1629</f>
        <v>21.975617726721353</v>
      </c>
      <c r="E139" s="237">
        <f ca="1">Orçamento!$Z$1629</f>
        <v>20909.360754620833</v>
      </c>
    </row>
    <row r="140" spans="1:5" x14ac:dyDescent="0.2">
      <c r="A140" s="233" t="str">
        <f>Orçamento!$S$1631</f>
        <v>Mao de obra para colocacao e rejuntamento de piso Cerâmico</v>
      </c>
      <c r="B140" s="242" t="str">
        <f>Orçamento!$T$1631</f>
        <v>M2</v>
      </c>
      <c r="C140" s="235">
        <f>Orçamento!$U$1631</f>
        <v>57.43</v>
      </c>
      <c r="D140" s="236">
        <f ca="1">Orçamento!$Y$1631</f>
        <v>73.511069535391329</v>
      </c>
      <c r="E140" s="237">
        <f ca="1">Orçamento!$Z$1631</f>
        <v>4221.7407234175244</v>
      </c>
    </row>
    <row r="141" spans="1:5" x14ac:dyDescent="0.2">
      <c r="A141" s="233" t="str">
        <f>Orçamento!$S$1633</f>
        <v>Mao de obra para colocacao e rejuntamento de piso porcelanato</v>
      </c>
      <c r="B141" s="242" t="str">
        <f>Orçamento!$T$1633</f>
        <v>M2</v>
      </c>
      <c r="C141" s="235">
        <f>Orçamento!$U$1633</f>
        <v>850.7</v>
      </c>
      <c r="D141" s="236">
        <f ca="1">Orçamento!$Y$1633</f>
        <v>73.511069535391329</v>
      </c>
      <c r="E141" s="237">
        <f ca="1">Orçamento!$Z$1633</f>
        <v>62535.866853757405</v>
      </c>
    </row>
    <row r="142" spans="1:5" x14ac:dyDescent="0.2">
      <c r="A142" s="233" t="str">
        <f>Orçamento!$S$1635</f>
        <v>Mao de obra para colocacao de rodape cerâmico e porcelanato</v>
      </c>
      <c r="B142" s="242" t="str">
        <f>Orçamento!$T$1635</f>
        <v>M</v>
      </c>
      <c r="C142" s="235">
        <f>Orçamento!$U$1635</f>
        <v>108.7</v>
      </c>
      <c r="D142" s="236">
        <f ca="1">Orçamento!$Y$1635</f>
        <v>20.778316515676838</v>
      </c>
      <c r="E142" s="237">
        <f ca="1">Orçamento!$Z$1635</f>
        <v>2258.6030052540723</v>
      </c>
    </row>
    <row r="143" spans="1:5" x14ac:dyDescent="0.2">
      <c r="A143" s="233" t="str">
        <f>Orçamento!$S$1637</f>
        <v>Mao de obra para colocacao de rodape de poliestireno</v>
      </c>
      <c r="B143" s="242" t="str">
        <f>Orçamento!$T$1637</f>
        <v>M</v>
      </c>
      <c r="C143" s="235">
        <f>Orçamento!$U$1637</f>
        <v>526.70000000000005</v>
      </c>
      <c r="D143" s="236">
        <f ca="1">Orçamento!$Y$1637</f>
        <v>22</v>
      </c>
      <c r="E143" s="237">
        <f ca="1">Orçamento!$Z$1637</f>
        <v>11587.400000000001</v>
      </c>
    </row>
    <row r="144" spans="1:5" x14ac:dyDescent="0.2">
      <c r="A144" s="233" t="str">
        <f>Orçamento!$S$1639</f>
        <v>Mao de obra para colocacao de soleiras em granito</v>
      </c>
      <c r="B144" s="242" t="str">
        <f>Orçamento!$T$1639</f>
        <v>M</v>
      </c>
      <c r="C144" s="235">
        <f>Orçamento!$U$1639</f>
        <v>13.26</v>
      </c>
      <c r="D144" s="236">
        <f ca="1">Orçamento!$Y$1639</f>
        <v>10.4</v>
      </c>
      <c r="E144" s="237">
        <f ca="1">Orçamento!$Z$1639</f>
        <v>137.904</v>
      </c>
    </row>
    <row r="145" spans="1:5" x14ac:dyDescent="0.2">
      <c r="A145" s="233" t="str">
        <f>Orçamento!$S$1641</f>
        <v xml:space="preserve">   PISOS E PAVIMENTAÇÕES - 8º PAVIMENTO - COBERTURA</v>
      </c>
      <c r="B145" s="242" t="str">
        <f>Orçamento!$T$1641</f>
        <v/>
      </c>
      <c r="C145" s="235" t="str">
        <f>Orçamento!$U$1641</f>
        <v/>
      </c>
      <c r="D145" s="236" t="str">
        <f>Orçamento!$Y$1641</f>
        <v/>
      </c>
      <c r="E145" s="237">
        <f ca="1">Orçamento!$Z$1641</f>
        <v>38897.478344849762</v>
      </c>
    </row>
    <row r="146" spans="1:5" x14ac:dyDescent="0.2">
      <c r="A146" s="233" t="str">
        <f>Orçamento!$S$1642</f>
        <v xml:space="preserve">   Contrapiso</v>
      </c>
      <c r="B146" s="242" t="str">
        <f>Orçamento!$T$1642</f>
        <v/>
      </c>
      <c r="C146" s="235" t="str">
        <f>Orçamento!$U$1642</f>
        <v/>
      </c>
      <c r="D146" s="236" t="str">
        <f>Orçamento!$Y$1642</f>
        <v/>
      </c>
      <c r="E146" s="237">
        <f ca="1">Orçamento!$Z$1642</f>
        <v>4192.0079999999998</v>
      </c>
    </row>
    <row r="147" spans="1:5" x14ac:dyDescent="0.2">
      <c r="A147" s="233" t="str">
        <f>Orçamento!$S$1643</f>
        <v>Contrapiso comum em argamassa estabilizada, nao aderido, espessura 8cm</v>
      </c>
      <c r="B147" s="242" t="str">
        <f>Orçamento!$T$1643</f>
        <v>M2</v>
      </c>
      <c r="C147" s="235">
        <f>Orçamento!$U$1643</f>
        <v>88.16</v>
      </c>
      <c r="D147" s="236">
        <f ca="1">Orçamento!$Y$1643</f>
        <v>47.55</v>
      </c>
      <c r="E147" s="237">
        <f ca="1">Orçamento!$Z$1643</f>
        <v>4192.0079999999998</v>
      </c>
    </row>
    <row r="148" spans="1:5" x14ac:dyDescent="0.2">
      <c r="A148" s="233" t="str">
        <f>Orçamento!$S$1646</f>
        <v xml:space="preserve">   Acabamentos em Piso</v>
      </c>
      <c r="B148" s="242" t="str">
        <f>Orçamento!$T$1646</f>
        <v/>
      </c>
      <c r="C148" s="235" t="str">
        <f>Orçamento!$U$1646</f>
        <v/>
      </c>
      <c r="D148" s="236" t="str">
        <f>Orçamento!$Y$1646</f>
        <v/>
      </c>
      <c r="E148" s="237">
        <f ca="1">Orçamento!$Z$1646</f>
        <v>16266.577650000003</v>
      </c>
    </row>
    <row r="149" spans="1:5" x14ac:dyDescent="0.2">
      <c r="A149" s="233" t="str">
        <f>Orçamento!$S$1647</f>
        <v>Revestimento interno de piso Cerâmico placa 60x60cm - áreas Internas</v>
      </c>
      <c r="B149" s="242" t="str">
        <f>Orçamento!$T$1647</f>
        <v>M2</v>
      </c>
      <c r="C149" s="235">
        <f>Orçamento!$U$1647</f>
        <v>26.01</v>
      </c>
      <c r="D149" s="236">
        <f ca="1">Orçamento!$Y$1647</f>
        <v>58.695000000000007</v>
      </c>
      <c r="E149" s="237">
        <f ca="1">Orçamento!$Z$1647</f>
        <v>1526.6569500000003</v>
      </c>
    </row>
    <row r="150" spans="1:5" x14ac:dyDescent="0.2">
      <c r="A150" s="233" t="str">
        <f>Orçamento!$S$1652</f>
        <v>Revestimento interno de piso porcelanato placa 80x80cm - áreas internas</v>
      </c>
      <c r="B150" s="242" t="str">
        <f>Orçamento!$T$1652</f>
        <v>M2</v>
      </c>
      <c r="C150" s="235">
        <f>Orçamento!$U$1652</f>
        <v>50.12</v>
      </c>
      <c r="D150" s="236">
        <f ca="1">Orçamento!$Y$1652</f>
        <v>75.704999999999998</v>
      </c>
      <c r="E150" s="237">
        <f ca="1">Orçamento!$Z$1652</f>
        <v>3794.3345999999997</v>
      </c>
    </row>
    <row r="151" spans="1:5" x14ac:dyDescent="0.2">
      <c r="A151" s="233" t="str">
        <f>Orçamento!$S$1658</f>
        <v>Revestimento interno de piso porcelanato placa 80x80cm - áreas Externas</v>
      </c>
      <c r="B151" s="242" t="str">
        <f>Orçamento!$T$1658</f>
        <v>M2</v>
      </c>
      <c r="C151" s="235">
        <f>Orçamento!$U$1658</f>
        <v>85.46</v>
      </c>
      <c r="D151" s="236">
        <f ca="1">Orçamento!$Y$1658</f>
        <v>75.704999999999998</v>
      </c>
      <c r="E151" s="237">
        <f ca="1">Orçamento!$Z$1658</f>
        <v>6469.7492999999995</v>
      </c>
    </row>
    <row r="152" spans="1:5" x14ac:dyDescent="0.2">
      <c r="A152" s="233" t="str">
        <f>Orçamento!$S$1664</f>
        <v>Revestimento interno de piso Ladrilho Piscina - áreas Externas</v>
      </c>
      <c r="B152" s="242" t="str">
        <f>Orçamento!$T$1664</f>
        <v>M2</v>
      </c>
      <c r="C152" s="235">
        <f>Orçamento!$U$1664</f>
        <v>36.799999999999997</v>
      </c>
      <c r="D152" s="236">
        <f ca="1">Orçamento!$Y$1664</f>
        <v>121.62600000000002</v>
      </c>
      <c r="E152" s="237">
        <f ca="1">Orçamento!$Z$1664</f>
        <v>4475.8368</v>
      </c>
    </row>
    <row r="153" spans="1:5" x14ac:dyDescent="0.2">
      <c r="A153" s="233" t="str">
        <f>Orçamento!$S$1669</f>
        <v xml:space="preserve">   Rodapés</v>
      </c>
      <c r="B153" s="242" t="str">
        <f>Orçamento!$T$1669</f>
        <v/>
      </c>
      <c r="C153" s="235" t="str">
        <f>Orçamento!$U$1669</f>
        <v/>
      </c>
      <c r="D153" s="236" t="str">
        <f>Orçamento!$Y$1669</f>
        <v/>
      </c>
      <c r="E153" s="237">
        <f ca="1">Orçamento!$Z$1669</f>
        <v>2420.3197152749999</v>
      </c>
    </row>
    <row r="154" spans="1:5" x14ac:dyDescent="0.2">
      <c r="A154" s="233" t="str">
        <f>Orçamento!$S$1670</f>
        <v>Revestimento interno de Rodapé Cerâmico h=0,07cm</v>
      </c>
      <c r="B154" s="242" t="str">
        <f>Orçamento!$T$1670</f>
        <v>M</v>
      </c>
      <c r="C154" s="235">
        <f>Orçamento!$U$1670</f>
        <v>12.92</v>
      </c>
      <c r="D154" s="236">
        <f ca="1">Orçamento!$Y$1670</f>
        <v>4.1086499999999999</v>
      </c>
      <c r="E154" s="237">
        <f ca="1">Orçamento!$Z$1670</f>
        <v>53.083757999999996</v>
      </c>
    </row>
    <row r="155" spans="1:5" x14ac:dyDescent="0.2">
      <c r="A155" s="233" t="str">
        <f>Orçamento!$S$1675</f>
        <v>Revestimento interno de Rodapé Porcelanato h=0,07cm</v>
      </c>
      <c r="B155" s="242" t="str">
        <f>Orçamento!$T$1675</f>
        <v>M</v>
      </c>
      <c r="C155" s="235">
        <f>Orçamento!$U$1675</f>
        <v>24.9785</v>
      </c>
      <c r="D155" s="236">
        <f ca="1">Orçamento!$Y$1675</f>
        <v>5.2993500000000004</v>
      </c>
      <c r="E155" s="237">
        <f ca="1">Orçamento!$Z$1675</f>
        <v>132.369813975</v>
      </c>
    </row>
    <row r="156" spans="1:5" x14ac:dyDescent="0.2">
      <c r="A156" s="233" t="str">
        <f>Orçamento!$S$1681</f>
        <v>Revestimento interno de Rodapé Porcelanato h=0,15cm</v>
      </c>
      <c r="B156" s="242" t="str">
        <f>Orçamento!$T$1681</f>
        <v>M</v>
      </c>
      <c r="C156" s="235">
        <f>Orçamento!$U$1681</f>
        <v>29.99</v>
      </c>
      <c r="D156" s="236">
        <f ca="1">Orçamento!$Y$1681</f>
        <v>11.35575</v>
      </c>
      <c r="E156" s="237">
        <f ca="1">Orçamento!$Z$1681</f>
        <v>340.5589425</v>
      </c>
    </row>
    <row r="157" spans="1:5" x14ac:dyDescent="0.2">
      <c r="A157" s="233" t="str">
        <f>Orçamento!$S$1687</f>
        <v>Rodape de poliestireno 10cm</v>
      </c>
      <c r="B157" s="242" t="str">
        <f>Orçamento!$T$1687</f>
        <v>M</v>
      </c>
      <c r="C157" s="235">
        <f>Orçamento!$U$1687</f>
        <v>40.619999999999997</v>
      </c>
      <c r="D157" s="236">
        <f ca="1">Orçamento!$Y$1687</f>
        <v>46.634840000000011</v>
      </c>
      <c r="E157" s="237">
        <f ca="1">Orçamento!$Z$1687</f>
        <v>1894.3072008000004</v>
      </c>
    </row>
    <row r="158" spans="1:5" x14ac:dyDescent="0.2">
      <c r="A158" s="233" t="str">
        <f>Orçamento!$S$1691</f>
        <v xml:space="preserve">   Soleiras</v>
      </c>
      <c r="B158" s="242" t="str">
        <f>Orçamento!$T$1691</f>
        <v/>
      </c>
      <c r="C158" s="235" t="str">
        <f>Orçamento!$U$1691</f>
        <v/>
      </c>
      <c r="D158" s="236" t="str">
        <f>Orçamento!$Y$1691</f>
        <v/>
      </c>
      <c r="E158" s="237">
        <f ca="1">Orçamento!$Z$1691</f>
        <v>863.63550000000009</v>
      </c>
    </row>
    <row r="159" spans="1:5" x14ac:dyDescent="0.2">
      <c r="A159" s="233" t="str">
        <f>Orçamento!$S$1692</f>
        <v>Soleira em granito, acabamento polido, espessura 2cm</v>
      </c>
      <c r="B159" s="242" t="str">
        <f>Orçamento!$T$1692</f>
        <v>M2</v>
      </c>
      <c r="C159" s="235">
        <f>Orçamento!$U$1692</f>
        <v>1.33</v>
      </c>
      <c r="D159" s="236">
        <f ca="1">Orçamento!$Y$1692</f>
        <v>649.35</v>
      </c>
      <c r="E159" s="237">
        <f ca="1">Orçamento!$Z$1692</f>
        <v>863.63550000000009</v>
      </c>
    </row>
    <row r="160" spans="1:5" x14ac:dyDescent="0.2">
      <c r="A160" s="233" t="str">
        <f>Orçamento!$S$1696</f>
        <v xml:space="preserve">   Mão de Obra</v>
      </c>
      <c r="B160" s="242" t="str">
        <f>Orçamento!$T$1696</f>
        <v/>
      </c>
      <c r="C160" s="235" t="str">
        <f>Orçamento!$U$1696</f>
        <v/>
      </c>
      <c r="D160" s="236" t="str">
        <f>Orçamento!$Y$1696</f>
        <v/>
      </c>
      <c r="E160" s="237">
        <f ca="1">Orçamento!$Z$1696</f>
        <v>15154.937479574754</v>
      </c>
    </row>
    <row r="161" spans="1:5" x14ac:dyDescent="0.2">
      <c r="A161" s="233" t="str">
        <f>Orçamento!$S$1697</f>
        <v>Mao de obra para execucao de contrapiso comum e acústico</v>
      </c>
      <c r="B161" s="242" t="str">
        <f>Orçamento!$T$1697</f>
        <v>M2</v>
      </c>
      <c r="C161" s="235">
        <f>Orçamento!$U$1697</f>
        <v>88.16</v>
      </c>
      <c r="D161" s="236">
        <f ca="1">Orçamento!$Y$1697</f>
        <v>21.975617726721353</v>
      </c>
      <c r="E161" s="237">
        <f ca="1">Orçamento!$Z$1697</f>
        <v>1937.3704587877544</v>
      </c>
    </row>
    <row r="162" spans="1:5" x14ac:dyDescent="0.2">
      <c r="A162" s="233" t="str">
        <f>Orçamento!$S$1699</f>
        <v>Mao de obra para colocacao e rejuntamento de piso Cerâmico</v>
      </c>
      <c r="B162" s="242" t="str">
        <f>Orçamento!$T$1699</f>
        <v>M2</v>
      </c>
      <c r="C162" s="235">
        <f>Orçamento!$U$1699</f>
        <v>26.01</v>
      </c>
      <c r="D162" s="236">
        <f ca="1">Orçamento!$Y$1699</f>
        <v>73.511069535391329</v>
      </c>
      <c r="E162" s="237">
        <f ca="1">Orçamento!$Z$1699</f>
        <v>1912.0229186155286</v>
      </c>
    </row>
    <row r="163" spans="1:5" x14ac:dyDescent="0.2">
      <c r="A163" s="233" t="str">
        <f>Orçamento!$S$1701</f>
        <v>Mao de obra para colocacao e rejuntamento de piso porcelanato</v>
      </c>
      <c r="B163" s="242" t="str">
        <f>Orçamento!$T$1701</f>
        <v>M2</v>
      </c>
      <c r="C163" s="235">
        <f>Orçamento!$U$1701</f>
        <v>122.25999999999999</v>
      </c>
      <c r="D163" s="236">
        <f ca="1">Orçamento!$Y$1701</f>
        <v>73.511069535391329</v>
      </c>
      <c r="E163" s="237">
        <f ca="1">Orçamento!$Z$1701</f>
        <v>8987.4633613969436</v>
      </c>
    </row>
    <row r="164" spans="1:5" x14ac:dyDescent="0.2">
      <c r="A164" s="233" t="str">
        <f>Orçamento!$S$1703</f>
        <v>Mao de obra para colocacao de rodape cerâmico e porcelanato</v>
      </c>
      <c r="B164" s="242" t="str">
        <f>Orçamento!$T$1703</f>
        <v>M</v>
      </c>
      <c r="C164" s="235">
        <f>Orçamento!$U$1703</f>
        <v>67.888499999999993</v>
      </c>
      <c r="D164" s="236">
        <f ca="1">Orçamento!$Y$1703</f>
        <v>20.778316515676838</v>
      </c>
      <c r="E164" s="237">
        <f ca="1">Orçamento!$Z$1703</f>
        <v>1410.608740774527</v>
      </c>
    </row>
    <row r="165" spans="1:5" x14ac:dyDescent="0.2">
      <c r="A165" s="233" t="str">
        <f>Orçamento!$S$1705</f>
        <v>Mao de obra para colocacao de rodape de poliestireno</v>
      </c>
      <c r="B165" s="242" t="str">
        <f>Orçamento!$T$1705</f>
        <v>M</v>
      </c>
      <c r="C165" s="235">
        <f>Orçamento!$U$1705</f>
        <v>40.619999999999997</v>
      </c>
      <c r="D165" s="236">
        <f ca="1">Orçamento!$Y$1705</f>
        <v>22</v>
      </c>
      <c r="E165" s="237">
        <f ca="1">Orçamento!$Z$1705</f>
        <v>893.64</v>
      </c>
    </row>
    <row r="166" spans="1:5" x14ac:dyDescent="0.2">
      <c r="A166" s="233" t="str">
        <f>Orçamento!$S$1707</f>
        <v>Mao de obra para colocacao de soleiras em granito</v>
      </c>
      <c r="B166" s="242" t="str">
        <f>Orçamento!$T$1707</f>
        <v>M</v>
      </c>
      <c r="C166" s="235">
        <f>Orçamento!$U$1707</f>
        <v>1.33</v>
      </c>
      <c r="D166" s="236">
        <f ca="1">Orçamento!$Y$1707</f>
        <v>10.4</v>
      </c>
      <c r="E166" s="237">
        <f ca="1">Orçamento!$Z$1707</f>
        <v>13.832000000000001</v>
      </c>
    </row>
    <row r="167" spans="1:5" x14ac:dyDescent="0.2">
      <c r="A167" s="233" t="str">
        <f>Orçamento!$S$1709</f>
        <v xml:space="preserve">   PISOS E PAVIMENTAÇÕES - BARRILETE / CAIXA DÁGUA / CASA DE MÁQUINAS</v>
      </c>
      <c r="B167" s="242" t="str">
        <f>Orçamento!$T$1709</f>
        <v/>
      </c>
      <c r="C167" s="235" t="str">
        <f>Orçamento!$U$1709</f>
        <v/>
      </c>
      <c r="D167" s="236" t="str">
        <f>Orçamento!$Y$1709</f>
        <v/>
      </c>
      <c r="E167" s="237">
        <f ca="1">Orçamento!$Z$1709</f>
        <v>7332.9927058784424</v>
      </c>
    </row>
    <row r="168" spans="1:5" x14ac:dyDescent="0.2">
      <c r="A168" s="233" t="str">
        <f>Orçamento!$S$1710</f>
        <v xml:space="preserve">   Contrapiso</v>
      </c>
      <c r="B168" s="242" t="str">
        <f>Orçamento!$T$1710</f>
        <v/>
      </c>
      <c r="C168" s="235" t="str">
        <f>Orçamento!$U$1710</f>
        <v/>
      </c>
      <c r="D168" s="236" t="str">
        <f>Orçamento!$Y$1710</f>
        <v/>
      </c>
      <c r="E168" s="237">
        <f ca="1">Orçamento!$Z$1710</f>
        <v>5221.8944999999994</v>
      </c>
    </row>
    <row r="169" spans="1:5" x14ac:dyDescent="0.2">
      <c r="A169" s="233" t="str">
        <f>Orçamento!$S$1711</f>
        <v>Contrapiso comum em argamassa estabilizada, nao aderido, espessura 8cm</v>
      </c>
      <c r="B169" s="242" t="str">
        <f>Orçamento!$T$1711</f>
        <v>M2</v>
      </c>
      <c r="C169" s="235">
        <f>Orçamento!$U$1711</f>
        <v>16.739999999999998</v>
      </c>
      <c r="D169" s="236">
        <f ca="1">Orçamento!$Y$1711</f>
        <v>47.55</v>
      </c>
      <c r="E169" s="237">
        <f ca="1">Orçamento!$Z$1711</f>
        <v>795.98699999999985</v>
      </c>
    </row>
    <row r="170" spans="1:5" x14ac:dyDescent="0.2">
      <c r="A170" s="233" t="str">
        <f>Orçamento!$S$1714</f>
        <v>Contrapiso comum em argamassa estabilizada, nao aderido, espessura 14cm</v>
      </c>
      <c r="B170" s="242" t="str">
        <f>Orçamento!$T$1714</f>
        <v>M2</v>
      </c>
      <c r="C170" s="235">
        <f>Orçamento!$U$1714</f>
        <v>71.819999999999993</v>
      </c>
      <c r="D170" s="236">
        <f ca="1">Orçamento!$Y$1714</f>
        <v>61.624999999999993</v>
      </c>
      <c r="E170" s="237">
        <f ca="1">Orçamento!$Z$1714</f>
        <v>4425.9074999999993</v>
      </c>
    </row>
    <row r="171" spans="1:5" x14ac:dyDescent="0.2">
      <c r="A171" s="233" t="str">
        <f>Orçamento!$S$1716</f>
        <v xml:space="preserve">   Soleiras</v>
      </c>
      <c r="B171" s="242" t="str">
        <f>Orçamento!$T$1716</f>
        <v/>
      </c>
      <c r="C171" s="235" t="str">
        <f>Orçamento!$U$1716</f>
        <v/>
      </c>
      <c r="D171" s="236" t="str">
        <f>Orçamento!$Y$1716</f>
        <v/>
      </c>
      <c r="E171" s="237">
        <f ca="1">Orçamento!$Z$1716</f>
        <v>162.33750000000001</v>
      </c>
    </row>
    <row r="172" spans="1:5" x14ac:dyDescent="0.2">
      <c r="A172" s="233" t="str">
        <f>Orçamento!$S$1717</f>
        <v>Soleira em granito, acabamento polido, espessura 2cm</v>
      </c>
      <c r="B172" s="242" t="str">
        <f>Orçamento!$T$1717</f>
        <v>M2</v>
      </c>
      <c r="C172" s="235">
        <f>Orçamento!$U$1717</f>
        <v>0.25</v>
      </c>
      <c r="D172" s="236">
        <f ca="1">Orçamento!$Y$1717</f>
        <v>649.35</v>
      </c>
      <c r="E172" s="237">
        <f ca="1">Orçamento!$Z$1717</f>
        <v>162.33750000000001</v>
      </c>
    </row>
    <row r="173" spans="1:5" x14ac:dyDescent="0.2">
      <c r="A173" s="233" t="str">
        <f>Orçamento!$S$1721</f>
        <v xml:space="preserve">   Mão de Obra</v>
      </c>
      <c r="B173" s="242" t="str">
        <f>Orçamento!$T$1721</f>
        <v/>
      </c>
      <c r="C173" s="235" t="str">
        <f>Orçamento!$U$1721</f>
        <v/>
      </c>
      <c r="D173" s="236" t="str">
        <f>Orçamento!$Y$1721</f>
        <v/>
      </c>
      <c r="E173" s="237">
        <f ca="1">Orçamento!$Z$1721</f>
        <v>1948.7607058784426</v>
      </c>
    </row>
    <row r="174" spans="1:5" x14ac:dyDescent="0.2">
      <c r="A174" s="233" t="str">
        <f>Orçamento!$S$1722</f>
        <v>Mao de obra para execucao de contrapiso comum e acústico</v>
      </c>
      <c r="B174" s="242" t="str">
        <f>Orçamento!$T$1722</f>
        <v>M2</v>
      </c>
      <c r="C174" s="235">
        <f>Orçamento!$U$1722</f>
        <v>88.559999999999988</v>
      </c>
      <c r="D174" s="236">
        <f ca="1">Orçamento!$Y$1722</f>
        <v>21.975617726721353</v>
      </c>
      <c r="E174" s="237">
        <f ca="1">Orçamento!$Z$1722</f>
        <v>1946.1607058784427</v>
      </c>
    </row>
    <row r="175" spans="1:5" x14ac:dyDescent="0.2">
      <c r="A175" s="233" t="str">
        <f>Orçamento!$S$1724</f>
        <v>Mao de obra para colocacao de soleiras em granito</v>
      </c>
      <c r="B175" s="242" t="str">
        <f>Orçamento!$T$1724</f>
        <v>M</v>
      </c>
      <c r="C175" s="235">
        <f>Orçamento!$U$1724</f>
        <v>0.25</v>
      </c>
      <c r="D175" s="236">
        <f ca="1">Orçamento!$Y$1724</f>
        <v>10.4</v>
      </c>
      <c r="E175" s="237">
        <f ca="1">Orçamento!$Z$1724</f>
        <v>2.6</v>
      </c>
    </row>
  </sheetData>
  <autoFilter ref="A5:E175" xr:uid="{6206E2AA-D193-4566-9A75-88D8D5866572}"/>
  <conditionalFormatting sqref="B71:C71">
    <cfRule type="expression" dxfId="7267" priority="317" stopIfTrue="1">
      <formula>$B71="SERVIÇO"</formula>
    </cfRule>
  </conditionalFormatting>
  <conditionalFormatting sqref="A71:C71">
    <cfRule type="expression" dxfId="7266" priority="318">
      <formula>$B71="Unidade Construtiva"</formula>
    </cfRule>
    <cfRule type="expression" dxfId="7265" priority="319">
      <formula>$B71="Serviço"</formula>
    </cfRule>
    <cfRule type="expression" dxfId="7264" priority="320">
      <formula>$B71="Insumo"</formula>
    </cfRule>
    <cfRule type="expression" dxfId="7263" priority="321">
      <formula>$B71="Etapa"</formula>
    </cfRule>
    <cfRule type="expression" dxfId="7262" priority="322">
      <formula>$B71="Célula Construtiva"</formula>
    </cfRule>
    <cfRule type="expression" dxfId="7261" priority="323">
      <formula>$B71="Subetapa"</formula>
    </cfRule>
  </conditionalFormatting>
  <conditionalFormatting sqref="B71">
    <cfRule type="expression" dxfId="7260" priority="316" stopIfTrue="1">
      <formula>$B71="INSUMO"</formula>
    </cfRule>
  </conditionalFormatting>
  <conditionalFormatting sqref="B86:C86">
    <cfRule type="expression" dxfId="7259" priority="309" stopIfTrue="1">
      <formula>$B86="SERVIÇO"</formula>
    </cfRule>
  </conditionalFormatting>
  <conditionalFormatting sqref="B86">
    <cfRule type="expression" dxfId="7258" priority="308" stopIfTrue="1">
      <formula>$B86="INSUMO"</formula>
    </cfRule>
  </conditionalFormatting>
  <conditionalFormatting sqref="A86:E86">
    <cfRule type="expression" dxfId="7257" priority="310">
      <formula>$B86="Unidade Construtiva"</formula>
    </cfRule>
    <cfRule type="expression" dxfId="7256" priority="311">
      <formula>$B86="Serviço"</formula>
    </cfRule>
    <cfRule type="expression" dxfId="7255" priority="312">
      <formula>$B86="Insumo"</formula>
    </cfRule>
    <cfRule type="expression" dxfId="7254" priority="313">
      <formula>$B86="Etapa"</formula>
    </cfRule>
    <cfRule type="expression" dxfId="7253" priority="314">
      <formula>$B86="Célula Construtiva"</formula>
    </cfRule>
    <cfRule type="expression" dxfId="7252" priority="315">
      <formula>$B86="Subetapa"</formula>
    </cfRule>
  </conditionalFormatting>
  <conditionalFormatting sqref="B88:C88">
    <cfRule type="expression" dxfId="7251" priority="301" stopIfTrue="1">
      <formula>$B88="SERVIÇO"</formula>
    </cfRule>
  </conditionalFormatting>
  <conditionalFormatting sqref="A88:E88">
    <cfRule type="expression" dxfId="7250" priority="302">
      <formula>$B88="Unidade Construtiva"</formula>
    </cfRule>
    <cfRule type="expression" dxfId="7249" priority="303">
      <formula>$B88="Serviço"</formula>
    </cfRule>
    <cfRule type="expression" dxfId="7248" priority="304">
      <formula>$B88="Insumo"</formula>
    </cfRule>
    <cfRule type="expression" dxfId="7247" priority="305">
      <formula>$B88="Etapa"</formula>
    </cfRule>
    <cfRule type="expression" dxfId="7246" priority="306">
      <formula>$B88="Célula Construtiva"</formula>
    </cfRule>
    <cfRule type="expression" dxfId="7245" priority="307">
      <formula>$B88="Subetapa"</formula>
    </cfRule>
  </conditionalFormatting>
  <conditionalFormatting sqref="B88">
    <cfRule type="expression" dxfId="7244" priority="300" stopIfTrue="1">
      <formula>$B88="INSUMO"</formula>
    </cfRule>
  </conditionalFormatting>
  <conditionalFormatting sqref="B60:C60 B58:C58">
    <cfRule type="expression" dxfId="7243" priority="355" stopIfTrue="1">
      <formula>$B58="SERVIÇO"</formula>
    </cfRule>
  </conditionalFormatting>
  <conditionalFormatting sqref="B60:E60 A58:E58">
    <cfRule type="expression" dxfId="7242" priority="356">
      <formula>$B58="Unidade Construtiva"</formula>
    </cfRule>
    <cfRule type="expression" dxfId="7241" priority="357">
      <formula>$B58="Serviço"</formula>
    </cfRule>
    <cfRule type="expression" dxfId="7240" priority="358">
      <formula>$B58="Insumo"</formula>
    </cfRule>
    <cfRule type="expression" dxfId="7239" priority="359">
      <formula>$B58="Etapa"</formula>
    </cfRule>
    <cfRule type="expression" dxfId="7238" priority="360">
      <formula>$B58="Célula Construtiva"</formula>
    </cfRule>
    <cfRule type="expression" dxfId="7237" priority="361">
      <formula>$B58="Subetapa"</formula>
    </cfRule>
  </conditionalFormatting>
  <conditionalFormatting sqref="A89:E89">
    <cfRule type="expression" dxfId="7236" priority="294">
      <formula>$B89="Unidade Construtiva"</formula>
    </cfRule>
    <cfRule type="expression" dxfId="7235" priority="295">
      <formula>$B89="Serviço"</formula>
    </cfRule>
    <cfRule type="expression" dxfId="7234" priority="296">
      <formula>$B89="Insumo"</formula>
    </cfRule>
    <cfRule type="expression" dxfId="7233" priority="297">
      <formula>$B89="Etapa"</formula>
    </cfRule>
    <cfRule type="expression" dxfId="7232" priority="298">
      <formula>$B89="Célula Construtiva"</formula>
    </cfRule>
    <cfRule type="expression" dxfId="7231" priority="299">
      <formula>$B89="Subetapa"</formula>
    </cfRule>
  </conditionalFormatting>
  <conditionalFormatting sqref="A110">
    <cfRule type="expression" dxfId="7230" priority="230">
      <formula>$B110="Unidade Construtiva"</formula>
    </cfRule>
    <cfRule type="expression" dxfId="7229" priority="231">
      <formula>$B110="Serviço"</formula>
    </cfRule>
    <cfRule type="expression" dxfId="7228" priority="232">
      <formula>$B110="Insumo"</formula>
    </cfRule>
    <cfRule type="expression" dxfId="7227" priority="233">
      <formula>$B110="Etapa"</formula>
    </cfRule>
    <cfRule type="expression" dxfId="7226" priority="234">
      <formula>$B110="Célula Construtiva"</formula>
    </cfRule>
    <cfRule type="expression" dxfId="7225" priority="235">
      <formula>$B110="Subetapa"</formula>
    </cfRule>
  </conditionalFormatting>
  <conditionalFormatting sqref="B175:C175 B171:C172 B165:C167 B143:C145 B129:C130 B124:C124 B113:C117 B104:C106 B99:C100 B97:C97 B91:C95 B87:C87 B80:C85 B68:C68 B52:C52 B37:C37 B22:C22 B21 B18:B19 B15:C17 B6:C12">
    <cfRule type="expression" dxfId="7224" priority="473" stopIfTrue="1">
      <formula>$B6="SERVIÇO"</formula>
    </cfRule>
  </conditionalFormatting>
  <conditionalFormatting sqref="A175:E175 A171:E172 A165:E167 A143:E145 A129:E130 A124:E124 A113:E117 A104:E106 A99:E100 A97:E97 A91:E95 A87:E87 A80:E85 A68:E68 A52:E52 A37:E37 A22:E22 D21:E21 A21:B21 D18:E19 A18:B19 A15:E17 A6:E12">
    <cfRule type="expression" dxfId="7223" priority="474">
      <formula>$B6="Unidade Construtiva"</formula>
    </cfRule>
    <cfRule type="expression" dxfId="7222" priority="475">
      <formula>$B6="Serviço"</formula>
    </cfRule>
    <cfRule type="expression" dxfId="7221" priority="476">
      <formula>$B6="Insumo"</formula>
    </cfRule>
    <cfRule type="expression" dxfId="7220" priority="477">
      <formula>$B6="Etapa"</formula>
    </cfRule>
    <cfRule type="expression" dxfId="7219" priority="478">
      <formula>$B6="Célula Construtiva"</formula>
    </cfRule>
    <cfRule type="expression" dxfId="7218" priority="479">
      <formula>$B6="Subetapa"</formula>
    </cfRule>
  </conditionalFormatting>
  <conditionalFormatting sqref="B171:B175 B165:B167 B158:B161 B153 B143:B149 B135:B139 B124:B131 B122 B120 B113:B117 B99:B106 B97 B91:B95 B87 B80:B85 B68 B52 B37 B21:B22 B15:B19 B6:B12">
    <cfRule type="expression" dxfId="7217" priority="472" stopIfTrue="1">
      <formula>$B6="INSUMO"</formula>
    </cfRule>
  </conditionalFormatting>
  <conditionalFormatting sqref="B44 B29 B13:C14">
    <cfRule type="expression" dxfId="7216" priority="465" stopIfTrue="1">
      <formula>$B13="SERVIÇO"</formula>
    </cfRule>
  </conditionalFormatting>
  <conditionalFormatting sqref="A60 A44:B44 A29:B29 A13:E14">
    <cfRule type="expression" dxfId="7215" priority="466">
      <formula>$B13="Unidade Construtiva"</formula>
    </cfRule>
    <cfRule type="expression" dxfId="7214" priority="467">
      <formula>$B13="Serviço"</formula>
    </cfRule>
    <cfRule type="expression" dxfId="7213" priority="468">
      <formula>$B13="Insumo"</formula>
    </cfRule>
    <cfRule type="expression" dxfId="7212" priority="469">
      <formula>$B13="Etapa"</formula>
    </cfRule>
    <cfRule type="expression" dxfId="7211" priority="470">
      <formula>$B13="Célula Construtiva"</formula>
    </cfRule>
    <cfRule type="expression" dxfId="7210" priority="471">
      <formula>$B13="Subetapa"</formula>
    </cfRule>
  </conditionalFormatting>
  <conditionalFormatting sqref="B44 B29 B13:B14">
    <cfRule type="expression" dxfId="7209" priority="464" stopIfTrue="1">
      <formula>$B13="INSUMO"</formula>
    </cfRule>
  </conditionalFormatting>
  <conditionalFormatting sqref="C21 C18:C19">
    <cfRule type="expression" dxfId="7208" priority="457" stopIfTrue="1">
      <formula>$B18="SERVIÇO"</formula>
    </cfRule>
  </conditionalFormatting>
  <conditionalFormatting sqref="C21 C18:C19">
    <cfRule type="expression" dxfId="7207" priority="458">
      <formula>$B18="Unidade Construtiva"</formula>
    </cfRule>
    <cfRule type="expression" dxfId="7206" priority="459">
      <formula>$B18="Serviço"</formula>
    </cfRule>
    <cfRule type="expression" dxfId="7205" priority="460">
      <formula>$B18="Insumo"</formula>
    </cfRule>
    <cfRule type="expression" dxfId="7204" priority="461">
      <formula>$B18="Etapa"</formula>
    </cfRule>
    <cfRule type="expression" dxfId="7203" priority="462">
      <formula>$B18="Célula Construtiva"</formula>
    </cfRule>
    <cfRule type="expression" dxfId="7202" priority="463">
      <formula>$B18="Subetapa"</formula>
    </cfRule>
  </conditionalFormatting>
  <conditionalFormatting sqref="B20:C20">
    <cfRule type="expression" dxfId="7201" priority="450" stopIfTrue="1">
      <formula>$B20="SERVIÇO"</formula>
    </cfRule>
  </conditionalFormatting>
  <conditionalFormatting sqref="A20:E20">
    <cfRule type="expression" dxfId="7200" priority="451">
      <formula>$B20="Unidade Construtiva"</formula>
    </cfRule>
    <cfRule type="expression" dxfId="7199" priority="452">
      <formula>$B20="Serviço"</formula>
    </cfRule>
    <cfRule type="expression" dxfId="7198" priority="453">
      <formula>$B20="Insumo"</formula>
    </cfRule>
    <cfRule type="expression" dxfId="7197" priority="454">
      <formula>$B20="Etapa"</formula>
    </cfRule>
    <cfRule type="expression" dxfId="7196" priority="455">
      <formula>$B20="Célula Construtiva"</formula>
    </cfRule>
    <cfRule type="expression" dxfId="7195" priority="456">
      <formula>$B20="Subetapa"</formula>
    </cfRule>
  </conditionalFormatting>
  <conditionalFormatting sqref="B20">
    <cfRule type="expression" dxfId="7194" priority="449" stopIfTrue="1">
      <formula>$B20="INSUMO"</formula>
    </cfRule>
  </conditionalFormatting>
  <conditionalFormatting sqref="B36 B33:B34 B30:C32 B26:C27 B23:C24">
    <cfRule type="expression" dxfId="7193" priority="442" stopIfTrue="1">
      <formula>$B23="SERVIÇO"</formula>
    </cfRule>
  </conditionalFormatting>
  <conditionalFormatting sqref="D36:E36 A36:B36 D33:E34 A33:B34 A30:E32 A26:E27 D25:E25 A23:E24">
    <cfRule type="expression" dxfId="7192" priority="443">
      <formula>$B23="Unidade Construtiva"</formula>
    </cfRule>
    <cfRule type="expression" dxfId="7191" priority="444">
      <formula>$B23="Serviço"</formula>
    </cfRule>
    <cfRule type="expression" dxfId="7190" priority="445">
      <formula>$B23="Insumo"</formula>
    </cfRule>
    <cfRule type="expression" dxfId="7189" priority="446">
      <formula>$B23="Etapa"</formula>
    </cfRule>
    <cfRule type="expression" dxfId="7188" priority="447">
      <formula>$B23="Célula Construtiva"</formula>
    </cfRule>
    <cfRule type="expression" dxfId="7187" priority="448">
      <formula>$B23="Subetapa"</formula>
    </cfRule>
  </conditionalFormatting>
  <conditionalFormatting sqref="B36 B30:B34 B26:B27 B23:B24">
    <cfRule type="expression" dxfId="7186" priority="441" stopIfTrue="1">
      <formula>$B23="INSUMO"</formula>
    </cfRule>
  </conditionalFormatting>
  <conditionalFormatting sqref="B25:C25">
    <cfRule type="expression" dxfId="7185" priority="434" stopIfTrue="1">
      <formula>$B25="SERVIÇO"</formula>
    </cfRule>
  </conditionalFormatting>
  <conditionalFormatting sqref="A25:C25">
    <cfRule type="expression" dxfId="7184" priority="435">
      <formula>$B25="Unidade Construtiva"</formula>
    </cfRule>
    <cfRule type="expression" dxfId="7183" priority="436">
      <formula>$B25="Serviço"</formula>
    </cfRule>
    <cfRule type="expression" dxfId="7182" priority="437">
      <formula>$B25="Insumo"</formula>
    </cfRule>
    <cfRule type="expression" dxfId="7181" priority="438">
      <formula>$B25="Etapa"</formula>
    </cfRule>
    <cfRule type="expression" dxfId="7180" priority="439">
      <formula>$B25="Célula Construtiva"</formula>
    </cfRule>
    <cfRule type="expression" dxfId="7179" priority="440">
      <formula>$B25="Subetapa"</formula>
    </cfRule>
  </conditionalFormatting>
  <conditionalFormatting sqref="B25">
    <cfRule type="expression" dxfId="7178" priority="433" stopIfTrue="1">
      <formula>$B25="INSUMO"</formula>
    </cfRule>
  </conditionalFormatting>
  <conditionalFormatting sqref="B28:C28 C29">
    <cfRule type="expression" dxfId="7177" priority="426" stopIfTrue="1">
      <formula>$B28="SERVIÇO"</formula>
    </cfRule>
  </conditionalFormatting>
  <conditionalFormatting sqref="A28:E28 C29:E29">
    <cfRule type="expression" dxfId="7176" priority="427">
      <formula>$B28="Unidade Construtiva"</formula>
    </cfRule>
    <cfRule type="expression" dxfId="7175" priority="428">
      <formula>$B28="Serviço"</formula>
    </cfRule>
    <cfRule type="expression" dxfId="7174" priority="429">
      <formula>$B28="Insumo"</formula>
    </cfRule>
    <cfRule type="expression" dxfId="7173" priority="430">
      <formula>$B28="Etapa"</formula>
    </cfRule>
    <cfRule type="expression" dxfId="7172" priority="431">
      <formula>$B28="Célula Construtiva"</formula>
    </cfRule>
    <cfRule type="expression" dxfId="7171" priority="432">
      <formula>$B28="Subetapa"</formula>
    </cfRule>
  </conditionalFormatting>
  <conditionalFormatting sqref="B28">
    <cfRule type="expression" dxfId="7170" priority="425" stopIfTrue="1">
      <formula>$B28="INSUMO"</formula>
    </cfRule>
  </conditionalFormatting>
  <conditionalFormatting sqref="C36 C33:C34">
    <cfRule type="expression" dxfId="7169" priority="418" stopIfTrue="1">
      <formula>$B33="SERVIÇO"</formula>
    </cfRule>
  </conditionalFormatting>
  <conditionalFormatting sqref="C36 C33:C34">
    <cfRule type="expression" dxfId="7168" priority="419">
      <formula>$B33="Unidade Construtiva"</formula>
    </cfRule>
    <cfRule type="expression" dxfId="7167" priority="420">
      <formula>$B33="Serviço"</formula>
    </cfRule>
    <cfRule type="expression" dxfId="7166" priority="421">
      <formula>$B33="Insumo"</formula>
    </cfRule>
    <cfRule type="expression" dxfId="7165" priority="422">
      <formula>$B33="Etapa"</formula>
    </cfRule>
    <cfRule type="expression" dxfId="7164" priority="423">
      <formula>$B33="Célula Construtiva"</formula>
    </cfRule>
    <cfRule type="expression" dxfId="7163" priority="424">
      <formula>$B33="Subetapa"</formula>
    </cfRule>
  </conditionalFormatting>
  <conditionalFormatting sqref="B35:C35">
    <cfRule type="expression" dxfId="7162" priority="411" stopIfTrue="1">
      <formula>$B35="SERVIÇO"</formula>
    </cfRule>
  </conditionalFormatting>
  <conditionalFormatting sqref="A35:E35">
    <cfRule type="expression" dxfId="7161" priority="412">
      <formula>$B35="Unidade Construtiva"</formula>
    </cfRule>
    <cfRule type="expression" dxfId="7160" priority="413">
      <formula>$B35="Serviço"</formula>
    </cfRule>
    <cfRule type="expression" dxfId="7159" priority="414">
      <formula>$B35="Insumo"</formula>
    </cfRule>
    <cfRule type="expression" dxfId="7158" priority="415">
      <formula>$B35="Etapa"</formula>
    </cfRule>
    <cfRule type="expression" dxfId="7157" priority="416">
      <formula>$B35="Célula Construtiva"</formula>
    </cfRule>
    <cfRule type="expression" dxfId="7156" priority="417">
      <formula>$B35="Subetapa"</formula>
    </cfRule>
  </conditionalFormatting>
  <conditionalFormatting sqref="B35">
    <cfRule type="expression" dxfId="7155" priority="410" stopIfTrue="1">
      <formula>$B35="INSUMO"</formula>
    </cfRule>
  </conditionalFormatting>
  <conditionalFormatting sqref="B51:C51 B45:C49 B41:C42 B38:C39">
    <cfRule type="expression" dxfId="7154" priority="403" stopIfTrue="1">
      <formula>$B38="SERVIÇO"</formula>
    </cfRule>
  </conditionalFormatting>
  <conditionalFormatting sqref="A51:E51 A45:E49 A41:E42 D40:E40 A38:E39">
    <cfRule type="expression" dxfId="7153" priority="404">
      <formula>$B38="Unidade Construtiva"</formula>
    </cfRule>
    <cfRule type="expression" dxfId="7152" priority="405">
      <formula>$B38="Serviço"</formula>
    </cfRule>
    <cfRule type="expression" dxfId="7151" priority="406">
      <formula>$B38="Insumo"</formula>
    </cfRule>
    <cfRule type="expression" dxfId="7150" priority="407">
      <formula>$B38="Etapa"</formula>
    </cfRule>
    <cfRule type="expression" dxfId="7149" priority="408">
      <formula>$B38="Célula Construtiva"</formula>
    </cfRule>
    <cfRule type="expression" dxfId="7148" priority="409">
      <formula>$B38="Subetapa"</formula>
    </cfRule>
  </conditionalFormatting>
  <conditionalFormatting sqref="B51 B45:B49 B41:B42 B38:B39">
    <cfRule type="expression" dxfId="7147" priority="402" stopIfTrue="1">
      <formula>$B38="INSUMO"</formula>
    </cfRule>
  </conditionalFormatting>
  <conditionalFormatting sqref="B40:C40">
    <cfRule type="expression" dxfId="7146" priority="395" stopIfTrue="1">
      <formula>$B40="SERVIÇO"</formula>
    </cfRule>
  </conditionalFormatting>
  <conditionalFormatting sqref="A40:C40">
    <cfRule type="expression" dxfId="7145" priority="396">
      <formula>$B40="Unidade Construtiva"</formula>
    </cfRule>
    <cfRule type="expression" dxfId="7144" priority="397">
      <formula>$B40="Serviço"</formula>
    </cfRule>
    <cfRule type="expression" dxfId="7143" priority="398">
      <formula>$B40="Insumo"</formula>
    </cfRule>
    <cfRule type="expression" dxfId="7142" priority="399">
      <formula>$B40="Etapa"</formula>
    </cfRule>
    <cfRule type="expression" dxfId="7141" priority="400">
      <formula>$B40="Célula Construtiva"</formula>
    </cfRule>
    <cfRule type="expression" dxfId="7140" priority="401">
      <formula>$B40="Subetapa"</formula>
    </cfRule>
  </conditionalFormatting>
  <conditionalFormatting sqref="B40">
    <cfRule type="expression" dxfId="7139" priority="394" stopIfTrue="1">
      <formula>$B40="INSUMO"</formula>
    </cfRule>
  </conditionalFormatting>
  <conditionalFormatting sqref="B43:C43 C44">
    <cfRule type="expression" dxfId="7138" priority="387" stopIfTrue="1">
      <formula>$B43="SERVIÇO"</formula>
    </cfRule>
  </conditionalFormatting>
  <conditionalFormatting sqref="A43:E43 C44:E44">
    <cfRule type="expression" dxfId="7137" priority="388">
      <formula>$B43="Unidade Construtiva"</formula>
    </cfRule>
    <cfRule type="expression" dxfId="7136" priority="389">
      <formula>$B43="Serviço"</formula>
    </cfRule>
    <cfRule type="expression" dxfId="7135" priority="390">
      <formula>$B43="Insumo"</formula>
    </cfRule>
    <cfRule type="expression" dxfId="7134" priority="391">
      <formula>$B43="Etapa"</formula>
    </cfRule>
    <cfRule type="expression" dxfId="7133" priority="392">
      <formula>$B43="Célula Construtiva"</formula>
    </cfRule>
    <cfRule type="expression" dxfId="7132" priority="393">
      <formula>$B43="Subetapa"</formula>
    </cfRule>
  </conditionalFormatting>
  <conditionalFormatting sqref="B43">
    <cfRule type="expression" dxfId="7131" priority="386" stopIfTrue="1">
      <formula>$B43="INSUMO"</formula>
    </cfRule>
  </conditionalFormatting>
  <conditionalFormatting sqref="B50:C50">
    <cfRule type="expression" dxfId="7130" priority="379" stopIfTrue="1">
      <formula>$B50="SERVIÇO"</formula>
    </cfRule>
  </conditionalFormatting>
  <conditionalFormatting sqref="A50:E50">
    <cfRule type="expression" dxfId="7129" priority="380">
      <formula>$B50="Unidade Construtiva"</formula>
    </cfRule>
    <cfRule type="expression" dxfId="7128" priority="381">
      <formula>$B50="Serviço"</formula>
    </cfRule>
    <cfRule type="expression" dxfId="7127" priority="382">
      <formula>$B50="Insumo"</formula>
    </cfRule>
    <cfRule type="expression" dxfId="7126" priority="383">
      <formula>$B50="Etapa"</formula>
    </cfRule>
    <cfRule type="expression" dxfId="7125" priority="384">
      <formula>$B50="Célula Construtiva"</formula>
    </cfRule>
    <cfRule type="expression" dxfId="7124" priority="385">
      <formula>$B50="Subetapa"</formula>
    </cfRule>
  </conditionalFormatting>
  <conditionalFormatting sqref="B50">
    <cfRule type="expression" dxfId="7123" priority="378" stopIfTrue="1">
      <formula>$B50="INSUMO"</formula>
    </cfRule>
  </conditionalFormatting>
  <conditionalFormatting sqref="B67:C67 B61:C65 B56:C57 B53:C54">
    <cfRule type="expression" dxfId="7122" priority="371" stopIfTrue="1">
      <formula>$B53="SERVIÇO"</formula>
    </cfRule>
  </conditionalFormatting>
  <conditionalFormatting sqref="A67:E67 A61:E65 A56:E57 D55:E55 A53:E54">
    <cfRule type="expression" dxfId="7121" priority="372">
      <formula>$B53="Unidade Construtiva"</formula>
    </cfRule>
    <cfRule type="expression" dxfId="7120" priority="373">
      <formula>$B53="Serviço"</formula>
    </cfRule>
    <cfRule type="expression" dxfId="7119" priority="374">
      <formula>$B53="Insumo"</formula>
    </cfRule>
    <cfRule type="expression" dxfId="7118" priority="375">
      <formula>$B53="Etapa"</formula>
    </cfRule>
    <cfRule type="expression" dxfId="7117" priority="376">
      <formula>$B53="Célula Construtiva"</formula>
    </cfRule>
    <cfRule type="expression" dxfId="7116" priority="377">
      <formula>$B53="Subetapa"</formula>
    </cfRule>
  </conditionalFormatting>
  <conditionalFormatting sqref="B67 B61:B65 B56:B57 B53:B54">
    <cfRule type="expression" dxfId="7115" priority="370" stopIfTrue="1">
      <formula>$B53="INSUMO"</formula>
    </cfRule>
  </conditionalFormatting>
  <conditionalFormatting sqref="B55:C55">
    <cfRule type="expression" dxfId="7114" priority="363" stopIfTrue="1">
      <formula>$B55="SERVIÇO"</formula>
    </cfRule>
  </conditionalFormatting>
  <conditionalFormatting sqref="A55:C55">
    <cfRule type="expression" dxfId="7113" priority="364">
      <formula>$B55="Unidade Construtiva"</formula>
    </cfRule>
    <cfRule type="expression" dxfId="7112" priority="365">
      <formula>$B55="Serviço"</formula>
    </cfRule>
    <cfRule type="expression" dxfId="7111" priority="366">
      <formula>$B55="Insumo"</formula>
    </cfRule>
    <cfRule type="expression" dxfId="7110" priority="367">
      <formula>$B55="Etapa"</formula>
    </cfRule>
    <cfRule type="expression" dxfId="7109" priority="368">
      <formula>$B55="Célula Construtiva"</formula>
    </cfRule>
    <cfRule type="expression" dxfId="7108" priority="369">
      <formula>$B55="Subetapa"</formula>
    </cfRule>
  </conditionalFormatting>
  <conditionalFormatting sqref="B55">
    <cfRule type="expression" dxfId="7107" priority="362" stopIfTrue="1">
      <formula>$B55="INSUMO"</formula>
    </cfRule>
  </conditionalFormatting>
  <conditionalFormatting sqref="B60 B58">
    <cfRule type="expression" dxfId="7106" priority="354" stopIfTrue="1">
      <formula>$B58="INSUMO"</formula>
    </cfRule>
  </conditionalFormatting>
  <conditionalFormatting sqref="A59">
    <cfRule type="expression" dxfId="7105" priority="348">
      <formula>$B59="Unidade Construtiva"</formula>
    </cfRule>
    <cfRule type="expression" dxfId="7104" priority="349">
      <formula>$B59="Serviço"</formula>
    </cfRule>
    <cfRule type="expression" dxfId="7103" priority="350">
      <formula>$B59="Insumo"</formula>
    </cfRule>
    <cfRule type="expression" dxfId="7102" priority="351">
      <formula>$B59="Etapa"</formula>
    </cfRule>
    <cfRule type="expression" dxfId="7101" priority="352">
      <formula>$B59="Célula Construtiva"</formula>
    </cfRule>
    <cfRule type="expression" dxfId="7100" priority="353">
      <formula>$B59="Subetapa"</formula>
    </cfRule>
  </conditionalFormatting>
  <conditionalFormatting sqref="B59:C59">
    <cfRule type="expression" dxfId="7099" priority="341" stopIfTrue="1">
      <formula>$B59="SERVIÇO"</formula>
    </cfRule>
  </conditionalFormatting>
  <conditionalFormatting sqref="B59:E59">
    <cfRule type="expression" dxfId="7098" priority="342">
      <formula>$B59="Unidade Construtiva"</formula>
    </cfRule>
    <cfRule type="expression" dxfId="7097" priority="343">
      <formula>$B59="Serviço"</formula>
    </cfRule>
    <cfRule type="expression" dxfId="7096" priority="344">
      <formula>$B59="Insumo"</formula>
    </cfRule>
    <cfRule type="expression" dxfId="7095" priority="345">
      <formula>$B59="Etapa"</formula>
    </cfRule>
    <cfRule type="expression" dxfId="7094" priority="346">
      <formula>$B59="Célula Construtiva"</formula>
    </cfRule>
    <cfRule type="expression" dxfId="7093" priority="347">
      <formula>$B59="Subetapa"</formula>
    </cfRule>
  </conditionalFormatting>
  <conditionalFormatting sqref="B59">
    <cfRule type="expression" dxfId="7092" priority="340" stopIfTrue="1">
      <formula>$B59="INSUMO"</formula>
    </cfRule>
  </conditionalFormatting>
  <conditionalFormatting sqref="B66:C66">
    <cfRule type="expression" dxfId="7091" priority="333" stopIfTrue="1">
      <formula>$B66="SERVIÇO"</formula>
    </cfRule>
  </conditionalFormatting>
  <conditionalFormatting sqref="A66:E66">
    <cfRule type="expression" dxfId="7090" priority="334">
      <formula>$B66="Unidade Construtiva"</formula>
    </cfRule>
    <cfRule type="expression" dxfId="7089" priority="335">
      <formula>$B66="Serviço"</formula>
    </cfRule>
    <cfRule type="expression" dxfId="7088" priority="336">
      <formula>$B66="Insumo"</formula>
    </cfRule>
    <cfRule type="expression" dxfId="7087" priority="337">
      <formula>$B66="Etapa"</formula>
    </cfRule>
    <cfRule type="expression" dxfId="7086" priority="338">
      <formula>$B66="Célula Construtiva"</formula>
    </cfRule>
    <cfRule type="expression" dxfId="7085" priority="339">
      <formula>$B66="Subetapa"</formula>
    </cfRule>
  </conditionalFormatting>
  <conditionalFormatting sqref="B66">
    <cfRule type="expression" dxfId="7084" priority="332" stopIfTrue="1">
      <formula>$B66="INSUMO"</formula>
    </cfRule>
  </conditionalFormatting>
  <conditionalFormatting sqref="B72:C79 B69:C70">
    <cfRule type="expression" dxfId="7083" priority="325" stopIfTrue="1">
      <formula>$B69="SERVIÇO"</formula>
    </cfRule>
  </conditionalFormatting>
  <conditionalFormatting sqref="A72:E79 D71:E71 A69:E70">
    <cfRule type="expression" dxfId="7082" priority="326">
      <formula>$B69="Unidade Construtiva"</formula>
    </cfRule>
    <cfRule type="expression" dxfId="7081" priority="327">
      <formula>$B69="Serviço"</formula>
    </cfRule>
    <cfRule type="expression" dxfId="7080" priority="328">
      <formula>$B69="Insumo"</formula>
    </cfRule>
    <cfRule type="expression" dxfId="7079" priority="329">
      <formula>$B69="Etapa"</formula>
    </cfRule>
    <cfRule type="expression" dxfId="7078" priority="330">
      <formula>$B69="Célula Construtiva"</formula>
    </cfRule>
    <cfRule type="expression" dxfId="7077" priority="331">
      <formula>$B69="Subetapa"</formula>
    </cfRule>
  </conditionalFormatting>
  <conditionalFormatting sqref="B72:B79 B69:B70">
    <cfRule type="expression" dxfId="7076" priority="324" stopIfTrue="1">
      <formula>$B69="INSUMO"</formula>
    </cfRule>
  </conditionalFormatting>
  <conditionalFormatting sqref="B89:C89">
    <cfRule type="expression" dxfId="7075" priority="293" stopIfTrue="1">
      <formula>$B89="SERVIÇO"</formula>
    </cfRule>
  </conditionalFormatting>
  <conditionalFormatting sqref="B89">
    <cfRule type="expression" dxfId="7074" priority="292" stopIfTrue="1">
      <formula>$B89="INSUMO"</formula>
    </cfRule>
  </conditionalFormatting>
  <conditionalFormatting sqref="B90:C90">
    <cfRule type="expression" dxfId="7073" priority="285" stopIfTrue="1">
      <formula>$B90="SERVIÇO"</formula>
    </cfRule>
  </conditionalFormatting>
  <conditionalFormatting sqref="A90:E90">
    <cfRule type="expression" dxfId="7072" priority="286">
      <formula>$B90="Unidade Construtiva"</formula>
    </cfRule>
    <cfRule type="expression" dxfId="7071" priority="287">
      <formula>$B90="Serviço"</formula>
    </cfRule>
    <cfRule type="expression" dxfId="7070" priority="288">
      <formula>$B90="Insumo"</formula>
    </cfRule>
    <cfRule type="expression" dxfId="7069" priority="289">
      <formula>$B90="Etapa"</formula>
    </cfRule>
    <cfRule type="expression" dxfId="7068" priority="290">
      <formula>$B90="Célula Construtiva"</formula>
    </cfRule>
    <cfRule type="expression" dxfId="7067" priority="291">
      <formula>$B90="Subetapa"</formula>
    </cfRule>
  </conditionalFormatting>
  <conditionalFormatting sqref="B90">
    <cfRule type="expression" dxfId="7066" priority="284" stopIfTrue="1">
      <formula>$B90="INSUMO"</formula>
    </cfRule>
  </conditionalFormatting>
  <conditionalFormatting sqref="B96:C96">
    <cfRule type="expression" dxfId="7065" priority="277" stopIfTrue="1">
      <formula>$B96="SERVIÇO"</formula>
    </cfRule>
  </conditionalFormatting>
  <conditionalFormatting sqref="A96:E96">
    <cfRule type="expression" dxfId="7064" priority="278">
      <formula>$B96="Unidade Construtiva"</formula>
    </cfRule>
    <cfRule type="expression" dxfId="7063" priority="279">
      <formula>$B96="Serviço"</formula>
    </cfRule>
    <cfRule type="expression" dxfId="7062" priority="280">
      <formula>$B96="Insumo"</formula>
    </cfRule>
    <cfRule type="expression" dxfId="7061" priority="281">
      <formula>$B96="Etapa"</formula>
    </cfRule>
    <cfRule type="expression" dxfId="7060" priority="282">
      <formula>$B96="Célula Construtiva"</formula>
    </cfRule>
    <cfRule type="expression" dxfId="7059" priority="283">
      <formula>$B96="Subetapa"</formula>
    </cfRule>
  </conditionalFormatting>
  <conditionalFormatting sqref="B96">
    <cfRule type="expression" dxfId="7058" priority="276" stopIfTrue="1">
      <formula>$B96="INSUMO"</formula>
    </cfRule>
  </conditionalFormatting>
  <conditionalFormatting sqref="B98:C98">
    <cfRule type="expression" dxfId="7057" priority="269" stopIfTrue="1">
      <formula>$B98="SERVIÇO"</formula>
    </cfRule>
  </conditionalFormatting>
  <conditionalFormatting sqref="A98:E98">
    <cfRule type="expression" dxfId="7056" priority="270">
      <formula>$B98="Unidade Construtiva"</formula>
    </cfRule>
    <cfRule type="expression" dxfId="7055" priority="271">
      <formula>$B98="Serviço"</formula>
    </cfRule>
    <cfRule type="expression" dxfId="7054" priority="272">
      <formula>$B98="Insumo"</formula>
    </cfRule>
    <cfRule type="expression" dxfId="7053" priority="273">
      <formula>$B98="Etapa"</formula>
    </cfRule>
    <cfRule type="expression" dxfId="7052" priority="274">
      <formula>$B98="Célula Construtiva"</formula>
    </cfRule>
    <cfRule type="expression" dxfId="7051" priority="275">
      <formula>$B98="Subetapa"</formula>
    </cfRule>
  </conditionalFormatting>
  <conditionalFormatting sqref="B98">
    <cfRule type="expression" dxfId="7050" priority="268" stopIfTrue="1">
      <formula>$B98="INSUMO"</formula>
    </cfRule>
  </conditionalFormatting>
  <conditionalFormatting sqref="B122:C122 B120:C120 B107:C107 B101:C103">
    <cfRule type="expression" dxfId="7049" priority="261" stopIfTrue="1">
      <formula>$B101="SERVIÇO"</formula>
    </cfRule>
  </conditionalFormatting>
  <conditionalFormatting sqref="A122:E122 A120:E120 A107:E107 A101:E103">
    <cfRule type="expression" dxfId="7048" priority="262">
      <formula>$B101="Unidade Construtiva"</formula>
    </cfRule>
    <cfRule type="expression" dxfId="7047" priority="263">
      <formula>$B101="Serviço"</formula>
    </cfRule>
    <cfRule type="expression" dxfId="7046" priority="264">
      <formula>$B101="Insumo"</formula>
    </cfRule>
    <cfRule type="expression" dxfId="7045" priority="265">
      <formula>$B101="Etapa"</formula>
    </cfRule>
    <cfRule type="expression" dxfId="7044" priority="266">
      <formula>$B101="Célula Construtiva"</formula>
    </cfRule>
    <cfRule type="expression" dxfId="7043" priority="267">
      <formula>$B101="Subetapa"</formula>
    </cfRule>
  </conditionalFormatting>
  <conditionalFormatting sqref="B107">
    <cfRule type="expression" dxfId="7042" priority="260" stopIfTrue="1">
      <formula>$B107="INSUMO"</formula>
    </cfRule>
  </conditionalFormatting>
  <conditionalFormatting sqref="B108:C108">
    <cfRule type="expression" dxfId="7041" priority="253" stopIfTrue="1">
      <formula>$B108="SERVIÇO"</formula>
    </cfRule>
  </conditionalFormatting>
  <conditionalFormatting sqref="A108:E108">
    <cfRule type="expression" dxfId="7040" priority="254">
      <formula>$B108="Unidade Construtiva"</formula>
    </cfRule>
    <cfRule type="expression" dxfId="7039" priority="255">
      <formula>$B108="Serviço"</formula>
    </cfRule>
    <cfRule type="expression" dxfId="7038" priority="256">
      <formula>$B108="Insumo"</formula>
    </cfRule>
    <cfRule type="expression" dxfId="7037" priority="257">
      <formula>$B108="Etapa"</formula>
    </cfRule>
    <cfRule type="expression" dxfId="7036" priority="258">
      <formula>$B108="Célula Construtiva"</formula>
    </cfRule>
    <cfRule type="expression" dxfId="7035" priority="259">
      <formula>$B108="Subetapa"</formula>
    </cfRule>
  </conditionalFormatting>
  <conditionalFormatting sqref="B108">
    <cfRule type="expression" dxfId="7034" priority="252" stopIfTrue="1">
      <formula>$B108="INSUMO"</formula>
    </cfRule>
  </conditionalFormatting>
  <conditionalFormatting sqref="B109:C109">
    <cfRule type="expression" dxfId="7033" priority="245" stopIfTrue="1">
      <formula>$B109="SERVIÇO"</formula>
    </cfRule>
  </conditionalFormatting>
  <conditionalFormatting sqref="A109:E109">
    <cfRule type="expression" dxfId="7032" priority="246">
      <formula>$B109="Unidade Construtiva"</formula>
    </cfRule>
    <cfRule type="expression" dxfId="7031" priority="247">
      <formula>$B109="Serviço"</formula>
    </cfRule>
    <cfRule type="expression" dxfId="7030" priority="248">
      <formula>$B109="Insumo"</formula>
    </cfRule>
    <cfRule type="expression" dxfId="7029" priority="249">
      <formula>$B109="Etapa"</formula>
    </cfRule>
    <cfRule type="expression" dxfId="7028" priority="250">
      <formula>$B109="Célula Construtiva"</formula>
    </cfRule>
    <cfRule type="expression" dxfId="7027" priority="251">
      <formula>$B109="Subetapa"</formula>
    </cfRule>
  </conditionalFormatting>
  <conditionalFormatting sqref="B109">
    <cfRule type="expression" dxfId="7026" priority="244" stopIfTrue="1">
      <formula>$B109="INSUMO"</formula>
    </cfRule>
  </conditionalFormatting>
  <conditionalFormatting sqref="B110:C111">
    <cfRule type="expression" dxfId="7025" priority="237" stopIfTrue="1">
      <formula>$B110="SERVIÇO"</formula>
    </cfRule>
  </conditionalFormatting>
  <conditionalFormatting sqref="B110:E111">
    <cfRule type="expression" dxfId="7024" priority="238">
      <formula>$B110="Unidade Construtiva"</formula>
    </cfRule>
    <cfRule type="expression" dxfId="7023" priority="239">
      <formula>$B110="Serviço"</formula>
    </cfRule>
    <cfRule type="expression" dxfId="7022" priority="240">
      <formula>$B110="Insumo"</formula>
    </cfRule>
    <cfRule type="expression" dxfId="7021" priority="241">
      <formula>$B110="Etapa"</formula>
    </cfRule>
    <cfRule type="expression" dxfId="7020" priority="242">
      <formula>$B110="Célula Construtiva"</formula>
    </cfRule>
    <cfRule type="expression" dxfId="7019" priority="243">
      <formula>$B110="Subetapa"</formula>
    </cfRule>
  </conditionalFormatting>
  <conditionalFormatting sqref="B110:B111">
    <cfRule type="expression" dxfId="7018" priority="236" stopIfTrue="1">
      <formula>$B110="INSUMO"</formula>
    </cfRule>
  </conditionalFormatting>
  <conditionalFormatting sqref="A111">
    <cfRule type="expression" dxfId="7017" priority="224">
      <formula>$B111="Unidade Construtiva"</formula>
    </cfRule>
    <cfRule type="expression" dxfId="7016" priority="225">
      <formula>$B111="Serviço"</formula>
    </cfRule>
    <cfRule type="expression" dxfId="7015" priority="226">
      <formula>$B111="Insumo"</formula>
    </cfRule>
    <cfRule type="expression" dxfId="7014" priority="227">
      <formula>$B111="Etapa"</formula>
    </cfRule>
    <cfRule type="expression" dxfId="7013" priority="228">
      <formula>$B111="Célula Construtiva"</formula>
    </cfRule>
    <cfRule type="expression" dxfId="7012" priority="229">
      <formula>$B111="Subetapa"</formula>
    </cfRule>
  </conditionalFormatting>
  <conditionalFormatting sqref="B112:C112">
    <cfRule type="expression" dxfId="7011" priority="217" stopIfTrue="1">
      <formula>$B112="SERVIÇO"</formula>
    </cfRule>
  </conditionalFormatting>
  <conditionalFormatting sqref="A112:E112">
    <cfRule type="expression" dxfId="7010" priority="218">
      <formula>$B112="Unidade Construtiva"</formula>
    </cfRule>
    <cfRule type="expression" dxfId="7009" priority="219">
      <formula>$B112="Serviço"</formula>
    </cfRule>
    <cfRule type="expression" dxfId="7008" priority="220">
      <formula>$B112="Insumo"</formula>
    </cfRule>
    <cfRule type="expression" dxfId="7007" priority="221">
      <formula>$B112="Etapa"</formula>
    </cfRule>
    <cfRule type="expression" dxfId="7006" priority="222">
      <formula>$B112="Célula Construtiva"</formula>
    </cfRule>
    <cfRule type="expression" dxfId="7005" priority="223">
      <formula>$B112="Subetapa"</formula>
    </cfRule>
  </conditionalFormatting>
  <conditionalFormatting sqref="B112">
    <cfRule type="expression" dxfId="7004" priority="216" stopIfTrue="1">
      <formula>$B112="INSUMO"</formula>
    </cfRule>
  </conditionalFormatting>
  <conditionalFormatting sqref="B118:C118">
    <cfRule type="expression" dxfId="7003" priority="209" stopIfTrue="1">
      <formula>$B118="SERVIÇO"</formula>
    </cfRule>
  </conditionalFormatting>
  <conditionalFormatting sqref="A118:E118">
    <cfRule type="expression" dxfId="7002" priority="210">
      <formula>$B118="Unidade Construtiva"</formula>
    </cfRule>
    <cfRule type="expression" dxfId="7001" priority="211">
      <formula>$B118="Serviço"</formula>
    </cfRule>
    <cfRule type="expression" dxfId="7000" priority="212">
      <formula>$B118="Insumo"</formula>
    </cfRule>
    <cfRule type="expression" dxfId="6999" priority="213">
      <formula>$B118="Etapa"</formula>
    </cfRule>
    <cfRule type="expression" dxfId="6998" priority="214">
      <formula>$B118="Célula Construtiva"</formula>
    </cfRule>
    <cfRule type="expression" dxfId="6997" priority="215">
      <formula>$B118="Subetapa"</formula>
    </cfRule>
  </conditionalFormatting>
  <conditionalFormatting sqref="B118">
    <cfRule type="expression" dxfId="6996" priority="208" stopIfTrue="1">
      <formula>$B118="INSUMO"</formula>
    </cfRule>
  </conditionalFormatting>
  <conditionalFormatting sqref="B119:C119">
    <cfRule type="expression" dxfId="6995" priority="201" stopIfTrue="1">
      <formula>$B119="SERVIÇO"</formula>
    </cfRule>
  </conditionalFormatting>
  <conditionalFormatting sqref="A119:E119">
    <cfRule type="expression" dxfId="6994" priority="202">
      <formula>$B119="Unidade Construtiva"</formula>
    </cfRule>
    <cfRule type="expression" dxfId="6993" priority="203">
      <formula>$B119="Serviço"</formula>
    </cfRule>
    <cfRule type="expression" dxfId="6992" priority="204">
      <formula>$B119="Insumo"</formula>
    </cfRule>
    <cfRule type="expression" dxfId="6991" priority="205">
      <formula>$B119="Etapa"</formula>
    </cfRule>
    <cfRule type="expression" dxfId="6990" priority="206">
      <formula>$B119="Célula Construtiva"</formula>
    </cfRule>
    <cfRule type="expression" dxfId="6989" priority="207">
      <formula>$B119="Subetapa"</formula>
    </cfRule>
  </conditionalFormatting>
  <conditionalFormatting sqref="B119">
    <cfRule type="expression" dxfId="6988" priority="200" stopIfTrue="1">
      <formula>$B119="INSUMO"</formula>
    </cfRule>
  </conditionalFormatting>
  <conditionalFormatting sqref="B121:C121">
    <cfRule type="expression" dxfId="6987" priority="193" stopIfTrue="1">
      <formula>$B121="SERVIÇO"</formula>
    </cfRule>
  </conditionalFormatting>
  <conditionalFormatting sqref="A121:E121">
    <cfRule type="expression" dxfId="6986" priority="194">
      <formula>$B121="Unidade Construtiva"</formula>
    </cfRule>
    <cfRule type="expression" dxfId="6985" priority="195">
      <formula>$B121="Serviço"</formula>
    </cfRule>
    <cfRule type="expression" dxfId="6984" priority="196">
      <formula>$B121="Insumo"</formula>
    </cfRule>
    <cfRule type="expression" dxfId="6983" priority="197">
      <formula>$B121="Etapa"</formula>
    </cfRule>
    <cfRule type="expression" dxfId="6982" priority="198">
      <formula>$B121="Célula Construtiva"</formula>
    </cfRule>
    <cfRule type="expression" dxfId="6981" priority="199">
      <formula>$B121="Subetapa"</formula>
    </cfRule>
  </conditionalFormatting>
  <conditionalFormatting sqref="B121">
    <cfRule type="expression" dxfId="6980" priority="192" stopIfTrue="1">
      <formula>$B121="INSUMO"</formula>
    </cfRule>
  </conditionalFormatting>
  <conditionalFormatting sqref="B123:C123">
    <cfRule type="expression" dxfId="6979" priority="185" stopIfTrue="1">
      <formula>$B123="SERVIÇO"</formula>
    </cfRule>
  </conditionalFormatting>
  <conditionalFormatting sqref="A123:E123">
    <cfRule type="expression" dxfId="6978" priority="186">
      <formula>$B123="Unidade Construtiva"</formula>
    </cfRule>
    <cfRule type="expression" dxfId="6977" priority="187">
      <formula>$B123="Serviço"</formula>
    </cfRule>
    <cfRule type="expression" dxfId="6976" priority="188">
      <formula>$B123="Insumo"</formula>
    </cfRule>
    <cfRule type="expression" dxfId="6975" priority="189">
      <formula>$B123="Etapa"</formula>
    </cfRule>
    <cfRule type="expression" dxfId="6974" priority="190">
      <formula>$B123="Célula Construtiva"</formula>
    </cfRule>
    <cfRule type="expression" dxfId="6973" priority="191">
      <formula>$B123="Subetapa"</formula>
    </cfRule>
  </conditionalFormatting>
  <conditionalFormatting sqref="B123">
    <cfRule type="expression" dxfId="6972" priority="184" stopIfTrue="1">
      <formula>$B123="INSUMO"</formula>
    </cfRule>
  </conditionalFormatting>
  <conditionalFormatting sqref="B135:C139 B131:C131 B125:C127">
    <cfRule type="expression" dxfId="6971" priority="177" stopIfTrue="1">
      <formula>$B125="SERVIÇO"</formula>
    </cfRule>
  </conditionalFormatting>
  <conditionalFormatting sqref="A135:E139 A131:E131 A125:E127">
    <cfRule type="expression" dxfId="6970" priority="178">
      <formula>$B125="Unidade Construtiva"</formula>
    </cfRule>
    <cfRule type="expression" dxfId="6969" priority="179">
      <formula>$B125="Serviço"</formula>
    </cfRule>
    <cfRule type="expression" dxfId="6968" priority="180">
      <formula>$B125="Insumo"</formula>
    </cfRule>
    <cfRule type="expression" dxfId="6967" priority="181">
      <formula>$B125="Etapa"</formula>
    </cfRule>
    <cfRule type="expression" dxfId="6966" priority="182">
      <formula>$B125="Célula Construtiva"</formula>
    </cfRule>
    <cfRule type="expression" dxfId="6965" priority="183">
      <formula>$B125="Subetapa"</formula>
    </cfRule>
  </conditionalFormatting>
  <conditionalFormatting sqref="B128:C128">
    <cfRule type="expression" dxfId="6964" priority="170" stopIfTrue="1">
      <formula>$B128="SERVIÇO"</formula>
    </cfRule>
  </conditionalFormatting>
  <conditionalFormatting sqref="A128:E128">
    <cfRule type="expression" dxfId="6963" priority="171">
      <formula>$B128="Unidade Construtiva"</formula>
    </cfRule>
    <cfRule type="expression" dxfId="6962" priority="172">
      <formula>$B128="Serviço"</formula>
    </cfRule>
    <cfRule type="expression" dxfId="6961" priority="173">
      <formula>$B128="Insumo"</formula>
    </cfRule>
    <cfRule type="expression" dxfId="6960" priority="174">
      <formula>$B128="Etapa"</formula>
    </cfRule>
    <cfRule type="expression" dxfId="6959" priority="175">
      <formula>$B128="Célula Construtiva"</formula>
    </cfRule>
    <cfRule type="expression" dxfId="6958" priority="176">
      <formula>$B128="Subetapa"</formula>
    </cfRule>
  </conditionalFormatting>
  <conditionalFormatting sqref="B132:C132">
    <cfRule type="expression" dxfId="6957" priority="163" stopIfTrue="1">
      <formula>$B132="SERVIÇO"</formula>
    </cfRule>
  </conditionalFormatting>
  <conditionalFormatting sqref="A132:E132">
    <cfRule type="expression" dxfId="6956" priority="164">
      <formula>$B132="Unidade Construtiva"</formula>
    </cfRule>
    <cfRule type="expression" dxfId="6955" priority="165">
      <formula>$B132="Serviço"</formula>
    </cfRule>
    <cfRule type="expression" dxfId="6954" priority="166">
      <formula>$B132="Insumo"</formula>
    </cfRule>
    <cfRule type="expression" dxfId="6953" priority="167">
      <formula>$B132="Etapa"</formula>
    </cfRule>
    <cfRule type="expression" dxfId="6952" priority="168">
      <formula>$B132="Célula Construtiva"</formula>
    </cfRule>
    <cfRule type="expression" dxfId="6951" priority="169">
      <formula>$B132="Subetapa"</formula>
    </cfRule>
  </conditionalFormatting>
  <conditionalFormatting sqref="B132">
    <cfRule type="expression" dxfId="6950" priority="162" stopIfTrue="1">
      <formula>$B132="INSUMO"</formula>
    </cfRule>
  </conditionalFormatting>
  <conditionalFormatting sqref="B133:C133">
    <cfRule type="expression" dxfId="6949" priority="155" stopIfTrue="1">
      <formula>$B133="SERVIÇO"</formula>
    </cfRule>
  </conditionalFormatting>
  <conditionalFormatting sqref="B133:E133">
    <cfRule type="expression" dxfId="6948" priority="156">
      <formula>$B133="Unidade Construtiva"</formula>
    </cfRule>
    <cfRule type="expression" dxfId="6947" priority="157">
      <formula>$B133="Serviço"</formula>
    </cfRule>
    <cfRule type="expression" dxfId="6946" priority="158">
      <formula>$B133="Insumo"</formula>
    </cfRule>
    <cfRule type="expression" dxfId="6945" priority="159">
      <formula>$B133="Etapa"</formula>
    </cfRule>
    <cfRule type="expression" dxfId="6944" priority="160">
      <formula>$B133="Célula Construtiva"</formula>
    </cfRule>
    <cfRule type="expression" dxfId="6943" priority="161">
      <formula>$B133="Subetapa"</formula>
    </cfRule>
  </conditionalFormatting>
  <conditionalFormatting sqref="B133">
    <cfRule type="expression" dxfId="6942" priority="154" stopIfTrue="1">
      <formula>$B133="INSUMO"</formula>
    </cfRule>
  </conditionalFormatting>
  <conditionalFormatting sqref="A133">
    <cfRule type="expression" dxfId="6941" priority="148">
      <formula>$B133="Unidade Construtiva"</formula>
    </cfRule>
    <cfRule type="expression" dxfId="6940" priority="149">
      <formula>$B133="Serviço"</formula>
    </cfRule>
    <cfRule type="expression" dxfId="6939" priority="150">
      <formula>$B133="Insumo"</formula>
    </cfRule>
    <cfRule type="expression" dxfId="6938" priority="151">
      <formula>$B133="Etapa"</formula>
    </cfRule>
    <cfRule type="expression" dxfId="6937" priority="152">
      <formula>$B133="Célula Construtiva"</formula>
    </cfRule>
    <cfRule type="expression" dxfId="6936" priority="153">
      <formula>$B133="Subetapa"</formula>
    </cfRule>
  </conditionalFormatting>
  <conditionalFormatting sqref="B134:C134">
    <cfRule type="expression" dxfId="6935" priority="141" stopIfTrue="1">
      <formula>$B134="SERVIÇO"</formula>
    </cfRule>
  </conditionalFormatting>
  <conditionalFormatting sqref="A134:E134">
    <cfRule type="expression" dxfId="6934" priority="142">
      <formula>$B134="Unidade Construtiva"</formula>
    </cfRule>
    <cfRule type="expression" dxfId="6933" priority="143">
      <formula>$B134="Serviço"</formula>
    </cfRule>
    <cfRule type="expression" dxfId="6932" priority="144">
      <formula>$B134="Insumo"</formula>
    </cfRule>
    <cfRule type="expression" dxfId="6931" priority="145">
      <formula>$B134="Etapa"</formula>
    </cfRule>
    <cfRule type="expression" dxfId="6930" priority="146">
      <formula>$B134="Célula Construtiva"</formula>
    </cfRule>
    <cfRule type="expression" dxfId="6929" priority="147">
      <formula>$B134="Subetapa"</formula>
    </cfRule>
  </conditionalFormatting>
  <conditionalFormatting sqref="B134">
    <cfRule type="expression" dxfId="6928" priority="140" stopIfTrue="1">
      <formula>$B134="INSUMO"</formula>
    </cfRule>
  </conditionalFormatting>
  <conditionalFormatting sqref="B140:C140">
    <cfRule type="expression" dxfId="6927" priority="133" stopIfTrue="1">
      <formula>$B140="SERVIÇO"</formula>
    </cfRule>
  </conditionalFormatting>
  <conditionalFormatting sqref="A140:E140">
    <cfRule type="expression" dxfId="6926" priority="134">
      <formula>$B140="Unidade Construtiva"</formula>
    </cfRule>
    <cfRule type="expression" dxfId="6925" priority="135">
      <formula>$B140="Serviço"</formula>
    </cfRule>
    <cfRule type="expression" dxfId="6924" priority="136">
      <formula>$B140="Insumo"</formula>
    </cfRule>
    <cfRule type="expression" dxfId="6923" priority="137">
      <formula>$B140="Etapa"</formula>
    </cfRule>
    <cfRule type="expression" dxfId="6922" priority="138">
      <formula>$B140="Célula Construtiva"</formula>
    </cfRule>
    <cfRule type="expression" dxfId="6921" priority="139">
      <formula>$B140="Subetapa"</formula>
    </cfRule>
  </conditionalFormatting>
  <conditionalFormatting sqref="B140">
    <cfRule type="expression" dxfId="6920" priority="132" stopIfTrue="1">
      <formula>$B140="INSUMO"</formula>
    </cfRule>
  </conditionalFormatting>
  <conditionalFormatting sqref="B141:C141">
    <cfRule type="expression" dxfId="6919" priority="125" stopIfTrue="1">
      <formula>$B141="SERVIÇO"</formula>
    </cfRule>
  </conditionalFormatting>
  <conditionalFormatting sqref="A141:E141">
    <cfRule type="expression" dxfId="6918" priority="126">
      <formula>$B141="Unidade Construtiva"</formula>
    </cfRule>
    <cfRule type="expression" dxfId="6917" priority="127">
      <formula>$B141="Serviço"</formula>
    </cfRule>
    <cfRule type="expression" dxfId="6916" priority="128">
      <formula>$B141="Insumo"</formula>
    </cfRule>
    <cfRule type="expression" dxfId="6915" priority="129">
      <formula>$B141="Etapa"</formula>
    </cfRule>
    <cfRule type="expression" dxfId="6914" priority="130">
      <formula>$B141="Célula Construtiva"</formula>
    </cfRule>
    <cfRule type="expression" dxfId="6913" priority="131">
      <formula>$B141="Subetapa"</formula>
    </cfRule>
  </conditionalFormatting>
  <conditionalFormatting sqref="B141">
    <cfRule type="expression" dxfId="6912" priority="124" stopIfTrue="1">
      <formula>$B141="INSUMO"</formula>
    </cfRule>
  </conditionalFormatting>
  <conditionalFormatting sqref="B142:C142">
    <cfRule type="expression" dxfId="6911" priority="117" stopIfTrue="1">
      <formula>$B142="SERVIÇO"</formula>
    </cfRule>
  </conditionalFormatting>
  <conditionalFormatting sqref="A142:E142">
    <cfRule type="expression" dxfId="6910" priority="118">
      <formula>$B142="Unidade Construtiva"</formula>
    </cfRule>
    <cfRule type="expression" dxfId="6909" priority="119">
      <formula>$B142="Serviço"</formula>
    </cfRule>
    <cfRule type="expression" dxfId="6908" priority="120">
      <formula>$B142="Insumo"</formula>
    </cfRule>
    <cfRule type="expression" dxfId="6907" priority="121">
      <formula>$B142="Etapa"</formula>
    </cfRule>
    <cfRule type="expression" dxfId="6906" priority="122">
      <formula>$B142="Célula Construtiva"</formula>
    </cfRule>
    <cfRule type="expression" dxfId="6905" priority="123">
      <formula>$B142="Subetapa"</formula>
    </cfRule>
  </conditionalFormatting>
  <conditionalFormatting sqref="B142">
    <cfRule type="expression" dxfId="6904" priority="116" stopIfTrue="1">
      <formula>$B142="INSUMO"</formula>
    </cfRule>
  </conditionalFormatting>
  <conditionalFormatting sqref="B158:C161 B153:C153 B150:C150 B146:C148">
    <cfRule type="expression" dxfId="6903" priority="109" stopIfTrue="1">
      <formula>$B146="SERVIÇO"</formula>
    </cfRule>
  </conditionalFormatting>
  <conditionalFormatting sqref="A158:E161 A153:E153 A150:E150 A146:E148">
    <cfRule type="expression" dxfId="6902" priority="110">
      <formula>$B146="Unidade Construtiva"</formula>
    </cfRule>
    <cfRule type="expression" dxfId="6901" priority="111">
      <formula>$B146="Serviço"</formula>
    </cfRule>
    <cfRule type="expression" dxfId="6900" priority="112">
      <formula>$B146="Insumo"</formula>
    </cfRule>
    <cfRule type="expression" dxfId="6899" priority="113">
      <formula>$B146="Etapa"</formula>
    </cfRule>
    <cfRule type="expression" dxfId="6898" priority="114">
      <formula>$B146="Célula Construtiva"</formula>
    </cfRule>
    <cfRule type="expression" dxfId="6897" priority="115">
      <formula>$B146="Subetapa"</formula>
    </cfRule>
  </conditionalFormatting>
  <conditionalFormatting sqref="B149:C149">
    <cfRule type="expression" dxfId="6896" priority="102" stopIfTrue="1">
      <formula>$B149="SERVIÇO"</formula>
    </cfRule>
  </conditionalFormatting>
  <conditionalFormatting sqref="A149:E149">
    <cfRule type="expression" dxfId="6895" priority="103">
      <formula>$B149="Unidade Construtiva"</formula>
    </cfRule>
    <cfRule type="expression" dxfId="6894" priority="104">
      <formula>$B149="Serviço"</formula>
    </cfRule>
    <cfRule type="expression" dxfId="6893" priority="105">
      <formula>$B149="Insumo"</formula>
    </cfRule>
    <cfRule type="expression" dxfId="6892" priority="106">
      <formula>$B149="Etapa"</formula>
    </cfRule>
    <cfRule type="expression" dxfId="6891" priority="107">
      <formula>$B149="Célula Construtiva"</formula>
    </cfRule>
    <cfRule type="expression" dxfId="6890" priority="108">
      <formula>$B149="Subetapa"</formula>
    </cfRule>
  </conditionalFormatting>
  <conditionalFormatting sqref="B150">
    <cfRule type="expression" dxfId="6889" priority="101" stopIfTrue="1">
      <formula>$B150="INSUMO"</formula>
    </cfRule>
  </conditionalFormatting>
  <conditionalFormatting sqref="B151:C151">
    <cfRule type="expression" dxfId="6888" priority="94" stopIfTrue="1">
      <formula>$B151="SERVIÇO"</formula>
    </cfRule>
  </conditionalFormatting>
  <conditionalFormatting sqref="A151:E151">
    <cfRule type="expression" dxfId="6887" priority="95">
      <formula>$B151="Unidade Construtiva"</formula>
    </cfRule>
    <cfRule type="expression" dxfId="6886" priority="96">
      <formula>$B151="Serviço"</formula>
    </cfRule>
    <cfRule type="expression" dxfId="6885" priority="97">
      <formula>$B151="Insumo"</formula>
    </cfRule>
    <cfRule type="expression" dxfId="6884" priority="98">
      <formula>$B151="Etapa"</formula>
    </cfRule>
    <cfRule type="expression" dxfId="6883" priority="99">
      <formula>$B151="Célula Construtiva"</formula>
    </cfRule>
    <cfRule type="expression" dxfId="6882" priority="100">
      <formula>$B151="Subetapa"</formula>
    </cfRule>
  </conditionalFormatting>
  <conditionalFormatting sqref="B151">
    <cfRule type="expression" dxfId="6881" priority="93" stopIfTrue="1">
      <formula>$B151="INSUMO"</formula>
    </cfRule>
  </conditionalFormatting>
  <conditionalFormatting sqref="B152:C152">
    <cfRule type="expression" dxfId="6880" priority="86" stopIfTrue="1">
      <formula>$B152="SERVIÇO"</formula>
    </cfRule>
  </conditionalFormatting>
  <conditionalFormatting sqref="A152:E152">
    <cfRule type="expression" dxfId="6879" priority="87">
      <formula>$B152="Unidade Construtiva"</formula>
    </cfRule>
    <cfRule type="expression" dxfId="6878" priority="88">
      <formula>$B152="Serviço"</formula>
    </cfRule>
    <cfRule type="expression" dxfId="6877" priority="89">
      <formula>$B152="Insumo"</formula>
    </cfRule>
    <cfRule type="expression" dxfId="6876" priority="90">
      <formula>$B152="Etapa"</formula>
    </cfRule>
    <cfRule type="expression" dxfId="6875" priority="91">
      <formula>$B152="Célula Construtiva"</formula>
    </cfRule>
    <cfRule type="expression" dxfId="6874" priority="92">
      <formula>$B152="Subetapa"</formula>
    </cfRule>
  </conditionalFormatting>
  <conditionalFormatting sqref="B152">
    <cfRule type="expression" dxfId="6873" priority="85" stopIfTrue="1">
      <formula>$B152="INSUMO"</formula>
    </cfRule>
  </conditionalFormatting>
  <conditionalFormatting sqref="B154:C154">
    <cfRule type="expression" dxfId="6872" priority="78" stopIfTrue="1">
      <formula>$B154="SERVIÇO"</formula>
    </cfRule>
  </conditionalFormatting>
  <conditionalFormatting sqref="A154:E154">
    <cfRule type="expression" dxfId="6871" priority="79">
      <formula>$B154="Unidade Construtiva"</formula>
    </cfRule>
    <cfRule type="expression" dxfId="6870" priority="80">
      <formula>$B154="Serviço"</formula>
    </cfRule>
    <cfRule type="expression" dxfId="6869" priority="81">
      <formula>$B154="Insumo"</formula>
    </cfRule>
    <cfRule type="expression" dxfId="6868" priority="82">
      <formula>$B154="Etapa"</formula>
    </cfRule>
    <cfRule type="expression" dxfId="6867" priority="83">
      <formula>$B154="Célula Construtiva"</formula>
    </cfRule>
    <cfRule type="expression" dxfId="6866" priority="84">
      <formula>$B154="Subetapa"</formula>
    </cfRule>
  </conditionalFormatting>
  <conditionalFormatting sqref="B154">
    <cfRule type="expression" dxfId="6865" priority="77" stopIfTrue="1">
      <formula>$B154="INSUMO"</formula>
    </cfRule>
  </conditionalFormatting>
  <conditionalFormatting sqref="B155:C155">
    <cfRule type="expression" dxfId="6864" priority="70" stopIfTrue="1">
      <formula>$B155="SERVIÇO"</formula>
    </cfRule>
  </conditionalFormatting>
  <conditionalFormatting sqref="B155:E155">
    <cfRule type="expression" dxfId="6863" priority="71">
      <formula>$B155="Unidade Construtiva"</formula>
    </cfRule>
    <cfRule type="expression" dxfId="6862" priority="72">
      <formula>$B155="Serviço"</formula>
    </cfRule>
    <cfRule type="expression" dxfId="6861" priority="73">
      <formula>$B155="Insumo"</formula>
    </cfRule>
    <cfRule type="expression" dxfId="6860" priority="74">
      <formula>$B155="Etapa"</formula>
    </cfRule>
    <cfRule type="expression" dxfId="6859" priority="75">
      <formula>$B155="Célula Construtiva"</formula>
    </cfRule>
    <cfRule type="expression" dxfId="6858" priority="76">
      <formula>$B155="Subetapa"</formula>
    </cfRule>
  </conditionalFormatting>
  <conditionalFormatting sqref="B155">
    <cfRule type="expression" dxfId="6857" priority="69" stopIfTrue="1">
      <formula>$B155="INSUMO"</formula>
    </cfRule>
  </conditionalFormatting>
  <conditionalFormatting sqref="A155">
    <cfRule type="expression" dxfId="6856" priority="63">
      <formula>$B155="Unidade Construtiva"</formula>
    </cfRule>
    <cfRule type="expression" dxfId="6855" priority="64">
      <formula>$B155="Serviço"</formula>
    </cfRule>
    <cfRule type="expression" dxfId="6854" priority="65">
      <formula>$B155="Insumo"</formula>
    </cfRule>
    <cfRule type="expression" dxfId="6853" priority="66">
      <formula>$B155="Etapa"</formula>
    </cfRule>
    <cfRule type="expression" dxfId="6852" priority="67">
      <formula>$B155="Célula Construtiva"</formula>
    </cfRule>
    <cfRule type="expression" dxfId="6851" priority="68">
      <formula>$B155="Subetapa"</formula>
    </cfRule>
  </conditionalFormatting>
  <conditionalFormatting sqref="B156:C156">
    <cfRule type="expression" dxfId="6850" priority="56" stopIfTrue="1">
      <formula>$B156="SERVIÇO"</formula>
    </cfRule>
  </conditionalFormatting>
  <conditionalFormatting sqref="B156:E156">
    <cfRule type="expression" dxfId="6849" priority="57">
      <formula>$B156="Unidade Construtiva"</formula>
    </cfRule>
    <cfRule type="expression" dxfId="6848" priority="58">
      <formula>$B156="Serviço"</formula>
    </cfRule>
    <cfRule type="expression" dxfId="6847" priority="59">
      <formula>$B156="Insumo"</formula>
    </cfRule>
    <cfRule type="expression" dxfId="6846" priority="60">
      <formula>$B156="Etapa"</formula>
    </cfRule>
    <cfRule type="expression" dxfId="6845" priority="61">
      <formula>$B156="Célula Construtiva"</formula>
    </cfRule>
    <cfRule type="expression" dxfId="6844" priority="62">
      <formula>$B156="Subetapa"</formula>
    </cfRule>
  </conditionalFormatting>
  <conditionalFormatting sqref="B156">
    <cfRule type="expression" dxfId="6843" priority="55" stopIfTrue="1">
      <formula>$B156="INSUMO"</formula>
    </cfRule>
  </conditionalFormatting>
  <conditionalFormatting sqref="A156">
    <cfRule type="expression" dxfId="6842" priority="49">
      <formula>$B156="Unidade Construtiva"</formula>
    </cfRule>
    <cfRule type="expression" dxfId="6841" priority="50">
      <formula>$B156="Serviço"</formula>
    </cfRule>
    <cfRule type="expression" dxfId="6840" priority="51">
      <formula>$B156="Insumo"</formula>
    </cfRule>
    <cfRule type="expression" dxfId="6839" priority="52">
      <formula>$B156="Etapa"</formula>
    </cfRule>
    <cfRule type="expression" dxfId="6838" priority="53">
      <formula>$B156="Célula Construtiva"</formula>
    </cfRule>
    <cfRule type="expression" dxfId="6837" priority="54">
      <formula>$B156="Subetapa"</formula>
    </cfRule>
  </conditionalFormatting>
  <conditionalFormatting sqref="B157:C157">
    <cfRule type="expression" dxfId="6836" priority="42" stopIfTrue="1">
      <formula>$B157="SERVIÇO"</formula>
    </cfRule>
  </conditionalFormatting>
  <conditionalFormatting sqref="A157:E157">
    <cfRule type="expression" dxfId="6835" priority="43">
      <formula>$B157="Unidade Construtiva"</formula>
    </cfRule>
    <cfRule type="expression" dxfId="6834" priority="44">
      <formula>$B157="Serviço"</formula>
    </cfRule>
    <cfRule type="expression" dxfId="6833" priority="45">
      <formula>$B157="Insumo"</formula>
    </cfRule>
    <cfRule type="expression" dxfId="6832" priority="46">
      <formula>$B157="Etapa"</formula>
    </cfRule>
    <cfRule type="expression" dxfId="6831" priority="47">
      <formula>$B157="Célula Construtiva"</formula>
    </cfRule>
    <cfRule type="expression" dxfId="6830" priority="48">
      <formula>$B157="Subetapa"</formula>
    </cfRule>
  </conditionalFormatting>
  <conditionalFormatting sqref="B157">
    <cfRule type="expression" dxfId="6829" priority="41" stopIfTrue="1">
      <formula>$B157="INSUMO"</formula>
    </cfRule>
  </conditionalFormatting>
  <conditionalFormatting sqref="B162:C162">
    <cfRule type="expression" dxfId="6828" priority="34" stopIfTrue="1">
      <formula>$B162="SERVIÇO"</formula>
    </cfRule>
  </conditionalFormatting>
  <conditionalFormatting sqref="A162:E162">
    <cfRule type="expression" dxfId="6827" priority="35">
      <formula>$B162="Unidade Construtiva"</formula>
    </cfRule>
    <cfRule type="expression" dxfId="6826" priority="36">
      <formula>$B162="Serviço"</formula>
    </cfRule>
    <cfRule type="expression" dxfId="6825" priority="37">
      <formula>$B162="Insumo"</formula>
    </cfRule>
    <cfRule type="expression" dxfId="6824" priority="38">
      <formula>$B162="Etapa"</formula>
    </cfRule>
    <cfRule type="expression" dxfId="6823" priority="39">
      <formula>$B162="Célula Construtiva"</formula>
    </cfRule>
    <cfRule type="expression" dxfId="6822" priority="40">
      <formula>$B162="Subetapa"</formula>
    </cfRule>
  </conditionalFormatting>
  <conditionalFormatting sqref="B162">
    <cfRule type="expression" dxfId="6821" priority="33" stopIfTrue="1">
      <formula>$B162="INSUMO"</formula>
    </cfRule>
  </conditionalFormatting>
  <conditionalFormatting sqref="B163:C163">
    <cfRule type="expression" dxfId="6820" priority="26" stopIfTrue="1">
      <formula>$B163="SERVIÇO"</formula>
    </cfRule>
  </conditionalFormatting>
  <conditionalFormatting sqref="A163:E163">
    <cfRule type="expression" dxfId="6819" priority="27">
      <formula>$B163="Unidade Construtiva"</formula>
    </cfRule>
    <cfRule type="expression" dxfId="6818" priority="28">
      <formula>$B163="Serviço"</formula>
    </cfRule>
    <cfRule type="expression" dxfId="6817" priority="29">
      <formula>$B163="Insumo"</formula>
    </cfRule>
    <cfRule type="expression" dxfId="6816" priority="30">
      <formula>$B163="Etapa"</formula>
    </cfRule>
    <cfRule type="expression" dxfId="6815" priority="31">
      <formula>$B163="Célula Construtiva"</formula>
    </cfRule>
    <cfRule type="expression" dxfId="6814" priority="32">
      <formula>$B163="Subetapa"</formula>
    </cfRule>
  </conditionalFormatting>
  <conditionalFormatting sqref="B163">
    <cfRule type="expression" dxfId="6813" priority="25" stopIfTrue="1">
      <formula>$B163="INSUMO"</formula>
    </cfRule>
  </conditionalFormatting>
  <conditionalFormatting sqref="B164:C164">
    <cfRule type="expression" dxfId="6812" priority="18" stopIfTrue="1">
      <formula>$B164="SERVIÇO"</formula>
    </cfRule>
  </conditionalFormatting>
  <conditionalFormatting sqref="A164:E164">
    <cfRule type="expression" dxfId="6811" priority="19">
      <formula>$B164="Unidade Construtiva"</formula>
    </cfRule>
    <cfRule type="expression" dxfId="6810" priority="20">
      <formula>$B164="Serviço"</formula>
    </cfRule>
    <cfRule type="expression" dxfId="6809" priority="21">
      <formula>$B164="Insumo"</formula>
    </cfRule>
    <cfRule type="expression" dxfId="6808" priority="22">
      <formula>$B164="Etapa"</formula>
    </cfRule>
    <cfRule type="expression" dxfId="6807" priority="23">
      <formula>$B164="Célula Construtiva"</formula>
    </cfRule>
    <cfRule type="expression" dxfId="6806" priority="24">
      <formula>$B164="Subetapa"</formula>
    </cfRule>
  </conditionalFormatting>
  <conditionalFormatting sqref="B164">
    <cfRule type="expression" dxfId="6805" priority="17" stopIfTrue="1">
      <formula>$B164="INSUMO"</formula>
    </cfRule>
  </conditionalFormatting>
  <conditionalFormatting sqref="B173:C174 B168:C169">
    <cfRule type="expression" dxfId="6804" priority="10" stopIfTrue="1">
      <formula>$B168="SERVIÇO"</formula>
    </cfRule>
  </conditionalFormatting>
  <conditionalFormatting sqref="A173:E174 A168:E169">
    <cfRule type="expression" dxfId="6803" priority="11">
      <formula>$B168="Unidade Construtiva"</formula>
    </cfRule>
    <cfRule type="expression" dxfId="6802" priority="12">
      <formula>$B168="Serviço"</formula>
    </cfRule>
    <cfRule type="expression" dxfId="6801" priority="13">
      <formula>$B168="Insumo"</formula>
    </cfRule>
    <cfRule type="expression" dxfId="6800" priority="14">
      <formula>$B168="Etapa"</formula>
    </cfRule>
    <cfRule type="expression" dxfId="6799" priority="15">
      <formula>$B168="Célula Construtiva"</formula>
    </cfRule>
    <cfRule type="expression" dxfId="6798" priority="16">
      <formula>$B168="Subetapa"</formula>
    </cfRule>
  </conditionalFormatting>
  <conditionalFormatting sqref="B168:B169">
    <cfRule type="expression" dxfId="6797" priority="9" stopIfTrue="1">
      <formula>$B168="INSUMO"</formula>
    </cfRule>
  </conditionalFormatting>
  <conditionalFormatting sqref="B170:C170">
    <cfRule type="expression" dxfId="6796" priority="2" stopIfTrue="1">
      <formula>$B170="SERVIÇO"</formula>
    </cfRule>
  </conditionalFormatting>
  <conditionalFormatting sqref="A170:E170">
    <cfRule type="expression" dxfId="6795" priority="3">
      <formula>$B170="Unidade Construtiva"</formula>
    </cfRule>
    <cfRule type="expression" dxfId="6794" priority="4">
      <formula>$B170="Serviço"</formula>
    </cfRule>
    <cfRule type="expression" dxfId="6793" priority="5">
      <formula>$B170="Insumo"</formula>
    </cfRule>
    <cfRule type="expression" dxfId="6792" priority="6">
      <formula>$B170="Etapa"</formula>
    </cfRule>
    <cfRule type="expression" dxfId="6791" priority="7">
      <formula>$B170="Célula Construtiva"</formula>
    </cfRule>
    <cfRule type="expression" dxfId="6790" priority="8">
      <formula>$B170="Subetapa"</formula>
    </cfRule>
  </conditionalFormatting>
  <conditionalFormatting sqref="B170">
    <cfRule type="expression" dxfId="6789" priority="1" stopIfTrue="1">
      <formula>$B170="INSUMO"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B41A-6D3D-437B-87EC-6DEBEDB57D6A}">
  <sheetPr codeName="Planilha4">
    <tabColor rgb="FFE23600"/>
    <pageSetUpPr fitToPage="1"/>
  </sheetPr>
  <dimension ref="A1:E14"/>
  <sheetViews>
    <sheetView showGridLines="0" zoomScale="115" zoomScaleNormal="115" zoomScaleSheetLayoutView="100" workbookViewId="0">
      <selection activeCell="E15" sqref="E15"/>
    </sheetView>
  </sheetViews>
  <sheetFormatPr defaultColWidth="9.140625" defaultRowHeight="21.75" x14ac:dyDescent="0.6"/>
  <cols>
    <col min="1" max="1" width="10.7109375" style="162" customWidth="1"/>
    <col min="2" max="2" width="83.7109375" style="163" customWidth="1"/>
    <col min="3" max="3" width="11.28515625" style="163" customWidth="1"/>
    <col min="4" max="4" width="11.28515625" style="164" customWidth="1"/>
    <col min="5" max="5" width="24" style="162" customWidth="1"/>
    <col min="6" max="7" width="9.28515625" style="130" bestFit="1" customWidth="1"/>
    <col min="8" max="16384" width="9.140625" style="130"/>
  </cols>
  <sheetData>
    <row r="1" spans="1:5" ht="18" customHeight="1" x14ac:dyDescent="0.6">
      <c r="A1" s="125" t="s">
        <v>0</v>
      </c>
      <c r="B1" s="126" t="str">
        <f>CAPA!B1</f>
        <v>ACÁCIAS FLOWE'S HOSP.</v>
      </c>
      <c r="C1" s="127"/>
      <c r="D1" s="128"/>
      <c r="E1" s="129"/>
    </row>
    <row r="2" spans="1:5" ht="18" customHeight="1" x14ac:dyDescent="0.6">
      <c r="A2" s="131" t="s">
        <v>136</v>
      </c>
      <c r="B2" s="132" t="str">
        <f>CAPA!B2</f>
        <v>Construtora ALL Empreendimentos</v>
      </c>
      <c r="C2" s="133"/>
      <c r="D2" s="134"/>
      <c r="E2" s="135"/>
    </row>
    <row r="3" spans="1:5" ht="18" customHeight="1" x14ac:dyDescent="0.6">
      <c r="A3" s="131" t="s">
        <v>132</v>
      </c>
      <c r="B3" s="132" t="str">
        <f>CAPA!B3</f>
        <v>R00</v>
      </c>
      <c r="C3" s="133"/>
      <c r="D3" s="134"/>
      <c r="E3" s="135"/>
    </row>
    <row r="4" spans="1:5" ht="25.15" customHeight="1" x14ac:dyDescent="0.25">
      <c r="A4" s="447" t="s">
        <v>137</v>
      </c>
      <c r="B4" s="448"/>
      <c r="C4" s="448"/>
      <c r="D4" s="448"/>
      <c r="E4" s="449"/>
    </row>
    <row r="5" spans="1:5" ht="14.45" customHeight="1" x14ac:dyDescent="0.6">
      <c r="A5" s="136"/>
      <c r="B5" s="137"/>
      <c r="C5" s="137"/>
      <c r="D5" s="138"/>
      <c r="E5" s="139"/>
    </row>
    <row r="6" spans="1:5" ht="16.899999999999999" customHeight="1" x14ac:dyDescent="0.25">
      <c r="A6" s="450" t="s">
        <v>126</v>
      </c>
      <c r="B6" s="451"/>
      <c r="C6" s="451"/>
      <c r="D6" s="451"/>
      <c r="E6" s="452"/>
    </row>
    <row r="7" spans="1:5" ht="14.45" customHeight="1" thickBot="1" x14ac:dyDescent="0.65">
      <c r="A7" s="140"/>
      <c r="B7" s="141"/>
      <c r="C7" s="142"/>
      <c r="D7" s="143"/>
      <c r="E7" s="144"/>
    </row>
    <row r="8" spans="1:5" x14ac:dyDescent="0.6">
      <c r="A8" s="145"/>
      <c r="B8" s="146" t="s">
        <v>7</v>
      </c>
      <c r="C8" s="147" t="s">
        <v>138</v>
      </c>
      <c r="D8" s="148" t="s">
        <v>8</v>
      </c>
      <c r="E8" s="144"/>
    </row>
    <row r="9" spans="1:5" x14ac:dyDescent="0.6">
      <c r="A9" s="145"/>
      <c r="B9" s="149" t="s">
        <v>139</v>
      </c>
      <c r="C9" s="150" t="s">
        <v>140</v>
      </c>
      <c r="D9" s="151">
        <v>460.03</v>
      </c>
      <c r="E9" s="144"/>
    </row>
    <row r="10" spans="1:5" x14ac:dyDescent="0.6">
      <c r="A10" s="145"/>
      <c r="B10" s="152" t="s">
        <v>141</v>
      </c>
      <c r="C10" s="153" t="s">
        <v>140</v>
      </c>
      <c r="D10" s="154">
        <v>1943.23</v>
      </c>
      <c r="E10" s="336"/>
    </row>
    <row r="11" spans="1:5" x14ac:dyDescent="0.6">
      <c r="A11" s="145"/>
      <c r="B11" s="152" t="s">
        <v>553</v>
      </c>
      <c r="C11" s="153" t="s">
        <v>142</v>
      </c>
      <c r="D11" s="154">
        <f>3+5*7</f>
        <v>38</v>
      </c>
      <c r="E11" s="336"/>
    </row>
    <row r="12" spans="1:5" x14ac:dyDescent="0.6">
      <c r="A12" s="145"/>
      <c r="B12" s="152" t="s">
        <v>143</v>
      </c>
      <c r="C12" s="153" t="s">
        <v>101</v>
      </c>
      <c r="D12" s="154">
        <v>22</v>
      </c>
      <c r="E12" s="144"/>
    </row>
    <row r="13" spans="1:5" ht="22.5" thickBot="1" x14ac:dyDescent="0.65">
      <c r="A13" s="145"/>
      <c r="B13" s="155" t="s">
        <v>144</v>
      </c>
      <c r="C13" s="156" t="s">
        <v>142</v>
      </c>
      <c r="D13" s="157">
        <v>8</v>
      </c>
      <c r="E13" s="144"/>
    </row>
    <row r="14" spans="1:5" ht="22.5" thickBot="1" x14ac:dyDescent="0.65">
      <c r="A14" s="158"/>
      <c r="B14" s="159"/>
      <c r="C14" s="159"/>
      <c r="D14" s="160"/>
      <c r="E14" s="161"/>
    </row>
  </sheetData>
  <mergeCells count="2">
    <mergeCell ref="A4:E4"/>
    <mergeCell ref="A6:E6"/>
  </mergeCells>
  <pageMargins left="0.51181102362204722" right="0.51181102362204722" top="0.78740157480314965" bottom="0.78740157480314965" header="0.31496062992125984" footer="0.31496062992125984"/>
  <pageSetup paperSize="9" scale="6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2D6B-3158-4BAF-9872-39A5466BBDFE}">
  <sheetPr>
    <tabColor rgb="FF1851D6"/>
  </sheetPr>
  <dimension ref="B2:N29"/>
  <sheetViews>
    <sheetView showGridLines="0" zoomScale="55" zoomScaleNormal="55" workbookViewId="0">
      <selection activeCell="F38" sqref="F38"/>
    </sheetView>
  </sheetViews>
  <sheetFormatPr defaultRowHeight="12.75" x14ac:dyDescent="0.2"/>
  <cols>
    <col min="2" max="3" width="21.28515625" customWidth="1"/>
    <col min="4" max="4" width="38.85546875" bestFit="1" customWidth="1"/>
    <col min="5" max="14" width="23.85546875" customWidth="1"/>
  </cols>
  <sheetData>
    <row r="2" spans="2:14" ht="23.25" x14ac:dyDescent="0.2">
      <c r="B2" s="477" t="s">
        <v>1248</v>
      </c>
      <c r="C2" s="478"/>
      <c r="D2" s="478"/>
      <c r="E2" s="479" t="s">
        <v>602</v>
      </c>
      <c r="F2" s="468"/>
      <c r="G2" s="467" t="s">
        <v>1194</v>
      </c>
      <c r="H2" s="468"/>
      <c r="I2" s="467" t="s">
        <v>1223</v>
      </c>
      <c r="J2" s="468"/>
      <c r="K2" s="467" t="s">
        <v>1226</v>
      </c>
      <c r="L2" s="468"/>
      <c r="M2" s="467" t="s">
        <v>1227</v>
      </c>
      <c r="N2" s="468"/>
    </row>
    <row r="3" spans="2:14" ht="18.75" x14ac:dyDescent="0.3">
      <c r="B3" s="480" t="s">
        <v>1249</v>
      </c>
      <c r="C3" s="481"/>
      <c r="D3" s="390" t="s">
        <v>555</v>
      </c>
      <c r="E3" s="469">
        <v>7433075.1100000003</v>
      </c>
      <c r="F3" s="470"/>
      <c r="G3" s="469">
        <v>7152374.4299999997</v>
      </c>
      <c r="H3" s="470"/>
      <c r="I3" s="469">
        <f>Resumo!E73</f>
        <v>6936553.5082796095</v>
      </c>
      <c r="J3" s="470"/>
      <c r="K3" s="469">
        <v>6954920.8552183621</v>
      </c>
      <c r="L3" s="470"/>
      <c r="M3" s="469">
        <f ca="1">'ABC Insumos'!$I$6</f>
        <v>6970627.0294020539</v>
      </c>
      <c r="N3" s="470"/>
    </row>
    <row r="4" spans="2:14" ht="18.75" x14ac:dyDescent="0.2">
      <c r="B4" s="482"/>
      <c r="C4" s="483"/>
      <c r="D4" s="391" t="s">
        <v>1250</v>
      </c>
      <c r="E4" s="471">
        <f>E3/E23</f>
        <v>195607.23973684211</v>
      </c>
      <c r="F4" s="472"/>
      <c r="G4" s="471">
        <v>184693.28</v>
      </c>
      <c r="H4" s="472"/>
      <c r="I4" s="471">
        <f>I3/I23</f>
        <v>182540.88179683182</v>
      </c>
      <c r="J4" s="472"/>
      <c r="K4" s="471">
        <f>K3/K23</f>
        <v>183024.23303206215</v>
      </c>
      <c r="L4" s="472"/>
      <c r="M4" s="471">
        <f ca="1">M3/M23</f>
        <v>183437.55340531722</v>
      </c>
      <c r="N4" s="472"/>
    </row>
    <row r="5" spans="2:14" ht="18.75" x14ac:dyDescent="0.2">
      <c r="B5" s="482"/>
      <c r="C5" s="483"/>
      <c r="D5" s="391" t="s">
        <v>1251</v>
      </c>
      <c r="E5" s="473">
        <f>E3/F13</f>
        <v>3963.4618209654195</v>
      </c>
      <c r="F5" s="474"/>
      <c r="G5" s="473">
        <v>3742.32</v>
      </c>
      <c r="H5" s="474"/>
      <c r="I5" s="473">
        <f>I3/J13</f>
        <v>3698.7067387712659</v>
      </c>
      <c r="J5" s="474"/>
      <c r="K5" s="473">
        <f>K3/L13</f>
        <v>3708.5005693550888</v>
      </c>
      <c r="L5" s="474"/>
      <c r="M5" s="473">
        <f ca="1">M3/N13</f>
        <v>3716.8754102936323</v>
      </c>
      <c r="N5" s="474"/>
    </row>
    <row r="6" spans="2:14" ht="18.75" x14ac:dyDescent="0.2">
      <c r="B6" s="482"/>
      <c r="C6" s="483"/>
      <c r="D6" s="392" t="s">
        <v>1252</v>
      </c>
      <c r="E6" s="473">
        <f>E3/F9</f>
        <v>7816.9332792733294</v>
      </c>
      <c r="F6" s="474"/>
      <c r="G6" s="473">
        <v>7380.79</v>
      </c>
      <c r="H6" s="474"/>
      <c r="I6" s="473">
        <f>I3/J9</f>
        <v>7294.77035545939</v>
      </c>
      <c r="J6" s="474"/>
      <c r="K6" s="473">
        <f>K3/L9</f>
        <v>7314.0862272100112</v>
      </c>
      <c r="L6" s="474"/>
      <c r="M6" s="473">
        <f ca="1">M3/N9</f>
        <v>7330.6034981711764</v>
      </c>
      <c r="N6" s="474"/>
    </row>
    <row r="7" spans="2:14" x14ac:dyDescent="0.2">
      <c r="B7" s="393"/>
      <c r="C7" s="394"/>
      <c r="D7" s="394"/>
      <c r="E7" s="394">
        <v>0</v>
      </c>
      <c r="F7" s="395">
        <v>0</v>
      </c>
      <c r="G7" s="394"/>
      <c r="H7" s="395"/>
      <c r="I7" s="394"/>
      <c r="J7" s="395"/>
      <c r="K7" s="394"/>
      <c r="L7" s="395"/>
      <c r="M7" s="394"/>
      <c r="N7" s="395"/>
    </row>
    <row r="8" spans="2:14" ht="23.25" x14ac:dyDescent="0.2">
      <c r="B8" s="475" t="s">
        <v>1253</v>
      </c>
      <c r="C8" s="476"/>
      <c r="D8" s="476"/>
      <c r="E8" s="396" t="s">
        <v>1224</v>
      </c>
      <c r="F8" s="397" t="s">
        <v>1225</v>
      </c>
      <c r="G8" s="396" t="s">
        <v>1224</v>
      </c>
      <c r="H8" s="397" t="s">
        <v>1225</v>
      </c>
      <c r="I8" s="396" t="s">
        <v>1224</v>
      </c>
      <c r="J8" s="397" t="s">
        <v>1225</v>
      </c>
      <c r="K8" s="396" t="s">
        <v>1224</v>
      </c>
      <c r="L8" s="397" t="s">
        <v>1225</v>
      </c>
      <c r="M8" s="396" t="s">
        <v>1224</v>
      </c>
      <c r="N8" s="397" t="s">
        <v>1225</v>
      </c>
    </row>
    <row r="9" spans="2:14" ht="18.75" x14ac:dyDescent="0.2">
      <c r="B9" s="398"/>
      <c r="C9" s="399"/>
      <c r="D9" s="400" t="s">
        <v>1254</v>
      </c>
      <c r="E9" s="401">
        <v>1023.7465000000002</v>
      </c>
      <c r="F9" s="402">
        <v>950.89402000000018</v>
      </c>
      <c r="G9" s="401">
        <v>1023.7465000000002</v>
      </c>
      <c r="H9" s="402">
        <v>950.89402000000018</v>
      </c>
      <c r="I9" s="401">
        <v>1023.7465000000002</v>
      </c>
      <c r="J9" s="402">
        <v>950.89402000000018</v>
      </c>
      <c r="K9" s="401">
        <v>1023.7465000000002</v>
      </c>
      <c r="L9" s="402">
        <v>950.89402000000018</v>
      </c>
      <c r="M9" s="401">
        <v>1023.7465000000002</v>
      </c>
      <c r="N9" s="402">
        <v>950.89402000000018</v>
      </c>
    </row>
    <row r="10" spans="2:14" ht="18.75" x14ac:dyDescent="0.2">
      <c r="B10" s="403"/>
      <c r="C10" s="404"/>
      <c r="D10" s="400" t="s">
        <v>1255</v>
      </c>
      <c r="E10" s="405">
        <v>1375.9825999999998</v>
      </c>
      <c r="F10" s="406">
        <v>1226.6523400000001</v>
      </c>
      <c r="G10" s="405">
        <v>1375.9825999999998</v>
      </c>
      <c r="H10" s="406">
        <v>1226.6523400000001</v>
      </c>
      <c r="I10" s="405">
        <v>1375.9825999999998</v>
      </c>
      <c r="J10" s="406">
        <v>1226.6523400000001</v>
      </c>
      <c r="K10" s="405">
        <v>1375.9825999999998</v>
      </c>
      <c r="L10" s="406">
        <v>1226.6523400000001</v>
      </c>
      <c r="M10" s="405">
        <v>1375.9825999999998</v>
      </c>
      <c r="N10" s="406">
        <v>1226.6523400000001</v>
      </c>
    </row>
    <row r="11" spans="2:14" ht="18.75" hidden="1" customHeight="1" x14ac:dyDescent="0.2">
      <c r="B11" s="403"/>
      <c r="C11" s="404"/>
      <c r="D11" s="400" t="s">
        <v>1256</v>
      </c>
      <c r="E11" s="405">
        <v>2185.7979</v>
      </c>
      <c r="F11" s="406">
        <v>1875.3996999999999</v>
      </c>
      <c r="G11" s="405">
        <v>2185.7979</v>
      </c>
      <c r="H11" s="406">
        <v>1875.3996999999999</v>
      </c>
      <c r="I11" s="405">
        <v>0</v>
      </c>
      <c r="J11" s="406">
        <v>0</v>
      </c>
      <c r="K11" s="405" t="e">
        <v>#REF!</v>
      </c>
      <c r="L11" s="406" t="e">
        <v>#REF!</v>
      </c>
      <c r="M11" s="405" t="e">
        <v>#REF!</v>
      </c>
      <c r="N11" s="406" t="e">
        <v>#REF!</v>
      </c>
    </row>
    <row r="12" spans="2:14" ht="18.75" hidden="1" customHeight="1" x14ac:dyDescent="0.2">
      <c r="B12" s="403"/>
      <c r="C12" s="404"/>
      <c r="D12" s="400" t="s">
        <v>1257</v>
      </c>
      <c r="E12" s="405">
        <v>0</v>
      </c>
      <c r="F12" s="406">
        <v>0</v>
      </c>
      <c r="G12" s="405">
        <v>0</v>
      </c>
      <c r="H12" s="406">
        <v>0</v>
      </c>
      <c r="I12" s="405">
        <v>0</v>
      </c>
      <c r="J12" s="406">
        <v>0</v>
      </c>
      <c r="K12" s="405" t="e">
        <v>#REF!</v>
      </c>
      <c r="L12" s="406" t="e">
        <v>#REF!</v>
      </c>
      <c r="M12" s="405" t="e">
        <v>#REF!</v>
      </c>
      <c r="N12" s="406" t="e">
        <v>#REF!</v>
      </c>
    </row>
    <row r="13" spans="2:14" ht="18.75" x14ac:dyDescent="0.2">
      <c r="B13" s="403"/>
      <c r="C13" s="404"/>
      <c r="D13" s="400" t="s">
        <v>1258</v>
      </c>
      <c r="E13" s="405">
        <v>2185.7978999999996</v>
      </c>
      <c r="F13" s="406">
        <v>1875.3996999999997</v>
      </c>
      <c r="G13" s="405">
        <v>2185.7978999999996</v>
      </c>
      <c r="H13" s="406">
        <v>1875.3996999999997</v>
      </c>
      <c r="I13" s="405">
        <v>2185.7978999999996</v>
      </c>
      <c r="J13" s="406">
        <v>1875.3996999999997</v>
      </c>
      <c r="K13" s="405">
        <v>2185.7978999999996</v>
      </c>
      <c r="L13" s="406">
        <v>1875.3996999999997</v>
      </c>
      <c r="M13" s="405">
        <v>2185.7978999999996</v>
      </c>
      <c r="N13" s="406">
        <v>1875.3996999999997</v>
      </c>
    </row>
    <row r="14" spans="2:14" ht="18.75" x14ac:dyDescent="0.2">
      <c r="B14" s="407"/>
      <c r="C14" s="408"/>
      <c r="D14" s="400" t="s">
        <v>1259</v>
      </c>
      <c r="E14" s="461">
        <v>32.280324736842111</v>
      </c>
      <c r="F14" s="462"/>
      <c r="G14" s="461">
        <v>32.280324736842111</v>
      </c>
      <c r="H14" s="462"/>
      <c r="I14" s="461">
        <v>32.280324736842111</v>
      </c>
      <c r="J14" s="462"/>
      <c r="K14" s="461">
        <v>32.280324736842111</v>
      </c>
      <c r="L14" s="462"/>
      <c r="M14" s="461">
        <v>32.280324736842111</v>
      </c>
      <c r="N14" s="462"/>
    </row>
    <row r="15" spans="2:14" ht="18.75" hidden="1" customHeight="1" x14ac:dyDescent="0.2">
      <c r="B15" s="407"/>
      <c r="C15" s="408"/>
      <c r="D15" s="400" t="s">
        <v>1260</v>
      </c>
      <c r="E15" s="461">
        <v>1875.3996999999999</v>
      </c>
      <c r="F15" s="462"/>
      <c r="G15" s="461">
        <v>49.352623684210528</v>
      </c>
      <c r="H15" s="462"/>
      <c r="I15" s="461">
        <v>0</v>
      </c>
      <c r="J15" s="462"/>
      <c r="K15" s="461" t="e">
        <v>#REF!</v>
      </c>
      <c r="L15" s="462"/>
      <c r="M15" s="461" t="e">
        <v>#REF!</v>
      </c>
      <c r="N15" s="462"/>
    </row>
    <row r="16" spans="2:14" ht="18.75" hidden="1" customHeight="1" x14ac:dyDescent="0.2">
      <c r="B16" s="407"/>
      <c r="C16" s="408"/>
      <c r="D16" s="400" t="s">
        <v>1261</v>
      </c>
      <c r="E16" s="463">
        <v>0</v>
      </c>
      <c r="F16" s="464"/>
      <c r="G16" s="463">
        <v>0</v>
      </c>
      <c r="H16" s="464"/>
      <c r="I16" s="463">
        <v>0</v>
      </c>
      <c r="J16" s="464"/>
      <c r="K16" s="463" t="e">
        <v>#REF!</v>
      </c>
      <c r="L16" s="464"/>
      <c r="M16" s="463" t="e">
        <v>#REF!</v>
      </c>
      <c r="N16" s="464"/>
    </row>
    <row r="17" spans="2:14" ht="18.75" x14ac:dyDescent="0.2">
      <c r="B17" s="407"/>
      <c r="C17" s="408"/>
      <c r="D17" s="400" t="s">
        <v>1262</v>
      </c>
      <c r="E17" s="465">
        <v>49.352623684210521</v>
      </c>
      <c r="F17" s="466"/>
      <c r="G17" s="465">
        <v>49.352623684210521</v>
      </c>
      <c r="H17" s="466"/>
      <c r="I17" s="465">
        <v>49.352623684210521</v>
      </c>
      <c r="J17" s="466"/>
      <c r="K17" s="465">
        <v>49.352623684210521</v>
      </c>
      <c r="L17" s="466"/>
      <c r="M17" s="465">
        <v>49.352623684210521</v>
      </c>
      <c r="N17" s="466"/>
    </row>
    <row r="18" spans="2:14" ht="18.75" x14ac:dyDescent="0.2">
      <c r="B18" s="407"/>
      <c r="C18" s="408"/>
      <c r="D18" s="400" t="s">
        <v>1263</v>
      </c>
      <c r="E18" s="461">
        <v>25.023526842105269</v>
      </c>
      <c r="F18" s="462"/>
      <c r="G18" s="461">
        <v>25.023526842105269</v>
      </c>
      <c r="H18" s="462"/>
      <c r="I18" s="461">
        <v>25.023526842105269</v>
      </c>
      <c r="J18" s="462"/>
      <c r="K18" s="461">
        <v>25.023526842105269</v>
      </c>
      <c r="L18" s="462"/>
      <c r="M18" s="461">
        <v>25.023526842105269</v>
      </c>
      <c r="N18" s="462"/>
    </row>
    <row r="19" spans="2:14" x14ac:dyDescent="0.2">
      <c r="B19" s="393">
        <v>0</v>
      </c>
      <c r="C19" s="394">
        <v>0</v>
      </c>
      <c r="D19" s="394">
        <v>0</v>
      </c>
      <c r="E19" s="394">
        <v>0</v>
      </c>
      <c r="F19" s="395">
        <v>0</v>
      </c>
      <c r="G19" s="394"/>
      <c r="H19" s="395"/>
      <c r="I19" s="394"/>
      <c r="J19" s="395"/>
      <c r="K19" s="394"/>
      <c r="L19" s="395"/>
      <c r="M19" s="394"/>
      <c r="N19" s="395"/>
    </row>
    <row r="20" spans="2:14" ht="23.25" x14ac:dyDescent="0.2">
      <c r="B20" s="475" t="s">
        <v>1264</v>
      </c>
      <c r="C20" s="476"/>
      <c r="D20" s="476"/>
      <c r="E20" s="396"/>
      <c r="F20" s="397"/>
      <c r="G20" s="396"/>
      <c r="H20" s="397"/>
      <c r="I20" s="396"/>
      <c r="J20" s="397"/>
      <c r="K20" s="396"/>
      <c r="L20" s="397"/>
      <c r="M20" s="396"/>
      <c r="N20" s="397"/>
    </row>
    <row r="21" spans="2:14" ht="18.75" hidden="1" customHeight="1" x14ac:dyDescent="0.2">
      <c r="B21" s="398"/>
      <c r="C21" s="399"/>
      <c r="D21" s="409" t="s">
        <v>1265</v>
      </c>
      <c r="E21" s="455">
        <v>38</v>
      </c>
      <c r="F21" s="456"/>
      <c r="G21" s="455">
        <v>38</v>
      </c>
      <c r="H21" s="456"/>
      <c r="I21" s="455">
        <v>0</v>
      </c>
      <c r="J21" s="456"/>
      <c r="K21" s="455" t="e">
        <v>#REF!</v>
      </c>
      <c r="L21" s="456"/>
      <c r="M21" s="455" t="e">
        <v>#REF!</v>
      </c>
      <c r="N21" s="456"/>
    </row>
    <row r="22" spans="2:14" ht="18.75" hidden="1" customHeight="1" x14ac:dyDescent="0.2">
      <c r="B22" s="398"/>
      <c r="C22" s="399"/>
      <c r="D22" s="409" t="s">
        <v>1266</v>
      </c>
      <c r="E22" s="457">
        <v>0</v>
      </c>
      <c r="F22" s="458"/>
      <c r="G22" s="457">
        <v>0</v>
      </c>
      <c r="H22" s="458"/>
      <c r="I22" s="457">
        <v>0</v>
      </c>
      <c r="J22" s="458"/>
      <c r="K22" s="457" t="e">
        <v>#REF!</v>
      </c>
      <c r="L22" s="458"/>
      <c r="M22" s="457" t="e">
        <v>#REF!</v>
      </c>
      <c r="N22" s="458"/>
    </row>
    <row r="23" spans="2:14" ht="18.75" x14ac:dyDescent="0.2">
      <c r="B23" s="398"/>
      <c r="C23" s="399"/>
      <c r="D23" s="409" t="s">
        <v>1267</v>
      </c>
      <c r="E23" s="455">
        <v>38</v>
      </c>
      <c r="F23" s="456"/>
      <c r="G23" s="455">
        <v>38</v>
      </c>
      <c r="H23" s="456"/>
      <c r="I23" s="455">
        <v>38</v>
      </c>
      <c r="J23" s="456"/>
      <c r="K23" s="455">
        <v>38</v>
      </c>
      <c r="L23" s="456"/>
      <c r="M23" s="455">
        <v>38</v>
      </c>
      <c r="N23" s="456"/>
    </row>
    <row r="24" spans="2:14" x14ac:dyDescent="0.2">
      <c r="B24" s="393">
        <v>0</v>
      </c>
      <c r="C24" s="394">
        <v>0</v>
      </c>
      <c r="D24" s="394">
        <v>0</v>
      </c>
      <c r="E24" s="394">
        <v>0</v>
      </c>
      <c r="F24" s="395">
        <v>0</v>
      </c>
      <c r="G24" s="394">
        <v>0</v>
      </c>
      <c r="H24" s="395">
        <v>0</v>
      </c>
      <c r="I24" s="394">
        <v>0</v>
      </c>
      <c r="J24" s="395">
        <v>0</v>
      </c>
      <c r="K24" s="394"/>
      <c r="L24" s="395"/>
      <c r="M24" s="394"/>
      <c r="N24" s="395"/>
    </row>
    <row r="25" spans="2:14" ht="23.25" x14ac:dyDescent="0.2">
      <c r="B25" s="475" t="s">
        <v>1268</v>
      </c>
      <c r="C25" s="476"/>
      <c r="D25" s="476"/>
      <c r="E25" s="396"/>
      <c r="F25" s="397"/>
      <c r="G25" s="396"/>
      <c r="H25" s="397"/>
      <c r="I25" s="396"/>
      <c r="J25" s="397"/>
      <c r="K25" s="396"/>
      <c r="L25" s="397"/>
      <c r="M25" s="396"/>
      <c r="N25" s="397"/>
    </row>
    <row r="26" spans="2:14" ht="18.75" x14ac:dyDescent="0.2">
      <c r="B26" s="410"/>
      <c r="C26" s="411"/>
      <c r="D26" s="412" t="s">
        <v>1269</v>
      </c>
      <c r="E26" s="459">
        <v>1.972248915815034</v>
      </c>
      <c r="F26" s="460"/>
      <c r="G26" s="459">
        <v>1.972248915815034</v>
      </c>
      <c r="H26" s="460"/>
      <c r="I26" s="459">
        <v>1.972248915815034</v>
      </c>
      <c r="J26" s="460"/>
      <c r="K26" s="459">
        <v>1.972248915815034</v>
      </c>
      <c r="L26" s="460"/>
      <c r="M26" s="459">
        <v>1.972248915815034</v>
      </c>
      <c r="N26" s="460"/>
    </row>
    <row r="27" spans="2:14" ht="18.75" x14ac:dyDescent="0.2">
      <c r="B27" s="407"/>
      <c r="C27" s="408"/>
      <c r="D27" s="399" t="s">
        <v>1270</v>
      </c>
      <c r="E27" s="453">
        <v>1.2899990053570849</v>
      </c>
      <c r="F27" s="454"/>
      <c r="G27" s="453">
        <v>1.2899990053570849</v>
      </c>
      <c r="H27" s="454"/>
      <c r="I27" s="453">
        <v>1.2899990053570849</v>
      </c>
      <c r="J27" s="454"/>
      <c r="K27" s="453">
        <v>1.2899990053570849</v>
      </c>
      <c r="L27" s="454"/>
      <c r="M27" s="453">
        <v>1.2899990053570849</v>
      </c>
      <c r="N27" s="454"/>
    </row>
    <row r="28" spans="2:14" ht="18.75" x14ac:dyDescent="0.2">
      <c r="B28" s="407"/>
      <c r="C28" s="408"/>
      <c r="D28" s="399" t="s">
        <v>1271</v>
      </c>
      <c r="E28" s="453">
        <v>0.50703539090893546</v>
      </c>
      <c r="F28" s="454"/>
      <c r="G28" s="453">
        <v>0.50703539090893546</v>
      </c>
      <c r="H28" s="454"/>
      <c r="I28" s="453">
        <v>0.50703539090893546</v>
      </c>
      <c r="J28" s="454"/>
      <c r="K28" s="453">
        <v>0.50703539090893546</v>
      </c>
      <c r="L28" s="454"/>
      <c r="M28" s="453">
        <v>0.50703539090893546</v>
      </c>
      <c r="N28" s="454"/>
    </row>
    <row r="29" spans="2:14" x14ac:dyDescent="0.2">
      <c r="B29" s="413">
        <v>0</v>
      </c>
      <c r="C29" s="414">
        <v>0</v>
      </c>
      <c r="D29" s="414">
        <v>0</v>
      </c>
      <c r="E29" s="414"/>
      <c r="F29" s="415"/>
      <c r="G29" s="414"/>
      <c r="H29" s="415"/>
      <c r="I29" s="414">
        <v>0</v>
      </c>
      <c r="J29" s="415">
        <v>0</v>
      </c>
      <c r="K29" s="414"/>
      <c r="L29" s="415"/>
      <c r="M29" s="414"/>
      <c r="N29" s="415"/>
    </row>
  </sheetData>
  <mergeCells count="85">
    <mergeCell ref="K28:L28"/>
    <mergeCell ref="K21:L21"/>
    <mergeCell ref="K22:L22"/>
    <mergeCell ref="K23:L23"/>
    <mergeCell ref="K26:L26"/>
    <mergeCell ref="K27:L27"/>
    <mergeCell ref="K14:L14"/>
    <mergeCell ref="K15:L15"/>
    <mergeCell ref="K16:L16"/>
    <mergeCell ref="K17:L17"/>
    <mergeCell ref="K18:L18"/>
    <mergeCell ref="K2:L2"/>
    <mergeCell ref="K3:L3"/>
    <mergeCell ref="K4:L4"/>
    <mergeCell ref="K5:L5"/>
    <mergeCell ref="K6:L6"/>
    <mergeCell ref="B8:D8"/>
    <mergeCell ref="E14:F14"/>
    <mergeCell ref="B2:D2"/>
    <mergeCell ref="E2:F2"/>
    <mergeCell ref="G2:H2"/>
    <mergeCell ref="B3:C6"/>
    <mergeCell ref="E3:F3"/>
    <mergeCell ref="G3:H3"/>
    <mergeCell ref="E4:F4"/>
    <mergeCell ref="G4:H4"/>
    <mergeCell ref="E5:F5"/>
    <mergeCell ref="G5:H5"/>
    <mergeCell ref="E6:F6"/>
    <mergeCell ref="G6:H6"/>
    <mergeCell ref="G14:H14"/>
    <mergeCell ref="E16:F16"/>
    <mergeCell ref="G16:H16"/>
    <mergeCell ref="E17:F17"/>
    <mergeCell ref="G17:H17"/>
    <mergeCell ref="E15:F15"/>
    <mergeCell ref="G15:H15"/>
    <mergeCell ref="E18:F18"/>
    <mergeCell ref="G18:H18"/>
    <mergeCell ref="E28:F28"/>
    <mergeCell ref="G28:H28"/>
    <mergeCell ref="B20:D20"/>
    <mergeCell ref="E21:F21"/>
    <mergeCell ref="G21:H21"/>
    <mergeCell ref="E22:F22"/>
    <mergeCell ref="G22:H22"/>
    <mergeCell ref="E23:F23"/>
    <mergeCell ref="G23:H23"/>
    <mergeCell ref="B25:D25"/>
    <mergeCell ref="E26:F26"/>
    <mergeCell ref="G26:H26"/>
    <mergeCell ref="E27:F27"/>
    <mergeCell ref="G27:H27"/>
    <mergeCell ref="I2:J2"/>
    <mergeCell ref="I3:J3"/>
    <mergeCell ref="I4:J4"/>
    <mergeCell ref="I5:J5"/>
    <mergeCell ref="I6:J6"/>
    <mergeCell ref="I14:J14"/>
    <mergeCell ref="I15:J15"/>
    <mergeCell ref="I16:J16"/>
    <mergeCell ref="I17:J17"/>
    <mergeCell ref="I18:J18"/>
    <mergeCell ref="I28:J28"/>
    <mergeCell ref="I21:J21"/>
    <mergeCell ref="I22:J22"/>
    <mergeCell ref="I23:J23"/>
    <mergeCell ref="I26:J26"/>
    <mergeCell ref="I27:J27"/>
    <mergeCell ref="M2:N2"/>
    <mergeCell ref="M3:N3"/>
    <mergeCell ref="M4:N4"/>
    <mergeCell ref="M5:N5"/>
    <mergeCell ref="M6:N6"/>
    <mergeCell ref="M14:N14"/>
    <mergeCell ref="M15:N15"/>
    <mergeCell ref="M16:N16"/>
    <mergeCell ref="M17:N17"/>
    <mergeCell ref="M18:N18"/>
    <mergeCell ref="M28:N28"/>
    <mergeCell ref="M21:N21"/>
    <mergeCell ref="M22:N22"/>
    <mergeCell ref="M23:N23"/>
    <mergeCell ref="M26:N26"/>
    <mergeCell ref="M27:N2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31FC-B406-44A1-8FC7-E719F558167D}">
  <sheetPr codeName="Planilha11">
    <tabColor rgb="FF1851D6"/>
  </sheetPr>
  <dimension ref="A1:T940"/>
  <sheetViews>
    <sheetView topLeftCell="B1" zoomScale="85" zoomScaleNormal="85" workbookViewId="0">
      <selection activeCell="F12" sqref="F12"/>
    </sheetView>
  </sheetViews>
  <sheetFormatPr defaultColWidth="14.42578125" defaultRowHeight="15" customHeight="1" x14ac:dyDescent="0.25"/>
  <cols>
    <col min="1" max="1" width="10" style="332" hidden="1" customWidth="1"/>
    <col min="2" max="2" width="50.7109375" style="332" bestFit="1" customWidth="1"/>
    <col min="3" max="3" width="19.42578125" style="332" bestFit="1" customWidth="1"/>
    <col min="4" max="4" width="15.5703125" style="335" bestFit="1" customWidth="1"/>
    <col min="5" max="5" width="18.140625" style="335" customWidth="1"/>
    <col min="6" max="6" width="55.42578125" style="335" bestFit="1" customWidth="1"/>
    <col min="7" max="7" width="16.140625" style="332" customWidth="1"/>
    <col min="8" max="8" width="13.140625" style="332" bestFit="1" customWidth="1"/>
    <col min="9" max="9" width="26.140625" style="332" customWidth="1"/>
    <col min="10" max="17" width="9.140625" style="332" customWidth="1"/>
    <col min="18" max="16384" width="14.42578125" style="332"/>
  </cols>
  <sheetData>
    <row r="1" spans="1:16" ht="22.5" customHeight="1" thickBot="1" x14ac:dyDescent="0.3">
      <c r="A1" s="347" t="s">
        <v>1089</v>
      </c>
      <c r="B1" s="347" t="s">
        <v>887</v>
      </c>
      <c r="C1" s="347" t="s">
        <v>888</v>
      </c>
      <c r="D1" s="348" t="s">
        <v>802</v>
      </c>
      <c r="E1" s="355" t="s">
        <v>889</v>
      </c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</row>
    <row r="2" spans="1:16" ht="22.5" customHeight="1" thickBot="1" x14ac:dyDescent="0.3">
      <c r="A2" s="349" t="s">
        <v>1090</v>
      </c>
      <c r="B2" s="350" t="s">
        <v>890</v>
      </c>
      <c r="C2" s="356">
        <f ca="1">Orçamento!$Z$12</f>
        <v>728402.36797331506</v>
      </c>
      <c r="D2" s="357">
        <f t="shared" ref="D2:D18" ca="1" si="0">C2/C$19</f>
        <v>0.10449596067913527</v>
      </c>
      <c r="E2" s="358">
        <f t="shared" ref="E2:E18" ca="1" si="1">C2/$G$2</f>
        <v>374.84104710884202</v>
      </c>
      <c r="F2" s="331"/>
      <c r="G2" s="417">
        <v>1943.23</v>
      </c>
      <c r="H2" s="416" t="s">
        <v>891</v>
      </c>
      <c r="I2" s="331"/>
      <c r="J2" s="331"/>
      <c r="K2" s="331"/>
      <c r="L2" s="331"/>
      <c r="M2" s="331"/>
      <c r="N2" s="331"/>
      <c r="O2" s="331"/>
      <c r="P2" s="331"/>
    </row>
    <row r="3" spans="1:16" ht="19.5" customHeight="1" x14ac:dyDescent="0.25">
      <c r="A3" s="351" t="s">
        <v>1091</v>
      </c>
      <c r="B3" s="352" t="s">
        <v>892</v>
      </c>
      <c r="C3" s="359">
        <f ca="1">Orçamento!$Z$172</f>
        <v>145568.64503694739</v>
      </c>
      <c r="D3" s="360">
        <f t="shared" ca="1" si="0"/>
        <v>2.0883149309658917E-2</v>
      </c>
      <c r="E3" s="361">
        <f t="shared" ca="1" si="1"/>
        <v>74.91066164939167</v>
      </c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</row>
    <row r="4" spans="1:16" ht="19.5" customHeight="1" x14ac:dyDescent="0.25">
      <c r="A4" s="353" t="s">
        <v>1092</v>
      </c>
      <c r="B4" s="354" t="s">
        <v>893</v>
      </c>
      <c r="C4" s="362">
        <f ca="1">Orçamento!$Z$185+Orçamento!$Z$199</f>
        <v>502193.3223563052</v>
      </c>
      <c r="D4" s="363">
        <f t="shared" ca="1" si="0"/>
        <v>7.2044210691241561E-2</v>
      </c>
      <c r="E4" s="364">
        <f t="shared" ca="1" si="1"/>
        <v>258.43226090391011</v>
      </c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</row>
    <row r="5" spans="1:16" ht="19.5" customHeight="1" x14ac:dyDescent="0.25">
      <c r="A5" s="351" t="s">
        <v>1093</v>
      </c>
      <c r="B5" s="352" t="s">
        <v>894</v>
      </c>
      <c r="C5" s="359">
        <f ca="1">Orçamento!$Z$234</f>
        <v>1352590.9531058811</v>
      </c>
      <c r="D5" s="360">
        <f t="shared" ca="1" si="0"/>
        <v>0.19404150407139292</v>
      </c>
      <c r="E5" s="361">
        <f t="shared" ca="1" si="1"/>
        <v>696.05293923307124</v>
      </c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</row>
    <row r="6" spans="1:16" ht="19.5" customHeight="1" x14ac:dyDescent="0.25">
      <c r="A6" s="353" t="s">
        <v>1093</v>
      </c>
      <c r="B6" s="354" t="s">
        <v>895</v>
      </c>
      <c r="C6" s="362">
        <f ca="1">Orçamento!$Z$662</f>
        <v>261393.66178810003</v>
      </c>
      <c r="D6" s="363">
        <f t="shared" ca="1" si="0"/>
        <v>3.7499303962978264E-2</v>
      </c>
      <c r="E6" s="364">
        <f t="shared" ca="1" si="1"/>
        <v>134.51504031334429</v>
      </c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</row>
    <row r="7" spans="1:16" ht="19.5" customHeight="1" x14ac:dyDescent="0.25">
      <c r="A7" s="351" t="s">
        <v>1094</v>
      </c>
      <c r="B7" s="352" t="s">
        <v>896</v>
      </c>
      <c r="C7" s="359">
        <f ca="1">Orçamento!$Z$973+Orçamento!$Z$1069+Orçamento!$Z$1135+Orçamento!$Z$1957</f>
        <v>641270.51250748651</v>
      </c>
      <c r="D7" s="360">
        <f t="shared" ca="1" si="0"/>
        <v>9.1996101613615489E-2</v>
      </c>
      <c r="E7" s="361">
        <f t="shared" ca="1" si="1"/>
        <v>330.00237362920831</v>
      </c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</row>
    <row r="8" spans="1:16" ht="19.5" customHeight="1" x14ac:dyDescent="0.25">
      <c r="A8" s="353" t="s">
        <v>1095</v>
      </c>
      <c r="B8" s="354" t="s">
        <v>897</v>
      </c>
      <c r="C8" s="365">
        <f ca="1">Orçamento!$Z$1160+Orçamento!$Z$1171+Orçamento!$Z$1191</f>
        <v>323614.15000000002</v>
      </c>
      <c r="D8" s="363">
        <f t="shared" ca="1" si="0"/>
        <v>4.6425400273891818E-2</v>
      </c>
      <c r="E8" s="364">
        <f t="shared" ca="1" si="1"/>
        <v>166.53414675565941</v>
      </c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</row>
    <row r="9" spans="1:16" ht="19.5" customHeight="1" x14ac:dyDescent="0.25">
      <c r="A9" s="351" t="s">
        <v>1096</v>
      </c>
      <c r="B9" s="352" t="s">
        <v>898</v>
      </c>
      <c r="C9" s="359">
        <f ca="1">Orçamento!$Z$806</f>
        <v>175140.610575</v>
      </c>
      <c r="D9" s="360">
        <f t="shared" ca="1" si="0"/>
        <v>2.5125517379750495E-2</v>
      </c>
      <c r="E9" s="361">
        <f t="shared" ca="1" si="1"/>
        <v>90.128605762055955</v>
      </c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</row>
    <row r="10" spans="1:16" ht="19.5" customHeight="1" x14ac:dyDescent="0.25">
      <c r="A10" s="353" t="s">
        <v>1097</v>
      </c>
      <c r="B10" s="354" t="s">
        <v>1030</v>
      </c>
      <c r="C10" s="362">
        <f ca="1">(Orçamento!$Z$1210)</f>
        <v>397235.17496869533</v>
      </c>
      <c r="D10" s="363">
        <f t="shared" ca="1" si="0"/>
        <v>5.6987007523592925E-2</v>
      </c>
      <c r="E10" s="364">
        <f t="shared" ca="1" si="1"/>
        <v>204.42005062123133</v>
      </c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</row>
    <row r="11" spans="1:16" ht="19.5" customHeight="1" x14ac:dyDescent="0.25">
      <c r="A11" s="352">
        <v>10</v>
      </c>
      <c r="B11" s="352" t="s">
        <v>899</v>
      </c>
      <c r="C11" s="359">
        <f ca="1">Orçamento!$Z$1369</f>
        <v>128940.65852424</v>
      </c>
      <c r="D11" s="360">
        <f t="shared" ca="1" si="0"/>
        <v>1.8497713043657216E-2</v>
      </c>
      <c r="E11" s="361">
        <f t="shared" ca="1" si="1"/>
        <v>66.353781345615289</v>
      </c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</row>
    <row r="12" spans="1:16" ht="19.5" customHeight="1" x14ac:dyDescent="0.25">
      <c r="A12" s="354">
        <v>11</v>
      </c>
      <c r="B12" s="354" t="s">
        <v>1029</v>
      </c>
      <c r="C12" s="362">
        <f ca="1">Orçamento!$Z$1456</f>
        <v>446389.87919478002</v>
      </c>
      <c r="D12" s="363">
        <f t="shared" ca="1" si="0"/>
        <v>6.4038697998316435E-2</v>
      </c>
      <c r="E12" s="364">
        <f t="shared" ca="1" si="1"/>
        <v>229.71541155436054</v>
      </c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</row>
    <row r="13" spans="1:16" ht="19.5" customHeight="1" x14ac:dyDescent="0.25">
      <c r="A13" s="352">
        <v>12</v>
      </c>
      <c r="B13" s="352" t="s">
        <v>900</v>
      </c>
      <c r="C13" s="359">
        <f ca="1">Orçamento!$Z$1726</f>
        <v>303208.12447620806</v>
      </c>
      <c r="D13" s="360">
        <f t="shared" ca="1" si="0"/>
        <v>4.3497969866595675E-2</v>
      </c>
      <c r="E13" s="361">
        <f t="shared" ca="1" si="1"/>
        <v>156.03306066508239</v>
      </c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</row>
    <row r="14" spans="1:16" ht="19.5" customHeight="1" x14ac:dyDescent="0.25">
      <c r="A14" s="354">
        <v>13</v>
      </c>
      <c r="B14" s="354" t="s">
        <v>901</v>
      </c>
      <c r="C14" s="362">
        <f ca="1">Orçamento!$Z$1837</f>
        <v>578274.82909065823</v>
      </c>
      <c r="D14" s="363">
        <f t="shared" ca="1" si="0"/>
        <v>8.2958796482941757E-2</v>
      </c>
      <c r="E14" s="364">
        <f t="shared" ca="1" si="1"/>
        <v>297.584346212573</v>
      </c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</row>
    <row r="15" spans="1:16" ht="19.5" customHeight="1" x14ac:dyDescent="0.25">
      <c r="A15" s="352">
        <v>14</v>
      </c>
      <c r="B15" s="352" t="s">
        <v>902</v>
      </c>
      <c r="C15" s="359">
        <f ca="1">Orçamento!$Z$2061</f>
        <v>38853.540965000007</v>
      </c>
      <c r="D15" s="360">
        <f t="shared" ca="1" si="0"/>
        <v>5.5738946871086385E-3</v>
      </c>
      <c r="E15" s="361">
        <f t="shared" ca="1" si="1"/>
        <v>19.994308941813376</v>
      </c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</row>
    <row r="16" spans="1:16" ht="19.5" customHeight="1" x14ac:dyDescent="0.25">
      <c r="A16" s="354">
        <v>15</v>
      </c>
      <c r="B16" s="354" t="s">
        <v>903</v>
      </c>
      <c r="C16" s="362">
        <f ca="1">Orçamento!$Z$2089</f>
        <v>365385.57022599998</v>
      </c>
      <c r="D16" s="363">
        <f t="shared" ca="1" si="0"/>
        <v>5.2417891343892888E-2</v>
      </c>
      <c r="E16" s="364">
        <f t="shared" ca="1" si="1"/>
        <v>188.03001714979698</v>
      </c>
      <c r="F16" s="331"/>
      <c r="G16" s="331"/>
      <c r="H16" s="331"/>
      <c r="I16" s="331"/>
      <c r="J16" s="331"/>
      <c r="K16" s="331"/>
      <c r="L16" s="331"/>
      <c r="M16" s="331"/>
      <c r="N16" s="331"/>
      <c r="O16" s="331"/>
      <c r="P16" s="331"/>
    </row>
    <row r="17" spans="1:16" ht="19.5" customHeight="1" x14ac:dyDescent="0.25">
      <c r="A17" s="352">
        <v>16</v>
      </c>
      <c r="B17" s="352" t="s">
        <v>904</v>
      </c>
      <c r="C17" s="359">
        <f ca="1">Orçamento!$Z$2121</f>
        <v>442752.48802539997</v>
      </c>
      <c r="D17" s="360">
        <f t="shared" ca="1" si="0"/>
        <v>6.351688107222965E-2</v>
      </c>
      <c r="E17" s="361">
        <f t="shared" ca="1" si="1"/>
        <v>227.8435841487626</v>
      </c>
      <c r="F17" s="331"/>
      <c r="G17" s="331"/>
      <c r="H17" s="331"/>
      <c r="I17" s="331"/>
      <c r="J17" s="331"/>
      <c r="K17" s="331"/>
      <c r="L17" s="331"/>
      <c r="M17" s="331"/>
      <c r="N17" s="331"/>
      <c r="O17" s="331"/>
      <c r="P17" s="331"/>
    </row>
    <row r="18" spans="1:16" ht="19.5" customHeight="1" x14ac:dyDescent="0.25">
      <c r="A18" s="366">
        <v>17</v>
      </c>
      <c r="B18" s="366" t="s">
        <v>905</v>
      </c>
      <c r="C18" s="362">
        <f ca="1">Orçamento!$Z$2143</f>
        <v>139412.54058804107</v>
      </c>
      <c r="D18" s="367">
        <f t="shared" ca="1" si="0"/>
        <v>1.9999999999999987E-2</v>
      </c>
      <c r="E18" s="368">
        <f t="shared" ca="1" si="1"/>
        <v>71.742686448871765</v>
      </c>
      <c r="F18" s="331"/>
      <c r="G18" s="331"/>
      <c r="H18" s="331"/>
      <c r="I18" s="331"/>
      <c r="J18" s="331"/>
      <c r="K18" s="331"/>
      <c r="L18" s="331"/>
      <c r="M18" s="331"/>
      <c r="N18" s="331"/>
      <c r="O18" s="331"/>
      <c r="P18" s="331"/>
    </row>
    <row r="19" spans="1:16" ht="19.5" customHeight="1" x14ac:dyDescent="0.25">
      <c r="A19" s="347"/>
      <c r="B19" s="347" t="s">
        <v>906</v>
      </c>
      <c r="C19" s="369">
        <f ca="1">SUM(C2:C18)</f>
        <v>6970627.0294020586</v>
      </c>
      <c r="D19" s="370">
        <f ca="1">SUM(D2:D18)</f>
        <v>1</v>
      </c>
      <c r="E19" s="355">
        <f ca="1">SUM(E2:E18)</f>
        <v>3587.13432244359</v>
      </c>
      <c r="F19" s="334"/>
      <c r="G19" s="331"/>
      <c r="H19" s="331"/>
      <c r="I19" s="331"/>
      <c r="J19" s="331"/>
      <c r="K19" s="331"/>
      <c r="L19" s="331"/>
      <c r="M19" s="331"/>
      <c r="N19" s="331"/>
      <c r="O19" s="331"/>
      <c r="P19" s="331"/>
    </row>
    <row r="20" spans="1:16" ht="19.5" customHeight="1" x14ac:dyDescent="0.25">
      <c r="A20" s="347"/>
      <c r="B20" s="347" t="s">
        <v>907</v>
      </c>
      <c r="C20" s="371">
        <v>2758.46</v>
      </c>
      <c r="D20" s="372" t="s">
        <v>908</v>
      </c>
      <c r="E20" s="373">
        <f ca="1">+E19/C20</f>
        <v>1.3004119408813577</v>
      </c>
      <c r="F20" s="334"/>
      <c r="G20" s="331"/>
      <c r="H20" s="331"/>
      <c r="I20" s="331"/>
      <c r="J20" s="331"/>
      <c r="K20" s="331"/>
      <c r="L20" s="331"/>
      <c r="M20" s="331"/>
      <c r="N20" s="331"/>
      <c r="O20" s="331"/>
      <c r="P20" s="331"/>
    </row>
    <row r="21" spans="1:16" ht="22.5" customHeight="1" x14ac:dyDescent="0.25">
      <c r="A21" s="331"/>
      <c r="B21" s="331"/>
      <c r="C21" s="331"/>
      <c r="D21" s="333"/>
      <c r="E21" s="333"/>
      <c r="F21" s="331"/>
      <c r="G21" s="331"/>
      <c r="H21" s="331"/>
      <c r="I21" s="331"/>
      <c r="J21" s="331"/>
      <c r="K21" s="331"/>
      <c r="L21" s="331"/>
      <c r="M21" s="331"/>
      <c r="N21" s="331"/>
      <c r="O21" s="331"/>
      <c r="P21" s="331"/>
    </row>
    <row r="22" spans="1:16" ht="19.5" customHeight="1" x14ac:dyDescent="0.25">
      <c r="A22" s="331"/>
      <c r="B22" s="331"/>
      <c r="C22" s="331"/>
      <c r="D22" s="333"/>
      <c r="E22" s="333"/>
      <c r="F22" s="331"/>
      <c r="G22" s="331"/>
      <c r="H22" s="331"/>
      <c r="I22" s="331"/>
      <c r="J22" s="331"/>
      <c r="K22" s="331"/>
      <c r="L22" s="331"/>
      <c r="M22" s="331"/>
      <c r="N22" s="331"/>
      <c r="O22" s="331"/>
      <c r="P22" s="331"/>
    </row>
    <row r="23" spans="1:16" ht="19.5" customHeight="1" x14ac:dyDescent="0.25">
      <c r="A23" s="347" t="s">
        <v>1089</v>
      </c>
      <c r="B23" s="347" t="s">
        <v>887</v>
      </c>
      <c r="C23" s="347" t="s">
        <v>888</v>
      </c>
      <c r="D23" s="348" t="s">
        <v>802</v>
      </c>
      <c r="E23" s="355" t="s">
        <v>889</v>
      </c>
      <c r="F23" s="331"/>
      <c r="G23" s="331"/>
      <c r="H23" s="331"/>
      <c r="I23" s="331"/>
      <c r="J23" s="331"/>
      <c r="K23" s="331"/>
      <c r="L23" s="331"/>
      <c r="M23" s="331"/>
      <c r="N23" s="331"/>
      <c r="O23" s="331"/>
      <c r="P23" s="331"/>
    </row>
    <row r="24" spans="1:16" ht="19.5" customHeight="1" x14ac:dyDescent="0.25">
      <c r="A24" s="349" t="s">
        <v>1090</v>
      </c>
      <c r="B24" s="350" t="s">
        <v>890</v>
      </c>
      <c r="C24" s="356">
        <f ca="1">Orçamento!$Z$12</f>
        <v>728402.36797331506</v>
      </c>
      <c r="D24" s="357">
        <f t="shared" ref="D24:D41" ca="1" si="2">C24/C$42</f>
        <v>0.10449596067913527</v>
      </c>
      <c r="E24" s="358">
        <f ca="1">C24/$G$2</f>
        <v>374.84104710884202</v>
      </c>
      <c r="F24" s="429" t="s">
        <v>894</v>
      </c>
      <c r="G24" s="430">
        <f ca="1">D27</f>
        <v>0.19404150407139292</v>
      </c>
      <c r="H24" s="331"/>
      <c r="I24" s="331"/>
      <c r="J24" s="331"/>
      <c r="K24" s="331"/>
      <c r="L24" s="331"/>
      <c r="M24" s="331"/>
      <c r="N24" s="331"/>
      <c r="O24" s="331"/>
      <c r="P24" s="331"/>
    </row>
    <row r="25" spans="1:16" ht="19.5" customHeight="1" x14ac:dyDescent="0.25">
      <c r="A25" s="351" t="s">
        <v>1091</v>
      </c>
      <c r="B25" s="352" t="s">
        <v>892</v>
      </c>
      <c r="C25" s="359">
        <f ca="1">Orçamento!$Z$172</f>
        <v>145568.64503694739</v>
      </c>
      <c r="D25" s="360">
        <f t="shared" ca="1" si="2"/>
        <v>2.0883149309658917E-2</v>
      </c>
      <c r="E25" s="361">
        <f t="shared" ref="E25:E41" ca="1" si="3">C25/$G$2</f>
        <v>74.91066164939167</v>
      </c>
      <c r="F25" s="429" t="s">
        <v>890</v>
      </c>
      <c r="G25" s="430">
        <f ca="1">D24</f>
        <v>0.10449596067913527</v>
      </c>
      <c r="H25" s="331"/>
      <c r="I25" s="331"/>
      <c r="J25" s="331"/>
      <c r="K25" s="331"/>
      <c r="L25" s="331"/>
      <c r="M25" s="331"/>
      <c r="N25" s="331"/>
      <c r="O25" s="331"/>
      <c r="P25" s="331"/>
    </row>
    <row r="26" spans="1:16" ht="19.5" customHeight="1" x14ac:dyDescent="0.25">
      <c r="A26" s="353" t="s">
        <v>1092</v>
      </c>
      <c r="B26" s="354" t="s">
        <v>893</v>
      </c>
      <c r="C26" s="362">
        <f ca="1">Orçamento!$Z$185+Orçamento!$Z$199</f>
        <v>502193.3223563052</v>
      </c>
      <c r="D26" s="363">
        <f t="shared" ca="1" si="2"/>
        <v>7.2044210691241561E-2</v>
      </c>
      <c r="E26" s="364">
        <f t="shared" ca="1" si="3"/>
        <v>258.43226090391011</v>
      </c>
      <c r="F26" s="331" t="s">
        <v>901</v>
      </c>
      <c r="G26" s="430">
        <f ca="1">D36</f>
        <v>8.2958796482941757E-2</v>
      </c>
      <c r="H26" s="331"/>
      <c r="I26" s="331"/>
      <c r="J26" s="331"/>
      <c r="K26" s="331"/>
      <c r="L26" s="331"/>
      <c r="M26" s="331"/>
      <c r="N26" s="331"/>
      <c r="O26" s="331"/>
      <c r="P26" s="331"/>
    </row>
    <row r="27" spans="1:16" ht="19.5" customHeight="1" x14ac:dyDescent="0.25">
      <c r="A27" s="351" t="s">
        <v>1093</v>
      </c>
      <c r="B27" s="352" t="s">
        <v>894</v>
      </c>
      <c r="C27" s="359">
        <f ca="1">Orçamento!$Z$234</f>
        <v>1352590.9531058811</v>
      </c>
      <c r="D27" s="360">
        <f t="shared" ca="1" si="2"/>
        <v>0.19404150407139292</v>
      </c>
      <c r="E27" s="361">
        <f t="shared" ca="1" si="3"/>
        <v>696.05293923307124</v>
      </c>
      <c r="F27" s="331" t="s">
        <v>896</v>
      </c>
      <c r="G27" s="430">
        <f ca="1">D29</f>
        <v>7.9680478408142685E-2</v>
      </c>
      <c r="H27" s="331"/>
      <c r="I27" s="331"/>
      <c r="J27" s="331"/>
      <c r="K27" s="331"/>
      <c r="L27" s="331"/>
      <c r="M27" s="331"/>
      <c r="N27" s="331"/>
      <c r="O27" s="331"/>
      <c r="P27" s="331"/>
    </row>
    <row r="28" spans="1:16" ht="19.5" customHeight="1" x14ac:dyDescent="0.25">
      <c r="A28" s="353" t="s">
        <v>1093</v>
      </c>
      <c r="B28" s="354" t="s">
        <v>895</v>
      </c>
      <c r="C28" s="362">
        <f ca="1">Orçamento!$Z$662</f>
        <v>261393.66178810003</v>
      </c>
      <c r="D28" s="363">
        <f t="shared" ca="1" si="2"/>
        <v>3.7499303962978264E-2</v>
      </c>
      <c r="E28" s="364">
        <f t="shared" ca="1" si="3"/>
        <v>134.51504031334429</v>
      </c>
      <c r="F28" s="331" t="s">
        <v>893</v>
      </c>
      <c r="G28" s="430">
        <f ca="1">D26</f>
        <v>7.2044210691241561E-2</v>
      </c>
      <c r="H28" s="331"/>
      <c r="I28" s="331"/>
      <c r="J28" s="331"/>
      <c r="K28" s="331"/>
      <c r="L28" s="331"/>
      <c r="M28" s="331"/>
      <c r="N28" s="331"/>
      <c r="O28" s="331"/>
      <c r="P28" s="331"/>
    </row>
    <row r="29" spans="1:16" ht="19.5" customHeight="1" x14ac:dyDescent="0.25">
      <c r="A29" s="351" t="s">
        <v>1094</v>
      </c>
      <c r="B29" s="352" t="s">
        <v>896</v>
      </c>
      <c r="C29" s="359">
        <f ca="1">Orçamento!$Z$973+Orçamento!$Z$1069+Orçamento!$Z$1135</f>
        <v>555422.89650748647</v>
      </c>
      <c r="D29" s="360">
        <f t="shared" ca="1" si="2"/>
        <v>7.9680478408142685E-2</v>
      </c>
      <c r="E29" s="361">
        <f t="shared" ca="1" si="3"/>
        <v>285.82457892657402</v>
      </c>
      <c r="F29" s="331" t="s">
        <v>1029</v>
      </c>
      <c r="G29" s="430">
        <f ca="1">D34</f>
        <v>6.4038697998316435E-2</v>
      </c>
      <c r="H29" s="331"/>
      <c r="I29" s="331"/>
      <c r="J29" s="331"/>
      <c r="K29" s="331"/>
      <c r="L29" s="331"/>
      <c r="M29" s="331"/>
      <c r="N29" s="331"/>
      <c r="O29" s="331"/>
      <c r="P29" s="331"/>
    </row>
    <row r="30" spans="1:16" ht="19.5" customHeight="1" x14ac:dyDescent="0.25">
      <c r="A30" s="353" t="s">
        <v>1095</v>
      </c>
      <c r="B30" s="354" t="s">
        <v>897</v>
      </c>
      <c r="C30" s="365">
        <f ca="1">Orçamento!$Z$1160+Orçamento!$Z$1171+Orçamento!$Z$1191</f>
        <v>323614.15000000002</v>
      </c>
      <c r="D30" s="363">
        <f t="shared" ca="1" si="2"/>
        <v>4.6425400273891818E-2</v>
      </c>
      <c r="E30" s="364">
        <f t="shared" ca="1" si="3"/>
        <v>166.53414675565941</v>
      </c>
      <c r="F30" s="331"/>
      <c r="G30" s="431"/>
      <c r="H30" s="331"/>
      <c r="I30" s="331"/>
      <c r="J30" s="331"/>
      <c r="K30" s="331"/>
      <c r="L30" s="331"/>
      <c r="M30" s="331"/>
      <c r="N30" s="331"/>
      <c r="O30" s="331"/>
      <c r="P30" s="331"/>
    </row>
    <row r="31" spans="1:16" ht="19.5" customHeight="1" x14ac:dyDescent="0.25">
      <c r="A31" s="351" t="s">
        <v>1096</v>
      </c>
      <c r="B31" s="352" t="s">
        <v>898</v>
      </c>
      <c r="C31" s="359">
        <f ca="1">Orçamento!$Z$806</f>
        <v>175140.610575</v>
      </c>
      <c r="D31" s="360">
        <f t="shared" ca="1" si="2"/>
        <v>2.5125517379750495E-2</v>
      </c>
      <c r="E31" s="361">
        <f t="shared" ca="1" si="3"/>
        <v>90.128605762055955</v>
      </c>
      <c r="F31" s="331"/>
      <c r="G31" s="331"/>
      <c r="H31" s="331"/>
      <c r="I31" s="331"/>
      <c r="J31" s="331"/>
      <c r="K31" s="331"/>
      <c r="L31" s="331"/>
      <c r="M31" s="331"/>
      <c r="N31" s="331"/>
      <c r="O31" s="331"/>
      <c r="P31" s="331"/>
    </row>
    <row r="32" spans="1:16" ht="19.5" customHeight="1" x14ac:dyDescent="0.25">
      <c r="A32" s="353" t="s">
        <v>1097</v>
      </c>
      <c r="B32" s="354" t="s">
        <v>1030</v>
      </c>
      <c r="C32" s="362">
        <f ca="1">(Orçamento!$Z$1210)</f>
        <v>397235.17496869533</v>
      </c>
      <c r="D32" s="363">
        <f t="shared" ca="1" si="2"/>
        <v>5.6987007523592925E-2</v>
      </c>
      <c r="E32" s="364">
        <f t="shared" ca="1" si="3"/>
        <v>204.42005062123133</v>
      </c>
      <c r="F32" s="331"/>
      <c r="G32" s="331"/>
      <c r="H32" s="331"/>
      <c r="I32" s="331"/>
      <c r="J32" s="331"/>
      <c r="K32" s="331"/>
      <c r="L32" s="331"/>
      <c r="M32" s="331"/>
      <c r="N32" s="331"/>
      <c r="O32" s="331"/>
      <c r="P32" s="331"/>
    </row>
    <row r="33" spans="1:20" ht="19.5" customHeight="1" x14ac:dyDescent="0.25">
      <c r="A33" s="352">
        <v>10</v>
      </c>
      <c r="B33" s="352" t="s">
        <v>899</v>
      </c>
      <c r="C33" s="359">
        <f ca="1">Orçamento!$Z$1369</f>
        <v>128940.65852424</v>
      </c>
      <c r="D33" s="360">
        <f t="shared" ca="1" si="2"/>
        <v>1.8497713043657216E-2</v>
      </c>
      <c r="E33" s="361">
        <f t="shared" ca="1" si="3"/>
        <v>66.353781345615289</v>
      </c>
      <c r="F33" s="331"/>
      <c r="G33" s="331"/>
      <c r="H33" s="331"/>
      <c r="I33" s="331"/>
      <c r="J33" s="331"/>
      <c r="K33" s="331"/>
      <c r="L33" s="331"/>
      <c r="M33" s="331"/>
      <c r="N33" s="331"/>
      <c r="O33" s="331"/>
      <c r="P33" s="331"/>
    </row>
    <row r="34" spans="1:20" ht="19.5" customHeight="1" x14ac:dyDescent="0.25">
      <c r="A34" s="354">
        <v>11</v>
      </c>
      <c r="B34" s="354" t="s">
        <v>1029</v>
      </c>
      <c r="C34" s="362">
        <f ca="1">Orçamento!$Z$1456</f>
        <v>446389.87919478002</v>
      </c>
      <c r="D34" s="363">
        <f t="shared" ca="1" si="2"/>
        <v>6.4038697998316435E-2</v>
      </c>
      <c r="E34" s="364">
        <f t="shared" ca="1" si="3"/>
        <v>229.71541155436054</v>
      </c>
      <c r="F34" s="331"/>
      <c r="G34" s="331"/>
      <c r="H34" s="331"/>
      <c r="I34" s="331"/>
      <c r="J34" s="331"/>
      <c r="K34" s="331"/>
      <c r="L34" s="331"/>
      <c r="M34" s="331"/>
      <c r="N34" s="331"/>
      <c r="O34" s="331"/>
      <c r="P34" s="331"/>
    </row>
    <row r="35" spans="1:20" ht="19.5" customHeight="1" x14ac:dyDescent="0.25">
      <c r="A35" s="352">
        <v>12</v>
      </c>
      <c r="B35" s="352" t="s">
        <v>900</v>
      </c>
      <c r="C35" s="359">
        <f ca="1">Orçamento!$Z$1726</f>
        <v>303208.12447620806</v>
      </c>
      <c r="D35" s="360">
        <f t="shared" ca="1" si="2"/>
        <v>4.3497969866595675E-2</v>
      </c>
      <c r="E35" s="361">
        <f t="shared" ca="1" si="3"/>
        <v>156.03306066508239</v>
      </c>
      <c r="F35" s="331"/>
      <c r="G35" s="331"/>
      <c r="H35" s="331"/>
      <c r="I35" s="331"/>
      <c r="J35" s="331"/>
      <c r="K35" s="331"/>
      <c r="L35" s="331"/>
      <c r="M35" s="331"/>
      <c r="N35" s="331"/>
      <c r="O35" s="331"/>
      <c r="P35" s="331"/>
    </row>
    <row r="36" spans="1:20" ht="19.5" customHeight="1" x14ac:dyDescent="0.25">
      <c r="A36" s="354">
        <v>13</v>
      </c>
      <c r="B36" s="354" t="s">
        <v>901</v>
      </c>
      <c r="C36" s="362">
        <f ca="1">Orçamento!$Z$1837</f>
        <v>578274.82909065823</v>
      </c>
      <c r="D36" s="363">
        <f t="shared" ca="1" si="2"/>
        <v>8.2958796482941757E-2</v>
      </c>
      <c r="E36" s="364">
        <f t="shared" ca="1" si="3"/>
        <v>297.584346212573</v>
      </c>
      <c r="F36" s="331"/>
      <c r="G36" s="331"/>
      <c r="H36" s="331"/>
      <c r="I36" s="331"/>
      <c r="J36" s="331"/>
      <c r="K36" s="331"/>
      <c r="L36" s="331"/>
      <c r="M36" s="331"/>
      <c r="N36" s="331"/>
      <c r="O36" s="331"/>
      <c r="P36" s="331"/>
    </row>
    <row r="37" spans="1:20" ht="19.5" customHeight="1" x14ac:dyDescent="0.25">
      <c r="A37" s="352">
        <v>14</v>
      </c>
      <c r="B37" s="352" t="s">
        <v>833</v>
      </c>
      <c r="C37" s="359">
        <f ca="1">+Orçamento!$Z$1957</f>
        <v>85847.616000000009</v>
      </c>
      <c r="D37" s="360">
        <f t="shared" ca="1" si="2"/>
        <v>1.2315623205472812E-2</v>
      </c>
      <c r="E37" s="361">
        <f t="shared" ca="1" si="3"/>
        <v>44.17779470263428</v>
      </c>
      <c r="F37" s="331"/>
      <c r="G37" s="331"/>
      <c r="H37" s="331"/>
      <c r="I37" s="331"/>
      <c r="J37" s="331"/>
      <c r="K37" s="331"/>
      <c r="L37" s="331"/>
      <c r="M37" s="331"/>
      <c r="N37" s="331"/>
      <c r="O37" s="331"/>
      <c r="P37" s="331"/>
    </row>
    <row r="38" spans="1:20" ht="19.5" customHeight="1" x14ac:dyDescent="0.25">
      <c r="A38" s="354">
        <v>15</v>
      </c>
      <c r="B38" s="354" t="s">
        <v>902</v>
      </c>
      <c r="C38" s="362">
        <f ca="1">Orçamento!$Z$2061</f>
        <v>38853.540965000007</v>
      </c>
      <c r="D38" s="363">
        <f t="shared" ca="1" si="2"/>
        <v>5.5738946871086385E-3</v>
      </c>
      <c r="E38" s="364">
        <f t="shared" ca="1" si="3"/>
        <v>19.994308941813376</v>
      </c>
      <c r="F38" s="331"/>
      <c r="G38" s="331"/>
      <c r="H38" s="331"/>
      <c r="I38" s="331"/>
      <c r="J38" s="331"/>
      <c r="K38" s="331"/>
      <c r="L38" s="331"/>
      <c r="M38" s="331"/>
      <c r="N38" s="331"/>
      <c r="O38" s="331"/>
      <c r="P38" s="331"/>
    </row>
    <row r="39" spans="1:20" ht="19.5" customHeight="1" x14ac:dyDescent="0.25">
      <c r="A39" s="352">
        <v>16</v>
      </c>
      <c r="B39" s="352" t="s">
        <v>903</v>
      </c>
      <c r="C39" s="359">
        <f ca="1">Orçamento!$Z$2089</f>
        <v>365385.57022599998</v>
      </c>
      <c r="D39" s="360">
        <f t="shared" ca="1" si="2"/>
        <v>5.2417891343892888E-2</v>
      </c>
      <c r="E39" s="361">
        <f t="shared" ca="1" si="3"/>
        <v>188.03001714979698</v>
      </c>
      <c r="F39" s="331"/>
      <c r="G39" s="331"/>
      <c r="H39" s="331"/>
      <c r="I39" s="331"/>
      <c r="J39" s="331"/>
      <c r="K39" s="331"/>
      <c r="L39" s="331"/>
      <c r="M39" s="331"/>
      <c r="N39" s="331"/>
      <c r="O39" s="331"/>
      <c r="P39" s="331"/>
    </row>
    <row r="40" spans="1:20" ht="19.5" customHeight="1" x14ac:dyDescent="0.25">
      <c r="A40" s="366">
        <v>17</v>
      </c>
      <c r="B40" s="366" t="s">
        <v>904</v>
      </c>
      <c r="C40" s="362">
        <f ca="1">Orçamento!$Z$2121</f>
        <v>442752.48802539997</v>
      </c>
      <c r="D40" s="367">
        <f t="shared" ca="1" si="2"/>
        <v>6.351688107222965E-2</v>
      </c>
      <c r="E40" s="368">
        <f t="shared" ca="1" si="3"/>
        <v>227.8435841487626</v>
      </c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/>
    </row>
    <row r="41" spans="1:20" ht="19.5" customHeight="1" x14ac:dyDescent="0.25">
      <c r="A41" s="352">
        <v>18</v>
      </c>
      <c r="B41" s="352" t="s">
        <v>905</v>
      </c>
      <c r="C41" s="359">
        <f ca="1">Orçamento!$Z$2143</f>
        <v>139412.54058804107</v>
      </c>
      <c r="D41" s="360">
        <f t="shared" ca="1" si="2"/>
        <v>1.9999999999999987E-2</v>
      </c>
      <c r="E41" s="361">
        <f t="shared" ca="1" si="3"/>
        <v>71.742686448871765</v>
      </c>
      <c r="F41" s="331"/>
      <c r="G41" s="331"/>
      <c r="H41" s="331"/>
      <c r="I41" s="331"/>
      <c r="J41" s="331"/>
      <c r="K41" s="331"/>
      <c r="L41" s="331"/>
      <c r="M41" s="331"/>
      <c r="N41" s="331"/>
      <c r="O41" s="331"/>
      <c r="P41" s="331"/>
    </row>
    <row r="42" spans="1:20" ht="19.5" customHeight="1" x14ac:dyDescent="0.25">
      <c r="A42" s="347"/>
      <c r="B42" s="348" t="s">
        <v>906</v>
      </c>
      <c r="C42" s="369">
        <f ca="1">SUM(C24:C41)</f>
        <v>6970627.0294020586</v>
      </c>
      <c r="D42" s="370">
        <f ca="1">SUM(D24:D41)</f>
        <v>1.0000000000000002</v>
      </c>
      <c r="E42" s="355">
        <f ca="1">SUM(E24:E41)</f>
        <v>3587.1343224435905</v>
      </c>
      <c r="F42" s="331"/>
      <c r="G42" s="331"/>
      <c r="H42" s="331"/>
      <c r="I42" s="331"/>
      <c r="J42" s="331"/>
      <c r="K42" s="331"/>
      <c r="L42" s="331"/>
      <c r="M42" s="331"/>
      <c r="N42" s="331"/>
      <c r="O42" s="331"/>
      <c r="P42" s="331"/>
    </row>
    <row r="43" spans="1:20" ht="19.5" customHeight="1" x14ac:dyDescent="0.25">
      <c r="A43" s="347"/>
      <c r="B43" s="348" t="s">
        <v>1103</v>
      </c>
      <c r="C43" s="371">
        <v>2758.46</v>
      </c>
      <c r="D43" s="372" t="s">
        <v>908</v>
      </c>
      <c r="E43" s="373">
        <f ca="1">+E42/C43</f>
        <v>1.3004119408813579</v>
      </c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</row>
    <row r="44" spans="1:20" ht="19.5" customHeight="1" x14ac:dyDescent="0.25">
      <c r="A44" s="389"/>
      <c r="B44" s="331"/>
      <c r="C44" s="331"/>
      <c r="D44" s="331"/>
      <c r="E44" s="331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31"/>
    </row>
    <row r="45" spans="1:20" ht="19.5" customHeight="1" x14ac:dyDescent="0.25">
      <c r="A45" s="331"/>
      <c r="B45" s="331"/>
      <c r="C45" s="331"/>
      <c r="D45" s="333"/>
      <c r="E45" s="333"/>
      <c r="F45" s="333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</row>
    <row r="46" spans="1:20" ht="19.5" customHeight="1" x14ac:dyDescent="0.25">
      <c r="A46" s="331"/>
      <c r="B46" s="348" t="s">
        <v>7</v>
      </c>
      <c r="C46" s="433" t="s">
        <v>602</v>
      </c>
      <c r="D46" s="433" t="s">
        <v>1194</v>
      </c>
      <c r="E46" s="433" t="s">
        <v>1223</v>
      </c>
      <c r="F46" s="433" t="s">
        <v>1226</v>
      </c>
      <c r="G46" s="433" t="s">
        <v>1227</v>
      </c>
      <c r="H46" s="355" t="s">
        <v>1195</v>
      </c>
      <c r="I46" s="355" t="s">
        <v>29</v>
      </c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</row>
    <row r="47" spans="1:20" ht="19.5" customHeight="1" x14ac:dyDescent="0.25">
      <c r="A47" s="331"/>
      <c r="B47" s="387" t="str">
        <f>Orçamento!$S$12</f>
        <v xml:space="preserve">   GERENCIAMENTO TÉCNICO E ADMINISTRATIVO</v>
      </c>
      <c r="C47" s="388">
        <v>1269673.5238742952</v>
      </c>
      <c r="D47" s="388">
        <v>710402.36797331506</v>
      </c>
      <c r="E47" s="388">
        <v>710402.36797331506</v>
      </c>
      <c r="F47" s="388">
        <v>728402.36797331506</v>
      </c>
      <c r="G47" s="388">
        <f ca="1">Orçamento!$Z$12</f>
        <v>728402.36797331506</v>
      </c>
      <c r="H47" s="388">
        <f t="shared" ref="H47" ca="1" si="4">G47-F47</f>
        <v>0</v>
      </c>
      <c r="I47" s="388"/>
      <c r="J47" s="331"/>
      <c r="K47" s="331"/>
      <c r="L47" s="331"/>
      <c r="M47" s="331"/>
      <c r="N47" s="331"/>
      <c r="O47" s="331"/>
      <c r="P47" s="331"/>
      <c r="Q47" s="331"/>
      <c r="R47" s="331"/>
      <c r="S47" s="331"/>
      <c r="T47" s="331"/>
    </row>
    <row r="48" spans="1:20" ht="19.5" customHeight="1" x14ac:dyDescent="0.25">
      <c r="A48" s="331"/>
      <c r="B48" s="366" t="str">
        <f>Orçamento!$S$13</f>
        <v xml:space="preserve">   GERENCIAMENTO TÉCNICO</v>
      </c>
      <c r="C48" s="362">
        <v>452085.71084785037</v>
      </c>
      <c r="D48" s="362">
        <v>206833.88932567977</v>
      </c>
      <c r="E48" s="362">
        <v>206833.88932567977</v>
      </c>
      <c r="F48" s="362">
        <v>206833.88932567977</v>
      </c>
      <c r="G48" s="362">
        <f ca="1">Orçamento!$Z$13</f>
        <v>206833.88932567977</v>
      </c>
      <c r="H48" s="362">
        <f ca="1">G48-F48</f>
        <v>0</v>
      </c>
      <c r="I48" s="362"/>
      <c r="J48" s="331"/>
      <c r="K48" s="418">
        <f ca="1">G48/$G$2</f>
        <v>106.43819276445906</v>
      </c>
      <c r="L48" s="331"/>
      <c r="M48" s="331"/>
      <c r="N48" s="331"/>
      <c r="O48" s="331"/>
      <c r="P48" s="331"/>
      <c r="Q48" s="331"/>
      <c r="R48" s="331"/>
      <c r="S48" s="331"/>
      <c r="T48" s="331"/>
    </row>
    <row r="49" spans="1:20" ht="19.5" customHeight="1" x14ac:dyDescent="0.25">
      <c r="A49" s="331"/>
      <c r="B49" s="352" t="str">
        <f>Orçamento!$S$73</f>
        <v xml:space="preserve">   GERENCIAMENTO ADMINISTRATIVO</v>
      </c>
      <c r="C49" s="359">
        <v>817587.81302644487</v>
      </c>
      <c r="D49" s="359">
        <v>503568.47864763526</v>
      </c>
      <c r="E49" s="359">
        <v>503568.47864763526</v>
      </c>
      <c r="F49" s="359">
        <v>521568.47864763526</v>
      </c>
      <c r="G49" s="359">
        <f ca="1">Orçamento!$Z$73</f>
        <v>521568.47864763526</v>
      </c>
      <c r="H49" s="359">
        <f t="shared" ref="H49:H72" ca="1" si="5">G49-F49</f>
        <v>0</v>
      </c>
      <c r="I49" s="359"/>
      <c r="J49" s="331"/>
      <c r="K49" s="418">
        <f ca="1">G49/$G$2</f>
        <v>268.40285434438294</v>
      </c>
      <c r="L49" s="331"/>
      <c r="M49" s="331"/>
      <c r="N49" s="331"/>
      <c r="O49" s="331"/>
      <c r="P49" s="331"/>
      <c r="Q49" s="331"/>
      <c r="R49" s="331"/>
      <c r="S49" s="331"/>
      <c r="T49" s="331"/>
    </row>
    <row r="50" spans="1:20" ht="19.5" customHeight="1" x14ac:dyDescent="0.25">
      <c r="A50" s="331"/>
      <c r="B50" s="387" t="str">
        <f>Orçamento!$S$171</f>
        <v xml:space="preserve">   GERENCIAMENTO EXECUTIVO</v>
      </c>
      <c r="C50" s="388">
        <v>6163401.586698954</v>
      </c>
      <c r="D50" s="388">
        <v>6441972.0631999616</v>
      </c>
      <c r="E50" s="388">
        <v>6226151.1403062949</v>
      </c>
      <c r="F50" s="388">
        <v>6226518.4872450465</v>
      </c>
      <c r="G50" s="388">
        <f ca="1">Orçamento!$Z$171</f>
        <v>6242224.661428743</v>
      </c>
      <c r="H50" s="388">
        <f t="shared" ca="1" si="5"/>
        <v>15706.174183696508</v>
      </c>
      <c r="I50" s="388"/>
      <c r="J50" s="331"/>
      <c r="K50" s="418"/>
      <c r="L50" s="331"/>
      <c r="M50" s="331"/>
      <c r="N50" s="331"/>
      <c r="O50" s="331"/>
      <c r="P50" s="331"/>
      <c r="Q50" s="331"/>
      <c r="R50" s="331"/>
      <c r="S50" s="331"/>
      <c r="T50" s="331"/>
    </row>
    <row r="51" spans="1:20" ht="19.5" customHeight="1" x14ac:dyDescent="0.25">
      <c r="A51" s="331"/>
      <c r="B51" s="366" t="str">
        <f>Orçamento!$S$172</f>
        <v xml:space="preserve">   MOVIMENTAÇÃO DE TERRA</v>
      </c>
      <c r="C51" s="362">
        <v>40912.877978023113</v>
      </c>
      <c r="D51" s="362">
        <v>145568.64503694739</v>
      </c>
      <c r="E51" s="362">
        <v>145568.64503694739</v>
      </c>
      <c r="F51" s="362">
        <v>145568.64503694739</v>
      </c>
      <c r="G51" s="362">
        <f ca="1">Orçamento!$Z$172</f>
        <v>145568.64503694739</v>
      </c>
      <c r="H51" s="362">
        <f t="shared" ca="1" si="5"/>
        <v>0</v>
      </c>
      <c r="I51" s="362"/>
      <c r="J51" s="331"/>
      <c r="K51" s="418">
        <f t="shared" ref="K51:K62" ca="1" si="6">G51/$G$2</f>
        <v>74.91066164939167</v>
      </c>
      <c r="L51" s="331"/>
      <c r="M51" s="331"/>
      <c r="N51" s="331"/>
      <c r="O51" s="331"/>
      <c r="P51" s="331"/>
      <c r="Q51" s="331"/>
      <c r="R51" s="331"/>
      <c r="S51" s="331"/>
      <c r="T51" s="331"/>
    </row>
    <row r="52" spans="1:20" ht="19.5" customHeight="1" x14ac:dyDescent="0.25">
      <c r="A52" s="331"/>
      <c r="B52" s="352" t="str">
        <f>Orçamento!$S$185</f>
        <v xml:space="preserve">   INFRAESTRUTURA</v>
      </c>
      <c r="C52" s="359">
        <v>235826.98183930878</v>
      </c>
      <c r="D52" s="359">
        <v>348459.09126132214</v>
      </c>
      <c r="E52" s="359">
        <v>348459.09126132214</v>
      </c>
      <c r="F52" s="359">
        <v>348459.09126132214</v>
      </c>
      <c r="G52" s="359">
        <f ca="1">Orçamento!$Z$185</f>
        <v>348459.09126132214</v>
      </c>
      <c r="H52" s="359">
        <f t="shared" ca="1" si="5"/>
        <v>0</v>
      </c>
      <c r="I52" s="359"/>
      <c r="J52" s="331"/>
      <c r="K52" s="418">
        <f t="shared" ca="1" si="6"/>
        <v>179.31953050401762</v>
      </c>
      <c r="L52" s="331"/>
      <c r="M52" s="331"/>
      <c r="N52" s="331"/>
      <c r="O52" s="331"/>
      <c r="P52" s="331"/>
      <c r="Q52" s="331"/>
      <c r="R52" s="331"/>
      <c r="S52" s="331"/>
      <c r="T52" s="331"/>
    </row>
    <row r="53" spans="1:20" ht="19.5" customHeight="1" x14ac:dyDescent="0.25">
      <c r="A53" s="331"/>
      <c r="B53" s="366" t="str">
        <f>Orçamento!$S$199</f>
        <v xml:space="preserve">   CONTENÇÕES</v>
      </c>
      <c r="C53" s="362">
        <v>120929.91055390866</v>
      </c>
      <c r="D53" s="362">
        <v>156045.96383605467</v>
      </c>
      <c r="E53" s="362">
        <v>153734.23109498306</v>
      </c>
      <c r="F53" s="362">
        <v>153734.23109498306</v>
      </c>
      <c r="G53" s="362">
        <f ca="1">Orçamento!$Z$199</f>
        <v>153734.23109498306</v>
      </c>
      <c r="H53" s="362">
        <f t="shared" ca="1" si="5"/>
        <v>0</v>
      </c>
      <c r="I53" s="362"/>
      <c r="J53" s="418"/>
      <c r="K53" s="418">
        <f t="shared" ca="1" si="6"/>
        <v>79.11273039989247</v>
      </c>
      <c r="L53" s="331"/>
      <c r="M53" s="331"/>
      <c r="N53" s="331"/>
      <c r="O53" s="331"/>
      <c r="P53" s="331"/>
      <c r="Q53" s="331"/>
      <c r="R53" s="331"/>
      <c r="S53" s="331"/>
      <c r="T53" s="331"/>
    </row>
    <row r="54" spans="1:20" ht="19.5" customHeight="1" x14ac:dyDescent="0.25">
      <c r="A54" s="331"/>
      <c r="B54" s="352" t="str">
        <f>Orçamento!$S$234</f>
        <v xml:space="preserve">   SUPRAESTRUTURA</v>
      </c>
      <c r="C54" s="359">
        <v>1486970.6893167507</v>
      </c>
      <c r="D54" s="359">
        <v>1395555.6336402793</v>
      </c>
      <c r="E54" s="359">
        <v>1352590.9531058811</v>
      </c>
      <c r="F54" s="359">
        <v>1352590.9531058811</v>
      </c>
      <c r="G54" s="359">
        <f ca="1">Orçamento!$Z$234</f>
        <v>1352590.9531058811</v>
      </c>
      <c r="H54" s="359">
        <f t="shared" ca="1" si="5"/>
        <v>0</v>
      </c>
      <c r="I54" s="359"/>
      <c r="J54" s="418"/>
      <c r="K54" s="418">
        <f t="shared" ca="1" si="6"/>
        <v>696.05293923307124</v>
      </c>
      <c r="L54" s="331"/>
      <c r="M54" s="331"/>
      <c r="N54" s="331"/>
      <c r="O54" s="331"/>
      <c r="P54" s="331"/>
      <c r="Q54" s="331"/>
      <c r="R54" s="331"/>
      <c r="S54" s="331"/>
      <c r="T54" s="331"/>
    </row>
    <row r="55" spans="1:20" ht="19.5" customHeight="1" x14ac:dyDescent="0.25">
      <c r="A55" s="331"/>
      <c r="B55" s="366" t="str">
        <f>Orçamento!$S$662</f>
        <v xml:space="preserve">   ALVENARIA | VEDAÇÕES | DIVISÓRIAS</v>
      </c>
      <c r="C55" s="362">
        <v>260075.20117460002</v>
      </c>
      <c r="D55" s="362">
        <v>261393.66178810003</v>
      </c>
      <c r="E55" s="362">
        <v>261393.66178810003</v>
      </c>
      <c r="F55" s="362">
        <v>261393.66178810003</v>
      </c>
      <c r="G55" s="362">
        <f ca="1">Orçamento!$Z$662</f>
        <v>261393.66178810003</v>
      </c>
      <c r="H55" s="362">
        <f t="shared" ca="1" si="5"/>
        <v>0</v>
      </c>
      <c r="I55" s="362"/>
      <c r="J55" s="418"/>
      <c r="K55" s="418">
        <f t="shared" ca="1" si="6"/>
        <v>134.51504031334429</v>
      </c>
      <c r="L55" s="331"/>
      <c r="M55" s="331"/>
      <c r="N55" s="331"/>
      <c r="O55" s="331"/>
      <c r="P55" s="331"/>
      <c r="Q55" s="331"/>
      <c r="R55" s="331"/>
      <c r="S55" s="331"/>
      <c r="T55" s="331"/>
    </row>
    <row r="56" spans="1:20" ht="19.5" customHeight="1" x14ac:dyDescent="0.25">
      <c r="A56" s="331"/>
      <c r="B56" s="352" t="str">
        <f>Orçamento!$S$806</f>
        <v xml:space="preserve">   IMPERMEABILIZAÇÃO E TRATAMENTOS</v>
      </c>
      <c r="C56" s="359">
        <v>132506.86213722354</v>
      </c>
      <c r="D56" s="359">
        <v>175140.610575</v>
      </c>
      <c r="E56" s="359">
        <v>175140.610575</v>
      </c>
      <c r="F56" s="359">
        <v>175140.610575</v>
      </c>
      <c r="G56" s="359">
        <f ca="1">Orçamento!$Z$806</f>
        <v>175140.610575</v>
      </c>
      <c r="H56" s="359">
        <f t="shared" ca="1" si="5"/>
        <v>0</v>
      </c>
      <c r="I56" s="359"/>
      <c r="J56" s="418"/>
      <c r="K56" s="418">
        <f t="shared" ca="1" si="6"/>
        <v>90.128605762055955</v>
      </c>
      <c r="L56" s="331"/>
      <c r="M56" s="331"/>
      <c r="N56" s="331"/>
      <c r="O56" s="331"/>
      <c r="P56" s="331"/>
      <c r="Q56" s="331"/>
      <c r="R56" s="331"/>
      <c r="S56" s="331"/>
      <c r="T56" s="331"/>
    </row>
    <row r="57" spans="1:20" ht="19.5" customHeight="1" x14ac:dyDescent="0.25">
      <c r="A57" s="331"/>
      <c r="B57" s="366" t="str">
        <f>Orçamento!$S$973</f>
        <v xml:space="preserve">   SISTEMAS E INSTALAÇÕES ELÉTRICAS</v>
      </c>
      <c r="C57" s="362">
        <v>340562.94650748651</v>
      </c>
      <c r="D57" s="362">
        <v>340562.94650748651</v>
      </c>
      <c r="E57" s="362">
        <v>340562.94650748651</v>
      </c>
      <c r="F57" s="362">
        <v>340562.94650748651</v>
      </c>
      <c r="G57" s="362">
        <f ca="1">Orçamento!$Z$973</f>
        <v>340562.94650748651</v>
      </c>
      <c r="H57" s="362">
        <f t="shared" ca="1" si="5"/>
        <v>0</v>
      </c>
      <c r="I57" s="362"/>
      <c r="J57" s="418"/>
      <c r="K57" s="418">
        <f t="shared" ca="1" si="6"/>
        <v>175.25611816794023</v>
      </c>
      <c r="L57" s="331"/>
      <c r="M57" s="331"/>
      <c r="N57" s="331"/>
      <c r="O57" s="331"/>
      <c r="P57" s="331"/>
      <c r="Q57" s="331"/>
      <c r="R57" s="331"/>
      <c r="S57" s="331"/>
      <c r="T57" s="331"/>
    </row>
    <row r="58" spans="1:20" ht="19.5" customHeight="1" x14ac:dyDescent="0.25">
      <c r="A58" s="331"/>
      <c r="B58" s="352" t="str">
        <f>Orçamento!$S$1069</f>
        <v xml:space="preserve">   SISTEMAS E INSTALAÇÕES HIDROSSANITÁRIAS | DRENAGEM</v>
      </c>
      <c r="C58" s="359">
        <v>175995.34999999998</v>
      </c>
      <c r="D58" s="359">
        <v>175995.34999999998</v>
      </c>
      <c r="E58" s="359">
        <v>175995.34999999998</v>
      </c>
      <c r="F58" s="359">
        <v>175995.34999999998</v>
      </c>
      <c r="G58" s="359">
        <f ca="1">Orçamento!$Z$1069</f>
        <v>175995.34999999998</v>
      </c>
      <c r="H58" s="359">
        <f t="shared" ca="1" si="5"/>
        <v>0</v>
      </c>
      <c r="I58" s="359"/>
      <c r="J58" s="418"/>
      <c r="K58" s="418">
        <f t="shared" ca="1" si="6"/>
        <v>90.568460758633805</v>
      </c>
      <c r="L58" s="331"/>
      <c r="M58" s="331"/>
      <c r="N58" s="331"/>
      <c r="O58" s="331"/>
      <c r="P58" s="331"/>
      <c r="Q58" s="331"/>
      <c r="R58" s="331"/>
      <c r="S58" s="331"/>
      <c r="T58" s="331"/>
    </row>
    <row r="59" spans="1:20" ht="19.5" customHeight="1" x14ac:dyDescent="0.25">
      <c r="A59" s="331"/>
      <c r="B59" s="366" t="str">
        <f>Orçamento!$S$1135</f>
        <v xml:space="preserve">   INSTALAÇÕES PREVENTIVAS</v>
      </c>
      <c r="C59" s="362">
        <v>38864.6</v>
      </c>
      <c r="D59" s="362">
        <v>38864.6</v>
      </c>
      <c r="E59" s="362">
        <v>38864.6</v>
      </c>
      <c r="F59" s="362">
        <v>38864.6</v>
      </c>
      <c r="G59" s="362">
        <f ca="1">Orçamento!$Z$1135</f>
        <v>38864.6</v>
      </c>
      <c r="H59" s="362">
        <f t="shared" ca="1" si="5"/>
        <v>0</v>
      </c>
      <c r="I59" s="362"/>
      <c r="J59" s="418"/>
      <c r="K59" s="418">
        <f t="shared" ca="1" si="6"/>
        <v>20</v>
      </c>
      <c r="L59" s="331"/>
      <c r="M59" s="331"/>
      <c r="N59" s="331"/>
      <c r="O59" s="331"/>
      <c r="P59" s="331"/>
      <c r="Q59" s="331"/>
      <c r="R59" s="331"/>
      <c r="S59" s="331"/>
      <c r="T59" s="331"/>
    </row>
    <row r="60" spans="1:20" ht="19.5" customHeight="1" x14ac:dyDescent="0.25">
      <c r="A60" s="331"/>
      <c r="B60" s="352" t="str">
        <f>Orçamento!$S$1160</f>
        <v xml:space="preserve">   INSTALAÇÕES DE COMUNICAÇÕES</v>
      </c>
      <c r="C60" s="359">
        <v>24852.07</v>
      </c>
      <c r="D60" s="359">
        <v>17079.150000000001</v>
      </c>
      <c r="E60" s="359">
        <v>17079.150000000001</v>
      </c>
      <c r="F60" s="359">
        <v>17079.150000000001</v>
      </c>
      <c r="G60" s="359">
        <f ca="1">Orçamento!$Z$1160</f>
        <v>17079.150000000001</v>
      </c>
      <c r="H60" s="359">
        <f t="shared" ca="1" si="5"/>
        <v>0</v>
      </c>
      <c r="I60" s="359"/>
      <c r="J60" s="418"/>
      <c r="K60" s="418">
        <f t="shared" ca="1" si="6"/>
        <v>8.7890522480612177</v>
      </c>
      <c r="L60" s="331"/>
      <c r="M60" s="331"/>
      <c r="N60" s="331"/>
      <c r="O60" s="331"/>
      <c r="P60" s="331"/>
      <c r="Q60" s="331"/>
      <c r="R60" s="331"/>
      <c r="S60" s="331"/>
      <c r="T60" s="331"/>
    </row>
    <row r="61" spans="1:20" ht="19.5" customHeight="1" x14ac:dyDescent="0.25">
      <c r="A61" s="331"/>
      <c r="B61" s="366" t="str">
        <f>Orçamento!$S$1171</f>
        <v xml:space="preserve">   EQUIPAMENTOS E SISTEMAS ESPECIAIS</v>
      </c>
      <c r="C61" s="362">
        <v>253095</v>
      </c>
      <c r="D61" s="362">
        <v>253095</v>
      </c>
      <c r="E61" s="362">
        <v>253095</v>
      </c>
      <c r="F61" s="362">
        <v>253095</v>
      </c>
      <c r="G61" s="362">
        <f ca="1">Orçamento!$Z$1171</f>
        <v>253095</v>
      </c>
      <c r="H61" s="362">
        <f t="shared" ca="1" si="5"/>
        <v>0</v>
      </c>
      <c r="I61" s="362"/>
      <c r="J61" s="418"/>
      <c r="K61" s="418">
        <f t="shared" ca="1" si="6"/>
        <v>130.24448984422841</v>
      </c>
      <c r="L61" s="331"/>
      <c r="M61" s="331"/>
      <c r="N61" s="331"/>
      <c r="O61" s="331"/>
      <c r="P61" s="331"/>
      <c r="Q61" s="331"/>
      <c r="R61" s="331"/>
      <c r="S61" s="331"/>
      <c r="T61" s="331"/>
    </row>
    <row r="62" spans="1:20" ht="19.5" customHeight="1" x14ac:dyDescent="0.25">
      <c r="A62" s="331"/>
      <c r="B62" s="352" t="str">
        <f>Orçamento!$S$1191</f>
        <v xml:space="preserve">   CLIMATIZAÇÃO </v>
      </c>
      <c r="C62" s="359">
        <v>53440</v>
      </c>
      <c r="D62" s="359">
        <v>53440</v>
      </c>
      <c r="E62" s="359">
        <v>53440</v>
      </c>
      <c r="F62" s="359">
        <v>53440</v>
      </c>
      <c r="G62" s="359">
        <f ca="1">Orçamento!$Z$1191</f>
        <v>53440</v>
      </c>
      <c r="H62" s="359">
        <f t="shared" ca="1" si="5"/>
        <v>0</v>
      </c>
      <c r="I62" s="359"/>
      <c r="J62" s="418"/>
      <c r="K62" s="418">
        <f t="shared" ca="1" si="6"/>
        <v>27.500604663369749</v>
      </c>
      <c r="L62" s="331"/>
      <c r="M62" s="331"/>
      <c r="N62" s="331"/>
      <c r="O62" s="331"/>
      <c r="P62" s="331"/>
      <c r="Q62" s="331"/>
      <c r="R62" s="331"/>
      <c r="S62" s="331"/>
      <c r="T62" s="331"/>
    </row>
    <row r="63" spans="1:20" ht="19.5" customHeight="1" x14ac:dyDescent="0.25">
      <c r="A63" s="331"/>
      <c r="B63" s="366" t="str">
        <f>Orçamento!$S$1210</f>
        <v xml:space="preserve">   REVESTIMENTOS INTERNOS DE PAREDE</v>
      </c>
      <c r="C63" s="362">
        <v>377413.29722831887</v>
      </c>
      <c r="D63" s="362">
        <v>381843.12426869536</v>
      </c>
      <c r="E63" s="362">
        <v>381843.12426869536</v>
      </c>
      <c r="F63" s="362">
        <v>381843.12426869536</v>
      </c>
      <c r="G63" s="362">
        <f ca="1">Orçamento!$Z$1210</f>
        <v>397235.17496869533</v>
      </c>
      <c r="H63" s="362">
        <f t="shared" ca="1" si="5"/>
        <v>15392.050699999963</v>
      </c>
      <c r="I63" s="362" t="s">
        <v>1228</v>
      </c>
      <c r="J63" s="418"/>
      <c r="K63" s="418">
        <f ca="1">G63/$G$2</f>
        <v>204.42005062123133</v>
      </c>
      <c r="L63" s="331"/>
      <c r="M63" s="331"/>
      <c r="N63" s="331"/>
      <c r="O63" s="331"/>
      <c r="P63" s="331"/>
      <c r="Q63" s="331"/>
      <c r="R63" s="331"/>
      <c r="S63" s="331"/>
      <c r="T63" s="331"/>
    </row>
    <row r="64" spans="1:20" ht="19.5" customHeight="1" x14ac:dyDescent="0.25">
      <c r="A64" s="331"/>
      <c r="B64" s="352" t="str">
        <f>Orçamento!$S$1369</f>
        <v xml:space="preserve">   REVESTIMENTOS E ACABAMENTOS INTERNOS EM TETO</v>
      </c>
      <c r="C64" s="359">
        <v>103795.887512</v>
      </c>
      <c r="D64" s="359">
        <v>128940.65852424</v>
      </c>
      <c r="E64" s="359">
        <v>128940.65852424</v>
      </c>
      <c r="F64" s="359">
        <v>128940.65852424</v>
      </c>
      <c r="G64" s="359">
        <f ca="1">Orçamento!$Z$1369</f>
        <v>128940.65852424</v>
      </c>
      <c r="H64" s="359">
        <f t="shared" ca="1" si="5"/>
        <v>0</v>
      </c>
      <c r="I64" s="359"/>
      <c r="J64" s="418"/>
      <c r="K64" s="418">
        <f t="shared" ref="K64:K72" ca="1" si="7">G64/$G$2</f>
        <v>66.353781345615289</v>
      </c>
      <c r="L64" s="331"/>
      <c r="M64" s="331"/>
      <c r="N64" s="331"/>
      <c r="O64" s="331"/>
      <c r="P64" s="331"/>
      <c r="Q64" s="331"/>
      <c r="R64" s="331"/>
      <c r="S64" s="331"/>
      <c r="T64" s="331"/>
    </row>
    <row r="65" spans="1:20" ht="19.5" customHeight="1" x14ac:dyDescent="0.25">
      <c r="A65" s="331"/>
      <c r="B65" s="366" t="str">
        <f>Orçamento!$S$1456</f>
        <v xml:space="preserve">   PISOS E PAVIMENTAÇÕES</v>
      </c>
      <c r="C65" s="362">
        <v>436046.38662053819</v>
      </c>
      <c r="D65" s="362">
        <v>446389.87919478002</v>
      </c>
      <c r="E65" s="362">
        <v>446389.87919478002</v>
      </c>
      <c r="F65" s="362">
        <v>446389.87919478002</v>
      </c>
      <c r="G65" s="362">
        <f ca="1">Orçamento!$Z$1456</f>
        <v>446389.87919478002</v>
      </c>
      <c r="H65" s="362">
        <f t="shared" ca="1" si="5"/>
        <v>0</v>
      </c>
      <c r="I65" s="362"/>
      <c r="J65" s="418"/>
      <c r="K65" s="418">
        <f t="shared" ca="1" si="7"/>
        <v>229.71541155436054</v>
      </c>
      <c r="L65" s="331"/>
      <c r="M65" s="331"/>
      <c r="N65" s="331"/>
      <c r="O65" s="331"/>
      <c r="P65" s="331"/>
      <c r="Q65" s="331"/>
      <c r="R65" s="331"/>
      <c r="S65" s="331"/>
      <c r="T65" s="331"/>
    </row>
    <row r="66" spans="1:20" ht="19.5" customHeight="1" x14ac:dyDescent="0.25">
      <c r="A66" s="331"/>
      <c r="B66" s="352" t="str">
        <f>Orçamento!$S$1726</f>
        <v xml:space="preserve">   SISTEMAS DE PINTURA INTERNA</v>
      </c>
      <c r="C66" s="359">
        <v>268226.49969292543</v>
      </c>
      <c r="D66" s="359">
        <v>303208.12447620806</v>
      </c>
      <c r="E66" s="359">
        <v>303208.12447620806</v>
      </c>
      <c r="F66" s="359">
        <v>303208.12447620806</v>
      </c>
      <c r="G66" s="359">
        <f ca="1">Orçamento!$Z$1726</f>
        <v>303208.12447620806</v>
      </c>
      <c r="H66" s="359">
        <f t="shared" ca="1" si="5"/>
        <v>0</v>
      </c>
      <c r="I66" s="359"/>
      <c r="J66" s="418"/>
      <c r="K66" s="418">
        <f t="shared" ca="1" si="7"/>
        <v>156.03306066508239</v>
      </c>
      <c r="L66" s="331"/>
      <c r="M66" s="331"/>
      <c r="N66" s="331"/>
      <c r="O66" s="331"/>
      <c r="P66" s="331"/>
      <c r="Q66" s="331"/>
      <c r="R66" s="331"/>
      <c r="S66" s="331"/>
      <c r="T66" s="331"/>
    </row>
    <row r="67" spans="1:20" ht="19.5" x14ac:dyDescent="0.25">
      <c r="A67" s="331"/>
      <c r="B67" s="366" t="str">
        <f>Orçamento!$S$1837</f>
        <v xml:space="preserve">   ESQUADRIAS - VIDROS E FERRAGENS</v>
      </c>
      <c r="C67" s="362">
        <v>782141.6602509832</v>
      </c>
      <c r="D67" s="362">
        <v>744502.92025098309</v>
      </c>
      <c r="E67" s="362">
        <v>578274.82909065823</v>
      </c>
      <c r="F67" s="362">
        <v>578274.82909065823</v>
      </c>
      <c r="G67" s="362">
        <f ca="1">Orçamento!$Z$1837</f>
        <v>578274.82909065823</v>
      </c>
      <c r="H67" s="362">
        <f t="shared" ca="1" si="5"/>
        <v>0</v>
      </c>
      <c r="I67" s="428"/>
      <c r="J67" s="418"/>
      <c r="K67" s="418">
        <f t="shared" ca="1" si="7"/>
        <v>297.584346212573</v>
      </c>
      <c r="L67" s="331"/>
      <c r="M67" s="331"/>
      <c r="N67" s="331"/>
      <c r="O67" s="331"/>
      <c r="P67" s="331"/>
      <c r="Q67" s="331"/>
      <c r="R67" s="331"/>
      <c r="S67" s="331"/>
      <c r="T67" s="331"/>
    </row>
    <row r="68" spans="1:20" ht="19.5" customHeight="1" x14ac:dyDescent="0.25">
      <c r="A68" s="331"/>
      <c r="B68" s="352" t="str">
        <f>Orçamento!$S$1957</f>
        <v xml:space="preserve">   LOUÇAS E METAIS</v>
      </c>
      <c r="C68" s="359">
        <v>79571.616000000009</v>
      </c>
      <c r="D68" s="359">
        <v>85847.616000000009</v>
      </c>
      <c r="E68" s="359">
        <v>85847.616000000009</v>
      </c>
      <c r="F68" s="359">
        <v>85847.616000000009</v>
      </c>
      <c r="G68" s="359">
        <f ca="1">Orçamento!$Z$1957</f>
        <v>85847.616000000009</v>
      </c>
      <c r="H68" s="359">
        <f t="shared" ca="1" si="5"/>
        <v>0</v>
      </c>
      <c r="I68" s="359"/>
      <c r="J68" s="418"/>
      <c r="K68" s="418">
        <f t="shared" ca="1" si="7"/>
        <v>44.17779470263428</v>
      </c>
      <c r="L68" s="331"/>
      <c r="M68" s="331"/>
      <c r="N68" s="331"/>
      <c r="O68" s="331"/>
      <c r="P68" s="331"/>
      <c r="Q68" s="331"/>
      <c r="R68" s="331"/>
      <c r="S68" s="331"/>
      <c r="T68" s="331"/>
    </row>
    <row r="69" spans="1:20" ht="19.5" customHeight="1" x14ac:dyDescent="0.25">
      <c r="A69" s="331"/>
      <c r="B69" s="366" t="str">
        <f>Orçamento!$S$2061</f>
        <v xml:space="preserve">   COBERTURA</v>
      </c>
      <c r="C69" s="362">
        <v>37703.540965000007</v>
      </c>
      <c r="D69" s="362">
        <v>38853.540965000007</v>
      </c>
      <c r="E69" s="362">
        <v>38853.540965000007</v>
      </c>
      <c r="F69" s="362">
        <v>38853.540965000007</v>
      </c>
      <c r="G69" s="362">
        <f ca="1">Orçamento!$Z$2061</f>
        <v>38853.540965000007</v>
      </c>
      <c r="H69" s="362">
        <f t="shared" ca="1" si="5"/>
        <v>0</v>
      </c>
      <c r="I69" s="362"/>
      <c r="J69" s="418"/>
      <c r="K69" s="418">
        <f t="shared" ca="1" si="7"/>
        <v>19.994308941813376</v>
      </c>
      <c r="L69" s="331"/>
      <c r="M69" s="331"/>
      <c r="N69" s="331"/>
      <c r="O69" s="331"/>
      <c r="P69" s="331"/>
      <c r="Q69" s="331"/>
      <c r="R69" s="331"/>
      <c r="S69" s="331"/>
      <c r="T69" s="331"/>
    </row>
    <row r="70" spans="1:20" ht="19.5" customHeight="1" x14ac:dyDescent="0.25">
      <c r="A70" s="331"/>
      <c r="B70" s="352" t="str">
        <f>Orçamento!$S$2089</f>
        <v xml:space="preserve">   REVESTIMENTOS E ACABAMENTOS DE FACHADA</v>
      </c>
      <c r="C70" s="359">
        <v>346056.21868502133</v>
      </c>
      <c r="D70" s="359">
        <v>365385.57022599998</v>
      </c>
      <c r="E70" s="359">
        <v>365385.57022599998</v>
      </c>
      <c r="F70" s="359">
        <v>365385.57022599998</v>
      </c>
      <c r="G70" s="359">
        <f ca="1">Orçamento!$Z$2089</f>
        <v>365385.57022599998</v>
      </c>
      <c r="H70" s="359">
        <f t="shared" ca="1" si="5"/>
        <v>0</v>
      </c>
      <c r="I70" s="359"/>
      <c r="J70" s="418"/>
      <c r="K70" s="418">
        <f t="shared" ca="1" si="7"/>
        <v>188.03001714979698</v>
      </c>
      <c r="L70" s="331"/>
      <c r="M70" s="331"/>
      <c r="N70" s="331"/>
      <c r="O70" s="331"/>
      <c r="P70" s="331"/>
      <c r="Q70" s="331"/>
      <c r="R70" s="331"/>
      <c r="S70" s="331"/>
      <c r="T70" s="331"/>
    </row>
    <row r="71" spans="1:20" ht="19.5" customHeight="1" x14ac:dyDescent="0.25">
      <c r="A71" s="331"/>
      <c r="B71" s="366" t="str">
        <f>Orçamento!$S$2121</f>
        <v xml:space="preserve">   SERVIÇOS COMPLEMENTARES E FINAIS</v>
      </c>
      <c r="C71" s="362">
        <v>419752.48802539997</v>
      </c>
      <c r="D71" s="362">
        <v>442752.48802539997</v>
      </c>
      <c r="E71" s="362">
        <v>442752.48802539997</v>
      </c>
      <c r="F71" s="362">
        <v>442752.48802539997</v>
      </c>
      <c r="G71" s="362">
        <f ca="1">Orçamento!$Z$2121</f>
        <v>442752.48802539997</v>
      </c>
      <c r="H71" s="362">
        <f t="shared" ca="1" si="5"/>
        <v>0</v>
      </c>
      <c r="I71" s="362"/>
      <c r="J71" s="418"/>
      <c r="K71" s="418">
        <f t="shared" ca="1" si="7"/>
        <v>227.8435841487626</v>
      </c>
      <c r="L71" s="331"/>
      <c r="M71" s="331"/>
      <c r="N71" s="331"/>
      <c r="O71" s="331"/>
      <c r="P71" s="331"/>
      <c r="Q71" s="331"/>
      <c r="R71" s="331"/>
      <c r="S71" s="331"/>
      <c r="T71" s="331"/>
    </row>
    <row r="72" spans="1:20" ht="19.5" customHeight="1" x14ac:dyDescent="0.25">
      <c r="A72" s="331"/>
      <c r="B72" s="352" t="str">
        <f>Orçamento!$S$2143</f>
        <v xml:space="preserve">   IMPREVISTOS E CONTINGÊNCIAS </v>
      </c>
      <c r="C72" s="359">
        <v>148661.50221146486</v>
      </c>
      <c r="D72" s="359">
        <v>143047.4886234655</v>
      </c>
      <c r="E72" s="359">
        <v>138731.0701655921</v>
      </c>
      <c r="F72" s="359">
        <v>139098.41710434412</v>
      </c>
      <c r="G72" s="359">
        <f ca="1">Orçamento!$Z$2143</f>
        <v>139412.54058804107</v>
      </c>
      <c r="H72" s="359">
        <f t="shared" ca="1" si="5"/>
        <v>314.12348369695246</v>
      </c>
      <c r="I72" s="359"/>
      <c r="J72" s="418"/>
      <c r="K72" s="418">
        <f t="shared" ca="1" si="7"/>
        <v>71.742686448871765</v>
      </c>
      <c r="L72" s="331"/>
      <c r="M72" s="331"/>
      <c r="N72" s="331"/>
      <c r="O72" s="331"/>
      <c r="P72" s="331"/>
      <c r="Q72" s="331"/>
      <c r="R72" s="331"/>
      <c r="S72" s="331"/>
      <c r="T72" s="331"/>
    </row>
    <row r="73" spans="1:20" ht="19.5" customHeight="1" x14ac:dyDescent="0.25">
      <c r="A73" s="331"/>
      <c r="B73" s="348" t="s">
        <v>906</v>
      </c>
      <c r="C73" s="369">
        <v>7433075.1105732499</v>
      </c>
      <c r="D73" s="369">
        <f>SUM(D47:D72)/2</f>
        <v>7152374.431173279</v>
      </c>
      <c r="E73" s="369">
        <v>6936553.5082796095</v>
      </c>
      <c r="F73" s="369">
        <v>6954920.8552183621</v>
      </c>
      <c r="G73" s="369">
        <f ca="1">SUM(G47:G72)/2</f>
        <v>6970627.0294020586</v>
      </c>
      <c r="H73" s="369">
        <f ca="1">SUM(H47:H72)/2</f>
        <v>15706.174183696712</v>
      </c>
      <c r="I73" s="369"/>
      <c r="J73" s="331"/>
      <c r="K73" s="331"/>
      <c r="L73" s="331"/>
      <c r="M73" s="331"/>
      <c r="N73" s="331"/>
      <c r="O73" s="331"/>
      <c r="P73" s="331"/>
      <c r="Q73" s="331"/>
      <c r="R73" s="331"/>
      <c r="S73" s="331"/>
      <c r="T73" s="331"/>
    </row>
    <row r="74" spans="1:20" ht="19.5" customHeight="1" x14ac:dyDescent="0.25">
      <c r="A74" s="331"/>
      <c r="B74" s="331"/>
      <c r="C74" s="331"/>
      <c r="D74" s="331"/>
      <c r="E74" s="333"/>
      <c r="F74" s="333"/>
      <c r="G74" s="333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</row>
    <row r="75" spans="1:20" ht="19.5" customHeight="1" x14ac:dyDescent="0.25">
      <c r="A75" s="331"/>
      <c r="B75" s="331"/>
      <c r="C75" s="331"/>
      <c r="D75" s="333"/>
      <c r="E75" s="333"/>
      <c r="F75" s="333"/>
      <c r="G75" s="418"/>
      <c r="H75" s="430">
        <f ca="1">H73/F73</f>
        <v>2.2582822307621485E-3</v>
      </c>
      <c r="I75" s="331"/>
      <c r="J75" s="331"/>
      <c r="K75" s="331"/>
      <c r="L75" s="331"/>
      <c r="M75" s="331"/>
      <c r="N75" s="331"/>
      <c r="O75" s="331"/>
      <c r="P75" s="331"/>
      <c r="Q75" s="331"/>
    </row>
    <row r="76" spans="1:20" ht="19.5" customHeight="1" x14ac:dyDescent="0.25">
      <c r="A76" s="331"/>
      <c r="B76" s="331"/>
      <c r="C76" s="331"/>
      <c r="D76" s="333"/>
      <c r="E76" s="333"/>
      <c r="F76" s="333"/>
      <c r="G76" s="430"/>
      <c r="H76" s="331"/>
      <c r="I76" s="331"/>
      <c r="J76" s="331"/>
      <c r="K76" s="331"/>
      <c r="L76" s="331"/>
      <c r="M76" s="331"/>
      <c r="N76" s="331"/>
      <c r="O76" s="331"/>
      <c r="P76" s="331"/>
      <c r="Q76" s="331"/>
    </row>
    <row r="77" spans="1:20" ht="19.5" customHeight="1" x14ac:dyDescent="0.25">
      <c r="A77" s="331"/>
      <c r="B77" s="331"/>
      <c r="C77" s="331"/>
      <c r="D77" s="333"/>
      <c r="E77" s="333"/>
      <c r="F77" s="333"/>
      <c r="G77" s="434"/>
      <c r="H77" s="331"/>
      <c r="I77" s="331"/>
      <c r="J77" s="331"/>
      <c r="K77" s="331"/>
      <c r="L77" s="331"/>
      <c r="M77" s="331"/>
      <c r="N77" s="331"/>
      <c r="O77" s="331"/>
      <c r="P77" s="331"/>
      <c r="Q77" s="331"/>
    </row>
    <row r="78" spans="1:20" ht="19.5" customHeight="1" x14ac:dyDescent="0.25">
      <c r="A78" s="331"/>
      <c r="B78" s="331"/>
      <c r="C78" s="331"/>
      <c r="D78" s="333"/>
      <c r="E78" s="333"/>
      <c r="F78" s="333"/>
      <c r="G78" s="331"/>
      <c r="H78" s="331"/>
      <c r="I78" s="331"/>
      <c r="J78" s="331"/>
      <c r="K78" s="331"/>
      <c r="L78" s="331"/>
      <c r="M78" s="331"/>
      <c r="N78" s="331"/>
      <c r="O78" s="331"/>
      <c r="P78" s="331"/>
      <c r="Q78" s="331"/>
    </row>
    <row r="79" spans="1:20" ht="19.5" customHeight="1" x14ac:dyDescent="0.25">
      <c r="A79" s="331"/>
      <c r="B79" s="331"/>
      <c r="C79" s="331"/>
      <c r="D79" s="333"/>
      <c r="E79" s="333"/>
      <c r="F79" s="333"/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</row>
    <row r="80" spans="1:20" ht="19.5" customHeight="1" x14ac:dyDescent="0.25">
      <c r="A80" s="331"/>
      <c r="B80" s="331"/>
      <c r="C80" s="331"/>
      <c r="D80" s="333"/>
      <c r="E80" s="333"/>
      <c r="F80" s="333"/>
      <c r="G80" s="331"/>
      <c r="H80" s="331"/>
      <c r="I80" s="331"/>
      <c r="J80" s="331"/>
      <c r="K80" s="331"/>
      <c r="L80" s="331"/>
      <c r="M80" s="331"/>
      <c r="N80" s="331"/>
      <c r="O80" s="331"/>
      <c r="P80" s="331"/>
      <c r="Q80" s="331"/>
    </row>
    <row r="81" spans="1:17" ht="19.5" customHeight="1" x14ac:dyDescent="0.25">
      <c r="A81" s="331"/>
      <c r="B81" s="331"/>
      <c r="C81" s="331"/>
      <c r="D81" s="333"/>
      <c r="E81" s="333"/>
      <c r="F81" s="333"/>
      <c r="G81" s="331"/>
      <c r="H81" s="331"/>
      <c r="I81" s="331"/>
      <c r="J81" s="331"/>
      <c r="K81" s="331"/>
      <c r="L81" s="331"/>
      <c r="M81" s="331"/>
      <c r="N81" s="331"/>
      <c r="O81" s="331"/>
      <c r="P81" s="331"/>
      <c r="Q81" s="331"/>
    </row>
    <row r="82" spans="1:17" ht="19.5" customHeight="1" x14ac:dyDescent="0.25">
      <c r="A82" s="331"/>
      <c r="B82" s="331"/>
      <c r="C82" s="331"/>
      <c r="D82" s="333"/>
      <c r="E82" s="333"/>
      <c r="F82" s="333"/>
      <c r="G82" s="331"/>
      <c r="H82" s="331"/>
      <c r="I82" s="331"/>
      <c r="J82" s="331"/>
      <c r="K82" s="331"/>
      <c r="L82" s="331"/>
      <c r="M82" s="331"/>
      <c r="N82" s="331"/>
      <c r="O82" s="331"/>
      <c r="P82" s="331"/>
      <c r="Q82" s="331"/>
    </row>
    <row r="83" spans="1:17" ht="19.5" customHeight="1" x14ac:dyDescent="0.25">
      <c r="A83" s="331"/>
      <c r="B83" s="331"/>
      <c r="C83" s="331"/>
      <c r="D83" s="333"/>
      <c r="E83" s="333"/>
      <c r="F83" s="333"/>
      <c r="G83" s="331"/>
      <c r="H83" s="331"/>
      <c r="I83" s="331"/>
      <c r="J83" s="331"/>
      <c r="K83" s="331"/>
      <c r="L83" s="331"/>
      <c r="M83" s="331"/>
      <c r="N83" s="331"/>
      <c r="O83" s="331"/>
      <c r="P83" s="331"/>
      <c r="Q83" s="331"/>
    </row>
    <row r="84" spans="1:17" ht="19.5" customHeight="1" x14ac:dyDescent="0.25">
      <c r="A84" s="331"/>
      <c r="B84" s="331"/>
      <c r="C84" s="331"/>
      <c r="D84" s="333"/>
      <c r="E84" s="333"/>
      <c r="F84" s="333"/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</row>
    <row r="85" spans="1:17" ht="19.5" customHeight="1" x14ac:dyDescent="0.25">
      <c r="A85" s="331"/>
      <c r="B85" s="331"/>
      <c r="C85" s="331"/>
      <c r="D85" s="333"/>
      <c r="E85" s="333"/>
      <c r="F85" s="333"/>
      <c r="G85" s="331"/>
      <c r="H85" s="331"/>
      <c r="I85" s="331"/>
      <c r="J85" s="331"/>
      <c r="K85" s="331"/>
      <c r="L85" s="331"/>
      <c r="M85" s="331"/>
      <c r="N85" s="331"/>
      <c r="O85" s="331"/>
      <c r="P85" s="331"/>
      <c r="Q85" s="331"/>
    </row>
    <row r="86" spans="1:17" ht="19.5" customHeight="1" x14ac:dyDescent="0.25">
      <c r="A86" s="331"/>
      <c r="B86" s="331"/>
      <c r="C86" s="331"/>
      <c r="D86" s="333"/>
      <c r="E86" s="333"/>
      <c r="F86" s="333"/>
      <c r="G86" s="331"/>
      <c r="H86" s="331"/>
      <c r="I86" s="331"/>
      <c r="J86" s="331"/>
      <c r="K86" s="331"/>
      <c r="L86" s="331"/>
      <c r="M86" s="331"/>
      <c r="N86" s="331"/>
      <c r="O86" s="331"/>
      <c r="P86" s="331"/>
      <c r="Q86" s="331"/>
    </row>
    <row r="87" spans="1:17" ht="19.5" customHeight="1" x14ac:dyDescent="0.25">
      <c r="A87" s="331"/>
      <c r="B87" s="331"/>
      <c r="C87" s="331"/>
      <c r="D87" s="333"/>
      <c r="E87" s="333"/>
      <c r="F87" s="333"/>
      <c r="G87" s="331"/>
      <c r="H87" s="331"/>
      <c r="I87" s="331"/>
      <c r="J87" s="331"/>
      <c r="K87" s="331"/>
      <c r="L87" s="331"/>
      <c r="M87" s="331"/>
      <c r="N87" s="331"/>
      <c r="O87" s="331"/>
      <c r="P87" s="331"/>
      <c r="Q87" s="331"/>
    </row>
    <row r="88" spans="1:17" ht="19.5" customHeight="1" x14ac:dyDescent="0.25">
      <c r="A88" s="331"/>
      <c r="B88" s="331"/>
      <c r="C88" s="331"/>
      <c r="D88" s="333"/>
      <c r="E88" s="333"/>
      <c r="F88" s="333"/>
      <c r="G88" s="331"/>
      <c r="H88" s="331"/>
      <c r="I88" s="331"/>
      <c r="J88" s="331"/>
      <c r="K88" s="331"/>
      <c r="L88" s="331"/>
      <c r="M88" s="331"/>
      <c r="N88" s="331"/>
      <c r="O88" s="331"/>
      <c r="P88" s="331"/>
      <c r="Q88" s="331"/>
    </row>
    <row r="89" spans="1:17" ht="19.5" customHeight="1" x14ac:dyDescent="0.25">
      <c r="A89" s="331"/>
      <c r="B89" s="331"/>
      <c r="C89" s="331"/>
      <c r="D89" s="333"/>
      <c r="E89" s="333"/>
      <c r="F89" s="333"/>
      <c r="G89" s="331"/>
      <c r="H89" s="331"/>
      <c r="I89" s="331"/>
      <c r="J89" s="331"/>
      <c r="K89" s="331"/>
      <c r="L89" s="331"/>
      <c r="M89" s="331"/>
      <c r="N89" s="331"/>
      <c r="O89" s="331"/>
      <c r="P89" s="331"/>
      <c r="Q89" s="331"/>
    </row>
    <row r="90" spans="1:17" ht="19.5" customHeight="1" x14ac:dyDescent="0.25">
      <c r="A90" s="331"/>
      <c r="B90" s="331"/>
      <c r="C90" s="331"/>
      <c r="D90" s="333"/>
      <c r="E90" s="333"/>
      <c r="F90" s="333"/>
      <c r="G90" s="331"/>
      <c r="H90" s="331"/>
      <c r="I90" s="331"/>
      <c r="J90" s="331"/>
      <c r="K90" s="331"/>
      <c r="L90" s="331"/>
      <c r="M90" s="331"/>
      <c r="N90" s="331"/>
      <c r="O90" s="331"/>
      <c r="P90" s="331"/>
      <c r="Q90" s="331"/>
    </row>
    <row r="91" spans="1:17" ht="19.5" customHeight="1" x14ac:dyDescent="0.25">
      <c r="A91" s="331"/>
      <c r="B91" s="331"/>
      <c r="C91" s="331"/>
      <c r="D91" s="333"/>
      <c r="E91" s="333"/>
      <c r="F91" s="333"/>
      <c r="G91" s="331"/>
      <c r="H91" s="331"/>
      <c r="I91" s="331"/>
      <c r="J91" s="331"/>
      <c r="K91" s="331"/>
      <c r="L91" s="331"/>
      <c r="M91" s="331"/>
      <c r="N91" s="331"/>
      <c r="O91" s="331"/>
      <c r="P91" s="331"/>
      <c r="Q91" s="331"/>
    </row>
    <row r="92" spans="1:17" ht="19.5" customHeight="1" x14ac:dyDescent="0.25">
      <c r="A92" s="331"/>
      <c r="B92" s="331"/>
      <c r="C92" s="331"/>
      <c r="D92" s="333"/>
      <c r="E92" s="333"/>
      <c r="F92" s="333"/>
      <c r="G92" s="331"/>
      <c r="H92" s="331"/>
      <c r="I92" s="331"/>
      <c r="J92" s="331"/>
      <c r="K92" s="331"/>
      <c r="L92" s="331"/>
      <c r="M92" s="331"/>
      <c r="N92" s="331"/>
      <c r="O92" s="331"/>
      <c r="P92" s="331"/>
      <c r="Q92" s="331"/>
    </row>
    <row r="93" spans="1:17" ht="19.5" customHeight="1" x14ac:dyDescent="0.25">
      <c r="A93" s="331"/>
      <c r="B93" s="331"/>
      <c r="C93" s="331"/>
      <c r="D93" s="333"/>
      <c r="E93" s="333"/>
      <c r="F93" s="333"/>
      <c r="G93" s="331"/>
      <c r="H93" s="331"/>
      <c r="I93" s="331"/>
      <c r="J93" s="331"/>
      <c r="K93" s="331"/>
      <c r="L93" s="331"/>
      <c r="M93" s="331"/>
      <c r="N93" s="331"/>
      <c r="O93" s="331"/>
      <c r="P93" s="331"/>
      <c r="Q93" s="331"/>
    </row>
    <row r="94" spans="1:17" ht="19.5" customHeight="1" x14ac:dyDescent="0.25">
      <c r="A94" s="331"/>
      <c r="B94" s="331"/>
      <c r="C94" s="331"/>
      <c r="D94" s="333"/>
      <c r="E94" s="333"/>
      <c r="F94" s="333"/>
      <c r="G94" s="331"/>
      <c r="H94" s="331"/>
      <c r="I94" s="331"/>
      <c r="J94" s="331"/>
      <c r="K94" s="331"/>
      <c r="L94" s="331"/>
      <c r="M94" s="331"/>
      <c r="N94" s="331"/>
      <c r="O94" s="331"/>
      <c r="P94" s="331"/>
      <c r="Q94" s="331"/>
    </row>
    <row r="95" spans="1:17" ht="19.5" customHeight="1" x14ac:dyDescent="0.25">
      <c r="A95" s="331"/>
      <c r="B95" s="331"/>
      <c r="C95" s="331"/>
      <c r="D95" s="333"/>
      <c r="E95" s="333"/>
      <c r="F95" s="333"/>
      <c r="G95" s="331"/>
      <c r="H95" s="331"/>
      <c r="I95" s="331"/>
      <c r="J95" s="331"/>
      <c r="K95" s="331"/>
      <c r="L95" s="331"/>
      <c r="M95" s="331"/>
      <c r="N95" s="331"/>
      <c r="O95" s="331"/>
      <c r="P95" s="331"/>
      <c r="Q95" s="331"/>
    </row>
    <row r="96" spans="1:17" ht="19.5" customHeight="1" x14ac:dyDescent="0.25">
      <c r="A96" s="331"/>
      <c r="B96" s="331"/>
      <c r="C96" s="331"/>
      <c r="D96" s="333"/>
      <c r="E96" s="333"/>
      <c r="F96" s="333"/>
      <c r="G96" s="331"/>
      <c r="H96" s="331"/>
      <c r="I96" s="331"/>
      <c r="J96" s="331"/>
      <c r="K96" s="331"/>
      <c r="L96" s="331"/>
      <c r="M96" s="331"/>
      <c r="N96" s="331"/>
      <c r="O96" s="331"/>
      <c r="P96" s="331"/>
      <c r="Q96" s="331"/>
    </row>
    <row r="97" spans="1:17" ht="19.5" customHeight="1" x14ac:dyDescent="0.25">
      <c r="A97" s="331"/>
      <c r="B97" s="331"/>
      <c r="C97" s="331"/>
      <c r="D97" s="333"/>
      <c r="E97" s="333"/>
      <c r="F97" s="333"/>
      <c r="G97" s="331"/>
      <c r="H97" s="331"/>
      <c r="I97" s="331"/>
      <c r="J97" s="331"/>
      <c r="K97" s="331"/>
      <c r="L97" s="331"/>
      <c r="M97" s="331"/>
      <c r="N97" s="331"/>
      <c r="O97" s="331"/>
      <c r="P97" s="331"/>
      <c r="Q97" s="331"/>
    </row>
    <row r="98" spans="1:17" ht="19.5" customHeight="1" x14ac:dyDescent="0.25">
      <c r="A98" s="331"/>
      <c r="B98" s="331"/>
      <c r="C98" s="331"/>
      <c r="D98" s="333"/>
      <c r="E98" s="333"/>
      <c r="F98" s="333"/>
      <c r="G98" s="331"/>
      <c r="H98" s="331"/>
      <c r="I98" s="331"/>
      <c r="J98" s="331"/>
      <c r="K98" s="331"/>
      <c r="L98" s="331"/>
      <c r="M98" s="331"/>
      <c r="N98" s="331"/>
      <c r="O98" s="331"/>
      <c r="P98" s="331"/>
      <c r="Q98" s="331"/>
    </row>
    <row r="99" spans="1:17" ht="19.5" customHeight="1" x14ac:dyDescent="0.25">
      <c r="A99" s="331"/>
      <c r="B99" s="331"/>
      <c r="C99" s="331"/>
      <c r="D99" s="333"/>
      <c r="E99" s="333"/>
      <c r="F99" s="333"/>
      <c r="G99" s="331"/>
      <c r="H99" s="331"/>
      <c r="I99" s="331"/>
      <c r="J99" s="331"/>
      <c r="K99" s="331"/>
      <c r="L99" s="331"/>
      <c r="M99" s="331"/>
      <c r="N99" s="331"/>
      <c r="O99" s="331"/>
      <c r="P99" s="331"/>
      <c r="Q99" s="331"/>
    </row>
    <row r="100" spans="1:17" ht="19.5" customHeight="1" x14ac:dyDescent="0.25">
      <c r="A100" s="331"/>
      <c r="B100" s="331"/>
      <c r="C100" s="331"/>
      <c r="D100" s="333"/>
      <c r="E100" s="333"/>
      <c r="F100" s="333"/>
      <c r="G100" s="331"/>
      <c r="H100" s="331"/>
      <c r="I100" s="331"/>
      <c r="J100" s="331"/>
      <c r="K100" s="331"/>
      <c r="L100" s="331"/>
      <c r="M100" s="331"/>
      <c r="N100" s="331"/>
      <c r="O100" s="331"/>
      <c r="P100" s="331"/>
      <c r="Q100" s="331"/>
    </row>
    <row r="101" spans="1:17" ht="19.5" customHeight="1" x14ac:dyDescent="0.25">
      <c r="A101" s="331"/>
      <c r="B101" s="331"/>
      <c r="C101" s="331"/>
      <c r="D101" s="333"/>
      <c r="E101" s="333"/>
      <c r="F101" s="333"/>
      <c r="G101" s="331"/>
      <c r="H101" s="331"/>
      <c r="I101" s="331"/>
      <c r="J101" s="331"/>
      <c r="K101" s="331"/>
      <c r="L101" s="331"/>
      <c r="M101" s="331"/>
      <c r="N101" s="331"/>
      <c r="O101" s="331"/>
      <c r="P101" s="331"/>
      <c r="Q101" s="331"/>
    </row>
    <row r="102" spans="1:17" ht="19.5" customHeight="1" x14ac:dyDescent="0.25">
      <c r="A102" s="331"/>
      <c r="B102" s="331"/>
      <c r="C102" s="331"/>
      <c r="D102" s="333"/>
      <c r="E102" s="333"/>
      <c r="F102" s="333"/>
      <c r="G102" s="331"/>
      <c r="H102" s="331"/>
      <c r="I102" s="331"/>
      <c r="J102" s="331"/>
      <c r="K102" s="331"/>
      <c r="L102" s="331"/>
      <c r="M102" s="331"/>
      <c r="N102" s="331"/>
      <c r="O102" s="331"/>
      <c r="P102" s="331"/>
      <c r="Q102" s="331"/>
    </row>
    <row r="103" spans="1:17" ht="19.5" customHeight="1" x14ac:dyDescent="0.25">
      <c r="A103" s="331"/>
      <c r="B103" s="331"/>
      <c r="C103" s="331"/>
      <c r="D103" s="333"/>
      <c r="E103" s="333"/>
      <c r="F103" s="333"/>
      <c r="G103" s="331"/>
      <c r="H103" s="331"/>
      <c r="I103" s="331"/>
      <c r="J103" s="331"/>
      <c r="K103" s="331"/>
      <c r="L103" s="331"/>
      <c r="M103" s="331"/>
      <c r="N103" s="331"/>
      <c r="O103" s="331"/>
      <c r="P103" s="331"/>
      <c r="Q103" s="331"/>
    </row>
    <row r="104" spans="1:17" ht="19.5" customHeight="1" x14ac:dyDescent="0.25">
      <c r="A104" s="331"/>
      <c r="B104" s="331"/>
      <c r="C104" s="331"/>
      <c r="D104" s="333"/>
      <c r="E104" s="333"/>
      <c r="F104" s="333"/>
      <c r="G104" s="331"/>
      <c r="H104" s="331"/>
      <c r="I104" s="331"/>
      <c r="J104" s="331"/>
      <c r="K104" s="331"/>
      <c r="L104" s="331"/>
      <c r="M104" s="331"/>
      <c r="N104" s="331"/>
      <c r="O104" s="331"/>
      <c r="P104" s="331"/>
      <c r="Q104" s="331"/>
    </row>
    <row r="105" spans="1:17" ht="19.5" customHeight="1" x14ac:dyDescent="0.25">
      <c r="A105" s="331"/>
      <c r="B105" s="331"/>
      <c r="C105" s="331"/>
      <c r="D105" s="333"/>
      <c r="E105" s="333"/>
      <c r="F105" s="333"/>
      <c r="G105" s="331"/>
      <c r="H105" s="331"/>
      <c r="I105" s="331"/>
      <c r="J105" s="331"/>
      <c r="K105" s="331"/>
      <c r="L105" s="331"/>
      <c r="M105" s="331"/>
      <c r="N105" s="331"/>
      <c r="O105" s="331"/>
      <c r="P105" s="331"/>
      <c r="Q105" s="331"/>
    </row>
    <row r="106" spans="1:17" ht="19.5" customHeight="1" x14ac:dyDescent="0.25">
      <c r="A106" s="331"/>
      <c r="B106" s="331"/>
      <c r="C106" s="331"/>
      <c r="D106" s="333"/>
      <c r="E106" s="333"/>
      <c r="F106" s="333"/>
      <c r="G106" s="331"/>
      <c r="H106" s="331"/>
      <c r="I106" s="331"/>
      <c r="J106" s="331"/>
      <c r="K106" s="331"/>
      <c r="L106" s="331"/>
      <c r="M106" s="331"/>
      <c r="N106" s="331"/>
      <c r="O106" s="331"/>
      <c r="P106" s="331"/>
      <c r="Q106" s="331"/>
    </row>
    <row r="107" spans="1:17" ht="19.5" customHeight="1" x14ac:dyDescent="0.25">
      <c r="A107" s="331"/>
      <c r="B107" s="331"/>
      <c r="C107" s="331"/>
      <c r="D107" s="333"/>
      <c r="E107" s="333"/>
      <c r="F107" s="333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31"/>
    </row>
    <row r="108" spans="1:17" ht="19.5" customHeight="1" x14ac:dyDescent="0.25">
      <c r="A108" s="331"/>
      <c r="B108" s="331"/>
      <c r="C108" s="331"/>
      <c r="D108" s="333"/>
      <c r="E108" s="333"/>
      <c r="F108" s="333"/>
      <c r="G108" s="331"/>
      <c r="H108" s="331"/>
      <c r="I108" s="331"/>
      <c r="J108" s="331"/>
      <c r="K108" s="331"/>
      <c r="L108" s="331"/>
      <c r="M108" s="331"/>
      <c r="N108" s="331"/>
      <c r="O108" s="331"/>
      <c r="P108" s="331"/>
      <c r="Q108" s="331"/>
    </row>
    <row r="109" spans="1:17" ht="19.5" customHeight="1" x14ac:dyDescent="0.25">
      <c r="A109" s="331"/>
      <c r="B109" s="331"/>
      <c r="C109" s="331"/>
      <c r="D109" s="333"/>
      <c r="E109" s="333"/>
      <c r="F109" s="333"/>
      <c r="G109" s="331"/>
      <c r="H109" s="331"/>
      <c r="I109" s="331"/>
      <c r="J109" s="331"/>
      <c r="K109" s="331"/>
      <c r="L109" s="331"/>
      <c r="M109" s="331"/>
      <c r="N109" s="331"/>
      <c r="O109" s="331"/>
      <c r="P109" s="331"/>
      <c r="Q109" s="331"/>
    </row>
    <row r="110" spans="1:17" ht="19.5" customHeight="1" x14ac:dyDescent="0.25">
      <c r="A110" s="331"/>
      <c r="B110" s="331"/>
      <c r="C110" s="331"/>
      <c r="D110" s="333"/>
      <c r="E110" s="333"/>
      <c r="F110" s="333"/>
      <c r="G110" s="331"/>
      <c r="H110" s="331"/>
      <c r="I110" s="331"/>
      <c r="J110" s="331"/>
      <c r="K110" s="331"/>
      <c r="L110" s="331"/>
      <c r="M110" s="331"/>
      <c r="N110" s="331"/>
      <c r="O110" s="331"/>
      <c r="P110" s="331"/>
      <c r="Q110" s="331"/>
    </row>
    <row r="111" spans="1:17" ht="19.5" customHeight="1" x14ac:dyDescent="0.25">
      <c r="A111" s="331"/>
      <c r="B111" s="331"/>
      <c r="C111" s="331"/>
      <c r="D111" s="333"/>
      <c r="E111" s="333"/>
      <c r="F111" s="333"/>
      <c r="G111" s="331"/>
      <c r="H111" s="331"/>
      <c r="I111" s="331"/>
      <c r="J111" s="331"/>
      <c r="K111" s="331"/>
      <c r="L111" s="331"/>
      <c r="M111" s="331"/>
      <c r="N111" s="331"/>
      <c r="O111" s="331"/>
      <c r="P111" s="331"/>
      <c r="Q111" s="331"/>
    </row>
    <row r="112" spans="1:17" ht="19.5" customHeight="1" x14ac:dyDescent="0.25">
      <c r="A112" s="331"/>
      <c r="B112" s="331"/>
      <c r="C112" s="331"/>
      <c r="D112" s="333"/>
      <c r="E112" s="333"/>
      <c r="F112" s="333"/>
      <c r="G112" s="331"/>
      <c r="H112" s="331"/>
      <c r="I112" s="331"/>
      <c r="J112" s="331"/>
      <c r="K112" s="331"/>
      <c r="L112" s="331"/>
      <c r="M112" s="331"/>
      <c r="N112" s="331"/>
      <c r="O112" s="331"/>
      <c r="P112" s="331"/>
      <c r="Q112" s="331"/>
    </row>
    <row r="113" spans="1:17" ht="19.5" customHeight="1" x14ac:dyDescent="0.25">
      <c r="A113" s="331"/>
      <c r="B113" s="331"/>
      <c r="C113" s="331"/>
      <c r="D113" s="333"/>
      <c r="E113" s="333"/>
      <c r="F113" s="333"/>
      <c r="G113" s="331"/>
      <c r="H113" s="331"/>
      <c r="I113" s="331"/>
      <c r="J113" s="331"/>
      <c r="K113" s="331"/>
      <c r="L113" s="331"/>
      <c r="M113" s="331"/>
      <c r="N113" s="331"/>
      <c r="O113" s="331"/>
      <c r="P113" s="331"/>
      <c r="Q113" s="331"/>
    </row>
    <row r="114" spans="1:17" ht="19.5" customHeight="1" x14ac:dyDescent="0.25">
      <c r="A114" s="331"/>
      <c r="B114" s="331"/>
      <c r="C114" s="331"/>
      <c r="D114" s="333"/>
      <c r="E114" s="333"/>
      <c r="F114" s="333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/>
      <c r="Q114" s="331"/>
    </row>
    <row r="115" spans="1:17" ht="19.5" customHeight="1" x14ac:dyDescent="0.25">
      <c r="A115" s="331"/>
      <c r="B115" s="331"/>
      <c r="C115" s="331"/>
      <c r="D115" s="333"/>
      <c r="E115" s="333"/>
      <c r="F115" s="333"/>
      <c r="G115" s="331"/>
      <c r="H115" s="331"/>
      <c r="I115" s="331"/>
      <c r="J115" s="331"/>
      <c r="K115" s="331"/>
      <c r="L115" s="331"/>
      <c r="M115" s="331"/>
      <c r="N115" s="331"/>
      <c r="O115" s="331"/>
      <c r="P115" s="331"/>
      <c r="Q115" s="331"/>
    </row>
    <row r="116" spans="1:17" ht="19.5" customHeight="1" x14ac:dyDescent="0.25">
      <c r="A116" s="331"/>
      <c r="B116" s="331"/>
      <c r="C116" s="331"/>
      <c r="D116" s="333"/>
      <c r="E116" s="333"/>
      <c r="F116" s="333"/>
      <c r="G116" s="331"/>
      <c r="H116" s="331"/>
      <c r="I116" s="331"/>
      <c r="J116" s="331"/>
      <c r="K116" s="331"/>
      <c r="L116" s="331"/>
      <c r="M116" s="331"/>
      <c r="N116" s="331"/>
      <c r="O116" s="331"/>
      <c r="P116" s="331"/>
      <c r="Q116" s="331"/>
    </row>
    <row r="117" spans="1:17" ht="19.5" customHeight="1" x14ac:dyDescent="0.25">
      <c r="A117" s="331"/>
      <c r="B117" s="331"/>
      <c r="C117" s="331"/>
      <c r="D117" s="333"/>
      <c r="E117" s="333"/>
      <c r="F117" s="333"/>
      <c r="G117" s="331"/>
      <c r="H117" s="331"/>
      <c r="I117" s="331"/>
      <c r="J117" s="331"/>
      <c r="K117" s="331"/>
      <c r="L117" s="331"/>
      <c r="M117" s="331"/>
      <c r="N117" s="331"/>
      <c r="O117" s="331"/>
      <c r="P117" s="331"/>
      <c r="Q117" s="331"/>
    </row>
    <row r="118" spans="1:17" ht="19.5" customHeight="1" x14ac:dyDescent="0.25">
      <c r="A118" s="331"/>
      <c r="B118" s="331"/>
      <c r="C118" s="331"/>
      <c r="D118" s="333"/>
      <c r="E118" s="333"/>
      <c r="F118" s="333"/>
      <c r="G118" s="331"/>
      <c r="H118" s="331"/>
      <c r="I118" s="331"/>
      <c r="J118" s="331"/>
      <c r="K118" s="331"/>
      <c r="L118" s="331"/>
      <c r="M118" s="331"/>
      <c r="N118" s="331"/>
      <c r="O118" s="331"/>
      <c r="P118" s="331"/>
      <c r="Q118" s="331"/>
    </row>
    <row r="119" spans="1:17" ht="19.5" customHeight="1" x14ac:dyDescent="0.25">
      <c r="A119" s="331"/>
      <c r="B119" s="331"/>
      <c r="C119" s="331"/>
      <c r="D119" s="333"/>
      <c r="E119" s="333"/>
      <c r="F119" s="333"/>
      <c r="G119" s="331"/>
      <c r="H119" s="331"/>
      <c r="I119" s="331"/>
      <c r="J119" s="331"/>
      <c r="K119" s="331"/>
      <c r="L119" s="331"/>
      <c r="M119" s="331"/>
      <c r="N119" s="331"/>
      <c r="O119" s="331"/>
      <c r="P119" s="331"/>
      <c r="Q119" s="331"/>
    </row>
    <row r="120" spans="1:17" ht="19.5" customHeight="1" x14ac:dyDescent="0.25">
      <c r="A120" s="331"/>
      <c r="B120" s="331"/>
      <c r="C120" s="331"/>
      <c r="D120" s="333"/>
      <c r="E120" s="333"/>
      <c r="F120" s="333"/>
      <c r="G120" s="331"/>
      <c r="H120" s="331"/>
      <c r="I120" s="331"/>
      <c r="J120" s="331"/>
      <c r="K120" s="331"/>
      <c r="L120" s="331"/>
      <c r="M120" s="331"/>
      <c r="N120" s="331"/>
      <c r="O120" s="331"/>
      <c r="P120" s="331"/>
      <c r="Q120" s="331"/>
    </row>
    <row r="121" spans="1:17" ht="19.5" customHeight="1" x14ac:dyDescent="0.25">
      <c r="A121" s="331"/>
      <c r="B121" s="331"/>
      <c r="C121" s="331"/>
      <c r="D121" s="333"/>
      <c r="E121" s="333"/>
      <c r="F121" s="333"/>
      <c r="G121" s="331"/>
      <c r="H121" s="331"/>
      <c r="I121" s="331"/>
      <c r="J121" s="331"/>
      <c r="K121" s="331"/>
      <c r="L121" s="331"/>
      <c r="M121" s="331"/>
      <c r="N121" s="331"/>
      <c r="O121" s="331"/>
      <c r="P121" s="331"/>
      <c r="Q121" s="331"/>
    </row>
    <row r="122" spans="1:17" ht="19.5" customHeight="1" x14ac:dyDescent="0.25">
      <c r="A122" s="331"/>
      <c r="B122" s="331"/>
      <c r="C122" s="331"/>
      <c r="D122" s="333"/>
      <c r="E122" s="333"/>
      <c r="F122" s="333"/>
      <c r="G122" s="331"/>
      <c r="H122" s="331"/>
      <c r="I122" s="331"/>
      <c r="J122" s="331"/>
      <c r="K122" s="331"/>
      <c r="L122" s="331"/>
      <c r="M122" s="331"/>
      <c r="N122" s="331"/>
      <c r="O122" s="331"/>
      <c r="P122" s="331"/>
      <c r="Q122" s="331"/>
    </row>
    <row r="123" spans="1:17" ht="19.5" customHeight="1" x14ac:dyDescent="0.25">
      <c r="A123" s="331"/>
      <c r="B123" s="331"/>
      <c r="C123" s="331"/>
      <c r="D123" s="333"/>
      <c r="E123" s="333"/>
      <c r="F123" s="333"/>
      <c r="G123" s="331"/>
      <c r="H123" s="331"/>
      <c r="I123" s="331"/>
      <c r="J123" s="331"/>
      <c r="K123" s="331"/>
      <c r="L123" s="331"/>
      <c r="M123" s="331"/>
      <c r="N123" s="331"/>
      <c r="O123" s="331"/>
      <c r="P123" s="331"/>
      <c r="Q123" s="331"/>
    </row>
    <row r="124" spans="1:17" ht="19.5" customHeight="1" x14ac:dyDescent="0.25">
      <c r="A124" s="331"/>
      <c r="B124" s="331"/>
      <c r="C124" s="331"/>
      <c r="D124" s="333"/>
      <c r="E124" s="333"/>
      <c r="F124" s="333"/>
      <c r="G124" s="331"/>
      <c r="H124" s="331"/>
      <c r="I124" s="331"/>
      <c r="J124" s="331"/>
      <c r="K124" s="331"/>
      <c r="L124" s="331"/>
      <c r="M124" s="331"/>
      <c r="N124" s="331"/>
      <c r="O124" s="331"/>
      <c r="P124" s="331"/>
      <c r="Q124" s="331"/>
    </row>
    <row r="125" spans="1:17" ht="19.5" customHeight="1" x14ac:dyDescent="0.25">
      <c r="A125" s="331"/>
      <c r="B125" s="331"/>
      <c r="C125" s="331"/>
      <c r="D125" s="333"/>
      <c r="E125" s="333"/>
      <c r="F125" s="333"/>
      <c r="G125" s="331"/>
      <c r="H125" s="331"/>
      <c r="I125" s="331"/>
      <c r="J125" s="331"/>
      <c r="K125" s="331"/>
      <c r="L125" s="331"/>
      <c r="M125" s="331"/>
      <c r="N125" s="331"/>
      <c r="O125" s="331"/>
      <c r="P125" s="331"/>
      <c r="Q125" s="331"/>
    </row>
    <row r="126" spans="1:17" ht="19.5" customHeight="1" x14ac:dyDescent="0.25">
      <c r="A126" s="331"/>
      <c r="B126" s="331"/>
      <c r="C126" s="331"/>
      <c r="D126" s="333"/>
      <c r="E126" s="333"/>
      <c r="F126" s="333"/>
      <c r="G126" s="331"/>
      <c r="H126" s="331"/>
      <c r="I126" s="331"/>
      <c r="J126" s="331"/>
      <c r="K126" s="331"/>
      <c r="L126" s="331"/>
      <c r="M126" s="331"/>
      <c r="N126" s="331"/>
      <c r="O126" s="331"/>
      <c r="P126" s="331"/>
      <c r="Q126" s="331"/>
    </row>
    <row r="127" spans="1:17" ht="19.5" customHeight="1" x14ac:dyDescent="0.25">
      <c r="A127" s="331"/>
      <c r="B127" s="331"/>
      <c r="C127" s="331"/>
      <c r="D127" s="333"/>
      <c r="E127" s="333"/>
      <c r="F127" s="333"/>
      <c r="G127" s="331"/>
      <c r="H127" s="331"/>
      <c r="I127" s="331"/>
      <c r="J127" s="331"/>
      <c r="K127" s="331"/>
      <c r="L127" s="331"/>
      <c r="M127" s="331"/>
      <c r="N127" s="331"/>
      <c r="O127" s="331"/>
      <c r="P127" s="331"/>
      <c r="Q127" s="331"/>
    </row>
    <row r="128" spans="1:17" ht="19.5" customHeight="1" x14ac:dyDescent="0.25">
      <c r="A128" s="331"/>
      <c r="B128" s="331"/>
      <c r="C128" s="331"/>
      <c r="D128" s="333"/>
      <c r="E128" s="333"/>
      <c r="F128" s="333"/>
      <c r="G128" s="331"/>
      <c r="H128" s="331"/>
      <c r="I128" s="331"/>
      <c r="J128" s="331"/>
      <c r="K128" s="331"/>
      <c r="L128" s="331"/>
      <c r="M128" s="331"/>
      <c r="N128" s="331"/>
      <c r="O128" s="331"/>
      <c r="P128" s="331"/>
      <c r="Q128" s="331"/>
    </row>
    <row r="129" spans="1:17" ht="19.5" customHeight="1" x14ac:dyDescent="0.25">
      <c r="A129" s="331"/>
      <c r="B129" s="331"/>
      <c r="C129" s="331"/>
      <c r="D129" s="333"/>
      <c r="E129" s="333"/>
      <c r="F129" s="333"/>
      <c r="G129" s="331"/>
      <c r="H129" s="331"/>
      <c r="I129" s="331"/>
      <c r="J129" s="331"/>
      <c r="K129" s="331"/>
      <c r="L129" s="331"/>
      <c r="M129" s="331"/>
      <c r="N129" s="331"/>
      <c r="O129" s="331"/>
      <c r="P129" s="331"/>
      <c r="Q129" s="331"/>
    </row>
    <row r="130" spans="1:17" ht="19.5" customHeight="1" x14ac:dyDescent="0.25">
      <c r="A130" s="331"/>
      <c r="B130" s="331"/>
      <c r="C130" s="331"/>
      <c r="D130" s="333"/>
      <c r="E130" s="333"/>
      <c r="F130" s="333"/>
      <c r="G130" s="331"/>
      <c r="H130" s="331"/>
      <c r="I130" s="331"/>
      <c r="J130" s="331"/>
      <c r="K130" s="331"/>
      <c r="L130" s="331"/>
      <c r="M130" s="331"/>
      <c r="N130" s="331"/>
      <c r="O130" s="331"/>
      <c r="P130" s="331"/>
      <c r="Q130" s="331"/>
    </row>
    <row r="131" spans="1:17" ht="19.5" customHeight="1" x14ac:dyDescent="0.25">
      <c r="A131" s="331"/>
      <c r="B131" s="331"/>
      <c r="C131" s="331"/>
      <c r="D131" s="333"/>
      <c r="E131" s="333"/>
      <c r="F131" s="333"/>
      <c r="G131" s="331"/>
      <c r="H131" s="331"/>
      <c r="I131" s="331"/>
      <c r="J131" s="331"/>
      <c r="K131" s="331"/>
      <c r="L131" s="331"/>
      <c r="M131" s="331"/>
      <c r="N131" s="331"/>
      <c r="O131" s="331"/>
      <c r="P131" s="331"/>
      <c r="Q131" s="331"/>
    </row>
    <row r="132" spans="1:17" ht="19.5" customHeight="1" x14ac:dyDescent="0.25">
      <c r="A132" s="331"/>
      <c r="B132" s="331"/>
      <c r="C132" s="331"/>
      <c r="D132" s="333"/>
      <c r="E132" s="333"/>
      <c r="F132" s="333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</row>
    <row r="133" spans="1:17" ht="19.5" customHeight="1" x14ac:dyDescent="0.25">
      <c r="A133" s="331"/>
      <c r="B133" s="331"/>
      <c r="C133" s="331"/>
      <c r="D133" s="333"/>
      <c r="E133" s="333"/>
      <c r="F133" s="333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</row>
    <row r="134" spans="1:17" ht="19.5" customHeight="1" x14ac:dyDescent="0.25">
      <c r="A134" s="331"/>
      <c r="B134" s="331"/>
      <c r="C134" s="331"/>
      <c r="D134" s="333"/>
      <c r="E134" s="333"/>
      <c r="F134" s="333"/>
      <c r="G134" s="331"/>
      <c r="H134" s="331"/>
      <c r="I134" s="331"/>
      <c r="J134" s="331"/>
      <c r="K134" s="331"/>
      <c r="L134" s="331"/>
      <c r="M134" s="331"/>
      <c r="N134" s="331"/>
      <c r="O134" s="331"/>
      <c r="P134" s="331"/>
      <c r="Q134" s="331"/>
    </row>
    <row r="135" spans="1:17" ht="19.5" customHeight="1" x14ac:dyDescent="0.25">
      <c r="A135" s="331"/>
      <c r="B135" s="331"/>
      <c r="C135" s="331"/>
      <c r="D135" s="333"/>
      <c r="E135" s="333"/>
      <c r="F135" s="333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</row>
    <row r="136" spans="1:17" ht="19.5" customHeight="1" x14ac:dyDescent="0.25">
      <c r="A136" s="331"/>
      <c r="B136" s="331"/>
      <c r="C136" s="331"/>
      <c r="D136" s="333"/>
      <c r="E136" s="333"/>
      <c r="F136" s="333"/>
      <c r="G136" s="331"/>
      <c r="H136" s="331"/>
      <c r="I136" s="331"/>
      <c r="J136" s="331"/>
      <c r="K136" s="331"/>
      <c r="L136" s="331"/>
      <c r="M136" s="331"/>
      <c r="N136" s="331"/>
      <c r="O136" s="331"/>
      <c r="P136" s="331"/>
      <c r="Q136" s="331"/>
    </row>
    <row r="137" spans="1:17" ht="19.5" customHeight="1" x14ac:dyDescent="0.25">
      <c r="A137" s="331"/>
      <c r="B137" s="331"/>
      <c r="C137" s="331"/>
      <c r="D137" s="333"/>
      <c r="E137" s="333"/>
      <c r="F137" s="333"/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</row>
    <row r="138" spans="1:17" ht="19.5" customHeight="1" x14ac:dyDescent="0.25">
      <c r="A138" s="331"/>
      <c r="B138" s="331"/>
      <c r="C138" s="331"/>
      <c r="D138" s="333"/>
      <c r="E138" s="333"/>
      <c r="F138" s="333"/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</row>
    <row r="139" spans="1:17" ht="19.5" customHeight="1" x14ac:dyDescent="0.25">
      <c r="A139" s="331"/>
      <c r="B139" s="331"/>
      <c r="C139" s="331"/>
      <c r="D139" s="333"/>
      <c r="E139" s="333"/>
      <c r="F139" s="333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</row>
    <row r="140" spans="1:17" ht="19.5" customHeight="1" x14ac:dyDescent="0.25">
      <c r="A140" s="331"/>
      <c r="B140" s="331"/>
      <c r="C140" s="331"/>
      <c r="D140" s="333"/>
      <c r="E140" s="333"/>
      <c r="F140" s="333"/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</row>
    <row r="141" spans="1:17" ht="19.5" customHeight="1" x14ac:dyDescent="0.25">
      <c r="A141" s="331"/>
      <c r="B141" s="331"/>
      <c r="C141" s="331"/>
      <c r="D141" s="333"/>
      <c r="E141" s="333"/>
      <c r="F141" s="333"/>
      <c r="G141" s="331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</row>
    <row r="142" spans="1:17" ht="19.5" customHeight="1" x14ac:dyDescent="0.25">
      <c r="A142" s="331"/>
      <c r="B142" s="331"/>
      <c r="C142" s="331"/>
      <c r="D142" s="333"/>
      <c r="E142" s="333"/>
      <c r="F142" s="333"/>
      <c r="G142" s="331"/>
      <c r="H142" s="331"/>
      <c r="I142" s="331"/>
      <c r="J142" s="331"/>
      <c r="K142" s="331"/>
      <c r="L142" s="331"/>
      <c r="M142" s="331"/>
      <c r="N142" s="331"/>
      <c r="O142" s="331"/>
      <c r="P142" s="331"/>
      <c r="Q142" s="331"/>
    </row>
    <row r="143" spans="1:17" ht="19.5" customHeight="1" x14ac:dyDescent="0.25">
      <c r="A143" s="331"/>
      <c r="B143" s="331"/>
      <c r="C143" s="331"/>
      <c r="D143" s="333"/>
      <c r="E143" s="333"/>
      <c r="F143" s="333"/>
      <c r="G143" s="331"/>
      <c r="H143" s="331"/>
      <c r="I143" s="331"/>
      <c r="J143" s="331"/>
      <c r="K143" s="331"/>
      <c r="L143" s="331"/>
      <c r="M143" s="331"/>
      <c r="N143" s="331"/>
      <c r="O143" s="331"/>
      <c r="P143" s="331"/>
      <c r="Q143" s="331"/>
    </row>
    <row r="144" spans="1:17" ht="19.5" customHeight="1" x14ac:dyDescent="0.25">
      <c r="A144" s="331"/>
      <c r="B144" s="331"/>
      <c r="C144" s="331"/>
      <c r="D144" s="333"/>
      <c r="E144" s="333"/>
      <c r="F144" s="333"/>
      <c r="G144" s="331"/>
      <c r="H144" s="331"/>
      <c r="I144" s="331"/>
      <c r="J144" s="331"/>
      <c r="K144" s="331"/>
      <c r="L144" s="331"/>
      <c r="M144" s="331"/>
      <c r="N144" s="331"/>
      <c r="O144" s="331"/>
      <c r="P144" s="331"/>
      <c r="Q144" s="331"/>
    </row>
    <row r="145" spans="1:17" ht="19.5" customHeight="1" x14ac:dyDescent="0.25">
      <c r="A145" s="331"/>
      <c r="B145" s="331"/>
      <c r="C145" s="331"/>
      <c r="D145" s="333"/>
      <c r="E145" s="333"/>
      <c r="F145" s="333"/>
      <c r="G145" s="331"/>
      <c r="H145" s="331"/>
      <c r="I145" s="331"/>
      <c r="J145" s="331"/>
      <c r="K145" s="331"/>
      <c r="L145" s="331"/>
      <c r="M145" s="331"/>
      <c r="N145" s="331"/>
      <c r="O145" s="331"/>
      <c r="P145" s="331"/>
      <c r="Q145" s="331"/>
    </row>
    <row r="146" spans="1:17" ht="19.5" customHeight="1" x14ac:dyDescent="0.25">
      <c r="A146" s="331"/>
      <c r="B146" s="331"/>
      <c r="C146" s="331"/>
      <c r="D146" s="333"/>
      <c r="E146" s="333"/>
      <c r="F146" s="333"/>
      <c r="G146" s="331"/>
      <c r="H146" s="331"/>
      <c r="I146" s="331"/>
      <c r="J146" s="331"/>
      <c r="K146" s="331"/>
      <c r="L146" s="331"/>
      <c r="M146" s="331"/>
      <c r="N146" s="331"/>
      <c r="O146" s="331"/>
      <c r="P146" s="331"/>
      <c r="Q146" s="331"/>
    </row>
    <row r="147" spans="1:17" ht="19.5" customHeight="1" x14ac:dyDescent="0.25">
      <c r="A147" s="331"/>
      <c r="B147" s="331"/>
      <c r="C147" s="331"/>
      <c r="D147" s="333"/>
      <c r="E147" s="333"/>
      <c r="F147" s="333"/>
      <c r="G147" s="331"/>
      <c r="H147" s="331"/>
      <c r="I147" s="331"/>
      <c r="J147" s="331"/>
      <c r="K147" s="331"/>
      <c r="L147" s="331"/>
      <c r="M147" s="331"/>
      <c r="N147" s="331"/>
      <c r="O147" s="331"/>
      <c r="P147" s="331"/>
      <c r="Q147" s="331"/>
    </row>
    <row r="148" spans="1:17" ht="19.5" customHeight="1" x14ac:dyDescent="0.25">
      <c r="A148" s="331"/>
      <c r="B148" s="331"/>
      <c r="C148" s="331"/>
      <c r="D148" s="333"/>
      <c r="E148" s="333"/>
      <c r="F148" s="333"/>
      <c r="G148" s="331"/>
      <c r="H148" s="331"/>
      <c r="I148" s="331"/>
      <c r="J148" s="331"/>
      <c r="K148" s="331"/>
      <c r="L148" s="331"/>
      <c r="M148" s="331"/>
      <c r="N148" s="331"/>
      <c r="O148" s="331"/>
      <c r="P148" s="331"/>
      <c r="Q148" s="331"/>
    </row>
    <row r="149" spans="1:17" ht="19.5" customHeight="1" x14ac:dyDescent="0.25">
      <c r="A149" s="331"/>
      <c r="B149" s="331"/>
      <c r="C149" s="331"/>
      <c r="D149" s="333"/>
      <c r="E149" s="333"/>
      <c r="F149" s="333"/>
      <c r="G149" s="331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</row>
    <row r="150" spans="1:17" ht="19.5" customHeight="1" x14ac:dyDescent="0.25">
      <c r="A150" s="331"/>
      <c r="B150" s="331"/>
      <c r="C150" s="331"/>
      <c r="D150" s="333"/>
      <c r="E150" s="333"/>
      <c r="F150" s="333"/>
      <c r="G150" s="331"/>
      <c r="H150" s="331"/>
      <c r="I150" s="331"/>
      <c r="J150" s="331"/>
      <c r="K150" s="331"/>
      <c r="L150" s="331"/>
      <c r="M150" s="331"/>
      <c r="N150" s="331"/>
      <c r="O150" s="331"/>
      <c r="P150" s="331"/>
      <c r="Q150" s="331"/>
    </row>
    <row r="151" spans="1:17" ht="19.5" customHeight="1" x14ac:dyDescent="0.25">
      <c r="A151" s="331"/>
      <c r="B151" s="331"/>
      <c r="C151" s="331"/>
      <c r="D151" s="333"/>
      <c r="E151" s="333"/>
      <c r="F151" s="333"/>
      <c r="G151" s="331"/>
      <c r="H151" s="331"/>
      <c r="I151" s="331"/>
      <c r="J151" s="331"/>
      <c r="K151" s="331"/>
      <c r="L151" s="331"/>
      <c r="M151" s="331"/>
      <c r="N151" s="331"/>
      <c r="O151" s="331"/>
      <c r="P151" s="331"/>
      <c r="Q151" s="331"/>
    </row>
    <row r="152" spans="1:17" ht="19.5" customHeight="1" x14ac:dyDescent="0.25">
      <c r="A152" s="331"/>
      <c r="B152" s="331"/>
      <c r="C152" s="331"/>
      <c r="D152" s="333"/>
      <c r="E152" s="333"/>
      <c r="F152" s="333"/>
      <c r="G152" s="331"/>
      <c r="H152" s="331"/>
      <c r="I152" s="331"/>
      <c r="J152" s="331"/>
      <c r="K152" s="331"/>
      <c r="L152" s="331"/>
      <c r="M152" s="331"/>
      <c r="N152" s="331"/>
      <c r="O152" s="331"/>
      <c r="P152" s="331"/>
      <c r="Q152" s="331"/>
    </row>
    <row r="153" spans="1:17" ht="19.5" customHeight="1" x14ac:dyDescent="0.25">
      <c r="A153" s="331"/>
      <c r="B153" s="331"/>
      <c r="C153" s="331"/>
      <c r="D153" s="333"/>
      <c r="E153" s="333"/>
      <c r="F153" s="333"/>
      <c r="G153" s="331"/>
      <c r="H153" s="331"/>
      <c r="I153" s="331"/>
      <c r="J153" s="331"/>
      <c r="K153" s="331"/>
      <c r="L153" s="331"/>
      <c r="M153" s="331"/>
      <c r="N153" s="331"/>
      <c r="O153" s="331"/>
      <c r="P153" s="331"/>
      <c r="Q153" s="331"/>
    </row>
    <row r="154" spans="1:17" ht="19.5" customHeight="1" x14ac:dyDescent="0.25">
      <c r="A154" s="331"/>
      <c r="B154" s="331"/>
      <c r="C154" s="331"/>
      <c r="D154" s="333"/>
      <c r="E154" s="333"/>
      <c r="F154" s="333"/>
      <c r="G154" s="331"/>
      <c r="H154" s="331"/>
      <c r="I154" s="331"/>
      <c r="J154" s="331"/>
      <c r="K154" s="331"/>
      <c r="L154" s="331"/>
      <c r="M154" s="331"/>
      <c r="N154" s="331"/>
      <c r="O154" s="331"/>
      <c r="P154" s="331"/>
      <c r="Q154" s="331"/>
    </row>
    <row r="155" spans="1:17" ht="19.5" customHeight="1" x14ac:dyDescent="0.25">
      <c r="A155" s="331"/>
      <c r="B155" s="331"/>
      <c r="C155" s="331"/>
      <c r="D155" s="333"/>
      <c r="E155" s="333"/>
      <c r="F155" s="333"/>
      <c r="G155" s="331"/>
      <c r="H155" s="331"/>
      <c r="I155" s="331"/>
      <c r="J155" s="331"/>
      <c r="K155" s="331"/>
      <c r="L155" s="331"/>
      <c r="M155" s="331"/>
      <c r="N155" s="331"/>
      <c r="O155" s="331"/>
      <c r="P155" s="331"/>
      <c r="Q155" s="331"/>
    </row>
    <row r="156" spans="1:17" ht="19.5" customHeight="1" x14ac:dyDescent="0.25">
      <c r="A156" s="331"/>
      <c r="B156" s="331"/>
      <c r="C156" s="331"/>
      <c r="D156" s="333"/>
      <c r="E156" s="333"/>
      <c r="F156" s="333"/>
      <c r="G156" s="331"/>
      <c r="H156" s="331"/>
      <c r="I156" s="331"/>
      <c r="J156" s="331"/>
      <c r="K156" s="331"/>
      <c r="L156" s="331"/>
      <c r="M156" s="331"/>
      <c r="N156" s="331"/>
      <c r="O156" s="331"/>
      <c r="P156" s="331"/>
      <c r="Q156" s="331"/>
    </row>
    <row r="157" spans="1:17" ht="19.5" customHeight="1" x14ac:dyDescent="0.25">
      <c r="A157" s="331"/>
      <c r="B157" s="331"/>
      <c r="C157" s="331"/>
      <c r="D157" s="333"/>
      <c r="E157" s="333"/>
      <c r="F157" s="333"/>
      <c r="G157" s="331"/>
      <c r="H157" s="331"/>
      <c r="I157" s="331"/>
      <c r="J157" s="331"/>
      <c r="K157" s="331"/>
      <c r="L157" s="331"/>
      <c r="M157" s="331"/>
      <c r="N157" s="331"/>
      <c r="O157" s="331"/>
      <c r="P157" s="331"/>
      <c r="Q157" s="331"/>
    </row>
    <row r="158" spans="1:17" ht="19.5" customHeight="1" x14ac:dyDescent="0.25">
      <c r="A158" s="331"/>
      <c r="B158" s="331"/>
      <c r="C158" s="331"/>
      <c r="D158" s="333"/>
      <c r="E158" s="333"/>
      <c r="F158" s="333"/>
      <c r="G158" s="331"/>
      <c r="H158" s="331"/>
      <c r="I158" s="331"/>
      <c r="J158" s="331"/>
      <c r="K158" s="331"/>
      <c r="L158" s="331"/>
      <c r="M158" s="331"/>
      <c r="N158" s="331"/>
      <c r="O158" s="331"/>
      <c r="P158" s="331"/>
      <c r="Q158" s="331"/>
    </row>
    <row r="159" spans="1:17" ht="19.5" customHeight="1" x14ac:dyDescent="0.25">
      <c r="A159" s="331"/>
      <c r="B159" s="331"/>
      <c r="C159" s="331"/>
      <c r="D159" s="333"/>
      <c r="E159" s="333"/>
      <c r="F159" s="333"/>
      <c r="G159" s="331"/>
      <c r="H159" s="331"/>
      <c r="I159" s="331"/>
      <c r="J159" s="331"/>
      <c r="K159" s="331"/>
      <c r="L159" s="331"/>
      <c r="M159" s="331"/>
      <c r="N159" s="331"/>
      <c r="O159" s="331"/>
      <c r="P159" s="331"/>
      <c r="Q159" s="331"/>
    </row>
    <row r="160" spans="1:17" ht="19.5" customHeight="1" x14ac:dyDescent="0.25">
      <c r="A160" s="331"/>
      <c r="B160" s="331"/>
      <c r="C160" s="331"/>
      <c r="D160" s="333"/>
      <c r="E160" s="333"/>
      <c r="F160" s="333"/>
      <c r="G160" s="331"/>
      <c r="H160" s="331"/>
      <c r="I160" s="331"/>
      <c r="J160" s="331"/>
      <c r="K160" s="331"/>
      <c r="L160" s="331"/>
      <c r="M160" s="331"/>
      <c r="N160" s="331"/>
      <c r="O160" s="331"/>
      <c r="P160" s="331"/>
      <c r="Q160" s="331"/>
    </row>
    <row r="161" spans="1:17" ht="19.5" customHeight="1" x14ac:dyDescent="0.25">
      <c r="A161" s="331"/>
      <c r="B161" s="331"/>
      <c r="C161" s="331"/>
      <c r="D161" s="333"/>
      <c r="E161" s="333"/>
      <c r="F161" s="333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31"/>
    </row>
    <row r="162" spans="1:17" ht="19.5" customHeight="1" x14ac:dyDescent="0.25">
      <c r="A162" s="331"/>
      <c r="B162" s="331"/>
      <c r="C162" s="331"/>
      <c r="D162" s="333"/>
      <c r="E162" s="333"/>
      <c r="F162" s="333"/>
      <c r="G162" s="331"/>
      <c r="H162" s="331"/>
      <c r="I162" s="331"/>
      <c r="J162" s="331"/>
      <c r="K162" s="331"/>
      <c r="L162" s="331"/>
      <c r="M162" s="331"/>
      <c r="N162" s="331"/>
      <c r="O162" s="331"/>
      <c r="P162" s="331"/>
      <c r="Q162" s="331"/>
    </row>
    <row r="163" spans="1:17" ht="19.5" customHeight="1" x14ac:dyDescent="0.25">
      <c r="A163" s="331"/>
      <c r="B163" s="331"/>
      <c r="C163" s="331"/>
      <c r="D163" s="333"/>
      <c r="E163" s="333"/>
      <c r="F163" s="333"/>
      <c r="G163" s="331"/>
      <c r="H163" s="331"/>
      <c r="I163" s="331"/>
      <c r="J163" s="331"/>
      <c r="K163" s="331"/>
      <c r="L163" s="331"/>
      <c r="M163" s="331"/>
      <c r="N163" s="331"/>
      <c r="O163" s="331"/>
      <c r="P163" s="331"/>
      <c r="Q163" s="331"/>
    </row>
    <row r="164" spans="1:17" ht="19.5" customHeight="1" x14ac:dyDescent="0.25">
      <c r="A164" s="331"/>
      <c r="B164" s="331"/>
      <c r="C164" s="331"/>
      <c r="D164" s="333"/>
      <c r="E164" s="333"/>
      <c r="F164" s="333"/>
      <c r="G164" s="331"/>
      <c r="H164" s="331"/>
      <c r="I164" s="331"/>
      <c r="J164" s="331"/>
      <c r="K164" s="331"/>
      <c r="L164" s="331"/>
      <c r="M164" s="331"/>
      <c r="N164" s="331"/>
      <c r="O164" s="331"/>
      <c r="P164" s="331"/>
      <c r="Q164" s="331"/>
    </row>
    <row r="165" spans="1:17" ht="19.5" customHeight="1" x14ac:dyDescent="0.25">
      <c r="A165" s="331"/>
      <c r="B165" s="331"/>
      <c r="C165" s="331"/>
      <c r="D165" s="333"/>
      <c r="E165" s="333"/>
      <c r="F165" s="333"/>
      <c r="G165" s="331"/>
      <c r="H165" s="331"/>
      <c r="I165" s="331"/>
      <c r="J165" s="331"/>
      <c r="K165" s="331"/>
      <c r="L165" s="331"/>
      <c r="M165" s="331"/>
      <c r="N165" s="331"/>
      <c r="O165" s="331"/>
      <c r="P165" s="331"/>
      <c r="Q165" s="331"/>
    </row>
    <row r="166" spans="1:17" ht="19.5" customHeight="1" x14ac:dyDescent="0.25">
      <c r="A166" s="331"/>
      <c r="B166" s="331"/>
      <c r="C166" s="331"/>
      <c r="D166" s="333"/>
      <c r="E166" s="333"/>
      <c r="F166" s="333"/>
      <c r="G166" s="331"/>
      <c r="H166" s="331"/>
      <c r="I166" s="331"/>
      <c r="J166" s="331"/>
      <c r="K166" s="331"/>
      <c r="L166" s="331"/>
      <c r="M166" s="331"/>
      <c r="N166" s="331"/>
      <c r="O166" s="331"/>
      <c r="P166" s="331"/>
      <c r="Q166" s="331"/>
    </row>
    <row r="167" spans="1:17" ht="19.5" customHeight="1" x14ac:dyDescent="0.25">
      <c r="A167" s="331"/>
      <c r="B167" s="331"/>
      <c r="C167" s="331"/>
      <c r="D167" s="333"/>
      <c r="E167" s="333"/>
      <c r="F167" s="333"/>
      <c r="G167" s="331"/>
      <c r="H167" s="331"/>
      <c r="I167" s="331"/>
      <c r="J167" s="331"/>
      <c r="K167" s="331"/>
      <c r="L167" s="331"/>
      <c r="M167" s="331"/>
      <c r="N167" s="331"/>
      <c r="O167" s="331"/>
      <c r="P167" s="331"/>
      <c r="Q167" s="331"/>
    </row>
    <row r="168" spans="1:17" ht="19.5" customHeight="1" x14ac:dyDescent="0.25">
      <c r="A168" s="331"/>
      <c r="B168" s="331"/>
      <c r="C168" s="331"/>
      <c r="D168" s="333"/>
      <c r="E168" s="333"/>
      <c r="F168" s="333"/>
      <c r="G168" s="331"/>
      <c r="H168" s="331"/>
      <c r="I168" s="331"/>
      <c r="J168" s="331"/>
      <c r="K168" s="331"/>
      <c r="L168" s="331"/>
      <c r="M168" s="331"/>
      <c r="N168" s="331"/>
      <c r="O168" s="331"/>
      <c r="P168" s="331"/>
      <c r="Q168" s="331"/>
    </row>
    <row r="169" spans="1:17" ht="19.5" customHeight="1" x14ac:dyDescent="0.25">
      <c r="A169" s="331"/>
      <c r="B169" s="331"/>
      <c r="C169" s="331"/>
      <c r="D169" s="333"/>
      <c r="E169" s="333"/>
      <c r="F169" s="333"/>
      <c r="G169" s="331"/>
      <c r="H169" s="331"/>
      <c r="I169" s="331"/>
      <c r="J169" s="331"/>
      <c r="K169" s="331"/>
      <c r="L169" s="331"/>
      <c r="M169" s="331"/>
      <c r="N169" s="331"/>
      <c r="O169" s="331"/>
      <c r="P169" s="331"/>
      <c r="Q169" s="331"/>
    </row>
    <row r="170" spans="1:17" ht="19.5" customHeight="1" x14ac:dyDescent="0.25">
      <c r="A170" s="331"/>
      <c r="B170" s="331"/>
      <c r="C170" s="331"/>
      <c r="D170" s="333"/>
      <c r="E170" s="333"/>
      <c r="F170" s="333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31"/>
    </row>
    <row r="171" spans="1:17" ht="19.5" customHeight="1" x14ac:dyDescent="0.25">
      <c r="A171" s="331"/>
      <c r="B171" s="331"/>
      <c r="C171" s="331"/>
      <c r="D171" s="333"/>
      <c r="E171" s="333"/>
      <c r="F171" s="333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</row>
    <row r="172" spans="1:17" ht="19.5" customHeight="1" x14ac:dyDescent="0.25">
      <c r="A172" s="331"/>
      <c r="B172" s="331"/>
      <c r="C172" s="331"/>
      <c r="D172" s="333"/>
      <c r="E172" s="333"/>
      <c r="F172" s="333"/>
      <c r="G172" s="331"/>
      <c r="H172" s="331"/>
      <c r="I172" s="331"/>
      <c r="J172" s="331"/>
      <c r="K172" s="331"/>
      <c r="L172" s="331"/>
      <c r="M172" s="331"/>
      <c r="N172" s="331"/>
      <c r="O172" s="331"/>
      <c r="P172" s="331"/>
      <c r="Q172" s="331"/>
    </row>
    <row r="173" spans="1:17" ht="19.5" customHeight="1" x14ac:dyDescent="0.25">
      <c r="A173" s="331"/>
      <c r="B173" s="331"/>
      <c r="C173" s="331"/>
      <c r="D173" s="333"/>
      <c r="E173" s="333"/>
      <c r="F173" s="333"/>
      <c r="G173" s="331"/>
      <c r="H173" s="331"/>
      <c r="I173" s="331"/>
      <c r="J173" s="331"/>
      <c r="K173" s="331"/>
      <c r="L173" s="331"/>
      <c r="M173" s="331"/>
      <c r="N173" s="331"/>
      <c r="O173" s="331"/>
      <c r="P173" s="331"/>
      <c r="Q173" s="331"/>
    </row>
    <row r="174" spans="1:17" ht="19.5" customHeight="1" x14ac:dyDescent="0.25">
      <c r="A174" s="331"/>
      <c r="B174" s="331"/>
      <c r="C174" s="331"/>
      <c r="D174" s="333"/>
      <c r="E174" s="333"/>
      <c r="F174" s="333"/>
      <c r="G174" s="331"/>
      <c r="H174" s="331"/>
      <c r="I174" s="331"/>
      <c r="J174" s="331"/>
      <c r="K174" s="331"/>
      <c r="L174" s="331"/>
      <c r="M174" s="331"/>
      <c r="N174" s="331"/>
      <c r="O174" s="331"/>
      <c r="P174" s="331"/>
      <c r="Q174" s="331"/>
    </row>
    <row r="175" spans="1:17" ht="19.5" customHeight="1" x14ac:dyDescent="0.25">
      <c r="A175" s="331"/>
      <c r="B175" s="331"/>
      <c r="C175" s="331"/>
      <c r="D175" s="333"/>
      <c r="E175" s="333"/>
      <c r="F175" s="333"/>
      <c r="G175" s="331"/>
      <c r="H175" s="331"/>
      <c r="I175" s="331"/>
      <c r="J175" s="331"/>
      <c r="K175" s="331"/>
      <c r="L175" s="331"/>
      <c r="M175" s="331"/>
      <c r="N175" s="331"/>
      <c r="O175" s="331"/>
      <c r="P175" s="331"/>
      <c r="Q175" s="331"/>
    </row>
    <row r="176" spans="1:17" ht="19.5" customHeight="1" x14ac:dyDescent="0.25">
      <c r="A176" s="331"/>
      <c r="B176" s="331"/>
      <c r="C176" s="331"/>
      <c r="D176" s="333"/>
      <c r="E176" s="333"/>
      <c r="F176" s="333"/>
      <c r="G176" s="331"/>
      <c r="H176" s="331"/>
      <c r="I176" s="331"/>
      <c r="J176" s="331"/>
      <c r="K176" s="331"/>
      <c r="L176" s="331"/>
      <c r="M176" s="331"/>
      <c r="N176" s="331"/>
      <c r="O176" s="331"/>
      <c r="P176" s="331"/>
      <c r="Q176" s="331"/>
    </row>
    <row r="177" spans="1:17" ht="19.5" customHeight="1" x14ac:dyDescent="0.25">
      <c r="A177" s="331"/>
      <c r="B177" s="331"/>
      <c r="C177" s="331"/>
      <c r="D177" s="333"/>
      <c r="E177" s="333"/>
      <c r="F177" s="333"/>
      <c r="G177" s="331"/>
      <c r="H177" s="331"/>
      <c r="I177" s="331"/>
      <c r="J177" s="331"/>
      <c r="K177" s="331"/>
      <c r="L177" s="331"/>
      <c r="M177" s="331"/>
      <c r="N177" s="331"/>
      <c r="O177" s="331"/>
      <c r="P177" s="331"/>
      <c r="Q177" s="331"/>
    </row>
    <row r="178" spans="1:17" ht="19.5" customHeight="1" x14ac:dyDescent="0.25">
      <c r="A178" s="331"/>
      <c r="B178" s="331"/>
      <c r="C178" s="331"/>
      <c r="D178" s="333"/>
      <c r="E178" s="333"/>
      <c r="F178" s="333"/>
      <c r="G178" s="331"/>
      <c r="H178" s="331"/>
      <c r="I178" s="331"/>
      <c r="J178" s="331"/>
      <c r="K178" s="331"/>
      <c r="L178" s="331"/>
      <c r="M178" s="331"/>
      <c r="N178" s="331"/>
      <c r="O178" s="331"/>
      <c r="P178" s="331"/>
      <c r="Q178" s="331"/>
    </row>
    <row r="179" spans="1:17" ht="19.5" customHeight="1" x14ac:dyDescent="0.25">
      <c r="A179" s="331"/>
      <c r="B179" s="331"/>
      <c r="C179" s="331"/>
      <c r="D179" s="333"/>
      <c r="E179" s="333"/>
      <c r="F179" s="333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31"/>
    </row>
    <row r="180" spans="1:17" ht="19.5" customHeight="1" x14ac:dyDescent="0.25">
      <c r="A180" s="331"/>
      <c r="B180" s="331"/>
      <c r="C180" s="331"/>
      <c r="D180" s="333"/>
      <c r="E180" s="333"/>
      <c r="F180" s="333"/>
      <c r="G180" s="331"/>
      <c r="H180" s="331"/>
      <c r="I180" s="331"/>
      <c r="J180" s="331"/>
      <c r="K180" s="331"/>
      <c r="L180" s="331"/>
      <c r="M180" s="331"/>
      <c r="N180" s="331"/>
      <c r="O180" s="331"/>
      <c r="P180" s="331"/>
      <c r="Q180" s="331"/>
    </row>
    <row r="181" spans="1:17" ht="19.5" customHeight="1" x14ac:dyDescent="0.25">
      <c r="A181" s="331"/>
      <c r="B181" s="331"/>
      <c r="C181" s="331"/>
      <c r="D181" s="333"/>
      <c r="E181" s="333"/>
      <c r="F181" s="333"/>
      <c r="G181" s="331"/>
      <c r="H181" s="331"/>
      <c r="I181" s="331"/>
      <c r="J181" s="331"/>
      <c r="K181" s="331"/>
      <c r="L181" s="331"/>
      <c r="M181" s="331"/>
      <c r="N181" s="331"/>
      <c r="O181" s="331"/>
      <c r="P181" s="331"/>
      <c r="Q181" s="331"/>
    </row>
    <row r="182" spans="1:17" ht="19.5" customHeight="1" x14ac:dyDescent="0.25">
      <c r="A182" s="331"/>
      <c r="B182" s="331"/>
      <c r="C182" s="331"/>
      <c r="D182" s="333"/>
      <c r="E182" s="333"/>
      <c r="F182" s="333"/>
      <c r="G182" s="331"/>
      <c r="H182" s="331"/>
      <c r="I182" s="331"/>
      <c r="J182" s="331"/>
      <c r="K182" s="331"/>
      <c r="L182" s="331"/>
      <c r="M182" s="331"/>
      <c r="N182" s="331"/>
      <c r="O182" s="331"/>
      <c r="P182" s="331"/>
      <c r="Q182" s="331"/>
    </row>
    <row r="183" spans="1:17" ht="19.5" customHeight="1" x14ac:dyDescent="0.25">
      <c r="A183" s="331"/>
      <c r="B183" s="331"/>
      <c r="C183" s="331"/>
      <c r="D183" s="333"/>
      <c r="E183" s="333"/>
      <c r="F183" s="333"/>
      <c r="G183" s="331"/>
      <c r="H183" s="331"/>
      <c r="I183" s="331"/>
      <c r="J183" s="331"/>
      <c r="K183" s="331"/>
      <c r="L183" s="331"/>
      <c r="M183" s="331"/>
      <c r="N183" s="331"/>
      <c r="O183" s="331"/>
      <c r="P183" s="331"/>
      <c r="Q183" s="331"/>
    </row>
    <row r="184" spans="1:17" ht="19.5" customHeight="1" x14ac:dyDescent="0.25">
      <c r="A184" s="331"/>
      <c r="B184" s="331"/>
      <c r="C184" s="331"/>
      <c r="D184" s="333"/>
      <c r="E184" s="333"/>
      <c r="F184" s="333"/>
      <c r="G184" s="331"/>
      <c r="H184" s="331"/>
      <c r="I184" s="331"/>
      <c r="J184" s="331"/>
      <c r="K184" s="331"/>
      <c r="L184" s="331"/>
      <c r="M184" s="331"/>
      <c r="N184" s="331"/>
      <c r="O184" s="331"/>
      <c r="P184" s="331"/>
      <c r="Q184" s="331"/>
    </row>
    <row r="185" spans="1:17" ht="19.5" customHeight="1" x14ac:dyDescent="0.25">
      <c r="A185" s="331"/>
      <c r="B185" s="331"/>
      <c r="C185" s="331"/>
      <c r="D185" s="333"/>
      <c r="E185" s="333"/>
      <c r="F185" s="333"/>
      <c r="G185" s="331"/>
      <c r="H185" s="331"/>
      <c r="I185" s="331"/>
      <c r="J185" s="331"/>
      <c r="K185" s="331"/>
      <c r="L185" s="331"/>
      <c r="M185" s="331"/>
      <c r="N185" s="331"/>
      <c r="O185" s="331"/>
      <c r="P185" s="331"/>
      <c r="Q185" s="331"/>
    </row>
    <row r="186" spans="1:17" ht="19.5" customHeight="1" x14ac:dyDescent="0.25">
      <c r="A186" s="331"/>
      <c r="B186" s="331"/>
      <c r="C186" s="331"/>
      <c r="D186" s="333"/>
      <c r="E186" s="333"/>
      <c r="F186" s="333"/>
      <c r="G186" s="331"/>
      <c r="H186" s="331"/>
      <c r="I186" s="331"/>
      <c r="J186" s="331"/>
      <c r="K186" s="331"/>
      <c r="L186" s="331"/>
      <c r="M186" s="331"/>
      <c r="N186" s="331"/>
      <c r="O186" s="331"/>
      <c r="P186" s="331"/>
      <c r="Q186" s="331"/>
    </row>
    <row r="187" spans="1:17" ht="19.5" customHeight="1" x14ac:dyDescent="0.25">
      <c r="A187" s="331"/>
      <c r="B187" s="331"/>
      <c r="C187" s="331"/>
      <c r="D187" s="333"/>
      <c r="E187" s="333"/>
      <c r="F187" s="333"/>
      <c r="G187" s="331"/>
      <c r="H187" s="331"/>
      <c r="I187" s="331"/>
      <c r="J187" s="331"/>
      <c r="K187" s="331"/>
      <c r="L187" s="331"/>
      <c r="M187" s="331"/>
      <c r="N187" s="331"/>
      <c r="O187" s="331"/>
      <c r="P187" s="331"/>
      <c r="Q187" s="331"/>
    </row>
    <row r="188" spans="1:17" ht="19.5" customHeight="1" x14ac:dyDescent="0.25">
      <c r="A188" s="331"/>
      <c r="B188" s="331"/>
      <c r="C188" s="331"/>
      <c r="D188" s="333"/>
      <c r="E188" s="333"/>
      <c r="F188" s="333"/>
      <c r="G188" s="331"/>
      <c r="H188" s="331"/>
      <c r="I188" s="331"/>
      <c r="J188" s="331"/>
      <c r="K188" s="331"/>
      <c r="L188" s="331"/>
      <c r="M188" s="331"/>
      <c r="N188" s="331"/>
      <c r="O188" s="331"/>
      <c r="P188" s="331"/>
      <c r="Q188" s="331"/>
    </row>
    <row r="189" spans="1:17" ht="19.5" customHeight="1" x14ac:dyDescent="0.25">
      <c r="A189" s="331"/>
      <c r="B189" s="331"/>
      <c r="C189" s="331"/>
      <c r="D189" s="333"/>
      <c r="E189" s="333"/>
      <c r="F189" s="333"/>
      <c r="G189" s="331"/>
      <c r="H189" s="331"/>
      <c r="I189" s="331"/>
      <c r="J189" s="331"/>
      <c r="K189" s="331"/>
      <c r="L189" s="331"/>
      <c r="M189" s="331"/>
      <c r="N189" s="331"/>
      <c r="O189" s="331"/>
      <c r="P189" s="331"/>
      <c r="Q189" s="331"/>
    </row>
    <row r="190" spans="1:17" ht="19.5" customHeight="1" x14ac:dyDescent="0.25">
      <c r="A190" s="331"/>
      <c r="B190" s="331"/>
      <c r="C190" s="331"/>
      <c r="D190" s="333"/>
      <c r="E190" s="333"/>
      <c r="F190" s="333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/>
      <c r="Q190" s="331"/>
    </row>
    <row r="191" spans="1:17" ht="19.5" customHeight="1" x14ac:dyDescent="0.25">
      <c r="A191" s="331"/>
      <c r="B191" s="331"/>
      <c r="C191" s="331"/>
      <c r="D191" s="333"/>
      <c r="E191" s="333"/>
      <c r="F191" s="333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</row>
    <row r="192" spans="1:17" ht="19.5" customHeight="1" x14ac:dyDescent="0.25">
      <c r="A192" s="331"/>
      <c r="B192" s="331"/>
      <c r="C192" s="331"/>
      <c r="D192" s="333"/>
      <c r="E192" s="333"/>
      <c r="F192" s="333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</row>
    <row r="193" spans="1:17" ht="19.5" customHeight="1" x14ac:dyDescent="0.25">
      <c r="A193" s="331"/>
      <c r="B193" s="331"/>
      <c r="C193" s="331"/>
      <c r="D193" s="333"/>
      <c r="E193" s="333"/>
      <c r="F193" s="333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</row>
    <row r="194" spans="1:17" ht="19.5" customHeight="1" x14ac:dyDescent="0.25">
      <c r="A194" s="331"/>
      <c r="B194" s="331"/>
      <c r="C194" s="331"/>
      <c r="D194" s="333"/>
      <c r="E194" s="333"/>
      <c r="F194" s="333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</row>
    <row r="195" spans="1:17" ht="19.5" customHeight="1" x14ac:dyDescent="0.25">
      <c r="A195" s="331"/>
      <c r="B195" s="331"/>
      <c r="C195" s="331"/>
      <c r="D195" s="333"/>
      <c r="E195" s="333"/>
      <c r="F195" s="333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</row>
    <row r="196" spans="1:17" ht="19.5" customHeight="1" x14ac:dyDescent="0.25">
      <c r="A196" s="331"/>
      <c r="B196" s="331"/>
      <c r="C196" s="331"/>
      <c r="D196" s="333"/>
      <c r="E196" s="333"/>
      <c r="F196" s="333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</row>
    <row r="197" spans="1:17" ht="19.5" customHeight="1" x14ac:dyDescent="0.25">
      <c r="A197" s="331"/>
      <c r="B197" s="331"/>
      <c r="C197" s="331"/>
      <c r="D197" s="333"/>
      <c r="E197" s="333"/>
      <c r="F197" s="333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</row>
    <row r="198" spans="1:17" ht="19.5" customHeight="1" x14ac:dyDescent="0.25">
      <c r="A198" s="331"/>
      <c r="B198" s="331"/>
      <c r="C198" s="331"/>
      <c r="D198" s="333"/>
      <c r="E198" s="333"/>
      <c r="F198" s="333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</row>
    <row r="199" spans="1:17" ht="19.5" customHeight="1" x14ac:dyDescent="0.25">
      <c r="A199" s="331"/>
      <c r="B199" s="331"/>
      <c r="C199" s="331"/>
      <c r="D199" s="333"/>
      <c r="E199" s="333"/>
      <c r="F199" s="333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</row>
    <row r="200" spans="1:17" ht="19.5" customHeight="1" x14ac:dyDescent="0.25">
      <c r="A200" s="331"/>
      <c r="B200" s="331"/>
      <c r="C200" s="331"/>
      <c r="D200" s="333"/>
      <c r="E200" s="333"/>
      <c r="F200" s="333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</row>
    <row r="201" spans="1:17" ht="19.5" customHeight="1" x14ac:dyDescent="0.25">
      <c r="A201" s="331"/>
      <c r="B201" s="331"/>
      <c r="C201" s="331"/>
      <c r="D201" s="333"/>
      <c r="E201" s="333"/>
      <c r="F201" s="333"/>
      <c r="G201" s="331"/>
      <c r="H201" s="331"/>
      <c r="I201" s="331"/>
      <c r="J201" s="331"/>
      <c r="K201" s="331"/>
      <c r="L201" s="331"/>
      <c r="M201" s="331"/>
      <c r="N201" s="331"/>
      <c r="O201" s="331"/>
      <c r="P201" s="331"/>
      <c r="Q201" s="331"/>
    </row>
    <row r="202" spans="1:17" ht="19.5" customHeight="1" x14ac:dyDescent="0.25">
      <c r="A202" s="331"/>
      <c r="B202" s="331"/>
      <c r="C202" s="331"/>
      <c r="D202" s="333"/>
      <c r="E202" s="333"/>
      <c r="F202" s="333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</row>
    <row r="203" spans="1:17" ht="19.5" customHeight="1" x14ac:dyDescent="0.25">
      <c r="A203" s="331"/>
      <c r="B203" s="331"/>
      <c r="C203" s="331"/>
      <c r="D203" s="333"/>
      <c r="E203" s="333"/>
      <c r="F203" s="333"/>
      <c r="G203" s="331"/>
      <c r="H203" s="331"/>
      <c r="I203" s="331"/>
      <c r="J203" s="331"/>
      <c r="K203" s="331"/>
      <c r="L203" s="331"/>
      <c r="M203" s="331"/>
      <c r="N203" s="331"/>
      <c r="O203" s="331"/>
      <c r="P203" s="331"/>
      <c r="Q203" s="331"/>
    </row>
    <row r="204" spans="1:17" ht="19.5" customHeight="1" x14ac:dyDescent="0.25">
      <c r="A204" s="331"/>
      <c r="B204" s="331"/>
      <c r="C204" s="331"/>
      <c r="D204" s="333"/>
      <c r="E204" s="333"/>
      <c r="F204" s="333"/>
      <c r="G204" s="331"/>
      <c r="H204" s="331"/>
      <c r="I204" s="331"/>
      <c r="J204" s="331"/>
      <c r="K204" s="331"/>
      <c r="L204" s="331"/>
      <c r="M204" s="331"/>
      <c r="N204" s="331"/>
      <c r="O204" s="331"/>
      <c r="P204" s="331"/>
      <c r="Q204" s="331"/>
    </row>
    <row r="205" spans="1:17" ht="19.5" customHeight="1" x14ac:dyDescent="0.25">
      <c r="A205" s="331"/>
      <c r="B205" s="331"/>
      <c r="C205" s="331"/>
      <c r="D205" s="333"/>
      <c r="E205" s="333"/>
      <c r="F205" s="333"/>
      <c r="G205" s="331"/>
      <c r="H205" s="331"/>
      <c r="I205" s="331"/>
      <c r="J205" s="331"/>
      <c r="K205" s="331"/>
      <c r="L205" s="331"/>
      <c r="M205" s="331"/>
      <c r="N205" s="331"/>
      <c r="O205" s="331"/>
      <c r="P205" s="331"/>
      <c r="Q205" s="331"/>
    </row>
    <row r="206" spans="1:17" ht="19.5" customHeight="1" x14ac:dyDescent="0.25">
      <c r="A206" s="331"/>
      <c r="B206" s="331"/>
      <c r="C206" s="331"/>
      <c r="D206" s="333"/>
      <c r="E206" s="333"/>
      <c r="F206" s="333"/>
      <c r="G206" s="331"/>
      <c r="H206" s="331"/>
      <c r="I206" s="331"/>
      <c r="J206" s="331"/>
      <c r="K206" s="331"/>
      <c r="L206" s="331"/>
      <c r="M206" s="331"/>
      <c r="N206" s="331"/>
      <c r="O206" s="331"/>
      <c r="P206" s="331"/>
      <c r="Q206" s="331"/>
    </row>
    <row r="207" spans="1:17" ht="19.5" customHeight="1" x14ac:dyDescent="0.25">
      <c r="A207" s="331"/>
      <c r="B207" s="331"/>
      <c r="C207" s="331"/>
      <c r="D207" s="333"/>
      <c r="E207" s="333"/>
      <c r="F207" s="333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/>
      <c r="Q207" s="331"/>
    </row>
    <row r="208" spans="1:17" ht="19.5" customHeight="1" x14ac:dyDescent="0.25">
      <c r="A208" s="331"/>
      <c r="B208" s="331"/>
      <c r="C208" s="331"/>
      <c r="D208" s="333"/>
      <c r="E208" s="333"/>
      <c r="F208" s="333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/>
      <c r="Q208" s="331"/>
    </row>
    <row r="209" spans="1:17" ht="19.5" customHeight="1" x14ac:dyDescent="0.25">
      <c r="A209" s="331"/>
      <c r="B209" s="331"/>
      <c r="C209" s="331"/>
      <c r="D209" s="333"/>
      <c r="E209" s="333"/>
      <c r="F209" s="333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</row>
    <row r="210" spans="1:17" ht="19.5" customHeight="1" x14ac:dyDescent="0.25">
      <c r="A210" s="331"/>
      <c r="B210" s="331"/>
      <c r="C210" s="331"/>
      <c r="D210" s="333"/>
      <c r="E210" s="333"/>
      <c r="F210" s="333"/>
      <c r="G210" s="331"/>
      <c r="H210" s="331"/>
      <c r="I210" s="331"/>
      <c r="J210" s="331"/>
      <c r="K210" s="331"/>
      <c r="L210" s="331"/>
      <c r="M210" s="331"/>
      <c r="N210" s="331"/>
      <c r="O210" s="331"/>
      <c r="P210" s="331"/>
      <c r="Q210" s="331"/>
    </row>
    <row r="211" spans="1:17" ht="19.5" customHeight="1" x14ac:dyDescent="0.25">
      <c r="A211" s="331"/>
      <c r="B211" s="331"/>
      <c r="C211" s="331"/>
      <c r="D211" s="333"/>
      <c r="E211" s="333"/>
      <c r="F211" s="333"/>
      <c r="G211" s="331"/>
      <c r="H211" s="331"/>
      <c r="I211" s="331"/>
      <c r="J211" s="331"/>
      <c r="K211" s="331"/>
      <c r="L211" s="331"/>
      <c r="M211" s="331"/>
      <c r="N211" s="331"/>
      <c r="O211" s="331"/>
      <c r="P211" s="331"/>
      <c r="Q211" s="331"/>
    </row>
    <row r="212" spans="1:17" ht="19.5" customHeight="1" x14ac:dyDescent="0.25">
      <c r="A212" s="331"/>
      <c r="B212" s="331"/>
      <c r="C212" s="331"/>
      <c r="D212" s="333"/>
      <c r="E212" s="333"/>
      <c r="F212" s="333"/>
      <c r="G212" s="331"/>
      <c r="H212" s="331"/>
      <c r="I212" s="331"/>
      <c r="J212" s="331"/>
      <c r="K212" s="331"/>
      <c r="L212" s="331"/>
      <c r="M212" s="331"/>
      <c r="N212" s="331"/>
      <c r="O212" s="331"/>
      <c r="P212" s="331"/>
      <c r="Q212" s="331"/>
    </row>
    <row r="213" spans="1:17" ht="19.5" customHeight="1" x14ac:dyDescent="0.25">
      <c r="A213" s="331"/>
      <c r="B213" s="331"/>
      <c r="C213" s="331"/>
      <c r="D213" s="333"/>
      <c r="E213" s="333"/>
      <c r="F213" s="333"/>
      <c r="G213" s="331"/>
      <c r="H213" s="331"/>
      <c r="I213" s="331"/>
      <c r="J213" s="331"/>
      <c r="K213" s="331"/>
      <c r="L213" s="331"/>
      <c r="M213" s="331"/>
      <c r="N213" s="331"/>
      <c r="O213" s="331"/>
      <c r="P213" s="331"/>
      <c r="Q213" s="331"/>
    </row>
    <row r="214" spans="1:17" ht="19.5" customHeight="1" x14ac:dyDescent="0.25">
      <c r="A214" s="331"/>
      <c r="B214" s="331"/>
      <c r="C214" s="331"/>
      <c r="D214" s="333"/>
      <c r="E214" s="333"/>
      <c r="F214" s="333"/>
      <c r="G214" s="331"/>
      <c r="H214" s="331"/>
      <c r="I214" s="331"/>
      <c r="J214" s="331"/>
      <c r="K214" s="331"/>
      <c r="L214" s="331"/>
      <c r="M214" s="331"/>
      <c r="N214" s="331"/>
      <c r="O214" s="331"/>
      <c r="P214" s="331"/>
      <c r="Q214" s="331"/>
    </row>
    <row r="215" spans="1:17" ht="19.5" customHeight="1" x14ac:dyDescent="0.25">
      <c r="A215" s="331"/>
      <c r="B215" s="331"/>
      <c r="C215" s="331"/>
      <c r="D215" s="333"/>
      <c r="E215" s="333"/>
      <c r="F215" s="333"/>
      <c r="G215" s="331"/>
      <c r="H215" s="331"/>
      <c r="I215" s="331"/>
      <c r="J215" s="331"/>
      <c r="K215" s="331"/>
      <c r="L215" s="331"/>
      <c r="M215" s="331"/>
      <c r="N215" s="331"/>
      <c r="O215" s="331"/>
      <c r="P215" s="331"/>
      <c r="Q215" s="331"/>
    </row>
    <row r="216" spans="1:17" ht="19.5" customHeight="1" x14ac:dyDescent="0.25">
      <c r="A216" s="331"/>
      <c r="B216" s="331"/>
      <c r="C216" s="331"/>
      <c r="D216" s="333"/>
      <c r="E216" s="333"/>
      <c r="F216" s="333"/>
      <c r="G216" s="331"/>
      <c r="H216" s="331"/>
      <c r="I216" s="331"/>
      <c r="J216" s="331"/>
      <c r="K216" s="331"/>
      <c r="L216" s="331"/>
      <c r="M216" s="331"/>
      <c r="N216" s="331"/>
      <c r="O216" s="331"/>
      <c r="P216" s="331"/>
      <c r="Q216" s="331"/>
    </row>
    <row r="217" spans="1:17" ht="19.5" customHeight="1" x14ac:dyDescent="0.25">
      <c r="A217" s="331"/>
      <c r="B217" s="331"/>
      <c r="C217" s="331"/>
      <c r="D217" s="333"/>
      <c r="E217" s="333"/>
      <c r="F217" s="333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</row>
    <row r="218" spans="1:17" ht="19.5" customHeight="1" x14ac:dyDescent="0.25">
      <c r="A218" s="331"/>
      <c r="B218" s="331"/>
      <c r="C218" s="331"/>
      <c r="D218" s="333"/>
      <c r="E218" s="333"/>
      <c r="F218" s="333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</row>
    <row r="219" spans="1:17" ht="19.5" customHeight="1" x14ac:dyDescent="0.25">
      <c r="A219" s="331"/>
      <c r="B219" s="331"/>
      <c r="C219" s="331"/>
      <c r="D219" s="333"/>
      <c r="E219" s="333"/>
      <c r="F219" s="333"/>
      <c r="G219" s="331"/>
      <c r="H219" s="331"/>
      <c r="I219" s="331"/>
      <c r="J219" s="331"/>
      <c r="K219" s="331"/>
      <c r="L219" s="331"/>
      <c r="M219" s="331"/>
      <c r="N219" s="331"/>
      <c r="O219" s="331"/>
      <c r="P219" s="331"/>
      <c r="Q219" s="331"/>
    </row>
    <row r="220" spans="1:17" ht="19.5" customHeight="1" x14ac:dyDescent="0.25">
      <c r="A220" s="331"/>
      <c r="B220" s="331"/>
      <c r="C220" s="331"/>
      <c r="D220" s="333"/>
      <c r="E220" s="333"/>
      <c r="F220" s="333"/>
      <c r="G220" s="331"/>
      <c r="H220" s="331"/>
      <c r="I220" s="331"/>
      <c r="J220" s="331"/>
      <c r="K220" s="331"/>
      <c r="L220" s="331"/>
      <c r="M220" s="331"/>
      <c r="N220" s="331"/>
      <c r="O220" s="331"/>
      <c r="P220" s="331"/>
      <c r="Q220" s="331"/>
    </row>
    <row r="221" spans="1:17" ht="19.5" customHeight="1" x14ac:dyDescent="0.25">
      <c r="A221" s="331"/>
      <c r="B221" s="331"/>
      <c r="C221" s="331"/>
      <c r="D221" s="333"/>
      <c r="E221" s="333"/>
      <c r="F221" s="333"/>
      <c r="G221" s="331"/>
      <c r="H221" s="331"/>
      <c r="I221" s="331"/>
      <c r="J221" s="331"/>
      <c r="K221" s="331"/>
      <c r="L221" s="331"/>
      <c r="M221" s="331"/>
      <c r="N221" s="331"/>
      <c r="O221" s="331"/>
      <c r="P221" s="331"/>
      <c r="Q221" s="331"/>
    </row>
    <row r="222" spans="1:17" ht="19.5" customHeight="1" x14ac:dyDescent="0.25">
      <c r="A222" s="331"/>
      <c r="B222" s="331"/>
      <c r="C222" s="331"/>
      <c r="D222" s="333"/>
      <c r="E222" s="333"/>
      <c r="F222" s="333"/>
      <c r="G222" s="331"/>
      <c r="H222" s="331"/>
      <c r="I222" s="331"/>
      <c r="J222" s="331"/>
      <c r="K222" s="331"/>
      <c r="L222" s="331"/>
      <c r="M222" s="331"/>
      <c r="N222" s="331"/>
      <c r="O222" s="331"/>
      <c r="P222" s="331"/>
      <c r="Q222" s="331"/>
    </row>
    <row r="223" spans="1:17" ht="19.5" customHeight="1" x14ac:dyDescent="0.25">
      <c r="A223" s="331"/>
      <c r="B223" s="331"/>
      <c r="C223" s="331"/>
      <c r="D223" s="333"/>
      <c r="E223" s="333"/>
      <c r="F223" s="333"/>
      <c r="G223" s="331"/>
      <c r="H223" s="331"/>
      <c r="I223" s="331"/>
      <c r="J223" s="331"/>
      <c r="K223" s="331"/>
      <c r="L223" s="331"/>
      <c r="M223" s="331"/>
      <c r="N223" s="331"/>
      <c r="O223" s="331"/>
      <c r="P223" s="331"/>
      <c r="Q223" s="331"/>
    </row>
    <row r="224" spans="1:17" ht="19.5" customHeight="1" x14ac:dyDescent="0.25">
      <c r="A224" s="331"/>
      <c r="B224" s="331"/>
      <c r="C224" s="331"/>
      <c r="D224" s="333"/>
      <c r="E224" s="333"/>
      <c r="F224" s="333"/>
      <c r="G224" s="331"/>
      <c r="H224" s="331"/>
      <c r="I224" s="331"/>
      <c r="J224" s="331"/>
      <c r="K224" s="331"/>
      <c r="L224" s="331"/>
      <c r="M224" s="331"/>
      <c r="N224" s="331"/>
      <c r="O224" s="331"/>
      <c r="P224" s="331"/>
      <c r="Q224" s="331"/>
    </row>
    <row r="225" spans="1:17" ht="19.5" customHeight="1" x14ac:dyDescent="0.25">
      <c r="A225" s="331"/>
      <c r="B225" s="331"/>
      <c r="C225" s="331"/>
      <c r="D225" s="333"/>
      <c r="E225" s="333"/>
      <c r="F225" s="333"/>
      <c r="G225" s="331"/>
      <c r="H225" s="331"/>
      <c r="I225" s="331"/>
      <c r="J225" s="331"/>
      <c r="K225" s="331"/>
      <c r="L225" s="331"/>
      <c r="M225" s="331"/>
      <c r="N225" s="331"/>
      <c r="O225" s="331"/>
      <c r="P225" s="331"/>
      <c r="Q225" s="331"/>
    </row>
    <row r="226" spans="1:17" ht="19.5" customHeight="1" x14ac:dyDescent="0.25">
      <c r="A226" s="331"/>
      <c r="B226" s="331"/>
      <c r="C226" s="331"/>
      <c r="D226" s="333"/>
      <c r="E226" s="333"/>
      <c r="F226" s="333"/>
      <c r="G226" s="331"/>
      <c r="H226" s="331"/>
      <c r="I226" s="331"/>
      <c r="J226" s="331"/>
      <c r="K226" s="331"/>
      <c r="L226" s="331"/>
      <c r="M226" s="331"/>
      <c r="N226" s="331"/>
      <c r="O226" s="331"/>
      <c r="P226" s="331"/>
      <c r="Q226" s="331"/>
    </row>
    <row r="227" spans="1:17" ht="19.5" customHeight="1" x14ac:dyDescent="0.25">
      <c r="A227" s="331"/>
      <c r="B227" s="331"/>
      <c r="C227" s="331"/>
      <c r="D227" s="333"/>
      <c r="E227" s="333"/>
      <c r="F227" s="333"/>
      <c r="G227" s="331"/>
      <c r="H227" s="331"/>
      <c r="I227" s="331"/>
      <c r="J227" s="331"/>
      <c r="K227" s="331"/>
      <c r="L227" s="331"/>
      <c r="M227" s="331"/>
      <c r="N227" s="331"/>
      <c r="O227" s="331"/>
      <c r="P227" s="331"/>
      <c r="Q227" s="331"/>
    </row>
    <row r="228" spans="1:17" ht="19.5" customHeight="1" x14ac:dyDescent="0.25">
      <c r="A228" s="331"/>
      <c r="B228" s="331"/>
      <c r="C228" s="331"/>
      <c r="D228" s="333"/>
      <c r="E228" s="333"/>
      <c r="F228" s="333"/>
      <c r="G228" s="331"/>
      <c r="H228" s="331"/>
      <c r="I228" s="331"/>
      <c r="J228" s="331"/>
      <c r="K228" s="331"/>
      <c r="L228" s="331"/>
      <c r="M228" s="331"/>
      <c r="N228" s="331"/>
      <c r="O228" s="331"/>
      <c r="P228" s="331"/>
      <c r="Q228" s="331"/>
    </row>
    <row r="229" spans="1:17" ht="19.5" customHeight="1" x14ac:dyDescent="0.25">
      <c r="A229" s="331"/>
      <c r="B229" s="331"/>
      <c r="C229" s="331"/>
      <c r="D229" s="333"/>
      <c r="E229" s="333"/>
      <c r="F229" s="333"/>
      <c r="G229" s="331"/>
      <c r="H229" s="331"/>
      <c r="I229" s="331"/>
      <c r="J229" s="331"/>
      <c r="K229" s="331"/>
      <c r="L229" s="331"/>
      <c r="M229" s="331"/>
      <c r="N229" s="331"/>
      <c r="O229" s="331"/>
      <c r="P229" s="331"/>
      <c r="Q229" s="331"/>
    </row>
    <row r="230" spans="1:17" ht="19.5" customHeight="1" x14ac:dyDescent="0.25">
      <c r="A230" s="331"/>
      <c r="B230" s="331"/>
      <c r="C230" s="331"/>
      <c r="D230" s="333"/>
      <c r="E230" s="333"/>
      <c r="F230" s="333"/>
      <c r="G230" s="331"/>
      <c r="H230" s="331"/>
      <c r="I230" s="331"/>
      <c r="J230" s="331"/>
      <c r="K230" s="331"/>
      <c r="L230" s="331"/>
      <c r="M230" s="331"/>
      <c r="N230" s="331"/>
      <c r="O230" s="331"/>
      <c r="P230" s="331"/>
      <c r="Q230" s="331"/>
    </row>
    <row r="231" spans="1:17" ht="19.5" customHeight="1" x14ac:dyDescent="0.25">
      <c r="A231" s="331"/>
      <c r="B231" s="331"/>
      <c r="C231" s="331"/>
      <c r="D231" s="333"/>
      <c r="E231" s="333"/>
      <c r="F231" s="333"/>
      <c r="G231" s="331"/>
      <c r="H231" s="331"/>
      <c r="I231" s="331"/>
      <c r="J231" s="331"/>
      <c r="K231" s="331"/>
      <c r="L231" s="331"/>
      <c r="M231" s="331"/>
      <c r="N231" s="331"/>
      <c r="O231" s="331"/>
      <c r="P231" s="331"/>
      <c r="Q231" s="331"/>
    </row>
    <row r="232" spans="1:17" ht="19.5" customHeight="1" x14ac:dyDescent="0.25">
      <c r="A232" s="331"/>
      <c r="B232" s="331"/>
      <c r="C232" s="331"/>
      <c r="D232" s="333"/>
      <c r="E232" s="333"/>
      <c r="F232" s="333"/>
      <c r="G232" s="331"/>
      <c r="H232" s="331"/>
      <c r="I232" s="331"/>
      <c r="J232" s="331"/>
      <c r="K232" s="331"/>
      <c r="L232" s="331"/>
      <c r="M232" s="331"/>
      <c r="N232" s="331"/>
      <c r="O232" s="331"/>
      <c r="P232" s="331"/>
      <c r="Q232" s="331"/>
    </row>
    <row r="233" spans="1:17" ht="19.5" customHeight="1" x14ac:dyDescent="0.25">
      <c r="A233" s="331"/>
      <c r="B233" s="331"/>
      <c r="C233" s="331"/>
      <c r="D233" s="333"/>
      <c r="E233" s="333"/>
      <c r="F233" s="333"/>
      <c r="G233" s="331"/>
      <c r="H233" s="331"/>
      <c r="I233" s="331"/>
      <c r="J233" s="331"/>
      <c r="K233" s="331"/>
      <c r="L233" s="331"/>
      <c r="M233" s="331"/>
      <c r="N233" s="331"/>
      <c r="O233" s="331"/>
      <c r="P233" s="331"/>
      <c r="Q233" s="331"/>
    </row>
    <row r="234" spans="1:17" ht="19.5" customHeight="1" x14ac:dyDescent="0.25">
      <c r="A234" s="331"/>
      <c r="B234" s="331"/>
      <c r="C234" s="331"/>
      <c r="D234" s="333"/>
      <c r="E234" s="333"/>
      <c r="F234" s="333"/>
      <c r="G234" s="331"/>
      <c r="H234" s="331"/>
      <c r="I234" s="331"/>
      <c r="J234" s="331"/>
      <c r="K234" s="331"/>
      <c r="L234" s="331"/>
      <c r="M234" s="331"/>
      <c r="N234" s="331"/>
      <c r="O234" s="331"/>
      <c r="P234" s="331"/>
      <c r="Q234" s="331"/>
    </row>
    <row r="235" spans="1:17" ht="19.5" customHeight="1" x14ac:dyDescent="0.25">
      <c r="A235" s="331"/>
      <c r="B235" s="331"/>
      <c r="C235" s="331"/>
      <c r="D235" s="333"/>
      <c r="E235" s="333"/>
      <c r="F235" s="333"/>
      <c r="G235" s="331"/>
      <c r="H235" s="331"/>
      <c r="I235" s="331"/>
      <c r="J235" s="331"/>
      <c r="K235" s="331"/>
      <c r="L235" s="331"/>
      <c r="M235" s="331"/>
      <c r="N235" s="331"/>
      <c r="O235" s="331"/>
      <c r="P235" s="331"/>
      <c r="Q235" s="331"/>
    </row>
    <row r="236" spans="1:17" ht="19.5" customHeight="1" x14ac:dyDescent="0.25">
      <c r="A236" s="331"/>
      <c r="B236" s="331"/>
      <c r="C236" s="331"/>
      <c r="D236" s="333"/>
      <c r="E236" s="333"/>
      <c r="F236" s="333"/>
      <c r="G236" s="331"/>
      <c r="H236" s="331"/>
      <c r="I236" s="331"/>
      <c r="J236" s="331"/>
      <c r="K236" s="331"/>
      <c r="L236" s="331"/>
      <c r="M236" s="331"/>
      <c r="N236" s="331"/>
      <c r="O236" s="331"/>
      <c r="P236" s="331"/>
      <c r="Q236" s="331"/>
    </row>
    <row r="237" spans="1:17" ht="19.5" customHeight="1" x14ac:dyDescent="0.25">
      <c r="A237" s="331"/>
      <c r="B237" s="331"/>
      <c r="C237" s="331"/>
      <c r="D237" s="333"/>
      <c r="E237" s="333"/>
      <c r="F237" s="333"/>
      <c r="G237" s="331"/>
      <c r="H237" s="331"/>
      <c r="I237" s="331"/>
      <c r="J237" s="331"/>
      <c r="K237" s="331"/>
      <c r="L237" s="331"/>
      <c r="M237" s="331"/>
      <c r="N237" s="331"/>
      <c r="O237" s="331"/>
      <c r="P237" s="331"/>
      <c r="Q237" s="331"/>
    </row>
    <row r="238" spans="1:17" ht="19.5" customHeight="1" x14ac:dyDescent="0.25">
      <c r="A238" s="331"/>
      <c r="B238" s="331"/>
      <c r="C238" s="331"/>
      <c r="D238" s="333"/>
      <c r="E238" s="333"/>
      <c r="F238" s="333"/>
      <c r="G238" s="331"/>
      <c r="H238" s="331"/>
      <c r="I238" s="331"/>
      <c r="J238" s="331"/>
      <c r="K238" s="331"/>
      <c r="L238" s="331"/>
      <c r="M238" s="331"/>
      <c r="N238" s="331"/>
      <c r="O238" s="331"/>
      <c r="P238" s="331"/>
      <c r="Q238" s="331"/>
    </row>
    <row r="239" spans="1:17" ht="19.5" customHeight="1" x14ac:dyDescent="0.25">
      <c r="A239" s="331"/>
      <c r="B239" s="331"/>
      <c r="C239" s="331"/>
      <c r="D239" s="333"/>
      <c r="E239" s="333"/>
      <c r="F239" s="333"/>
      <c r="G239" s="331"/>
      <c r="H239" s="331"/>
      <c r="I239" s="331"/>
      <c r="J239" s="331"/>
      <c r="K239" s="331"/>
      <c r="L239" s="331"/>
      <c r="M239" s="331"/>
      <c r="N239" s="331"/>
      <c r="O239" s="331"/>
      <c r="P239" s="331"/>
      <c r="Q239" s="331"/>
    </row>
    <row r="240" spans="1:17" ht="19.5" customHeight="1" x14ac:dyDescent="0.25">
      <c r="A240" s="331"/>
      <c r="B240" s="331"/>
      <c r="C240" s="331"/>
      <c r="D240" s="333"/>
      <c r="E240" s="333"/>
      <c r="F240" s="333"/>
      <c r="G240" s="331"/>
      <c r="H240" s="331"/>
      <c r="I240" s="331"/>
      <c r="J240" s="331"/>
      <c r="K240" s="331"/>
      <c r="L240" s="331"/>
      <c r="M240" s="331"/>
      <c r="N240" s="331"/>
      <c r="O240" s="331"/>
      <c r="P240" s="331"/>
      <c r="Q240" s="331"/>
    </row>
    <row r="241" spans="1:17" ht="19.5" customHeight="1" x14ac:dyDescent="0.25">
      <c r="A241" s="331"/>
      <c r="B241" s="331"/>
      <c r="C241" s="331"/>
      <c r="D241" s="333"/>
      <c r="E241" s="333"/>
      <c r="F241" s="333"/>
      <c r="G241" s="331"/>
      <c r="H241" s="331"/>
      <c r="I241" s="331"/>
      <c r="J241" s="331"/>
      <c r="K241" s="331"/>
      <c r="L241" s="331"/>
      <c r="M241" s="331"/>
      <c r="N241" s="331"/>
      <c r="O241" s="331"/>
      <c r="P241" s="331"/>
      <c r="Q241" s="331"/>
    </row>
    <row r="242" spans="1:17" ht="19.5" customHeight="1" x14ac:dyDescent="0.25">
      <c r="A242" s="331"/>
      <c r="B242" s="331"/>
      <c r="C242" s="331"/>
      <c r="D242" s="333"/>
      <c r="E242" s="333"/>
      <c r="F242" s="333"/>
      <c r="G242" s="331"/>
      <c r="H242" s="331"/>
      <c r="I242" s="331"/>
      <c r="J242" s="331"/>
      <c r="K242" s="331"/>
      <c r="L242" s="331"/>
      <c r="M242" s="331"/>
      <c r="N242" s="331"/>
      <c r="O242" s="331"/>
      <c r="P242" s="331"/>
      <c r="Q242" s="331"/>
    </row>
    <row r="243" spans="1:17" ht="19.5" customHeight="1" x14ac:dyDescent="0.25">
      <c r="A243" s="331"/>
      <c r="B243" s="331"/>
      <c r="C243" s="331"/>
      <c r="D243" s="333"/>
      <c r="E243" s="333"/>
      <c r="F243" s="333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/>
      <c r="Q243" s="331"/>
    </row>
    <row r="244" spans="1:17" ht="19.5" customHeight="1" x14ac:dyDescent="0.25">
      <c r="A244" s="331"/>
      <c r="B244" s="331"/>
      <c r="C244" s="331"/>
      <c r="D244" s="333"/>
      <c r="E244" s="333"/>
      <c r="F244" s="333"/>
      <c r="G244" s="331"/>
      <c r="H244" s="331"/>
      <c r="I244" s="331"/>
      <c r="J244" s="331"/>
      <c r="K244" s="331"/>
      <c r="L244" s="331"/>
      <c r="M244" s="331"/>
      <c r="N244" s="331"/>
      <c r="O244" s="331"/>
      <c r="P244" s="331"/>
      <c r="Q244" s="331"/>
    </row>
    <row r="245" spans="1:17" ht="19.5" customHeight="1" x14ac:dyDescent="0.25">
      <c r="A245" s="331"/>
      <c r="B245" s="331"/>
      <c r="C245" s="331"/>
      <c r="D245" s="333"/>
      <c r="E245" s="333"/>
      <c r="F245" s="333"/>
      <c r="G245" s="331"/>
      <c r="H245" s="331"/>
      <c r="I245" s="331"/>
      <c r="J245" s="331"/>
      <c r="K245" s="331"/>
      <c r="L245" s="331"/>
      <c r="M245" s="331"/>
      <c r="N245" s="331"/>
      <c r="O245" s="331"/>
      <c r="P245" s="331"/>
      <c r="Q245" s="331"/>
    </row>
    <row r="246" spans="1:17" ht="19.5" customHeight="1" x14ac:dyDescent="0.25">
      <c r="A246" s="331"/>
      <c r="B246" s="331"/>
      <c r="C246" s="331"/>
      <c r="D246" s="333"/>
      <c r="E246" s="333"/>
      <c r="F246" s="333"/>
      <c r="G246" s="331"/>
      <c r="H246" s="331"/>
      <c r="I246" s="331"/>
      <c r="J246" s="331"/>
      <c r="K246" s="331"/>
      <c r="L246" s="331"/>
      <c r="M246" s="331"/>
      <c r="N246" s="331"/>
      <c r="O246" s="331"/>
      <c r="P246" s="331"/>
      <c r="Q246" s="331"/>
    </row>
    <row r="247" spans="1:17" ht="19.5" customHeight="1" x14ac:dyDescent="0.25">
      <c r="A247" s="331"/>
      <c r="B247" s="331"/>
      <c r="C247" s="331"/>
      <c r="D247" s="333"/>
      <c r="E247" s="333"/>
      <c r="F247" s="333"/>
      <c r="G247" s="331"/>
      <c r="H247" s="331"/>
      <c r="I247" s="331"/>
      <c r="J247" s="331"/>
      <c r="K247" s="331"/>
      <c r="L247" s="331"/>
      <c r="M247" s="331"/>
      <c r="N247" s="331"/>
      <c r="O247" s="331"/>
      <c r="P247" s="331"/>
      <c r="Q247" s="331"/>
    </row>
    <row r="248" spans="1:17" ht="19.5" customHeight="1" x14ac:dyDescent="0.25">
      <c r="A248" s="331"/>
      <c r="B248" s="331"/>
      <c r="C248" s="331"/>
      <c r="D248" s="333"/>
      <c r="E248" s="333"/>
      <c r="F248" s="333"/>
      <c r="G248" s="331"/>
      <c r="H248" s="331"/>
      <c r="I248" s="331"/>
      <c r="J248" s="331"/>
      <c r="K248" s="331"/>
      <c r="L248" s="331"/>
      <c r="M248" s="331"/>
      <c r="N248" s="331"/>
      <c r="O248" s="331"/>
      <c r="P248" s="331"/>
      <c r="Q248" s="331"/>
    </row>
    <row r="249" spans="1:17" ht="19.5" customHeight="1" x14ac:dyDescent="0.25">
      <c r="A249" s="331"/>
      <c r="B249" s="331"/>
      <c r="C249" s="331"/>
      <c r="D249" s="333"/>
      <c r="E249" s="333"/>
      <c r="F249" s="333"/>
      <c r="G249" s="331"/>
      <c r="H249" s="331"/>
      <c r="I249" s="331"/>
      <c r="J249" s="331"/>
      <c r="K249" s="331"/>
      <c r="L249" s="331"/>
      <c r="M249" s="331"/>
      <c r="N249" s="331"/>
      <c r="O249" s="331"/>
      <c r="P249" s="331"/>
      <c r="Q249" s="331"/>
    </row>
    <row r="250" spans="1:17" ht="19.5" customHeight="1" x14ac:dyDescent="0.25">
      <c r="A250" s="331"/>
      <c r="B250" s="331"/>
      <c r="C250" s="331"/>
      <c r="D250" s="333"/>
      <c r="E250" s="333"/>
      <c r="F250" s="333"/>
      <c r="G250" s="331"/>
      <c r="H250" s="331"/>
      <c r="I250" s="331"/>
      <c r="J250" s="331"/>
      <c r="K250" s="331"/>
      <c r="L250" s="331"/>
      <c r="M250" s="331"/>
      <c r="N250" s="331"/>
      <c r="O250" s="331"/>
      <c r="P250" s="331"/>
      <c r="Q250" s="331"/>
    </row>
    <row r="251" spans="1:17" ht="19.5" customHeight="1" x14ac:dyDescent="0.25">
      <c r="A251" s="331"/>
      <c r="B251" s="331"/>
      <c r="C251" s="331"/>
      <c r="D251" s="333"/>
      <c r="E251" s="333"/>
      <c r="F251" s="333"/>
      <c r="G251" s="331"/>
      <c r="H251" s="331"/>
      <c r="I251" s="331"/>
      <c r="J251" s="331"/>
      <c r="K251" s="331"/>
      <c r="L251" s="331"/>
      <c r="M251" s="331"/>
      <c r="N251" s="331"/>
      <c r="O251" s="331"/>
      <c r="P251" s="331"/>
      <c r="Q251" s="331"/>
    </row>
    <row r="252" spans="1:17" ht="19.5" customHeight="1" x14ac:dyDescent="0.25">
      <c r="A252" s="331"/>
      <c r="B252" s="331"/>
      <c r="C252" s="331"/>
      <c r="D252" s="333"/>
      <c r="E252" s="333"/>
      <c r="F252" s="333"/>
      <c r="G252" s="331"/>
      <c r="H252" s="331"/>
      <c r="I252" s="331"/>
      <c r="J252" s="331"/>
      <c r="K252" s="331"/>
      <c r="L252" s="331"/>
      <c r="M252" s="331"/>
      <c r="N252" s="331"/>
      <c r="O252" s="331"/>
      <c r="P252" s="331"/>
      <c r="Q252" s="331"/>
    </row>
    <row r="253" spans="1:17" ht="19.5" customHeight="1" x14ac:dyDescent="0.25">
      <c r="A253" s="331"/>
      <c r="B253" s="331"/>
      <c r="C253" s="331"/>
      <c r="D253" s="333"/>
      <c r="E253" s="333"/>
      <c r="F253" s="333"/>
      <c r="G253" s="331"/>
      <c r="H253" s="331"/>
      <c r="I253" s="331"/>
      <c r="J253" s="331"/>
      <c r="K253" s="331"/>
      <c r="L253" s="331"/>
      <c r="M253" s="331"/>
      <c r="N253" s="331"/>
      <c r="O253" s="331"/>
      <c r="P253" s="331"/>
      <c r="Q253" s="331"/>
    </row>
    <row r="254" spans="1:17" ht="19.5" customHeight="1" x14ac:dyDescent="0.25">
      <c r="A254" s="331"/>
      <c r="B254" s="331"/>
      <c r="C254" s="331"/>
      <c r="D254" s="333"/>
      <c r="E254" s="333"/>
      <c r="F254" s="333"/>
      <c r="G254" s="331"/>
      <c r="H254" s="331"/>
      <c r="I254" s="331"/>
      <c r="J254" s="331"/>
      <c r="K254" s="331"/>
      <c r="L254" s="331"/>
      <c r="M254" s="331"/>
      <c r="N254" s="331"/>
      <c r="O254" s="331"/>
      <c r="P254" s="331"/>
      <c r="Q254" s="331"/>
    </row>
    <row r="255" spans="1:17" ht="19.5" customHeight="1" x14ac:dyDescent="0.25">
      <c r="A255" s="331"/>
      <c r="B255" s="331"/>
      <c r="C255" s="331"/>
      <c r="D255" s="333"/>
      <c r="E255" s="333"/>
      <c r="F255" s="333"/>
      <c r="G255" s="331"/>
      <c r="H255" s="331"/>
      <c r="I255" s="331"/>
      <c r="J255" s="331"/>
      <c r="K255" s="331"/>
      <c r="L255" s="331"/>
      <c r="M255" s="331"/>
      <c r="N255" s="331"/>
      <c r="O255" s="331"/>
      <c r="P255" s="331"/>
      <c r="Q255" s="331"/>
    </row>
    <row r="256" spans="1:17" ht="19.5" customHeight="1" x14ac:dyDescent="0.25">
      <c r="A256" s="331"/>
      <c r="B256" s="331"/>
      <c r="C256" s="331"/>
      <c r="D256" s="333"/>
      <c r="E256" s="333"/>
      <c r="F256" s="333"/>
      <c r="G256" s="331"/>
      <c r="H256" s="331"/>
      <c r="I256" s="331"/>
      <c r="J256" s="331"/>
      <c r="K256" s="331"/>
      <c r="L256" s="331"/>
      <c r="M256" s="331"/>
      <c r="N256" s="331"/>
      <c r="O256" s="331"/>
      <c r="P256" s="331"/>
      <c r="Q256" s="331"/>
    </row>
    <row r="257" spans="1:17" ht="19.5" customHeight="1" x14ac:dyDescent="0.25">
      <c r="A257" s="331"/>
      <c r="B257" s="331"/>
      <c r="C257" s="331"/>
      <c r="D257" s="333"/>
      <c r="E257" s="333"/>
      <c r="F257" s="333"/>
      <c r="G257" s="331"/>
      <c r="H257" s="331"/>
      <c r="I257" s="331"/>
      <c r="J257" s="331"/>
      <c r="K257" s="331"/>
      <c r="L257" s="331"/>
      <c r="M257" s="331"/>
      <c r="N257" s="331"/>
      <c r="O257" s="331"/>
      <c r="P257" s="331"/>
      <c r="Q257" s="331"/>
    </row>
    <row r="258" spans="1:17" ht="19.5" customHeight="1" x14ac:dyDescent="0.25">
      <c r="A258" s="331"/>
      <c r="B258" s="331"/>
      <c r="C258" s="331"/>
      <c r="D258" s="333"/>
      <c r="E258" s="333"/>
      <c r="F258" s="333"/>
      <c r="G258" s="331"/>
      <c r="H258" s="331"/>
      <c r="I258" s="331"/>
      <c r="J258" s="331"/>
      <c r="K258" s="331"/>
      <c r="L258" s="331"/>
      <c r="M258" s="331"/>
      <c r="N258" s="331"/>
      <c r="O258" s="331"/>
      <c r="P258" s="331"/>
      <c r="Q258" s="331"/>
    </row>
    <row r="259" spans="1:17" ht="19.5" customHeight="1" x14ac:dyDescent="0.25">
      <c r="A259" s="331"/>
      <c r="B259" s="331"/>
      <c r="C259" s="331"/>
      <c r="D259" s="333"/>
      <c r="E259" s="333"/>
      <c r="F259" s="333"/>
      <c r="G259" s="331"/>
      <c r="H259" s="331"/>
      <c r="I259" s="331"/>
      <c r="J259" s="331"/>
      <c r="K259" s="331"/>
      <c r="L259" s="331"/>
      <c r="M259" s="331"/>
      <c r="N259" s="331"/>
      <c r="O259" s="331"/>
      <c r="P259" s="331"/>
      <c r="Q259" s="331"/>
    </row>
    <row r="260" spans="1:17" ht="19.5" customHeight="1" x14ac:dyDescent="0.25">
      <c r="A260" s="331"/>
      <c r="B260" s="331"/>
      <c r="C260" s="331"/>
      <c r="D260" s="333"/>
      <c r="E260" s="333"/>
      <c r="F260" s="333"/>
      <c r="G260" s="331"/>
      <c r="H260" s="331"/>
      <c r="I260" s="331"/>
      <c r="J260" s="331"/>
      <c r="K260" s="331"/>
      <c r="L260" s="331"/>
      <c r="M260" s="331"/>
      <c r="N260" s="331"/>
      <c r="O260" s="331"/>
      <c r="P260" s="331"/>
      <c r="Q260" s="331"/>
    </row>
    <row r="261" spans="1:17" ht="19.5" customHeight="1" x14ac:dyDescent="0.25">
      <c r="A261" s="331"/>
      <c r="B261" s="331"/>
      <c r="C261" s="331"/>
      <c r="D261" s="333"/>
      <c r="E261" s="333"/>
      <c r="F261" s="333"/>
      <c r="G261" s="331"/>
      <c r="H261" s="331"/>
      <c r="I261" s="331"/>
      <c r="J261" s="331"/>
      <c r="K261" s="331"/>
      <c r="L261" s="331"/>
      <c r="M261" s="331"/>
      <c r="N261" s="331"/>
      <c r="O261" s="331"/>
      <c r="P261" s="331"/>
      <c r="Q261" s="331"/>
    </row>
    <row r="262" spans="1:17" ht="19.5" customHeight="1" x14ac:dyDescent="0.25">
      <c r="A262" s="331"/>
      <c r="B262" s="331"/>
      <c r="C262" s="331"/>
      <c r="D262" s="333"/>
      <c r="E262" s="333"/>
      <c r="F262" s="333"/>
      <c r="G262" s="331"/>
      <c r="H262" s="331"/>
      <c r="I262" s="331"/>
      <c r="J262" s="331"/>
      <c r="K262" s="331"/>
      <c r="L262" s="331"/>
      <c r="M262" s="331"/>
      <c r="N262" s="331"/>
      <c r="O262" s="331"/>
      <c r="P262" s="331"/>
      <c r="Q262" s="331"/>
    </row>
    <row r="263" spans="1:17" ht="19.5" customHeight="1" x14ac:dyDescent="0.25">
      <c r="A263" s="331"/>
      <c r="B263" s="331"/>
      <c r="C263" s="331"/>
      <c r="D263" s="333"/>
      <c r="E263" s="333"/>
      <c r="F263" s="333"/>
      <c r="G263" s="331"/>
      <c r="H263" s="331"/>
      <c r="I263" s="331"/>
      <c r="J263" s="331"/>
      <c r="K263" s="331"/>
      <c r="L263" s="331"/>
      <c r="M263" s="331"/>
      <c r="N263" s="331"/>
      <c r="O263" s="331"/>
      <c r="P263" s="331"/>
      <c r="Q263" s="331"/>
    </row>
    <row r="264" spans="1:17" ht="19.5" customHeight="1" x14ac:dyDescent="0.25">
      <c r="A264" s="331"/>
      <c r="B264" s="331"/>
      <c r="C264" s="331"/>
      <c r="D264" s="333"/>
      <c r="E264" s="333"/>
      <c r="F264" s="333"/>
      <c r="G264" s="331"/>
      <c r="H264" s="331"/>
      <c r="I264" s="331"/>
      <c r="J264" s="331"/>
      <c r="K264" s="331"/>
      <c r="L264" s="331"/>
      <c r="M264" s="331"/>
      <c r="N264" s="331"/>
      <c r="O264" s="331"/>
      <c r="P264" s="331"/>
      <c r="Q264" s="331"/>
    </row>
    <row r="265" spans="1:17" ht="19.5" customHeight="1" x14ac:dyDescent="0.25">
      <c r="A265" s="331"/>
      <c r="B265" s="331"/>
      <c r="C265" s="331"/>
      <c r="D265" s="333"/>
      <c r="E265" s="333"/>
      <c r="F265" s="333"/>
      <c r="G265" s="331"/>
      <c r="H265" s="331"/>
      <c r="I265" s="331"/>
      <c r="J265" s="331"/>
      <c r="K265" s="331"/>
      <c r="L265" s="331"/>
      <c r="M265" s="331"/>
      <c r="N265" s="331"/>
      <c r="O265" s="331"/>
      <c r="P265" s="331"/>
      <c r="Q265" s="331"/>
    </row>
    <row r="266" spans="1:17" ht="19.5" customHeight="1" x14ac:dyDescent="0.25">
      <c r="A266" s="331"/>
      <c r="B266" s="331"/>
      <c r="C266" s="331"/>
      <c r="D266" s="333"/>
      <c r="E266" s="333"/>
      <c r="F266" s="333"/>
      <c r="G266" s="331"/>
      <c r="H266" s="331"/>
      <c r="I266" s="331"/>
      <c r="J266" s="331"/>
      <c r="K266" s="331"/>
      <c r="L266" s="331"/>
      <c r="M266" s="331"/>
      <c r="N266" s="331"/>
      <c r="O266" s="331"/>
      <c r="P266" s="331"/>
      <c r="Q266" s="331"/>
    </row>
    <row r="267" spans="1:17" ht="19.5" customHeight="1" x14ac:dyDescent="0.25">
      <c r="A267" s="331"/>
      <c r="B267" s="331"/>
      <c r="C267" s="331"/>
      <c r="D267" s="333"/>
      <c r="E267" s="333"/>
      <c r="F267" s="333"/>
      <c r="G267" s="331"/>
      <c r="H267" s="331"/>
      <c r="I267" s="331"/>
      <c r="J267" s="331"/>
      <c r="K267" s="331"/>
      <c r="L267" s="331"/>
      <c r="M267" s="331"/>
      <c r="N267" s="331"/>
      <c r="O267" s="331"/>
      <c r="P267" s="331"/>
      <c r="Q267" s="331"/>
    </row>
    <row r="268" spans="1:17" ht="19.5" customHeight="1" x14ac:dyDescent="0.25">
      <c r="A268" s="331"/>
      <c r="B268" s="331"/>
      <c r="C268" s="331"/>
      <c r="D268" s="333"/>
      <c r="E268" s="333"/>
      <c r="F268" s="333"/>
      <c r="G268" s="331"/>
      <c r="H268" s="331"/>
      <c r="I268" s="331"/>
      <c r="J268" s="331"/>
      <c r="K268" s="331"/>
      <c r="L268" s="331"/>
      <c r="M268" s="331"/>
      <c r="N268" s="331"/>
      <c r="O268" s="331"/>
      <c r="P268" s="331"/>
      <c r="Q268" s="331"/>
    </row>
    <row r="269" spans="1:17" ht="19.5" customHeight="1" x14ac:dyDescent="0.25">
      <c r="A269" s="331"/>
      <c r="B269" s="331"/>
      <c r="C269" s="331"/>
      <c r="D269" s="333"/>
      <c r="E269" s="333"/>
      <c r="F269" s="333"/>
      <c r="G269" s="331"/>
      <c r="H269" s="331"/>
      <c r="I269" s="331"/>
      <c r="J269" s="331"/>
      <c r="K269" s="331"/>
      <c r="L269" s="331"/>
      <c r="M269" s="331"/>
      <c r="N269" s="331"/>
      <c r="O269" s="331"/>
      <c r="P269" s="331"/>
      <c r="Q269" s="331"/>
    </row>
    <row r="270" spans="1:17" ht="19.5" customHeight="1" x14ac:dyDescent="0.25">
      <c r="A270" s="331"/>
      <c r="B270" s="331"/>
      <c r="C270" s="331"/>
      <c r="D270" s="333"/>
      <c r="E270" s="333"/>
      <c r="F270" s="333"/>
      <c r="G270" s="331"/>
      <c r="H270" s="331"/>
      <c r="I270" s="331"/>
      <c r="J270" s="331"/>
      <c r="K270" s="331"/>
      <c r="L270" s="331"/>
      <c r="M270" s="331"/>
      <c r="N270" s="331"/>
      <c r="O270" s="331"/>
      <c r="P270" s="331"/>
      <c r="Q270" s="331"/>
    </row>
    <row r="271" spans="1:17" ht="19.5" customHeight="1" x14ac:dyDescent="0.25">
      <c r="A271" s="331"/>
      <c r="B271" s="331"/>
      <c r="C271" s="331"/>
      <c r="D271" s="333"/>
      <c r="E271" s="333"/>
      <c r="F271" s="333"/>
      <c r="G271" s="331"/>
      <c r="H271" s="331"/>
      <c r="I271" s="331"/>
      <c r="J271" s="331"/>
      <c r="K271" s="331"/>
      <c r="L271" s="331"/>
      <c r="M271" s="331"/>
      <c r="N271" s="331"/>
      <c r="O271" s="331"/>
      <c r="P271" s="331"/>
      <c r="Q271" s="331"/>
    </row>
    <row r="272" spans="1:17" ht="19.5" customHeight="1" x14ac:dyDescent="0.25">
      <c r="A272" s="331"/>
      <c r="B272" s="331"/>
      <c r="C272" s="331"/>
      <c r="D272" s="333"/>
      <c r="E272" s="333"/>
      <c r="F272" s="333"/>
      <c r="G272" s="331"/>
      <c r="H272" s="331"/>
      <c r="I272" s="331"/>
      <c r="J272" s="331"/>
      <c r="K272" s="331"/>
      <c r="L272" s="331"/>
      <c r="M272" s="331"/>
      <c r="N272" s="331"/>
      <c r="O272" s="331"/>
      <c r="P272" s="331"/>
      <c r="Q272" s="331"/>
    </row>
    <row r="273" spans="1:17" ht="19.5" customHeight="1" x14ac:dyDescent="0.25">
      <c r="A273" s="331"/>
      <c r="B273" s="331"/>
      <c r="C273" s="331"/>
      <c r="D273" s="333"/>
      <c r="E273" s="333"/>
      <c r="F273" s="333"/>
      <c r="G273" s="331"/>
      <c r="H273" s="331"/>
      <c r="I273" s="331"/>
      <c r="J273" s="331"/>
      <c r="K273" s="331"/>
      <c r="L273" s="331"/>
      <c r="M273" s="331"/>
      <c r="N273" s="331"/>
      <c r="O273" s="331"/>
      <c r="P273" s="331"/>
      <c r="Q273" s="331"/>
    </row>
    <row r="274" spans="1:17" ht="19.5" customHeight="1" x14ac:dyDescent="0.25">
      <c r="A274" s="331"/>
      <c r="B274" s="331"/>
      <c r="C274" s="331"/>
      <c r="D274" s="333"/>
      <c r="E274" s="333"/>
      <c r="F274" s="333"/>
      <c r="G274" s="331"/>
      <c r="H274" s="331"/>
      <c r="I274" s="331"/>
      <c r="J274" s="331"/>
      <c r="K274" s="331"/>
      <c r="L274" s="331"/>
      <c r="M274" s="331"/>
      <c r="N274" s="331"/>
      <c r="O274" s="331"/>
      <c r="P274" s="331"/>
      <c r="Q274" s="331"/>
    </row>
    <row r="275" spans="1:17" ht="19.5" customHeight="1" x14ac:dyDescent="0.25">
      <c r="A275" s="331"/>
      <c r="B275" s="331"/>
      <c r="C275" s="331"/>
      <c r="D275" s="333"/>
      <c r="E275" s="333"/>
      <c r="F275" s="333"/>
      <c r="G275" s="331"/>
      <c r="H275" s="331"/>
      <c r="I275" s="331"/>
      <c r="J275" s="331"/>
      <c r="K275" s="331"/>
      <c r="L275" s="331"/>
      <c r="M275" s="331"/>
      <c r="N275" s="331"/>
      <c r="O275" s="331"/>
      <c r="P275" s="331"/>
      <c r="Q275" s="331"/>
    </row>
    <row r="276" spans="1:17" ht="19.5" customHeight="1" x14ac:dyDescent="0.25">
      <c r="A276" s="331"/>
      <c r="B276" s="331"/>
      <c r="C276" s="331"/>
      <c r="D276" s="333"/>
      <c r="E276" s="333"/>
      <c r="F276" s="333"/>
      <c r="G276" s="331"/>
      <c r="H276" s="331"/>
      <c r="I276" s="331"/>
      <c r="J276" s="331"/>
      <c r="K276" s="331"/>
      <c r="L276" s="331"/>
      <c r="M276" s="331"/>
      <c r="N276" s="331"/>
      <c r="O276" s="331"/>
      <c r="P276" s="331"/>
      <c r="Q276" s="331"/>
    </row>
    <row r="277" spans="1:17" ht="19.5" customHeight="1" x14ac:dyDescent="0.25">
      <c r="A277" s="331"/>
      <c r="B277" s="331"/>
      <c r="C277" s="331"/>
      <c r="D277" s="333"/>
      <c r="E277" s="333"/>
      <c r="F277" s="333"/>
      <c r="G277" s="331"/>
      <c r="H277" s="331"/>
      <c r="I277" s="331"/>
      <c r="J277" s="331"/>
      <c r="K277" s="331"/>
      <c r="L277" s="331"/>
      <c r="M277" s="331"/>
      <c r="N277" s="331"/>
      <c r="O277" s="331"/>
      <c r="P277" s="331"/>
      <c r="Q277" s="331"/>
    </row>
    <row r="278" spans="1:17" ht="19.5" customHeight="1" x14ac:dyDescent="0.25">
      <c r="A278" s="331"/>
      <c r="B278" s="331"/>
      <c r="C278" s="331"/>
      <c r="D278" s="333"/>
      <c r="E278" s="333"/>
      <c r="F278" s="333"/>
      <c r="G278" s="331"/>
      <c r="H278" s="331"/>
      <c r="I278" s="331"/>
      <c r="J278" s="331"/>
      <c r="K278" s="331"/>
      <c r="L278" s="331"/>
      <c r="M278" s="331"/>
      <c r="N278" s="331"/>
      <c r="O278" s="331"/>
      <c r="P278" s="331"/>
      <c r="Q278" s="331"/>
    </row>
    <row r="279" spans="1:17" ht="19.5" customHeight="1" x14ac:dyDescent="0.25">
      <c r="A279" s="331"/>
      <c r="B279" s="331"/>
      <c r="C279" s="331"/>
      <c r="D279" s="333"/>
      <c r="E279" s="333"/>
      <c r="F279" s="333"/>
      <c r="G279" s="331"/>
      <c r="H279" s="331"/>
      <c r="I279" s="331"/>
      <c r="J279" s="331"/>
      <c r="K279" s="331"/>
      <c r="L279" s="331"/>
      <c r="M279" s="331"/>
      <c r="N279" s="331"/>
      <c r="O279" s="331"/>
      <c r="P279" s="331"/>
      <c r="Q279" s="331"/>
    </row>
    <row r="280" spans="1:17" ht="19.5" customHeight="1" x14ac:dyDescent="0.25">
      <c r="A280" s="331"/>
      <c r="B280" s="331"/>
      <c r="C280" s="331"/>
      <c r="D280" s="333"/>
      <c r="E280" s="333"/>
      <c r="F280" s="333"/>
      <c r="G280" s="331"/>
      <c r="H280" s="331"/>
      <c r="I280" s="331"/>
      <c r="J280" s="331"/>
      <c r="K280" s="331"/>
      <c r="L280" s="331"/>
      <c r="M280" s="331"/>
      <c r="N280" s="331"/>
      <c r="O280" s="331"/>
      <c r="P280" s="331"/>
      <c r="Q280" s="331"/>
    </row>
    <row r="281" spans="1:17" ht="19.5" customHeight="1" x14ac:dyDescent="0.25">
      <c r="A281" s="331"/>
      <c r="B281" s="331"/>
      <c r="C281" s="331"/>
      <c r="D281" s="333"/>
      <c r="E281" s="333"/>
      <c r="F281" s="333"/>
      <c r="G281" s="331"/>
      <c r="H281" s="331"/>
      <c r="I281" s="331"/>
      <c r="J281" s="331"/>
      <c r="K281" s="331"/>
      <c r="L281" s="331"/>
      <c r="M281" s="331"/>
      <c r="N281" s="331"/>
      <c r="O281" s="331"/>
      <c r="P281" s="331"/>
      <c r="Q281" s="331"/>
    </row>
    <row r="282" spans="1:17" ht="19.5" customHeight="1" x14ac:dyDescent="0.25">
      <c r="A282" s="331"/>
      <c r="B282" s="331"/>
      <c r="C282" s="331"/>
      <c r="D282" s="333"/>
      <c r="E282" s="333"/>
      <c r="F282" s="333"/>
      <c r="G282" s="331"/>
      <c r="H282" s="331"/>
      <c r="I282" s="331"/>
      <c r="J282" s="331"/>
      <c r="K282" s="331"/>
      <c r="L282" s="331"/>
      <c r="M282" s="331"/>
      <c r="N282" s="331"/>
      <c r="O282" s="331"/>
      <c r="P282" s="331"/>
      <c r="Q282" s="331"/>
    </row>
    <row r="283" spans="1:17" ht="19.5" customHeight="1" x14ac:dyDescent="0.25">
      <c r="A283" s="331"/>
      <c r="B283" s="331"/>
      <c r="C283" s="331"/>
      <c r="D283" s="333"/>
      <c r="E283" s="333"/>
      <c r="F283" s="333"/>
      <c r="G283" s="331"/>
      <c r="H283" s="331"/>
      <c r="I283" s="331"/>
      <c r="J283" s="331"/>
      <c r="K283" s="331"/>
      <c r="L283" s="331"/>
      <c r="M283" s="331"/>
      <c r="N283" s="331"/>
      <c r="O283" s="331"/>
      <c r="P283" s="331"/>
      <c r="Q283" s="331"/>
    </row>
    <row r="284" spans="1:17" ht="19.5" customHeight="1" x14ac:dyDescent="0.25">
      <c r="A284" s="331"/>
      <c r="B284" s="331"/>
      <c r="C284" s="331"/>
      <c r="D284" s="333"/>
      <c r="E284" s="333"/>
      <c r="F284" s="333"/>
      <c r="G284" s="331"/>
      <c r="H284" s="331"/>
      <c r="I284" s="331"/>
      <c r="J284" s="331"/>
      <c r="K284" s="331"/>
      <c r="L284" s="331"/>
      <c r="M284" s="331"/>
      <c r="N284" s="331"/>
      <c r="O284" s="331"/>
      <c r="P284" s="331"/>
      <c r="Q284" s="331"/>
    </row>
    <row r="285" spans="1:17" ht="19.5" customHeight="1" x14ac:dyDescent="0.25">
      <c r="A285" s="331"/>
      <c r="B285" s="331"/>
      <c r="C285" s="331"/>
      <c r="D285" s="333"/>
      <c r="E285" s="333"/>
      <c r="F285" s="333"/>
      <c r="G285" s="331"/>
      <c r="H285" s="331"/>
      <c r="I285" s="331"/>
      <c r="J285" s="331"/>
      <c r="K285" s="331"/>
      <c r="L285" s="331"/>
      <c r="M285" s="331"/>
      <c r="N285" s="331"/>
      <c r="O285" s="331"/>
      <c r="P285" s="331"/>
      <c r="Q285" s="331"/>
    </row>
    <row r="286" spans="1:17" ht="19.5" customHeight="1" x14ac:dyDescent="0.25">
      <c r="A286" s="331"/>
      <c r="B286" s="331"/>
      <c r="C286" s="331"/>
      <c r="D286" s="333"/>
      <c r="E286" s="333"/>
      <c r="F286" s="333"/>
      <c r="G286" s="331"/>
      <c r="H286" s="331"/>
      <c r="I286" s="331"/>
      <c r="J286" s="331"/>
      <c r="K286" s="331"/>
      <c r="L286" s="331"/>
      <c r="M286" s="331"/>
      <c r="N286" s="331"/>
      <c r="O286" s="331"/>
      <c r="P286" s="331"/>
      <c r="Q286" s="331"/>
    </row>
    <row r="287" spans="1:17" ht="19.5" customHeight="1" x14ac:dyDescent="0.25">
      <c r="A287" s="331"/>
      <c r="B287" s="331"/>
      <c r="C287" s="331"/>
      <c r="D287" s="333"/>
      <c r="E287" s="333"/>
      <c r="F287" s="333"/>
      <c r="G287" s="331"/>
      <c r="H287" s="331"/>
      <c r="I287" s="331"/>
      <c r="J287" s="331"/>
      <c r="K287" s="331"/>
      <c r="L287" s="331"/>
      <c r="M287" s="331"/>
      <c r="N287" s="331"/>
      <c r="O287" s="331"/>
      <c r="P287" s="331"/>
      <c r="Q287" s="331"/>
    </row>
    <row r="288" spans="1:17" ht="19.5" customHeight="1" x14ac:dyDescent="0.25">
      <c r="A288" s="331"/>
      <c r="B288" s="331"/>
      <c r="C288" s="331"/>
      <c r="D288" s="333"/>
      <c r="E288" s="333"/>
      <c r="F288" s="333"/>
      <c r="G288" s="331"/>
      <c r="H288" s="331"/>
      <c r="I288" s="331"/>
      <c r="J288" s="331"/>
      <c r="K288" s="331"/>
      <c r="L288" s="331"/>
      <c r="M288" s="331"/>
      <c r="N288" s="331"/>
      <c r="O288" s="331"/>
      <c r="P288" s="331"/>
      <c r="Q288" s="331"/>
    </row>
    <row r="289" spans="1:17" ht="19.5" customHeight="1" x14ac:dyDescent="0.25">
      <c r="A289" s="331"/>
      <c r="B289" s="331"/>
      <c r="C289" s="331"/>
      <c r="D289" s="333"/>
      <c r="E289" s="333"/>
      <c r="F289" s="333"/>
      <c r="G289" s="331"/>
      <c r="H289" s="331"/>
      <c r="I289" s="331"/>
      <c r="J289" s="331"/>
      <c r="K289" s="331"/>
      <c r="L289" s="331"/>
      <c r="M289" s="331"/>
      <c r="N289" s="331"/>
      <c r="O289" s="331"/>
      <c r="P289" s="331"/>
      <c r="Q289" s="331"/>
    </row>
    <row r="290" spans="1:17" ht="19.5" customHeight="1" x14ac:dyDescent="0.25">
      <c r="A290" s="331"/>
      <c r="B290" s="331"/>
      <c r="C290" s="331"/>
      <c r="D290" s="333"/>
      <c r="E290" s="333"/>
      <c r="F290" s="333"/>
      <c r="G290" s="331"/>
      <c r="H290" s="331"/>
      <c r="I290" s="331"/>
      <c r="J290" s="331"/>
      <c r="K290" s="331"/>
      <c r="L290" s="331"/>
      <c r="M290" s="331"/>
      <c r="N290" s="331"/>
      <c r="O290" s="331"/>
      <c r="P290" s="331"/>
      <c r="Q290" s="331"/>
    </row>
    <row r="291" spans="1:17" ht="19.5" customHeight="1" x14ac:dyDescent="0.25">
      <c r="A291" s="331"/>
      <c r="B291" s="331"/>
      <c r="C291" s="331"/>
      <c r="D291" s="333"/>
      <c r="E291" s="333"/>
      <c r="F291" s="333"/>
      <c r="G291" s="331"/>
      <c r="H291" s="331"/>
      <c r="I291" s="331"/>
      <c r="J291" s="331"/>
      <c r="K291" s="331"/>
      <c r="L291" s="331"/>
      <c r="M291" s="331"/>
      <c r="N291" s="331"/>
      <c r="O291" s="331"/>
      <c r="P291" s="331"/>
      <c r="Q291" s="331"/>
    </row>
    <row r="292" spans="1:17" ht="19.5" customHeight="1" x14ac:dyDescent="0.25">
      <c r="A292" s="331"/>
      <c r="B292" s="331"/>
      <c r="C292" s="331"/>
      <c r="D292" s="333"/>
      <c r="E292" s="333"/>
      <c r="F292" s="333"/>
      <c r="G292" s="331"/>
      <c r="H292" s="331"/>
      <c r="I292" s="331"/>
      <c r="J292" s="331"/>
      <c r="K292" s="331"/>
      <c r="L292" s="331"/>
      <c r="M292" s="331"/>
      <c r="N292" s="331"/>
      <c r="O292" s="331"/>
      <c r="P292" s="331"/>
      <c r="Q292" s="331"/>
    </row>
    <row r="293" spans="1:17" ht="19.5" customHeight="1" x14ac:dyDescent="0.25">
      <c r="A293" s="331"/>
      <c r="B293" s="331"/>
      <c r="C293" s="331"/>
      <c r="D293" s="333"/>
      <c r="E293" s="333"/>
      <c r="F293" s="333"/>
      <c r="G293" s="331"/>
      <c r="H293" s="331"/>
      <c r="I293" s="331"/>
      <c r="J293" s="331"/>
      <c r="K293" s="331"/>
      <c r="L293" s="331"/>
      <c r="M293" s="331"/>
      <c r="N293" s="331"/>
      <c r="O293" s="331"/>
      <c r="P293" s="331"/>
      <c r="Q293" s="331"/>
    </row>
    <row r="294" spans="1:17" ht="19.5" customHeight="1" x14ac:dyDescent="0.25">
      <c r="A294" s="331"/>
      <c r="B294" s="331"/>
      <c r="C294" s="331"/>
      <c r="D294" s="333"/>
      <c r="E294" s="333"/>
      <c r="F294" s="333"/>
      <c r="G294" s="331"/>
      <c r="H294" s="331"/>
      <c r="I294" s="331"/>
      <c r="J294" s="331"/>
      <c r="K294" s="331"/>
      <c r="L294" s="331"/>
      <c r="M294" s="331"/>
      <c r="N294" s="331"/>
      <c r="O294" s="331"/>
      <c r="P294" s="331"/>
      <c r="Q294" s="331"/>
    </row>
    <row r="295" spans="1:17" ht="19.5" customHeight="1" x14ac:dyDescent="0.25">
      <c r="A295" s="331"/>
      <c r="B295" s="331"/>
      <c r="C295" s="331"/>
      <c r="D295" s="333"/>
      <c r="E295" s="333"/>
      <c r="F295" s="333"/>
      <c r="G295" s="331"/>
      <c r="H295" s="331"/>
      <c r="I295" s="331"/>
      <c r="J295" s="331"/>
      <c r="K295" s="331"/>
      <c r="L295" s="331"/>
      <c r="M295" s="331"/>
      <c r="N295" s="331"/>
      <c r="O295" s="331"/>
      <c r="P295" s="331"/>
      <c r="Q295" s="331"/>
    </row>
    <row r="296" spans="1:17" ht="19.5" customHeight="1" x14ac:dyDescent="0.25">
      <c r="A296" s="331"/>
      <c r="B296" s="331"/>
      <c r="C296" s="331"/>
      <c r="D296" s="333"/>
      <c r="E296" s="333"/>
      <c r="F296" s="333"/>
      <c r="G296" s="331"/>
      <c r="H296" s="331"/>
      <c r="I296" s="331"/>
      <c r="J296" s="331"/>
      <c r="K296" s="331"/>
      <c r="L296" s="331"/>
      <c r="M296" s="331"/>
      <c r="N296" s="331"/>
      <c r="O296" s="331"/>
      <c r="P296" s="331"/>
      <c r="Q296" s="331"/>
    </row>
    <row r="297" spans="1:17" ht="19.5" customHeight="1" x14ac:dyDescent="0.25">
      <c r="A297" s="331"/>
      <c r="B297" s="331"/>
      <c r="C297" s="331"/>
      <c r="D297" s="333"/>
      <c r="E297" s="333"/>
      <c r="F297" s="333"/>
      <c r="G297" s="331"/>
      <c r="H297" s="331"/>
      <c r="I297" s="331"/>
      <c r="J297" s="331"/>
      <c r="K297" s="331"/>
      <c r="L297" s="331"/>
      <c r="M297" s="331"/>
      <c r="N297" s="331"/>
      <c r="O297" s="331"/>
      <c r="P297" s="331"/>
      <c r="Q297" s="331"/>
    </row>
    <row r="298" spans="1:17" ht="19.5" customHeight="1" x14ac:dyDescent="0.25">
      <c r="A298" s="331"/>
      <c r="B298" s="331"/>
      <c r="C298" s="331"/>
      <c r="D298" s="333"/>
      <c r="E298" s="333"/>
      <c r="F298" s="333"/>
      <c r="G298" s="331"/>
      <c r="H298" s="331"/>
      <c r="I298" s="331"/>
      <c r="J298" s="331"/>
      <c r="K298" s="331"/>
      <c r="L298" s="331"/>
      <c r="M298" s="331"/>
      <c r="N298" s="331"/>
      <c r="O298" s="331"/>
      <c r="P298" s="331"/>
      <c r="Q298" s="331"/>
    </row>
    <row r="299" spans="1:17" ht="19.5" customHeight="1" x14ac:dyDescent="0.25">
      <c r="A299" s="331"/>
      <c r="B299" s="331"/>
      <c r="C299" s="331"/>
      <c r="D299" s="333"/>
      <c r="E299" s="333"/>
      <c r="F299" s="333"/>
      <c r="G299" s="331"/>
      <c r="H299" s="331"/>
      <c r="I299" s="331"/>
      <c r="J299" s="331"/>
      <c r="K299" s="331"/>
      <c r="L299" s="331"/>
      <c r="M299" s="331"/>
      <c r="N299" s="331"/>
      <c r="O299" s="331"/>
      <c r="P299" s="331"/>
      <c r="Q299" s="331"/>
    </row>
    <row r="300" spans="1:17" ht="19.5" customHeight="1" x14ac:dyDescent="0.25">
      <c r="A300" s="331"/>
      <c r="B300" s="331"/>
      <c r="C300" s="331"/>
      <c r="D300" s="333"/>
      <c r="E300" s="333"/>
      <c r="F300" s="333"/>
      <c r="G300" s="331"/>
      <c r="H300" s="331"/>
      <c r="I300" s="331"/>
      <c r="J300" s="331"/>
      <c r="K300" s="331"/>
      <c r="L300" s="331"/>
      <c r="M300" s="331"/>
      <c r="N300" s="331"/>
      <c r="O300" s="331"/>
      <c r="P300" s="331"/>
      <c r="Q300" s="331"/>
    </row>
    <row r="301" spans="1:17" ht="19.5" customHeight="1" x14ac:dyDescent="0.25">
      <c r="A301" s="331"/>
      <c r="B301" s="331"/>
      <c r="C301" s="331"/>
      <c r="D301" s="333"/>
      <c r="E301" s="333"/>
      <c r="F301" s="333"/>
      <c r="G301" s="331"/>
      <c r="H301" s="331"/>
      <c r="I301" s="331"/>
      <c r="J301" s="331"/>
      <c r="K301" s="331"/>
      <c r="L301" s="331"/>
      <c r="M301" s="331"/>
      <c r="N301" s="331"/>
      <c r="O301" s="331"/>
      <c r="P301" s="331"/>
      <c r="Q301" s="331"/>
    </row>
    <row r="302" spans="1:17" ht="19.5" customHeight="1" x14ac:dyDescent="0.25">
      <c r="A302" s="331"/>
      <c r="B302" s="331"/>
      <c r="C302" s="331"/>
      <c r="D302" s="333"/>
      <c r="E302" s="333"/>
      <c r="F302" s="333"/>
      <c r="G302" s="331"/>
      <c r="H302" s="331"/>
      <c r="I302" s="331"/>
      <c r="J302" s="331"/>
      <c r="K302" s="331"/>
      <c r="L302" s="331"/>
      <c r="M302" s="331"/>
      <c r="N302" s="331"/>
      <c r="O302" s="331"/>
      <c r="P302" s="331"/>
      <c r="Q302" s="331"/>
    </row>
    <row r="303" spans="1:17" ht="19.5" customHeight="1" x14ac:dyDescent="0.25">
      <c r="A303" s="331"/>
      <c r="B303" s="331"/>
      <c r="C303" s="331"/>
      <c r="D303" s="333"/>
      <c r="E303" s="333"/>
      <c r="F303" s="333"/>
      <c r="G303" s="331"/>
      <c r="H303" s="331"/>
      <c r="I303" s="331"/>
      <c r="J303" s="331"/>
      <c r="K303" s="331"/>
      <c r="L303" s="331"/>
      <c r="M303" s="331"/>
      <c r="N303" s="331"/>
      <c r="O303" s="331"/>
      <c r="P303" s="331"/>
      <c r="Q303" s="331"/>
    </row>
    <row r="304" spans="1:17" ht="19.5" customHeight="1" x14ac:dyDescent="0.25">
      <c r="A304" s="331"/>
      <c r="B304" s="331"/>
      <c r="C304" s="331"/>
      <c r="D304" s="333"/>
      <c r="E304" s="333"/>
      <c r="F304" s="333"/>
      <c r="G304" s="331"/>
      <c r="H304" s="331"/>
      <c r="I304" s="331"/>
      <c r="J304" s="331"/>
      <c r="K304" s="331"/>
      <c r="L304" s="331"/>
      <c r="M304" s="331"/>
      <c r="N304" s="331"/>
      <c r="O304" s="331"/>
      <c r="P304" s="331"/>
      <c r="Q304" s="331"/>
    </row>
    <row r="305" spans="1:17" ht="19.5" customHeight="1" x14ac:dyDescent="0.25">
      <c r="A305" s="331"/>
      <c r="B305" s="331"/>
      <c r="C305" s="331"/>
      <c r="D305" s="333"/>
      <c r="E305" s="333"/>
      <c r="F305" s="333"/>
      <c r="G305" s="331"/>
      <c r="H305" s="331"/>
      <c r="I305" s="331"/>
      <c r="J305" s="331"/>
      <c r="K305" s="331"/>
      <c r="L305" s="331"/>
      <c r="M305" s="331"/>
      <c r="N305" s="331"/>
      <c r="O305" s="331"/>
      <c r="P305" s="331"/>
      <c r="Q305" s="331"/>
    </row>
    <row r="306" spans="1:17" ht="19.5" customHeight="1" x14ac:dyDescent="0.25">
      <c r="A306" s="331"/>
      <c r="B306" s="331"/>
      <c r="C306" s="331"/>
      <c r="D306" s="333"/>
      <c r="E306" s="333"/>
      <c r="F306" s="333"/>
      <c r="G306" s="331"/>
      <c r="H306" s="331"/>
      <c r="I306" s="331"/>
      <c r="J306" s="331"/>
      <c r="K306" s="331"/>
      <c r="L306" s="331"/>
      <c r="M306" s="331"/>
      <c r="N306" s="331"/>
      <c r="O306" s="331"/>
      <c r="P306" s="331"/>
      <c r="Q306" s="331"/>
    </row>
    <row r="307" spans="1:17" ht="19.5" customHeight="1" x14ac:dyDescent="0.25">
      <c r="A307" s="331"/>
      <c r="B307" s="331"/>
      <c r="C307" s="331"/>
      <c r="D307" s="333"/>
      <c r="E307" s="333"/>
      <c r="F307" s="333"/>
      <c r="G307" s="331"/>
      <c r="H307" s="331"/>
      <c r="I307" s="331"/>
      <c r="J307" s="331"/>
      <c r="K307" s="331"/>
      <c r="L307" s="331"/>
      <c r="M307" s="331"/>
      <c r="N307" s="331"/>
      <c r="O307" s="331"/>
      <c r="P307" s="331"/>
      <c r="Q307" s="331"/>
    </row>
    <row r="308" spans="1:17" ht="19.5" customHeight="1" x14ac:dyDescent="0.25">
      <c r="A308" s="331"/>
      <c r="B308" s="331"/>
      <c r="C308" s="331"/>
      <c r="D308" s="333"/>
      <c r="E308" s="333"/>
      <c r="F308" s="333"/>
      <c r="G308" s="331"/>
      <c r="H308" s="331"/>
      <c r="I308" s="331"/>
      <c r="J308" s="331"/>
      <c r="K308" s="331"/>
      <c r="L308" s="331"/>
      <c r="M308" s="331"/>
      <c r="N308" s="331"/>
      <c r="O308" s="331"/>
      <c r="P308" s="331"/>
      <c r="Q308" s="331"/>
    </row>
    <row r="309" spans="1:17" ht="19.5" customHeight="1" x14ac:dyDescent="0.25">
      <c r="A309" s="331"/>
      <c r="B309" s="331"/>
      <c r="C309" s="331"/>
      <c r="D309" s="333"/>
      <c r="E309" s="333"/>
      <c r="F309" s="333"/>
      <c r="G309" s="331"/>
      <c r="H309" s="331"/>
      <c r="I309" s="331"/>
      <c r="J309" s="331"/>
      <c r="K309" s="331"/>
      <c r="L309" s="331"/>
      <c r="M309" s="331"/>
      <c r="N309" s="331"/>
      <c r="O309" s="331"/>
      <c r="P309" s="331"/>
      <c r="Q309" s="331"/>
    </row>
    <row r="310" spans="1:17" ht="19.5" customHeight="1" x14ac:dyDescent="0.25">
      <c r="A310" s="331"/>
      <c r="B310" s="331"/>
      <c r="C310" s="331"/>
      <c r="D310" s="333"/>
      <c r="E310" s="333"/>
      <c r="F310" s="333"/>
      <c r="G310" s="331"/>
      <c r="H310" s="331"/>
      <c r="I310" s="331"/>
      <c r="J310" s="331"/>
      <c r="K310" s="331"/>
      <c r="L310" s="331"/>
      <c r="M310" s="331"/>
      <c r="N310" s="331"/>
      <c r="O310" s="331"/>
      <c r="P310" s="331"/>
      <c r="Q310" s="331"/>
    </row>
    <row r="311" spans="1:17" ht="19.5" customHeight="1" x14ac:dyDescent="0.25">
      <c r="A311" s="331"/>
      <c r="B311" s="331"/>
      <c r="C311" s="331"/>
      <c r="D311" s="333"/>
      <c r="E311" s="333"/>
      <c r="F311" s="333"/>
      <c r="G311" s="331"/>
      <c r="H311" s="331"/>
      <c r="I311" s="331"/>
      <c r="J311" s="331"/>
      <c r="K311" s="331"/>
      <c r="L311" s="331"/>
      <c r="M311" s="331"/>
      <c r="N311" s="331"/>
      <c r="O311" s="331"/>
      <c r="P311" s="331"/>
      <c r="Q311" s="331"/>
    </row>
    <row r="312" spans="1:17" ht="19.5" customHeight="1" x14ac:dyDescent="0.25">
      <c r="A312" s="331"/>
      <c r="B312" s="331"/>
      <c r="C312" s="331"/>
      <c r="D312" s="333"/>
      <c r="E312" s="333"/>
      <c r="F312" s="333"/>
      <c r="G312" s="331"/>
      <c r="H312" s="331"/>
      <c r="I312" s="331"/>
      <c r="J312" s="331"/>
      <c r="K312" s="331"/>
      <c r="L312" s="331"/>
      <c r="M312" s="331"/>
      <c r="N312" s="331"/>
      <c r="O312" s="331"/>
      <c r="P312" s="331"/>
      <c r="Q312" s="331"/>
    </row>
    <row r="313" spans="1:17" ht="19.5" customHeight="1" x14ac:dyDescent="0.25">
      <c r="A313" s="331"/>
      <c r="B313" s="331"/>
      <c r="C313" s="331"/>
      <c r="D313" s="333"/>
      <c r="E313" s="333"/>
      <c r="F313" s="333"/>
      <c r="G313" s="331"/>
      <c r="H313" s="331"/>
      <c r="I313" s="331"/>
      <c r="J313" s="331"/>
      <c r="K313" s="331"/>
      <c r="L313" s="331"/>
      <c r="M313" s="331"/>
      <c r="N313" s="331"/>
      <c r="O313" s="331"/>
      <c r="P313" s="331"/>
      <c r="Q313" s="331"/>
    </row>
    <row r="314" spans="1:17" ht="19.5" customHeight="1" x14ac:dyDescent="0.25">
      <c r="A314" s="331"/>
      <c r="B314" s="331"/>
      <c r="C314" s="331"/>
      <c r="D314" s="333"/>
      <c r="E314" s="333"/>
      <c r="F314" s="333"/>
      <c r="G314" s="331"/>
      <c r="H314" s="331"/>
      <c r="I314" s="331"/>
      <c r="J314" s="331"/>
      <c r="K314" s="331"/>
      <c r="L314" s="331"/>
      <c r="M314" s="331"/>
      <c r="N314" s="331"/>
      <c r="O314" s="331"/>
      <c r="P314" s="331"/>
      <c r="Q314" s="331"/>
    </row>
    <row r="315" spans="1:17" ht="19.5" customHeight="1" x14ac:dyDescent="0.25">
      <c r="A315" s="331"/>
      <c r="B315" s="331"/>
      <c r="C315" s="331"/>
      <c r="D315" s="333"/>
      <c r="E315" s="333"/>
      <c r="F315" s="333"/>
      <c r="G315" s="331"/>
      <c r="H315" s="331"/>
      <c r="I315" s="331"/>
      <c r="J315" s="331"/>
      <c r="K315" s="331"/>
      <c r="L315" s="331"/>
      <c r="M315" s="331"/>
      <c r="N315" s="331"/>
      <c r="O315" s="331"/>
      <c r="P315" s="331"/>
      <c r="Q315" s="331"/>
    </row>
    <row r="316" spans="1:17" ht="19.5" customHeight="1" x14ac:dyDescent="0.25">
      <c r="A316" s="331"/>
      <c r="B316" s="331"/>
      <c r="C316" s="331"/>
      <c r="D316" s="333"/>
      <c r="E316" s="333"/>
      <c r="F316" s="333"/>
      <c r="G316" s="331"/>
      <c r="H316" s="331"/>
      <c r="I316" s="331"/>
      <c r="J316" s="331"/>
      <c r="K316" s="331"/>
      <c r="L316" s="331"/>
      <c r="M316" s="331"/>
      <c r="N316" s="331"/>
      <c r="O316" s="331"/>
      <c r="P316" s="331"/>
      <c r="Q316" s="331"/>
    </row>
    <row r="317" spans="1:17" ht="19.5" customHeight="1" x14ac:dyDescent="0.25">
      <c r="A317" s="331"/>
      <c r="B317" s="331"/>
      <c r="C317" s="331"/>
      <c r="D317" s="333"/>
      <c r="E317" s="333"/>
      <c r="F317" s="333"/>
      <c r="G317" s="331"/>
      <c r="H317" s="331"/>
      <c r="I317" s="331"/>
      <c r="J317" s="331"/>
      <c r="K317" s="331"/>
      <c r="L317" s="331"/>
      <c r="M317" s="331"/>
      <c r="N317" s="331"/>
      <c r="O317" s="331"/>
      <c r="P317" s="331"/>
      <c r="Q317" s="331"/>
    </row>
    <row r="318" spans="1:17" ht="19.5" customHeight="1" x14ac:dyDescent="0.25">
      <c r="A318" s="331"/>
      <c r="B318" s="331"/>
      <c r="C318" s="331"/>
      <c r="D318" s="333"/>
      <c r="E318" s="333"/>
      <c r="F318" s="333"/>
      <c r="G318" s="331"/>
      <c r="H318" s="331"/>
      <c r="I318" s="331"/>
      <c r="J318" s="331"/>
      <c r="K318" s="331"/>
      <c r="L318" s="331"/>
      <c r="M318" s="331"/>
      <c r="N318" s="331"/>
      <c r="O318" s="331"/>
      <c r="P318" s="331"/>
      <c r="Q318" s="331"/>
    </row>
    <row r="319" spans="1:17" ht="19.5" customHeight="1" x14ac:dyDescent="0.25">
      <c r="A319" s="331"/>
      <c r="B319" s="331"/>
      <c r="C319" s="331"/>
      <c r="D319" s="333"/>
      <c r="E319" s="333"/>
      <c r="F319" s="333"/>
      <c r="G319" s="331"/>
      <c r="H319" s="331"/>
      <c r="I319" s="331"/>
      <c r="J319" s="331"/>
      <c r="K319" s="331"/>
      <c r="L319" s="331"/>
      <c r="M319" s="331"/>
      <c r="N319" s="331"/>
      <c r="O319" s="331"/>
      <c r="P319" s="331"/>
      <c r="Q319" s="331"/>
    </row>
    <row r="320" spans="1:17" ht="19.5" customHeight="1" x14ac:dyDescent="0.25">
      <c r="A320" s="331"/>
      <c r="B320" s="331"/>
      <c r="C320" s="331"/>
      <c r="D320" s="333"/>
      <c r="E320" s="333"/>
      <c r="F320" s="333"/>
      <c r="G320" s="331"/>
      <c r="H320" s="331"/>
      <c r="I320" s="331"/>
      <c r="J320" s="331"/>
      <c r="K320" s="331"/>
      <c r="L320" s="331"/>
      <c r="M320" s="331"/>
      <c r="N320" s="331"/>
      <c r="O320" s="331"/>
      <c r="P320" s="331"/>
      <c r="Q320" s="331"/>
    </row>
    <row r="321" spans="1:17" ht="19.5" customHeight="1" x14ac:dyDescent="0.25">
      <c r="A321" s="331"/>
      <c r="B321" s="331"/>
      <c r="C321" s="331"/>
      <c r="D321" s="333"/>
      <c r="E321" s="333"/>
      <c r="F321" s="333"/>
      <c r="G321" s="331"/>
      <c r="H321" s="331"/>
      <c r="I321" s="331"/>
      <c r="J321" s="331"/>
      <c r="K321" s="331"/>
      <c r="L321" s="331"/>
      <c r="M321" s="331"/>
      <c r="N321" s="331"/>
      <c r="O321" s="331"/>
      <c r="P321" s="331"/>
      <c r="Q321" s="331"/>
    </row>
    <row r="322" spans="1:17" ht="19.5" customHeight="1" x14ac:dyDescent="0.25">
      <c r="A322" s="331"/>
      <c r="B322" s="331"/>
      <c r="C322" s="331"/>
      <c r="D322" s="333"/>
      <c r="E322" s="333"/>
      <c r="F322" s="333"/>
      <c r="G322" s="331"/>
      <c r="H322" s="331"/>
      <c r="I322" s="331"/>
      <c r="J322" s="331"/>
      <c r="K322" s="331"/>
      <c r="L322" s="331"/>
      <c r="M322" s="331"/>
      <c r="N322" s="331"/>
      <c r="O322" s="331"/>
      <c r="P322" s="331"/>
      <c r="Q322" s="331"/>
    </row>
    <row r="323" spans="1:17" ht="19.5" customHeight="1" x14ac:dyDescent="0.25">
      <c r="A323" s="331"/>
      <c r="B323" s="331"/>
      <c r="C323" s="331"/>
      <c r="D323" s="333"/>
      <c r="E323" s="333"/>
      <c r="F323" s="333"/>
      <c r="G323" s="331"/>
      <c r="H323" s="331"/>
      <c r="I323" s="331"/>
      <c r="J323" s="331"/>
      <c r="K323" s="331"/>
      <c r="L323" s="331"/>
      <c r="M323" s="331"/>
      <c r="N323" s="331"/>
      <c r="O323" s="331"/>
      <c r="P323" s="331"/>
      <c r="Q323" s="331"/>
    </row>
    <row r="324" spans="1:17" ht="19.5" customHeight="1" x14ac:dyDescent="0.25">
      <c r="A324" s="331"/>
      <c r="B324" s="331"/>
      <c r="C324" s="331"/>
      <c r="D324" s="333"/>
      <c r="E324" s="333"/>
      <c r="F324" s="333"/>
      <c r="G324" s="331"/>
      <c r="H324" s="331"/>
      <c r="I324" s="331"/>
      <c r="J324" s="331"/>
      <c r="K324" s="331"/>
      <c r="L324" s="331"/>
      <c r="M324" s="331"/>
      <c r="N324" s="331"/>
      <c r="O324" s="331"/>
      <c r="P324" s="331"/>
      <c r="Q324" s="331"/>
    </row>
    <row r="325" spans="1:17" ht="19.5" customHeight="1" x14ac:dyDescent="0.25">
      <c r="A325" s="331"/>
      <c r="B325" s="331"/>
      <c r="C325" s="331"/>
      <c r="D325" s="333"/>
      <c r="E325" s="333"/>
      <c r="F325" s="333"/>
      <c r="G325" s="331"/>
      <c r="H325" s="331"/>
      <c r="I325" s="331"/>
      <c r="J325" s="331"/>
      <c r="K325" s="331"/>
      <c r="L325" s="331"/>
      <c r="M325" s="331"/>
      <c r="N325" s="331"/>
      <c r="O325" s="331"/>
      <c r="P325" s="331"/>
      <c r="Q325" s="331"/>
    </row>
    <row r="326" spans="1:17" ht="19.5" customHeight="1" x14ac:dyDescent="0.25">
      <c r="A326" s="331"/>
      <c r="B326" s="331"/>
      <c r="C326" s="331"/>
      <c r="D326" s="333"/>
      <c r="E326" s="333"/>
      <c r="F326" s="333"/>
      <c r="G326" s="331"/>
      <c r="H326" s="331"/>
      <c r="I326" s="331"/>
      <c r="J326" s="331"/>
      <c r="K326" s="331"/>
      <c r="L326" s="331"/>
      <c r="M326" s="331"/>
      <c r="N326" s="331"/>
      <c r="O326" s="331"/>
      <c r="P326" s="331"/>
      <c r="Q326" s="331"/>
    </row>
    <row r="327" spans="1:17" ht="19.5" customHeight="1" x14ac:dyDescent="0.25">
      <c r="A327" s="331"/>
      <c r="B327" s="331"/>
      <c r="C327" s="331"/>
      <c r="D327" s="333"/>
      <c r="E327" s="333"/>
      <c r="F327" s="333"/>
      <c r="G327" s="331"/>
      <c r="H327" s="331"/>
      <c r="I327" s="331"/>
      <c r="J327" s="331"/>
      <c r="K327" s="331"/>
      <c r="L327" s="331"/>
      <c r="M327" s="331"/>
      <c r="N327" s="331"/>
      <c r="O327" s="331"/>
      <c r="P327" s="331"/>
      <c r="Q327" s="331"/>
    </row>
    <row r="328" spans="1:17" ht="19.5" customHeight="1" x14ac:dyDescent="0.25">
      <c r="A328" s="331"/>
      <c r="B328" s="331"/>
      <c r="C328" s="331"/>
      <c r="D328" s="333"/>
      <c r="E328" s="333"/>
      <c r="F328" s="333"/>
      <c r="G328" s="331"/>
      <c r="H328" s="331"/>
      <c r="I328" s="331"/>
      <c r="J328" s="331"/>
      <c r="K328" s="331"/>
      <c r="L328" s="331"/>
      <c r="M328" s="331"/>
      <c r="N328" s="331"/>
      <c r="O328" s="331"/>
      <c r="P328" s="331"/>
      <c r="Q328" s="331"/>
    </row>
    <row r="329" spans="1:17" ht="19.5" customHeight="1" x14ac:dyDescent="0.25">
      <c r="A329" s="331"/>
      <c r="B329" s="331"/>
      <c r="C329" s="331"/>
      <c r="D329" s="333"/>
      <c r="E329" s="333"/>
      <c r="F329" s="333"/>
      <c r="G329" s="331"/>
      <c r="H329" s="331"/>
      <c r="I329" s="331"/>
      <c r="J329" s="331"/>
      <c r="K329" s="331"/>
      <c r="L329" s="331"/>
      <c r="M329" s="331"/>
      <c r="N329" s="331"/>
      <c r="O329" s="331"/>
      <c r="P329" s="331"/>
      <c r="Q329" s="331"/>
    </row>
    <row r="330" spans="1:17" ht="19.5" customHeight="1" x14ac:dyDescent="0.25">
      <c r="A330" s="331"/>
      <c r="B330" s="331"/>
      <c r="C330" s="331"/>
      <c r="D330" s="333"/>
      <c r="E330" s="333"/>
      <c r="F330" s="333"/>
      <c r="G330" s="331"/>
      <c r="H330" s="331"/>
      <c r="I330" s="331"/>
      <c r="J330" s="331"/>
      <c r="K330" s="331"/>
      <c r="L330" s="331"/>
      <c r="M330" s="331"/>
      <c r="N330" s="331"/>
      <c r="O330" s="331"/>
      <c r="P330" s="331"/>
      <c r="Q330" s="331"/>
    </row>
    <row r="331" spans="1:17" ht="19.5" customHeight="1" x14ac:dyDescent="0.25">
      <c r="A331" s="331"/>
      <c r="B331" s="331"/>
      <c r="C331" s="331"/>
      <c r="D331" s="333"/>
      <c r="E331" s="333"/>
      <c r="F331" s="333"/>
      <c r="G331" s="331"/>
      <c r="H331" s="331"/>
      <c r="I331" s="331"/>
      <c r="J331" s="331"/>
      <c r="K331" s="331"/>
      <c r="L331" s="331"/>
      <c r="M331" s="331"/>
      <c r="N331" s="331"/>
      <c r="O331" s="331"/>
      <c r="P331" s="331"/>
      <c r="Q331" s="331"/>
    </row>
    <row r="332" spans="1:17" ht="19.5" customHeight="1" x14ac:dyDescent="0.25">
      <c r="A332" s="331"/>
      <c r="B332" s="331"/>
      <c r="C332" s="331"/>
      <c r="D332" s="333"/>
      <c r="E332" s="333"/>
      <c r="F332" s="333"/>
      <c r="G332" s="331"/>
      <c r="H332" s="331"/>
      <c r="I332" s="331"/>
      <c r="J332" s="331"/>
      <c r="K332" s="331"/>
      <c r="L332" s="331"/>
      <c r="M332" s="331"/>
      <c r="N332" s="331"/>
      <c r="O332" s="331"/>
      <c r="P332" s="331"/>
      <c r="Q332" s="331"/>
    </row>
    <row r="333" spans="1:17" ht="19.5" customHeight="1" x14ac:dyDescent="0.25">
      <c r="A333" s="331"/>
      <c r="B333" s="331"/>
      <c r="C333" s="331"/>
      <c r="D333" s="333"/>
      <c r="E333" s="333"/>
      <c r="F333" s="333"/>
      <c r="G333" s="331"/>
      <c r="H333" s="331"/>
      <c r="I333" s="331"/>
      <c r="J333" s="331"/>
      <c r="K333" s="331"/>
      <c r="L333" s="331"/>
      <c r="M333" s="331"/>
      <c r="N333" s="331"/>
      <c r="O333" s="331"/>
      <c r="P333" s="331"/>
      <c r="Q333" s="331"/>
    </row>
    <row r="334" spans="1:17" ht="19.5" customHeight="1" x14ac:dyDescent="0.25">
      <c r="A334" s="331"/>
      <c r="B334" s="331"/>
      <c r="C334" s="331"/>
      <c r="D334" s="333"/>
      <c r="E334" s="333"/>
      <c r="F334" s="333"/>
      <c r="G334" s="331"/>
      <c r="H334" s="331"/>
      <c r="I334" s="331"/>
      <c r="J334" s="331"/>
      <c r="K334" s="331"/>
      <c r="L334" s="331"/>
      <c r="M334" s="331"/>
      <c r="N334" s="331"/>
      <c r="O334" s="331"/>
      <c r="P334" s="331"/>
      <c r="Q334" s="331"/>
    </row>
    <row r="335" spans="1:17" ht="19.5" customHeight="1" x14ac:dyDescent="0.25">
      <c r="A335" s="331"/>
      <c r="B335" s="331"/>
      <c r="C335" s="331"/>
      <c r="D335" s="333"/>
      <c r="E335" s="333"/>
      <c r="F335" s="333"/>
      <c r="G335" s="331"/>
      <c r="H335" s="331"/>
      <c r="I335" s="331"/>
      <c r="J335" s="331"/>
      <c r="K335" s="331"/>
      <c r="L335" s="331"/>
      <c r="M335" s="331"/>
      <c r="N335" s="331"/>
      <c r="O335" s="331"/>
      <c r="P335" s="331"/>
      <c r="Q335" s="331"/>
    </row>
    <row r="336" spans="1:17" ht="19.5" customHeight="1" x14ac:dyDescent="0.25">
      <c r="A336" s="331"/>
      <c r="B336" s="331"/>
      <c r="C336" s="331"/>
      <c r="D336" s="333"/>
      <c r="E336" s="333"/>
      <c r="F336" s="333"/>
      <c r="G336" s="331"/>
      <c r="H336" s="331"/>
      <c r="I336" s="331"/>
      <c r="J336" s="331"/>
      <c r="K336" s="331"/>
      <c r="L336" s="331"/>
      <c r="M336" s="331"/>
      <c r="N336" s="331"/>
      <c r="O336" s="331"/>
      <c r="P336" s="331"/>
      <c r="Q336" s="331"/>
    </row>
    <row r="337" spans="1:17" ht="19.5" customHeight="1" x14ac:dyDescent="0.25">
      <c r="A337" s="331"/>
      <c r="B337" s="331"/>
      <c r="C337" s="331"/>
      <c r="D337" s="333"/>
      <c r="E337" s="333"/>
      <c r="F337" s="333"/>
      <c r="G337" s="331"/>
      <c r="H337" s="331"/>
      <c r="I337" s="331"/>
      <c r="J337" s="331"/>
      <c r="K337" s="331"/>
      <c r="L337" s="331"/>
      <c r="M337" s="331"/>
      <c r="N337" s="331"/>
      <c r="O337" s="331"/>
      <c r="P337" s="331"/>
      <c r="Q337" s="331"/>
    </row>
    <row r="338" spans="1:17" ht="19.5" customHeight="1" x14ac:dyDescent="0.25">
      <c r="A338" s="331"/>
      <c r="B338" s="331"/>
      <c r="C338" s="331"/>
      <c r="D338" s="333"/>
      <c r="E338" s="333"/>
      <c r="F338" s="333"/>
      <c r="G338" s="331"/>
      <c r="H338" s="331"/>
      <c r="I338" s="331"/>
      <c r="J338" s="331"/>
      <c r="K338" s="331"/>
      <c r="L338" s="331"/>
      <c r="M338" s="331"/>
      <c r="N338" s="331"/>
      <c r="O338" s="331"/>
      <c r="P338" s="331"/>
      <c r="Q338" s="331"/>
    </row>
    <row r="339" spans="1:17" ht="19.5" customHeight="1" x14ac:dyDescent="0.25">
      <c r="A339" s="331"/>
      <c r="B339" s="331"/>
      <c r="C339" s="331"/>
      <c r="D339" s="333"/>
      <c r="E339" s="333"/>
      <c r="F339" s="333"/>
      <c r="G339" s="331"/>
      <c r="H339" s="331"/>
      <c r="I339" s="331"/>
      <c r="J339" s="331"/>
      <c r="K339" s="331"/>
      <c r="L339" s="331"/>
      <c r="M339" s="331"/>
      <c r="N339" s="331"/>
      <c r="O339" s="331"/>
      <c r="P339" s="331"/>
      <c r="Q339" s="331"/>
    </row>
    <row r="340" spans="1:17" ht="19.5" customHeight="1" x14ac:dyDescent="0.25">
      <c r="A340" s="331"/>
      <c r="B340" s="331"/>
      <c r="C340" s="331"/>
      <c r="D340" s="333"/>
      <c r="E340" s="333"/>
      <c r="F340" s="333"/>
      <c r="G340" s="331"/>
      <c r="H340" s="331"/>
      <c r="I340" s="331"/>
      <c r="J340" s="331"/>
      <c r="K340" s="331"/>
      <c r="L340" s="331"/>
      <c r="M340" s="331"/>
      <c r="N340" s="331"/>
      <c r="O340" s="331"/>
      <c r="P340" s="331"/>
      <c r="Q340" s="331"/>
    </row>
    <row r="341" spans="1:17" ht="19.5" customHeight="1" x14ac:dyDescent="0.25">
      <c r="A341" s="331"/>
      <c r="B341" s="331"/>
      <c r="C341" s="331"/>
      <c r="D341" s="333"/>
      <c r="E341" s="333"/>
      <c r="F341" s="333"/>
      <c r="G341" s="331"/>
      <c r="H341" s="331"/>
      <c r="I341" s="331"/>
      <c r="J341" s="331"/>
      <c r="K341" s="331"/>
      <c r="L341" s="331"/>
      <c r="M341" s="331"/>
      <c r="N341" s="331"/>
      <c r="O341" s="331"/>
      <c r="P341" s="331"/>
      <c r="Q341" s="331"/>
    </row>
    <row r="342" spans="1:17" ht="19.5" customHeight="1" x14ac:dyDescent="0.25">
      <c r="A342" s="331"/>
      <c r="B342" s="331"/>
      <c r="C342" s="331"/>
      <c r="D342" s="333"/>
      <c r="E342" s="333"/>
      <c r="F342" s="333"/>
      <c r="G342" s="331"/>
      <c r="H342" s="331"/>
      <c r="I342" s="331"/>
      <c r="J342" s="331"/>
      <c r="K342" s="331"/>
      <c r="L342" s="331"/>
      <c r="M342" s="331"/>
      <c r="N342" s="331"/>
      <c r="O342" s="331"/>
      <c r="P342" s="331"/>
      <c r="Q342" s="331"/>
    </row>
    <row r="343" spans="1:17" ht="19.5" customHeight="1" x14ac:dyDescent="0.25">
      <c r="A343" s="331"/>
      <c r="B343" s="331"/>
      <c r="C343" s="331"/>
      <c r="D343" s="333"/>
      <c r="E343" s="333"/>
      <c r="F343" s="333"/>
      <c r="G343" s="331"/>
      <c r="H343" s="331"/>
      <c r="I343" s="331"/>
      <c r="J343" s="331"/>
      <c r="K343" s="331"/>
      <c r="L343" s="331"/>
      <c r="M343" s="331"/>
      <c r="N343" s="331"/>
      <c r="O343" s="331"/>
      <c r="P343" s="331"/>
      <c r="Q343" s="331"/>
    </row>
    <row r="344" spans="1:17" ht="19.5" customHeight="1" x14ac:dyDescent="0.25">
      <c r="A344" s="331"/>
      <c r="B344" s="331"/>
      <c r="C344" s="331"/>
      <c r="D344" s="333"/>
      <c r="E344" s="333"/>
      <c r="F344" s="333"/>
      <c r="G344" s="331"/>
      <c r="H344" s="331"/>
      <c r="I344" s="331"/>
      <c r="J344" s="331"/>
      <c r="K344" s="331"/>
      <c r="L344" s="331"/>
      <c r="M344" s="331"/>
      <c r="N344" s="331"/>
      <c r="O344" s="331"/>
      <c r="P344" s="331"/>
      <c r="Q344" s="331"/>
    </row>
    <row r="345" spans="1:17" ht="19.5" customHeight="1" x14ac:dyDescent="0.25">
      <c r="A345" s="331"/>
      <c r="B345" s="331"/>
      <c r="C345" s="331"/>
      <c r="D345" s="333"/>
      <c r="E345" s="333"/>
      <c r="F345" s="333"/>
      <c r="G345" s="331"/>
      <c r="H345" s="331"/>
      <c r="I345" s="331"/>
      <c r="J345" s="331"/>
      <c r="K345" s="331"/>
      <c r="L345" s="331"/>
      <c r="M345" s="331"/>
      <c r="N345" s="331"/>
      <c r="O345" s="331"/>
      <c r="P345" s="331"/>
      <c r="Q345" s="331"/>
    </row>
    <row r="346" spans="1:17" ht="19.5" customHeight="1" x14ac:dyDescent="0.25">
      <c r="A346" s="331"/>
      <c r="B346" s="331"/>
      <c r="C346" s="331"/>
      <c r="D346" s="333"/>
      <c r="E346" s="333"/>
      <c r="F346" s="333"/>
      <c r="G346" s="331"/>
      <c r="H346" s="331"/>
      <c r="I346" s="331"/>
      <c r="J346" s="331"/>
      <c r="K346" s="331"/>
      <c r="L346" s="331"/>
      <c r="M346" s="331"/>
      <c r="N346" s="331"/>
      <c r="O346" s="331"/>
      <c r="P346" s="331"/>
      <c r="Q346" s="331"/>
    </row>
    <row r="347" spans="1:17" ht="19.5" customHeight="1" x14ac:dyDescent="0.25">
      <c r="A347" s="331"/>
      <c r="B347" s="331"/>
      <c r="C347" s="331"/>
      <c r="D347" s="333"/>
      <c r="E347" s="333"/>
      <c r="F347" s="333"/>
      <c r="G347" s="331"/>
      <c r="H347" s="331"/>
      <c r="I347" s="331"/>
      <c r="J347" s="331"/>
      <c r="K347" s="331"/>
      <c r="L347" s="331"/>
      <c r="M347" s="331"/>
      <c r="N347" s="331"/>
      <c r="O347" s="331"/>
      <c r="P347" s="331"/>
      <c r="Q347" s="331"/>
    </row>
    <row r="348" spans="1:17" ht="19.5" customHeight="1" x14ac:dyDescent="0.25">
      <c r="A348" s="331"/>
      <c r="B348" s="331"/>
      <c r="C348" s="331"/>
      <c r="D348" s="333"/>
      <c r="E348" s="333"/>
      <c r="F348" s="333"/>
      <c r="G348" s="331"/>
      <c r="H348" s="331"/>
      <c r="I348" s="331"/>
      <c r="J348" s="331"/>
      <c r="K348" s="331"/>
      <c r="L348" s="331"/>
      <c r="M348" s="331"/>
      <c r="N348" s="331"/>
      <c r="O348" s="331"/>
      <c r="P348" s="331"/>
      <c r="Q348" s="331"/>
    </row>
    <row r="349" spans="1:17" ht="19.5" customHeight="1" x14ac:dyDescent="0.25">
      <c r="A349" s="331"/>
      <c r="B349" s="331"/>
      <c r="C349" s="331"/>
      <c r="D349" s="333"/>
      <c r="E349" s="333"/>
      <c r="F349" s="333"/>
      <c r="G349" s="331"/>
      <c r="H349" s="331"/>
      <c r="I349" s="331"/>
      <c r="J349" s="331"/>
      <c r="K349" s="331"/>
      <c r="L349" s="331"/>
      <c r="M349" s="331"/>
      <c r="N349" s="331"/>
      <c r="O349" s="331"/>
      <c r="P349" s="331"/>
      <c r="Q349" s="331"/>
    </row>
    <row r="350" spans="1:17" ht="19.5" customHeight="1" x14ac:dyDescent="0.25">
      <c r="A350" s="331"/>
      <c r="B350" s="331"/>
      <c r="C350" s="331"/>
      <c r="D350" s="333"/>
      <c r="E350" s="333"/>
      <c r="F350" s="333"/>
      <c r="G350" s="331"/>
      <c r="H350" s="331"/>
      <c r="I350" s="331"/>
      <c r="J350" s="331"/>
      <c r="K350" s="331"/>
      <c r="L350" s="331"/>
      <c r="M350" s="331"/>
      <c r="N350" s="331"/>
      <c r="O350" s="331"/>
      <c r="P350" s="331"/>
      <c r="Q350" s="331"/>
    </row>
    <row r="351" spans="1:17" ht="19.5" customHeight="1" x14ac:dyDescent="0.25">
      <c r="A351" s="331"/>
      <c r="B351" s="331"/>
      <c r="C351" s="331"/>
      <c r="D351" s="333"/>
      <c r="E351" s="333"/>
      <c r="F351" s="333"/>
      <c r="G351" s="331"/>
      <c r="H351" s="331"/>
      <c r="I351" s="331"/>
      <c r="J351" s="331"/>
      <c r="K351" s="331"/>
      <c r="L351" s="331"/>
      <c r="M351" s="331"/>
      <c r="N351" s="331"/>
      <c r="O351" s="331"/>
      <c r="P351" s="331"/>
      <c r="Q351" s="331"/>
    </row>
    <row r="352" spans="1:17" ht="19.5" customHeight="1" x14ac:dyDescent="0.25">
      <c r="A352" s="331"/>
      <c r="B352" s="331"/>
      <c r="C352" s="331"/>
      <c r="D352" s="333"/>
      <c r="E352" s="333"/>
      <c r="F352" s="333"/>
      <c r="G352" s="331"/>
      <c r="H352" s="331"/>
      <c r="I352" s="331"/>
      <c r="J352" s="331"/>
      <c r="K352" s="331"/>
      <c r="L352" s="331"/>
      <c r="M352" s="331"/>
      <c r="N352" s="331"/>
      <c r="O352" s="331"/>
      <c r="P352" s="331"/>
      <c r="Q352" s="331"/>
    </row>
    <row r="353" spans="1:17" ht="19.5" customHeight="1" x14ac:dyDescent="0.25">
      <c r="A353" s="331"/>
      <c r="B353" s="331"/>
      <c r="C353" s="331"/>
      <c r="D353" s="333"/>
      <c r="E353" s="333"/>
      <c r="F353" s="333"/>
      <c r="G353" s="331"/>
      <c r="H353" s="331"/>
      <c r="I353" s="331"/>
      <c r="J353" s="331"/>
      <c r="K353" s="331"/>
      <c r="L353" s="331"/>
      <c r="M353" s="331"/>
      <c r="N353" s="331"/>
      <c r="O353" s="331"/>
      <c r="P353" s="331"/>
      <c r="Q353" s="331"/>
    </row>
    <row r="354" spans="1:17" ht="19.5" customHeight="1" x14ac:dyDescent="0.25">
      <c r="A354" s="331"/>
      <c r="B354" s="331"/>
      <c r="C354" s="331"/>
      <c r="D354" s="333"/>
      <c r="E354" s="333"/>
      <c r="F354" s="333"/>
      <c r="G354" s="331"/>
      <c r="H354" s="331"/>
      <c r="I354" s="331"/>
      <c r="J354" s="331"/>
      <c r="K354" s="331"/>
      <c r="L354" s="331"/>
      <c r="M354" s="331"/>
      <c r="N354" s="331"/>
      <c r="O354" s="331"/>
      <c r="P354" s="331"/>
      <c r="Q354" s="331"/>
    </row>
    <row r="355" spans="1:17" ht="19.5" customHeight="1" x14ac:dyDescent="0.25">
      <c r="A355" s="331"/>
      <c r="B355" s="331"/>
      <c r="C355" s="331"/>
      <c r="D355" s="333"/>
      <c r="E355" s="333"/>
      <c r="F355" s="333"/>
      <c r="G355" s="331"/>
      <c r="H355" s="331"/>
      <c r="I355" s="331"/>
      <c r="J355" s="331"/>
      <c r="K355" s="331"/>
      <c r="L355" s="331"/>
      <c r="M355" s="331"/>
      <c r="N355" s="331"/>
      <c r="O355" s="331"/>
      <c r="P355" s="331"/>
      <c r="Q355" s="331"/>
    </row>
    <row r="356" spans="1:17" ht="19.5" customHeight="1" x14ac:dyDescent="0.25">
      <c r="A356" s="331"/>
      <c r="B356" s="331"/>
      <c r="C356" s="331"/>
      <c r="D356" s="333"/>
      <c r="E356" s="333"/>
      <c r="F356" s="333"/>
      <c r="G356" s="331"/>
      <c r="H356" s="331"/>
      <c r="I356" s="331"/>
      <c r="J356" s="331"/>
      <c r="K356" s="331"/>
      <c r="L356" s="331"/>
      <c r="M356" s="331"/>
      <c r="N356" s="331"/>
      <c r="O356" s="331"/>
      <c r="P356" s="331"/>
      <c r="Q356" s="331"/>
    </row>
    <row r="357" spans="1:17" ht="19.5" customHeight="1" x14ac:dyDescent="0.25">
      <c r="A357" s="331"/>
      <c r="B357" s="331"/>
      <c r="C357" s="331"/>
      <c r="D357" s="333"/>
      <c r="E357" s="333"/>
      <c r="F357" s="333"/>
      <c r="G357" s="331"/>
      <c r="H357" s="331"/>
      <c r="I357" s="331"/>
      <c r="J357" s="331"/>
      <c r="K357" s="331"/>
      <c r="L357" s="331"/>
      <c r="M357" s="331"/>
      <c r="N357" s="331"/>
      <c r="O357" s="331"/>
      <c r="P357" s="331"/>
      <c r="Q357" s="331"/>
    </row>
    <row r="358" spans="1:17" ht="19.5" customHeight="1" x14ac:dyDescent="0.25">
      <c r="A358" s="331"/>
      <c r="B358" s="331"/>
      <c r="C358" s="331"/>
      <c r="D358" s="333"/>
      <c r="E358" s="333"/>
      <c r="F358" s="333"/>
      <c r="G358" s="331"/>
      <c r="H358" s="331"/>
      <c r="I358" s="331"/>
      <c r="J358" s="331"/>
      <c r="K358" s="331"/>
      <c r="L358" s="331"/>
      <c r="M358" s="331"/>
      <c r="N358" s="331"/>
      <c r="O358" s="331"/>
      <c r="P358" s="331"/>
      <c r="Q358" s="331"/>
    </row>
    <row r="359" spans="1:17" ht="19.5" customHeight="1" x14ac:dyDescent="0.25">
      <c r="A359" s="331"/>
      <c r="B359" s="331"/>
      <c r="C359" s="331"/>
      <c r="D359" s="333"/>
      <c r="E359" s="333"/>
      <c r="F359" s="333"/>
      <c r="G359" s="331"/>
      <c r="H359" s="331"/>
      <c r="I359" s="331"/>
      <c r="J359" s="331"/>
      <c r="K359" s="331"/>
      <c r="L359" s="331"/>
      <c r="M359" s="331"/>
      <c r="N359" s="331"/>
      <c r="O359" s="331"/>
      <c r="P359" s="331"/>
      <c r="Q359" s="331"/>
    </row>
    <row r="360" spans="1:17" ht="19.5" customHeight="1" x14ac:dyDescent="0.25">
      <c r="A360" s="331"/>
      <c r="B360" s="331"/>
      <c r="C360" s="331"/>
      <c r="D360" s="333"/>
      <c r="E360" s="333"/>
      <c r="F360" s="333"/>
      <c r="G360" s="331"/>
      <c r="H360" s="331"/>
      <c r="I360" s="331"/>
      <c r="J360" s="331"/>
      <c r="K360" s="331"/>
      <c r="L360" s="331"/>
      <c r="M360" s="331"/>
      <c r="N360" s="331"/>
      <c r="O360" s="331"/>
      <c r="P360" s="331"/>
      <c r="Q360" s="331"/>
    </row>
    <row r="361" spans="1:17" ht="19.5" customHeight="1" x14ac:dyDescent="0.25">
      <c r="A361" s="331"/>
      <c r="B361" s="331"/>
      <c r="C361" s="331"/>
      <c r="D361" s="333"/>
      <c r="E361" s="333"/>
      <c r="F361" s="333"/>
      <c r="G361" s="331"/>
      <c r="H361" s="331"/>
      <c r="I361" s="331"/>
      <c r="J361" s="331"/>
      <c r="K361" s="331"/>
      <c r="L361" s="331"/>
      <c r="M361" s="331"/>
      <c r="N361" s="331"/>
      <c r="O361" s="331"/>
      <c r="P361" s="331"/>
      <c r="Q361" s="331"/>
    </row>
    <row r="362" spans="1:17" ht="19.5" customHeight="1" x14ac:dyDescent="0.25">
      <c r="A362" s="331"/>
      <c r="B362" s="331"/>
      <c r="C362" s="331"/>
      <c r="D362" s="333"/>
      <c r="E362" s="333"/>
      <c r="F362" s="333"/>
      <c r="G362" s="331"/>
      <c r="H362" s="331"/>
      <c r="I362" s="331"/>
      <c r="J362" s="331"/>
      <c r="K362" s="331"/>
      <c r="L362" s="331"/>
      <c r="M362" s="331"/>
      <c r="N362" s="331"/>
      <c r="O362" s="331"/>
      <c r="P362" s="331"/>
      <c r="Q362" s="331"/>
    </row>
    <row r="363" spans="1:17" ht="19.5" customHeight="1" x14ac:dyDescent="0.25">
      <c r="A363" s="331"/>
      <c r="B363" s="331"/>
      <c r="C363" s="331"/>
      <c r="D363" s="333"/>
      <c r="E363" s="333"/>
      <c r="F363" s="333"/>
      <c r="G363" s="331"/>
      <c r="H363" s="331"/>
      <c r="I363" s="331"/>
      <c r="J363" s="331"/>
      <c r="K363" s="331"/>
      <c r="L363" s="331"/>
      <c r="M363" s="331"/>
      <c r="N363" s="331"/>
      <c r="O363" s="331"/>
      <c r="P363" s="331"/>
      <c r="Q363" s="331"/>
    </row>
    <row r="364" spans="1:17" ht="19.5" customHeight="1" x14ac:dyDescent="0.25">
      <c r="A364" s="331"/>
      <c r="B364" s="331"/>
      <c r="C364" s="331"/>
      <c r="D364" s="333"/>
      <c r="E364" s="333"/>
      <c r="F364" s="333"/>
      <c r="G364" s="331"/>
      <c r="H364" s="331"/>
      <c r="I364" s="331"/>
      <c r="J364" s="331"/>
      <c r="K364" s="331"/>
      <c r="L364" s="331"/>
      <c r="M364" s="331"/>
      <c r="N364" s="331"/>
      <c r="O364" s="331"/>
      <c r="P364" s="331"/>
      <c r="Q364" s="331"/>
    </row>
    <row r="365" spans="1:17" ht="19.5" customHeight="1" x14ac:dyDescent="0.25">
      <c r="A365" s="331"/>
      <c r="B365" s="331"/>
      <c r="C365" s="331"/>
      <c r="D365" s="333"/>
      <c r="E365" s="333"/>
      <c r="F365" s="333"/>
      <c r="G365" s="331"/>
      <c r="H365" s="331"/>
      <c r="I365" s="331"/>
      <c r="J365" s="331"/>
      <c r="K365" s="331"/>
      <c r="L365" s="331"/>
      <c r="M365" s="331"/>
      <c r="N365" s="331"/>
      <c r="O365" s="331"/>
      <c r="P365" s="331"/>
      <c r="Q365" s="331"/>
    </row>
    <row r="366" spans="1:17" ht="19.5" customHeight="1" x14ac:dyDescent="0.25">
      <c r="A366" s="331"/>
      <c r="B366" s="331"/>
      <c r="C366" s="331"/>
      <c r="D366" s="333"/>
      <c r="E366" s="333"/>
      <c r="F366" s="333"/>
      <c r="G366" s="331"/>
      <c r="H366" s="331"/>
      <c r="I366" s="331"/>
      <c r="J366" s="331"/>
      <c r="K366" s="331"/>
      <c r="L366" s="331"/>
      <c r="M366" s="331"/>
      <c r="N366" s="331"/>
      <c r="O366" s="331"/>
      <c r="P366" s="331"/>
      <c r="Q366" s="331"/>
    </row>
    <row r="367" spans="1:17" ht="19.5" customHeight="1" x14ac:dyDescent="0.25">
      <c r="A367" s="331"/>
      <c r="B367" s="331"/>
      <c r="C367" s="331"/>
      <c r="D367" s="333"/>
      <c r="E367" s="333"/>
      <c r="F367" s="333"/>
      <c r="G367" s="331"/>
      <c r="H367" s="331"/>
      <c r="I367" s="331"/>
      <c r="J367" s="331"/>
      <c r="K367" s="331"/>
      <c r="L367" s="331"/>
      <c r="M367" s="331"/>
      <c r="N367" s="331"/>
      <c r="O367" s="331"/>
      <c r="P367" s="331"/>
      <c r="Q367" s="331"/>
    </row>
    <row r="368" spans="1:17" ht="19.5" customHeight="1" x14ac:dyDescent="0.25">
      <c r="A368" s="331"/>
      <c r="B368" s="331"/>
      <c r="C368" s="331"/>
      <c r="D368" s="333"/>
      <c r="E368" s="333"/>
      <c r="F368" s="333"/>
      <c r="G368" s="331"/>
      <c r="H368" s="331"/>
      <c r="I368" s="331"/>
      <c r="J368" s="331"/>
      <c r="K368" s="331"/>
      <c r="L368" s="331"/>
      <c r="M368" s="331"/>
      <c r="N368" s="331"/>
      <c r="O368" s="331"/>
      <c r="P368" s="331"/>
      <c r="Q368" s="331"/>
    </row>
    <row r="369" spans="1:17" ht="19.5" customHeight="1" x14ac:dyDescent="0.25">
      <c r="A369" s="331"/>
      <c r="B369" s="331"/>
      <c r="C369" s="331"/>
      <c r="D369" s="333"/>
      <c r="E369" s="333"/>
      <c r="F369" s="333"/>
      <c r="G369" s="331"/>
      <c r="H369" s="331"/>
      <c r="I369" s="331"/>
      <c r="J369" s="331"/>
      <c r="K369" s="331"/>
      <c r="L369" s="331"/>
      <c r="M369" s="331"/>
      <c r="N369" s="331"/>
      <c r="O369" s="331"/>
      <c r="P369" s="331"/>
      <c r="Q369" s="331"/>
    </row>
    <row r="370" spans="1:17" ht="19.5" customHeight="1" x14ac:dyDescent="0.25">
      <c r="A370" s="331"/>
      <c r="B370" s="331"/>
      <c r="C370" s="331"/>
      <c r="D370" s="333"/>
      <c r="E370" s="333"/>
      <c r="F370" s="333"/>
      <c r="G370" s="331"/>
      <c r="H370" s="331"/>
      <c r="I370" s="331"/>
      <c r="J370" s="331"/>
      <c r="K370" s="331"/>
      <c r="L370" s="331"/>
      <c r="M370" s="331"/>
      <c r="N370" s="331"/>
      <c r="O370" s="331"/>
      <c r="P370" s="331"/>
      <c r="Q370" s="331"/>
    </row>
    <row r="371" spans="1:17" ht="19.5" customHeight="1" x14ac:dyDescent="0.25">
      <c r="A371" s="331"/>
      <c r="B371" s="331"/>
      <c r="C371" s="331"/>
      <c r="D371" s="333"/>
      <c r="E371" s="333"/>
      <c r="F371" s="333"/>
      <c r="G371" s="331"/>
      <c r="H371" s="331"/>
      <c r="I371" s="331"/>
      <c r="J371" s="331"/>
      <c r="K371" s="331"/>
      <c r="L371" s="331"/>
      <c r="M371" s="331"/>
      <c r="N371" s="331"/>
      <c r="O371" s="331"/>
      <c r="P371" s="331"/>
      <c r="Q371" s="331"/>
    </row>
    <row r="372" spans="1:17" ht="19.5" customHeight="1" x14ac:dyDescent="0.25">
      <c r="A372" s="331"/>
      <c r="B372" s="331"/>
      <c r="C372" s="331"/>
      <c r="D372" s="333"/>
      <c r="E372" s="333"/>
      <c r="F372" s="333"/>
      <c r="G372" s="331"/>
      <c r="H372" s="331"/>
      <c r="I372" s="331"/>
      <c r="J372" s="331"/>
      <c r="K372" s="331"/>
      <c r="L372" s="331"/>
      <c r="M372" s="331"/>
      <c r="N372" s="331"/>
      <c r="O372" s="331"/>
      <c r="P372" s="331"/>
      <c r="Q372" s="331"/>
    </row>
    <row r="373" spans="1:17" ht="19.5" customHeight="1" x14ac:dyDescent="0.25">
      <c r="A373" s="331"/>
      <c r="B373" s="331"/>
      <c r="C373" s="331"/>
      <c r="D373" s="333"/>
      <c r="E373" s="333"/>
      <c r="F373" s="333"/>
      <c r="G373" s="331"/>
      <c r="H373" s="331"/>
      <c r="I373" s="331"/>
      <c r="J373" s="331"/>
      <c r="K373" s="331"/>
      <c r="L373" s="331"/>
      <c r="M373" s="331"/>
      <c r="N373" s="331"/>
      <c r="O373" s="331"/>
      <c r="P373" s="331"/>
      <c r="Q373" s="331"/>
    </row>
    <row r="374" spans="1:17" ht="19.5" customHeight="1" x14ac:dyDescent="0.25">
      <c r="A374" s="331"/>
      <c r="B374" s="331"/>
      <c r="C374" s="331"/>
      <c r="D374" s="333"/>
      <c r="E374" s="333"/>
      <c r="F374" s="333"/>
      <c r="G374" s="331"/>
      <c r="H374" s="331"/>
      <c r="I374" s="331"/>
      <c r="J374" s="331"/>
      <c r="K374" s="331"/>
      <c r="L374" s="331"/>
      <c r="M374" s="331"/>
      <c r="N374" s="331"/>
      <c r="O374" s="331"/>
      <c r="P374" s="331"/>
      <c r="Q374" s="331"/>
    </row>
    <row r="375" spans="1:17" ht="19.5" customHeight="1" x14ac:dyDescent="0.25">
      <c r="A375" s="331"/>
      <c r="B375" s="331"/>
      <c r="C375" s="331"/>
      <c r="D375" s="333"/>
      <c r="E375" s="333"/>
      <c r="F375" s="333"/>
      <c r="G375" s="331"/>
      <c r="H375" s="331"/>
      <c r="I375" s="331"/>
      <c r="J375" s="331"/>
      <c r="K375" s="331"/>
      <c r="L375" s="331"/>
      <c r="M375" s="331"/>
      <c r="N375" s="331"/>
      <c r="O375" s="331"/>
      <c r="P375" s="331"/>
      <c r="Q375" s="331"/>
    </row>
    <row r="376" spans="1:17" ht="19.5" customHeight="1" x14ac:dyDescent="0.25">
      <c r="A376" s="331"/>
      <c r="B376" s="331"/>
      <c r="C376" s="331"/>
      <c r="D376" s="333"/>
      <c r="E376" s="333"/>
      <c r="F376" s="333"/>
      <c r="G376" s="331"/>
      <c r="H376" s="331"/>
      <c r="I376" s="331"/>
      <c r="J376" s="331"/>
      <c r="K376" s="331"/>
      <c r="L376" s="331"/>
      <c r="M376" s="331"/>
      <c r="N376" s="331"/>
      <c r="O376" s="331"/>
      <c r="P376" s="331"/>
      <c r="Q376" s="331"/>
    </row>
    <row r="377" spans="1:17" ht="19.5" customHeight="1" x14ac:dyDescent="0.25">
      <c r="A377" s="331"/>
      <c r="B377" s="331"/>
      <c r="C377" s="331"/>
      <c r="D377" s="333"/>
      <c r="E377" s="333"/>
      <c r="F377" s="333"/>
      <c r="G377" s="331"/>
      <c r="H377" s="331"/>
      <c r="I377" s="331"/>
      <c r="J377" s="331"/>
      <c r="K377" s="331"/>
      <c r="L377" s="331"/>
      <c r="M377" s="331"/>
      <c r="N377" s="331"/>
      <c r="O377" s="331"/>
      <c r="P377" s="331"/>
      <c r="Q377" s="331"/>
    </row>
    <row r="378" spans="1:17" ht="19.5" customHeight="1" x14ac:dyDescent="0.25">
      <c r="A378" s="331"/>
      <c r="B378" s="331"/>
      <c r="C378" s="331"/>
      <c r="D378" s="333"/>
      <c r="E378" s="333"/>
      <c r="F378" s="333"/>
      <c r="G378" s="331"/>
      <c r="H378" s="331"/>
      <c r="I378" s="331"/>
      <c r="J378" s="331"/>
      <c r="K378" s="331"/>
      <c r="L378" s="331"/>
      <c r="M378" s="331"/>
      <c r="N378" s="331"/>
      <c r="O378" s="331"/>
      <c r="P378" s="331"/>
      <c r="Q378" s="331"/>
    </row>
    <row r="379" spans="1:17" ht="19.5" customHeight="1" x14ac:dyDescent="0.25">
      <c r="A379" s="331"/>
      <c r="B379" s="331"/>
      <c r="C379" s="331"/>
      <c r="D379" s="333"/>
      <c r="E379" s="333"/>
      <c r="F379" s="333"/>
      <c r="G379" s="331"/>
      <c r="H379" s="331"/>
      <c r="I379" s="331"/>
      <c r="J379" s="331"/>
      <c r="K379" s="331"/>
      <c r="L379" s="331"/>
      <c r="M379" s="331"/>
      <c r="N379" s="331"/>
      <c r="O379" s="331"/>
      <c r="P379" s="331"/>
      <c r="Q379" s="331"/>
    </row>
    <row r="380" spans="1:17" ht="19.5" customHeight="1" x14ac:dyDescent="0.25">
      <c r="A380" s="331"/>
      <c r="B380" s="331"/>
      <c r="C380" s="331"/>
      <c r="D380" s="333"/>
      <c r="E380" s="333"/>
      <c r="F380" s="333"/>
      <c r="G380" s="331"/>
      <c r="H380" s="331"/>
      <c r="I380" s="331"/>
      <c r="J380" s="331"/>
      <c r="K380" s="331"/>
      <c r="L380" s="331"/>
      <c r="M380" s="331"/>
      <c r="N380" s="331"/>
      <c r="O380" s="331"/>
      <c r="P380" s="331"/>
      <c r="Q380" s="331"/>
    </row>
    <row r="381" spans="1:17" ht="19.5" customHeight="1" x14ac:dyDescent="0.25">
      <c r="A381" s="331"/>
      <c r="B381" s="331"/>
      <c r="C381" s="331"/>
      <c r="D381" s="333"/>
      <c r="E381" s="333"/>
      <c r="F381" s="333"/>
      <c r="G381" s="331"/>
      <c r="H381" s="331"/>
      <c r="I381" s="331"/>
      <c r="J381" s="331"/>
      <c r="K381" s="331"/>
      <c r="L381" s="331"/>
      <c r="M381" s="331"/>
      <c r="N381" s="331"/>
      <c r="O381" s="331"/>
      <c r="P381" s="331"/>
      <c r="Q381" s="331"/>
    </row>
    <row r="382" spans="1:17" ht="19.5" customHeight="1" x14ac:dyDescent="0.25">
      <c r="A382" s="331"/>
      <c r="B382" s="331"/>
      <c r="C382" s="331"/>
      <c r="D382" s="333"/>
      <c r="E382" s="333"/>
      <c r="F382" s="333"/>
      <c r="G382" s="331"/>
      <c r="H382" s="331"/>
      <c r="I382" s="331"/>
      <c r="J382" s="331"/>
      <c r="K382" s="331"/>
      <c r="L382" s="331"/>
      <c r="M382" s="331"/>
      <c r="N382" s="331"/>
      <c r="O382" s="331"/>
      <c r="P382" s="331"/>
      <c r="Q382" s="331"/>
    </row>
    <row r="383" spans="1:17" ht="19.5" customHeight="1" x14ac:dyDescent="0.25">
      <c r="A383" s="331"/>
      <c r="B383" s="331"/>
      <c r="C383" s="331"/>
      <c r="D383" s="333"/>
      <c r="E383" s="333"/>
      <c r="F383" s="333"/>
      <c r="G383" s="331"/>
      <c r="H383" s="331"/>
      <c r="I383" s="331"/>
      <c r="J383" s="331"/>
      <c r="K383" s="331"/>
      <c r="L383" s="331"/>
      <c r="M383" s="331"/>
      <c r="N383" s="331"/>
      <c r="O383" s="331"/>
      <c r="P383" s="331"/>
      <c r="Q383" s="331"/>
    </row>
    <row r="384" spans="1:17" ht="19.5" customHeight="1" x14ac:dyDescent="0.25">
      <c r="A384" s="331"/>
      <c r="B384" s="331"/>
      <c r="C384" s="331"/>
      <c r="D384" s="333"/>
      <c r="E384" s="333"/>
      <c r="F384" s="333"/>
      <c r="G384" s="331"/>
      <c r="H384" s="331"/>
      <c r="I384" s="331"/>
      <c r="J384" s="331"/>
      <c r="K384" s="331"/>
      <c r="L384" s="331"/>
      <c r="M384" s="331"/>
      <c r="N384" s="331"/>
      <c r="O384" s="331"/>
      <c r="P384" s="331"/>
      <c r="Q384" s="331"/>
    </row>
    <row r="385" spans="1:17" ht="19.5" customHeight="1" x14ac:dyDescent="0.25">
      <c r="A385" s="331"/>
      <c r="B385" s="331"/>
      <c r="C385" s="331"/>
      <c r="D385" s="333"/>
      <c r="E385" s="333"/>
      <c r="F385" s="333"/>
      <c r="G385" s="331"/>
      <c r="H385" s="331"/>
      <c r="I385" s="331"/>
      <c r="J385" s="331"/>
      <c r="K385" s="331"/>
      <c r="L385" s="331"/>
      <c r="M385" s="331"/>
      <c r="N385" s="331"/>
      <c r="O385" s="331"/>
      <c r="P385" s="331"/>
      <c r="Q385" s="331"/>
    </row>
    <row r="386" spans="1:17" ht="19.5" customHeight="1" x14ac:dyDescent="0.25">
      <c r="A386" s="331"/>
      <c r="B386" s="331"/>
      <c r="C386" s="331"/>
      <c r="D386" s="333"/>
      <c r="E386" s="333"/>
      <c r="F386" s="333"/>
      <c r="G386" s="331"/>
      <c r="H386" s="331"/>
      <c r="I386" s="331"/>
      <c r="J386" s="331"/>
      <c r="K386" s="331"/>
      <c r="L386" s="331"/>
      <c r="M386" s="331"/>
      <c r="N386" s="331"/>
      <c r="O386" s="331"/>
      <c r="P386" s="331"/>
      <c r="Q386" s="331"/>
    </row>
    <row r="387" spans="1:17" ht="19.5" customHeight="1" x14ac:dyDescent="0.25">
      <c r="A387" s="331"/>
      <c r="B387" s="331"/>
      <c r="C387" s="331"/>
      <c r="D387" s="333"/>
      <c r="E387" s="333"/>
      <c r="F387" s="333"/>
      <c r="G387" s="331"/>
      <c r="H387" s="331"/>
      <c r="I387" s="331"/>
      <c r="J387" s="331"/>
      <c r="K387" s="331"/>
      <c r="L387" s="331"/>
      <c r="M387" s="331"/>
      <c r="N387" s="331"/>
      <c r="O387" s="331"/>
      <c r="P387" s="331"/>
      <c r="Q387" s="331"/>
    </row>
    <row r="388" spans="1:17" ht="19.5" customHeight="1" x14ac:dyDescent="0.25">
      <c r="A388" s="331"/>
      <c r="B388" s="331"/>
      <c r="C388" s="331"/>
      <c r="D388" s="333"/>
      <c r="E388" s="333"/>
      <c r="F388" s="333"/>
      <c r="G388" s="331"/>
      <c r="H388" s="331"/>
      <c r="I388" s="331"/>
      <c r="J388" s="331"/>
      <c r="K388" s="331"/>
      <c r="L388" s="331"/>
      <c r="M388" s="331"/>
      <c r="N388" s="331"/>
      <c r="O388" s="331"/>
      <c r="P388" s="331"/>
      <c r="Q388" s="331"/>
    </row>
    <row r="389" spans="1:17" ht="19.5" customHeight="1" x14ac:dyDescent="0.25">
      <c r="A389" s="331"/>
      <c r="B389" s="331"/>
      <c r="C389" s="331"/>
      <c r="D389" s="333"/>
      <c r="E389" s="333"/>
      <c r="F389" s="333"/>
      <c r="G389" s="331"/>
      <c r="H389" s="331"/>
      <c r="I389" s="331"/>
      <c r="J389" s="331"/>
      <c r="K389" s="331"/>
      <c r="L389" s="331"/>
      <c r="M389" s="331"/>
      <c r="N389" s="331"/>
      <c r="O389" s="331"/>
      <c r="P389" s="331"/>
      <c r="Q389" s="331"/>
    </row>
    <row r="390" spans="1:17" ht="19.5" customHeight="1" x14ac:dyDescent="0.25">
      <c r="A390" s="331"/>
      <c r="B390" s="331"/>
      <c r="C390" s="331"/>
      <c r="D390" s="333"/>
      <c r="E390" s="333"/>
      <c r="F390" s="333"/>
      <c r="G390" s="331"/>
      <c r="H390" s="331"/>
      <c r="I390" s="331"/>
      <c r="J390" s="331"/>
      <c r="K390" s="331"/>
      <c r="L390" s="331"/>
      <c r="M390" s="331"/>
      <c r="N390" s="331"/>
      <c r="O390" s="331"/>
      <c r="P390" s="331"/>
      <c r="Q390" s="331"/>
    </row>
    <row r="391" spans="1:17" ht="19.5" customHeight="1" x14ac:dyDescent="0.25">
      <c r="A391" s="331"/>
      <c r="B391" s="331"/>
      <c r="C391" s="331"/>
      <c r="D391" s="333"/>
      <c r="E391" s="333"/>
      <c r="F391" s="333"/>
      <c r="G391" s="331"/>
      <c r="H391" s="331"/>
      <c r="I391" s="331"/>
      <c r="J391" s="331"/>
      <c r="K391" s="331"/>
      <c r="L391" s="331"/>
      <c r="M391" s="331"/>
      <c r="N391" s="331"/>
      <c r="O391" s="331"/>
      <c r="P391" s="331"/>
      <c r="Q391" s="331"/>
    </row>
    <row r="392" spans="1:17" ht="19.5" customHeight="1" x14ac:dyDescent="0.25">
      <c r="A392" s="331"/>
      <c r="B392" s="331"/>
      <c r="C392" s="331"/>
      <c r="D392" s="333"/>
      <c r="E392" s="333"/>
      <c r="F392" s="333"/>
      <c r="G392" s="331"/>
      <c r="H392" s="331"/>
      <c r="I392" s="331"/>
      <c r="J392" s="331"/>
      <c r="K392" s="331"/>
      <c r="L392" s="331"/>
      <c r="M392" s="331"/>
      <c r="N392" s="331"/>
      <c r="O392" s="331"/>
      <c r="P392" s="331"/>
      <c r="Q392" s="331"/>
    </row>
    <row r="393" spans="1:17" ht="19.5" customHeight="1" x14ac:dyDescent="0.25">
      <c r="A393" s="331"/>
      <c r="B393" s="331"/>
      <c r="C393" s="331"/>
      <c r="D393" s="333"/>
      <c r="E393" s="333"/>
      <c r="F393" s="333"/>
      <c r="G393" s="331"/>
      <c r="H393" s="331"/>
      <c r="I393" s="331"/>
      <c r="J393" s="331"/>
      <c r="K393" s="331"/>
      <c r="L393" s="331"/>
      <c r="M393" s="331"/>
      <c r="N393" s="331"/>
      <c r="O393" s="331"/>
      <c r="P393" s="331"/>
      <c r="Q393" s="331"/>
    </row>
    <row r="394" spans="1:17" ht="19.5" customHeight="1" x14ac:dyDescent="0.25">
      <c r="A394" s="331"/>
      <c r="B394" s="331"/>
      <c r="C394" s="331"/>
      <c r="D394" s="333"/>
      <c r="E394" s="333"/>
      <c r="F394" s="333"/>
      <c r="G394" s="331"/>
      <c r="H394" s="331"/>
      <c r="I394" s="331"/>
      <c r="J394" s="331"/>
      <c r="K394" s="331"/>
      <c r="L394" s="331"/>
      <c r="M394" s="331"/>
      <c r="N394" s="331"/>
      <c r="O394" s="331"/>
      <c r="P394" s="331"/>
      <c r="Q394" s="331"/>
    </row>
    <row r="395" spans="1:17" ht="19.5" customHeight="1" x14ac:dyDescent="0.25">
      <c r="A395" s="331"/>
      <c r="B395" s="331"/>
      <c r="C395" s="331"/>
      <c r="D395" s="333"/>
      <c r="E395" s="333"/>
      <c r="F395" s="333"/>
      <c r="G395" s="331"/>
      <c r="H395" s="331"/>
      <c r="I395" s="331"/>
      <c r="J395" s="331"/>
      <c r="K395" s="331"/>
      <c r="L395" s="331"/>
      <c r="M395" s="331"/>
      <c r="N395" s="331"/>
      <c r="O395" s="331"/>
      <c r="P395" s="331"/>
      <c r="Q395" s="331"/>
    </row>
    <row r="396" spans="1:17" ht="19.5" customHeight="1" x14ac:dyDescent="0.25">
      <c r="A396" s="331"/>
      <c r="B396" s="331"/>
      <c r="C396" s="331"/>
      <c r="D396" s="333"/>
      <c r="E396" s="333"/>
      <c r="F396" s="333"/>
      <c r="G396" s="331"/>
      <c r="H396" s="331"/>
      <c r="I396" s="331"/>
      <c r="J396" s="331"/>
      <c r="K396" s="331"/>
      <c r="L396" s="331"/>
      <c r="M396" s="331"/>
      <c r="N396" s="331"/>
      <c r="O396" s="331"/>
      <c r="P396" s="331"/>
      <c r="Q396" s="331"/>
    </row>
    <row r="397" spans="1:17" ht="19.5" customHeight="1" x14ac:dyDescent="0.25">
      <c r="A397" s="331"/>
      <c r="B397" s="331"/>
      <c r="C397" s="331"/>
      <c r="D397" s="333"/>
      <c r="E397" s="333"/>
      <c r="F397" s="333"/>
      <c r="G397" s="331"/>
      <c r="H397" s="331"/>
      <c r="I397" s="331"/>
      <c r="J397" s="331"/>
      <c r="K397" s="331"/>
      <c r="L397" s="331"/>
      <c r="M397" s="331"/>
      <c r="N397" s="331"/>
      <c r="O397" s="331"/>
      <c r="P397" s="331"/>
      <c r="Q397" s="331"/>
    </row>
    <row r="398" spans="1:17" ht="19.5" customHeight="1" x14ac:dyDescent="0.25">
      <c r="A398" s="331"/>
      <c r="B398" s="331"/>
      <c r="C398" s="331"/>
      <c r="D398" s="333"/>
      <c r="E398" s="333"/>
      <c r="F398" s="333"/>
      <c r="G398" s="331"/>
      <c r="H398" s="331"/>
      <c r="I398" s="331"/>
      <c r="J398" s="331"/>
      <c r="K398" s="331"/>
      <c r="L398" s="331"/>
      <c r="M398" s="331"/>
      <c r="N398" s="331"/>
      <c r="O398" s="331"/>
      <c r="P398" s="331"/>
      <c r="Q398" s="331"/>
    </row>
    <row r="399" spans="1:17" ht="19.5" customHeight="1" x14ac:dyDescent="0.25">
      <c r="A399" s="331"/>
      <c r="B399" s="331"/>
      <c r="C399" s="331"/>
      <c r="D399" s="333"/>
      <c r="E399" s="333"/>
      <c r="F399" s="333"/>
      <c r="G399" s="331"/>
      <c r="H399" s="331"/>
      <c r="I399" s="331"/>
      <c r="J399" s="331"/>
      <c r="K399" s="331"/>
      <c r="L399" s="331"/>
      <c r="M399" s="331"/>
      <c r="N399" s="331"/>
      <c r="O399" s="331"/>
      <c r="P399" s="331"/>
      <c r="Q399" s="331"/>
    </row>
    <row r="400" spans="1:17" ht="19.5" customHeight="1" x14ac:dyDescent="0.25">
      <c r="A400" s="331"/>
      <c r="B400" s="331"/>
      <c r="C400" s="331"/>
      <c r="D400" s="333"/>
      <c r="E400" s="333"/>
      <c r="F400" s="333"/>
      <c r="G400" s="331"/>
      <c r="H400" s="331"/>
      <c r="I400" s="331"/>
      <c r="J400" s="331"/>
      <c r="K400" s="331"/>
      <c r="L400" s="331"/>
      <c r="M400" s="331"/>
      <c r="N400" s="331"/>
      <c r="O400" s="331"/>
      <c r="P400" s="331"/>
      <c r="Q400" s="331"/>
    </row>
    <row r="401" spans="1:17" ht="19.5" customHeight="1" x14ac:dyDescent="0.25">
      <c r="A401" s="331"/>
      <c r="B401" s="331"/>
      <c r="C401" s="331"/>
      <c r="D401" s="333"/>
      <c r="E401" s="333"/>
      <c r="F401" s="333"/>
      <c r="G401" s="331"/>
      <c r="H401" s="331"/>
      <c r="I401" s="331"/>
      <c r="J401" s="331"/>
      <c r="K401" s="331"/>
      <c r="L401" s="331"/>
      <c r="M401" s="331"/>
      <c r="N401" s="331"/>
      <c r="O401" s="331"/>
      <c r="P401" s="331"/>
      <c r="Q401" s="331"/>
    </row>
    <row r="402" spans="1:17" ht="19.5" customHeight="1" x14ac:dyDescent="0.25">
      <c r="A402" s="331"/>
      <c r="B402" s="331"/>
      <c r="C402" s="331"/>
      <c r="D402" s="333"/>
      <c r="E402" s="333"/>
      <c r="F402" s="333"/>
      <c r="G402" s="331"/>
      <c r="H402" s="331"/>
      <c r="I402" s="331"/>
      <c r="J402" s="331"/>
      <c r="K402" s="331"/>
      <c r="L402" s="331"/>
      <c r="M402" s="331"/>
      <c r="N402" s="331"/>
      <c r="O402" s="331"/>
      <c r="P402" s="331"/>
      <c r="Q402" s="331"/>
    </row>
    <row r="403" spans="1:17" ht="19.5" customHeight="1" x14ac:dyDescent="0.25">
      <c r="A403" s="331"/>
      <c r="B403" s="331"/>
      <c r="C403" s="331"/>
      <c r="D403" s="333"/>
      <c r="E403" s="333"/>
      <c r="F403" s="333"/>
      <c r="G403" s="331"/>
      <c r="H403" s="331"/>
      <c r="I403" s="331"/>
      <c r="J403" s="331"/>
      <c r="K403" s="331"/>
      <c r="L403" s="331"/>
      <c r="M403" s="331"/>
      <c r="N403" s="331"/>
      <c r="O403" s="331"/>
      <c r="P403" s="331"/>
      <c r="Q403" s="331"/>
    </row>
    <row r="404" spans="1:17" ht="19.5" customHeight="1" x14ac:dyDescent="0.25">
      <c r="A404" s="331"/>
      <c r="B404" s="331"/>
      <c r="C404" s="331"/>
      <c r="D404" s="333"/>
      <c r="E404" s="333"/>
      <c r="F404" s="333"/>
      <c r="G404" s="331"/>
      <c r="H404" s="331"/>
      <c r="I404" s="331"/>
      <c r="J404" s="331"/>
      <c r="K404" s="331"/>
      <c r="L404" s="331"/>
      <c r="M404" s="331"/>
      <c r="N404" s="331"/>
      <c r="O404" s="331"/>
      <c r="P404" s="331"/>
      <c r="Q404" s="331"/>
    </row>
    <row r="405" spans="1:17" ht="19.5" customHeight="1" x14ac:dyDescent="0.25">
      <c r="A405" s="331"/>
      <c r="B405" s="331"/>
      <c r="C405" s="331"/>
      <c r="D405" s="333"/>
      <c r="E405" s="333"/>
      <c r="F405" s="333"/>
      <c r="G405" s="331"/>
      <c r="H405" s="331"/>
      <c r="I405" s="331"/>
      <c r="J405" s="331"/>
      <c r="K405" s="331"/>
      <c r="L405" s="331"/>
      <c r="M405" s="331"/>
      <c r="N405" s="331"/>
      <c r="O405" s="331"/>
      <c r="P405" s="331"/>
      <c r="Q405" s="331"/>
    </row>
    <row r="406" spans="1:17" ht="19.5" customHeight="1" x14ac:dyDescent="0.25">
      <c r="A406" s="331"/>
      <c r="B406" s="331"/>
      <c r="C406" s="331"/>
      <c r="D406" s="333"/>
      <c r="E406" s="333"/>
      <c r="F406" s="333"/>
      <c r="G406" s="331"/>
      <c r="H406" s="331"/>
      <c r="I406" s="331"/>
      <c r="J406" s="331"/>
      <c r="K406" s="331"/>
      <c r="L406" s="331"/>
      <c r="M406" s="331"/>
      <c r="N406" s="331"/>
      <c r="O406" s="331"/>
      <c r="P406" s="331"/>
      <c r="Q406" s="331"/>
    </row>
    <row r="407" spans="1:17" ht="19.5" customHeight="1" x14ac:dyDescent="0.25">
      <c r="A407" s="331"/>
      <c r="B407" s="331"/>
      <c r="C407" s="331"/>
      <c r="D407" s="333"/>
      <c r="E407" s="333"/>
      <c r="F407" s="333"/>
      <c r="G407" s="331"/>
      <c r="H407" s="331"/>
      <c r="I407" s="331"/>
      <c r="J407" s="331"/>
      <c r="K407" s="331"/>
      <c r="L407" s="331"/>
      <c r="M407" s="331"/>
      <c r="N407" s="331"/>
      <c r="O407" s="331"/>
      <c r="P407" s="331"/>
      <c r="Q407" s="331"/>
    </row>
    <row r="408" spans="1:17" ht="19.5" customHeight="1" x14ac:dyDescent="0.25">
      <c r="A408" s="331"/>
      <c r="B408" s="331"/>
      <c r="C408" s="331"/>
      <c r="D408" s="333"/>
      <c r="E408" s="333"/>
      <c r="F408" s="333"/>
      <c r="G408" s="331"/>
      <c r="H408" s="331"/>
      <c r="I408" s="331"/>
      <c r="J408" s="331"/>
      <c r="K408" s="331"/>
      <c r="L408" s="331"/>
      <c r="M408" s="331"/>
      <c r="N408" s="331"/>
      <c r="O408" s="331"/>
      <c r="P408" s="331"/>
      <c r="Q408" s="331"/>
    </row>
    <row r="409" spans="1:17" ht="19.5" customHeight="1" x14ac:dyDescent="0.25">
      <c r="A409" s="331"/>
      <c r="B409" s="331"/>
      <c r="C409" s="331"/>
      <c r="D409" s="333"/>
      <c r="E409" s="333"/>
      <c r="F409" s="333"/>
      <c r="G409" s="331"/>
      <c r="H409" s="331"/>
      <c r="I409" s="331"/>
      <c r="J409" s="331"/>
      <c r="K409" s="331"/>
      <c r="L409" s="331"/>
      <c r="M409" s="331"/>
      <c r="N409" s="331"/>
      <c r="O409" s="331"/>
      <c r="P409" s="331"/>
      <c r="Q409" s="331"/>
    </row>
    <row r="410" spans="1:17" ht="19.5" customHeight="1" x14ac:dyDescent="0.25">
      <c r="A410" s="331"/>
      <c r="B410" s="331"/>
      <c r="C410" s="331"/>
      <c r="D410" s="333"/>
      <c r="E410" s="333"/>
      <c r="F410" s="333"/>
      <c r="G410" s="331"/>
      <c r="H410" s="331"/>
      <c r="I410" s="331"/>
      <c r="J410" s="331"/>
      <c r="K410" s="331"/>
      <c r="L410" s="331"/>
      <c r="M410" s="331"/>
      <c r="N410" s="331"/>
      <c r="O410" s="331"/>
      <c r="P410" s="331"/>
      <c r="Q410" s="331"/>
    </row>
    <row r="411" spans="1:17" ht="19.5" customHeight="1" x14ac:dyDescent="0.25">
      <c r="A411" s="331"/>
      <c r="B411" s="331"/>
      <c r="C411" s="331"/>
      <c r="D411" s="333"/>
      <c r="E411" s="333"/>
      <c r="F411" s="333"/>
      <c r="G411" s="331"/>
      <c r="H411" s="331"/>
      <c r="I411" s="331"/>
      <c r="J411" s="331"/>
      <c r="K411" s="331"/>
      <c r="L411" s="331"/>
      <c r="M411" s="331"/>
      <c r="N411" s="331"/>
      <c r="O411" s="331"/>
      <c r="P411" s="331"/>
      <c r="Q411" s="331"/>
    </row>
    <row r="412" spans="1:17" ht="19.5" customHeight="1" x14ac:dyDescent="0.25">
      <c r="A412" s="331"/>
      <c r="B412" s="331"/>
      <c r="C412" s="331"/>
      <c r="D412" s="333"/>
      <c r="E412" s="333"/>
      <c r="F412" s="333"/>
      <c r="G412" s="331"/>
      <c r="H412" s="331"/>
      <c r="I412" s="331"/>
      <c r="J412" s="331"/>
      <c r="K412" s="331"/>
      <c r="L412" s="331"/>
      <c r="M412" s="331"/>
      <c r="N412" s="331"/>
      <c r="O412" s="331"/>
      <c r="P412" s="331"/>
      <c r="Q412" s="331"/>
    </row>
    <row r="413" spans="1:17" ht="19.5" customHeight="1" x14ac:dyDescent="0.25">
      <c r="A413" s="331"/>
      <c r="B413" s="331"/>
      <c r="C413" s="331"/>
      <c r="D413" s="333"/>
      <c r="E413" s="333"/>
      <c r="F413" s="333"/>
      <c r="G413" s="331"/>
      <c r="H413" s="331"/>
      <c r="I413" s="331"/>
      <c r="J413" s="331"/>
      <c r="K413" s="331"/>
      <c r="L413" s="331"/>
      <c r="M413" s="331"/>
      <c r="N413" s="331"/>
      <c r="O413" s="331"/>
      <c r="P413" s="331"/>
      <c r="Q413" s="331"/>
    </row>
    <row r="414" spans="1:17" ht="19.5" customHeight="1" x14ac:dyDescent="0.25">
      <c r="A414" s="331"/>
      <c r="B414" s="331"/>
      <c r="C414" s="331"/>
      <c r="D414" s="333"/>
      <c r="E414" s="333"/>
      <c r="F414" s="333"/>
      <c r="G414" s="331"/>
      <c r="H414" s="331"/>
      <c r="I414" s="331"/>
      <c r="J414" s="331"/>
      <c r="K414" s="331"/>
      <c r="L414" s="331"/>
      <c r="M414" s="331"/>
      <c r="N414" s="331"/>
      <c r="O414" s="331"/>
      <c r="P414" s="331"/>
      <c r="Q414" s="331"/>
    </row>
    <row r="415" spans="1:17" ht="19.5" customHeight="1" x14ac:dyDescent="0.25">
      <c r="A415" s="331"/>
      <c r="B415" s="331"/>
      <c r="C415" s="331"/>
      <c r="D415" s="333"/>
      <c r="E415" s="333"/>
      <c r="F415" s="333"/>
      <c r="G415" s="331"/>
      <c r="H415" s="331"/>
      <c r="I415" s="331"/>
      <c r="J415" s="331"/>
      <c r="K415" s="331"/>
      <c r="L415" s="331"/>
      <c r="M415" s="331"/>
      <c r="N415" s="331"/>
      <c r="O415" s="331"/>
      <c r="P415" s="331"/>
      <c r="Q415" s="331"/>
    </row>
    <row r="416" spans="1:17" ht="19.5" customHeight="1" x14ac:dyDescent="0.25">
      <c r="A416" s="331"/>
      <c r="B416" s="331"/>
      <c r="C416" s="331"/>
      <c r="D416" s="333"/>
      <c r="E416" s="333"/>
      <c r="F416" s="333"/>
      <c r="G416" s="331"/>
      <c r="H416" s="331"/>
      <c r="I416" s="331"/>
      <c r="J416" s="331"/>
      <c r="K416" s="331"/>
      <c r="L416" s="331"/>
      <c r="M416" s="331"/>
      <c r="N416" s="331"/>
      <c r="O416" s="331"/>
      <c r="P416" s="331"/>
      <c r="Q416" s="331"/>
    </row>
    <row r="417" spans="1:17" ht="19.5" customHeight="1" x14ac:dyDescent="0.25">
      <c r="A417" s="331"/>
      <c r="B417" s="331"/>
      <c r="C417" s="331"/>
      <c r="D417" s="333"/>
      <c r="E417" s="333"/>
      <c r="F417" s="333"/>
      <c r="G417" s="331"/>
      <c r="H417" s="331"/>
      <c r="I417" s="331"/>
      <c r="J417" s="331"/>
      <c r="K417" s="331"/>
      <c r="L417" s="331"/>
      <c r="M417" s="331"/>
      <c r="N417" s="331"/>
      <c r="O417" s="331"/>
      <c r="P417" s="331"/>
      <c r="Q417" s="331"/>
    </row>
    <row r="418" spans="1:17" ht="19.5" customHeight="1" x14ac:dyDescent="0.25">
      <c r="A418" s="331"/>
      <c r="B418" s="331"/>
      <c r="C418" s="331"/>
      <c r="D418" s="333"/>
      <c r="E418" s="333"/>
      <c r="F418" s="333"/>
      <c r="G418" s="331"/>
      <c r="H418" s="331"/>
      <c r="I418" s="331"/>
      <c r="J418" s="331"/>
      <c r="K418" s="331"/>
      <c r="L418" s="331"/>
      <c r="M418" s="331"/>
      <c r="N418" s="331"/>
      <c r="O418" s="331"/>
      <c r="P418" s="331"/>
      <c r="Q418" s="331"/>
    </row>
    <row r="419" spans="1:17" ht="19.5" customHeight="1" x14ac:dyDescent="0.25">
      <c r="A419" s="331"/>
      <c r="B419" s="331"/>
      <c r="C419" s="331"/>
      <c r="D419" s="333"/>
      <c r="E419" s="333"/>
      <c r="F419" s="333"/>
      <c r="G419" s="331"/>
      <c r="H419" s="331"/>
      <c r="I419" s="331"/>
      <c r="J419" s="331"/>
      <c r="K419" s="331"/>
      <c r="L419" s="331"/>
      <c r="M419" s="331"/>
      <c r="N419" s="331"/>
      <c r="O419" s="331"/>
      <c r="P419" s="331"/>
      <c r="Q419" s="331"/>
    </row>
    <row r="420" spans="1:17" ht="19.5" customHeight="1" x14ac:dyDescent="0.25">
      <c r="A420" s="331"/>
      <c r="B420" s="331"/>
      <c r="C420" s="331"/>
      <c r="D420" s="333"/>
      <c r="E420" s="333"/>
      <c r="F420" s="333"/>
      <c r="G420" s="331"/>
      <c r="H420" s="331"/>
      <c r="I420" s="331"/>
      <c r="J420" s="331"/>
      <c r="K420" s="331"/>
      <c r="L420" s="331"/>
      <c r="M420" s="331"/>
      <c r="N420" s="331"/>
      <c r="O420" s="331"/>
      <c r="P420" s="331"/>
      <c r="Q420" s="331"/>
    </row>
    <row r="421" spans="1:17" ht="19.5" customHeight="1" x14ac:dyDescent="0.25">
      <c r="A421" s="331"/>
      <c r="B421" s="331"/>
      <c r="C421" s="331"/>
      <c r="D421" s="333"/>
      <c r="E421" s="333"/>
      <c r="F421" s="333"/>
      <c r="G421" s="331"/>
      <c r="H421" s="331"/>
      <c r="I421" s="331"/>
      <c r="J421" s="331"/>
      <c r="K421" s="331"/>
      <c r="L421" s="331"/>
      <c r="M421" s="331"/>
      <c r="N421" s="331"/>
      <c r="O421" s="331"/>
      <c r="P421" s="331"/>
      <c r="Q421" s="331"/>
    </row>
    <row r="422" spans="1:17" ht="19.5" customHeight="1" x14ac:dyDescent="0.25">
      <c r="A422" s="331"/>
      <c r="B422" s="331"/>
      <c r="C422" s="331"/>
      <c r="D422" s="333"/>
      <c r="E422" s="333"/>
      <c r="F422" s="333"/>
      <c r="G422" s="331"/>
      <c r="H422" s="331"/>
      <c r="I422" s="331"/>
      <c r="J422" s="331"/>
      <c r="K422" s="331"/>
      <c r="L422" s="331"/>
      <c r="M422" s="331"/>
      <c r="N422" s="331"/>
      <c r="O422" s="331"/>
      <c r="P422" s="331"/>
      <c r="Q422" s="331"/>
    </row>
    <row r="423" spans="1:17" ht="19.5" customHeight="1" x14ac:dyDescent="0.25">
      <c r="A423" s="331"/>
      <c r="B423" s="331"/>
      <c r="C423" s="331"/>
      <c r="D423" s="333"/>
      <c r="E423" s="333"/>
      <c r="F423" s="333"/>
      <c r="G423" s="331"/>
      <c r="H423" s="331"/>
      <c r="I423" s="331"/>
      <c r="J423" s="331"/>
      <c r="K423" s="331"/>
      <c r="L423" s="331"/>
      <c r="M423" s="331"/>
      <c r="N423" s="331"/>
      <c r="O423" s="331"/>
      <c r="P423" s="331"/>
      <c r="Q423" s="331"/>
    </row>
    <row r="424" spans="1:17" ht="19.5" customHeight="1" x14ac:dyDescent="0.25">
      <c r="A424" s="331"/>
      <c r="B424" s="331"/>
      <c r="C424" s="331"/>
      <c r="D424" s="333"/>
      <c r="E424" s="333"/>
      <c r="F424" s="333"/>
      <c r="G424" s="331"/>
      <c r="H424" s="331"/>
      <c r="I424" s="331"/>
      <c r="J424" s="331"/>
      <c r="K424" s="331"/>
      <c r="L424" s="331"/>
      <c r="M424" s="331"/>
      <c r="N424" s="331"/>
      <c r="O424" s="331"/>
      <c r="P424" s="331"/>
      <c r="Q424" s="331"/>
    </row>
    <row r="425" spans="1:17" ht="19.5" customHeight="1" x14ac:dyDescent="0.25">
      <c r="A425" s="331"/>
      <c r="B425" s="331"/>
      <c r="C425" s="331"/>
      <c r="D425" s="333"/>
      <c r="E425" s="333"/>
      <c r="F425" s="333"/>
      <c r="G425" s="331"/>
      <c r="H425" s="331"/>
      <c r="I425" s="331"/>
      <c r="J425" s="331"/>
      <c r="K425" s="331"/>
      <c r="L425" s="331"/>
      <c r="M425" s="331"/>
      <c r="N425" s="331"/>
      <c r="O425" s="331"/>
      <c r="P425" s="331"/>
      <c r="Q425" s="331"/>
    </row>
    <row r="426" spans="1:17" ht="19.5" customHeight="1" x14ac:dyDescent="0.25">
      <c r="A426" s="331"/>
      <c r="B426" s="331"/>
      <c r="C426" s="331"/>
      <c r="D426" s="333"/>
      <c r="E426" s="333"/>
      <c r="F426" s="333"/>
      <c r="G426" s="331"/>
      <c r="H426" s="331"/>
      <c r="I426" s="331"/>
      <c r="J426" s="331"/>
      <c r="K426" s="331"/>
      <c r="L426" s="331"/>
      <c r="M426" s="331"/>
      <c r="N426" s="331"/>
      <c r="O426" s="331"/>
      <c r="P426" s="331"/>
      <c r="Q426" s="331"/>
    </row>
    <row r="427" spans="1:17" ht="19.5" customHeight="1" x14ac:dyDescent="0.25">
      <c r="A427" s="331"/>
      <c r="B427" s="331"/>
      <c r="C427" s="331"/>
      <c r="D427" s="333"/>
      <c r="E427" s="333"/>
      <c r="F427" s="333"/>
      <c r="G427" s="331"/>
      <c r="H427" s="331"/>
      <c r="I427" s="331"/>
      <c r="J427" s="331"/>
      <c r="K427" s="331"/>
      <c r="L427" s="331"/>
      <c r="M427" s="331"/>
      <c r="N427" s="331"/>
      <c r="O427" s="331"/>
      <c r="P427" s="331"/>
      <c r="Q427" s="331"/>
    </row>
    <row r="428" spans="1:17" ht="19.5" customHeight="1" x14ac:dyDescent="0.25">
      <c r="A428" s="331"/>
      <c r="B428" s="331"/>
      <c r="C428" s="331"/>
      <c r="D428" s="333"/>
      <c r="E428" s="333"/>
      <c r="F428" s="333"/>
      <c r="G428" s="331"/>
      <c r="H428" s="331"/>
      <c r="I428" s="331"/>
      <c r="J428" s="331"/>
      <c r="K428" s="331"/>
      <c r="L428" s="331"/>
      <c r="M428" s="331"/>
      <c r="N428" s="331"/>
      <c r="O428" s="331"/>
      <c r="P428" s="331"/>
      <c r="Q428" s="331"/>
    </row>
    <row r="429" spans="1:17" ht="19.5" customHeight="1" x14ac:dyDescent="0.25">
      <c r="A429" s="331"/>
      <c r="B429" s="331"/>
      <c r="C429" s="331"/>
      <c r="D429" s="333"/>
      <c r="E429" s="333"/>
      <c r="F429" s="333"/>
      <c r="G429" s="331"/>
      <c r="H429" s="331"/>
      <c r="I429" s="331"/>
      <c r="J429" s="331"/>
      <c r="K429" s="331"/>
      <c r="L429" s="331"/>
      <c r="M429" s="331"/>
      <c r="N429" s="331"/>
      <c r="O429" s="331"/>
      <c r="P429" s="331"/>
      <c r="Q429" s="331"/>
    </row>
    <row r="430" spans="1:17" ht="19.5" customHeight="1" x14ac:dyDescent="0.25">
      <c r="A430" s="331"/>
      <c r="B430" s="331"/>
      <c r="C430" s="331"/>
      <c r="D430" s="333"/>
      <c r="E430" s="333"/>
      <c r="F430" s="333"/>
      <c r="G430" s="331"/>
      <c r="H430" s="331"/>
      <c r="I430" s="331"/>
      <c r="J430" s="331"/>
      <c r="K430" s="331"/>
      <c r="L430" s="331"/>
      <c r="M430" s="331"/>
      <c r="N430" s="331"/>
      <c r="O430" s="331"/>
      <c r="P430" s="331"/>
      <c r="Q430" s="331"/>
    </row>
    <row r="431" spans="1:17" ht="19.5" customHeight="1" x14ac:dyDescent="0.25">
      <c r="A431" s="331"/>
      <c r="B431" s="331"/>
      <c r="C431" s="331"/>
      <c r="D431" s="333"/>
      <c r="E431" s="333"/>
      <c r="F431" s="333"/>
      <c r="G431" s="331"/>
      <c r="H431" s="331"/>
      <c r="I431" s="331"/>
      <c r="J431" s="331"/>
      <c r="K431" s="331"/>
      <c r="L431" s="331"/>
      <c r="M431" s="331"/>
      <c r="N431" s="331"/>
      <c r="O431" s="331"/>
      <c r="P431" s="331"/>
      <c r="Q431" s="331"/>
    </row>
    <row r="432" spans="1:17" ht="19.5" customHeight="1" x14ac:dyDescent="0.25">
      <c r="A432" s="331"/>
      <c r="B432" s="331"/>
      <c r="C432" s="331"/>
      <c r="D432" s="333"/>
      <c r="E432" s="333"/>
      <c r="F432" s="333"/>
      <c r="G432" s="331"/>
      <c r="H432" s="331"/>
      <c r="I432" s="331"/>
      <c r="J432" s="331"/>
      <c r="K432" s="331"/>
      <c r="L432" s="331"/>
      <c r="M432" s="331"/>
      <c r="N432" s="331"/>
      <c r="O432" s="331"/>
      <c r="P432" s="331"/>
      <c r="Q432" s="331"/>
    </row>
    <row r="433" spans="1:17" ht="19.5" customHeight="1" x14ac:dyDescent="0.25">
      <c r="A433" s="331"/>
      <c r="B433" s="331"/>
      <c r="C433" s="331"/>
      <c r="D433" s="333"/>
      <c r="E433" s="333"/>
      <c r="F433" s="333"/>
      <c r="G433" s="331"/>
      <c r="H433" s="331"/>
      <c r="I433" s="331"/>
      <c r="J433" s="331"/>
      <c r="K433" s="331"/>
      <c r="L433" s="331"/>
      <c r="M433" s="331"/>
      <c r="N433" s="331"/>
      <c r="O433" s="331"/>
      <c r="P433" s="331"/>
      <c r="Q433" s="331"/>
    </row>
    <row r="434" spans="1:17" ht="19.5" customHeight="1" x14ac:dyDescent="0.25">
      <c r="A434" s="331"/>
      <c r="B434" s="331"/>
      <c r="C434" s="331"/>
      <c r="D434" s="333"/>
      <c r="E434" s="333"/>
      <c r="F434" s="333"/>
      <c r="G434" s="331"/>
      <c r="H434" s="331"/>
      <c r="I434" s="331"/>
      <c r="J434" s="331"/>
      <c r="K434" s="331"/>
      <c r="L434" s="331"/>
      <c r="M434" s="331"/>
      <c r="N434" s="331"/>
      <c r="O434" s="331"/>
      <c r="P434" s="331"/>
      <c r="Q434" s="331"/>
    </row>
    <row r="435" spans="1:17" ht="19.5" customHeight="1" x14ac:dyDescent="0.25">
      <c r="A435" s="331"/>
      <c r="B435" s="331"/>
      <c r="C435" s="331"/>
      <c r="D435" s="333"/>
      <c r="E435" s="333"/>
      <c r="F435" s="333"/>
      <c r="G435" s="331"/>
      <c r="H435" s="331"/>
      <c r="I435" s="331"/>
      <c r="J435" s="331"/>
      <c r="K435" s="331"/>
      <c r="L435" s="331"/>
      <c r="M435" s="331"/>
      <c r="N435" s="331"/>
      <c r="O435" s="331"/>
      <c r="P435" s="331"/>
      <c r="Q435" s="331"/>
    </row>
    <row r="436" spans="1:17" ht="19.5" customHeight="1" x14ac:dyDescent="0.25">
      <c r="A436" s="331"/>
      <c r="B436" s="331"/>
      <c r="C436" s="331"/>
      <c r="D436" s="333"/>
      <c r="E436" s="333"/>
      <c r="F436" s="333"/>
      <c r="G436" s="331"/>
      <c r="H436" s="331"/>
      <c r="I436" s="331"/>
      <c r="J436" s="331"/>
      <c r="K436" s="331"/>
      <c r="L436" s="331"/>
      <c r="M436" s="331"/>
      <c r="N436" s="331"/>
      <c r="O436" s="331"/>
      <c r="P436" s="331"/>
      <c r="Q436" s="331"/>
    </row>
    <row r="437" spans="1:17" ht="19.5" customHeight="1" x14ac:dyDescent="0.25">
      <c r="A437" s="331"/>
      <c r="B437" s="331"/>
      <c r="C437" s="331"/>
      <c r="D437" s="333"/>
      <c r="E437" s="333"/>
      <c r="F437" s="333"/>
      <c r="G437" s="331"/>
      <c r="H437" s="331"/>
      <c r="I437" s="331"/>
      <c r="J437" s="331"/>
      <c r="K437" s="331"/>
      <c r="L437" s="331"/>
      <c r="M437" s="331"/>
      <c r="N437" s="331"/>
      <c r="O437" s="331"/>
      <c r="P437" s="331"/>
      <c r="Q437" s="331"/>
    </row>
    <row r="438" spans="1:17" ht="19.5" customHeight="1" x14ac:dyDescent="0.25">
      <c r="A438" s="331"/>
      <c r="B438" s="331"/>
      <c r="C438" s="331"/>
      <c r="D438" s="333"/>
      <c r="E438" s="333"/>
      <c r="F438" s="333"/>
      <c r="G438" s="331"/>
      <c r="H438" s="331"/>
      <c r="I438" s="331"/>
      <c r="J438" s="331"/>
      <c r="K438" s="331"/>
      <c r="L438" s="331"/>
      <c r="M438" s="331"/>
      <c r="N438" s="331"/>
      <c r="O438" s="331"/>
      <c r="P438" s="331"/>
      <c r="Q438" s="331"/>
    </row>
    <row r="439" spans="1:17" ht="19.5" customHeight="1" x14ac:dyDescent="0.25">
      <c r="A439" s="331"/>
      <c r="B439" s="331"/>
      <c r="C439" s="331"/>
      <c r="D439" s="333"/>
      <c r="E439" s="333"/>
      <c r="F439" s="333"/>
      <c r="G439" s="331"/>
      <c r="H439" s="331"/>
      <c r="I439" s="331"/>
      <c r="J439" s="331"/>
      <c r="K439" s="331"/>
      <c r="L439" s="331"/>
      <c r="M439" s="331"/>
      <c r="N439" s="331"/>
      <c r="O439" s="331"/>
      <c r="P439" s="331"/>
      <c r="Q439" s="331"/>
    </row>
    <row r="440" spans="1:17" ht="19.5" customHeight="1" x14ac:dyDescent="0.25">
      <c r="A440" s="331"/>
      <c r="B440" s="331"/>
      <c r="C440" s="331"/>
      <c r="D440" s="333"/>
      <c r="E440" s="333"/>
      <c r="F440" s="333"/>
      <c r="G440" s="331"/>
      <c r="H440" s="331"/>
      <c r="I440" s="331"/>
      <c r="J440" s="331"/>
      <c r="K440" s="331"/>
      <c r="L440" s="331"/>
      <c r="M440" s="331"/>
      <c r="N440" s="331"/>
      <c r="O440" s="331"/>
      <c r="P440" s="331"/>
      <c r="Q440" s="331"/>
    </row>
    <row r="441" spans="1:17" ht="19.5" customHeight="1" x14ac:dyDescent="0.25">
      <c r="A441" s="331"/>
      <c r="B441" s="331"/>
      <c r="C441" s="331"/>
      <c r="D441" s="333"/>
      <c r="E441" s="333"/>
      <c r="F441" s="333"/>
      <c r="G441" s="331"/>
      <c r="H441" s="331"/>
      <c r="I441" s="331"/>
      <c r="J441" s="331"/>
      <c r="K441" s="331"/>
      <c r="L441" s="331"/>
      <c r="M441" s="331"/>
      <c r="N441" s="331"/>
      <c r="O441" s="331"/>
      <c r="P441" s="331"/>
      <c r="Q441" s="331"/>
    </row>
    <row r="442" spans="1:17" ht="19.5" customHeight="1" x14ac:dyDescent="0.25">
      <c r="A442" s="331"/>
      <c r="B442" s="331"/>
      <c r="C442" s="331"/>
      <c r="D442" s="333"/>
      <c r="E442" s="333"/>
      <c r="F442" s="333"/>
      <c r="G442" s="331"/>
      <c r="H442" s="331"/>
      <c r="I442" s="331"/>
      <c r="J442" s="331"/>
      <c r="K442" s="331"/>
      <c r="L442" s="331"/>
      <c r="M442" s="331"/>
      <c r="N442" s="331"/>
      <c r="O442" s="331"/>
      <c r="P442" s="331"/>
      <c r="Q442" s="331"/>
    </row>
    <row r="443" spans="1:17" ht="19.5" customHeight="1" x14ac:dyDescent="0.25">
      <c r="A443" s="331"/>
      <c r="B443" s="331"/>
      <c r="C443" s="331"/>
      <c r="D443" s="333"/>
      <c r="E443" s="333"/>
      <c r="F443" s="333"/>
      <c r="G443" s="331"/>
      <c r="H443" s="331"/>
      <c r="I443" s="331"/>
      <c r="J443" s="331"/>
      <c r="K443" s="331"/>
      <c r="L443" s="331"/>
      <c r="M443" s="331"/>
      <c r="N443" s="331"/>
      <c r="O443" s="331"/>
      <c r="P443" s="331"/>
      <c r="Q443" s="331"/>
    </row>
    <row r="444" spans="1:17" ht="19.5" customHeight="1" x14ac:dyDescent="0.25">
      <c r="A444" s="331"/>
      <c r="B444" s="331"/>
      <c r="C444" s="331"/>
      <c r="D444" s="333"/>
      <c r="E444" s="333"/>
      <c r="F444" s="333"/>
      <c r="G444" s="331"/>
      <c r="H444" s="331"/>
      <c r="I444" s="331"/>
      <c r="J444" s="331"/>
      <c r="K444" s="331"/>
      <c r="L444" s="331"/>
      <c r="M444" s="331"/>
      <c r="N444" s="331"/>
      <c r="O444" s="331"/>
      <c r="P444" s="331"/>
      <c r="Q444" s="331"/>
    </row>
    <row r="445" spans="1:17" ht="19.5" customHeight="1" x14ac:dyDescent="0.25">
      <c r="A445" s="331"/>
      <c r="B445" s="331"/>
      <c r="C445" s="331"/>
      <c r="D445" s="333"/>
      <c r="E445" s="333"/>
      <c r="F445" s="333"/>
      <c r="G445" s="331"/>
      <c r="H445" s="331"/>
      <c r="I445" s="331"/>
      <c r="J445" s="331"/>
      <c r="K445" s="331"/>
      <c r="L445" s="331"/>
      <c r="M445" s="331"/>
      <c r="N445" s="331"/>
      <c r="O445" s="331"/>
      <c r="P445" s="331"/>
      <c r="Q445" s="331"/>
    </row>
    <row r="446" spans="1:17" ht="19.5" customHeight="1" x14ac:dyDescent="0.25">
      <c r="A446" s="331"/>
      <c r="B446" s="331"/>
      <c r="C446" s="331"/>
      <c r="D446" s="333"/>
      <c r="E446" s="333"/>
      <c r="F446" s="333"/>
      <c r="G446" s="331"/>
      <c r="H446" s="331"/>
      <c r="I446" s="331"/>
      <c r="J446" s="331"/>
      <c r="K446" s="331"/>
      <c r="L446" s="331"/>
      <c r="M446" s="331"/>
      <c r="N446" s="331"/>
      <c r="O446" s="331"/>
      <c r="P446" s="331"/>
      <c r="Q446" s="331"/>
    </row>
    <row r="447" spans="1:17" ht="19.5" customHeight="1" x14ac:dyDescent="0.25">
      <c r="A447" s="331"/>
      <c r="B447" s="331"/>
      <c r="C447" s="331"/>
      <c r="D447" s="333"/>
      <c r="E447" s="333"/>
      <c r="F447" s="333"/>
      <c r="G447" s="331"/>
      <c r="H447" s="331"/>
      <c r="I447" s="331"/>
      <c r="J447" s="331"/>
      <c r="K447" s="331"/>
      <c r="L447" s="331"/>
      <c r="M447" s="331"/>
      <c r="N447" s="331"/>
      <c r="O447" s="331"/>
      <c r="P447" s="331"/>
      <c r="Q447" s="331"/>
    </row>
    <row r="448" spans="1:17" ht="19.5" customHeight="1" x14ac:dyDescent="0.25">
      <c r="A448" s="331"/>
      <c r="B448" s="331"/>
      <c r="C448" s="331"/>
      <c r="D448" s="333"/>
      <c r="E448" s="333"/>
      <c r="F448" s="333"/>
      <c r="G448" s="331"/>
      <c r="H448" s="331"/>
      <c r="I448" s="331"/>
      <c r="J448" s="331"/>
      <c r="K448" s="331"/>
      <c r="L448" s="331"/>
      <c r="M448" s="331"/>
      <c r="N448" s="331"/>
      <c r="O448" s="331"/>
      <c r="P448" s="331"/>
      <c r="Q448" s="331"/>
    </row>
    <row r="449" spans="1:17" ht="19.5" customHeight="1" x14ac:dyDescent="0.25">
      <c r="A449" s="331"/>
      <c r="B449" s="331"/>
      <c r="C449" s="331"/>
      <c r="D449" s="333"/>
      <c r="E449" s="333"/>
      <c r="F449" s="333"/>
      <c r="G449" s="331"/>
      <c r="H449" s="331"/>
      <c r="I449" s="331"/>
      <c r="J449" s="331"/>
      <c r="K449" s="331"/>
      <c r="L449" s="331"/>
      <c r="M449" s="331"/>
      <c r="N449" s="331"/>
      <c r="O449" s="331"/>
      <c r="P449" s="331"/>
      <c r="Q449" s="331"/>
    </row>
    <row r="450" spans="1:17" ht="19.5" customHeight="1" x14ac:dyDescent="0.25">
      <c r="A450" s="331"/>
      <c r="B450" s="331"/>
      <c r="C450" s="331"/>
      <c r="D450" s="333"/>
      <c r="E450" s="333"/>
      <c r="F450" s="333"/>
      <c r="G450" s="331"/>
      <c r="H450" s="331"/>
      <c r="I450" s="331"/>
      <c r="J450" s="331"/>
      <c r="K450" s="331"/>
      <c r="L450" s="331"/>
      <c r="M450" s="331"/>
      <c r="N450" s="331"/>
      <c r="O450" s="331"/>
      <c r="P450" s="331"/>
      <c r="Q450" s="331"/>
    </row>
    <row r="451" spans="1:17" ht="19.5" customHeight="1" x14ac:dyDescent="0.25">
      <c r="A451" s="331"/>
      <c r="B451" s="331"/>
      <c r="C451" s="331"/>
      <c r="D451" s="333"/>
      <c r="E451" s="333"/>
      <c r="F451" s="333"/>
      <c r="G451" s="331"/>
      <c r="H451" s="331"/>
      <c r="I451" s="331"/>
      <c r="J451" s="331"/>
      <c r="K451" s="331"/>
      <c r="L451" s="331"/>
      <c r="M451" s="331"/>
      <c r="N451" s="331"/>
      <c r="O451" s="331"/>
      <c r="P451" s="331"/>
      <c r="Q451" s="331"/>
    </row>
    <row r="452" spans="1:17" ht="19.5" customHeight="1" x14ac:dyDescent="0.25">
      <c r="A452" s="331"/>
      <c r="B452" s="331"/>
      <c r="C452" s="331"/>
      <c r="D452" s="333"/>
      <c r="E452" s="333"/>
      <c r="F452" s="333"/>
      <c r="G452" s="331"/>
      <c r="H452" s="331"/>
      <c r="I452" s="331"/>
      <c r="J452" s="331"/>
      <c r="K452" s="331"/>
      <c r="L452" s="331"/>
      <c r="M452" s="331"/>
      <c r="N452" s="331"/>
      <c r="O452" s="331"/>
      <c r="P452" s="331"/>
      <c r="Q452" s="331"/>
    </row>
    <row r="453" spans="1:17" ht="19.5" customHeight="1" x14ac:dyDescent="0.25">
      <c r="A453" s="331"/>
      <c r="B453" s="331"/>
      <c r="C453" s="331"/>
      <c r="D453" s="333"/>
      <c r="E453" s="333"/>
      <c r="F453" s="333"/>
      <c r="G453" s="331"/>
      <c r="H453" s="331"/>
      <c r="I453" s="331"/>
      <c r="J453" s="331"/>
      <c r="K453" s="331"/>
      <c r="L453" s="331"/>
      <c r="M453" s="331"/>
      <c r="N453" s="331"/>
      <c r="O453" s="331"/>
      <c r="P453" s="331"/>
      <c r="Q453" s="331"/>
    </row>
    <row r="454" spans="1:17" ht="19.5" customHeight="1" x14ac:dyDescent="0.25">
      <c r="A454" s="331"/>
      <c r="B454" s="331"/>
      <c r="C454" s="331"/>
      <c r="D454" s="333"/>
      <c r="E454" s="333"/>
      <c r="F454" s="333"/>
      <c r="G454" s="331"/>
      <c r="H454" s="331"/>
      <c r="I454" s="331"/>
      <c r="J454" s="331"/>
      <c r="K454" s="331"/>
      <c r="L454" s="331"/>
      <c r="M454" s="331"/>
      <c r="N454" s="331"/>
      <c r="O454" s="331"/>
      <c r="P454" s="331"/>
      <c r="Q454" s="331"/>
    </row>
    <row r="455" spans="1:17" ht="19.5" customHeight="1" x14ac:dyDescent="0.25">
      <c r="A455" s="331"/>
      <c r="B455" s="331"/>
      <c r="C455" s="331"/>
      <c r="D455" s="333"/>
      <c r="E455" s="333"/>
      <c r="F455" s="333"/>
      <c r="G455" s="331"/>
      <c r="H455" s="331"/>
      <c r="I455" s="331"/>
      <c r="J455" s="331"/>
      <c r="K455" s="331"/>
      <c r="L455" s="331"/>
      <c r="M455" s="331"/>
      <c r="N455" s="331"/>
      <c r="O455" s="331"/>
      <c r="P455" s="331"/>
      <c r="Q455" s="331"/>
    </row>
    <row r="456" spans="1:17" ht="19.5" customHeight="1" x14ac:dyDescent="0.25">
      <c r="A456" s="331"/>
      <c r="B456" s="331"/>
      <c r="C456" s="331"/>
      <c r="D456" s="333"/>
      <c r="E456" s="333"/>
      <c r="F456" s="333"/>
      <c r="G456" s="331"/>
      <c r="H456" s="331"/>
      <c r="I456" s="331"/>
      <c r="J456" s="331"/>
      <c r="K456" s="331"/>
      <c r="L456" s="331"/>
      <c r="M456" s="331"/>
      <c r="N456" s="331"/>
      <c r="O456" s="331"/>
      <c r="P456" s="331"/>
      <c r="Q456" s="331"/>
    </row>
    <row r="457" spans="1:17" ht="19.5" customHeight="1" x14ac:dyDescent="0.25">
      <c r="A457" s="331"/>
      <c r="B457" s="331"/>
      <c r="C457" s="331"/>
      <c r="D457" s="333"/>
      <c r="E457" s="333"/>
      <c r="F457" s="333"/>
      <c r="G457" s="331"/>
      <c r="H457" s="331"/>
      <c r="I457" s="331"/>
      <c r="J457" s="331"/>
      <c r="K457" s="331"/>
      <c r="L457" s="331"/>
      <c r="M457" s="331"/>
      <c r="N457" s="331"/>
      <c r="O457" s="331"/>
      <c r="P457" s="331"/>
      <c r="Q457" s="331"/>
    </row>
    <row r="458" spans="1:17" ht="19.5" customHeight="1" x14ac:dyDescent="0.25">
      <c r="A458" s="331"/>
      <c r="B458" s="331"/>
      <c r="C458" s="331"/>
      <c r="D458" s="333"/>
      <c r="E458" s="333"/>
      <c r="F458" s="333"/>
      <c r="G458" s="331"/>
      <c r="H458" s="331"/>
      <c r="I458" s="331"/>
      <c r="J458" s="331"/>
      <c r="K458" s="331"/>
      <c r="L458" s="331"/>
      <c r="M458" s="331"/>
      <c r="N458" s="331"/>
      <c r="O458" s="331"/>
      <c r="P458" s="331"/>
      <c r="Q458" s="331"/>
    </row>
    <row r="459" spans="1:17" ht="19.5" customHeight="1" x14ac:dyDescent="0.25">
      <c r="A459" s="331"/>
      <c r="B459" s="331"/>
      <c r="C459" s="331"/>
      <c r="D459" s="333"/>
      <c r="E459" s="333"/>
      <c r="F459" s="333"/>
      <c r="G459" s="331"/>
      <c r="H459" s="331"/>
      <c r="I459" s="331"/>
      <c r="J459" s="331"/>
      <c r="K459" s="331"/>
      <c r="L459" s="331"/>
      <c r="M459" s="331"/>
      <c r="N459" s="331"/>
      <c r="O459" s="331"/>
      <c r="P459" s="331"/>
      <c r="Q459" s="331"/>
    </row>
    <row r="460" spans="1:17" ht="19.5" customHeight="1" x14ac:dyDescent="0.25">
      <c r="A460" s="331"/>
      <c r="B460" s="331"/>
      <c r="C460" s="331"/>
      <c r="D460" s="333"/>
      <c r="E460" s="333"/>
      <c r="F460" s="333"/>
      <c r="G460" s="331"/>
      <c r="H460" s="331"/>
      <c r="I460" s="331"/>
      <c r="J460" s="331"/>
      <c r="K460" s="331"/>
      <c r="L460" s="331"/>
      <c r="M460" s="331"/>
      <c r="N460" s="331"/>
      <c r="O460" s="331"/>
      <c r="P460" s="331"/>
      <c r="Q460" s="331"/>
    </row>
    <row r="461" spans="1:17" ht="19.5" customHeight="1" x14ac:dyDescent="0.25">
      <c r="A461" s="331"/>
      <c r="B461" s="331"/>
      <c r="C461" s="331"/>
      <c r="D461" s="333"/>
      <c r="E461" s="333"/>
      <c r="F461" s="333"/>
      <c r="G461" s="331"/>
      <c r="H461" s="331"/>
      <c r="I461" s="331"/>
      <c r="J461" s="331"/>
      <c r="K461" s="331"/>
      <c r="L461" s="331"/>
      <c r="M461" s="331"/>
      <c r="N461" s="331"/>
      <c r="O461" s="331"/>
      <c r="P461" s="331"/>
      <c r="Q461" s="331"/>
    </row>
    <row r="462" spans="1:17" ht="19.5" customHeight="1" x14ac:dyDescent="0.25">
      <c r="A462" s="331"/>
      <c r="B462" s="331"/>
      <c r="C462" s="331"/>
      <c r="D462" s="333"/>
      <c r="E462" s="333"/>
      <c r="F462" s="333"/>
      <c r="G462" s="331"/>
      <c r="H462" s="331"/>
      <c r="I462" s="331"/>
      <c r="J462" s="331"/>
      <c r="K462" s="331"/>
      <c r="L462" s="331"/>
      <c r="M462" s="331"/>
      <c r="N462" s="331"/>
      <c r="O462" s="331"/>
      <c r="P462" s="331"/>
      <c r="Q462" s="331"/>
    </row>
    <row r="463" spans="1:17" ht="19.5" customHeight="1" x14ac:dyDescent="0.25">
      <c r="A463" s="331"/>
      <c r="B463" s="331"/>
      <c r="C463" s="331"/>
      <c r="D463" s="333"/>
      <c r="E463" s="333"/>
      <c r="F463" s="333"/>
      <c r="G463" s="331"/>
      <c r="H463" s="331"/>
      <c r="I463" s="331"/>
      <c r="J463" s="331"/>
      <c r="K463" s="331"/>
      <c r="L463" s="331"/>
      <c r="M463" s="331"/>
      <c r="N463" s="331"/>
      <c r="O463" s="331"/>
      <c r="P463" s="331"/>
      <c r="Q463" s="331"/>
    </row>
    <row r="464" spans="1:17" ht="19.5" customHeight="1" x14ac:dyDescent="0.25">
      <c r="A464" s="331"/>
      <c r="B464" s="331"/>
      <c r="C464" s="331"/>
      <c r="D464" s="333"/>
      <c r="E464" s="333"/>
      <c r="F464" s="333"/>
      <c r="G464" s="331"/>
      <c r="H464" s="331"/>
      <c r="I464" s="331"/>
      <c r="J464" s="331"/>
      <c r="K464" s="331"/>
      <c r="L464" s="331"/>
      <c r="M464" s="331"/>
      <c r="N464" s="331"/>
      <c r="O464" s="331"/>
      <c r="P464" s="331"/>
      <c r="Q464" s="331"/>
    </row>
    <row r="465" spans="1:17" ht="19.5" customHeight="1" x14ac:dyDescent="0.25">
      <c r="A465" s="331"/>
      <c r="B465" s="331"/>
      <c r="C465" s="331"/>
      <c r="D465" s="333"/>
      <c r="E465" s="333"/>
      <c r="F465" s="333"/>
      <c r="G465" s="331"/>
      <c r="H465" s="331"/>
      <c r="I465" s="331"/>
      <c r="J465" s="331"/>
      <c r="K465" s="331"/>
      <c r="L465" s="331"/>
      <c r="M465" s="331"/>
      <c r="N465" s="331"/>
      <c r="O465" s="331"/>
      <c r="P465" s="331"/>
      <c r="Q465" s="331"/>
    </row>
    <row r="466" spans="1:17" ht="19.5" customHeight="1" x14ac:dyDescent="0.25">
      <c r="A466" s="331"/>
      <c r="B466" s="331"/>
      <c r="C466" s="331"/>
      <c r="D466" s="333"/>
      <c r="E466" s="333"/>
      <c r="F466" s="333"/>
      <c r="G466" s="331"/>
      <c r="H466" s="331"/>
      <c r="I466" s="331"/>
      <c r="J466" s="331"/>
      <c r="K466" s="331"/>
      <c r="L466" s="331"/>
      <c r="M466" s="331"/>
      <c r="N466" s="331"/>
      <c r="O466" s="331"/>
      <c r="P466" s="331"/>
      <c r="Q466" s="331"/>
    </row>
    <row r="467" spans="1:17" ht="19.5" customHeight="1" x14ac:dyDescent="0.25">
      <c r="A467" s="331"/>
      <c r="B467" s="331"/>
      <c r="C467" s="331"/>
      <c r="D467" s="333"/>
      <c r="E467" s="333"/>
      <c r="F467" s="333"/>
      <c r="G467" s="331"/>
      <c r="H467" s="331"/>
      <c r="I467" s="331"/>
      <c r="J467" s="331"/>
      <c r="K467" s="331"/>
      <c r="L467" s="331"/>
      <c r="M467" s="331"/>
      <c r="N467" s="331"/>
      <c r="O467" s="331"/>
      <c r="P467" s="331"/>
      <c r="Q467" s="331"/>
    </row>
    <row r="468" spans="1:17" ht="19.5" customHeight="1" x14ac:dyDescent="0.25">
      <c r="A468" s="331"/>
      <c r="B468" s="331"/>
      <c r="C468" s="331"/>
      <c r="D468" s="333"/>
      <c r="E468" s="333"/>
      <c r="F468" s="333"/>
      <c r="G468" s="331"/>
      <c r="H468" s="331"/>
      <c r="I468" s="331"/>
      <c r="J468" s="331"/>
      <c r="K468" s="331"/>
      <c r="L468" s="331"/>
      <c r="M468" s="331"/>
      <c r="N468" s="331"/>
      <c r="O468" s="331"/>
      <c r="P468" s="331"/>
      <c r="Q468" s="331"/>
    </row>
    <row r="469" spans="1:17" ht="19.5" customHeight="1" x14ac:dyDescent="0.25">
      <c r="A469" s="331"/>
      <c r="B469" s="331"/>
      <c r="C469" s="331"/>
      <c r="D469" s="333"/>
      <c r="E469" s="333"/>
      <c r="F469" s="333"/>
      <c r="G469" s="331"/>
      <c r="H469" s="331"/>
      <c r="I469" s="331"/>
      <c r="J469" s="331"/>
      <c r="K469" s="331"/>
      <c r="L469" s="331"/>
      <c r="M469" s="331"/>
      <c r="N469" s="331"/>
      <c r="O469" s="331"/>
      <c r="P469" s="331"/>
      <c r="Q469" s="331"/>
    </row>
    <row r="470" spans="1:17" ht="19.5" customHeight="1" x14ac:dyDescent="0.25">
      <c r="A470" s="331"/>
      <c r="B470" s="331"/>
      <c r="C470" s="331"/>
      <c r="D470" s="333"/>
      <c r="E470" s="333"/>
      <c r="F470" s="333"/>
      <c r="G470" s="331"/>
      <c r="H470" s="331"/>
      <c r="I470" s="331"/>
      <c r="J470" s="331"/>
      <c r="K470" s="331"/>
      <c r="L470" s="331"/>
      <c r="M470" s="331"/>
      <c r="N470" s="331"/>
      <c r="O470" s="331"/>
      <c r="P470" s="331"/>
      <c r="Q470" s="331"/>
    </row>
    <row r="471" spans="1:17" ht="19.5" customHeight="1" x14ac:dyDescent="0.25">
      <c r="A471" s="331"/>
      <c r="B471" s="331"/>
      <c r="C471" s="331"/>
      <c r="D471" s="333"/>
      <c r="E471" s="333"/>
      <c r="F471" s="333"/>
      <c r="G471" s="331"/>
      <c r="H471" s="331"/>
      <c r="I471" s="331"/>
      <c r="J471" s="331"/>
      <c r="K471" s="331"/>
      <c r="L471" s="331"/>
      <c r="M471" s="331"/>
      <c r="N471" s="331"/>
      <c r="O471" s="331"/>
      <c r="P471" s="331"/>
      <c r="Q471" s="331"/>
    </row>
    <row r="472" spans="1:17" ht="19.5" customHeight="1" x14ac:dyDescent="0.25">
      <c r="A472" s="331"/>
      <c r="B472" s="331"/>
      <c r="C472" s="331"/>
      <c r="D472" s="333"/>
      <c r="E472" s="333"/>
      <c r="F472" s="333"/>
      <c r="G472" s="331"/>
      <c r="H472" s="331"/>
      <c r="I472" s="331"/>
      <c r="J472" s="331"/>
      <c r="K472" s="331"/>
      <c r="L472" s="331"/>
      <c r="M472" s="331"/>
      <c r="N472" s="331"/>
      <c r="O472" s="331"/>
      <c r="P472" s="331"/>
      <c r="Q472" s="331"/>
    </row>
    <row r="473" spans="1:17" ht="19.5" customHeight="1" x14ac:dyDescent="0.25">
      <c r="A473" s="331"/>
      <c r="B473" s="331"/>
      <c r="C473" s="331"/>
      <c r="D473" s="333"/>
      <c r="E473" s="333"/>
      <c r="F473" s="333"/>
      <c r="G473" s="331"/>
      <c r="H473" s="331"/>
      <c r="I473" s="331"/>
      <c r="J473" s="331"/>
      <c r="K473" s="331"/>
      <c r="L473" s="331"/>
      <c r="M473" s="331"/>
      <c r="N473" s="331"/>
      <c r="O473" s="331"/>
      <c r="P473" s="331"/>
      <c r="Q473" s="331"/>
    </row>
    <row r="474" spans="1:17" ht="19.5" customHeight="1" x14ac:dyDescent="0.25">
      <c r="A474" s="331"/>
      <c r="B474" s="331"/>
      <c r="C474" s="331"/>
      <c r="D474" s="333"/>
      <c r="E474" s="333"/>
      <c r="F474" s="333"/>
      <c r="G474" s="331"/>
      <c r="H474" s="331"/>
      <c r="I474" s="331"/>
      <c r="J474" s="331"/>
      <c r="K474" s="331"/>
      <c r="L474" s="331"/>
      <c r="M474" s="331"/>
      <c r="N474" s="331"/>
      <c r="O474" s="331"/>
      <c r="P474" s="331"/>
      <c r="Q474" s="331"/>
    </row>
    <row r="475" spans="1:17" ht="19.5" customHeight="1" x14ac:dyDescent="0.25">
      <c r="A475" s="331"/>
      <c r="B475" s="331"/>
      <c r="C475" s="331"/>
      <c r="D475" s="333"/>
      <c r="E475" s="333"/>
      <c r="F475" s="333"/>
      <c r="G475" s="331"/>
      <c r="H475" s="331"/>
      <c r="I475" s="331"/>
      <c r="J475" s="331"/>
      <c r="K475" s="331"/>
      <c r="L475" s="331"/>
      <c r="M475" s="331"/>
      <c r="N475" s="331"/>
      <c r="O475" s="331"/>
      <c r="P475" s="331"/>
      <c r="Q475" s="331"/>
    </row>
    <row r="476" spans="1:17" ht="19.5" customHeight="1" x14ac:dyDescent="0.25">
      <c r="A476" s="331"/>
      <c r="B476" s="331"/>
      <c r="C476" s="331"/>
      <c r="D476" s="333"/>
      <c r="E476" s="333"/>
      <c r="F476" s="333"/>
      <c r="G476" s="331"/>
      <c r="H476" s="331"/>
      <c r="I476" s="331"/>
      <c r="J476" s="331"/>
      <c r="K476" s="331"/>
      <c r="L476" s="331"/>
      <c r="M476" s="331"/>
      <c r="N476" s="331"/>
      <c r="O476" s="331"/>
      <c r="P476" s="331"/>
      <c r="Q476" s="331"/>
    </row>
    <row r="477" spans="1:17" ht="19.5" customHeight="1" x14ac:dyDescent="0.25">
      <c r="A477" s="331"/>
      <c r="B477" s="331"/>
      <c r="C477" s="331"/>
      <c r="D477" s="333"/>
      <c r="E477" s="333"/>
      <c r="F477" s="333"/>
      <c r="G477" s="331"/>
      <c r="H477" s="331"/>
      <c r="I477" s="331"/>
      <c r="J477" s="331"/>
      <c r="K477" s="331"/>
      <c r="L477" s="331"/>
      <c r="M477" s="331"/>
      <c r="N477" s="331"/>
      <c r="O477" s="331"/>
      <c r="P477" s="331"/>
      <c r="Q477" s="331"/>
    </row>
    <row r="478" spans="1:17" ht="19.5" customHeight="1" x14ac:dyDescent="0.25">
      <c r="A478" s="331"/>
      <c r="B478" s="331"/>
      <c r="C478" s="331"/>
      <c r="D478" s="333"/>
      <c r="E478" s="333"/>
      <c r="F478" s="333"/>
      <c r="G478" s="331"/>
      <c r="H478" s="331"/>
      <c r="I478" s="331"/>
      <c r="J478" s="331"/>
      <c r="K478" s="331"/>
      <c r="L478" s="331"/>
      <c r="M478" s="331"/>
      <c r="N478" s="331"/>
      <c r="O478" s="331"/>
      <c r="P478" s="331"/>
      <c r="Q478" s="331"/>
    </row>
    <row r="479" spans="1:17" ht="19.5" customHeight="1" x14ac:dyDescent="0.25">
      <c r="A479" s="331"/>
      <c r="B479" s="331"/>
      <c r="C479" s="331"/>
      <c r="D479" s="333"/>
      <c r="E479" s="333"/>
      <c r="F479" s="333"/>
      <c r="G479" s="331"/>
      <c r="H479" s="331"/>
      <c r="I479" s="331"/>
      <c r="J479" s="331"/>
      <c r="K479" s="331"/>
      <c r="L479" s="331"/>
      <c r="M479" s="331"/>
      <c r="N479" s="331"/>
      <c r="O479" s="331"/>
      <c r="P479" s="331"/>
      <c r="Q479" s="331"/>
    </row>
    <row r="480" spans="1:17" ht="19.5" customHeight="1" x14ac:dyDescent="0.25">
      <c r="A480" s="331"/>
      <c r="B480" s="331"/>
      <c r="C480" s="331"/>
      <c r="D480" s="333"/>
      <c r="E480" s="333"/>
      <c r="F480" s="333"/>
      <c r="G480" s="331"/>
      <c r="H480" s="331"/>
      <c r="I480" s="331"/>
      <c r="J480" s="331"/>
      <c r="K480" s="331"/>
      <c r="L480" s="331"/>
      <c r="M480" s="331"/>
      <c r="N480" s="331"/>
      <c r="O480" s="331"/>
      <c r="P480" s="331"/>
      <c r="Q480" s="331"/>
    </row>
    <row r="481" spans="1:17" ht="19.5" customHeight="1" x14ac:dyDescent="0.25">
      <c r="A481" s="331"/>
      <c r="B481" s="331"/>
      <c r="C481" s="331"/>
      <c r="D481" s="333"/>
      <c r="E481" s="333"/>
      <c r="F481" s="333"/>
      <c r="G481" s="331"/>
      <c r="H481" s="331"/>
      <c r="I481" s="331"/>
      <c r="J481" s="331"/>
      <c r="K481" s="331"/>
      <c r="L481" s="331"/>
      <c r="M481" s="331"/>
      <c r="N481" s="331"/>
      <c r="O481" s="331"/>
      <c r="P481" s="331"/>
      <c r="Q481" s="331"/>
    </row>
    <row r="482" spans="1:17" ht="19.5" customHeight="1" x14ac:dyDescent="0.25">
      <c r="A482" s="331"/>
      <c r="B482" s="331"/>
      <c r="C482" s="331"/>
      <c r="D482" s="333"/>
      <c r="E482" s="333"/>
      <c r="F482" s="333"/>
      <c r="G482" s="331"/>
      <c r="H482" s="331"/>
      <c r="I482" s="331"/>
      <c r="J482" s="331"/>
      <c r="K482" s="331"/>
      <c r="L482" s="331"/>
      <c r="M482" s="331"/>
      <c r="N482" s="331"/>
      <c r="O482" s="331"/>
      <c r="P482" s="331"/>
      <c r="Q482" s="331"/>
    </row>
    <row r="483" spans="1:17" ht="19.5" customHeight="1" x14ac:dyDescent="0.25">
      <c r="A483" s="331"/>
      <c r="B483" s="331"/>
      <c r="C483" s="331"/>
      <c r="D483" s="333"/>
      <c r="E483" s="333"/>
      <c r="F483" s="333"/>
      <c r="G483" s="331"/>
      <c r="H483" s="331"/>
      <c r="I483" s="331"/>
      <c r="J483" s="331"/>
      <c r="K483" s="331"/>
      <c r="L483" s="331"/>
      <c r="M483" s="331"/>
      <c r="N483" s="331"/>
      <c r="O483" s="331"/>
      <c r="P483" s="331"/>
      <c r="Q483" s="331"/>
    </row>
    <row r="484" spans="1:17" ht="19.5" customHeight="1" x14ac:dyDescent="0.25">
      <c r="A484" s="331"/>
      <c r="B484" s="331"/>
      <c r="C484" s="331"/>
      <c r="D484" s="333"/>
      <c r="E484" s="333"/>
      <c r="F484" s="333"/>
      <c r="G484" s="331"/>
      <c r="H484" s="331"/>
      <c r="I484" s="331"/>
      <c r="J484" s="331"/>
      <c r="K484" s="331"/>
      <c r="L484" s="331"/>
      <c r="M484" s="331"/>
      <c r="N484" s="331"/>
      <c r="O484" s="331"/>
      <c r="P484" s="331"/>
      <c r="Q484" s="331"/>
    </row>
    <row r="485" spans="1:17" ht="19.5" customHeight="1" x14ac:dyDescent="0.25">
      <c r="A485" s="331"/>
      <c r="B485" s="331"/>
      <c r="C485" s="331"/>
      <c r="D485" s="333"/>
      <c r="E485" s="333"/>
      <c r="F485" s="333"/>
      <c r="G485" s="331"/>
      <c r="H485" s="331"/>
      <c r="I485" s="331"/>
      <c r="J485" s="331"/>
      <c r="K485" s="331"/>
      <c r="L485" s="331"/>
      <c r="M485" s="331"/>
      <c r="N485" s="331"/>
      <c r="O485" s="331"/>
      <c r="P485" s="331"/>
      <c r="Q485" s="331"/>
    </row>
    <row r="486" spans="1:17" ht="19.5" customHeight="1" x14ac:dyDescent="0.25">
      <c r="A486" s="331"/>
      <c r="B486" s="331"/>
      <c r="C486" s="331"/>
      <c r="D486" s="333"/>
      <c r="E486" s="333"/>
      <c r="F486" s="333"/>
      <c r="G486" s="331"/>
      <c r="H486" s="331"/>
      <c r="I486" s="331"/>
      <c r="J486" s="331"/>
      <c r="K486" s="331"/>
      <c r="L486" s="331"/>
      <c r="M486" s="331"/>
      <c r="N486" s="331"/>
      <c r="O486" s="331"/>
      <c r="P486" s="331"/>
      <c r="Q486" s="331"/>
    </row>
    <row r="487" spans="1:17" ht="19.5" customHeight="1" x14ac:dyDescent="0.25">
      <c r="A487" s="331"/>
      <c r="B487" s="331"/>
      <c r="C487" s="331"/>
      <c r="D487" s="333"/>
      <c r="E487" s="333"/>
      <c r="F487" s="333"/>
      <c r="G487" s="331"/>
      <c r="H487" s="331"/>
      <c r="I487" s="331"/>
      <c r="J487" s="331"/>
      <c r="K487" s="331"/>
      <c r="L487" s="331"/>
      <c r="M487" s="331"/>
      <c r="N487" s="331"/>
      <c r="O487" s="331"/>
      <c r="P487" s="331"/>
      <c r="Q487" s="331"/>
    </row>
    <row r="488" spans="1:17" ht="19.5" customHeight="1" x14ac:dyDescent="0.25">
      <c r="A488" s="331"/>
      <c r="B488" s="331"/>
      <c r="C488" s="331"/>
      <c r="D488" s="333"/>
      <c r="E488" s="333"/>
      <c r="F488" s="333"/>
      <c r="G488" s="331"/>
      <c r="H488" s="331"/>
      <c r="I488" s="331"/>
      <c r="J488" s="331"/>
      <c r="K488" s="331"/>
      <c r="L488" s="331"/>
      <c r="M488" s="331"/>
      <c r="N488" s="331"/>
      <c r="O488" s="331"/>
      <c r="P488" s="331"/>
      <c r="Q488" s="331"/>
    </row>
    <row r="489" spans="1:17" ht="19.5" customHeight="1" x14ac:dyDescent="0.25">
      <c r="A489" s="331"/>
      <c r="B489" s="331"/>
      <c r="C489" s="331"/>
      <c r="D489" s="333"/>
      <c r="E489" s="333"/>
      <c r="F489" s="333"/>
      <c r="G489" s="331"/>
      <c r="H489" s="331"/>
      <c r="I489" s="331"/>
      <c r="J489" s="331"/>
      <c r="K489" s="331"/>
      <c r="L489" s="331"/>
      <c r="M489" s="331"/>
      <c r="N489" s="331"/>
      <c r="O489" s="331"/>
      <c r="P489" s="331"/>
      <c r="Q489" s="331"/>
    </row>
    <row r="490" spans="1:17" ht="19.5" customHeight="1" x14ac:dyDescent="0.25">
      <c r="A490" s="331"/>
      <c r="B490" s="331"/>
      <c r="C490" s="331"/>
      <c r="D490" s="333"/>
      <c r="E490" s="333"/>
      <c r="F490" s="333"/>
      <c r="G490" s="331"/>
      <c r="H490" s="331"/>
      <c r="I490" s="331"/>
      <c r="J490" s="331"/>
      <c r="K490" s="331"/>
      <c r="L490" s="331"/>
      <c r="M490" s="331"/>
      <c r="N490" s="331"/>
      <c r="O490" s="331"/>
      <c r="P490" s="331"/>
      <c r="Q490" s="331"/>
    </row>
    <row r="491" spans="1:17" ht="19.5" customHeight="1" x14ac:dyDescent="0.25">
      <c r="A491" s="331"/>
      <c r="B491" s="331"/>
      <c r="C491" s="331"/>
      <c r="D491" s="333"/>
      <c r="E491" s="333"/>
      <c r="F491" s="333"/>
      <c r="G491" s="331"/>
      <c r="H491" s="331"/>
      <c r="I491" s="331"/>
      <c r="J491" s="331"/>
      <c r="K491" s="331"/>
      <c r="L491" s="331"/>
      <c r="M491" s="331"/>
      <c r="N491" s="331"/>
      <c r="O491" s="331"/>
      <c r="P491" s="331"/>
      <c r="Q491" s="331"/>
    </row>
    <row r="492" spans="1:17" ht="19.5" customHeight="1" x14ac:dyDescent="0.25">
      <c r="A492" s="331"/>
      <c r="B492" s="331"/>
      <c r="C492" s="331"/>
      <c r="D492" s="333"/>
      <c r="E492" s="333"/>
      <c r="F492" s="333"/>
      <c r="G492" s="331"/>
      <c r="H492" s="331"/>
      <c r="I492" s="331"/>
      <c r="J492" s="331"/>
      <c r="K492" s="331"/>
      <c r="L492" s="331"/>
      <c r="M492" s="331"/>
      <c r="N492" s="331"/>
      <c r="O492" s="331"/>
      <c r="P492" s="331"/>
      <c r="Q492" s="331"/>
    </row>
    <row r="493" spans="1:17" ht="19.5" customHeight="1" x14ac:dyDescent="0.25">
      <c r="A493" s="331"/>
      <c r="B493" s="331"/>
      <c r="C493" s="331"/>
      <c r="D493" s="333"/>
      <c r="E493" s="333"/>
      <c r="F493" s="333"/>
      <c r="G493" s="331"/>
      <c r="H493" s="331"/>
      <c r="I493" s="331"/>
      <c r="J493" s="331"/>
      <c r="K493" s="331"/>
      <c r="L493" s="331"/>
      <c r="M493" s="331"/>
      <c r="N493" s="331"/>
      <c r="O493" s="331"/>
      <c r="P493" s="331"/>
      <c r="Q493" s="331"/>
    </row>
    <row r="494" spans="1:17" ht="19.5" customHeight="1" x14ac:dyDescent="0.25">
      <c r="A494" s="331"/>
      <c r="B494" s="331"/>
      <c r="C494" s="331"/>
      <c r="D494" s="333"/>
      <c r="E494" s="333"/>
      <c r="F494" s="333"/>
      <c r="G494" s="331"/>
      <c r="H494" s="331"/>
      <c r="I494" s="331"/>
      <c r="J494" s="331"/>
      <c r="K494" s="331"/>
      <c r="L494" s="331"/>
      <c r="M494" s="331"/>
      <c r="N494" s="331"/>
      <c r="O494" s="331"/>
      <c r="P494" s="331"/>
      <c r="Q494" s="331"/>
    </row>
    <row r="495" spans="1:17" ht="19.5" customHeight="1" x14ac:dyDescent="0.25">
      <c r="A495" s="331"/>
      <c r="B495" s="331"/>
      <c r="C495" s="331"/>
      <c r="D495" s="333"/>
      <c r="E495" s="333"/>
      <c r="F495" s="333"/>
      <c r="G495" s="331"/>
      <c r="H495" s="331"/>
      <c r="I495" s="331"/>
      <c r="J495" s="331"/>
      <c r="K495" s="331"/>
      <c r="L495" s="331"/>
      <c r="M495" s="331"/>
      <c r="N495" s="331"/>
      <c r="O495" s="331"/>
      <c r="P495" s="331"/>
      <c r="Q495" s="331"/>
    </row>
    <row r="496" spans="1:17" ht="19.5" customHeight="1" x14ac:dyDescent="0.25">
      <c r="A496" s="331"/>
      <c r="B496" s="331"/>
      <c r="C496" s="331"/>
      <c r="D496" s="333"/>
      <c r="E496" s="333"/>
      <c r="F496" s="333"/>
      <c r="G496" s="331"/>
      <c r="H496" s="331"/>
      <c r="I496" s="331"/>
      <c r="J496" s="331"/>
      <c r="K496" s="331"/>
      <c r="L496" s="331"/>
      <c r="M496" s="331"/>
      <c r="N496" s="331"/>
      <c r="O496" s="331"/>
      <c r="P496" s="331"/>
      <c r="Q496" s="331"/>
    </row>
    <row r="497" spans="1:17" ht="19.5" customHeight="1" x14ac:dyDescent="0.25">
      <c r="A497" s="331"/>
      <c r="B497" s="331"/>
      <c r="C497" s="331"/>
      <c r="D497" s="333"/>
      <c r="E497" s="333"/>
      <c r="F497" s="333"/>
      <c r="G497" s="331"/>
      <c r="H497" s="331"/>
      <c r="I497" s="331"/>
      <c r="J497" s="331"/>
      <c r="K497" s="331"/>
      <c r="L497" s="331"/>
      <c r="M497" s="331"/>
      <c r="N497" s="331"/>
      <c r="O497" s="331"/>
      <c r="P497" s="331"/>
      <c r="Q497" s="331"/>
    </row>
    <row r="498" spans="1:17" ht="19.5" customHeight="1" x14ac:dyDescent="0.25">
      <c r="A498" s="331"/>
      <c r="B498" s="331"/>
      <c r="C498" s="331"/>
      <c r="D498" s="333"/>
      <c r="E498" s="333"/>
      <c r="F498" s="333"/>
      <c r="G498" s="331"/>
      <c r="H498" s="331"/>
      <c r="I498" s="331"/>
      <c r="J498" s="331"/>
      <c r="K498" s="331"/>
      <c r="L498" s="331"/>
      <c r="M498" s="331"/>
      <c r="N498" s="331"/>
      <c r="O498" s="331"/>
      <c r="P498" s="331"/>
      <c r="Q498" s="331"/>
    </row>
    <row r="499" spans="1:17" ht="19.5" customHeight="1" x14ac:dyDescent="0.25">
      <c r="A499" s="331"/>
      <c r="B499" s="331"/>
      <c r="C499" s="331"/>
      <c r="D499" s="333"/>
      <c r="E499" s="333"/>
      <c r="F499" s="333"/>
      <c r="G499" s="331"/>
      <c r="H499" s="331"/>
      <c r="I499" s="331"/>
      <c r="J499" s="331"/>
      <c r="K499" s="331"/>
      <c r="L499" s="331"/>
      <c r="M499" s="331"/>
      <c r="N499" s="331"/>
      <c r="O499" s="331"/>
      <c r="P499" s="331"/>
      <c r="Q499" s="331"/>
    </row>
    <row r="500" spans="1:17" ht="19.5" customHeight="1" x14ac:dyDescent="0.25">
      <c r="A500" s="331"/>
      <c r="B500" s="331"/>
      <c r="C500" s="331"/>
      <c r="D500" s="333"/>
      <c r="E500" s="333"/>
      <c r="F500" s="333"/>
      <c r="G500" s="331"/>
      <c r="H500" s="331"/>
      <c r="I500" s="331"/>
      <c r="J500" s="331"/>
      <c r="K500" s="331"/>
      <c r="L500" s="331"/>
      <c r="M500" s="331"/>
      <c r="N500" s="331"/>
      <c r="O500" s="331"/>
      <c r="P500" s="331"/>
      <c r="Q500" s="331"/>
    </row>
    <row r="501" spans="1:17" ht="19.5" customHeight="1" x14ac:dyDescent="0.25">
      <c r="A501" s="331"/>
      <c r="B501" s="331"/>
      <c r="C501" s="331"/>
      <c r="D501" s="333"/>
      <c r="E501" s="333"/>
      <c r="F501" s="333"/>
      <c r="G501" s="331"/>
      <c r="H501" s="331"/>
      <c r="I501" s="331"/>
      <c r="J501" s="331"/>
      <c r="K501" s="331"/>
      <c r="L501" s="331"/>
      <c r="M501" s="331"/>
      <c r="N501" s="331"/>
      <c r="O501" s="331"/>
      <c r="P501" s="331"/>
      <c r="Q501" s="331"/>
    </row>
    <row r="502" spans="1:17" ht="19.5" customHeight="1" x14ac:dyDescent="0.25">
      <c r="A502" s="331"/>
      <c r="B502" s="331"/>
      <c r="C502" s="331"/>
      <c r="D502" s="333"/>
      <c r="E502" s="333"/>
      <c r="F502" s="333"/>
      <c r="G502" s="331"/>
      <c r="H502" s="331"/>
      <c r="I502" s="331"/>
      <c r="J502" s="331"/>
      <c r="K502" s="331"/>
      <c r="L502" s="331"/>
      <c r="M502" s="331"/>
      <c r="N502" s="331"/>
      <c r="O502" s="331"/>
      <c r="P502" s="331"/>
      <c r="Q502" s="331"/>
    </row>
    <row r="503" spans="1:17" ht="19.5" customHeight="1" x14ac:dyDescent="0.25">
      <c r="A503" s="331"/>
      <c r="B503" s="331"/>
      <c r="C503" s="331"/>
      <c r="D503" s="333"/>
      <c r="E503" s="333"/>
      <c r="F503" s="333"/>
      <c r="G503" s="331"/>
      <c r="H503" s="331"/>
      <c r="I503" s="331"/>
      <c r="J503" s="331"/>
      <c r="K503" s="331"/>
      <c r="L503" s="331"/>
      <c r="M503" s="331"/>
      <c r="N503" s="331"/>
      <c r="O503" s="331"/>
      <c r="P503" s="331"/>
      <c r="Q503" s="331"/>
    </row>
    <row r="504" spans="1:17" ht="19.5" customHeight="1" x14ac:dyDescent="0.25">
      <c r="A504" s="331"/>
      <c r="B504" s="331"/>
      <c r="C504" s="331"/>
      <c r="D504" s="333"/>
      <c r="E504" s="333"/>
      <c r="F504" s="333"/>
      <c r="G504" s="331"/>
      <c r="H504" s="331"/>
      <c r="I504" s="331"/>
      <c r="J504" s="331"/>
      <c r="K504" s="331"/>
      <c r="L504" s="331"/>
      <c r="M504" s="331"/>
      <c r="N504" s="331"/>
      <c r="O504" s="331"/>
      <c r="P504" s="331"/>
      <c r="Q504" s="331"/>
    </row>
    <row r="505" spans="1:17" ht="19.5" customHeight="1" x14ac:dyDescent="0.25">
      <c r="A505" s="331"/>
      <c r="B505" s="331"/>
      <c r="C505" s="331"/>
      <c r="D505" s="333"/>
      <c r="E505" s="333"/>
      <c r="F505" s="333"/>
      <c r="G505" s="331"/>
      <c r="H505" s="331"/>
      <c r="I505" s="331"/>
      <c r="J505" s="331"/>
      <c r="K505" s="331"/>
      <c r="L505" s="331"/>
      <c r="M505" s="331"/>
      <c r="N505" s="331"/>
      <c r="O505" s="331"/>
      <c r="P505" s="331"/>
      <c r="Q505" s="331"/>
    </row>
    <row r="506" spans="1:17" ht="19.5" customHeight="1" x14ac:dyDescent="0.25">
      <c r="A506" s="331"/>
      <c r="B506" s="331"/>
      <c r="C506" s="331"/>
      <c r="D506" s="333"/>
      <c r="E506" s="333"/>
      <c r="F506" s="333"/>
      <c r="G506" s="331"/>
      <c r="H506" s="331"/>
      <c r="I506" s="331"/>
      <c r="J506" s="331"/>
      <c r="K506" s="331"/>
      <c r="L506" s="331"/>
      <c r="M506" s="331"/>
      <c r="N506" s="331"/>
      <c r="O506" s="331"/>
      <c r="P506" s="331"/>
      <c r="Q506" s="331"/>
    </row>
    <row r="507" spans="1:17" ht="19.5" customHeight="1" x14ac:dyDescent="0.25">
      <c r="A507" s="331"/>
      <c r="B507" s="331"/>
      <c r="C507" s="331"/>
      <c r="D507" s="333"/>
      <c r="E507" s="333"/>
      <c r="F507" s="333"/>
      <c r="G507" s="331"/>
      <c r="H507" s="331"/>
      <c r="I507" s="331"/>
      <c r="J507" s="331"/>
      <c r="K507" s="331"/>
      <c r="L507" s="331"/>
      <c r="M507" s="331"/>
      <c r="N507" s="331"/>
      <c r="O507" s="331"/>
      <c r="P507" s="331"/>
      <c r="Q507" s="331"/>
    </row>
    <row r="508" spans="1:17" ht="19.5" customHeight="1" x14ac:dyDescent="0.25">
      <c r="A508" s="331"/>
      <c r="B508" s="331"/>
      <c r="C508" s="331"/>
      <c r="D508" s="333"/>
      <c r="E508" s="333"/>
      <c r="F508" s="333"/>
      <c r="G508" s="331"/>
      <c r="H508" s="331"/>
      <c r="I508" s="331"/>
      <c r="J508" s="331"/>
      <c r="K508" s="331"/>
      <c r="L508" s="331"/>
      <c r="M508" s="331"/>
      <c r="N508" s="331"/>
      <c r="O508" s="331"/>
      <c r="P508" s="331"/>
      <c r="Q508" s="331"/>
    </row>
    <row r="509" spans="1:17" ht="19.5" customHeight="1" x14ac:dyDescent="0.25">
      <c r="A509" s="331"/>
      <c r="B509" s="331"/>
      <c r="C509" s="331"/>
      <c r="D509" s="333"/>
      <c r="E509" s="333"/>
      <c r="F509" s="333"/>
      <c r="G509" s="331"/>
      <c r="H509" s="331"/>
      <c r="I509" s="331"/>
      <c r="J509" s="331"/>
      <c r="K509" s="331"/>
      <c r="L509" s="331"/>
      <c r="M509" s="331"/>
      <c r="N509" s="331"/>
      <c r="O509" s="331"/>
      <c r="P509" s="331"/>
      <c r="Q509" s="331"/>
    </row>
    <row r="510" spans="1:17" ht="19.5" customHeight="1" x14ac:dyDescent="0.25">
      <c r="A510" s="331"/>
      <c r="B510" s="331"/>
      <c r="C510" s="331"/>
      <c r="D510" s="333"/>
      <c r="E510" s="333"/>
      <c r="F510" s="333"/>
      <c r="G510" s="331"/>
      <c r="H510" s="331"/>
      <c r="I510" s="331"/>
      <c r="J510" s="331"/>
      <c r="K510" s="331"/>
      <c r="L510" s="331"/>
      <c r="M510" s="331"/>
      <c r="N510" s="331"/>
      <c r="O510" s="331"/>
      <c r="P510" s="331"/>
      <c r="Q510" s="331"/>
    </row>
    <row r="511" spans="1:17" ht="19.5" customHeight="1" x14ac:dyDescent="0.25">
      <c r="A511" s="331"/>
      <c r="B511" s="331"/>
      <c r="C511" s="331"/>
      <c r="D511" s="333"/>
      <c r="E511" s="333"/>
      <c r="F511" s="333"/>
      <c r="G511" s="331"/>
      <c r="H511" s="331"/>
      <c r="I511" s="331"/>
      <c r="J511" s="331"/>
      <c r="K511" s="331"/>
      <c r="L511" s="331"/>
      <c r="M511" s="331"/>
      <c r="N511" s="331"/>
      <c r="O511" s="331"/>
      <c r="P511" s="331"/>
      <c r="Q511" s="331"/>
    </row>
    <row r="512" spans="1:17" ht="19.5" customHeight="1" x14ac:dyDescent="0.25">
      <c r="A512" s="331"/>
      <c r="B512" s="331"/>
      <c r="C512" s="331"/>
      <c r="D512" s="333"/>
      <c r="E512" s="333"/>
      <c r="F512" s="333"/>
      <c r="G512" s="331"/>
      <c r="H512" s="331"/>
      <c r="I512" s="331"/>
      <c r="J512" s="331"/>
      <c r="K512" s="331"/>
      <c r="L512" s="331"/>
      <c r="M512" s="331"/>
      <c r="N512" s="331"/>
      <c r="O512" s="331"/>
      <c r="P512" s="331"/>
      <c r="Q512" s="331"/>
    </row>
    <row r="513" spans="1:17" ht="19.5" customHeight="1" x14ac:dyDescent="0.25">
      <c r="A513" s="331"/>
      <c r="B513" s="331"/>
      <c r="C513" s="331"/>
      <c r="D513" s="333"/>
      <c r="E513" s="333"/>
      <c r="F513" s="333"/>
      <c r="G513" s="331"/>
      <c r="H513" s="331"/>
      <c r="I513" s="331"/>
      <c r="J513" s="331"/>
      <c r="K513" s="331"/>
      <c r="L513" s="331"/>
      <c r="M513" s="331"/>
      <c r="N513" s="331"/>
      <c r="O513" s="331"/>
      <c r="P513" s="331"/>
      <c r="Q513" s="331"/>
    </row>
    <row r="514" spans="1:17" ht="19.5" customHeight="1" x14ac:dyDescent="0.25">
      <c r="A514" s="331"/>
      <c r="B514" s="331"/>
      <c r="C514" s="331"/>
      <c r="D514" s="333"/>
      <c r="E514" s="333"/>
      <c r="F514" s="333"/>
      <c r="G514" s="331"/>
      <c r="H514" s="331"/>
      <c r="I514" s="331"/>
      <c r="J514" s="331"/>
      <c r="K514" s="331"/>
      <c r="L514" s="331"/>
      <c r="M514" s="331"/>
      <c r="N514" s="331"/>
      <c r="O514" s="331"/>
      <c r="P514" s="331"/>
      <c r="Q514" s="331"/>
    </row>
    <row r="515" spans="1:17" ht="19.5" customHeight="1" x14ac:dyDescent="0.25">
      <c r="A515" s="331"/>
      <c r="B515" s="331"/>
      <c r="C515" s="331"/>
      <c r="D515" s="333"/>
      <c r="E515" s="333"/>
      <c r="F515" s="333"/>
      <c r="G515" s="331"/>
      <c r="H515" s="331"/>
      <c r="I515" s="331"/>
      <c r="J515" s="331"/>
      <c r="K515" s="331"/>
      <c r="L515" s="331"/>
      <c r="M515" s="331"/>
      <c r="N515" s="331"/>
      <c r="O515" s="331"/>
      <c r="P515" s="331"/>
      <c r="Q515" s="331"/>
    </row>
    <row r="516" spans="1:17" ht="19.5" customHeight="1" x14ac:dyDescent="0.25">
      <c r="A516" s="331"/>
      <c r="B516" s="331"/>
      <c r="C516" s="331"/>
      <c r="D516" s="333"/>
      <c r="E516" s="333"/>
      <c r="F516" s="333"/>
      <c r="G516" s="331"/>
      <c r="H516" s="331"/>
      <c r="I516" s="331"/>
      <c r="J516" s="331"/>
      <c r="K516" s="331"/>
      <c r="L516" s="331"/>
      <c r="M516" s="331"/>
      <c r="N516" s="331"/>
      <c r="O516" s="331"/>
      <c r="P516" s="331"/>
      <c r="Q516" s="331"/>
    </row>
    <row r="517" spans="1:17" ht="19.5" customHeight="1" x14ac:dyDescent="0.25">
      <c r="A517" s="331"/>
      <c r="B517" s="331"/>
      <c r="C517" s="331"/>
      <c r="D517" s="333"/>
      <c r="E517" s="333"/>
      <c r="F517" s="333"/>
      <c r="G517" s="331"/>
      <c r="H517" s="331"/>
      <c r="I517" s="331"/>
      <c r="J517" s="331"/>
      <c r="K517" s="331"/>
      <c r="L517" s="331"/>
      <c r="M517" s="331"/>
      <c r="N517" s="331"/>
      <c r="O517" s="331"/>
      <c r="P517" s="331"/>
      <c r="Q517" s="331"/>
    </row>
    <row r="518" spans="1:17" ht="19.5" customHeight="1" x14ac:dyDescent="0.25">
      <c r="A518" s="331"/>
      <c r="B518" s="331"/>
      <c r="C518" s="331"/>
      <c r="D518" s="333"/>
      <c r="E518" s="333"/>
      <c r="F518" s="333"/>
      <c r="G518" s="331"/>
      <c r="H518" s="331"/>
      <c r="I518" s="331"/>
      <c r="J518" s="331"/>
      <c r="K518" s="331"/>
      <c r="L518" s="331"/>
      <c r="M518" s="331"/>
      <c r="N518" s="331"/>
      <c r="O518" s="331"/>
      <c r="P518" s="331"/>
      <c r="Q518" s="331"/>
    </row>
    <row r="519" spans="1:17" ht="19.5" customHeight="1" x14ac:dyDescent="0.25">
      <c r="A519" s="331"/>
      <c r="B519" s="331"/>
      <c r="C519" s="331"/>
      <c r="D519" s="333"/>
      <c r="E519" s="333"/>
      <c r="F519" s="333"/>
      <c r="G519" s="331"/>
      <c r="H519" s="331"/>
      <c r="I519" s="331"/>
      <c r="J519" s="331"/>
      <c r="K519" s="331"/>
      <c r="L519" s="331"/>
      <c r="M519" s="331"/>
      <c r="N519" s="331"/>
      <c r="O519" s="331"/>
      <c r="P519" s="331"/>
      <c r="Q519" s="331"/>
    </row>
    <row r="520" spans="1:17" ht="19.5" customHeight="1" x14ac:dyDescent="0.25">
      <c r="A520" s="331"/>
      <c r="B520" s="331"/>
      <c r="C520" s="331"/>
      <c r="D520" s="333"/>
      <c r="E520" s="333"/>
      <c r="F520" s="333"/>
      <c r="G520" s="331"/>
      <c r="H520" s="331"/>
      <c r="I520" s="331"/>
      <c r="J520" s="331"/>
      <c r="K520" s="331"/>
      <c r="L520" s="331"/>
      <c r="M520" s="331"/>
      <c r="N520" s="331"/>
      <c r="O520" s="331"/>
      <c r="P520" s="331"/>
      <c r="Q520" s="331"/>
    </row>
    <row r="521" spans="1:17" ht="19.5" customHeight="1" x14ac:dyDescent="0.25">
      <c r="A521" s="331"/>
      <c r="B521" s="331"/>
      <c r="C521" s="331"/>
      <c r="D521" s="333"/>
      <c r="E521" s="333"/>
      <c r="F521" s="333"/>
      <c r="G521" s="331"/>
      <c r="H521" s="331"/>
      <c r="I521" s="331"/>
      <c r="J521" s="331"/>
      <c r="K521" s="331"/>
      <c r="L521" s="331"/>
      <c r="M521" s="331"/>
      <c r="N521" s="331"/>
      <c r="O521" s="331"/>
      <c r="P521" s="331"/>
      <c r="Q521" s="331"/>
    </row>
    <row r="522" spans="1:17" ht="19.5" customHeight="1" x14ac:dyDescent="0.25">
      <c r="A522" s="331"/>
      <c r="B522" s="331"/>
      <c r="C522" s="331"/>
      <c r="D522" s="333"/>
      <c r="E522" s="333"/>
      <c r="F522" s="333"/>
      <c r="G522" s="331"/>
      <c r="H522" s="331"/>
      <c r="I522" s="331"/>
      <c r="J522" s="331"/>
      <c r="K522" s="331"/>
      <c r="L522" s="331"/>
      <c r="M522" s="331"/>
      <c r="N522" s="331"/>
      <c r="O522" s="331"/>
      <c r="P522" s="331"/>
      <c r="Q522" s="331"/>
    </row>
    <row r="523" spans="1:17" ht="19.5" customHeight="1" x14ac:dyDescent="0.25">
      <c r="A523" s="331"/>
      <c r="B523" s="331"/>
      <c r="C523" s="331"/>
      <c r="D523" s="333"/>
      <c r="E523" s="333"/>
      <c r="F523" s="333"/>
      <c r="G523" s="331"/>
      <c r="H523" s="331"/>
      <c r="I523" s="331"/>
      <c r="J523" s="331"/>
      <c r="K523" s="331"/>
      <c r="L523" s="331"/>
      <c r="M523" s="331"/>
      <c r="N523" s="331"/>
      <c r="O523" s="331"/>
      <c r="P523" s="331"/>
      <c r="Q523" s="331"/>
    </row>
    <row r="524" spans="1:17" ht="19.5" customHeight="1" x14ac:dyDescent="0.25">
      <c r="A524" s="331"/>
      <c r="B524" s="331"/>
      <c r="C524" s="331"/>
      <c r="D524" s="333"/>
      <c r="E524" s="333"/>
      <c r="F524" s="333"/>
      <c r="G524" s="331"/>
      <c r="H524" s="331"/>
      <c r="I524" s="331"/>
      <c r="J524" s="331"/>
      <c r="K524" s="331"/>
      <c r="L524" s="331"/>
      <c r="M524" s="331"/>
      <c r="N524" s="331"/>
      <c r="O524" s="331"/>
      <c r="P524" s="331"/>
      <c r="Q524" s="331"/>
    </row>
    <row r="525" spans="1:17" ht="19.5" customHeight="1" x14ac:dyDescent="0.25">
      <c r="A525" s="331"/>
      <c r="B525" s="331"/>
      <c r="C525" s="331"/>
      <c r="D525" s="333"/>
      <c r="E525" s="333"/>
      <c r="F525" s="333"/>
      <c r="G525" s="331"/>
      <c r="H525" s="331"/>
      <c r="I525" s="331"/>
      <c r="J525" s="331"/>
      <c r="K525" s="331"/>
      <c r="L525" s="331"/>
      <c r="M525" s="331"/>
      <c r="N525" s="331"/>
      <c r="O525" s="331"/>
      <c r="P525" s="331"/>
      <c r="Q525" s="331"/>
    </row>
    <row r="526" spans="1:17" ht="19.5" customHeight="1" x14ac:dyDescent="0.25">
      <c r="A526" s="331"/>
      <c r="B526" s="331"/>
      <c r="C526" s="331"/>
      <c r="D526" s="333"/>
      <c r="E526" s="333"/>
      <c r="F526" s="333"/>
      <c r="G526" s="331"/>
      <c r="H526" s="331"/>
      <c r="I526" s="331"/>
      <c r="J526" s="331"/>
      <c r="K526" s="331"/>
      <c r="L526" s="331"/>
      <c r="M526" s="331"/>
      <c r="N526" s="331"/>
      <c r="O526" s="331"/>
      <c r="P526" s="331"/>
      <c r="Q526" s="331"/>
    </row>
    <row r="527" spans="1:17" ht="19.5" customHeight="1" x14ac:dyDescent="0.25">
      <c r="A527" s="331"/>
      <c r="B527" s="331"/>
      <c r="C527" s="331"/>
      <c r="D527" s="333"/>
      <c r="E527" s="333"/>
      <c r="F527" s="333"/>
      <c r="G527" s="331"/>
      <c r="H527" s="331"/>
      <c r="I527" s="331"/>
      <c r="J527" s="331"/>
      <c r="K527" s="331"/>
      <c r="L527" s="331"/>
      <c r="M527" s="331"/>
      <c r="N527" s="331"/>
      <c r="O527" s="331"/>
      <c r="P527" s="331"/>
      <c r="Q527" s="331"/>
    </row>
    <row r="528" spans="1:17" ht="19.5" customHeight="1" x14ac:dyDescent="0.25">
      <c r="A528" s="331"/>
      <c r="B528" s="331"/>
      <c r="C528" s="331"/>
      <c r="D528" s="333"/>
      <c r="E528" s="333"/>
      <c r="F528" s="333"/>
      <c r="G528" s="331"/>
      <c r="H528" s="331"/>
      <c r="I528" s="331"/>
      <c r="J528" s="331"/>
      <c r="K528" s="331"/>
      <c r="L528" s="331"/>
      <c r="M528" s="331"/>
      <c r="N528" s="331"/>
      <c r="O528" s="331"/>
      <c r="P528" s="331"/>
      <c r="Q528" s="331"/>
    </row>
    <row r="529" spans="1:17" ht="19.5" customHeight="1" x14ac:dyDescent="0.25">
      <c r="A529" s="331"/>
      <c r="B529" s="331"/>
      <c r="C529" s="331"/>
      <c r="D529" s="333"/>
      <c r="E529" s="333"/>
      <c r="F529" s="333"/>
      <c r="G529" s="331"/>
      <c r="H529" s="331"/>
      <c r="I529" s="331"/>
      <c r="J529" s="331"/>
      <c r="K529" s="331"/>
      <c r="L529" s="331"/>
      <c r="M529" s="331"/>
      <c r="N529" s="331"/>
      <c r="O529" s="331"/>
      <c r="P529" s="331"/>
      <c r="Q529" s="331"/>
    </row>
    <row r="530" spans="1:17" ht="19.5" customHeight="1" x14ac:dyDescent="0.25">
      <c r="A530" s="331"/>
      <c r="B530" s="331"/>
      <c r="C530" s="331"/>
      <c r="D530" s="333"/>
      <c r="E530" s="333"/>
      <c r="F530" s="333"/>
      <c r="G530" s="331"/>
      <c r="H530" s="331"/>
      <c r="I530" s="331"/>
      <c r="J530" s="331"/>
      <c r="K530" s="331"/>
      <c r="L530" s="331"/>
      <c r="M530" s="331"/>
      <c r="N530" s="331"/>
      <c r="O530" s="331"/>
      <c r="P530" s="331"/>
      <c r="Q530" s="331"/>
    </row>
    <row r="531" spans="1:17" ht="19.5" customHeight="1" x14ac:dyDescent="0.25">
      <c r="A531" s="331"/>
      <c r="B531" s="331"/>
      <c r="C531" s="331"/>
      <c r="D531" s="333"/>
      <c r="E531" s="333"/>
      <c r="F531" s="333"/>
      <c r="G531" s="331"/>
      <c r="H531" s="331"/>
      <c r="I531" s="331"/>
      <c r="J531" s="331"/>
      <c r="K531" s="331"/>
      <c r="L531" s="331"/>
      <c r="M531" s="331"/>
      <c r="N531" s="331"/>
      <c r="O531" s="331"/>
      <c r="P531" s="331"/>
      <c r="Q531" s="331"/>
    </row>
    <row r="532" spans="1:17" ht="19.5" customHeight="1" x14ac:dyDescent="0.25">
      <c r="A532" s="331"/>
      <c r="B532" s="331"/>
      <c r="C532" s="331"/>
      <c r="D532" s="333"/>
      <c r="E532" s="333"/>
      <c r="F532" s="333"/>
      <c r="G532" s="331"/>
      <c r="H532" s="331"/>
      <c r="I532" s="331"/>
      <c r="J532" s="331"/>
      <c r="K532" s="331"/>
      <c r="L532" s="331"/>
      <c r="M532" s="331"/>
      <c r="N532" s="331"/>
      <c r="O532" s="331"/>
      <c r="P532" s="331"/>
      <c r="Q532" s="331"/>
    </row>
    <row r="533" spans="1:17" ht="19.5" customHeight="1" x14ac:dyDescent="0.25">
      <c r="A533" s="331"/>
      <c r="B533" s="331"/>
      <c r="C533" s="331"/>
      <c r="D533" s="333"/>
      <c r="E533" s="333"/>
      <c r="F533" s="333"/>
      <c r="G533" s="331"/>
      <c r="H533" s="331"/>
      <c r="I533" s="331"/>
      <c r="J533" s="331"/>
      <c r="K533" s="331"/>
      <c r="L533" s="331"/>
      <c r="M533" s="331"/>
      <c r="N533" s="331"/>
      <c r="O533" s="331"/>
      <c r="P533" s="331"/>
      <c r="Q533" s="331"/>
    </row>
    <row r="534" spans="1:17" ht="19.5" customHeight="1" x14ac:dyDescent="0.25">
      <c r="A534" s="331"/>
      <c r="B534" s="331"/>
      <c r="C534" s="331"/>
      <c r="D534" s="333"/>
      <c r="E534" s="333"/>
      <c r="F534" s="333"/>
      <c r="G534" s="331"/>
      <c r="H534" s="331"/>
      <c r="I534" s="331"/>
      <c r="J534" s="331"/>
      <c r="K534" s="331"/>
      <c r="L534" s="331"/>
      <c r="M534" s="331"/>
      <c r="N534" s="331"/>
      <c r="O534" s="331"/>
      <c r="P534" s="331"/>
      <c r="Q534" s="331"/>
    </row>
    <row r="535" spans="1:17" ht="19.5" customHeight="1" x14ac:dyDescent="0.25">
      <c r="A535" s="331"/>
      <c r="B535" s="331"/>
      <c r="C535" s="331"/>
      <c r="D535" s="333"/>
      <c r="E535" s="333"/>
      <c r="F535" s="333"/>
      <c r="G535" s="331"/>
      <c r="H535" s="331"/>
      <c r="I535" s="331"/>
      <c r="J535" s="331"/>
      <c r="K535" s="331"/>
      <c r="L535" s="331"/>
      <c r="M535" s="331"/>
      <c r="N535" s="331"/>
      <c r="O535" s="331"/>
      <c r="P535" s="331"/>
      <c r="Q535" s="331"/>
    </row>
    <row r="536" spans="1:17" ht="19.5" customHeight="1" x14ac:dyDescent="0.25">
      <c r="A536" s="331"/>
      <c r="B536" s="331"/>
      <c r="C536" s="331"/>
      <c r="D536" s="333"/>
      <c r="E536" s="333"/>
      <c r="F536" s="333"/>
      <c r="G536" s="331"/>
      <c r="H536" s="331"/>
      <c r="I536" s="331"/>
      <c r="J536" s="331"/>
      <c r="K536" s="331"/>
      <c r="L536" s="331"/>
      <c r="M536" s="331"/>
      <c r="N536" s="331"/>
      <c r="O536" s="331"/>
      <c r="P536" s="331"/>
      <c r="Q536" s="331"/>
    </row>
    <row r="537" spans="1:17" ht="19.5" customHeight="1" x14ac:dyDescent="0.25">
      <c r="A537" s="331"/>
      <c r="B537" s="331"/>
      <c r="C537" s="331"/>
      <c r="D537" s="333"/>
      <c r="E537" s="333"/>
      <c r="F537" s="333"/>
      <c r="G537" s="331"/>
      <c r="H537" s="331"/>
      <c r="I537" s="331"/>
      <c r="J537" s="331"/>
      <c r="K537" s="331"/>
      <c r="L537" s="331"/>
      <c r="M537" s="331"/>
      <c r="N537" s="331"/>
      <c r="O537" s="331"/>
      <c r="P537" s="331"/>
      <c r="Q537" s="331"/>
    </row>
    <row r="538" spans="1:17" ht="19.5" customHeight="1" x14ac:dyDescent="0.25">
      <c r="A538" s="331"/>
      <c r="B538" s="331"/>
      <c r="C538" s="331"/>
      <c r="D538" s="333"/>
      <c r="E538" s="333"/>
      <c r="F538" s="333"/>
      <c r="G538" s="331"/>
      <c r="H538" s="331"/>
      <c r="I538" s="331"/>
      <c r="J538" s="331"/>
      <c r="K538" s="331"/>
      <c r="L538" s="331"/>
      <c r="M538" s="331"/>
      <c r="N538" s="331"/>
      <c r="O538" s="331"/>
      <c r="P538" s="331"/>
      <c r="Q538" s="331"/>
    </row>
    <row r="539" spans="1:17" ht="19.5" customHeight="1" x14ac:dyDescent="0.25">
      <c r="A539" s="331"/>
      <c r="B539" s="331"/>
      <c r="C539" s="331"/>
      <c r="D539" s="333"/>
      <c r="E539" s="333"/>
      <c r="F539" s="333"/>
      <c r="G539" s="331"/>
      <c r="H539" s="331"/>
      <c r="I539" s="331"/>
      <c r="J539" s="331"/>
      <c r="K539" s="331"/>
      <c r="L539" s="331"/>
      <c r="M539" s="331"/>
      <c r="N539" s="331"/>
      <c r="O539" s="331"/>
      <c r="P539" s="331"/>
      <c r="Q539" s="331"/>
    </row>
    <row r="540" spans="1:17" ht="19.5" customHeight="1" x14ac:dyDescent="0.25">
      <c r="A540" s="331"/>
      <c r="B540" s="331"/>
      <c r="C540" s="331"/>
      <c r="D540" s="333"/>
      <c r="E540" s="333"/>
      <c r="F540" s="333"/>
      <c r="G540" s="331"/>
      <c r="H540" s="331"/>
      <c r="I540" s="331"/>
      <c r="J540" s="331"/>
      <c r="K540" s="331"/>
      <c r="L540" s="331"/>
      <c r="M540" s="331"/>
      <c r="N540" s="331"/>
      <c r="O540" s="331"/>
      <c r="P540" s="331"/>
      <c r="Q540" s="331"/>
    </row>
    <row r="541" spans="1:17" ht="19.5" customHeight="1" x14ac:dyDescent="0.25">
      <c r="A541" s="331"/>
      <c r="B541" s="331"/>
      <c r="C541" s="331"/>
      <c r="D541" s="333"/>
      <c r="E541" s="333"/>
      <c r="F541" s="333"/>
      <c r="G541" s="331"/>
      <c r="H541" s="331"/>
      <c r="I541" s="331"/>
      <c r="J541" s="331"/>
      <c r="K541" s="331"/>
      <c r="L541" s="331"/>
      <c r="M541" s="331"/>
      <c r="N541" s="331"/>
      <c r="O541" s="331"/>
      <c r="P541" s="331"/>
      <c r="Q541" s="331"/>
    </row>
    <row r="542" spans="1:17" ht="19.5" customHeight="1" x14ac:dyDescent="0.25">
      <c r="A542" s="331"/>
      <c r="B542" s="331"/>
      <c r="C542" s="331"/>
      <c r="D542" s="333"/>
      <c r="E542" s="333"/>
      <c r="F542" s="333"/>
      <c r="G542" s="331"/>
      <c r="H542" s="331"/>
      <c r="I542" s="331"/>
      <c r="J542" s="331"/>
      <c r="K542" s="331"/>
      <c r="L542" s="331"/>
      <c r="M542" s="331"/>
      <c r="N542" s="331"/>
      <c r="O542" s="331"/>
      <c r="P542" s="331"/>
      <c r="Q542" s="331"/>
    </row>
    <row r="543" spans="1:17" ht="19.5" customHeight="1" x14ac:dyDescent="0.25">
      <c r="A543" s="331"/>
      <c r="B543" s="331"/>
      <c r="C543" s="331"/>
      <c r="D543" s="333"/>
      <c r="E543" s="333"/>
      <c r="F543" s="333"/>
      <c r="G543" s="331"/>
      <c r="H543" s="331"/>
      <c r="I543" s="331"/>
      <c r="J543" s="331"/>
      <c r="K543" s="331"/>
      <c r="L543" s="331"/>
      <c r="M543" s="331"/>
      <c r="N543" s="331"/>
      <c r="O543" s="331"/>
      <c r="P543" s="331"/>
      <c r="Q543" s="331"/>
    </row>
    <row r="544" spans="1:17" ht="19.5" customHeight="1" x14ac:dyDescent="0.25">
      <c r="A544" s="331"/>
      <c r="B544" s="331"/>
      <c r="C544" s="331"/>
      <c r="D544" s="333"/>
      <c r="E544" s="333"/>
      <c r="F544" s="333"/>
      <c r="G544" s="331"/>
      <c r="H544" s="331"/>
      <c r="I544" s="331"/>
      <c r="J544" s="331"/>
      <c r="K544" s="331"/>
      <c r="L544" s="331"/>
      <c r="M544" s="331"/>
      <c r="N544" s="331"/>
      <c r="O544" s="331"/>
      <c r="P544" s="331"/>
      <c r="Q544" s="331"/>
    </row>
    <row r="545" spans="1:17" ht="19.5" customHeight="1" x14ac:dyDescent="0.25">
      <c r="A545" s="331"/>
      <c r="B545" s="331"/>
      <c r="C545" s="331"/>
      <c r="D545" s="333"/>
      <c r="E545" s="333"/>
      <c r="F545" s="333"/>
      <c r="G545" s="331"/>
      <c r="H545" s="331"/>
      <c r="I545" s="331"/>
      <c r="J545" s="331"/>
      <c r="K545" s="331"/>
      <c r="L545" s="331"/>
      <c r="M545" s="331"/>
      <c r="N545" s="331"/>
      <c r="O545" s="331"/>
      <c r="P545" s="331"/>
      <c r="Q545" s="331"/>
    </row>
    <row r="546" spans="1:17" ht="19.5" customHeight="1" x14ac:dyDescent="0.25">
      <c r="A546" s="331"/>
      <c r="B546" s="331"/>
      <c r="C546" s="331"/>
      <c r="D546" s="333"/>
      <c r="E546" s="333"/>
      <c r="F546" s="333"/>
      <c r="G546" s="331"/>
      <c r="H546" s="331"/>
      <c r="I546" s="331"/>
      <c r="J546" s="331"/>
      <c r="K546" s="331"/>
      <c r="L546" s="331"/>
      <c r="M546" s="331"/>
      <c r="N546" s="331"/>
      <c r="O546" s="331"/>
      <c r="P546" s="331"/>
      <c r="Q546" s="331"/>
    </row>
    <row r="547" spans="1:17" ht="19.5" customHeight="1" x14ac:dyDescent="0.25">
      <c r="A547" s="331"/>
      <c r="B547" s="331"/>
      <c r="C547" s="331"/>
      <c r="D547" s="333"/>
      <c r="E547" s="333"/>
      <c r="F547" s="333"/>
      <c r="G547" s="331"/>
      <c r="H547" s="331"/>
      <c r="I547" s="331"/>
      <c r="J547" s="331"/>
      <c r="K547" s="331"/>
      <c r="L547" s="331"/>
      <c r="M547" s="331"/>
      <c r="N547" s="331"/>
      <c r="O547" s="331"/>
      <c r="P547" s="331"/>
      <c r="Q547" s="331"/>
    </row>
    <row r="548" spans="1:17" ht="19.5" customHeight="1" x14ac:dyDescent="0.25">
      <c r="A548" s="331"/>
      <c r="B548" s="331"/>
      <c r="C548" s="331"/>
      <c r="D548" s="333"/>
      <c r="E548" s="333"/>
      <c r="F548" s="333"/>
      <c r="G548" s="331"/>
      <c r="H548" s="331"/>
      <c r="I548" s="331"/>
      <c r="J548" s="331"/>
      <c r="K548" s="331"/>
      <c r="L548" s="331"/>
      <c r="M548" s="331"/>
      <c r="N548" s="331"/>
      <c r="O548" s="331"/>
      <c r="P548" s="331"/>
      <c r="Q548" s="331"/>
    </row>
    <row r="549" spans="1:17" ht="19.5" customHeight="1" x14ac:dyDescent="0.25">
      <c r="A549" s="331"/>
      <c r="B549" s="331"/>
      <c r="C549" s="331"/>
      <c r="D549" s="333"/>
      <c r="E549" s="333"/>
      <c r="F549" s="333"/>
      <c r="G549" s="331"/>
      <c r="H549" s="331"/>
      <c r="I549" s="331"/>
      <c r="J549" s="331"/>
      <c r="K549" s="331"/>
      <c r="L549" s="331"/>
      <c r="M549" s="331"/>
      <c r="N549" s="331"/>
      <c r="O549" s="331"/>
      <c r="P549" s="331"/>
      <c r="Q549" s="331"/>
    </row>
    <row r="550" spans="1:17" ht="19.5" customHeight="1" x14ac:dyDescent="0.25">
      <c r="A550" s="331"/>
      <c r="B550" s="331"/>
      <c r="C550" s="331"/>
      <c r="D550" s="333"/>
      <c r="E550" s="333"/>
      <c r="F550" s="333"/>
      <c r="G550" s="331"/>
      <c r="H550" s="331"/>
      <c r="I550" s="331"/>
      <c r="J550" s="331"/>
      <c r="K550" s="331"/>
      <c r="L550" s="331"/>
      <c r="M550" s="331"/>
      <c r="N550" s="331"/>
      <c r="O550" s="331"/>
      <c r="P550" s="331"/>
      <c r="Q550" s="331"/>
    </row>
    <row r="551" spans="1:17" ht="19.5" customHeight="1" x14ac:dyDescent="0.25">
      <c r="A551" s="331"/>
      <c r="B551" s="331"/>
      <c r="C551" s="331"/>
      <c r="D551" s="333"/>
      <c r="E551" s="333"/>
      <c r="F551" s="333"/>
      <c r="G551" s="331"/>
      <c r="H551" s="331"/>
      <c r="I551" s="331"/>
      <c r="J551" s="331"/>
      <c r="K551" s="331"/>
      <c r="L551" s="331"/>
      <c r="M551" s="331"/>
      <c r="N551" s="331"/>
      <c r="O551" s="331"/>
      <c r="P551" s="331"/>
      <c r="Q551" s="331"/>
    </row>
    <row r="552" spans="1:17" ht="19.5" customHeight="1" x14ac:dyDescent="0.25">
      <c r="A552" s="331"/>
      <c r="B552" s="331"/>
      <c r="C552" s="331"/>
      <c r="D552" s="333"/>
      <c r="E552" s="333"/>
      <c r="F552" s="333"/>
      <c r="G552" s="331"/>
      <c r="H552" s="331"/>
      <c r="I552" s="331"/>
      <c r="J552" s="331"/>
      <c r="K552" s="331"/>
      <c r="L552" s="331"/>
      <c r="M552" s="331"/>
      <c r="N552" s="331"/>
      <c r="O552" s="331"/>
      <c r="P552" s="331"/>
      <c r="Q552" s="331"/>
    </row>
    <row r="553" spans="1:17" ht="19.5" customHeight="1" x14ac:dyDescent="0.25">
      <c r="A553" s="331"/>
      <c r="B553" s="331"/>
      <c r="C553" s="331"/>
      <c r="D553" s="333"/>
      <c r="E553" s="333"/>
      <c r="F553" s="333"/>
      <c r="G553" s="331"/>
      <c r="H553" s="331"/>
      <c r="I553" s="331"/>
      <c r="J553" s="331"/>
      <c r="K553" s="331"/>
      <c r="L553" s="331"/>
      <c r="M553" s="331"/>
      <c r="N553" s="331"/>
      <c r="O553" s="331"/>
      <c r="P553" s="331"/>
      <c r="Q553" s="331"/>
    </row>
    <row r="554" spans="1:17" ht="19.5" customHeight="1" x14ac:dyDescent="0.25">
      <c r="A554" s="331"/>
      <c r="B554" s="331"/>
      <c r="C554" s="331"/>
      <c r="D554" s="333"/>
      <c r="E554" s="333"/>
      <c r="F554" s="333"/>
      <c r="G554" s="331"/>
      <c r="H554" s="331"/>
      <c r="I554" s="331"/>
      <c r="J554" s="331"/>
      <c r="K554" s="331"/>
      <c r="L554" s="331"/>
      <c r="M554" s="331"/>
      <c r="N554" s="331"/>
      <c r="O554" s="331"/>
      <c r="P554" s="331"/>
      <c r="Q554" s="331"/>
    </row>
    <row r="555" spans="1:17" ht="19.5" customHeight="1" x14ac:dyDescent="0.25">
      <c r="A555" s="331"/>
      <c r="B555" s="331"/>
      <c r="C555" s="331"/>
      <c r="D555" s="333"/>
      <c r="E555" s="333"/>
      <c r="F555" s="333"/>
      <c r="G555" s="331"/>
      <c r="H555" s="331"/>
      <c r="I555" s="331"/>
      <c r="J555" s="331"/>
      <c r="K555" s="331"/>
      <c r="L555" s="331"/>
      <c r="M555" s="331"/>
      <c r="N555" s="331"/>
      <c r="O555" s="331"/>
      <c r="P555" s="331"/>
      <c r="Q555" s="331"/>
    </row>
    <row r="556" spans="1:17" ht="19.5" customHeight="1" x14ac:dyDescent="0.25">
      <c r="A556" s="331"/>
      <c r="B556" s="331"/>
      <c r="C556" s="331"/>
      <c r="D556" s="333"/>
      <c r="E556" s="333"/>
      <c r="F556" s="333"/>
      <c r="G556" s="331"/>
      <c r="H556" s="331"/>
      <c r="I556" s="331"/>
      <c r="J556" s="331"/>
      <c r="K556" s="331"/>
      <c r="L556" s="331"/>
      <c r="M556" s="331"/>
      <c r="N556" s="331"/>
      <c r="O556" s="331"/>
      <c r="P556" s="331"/>
      <c r="Q556" s="331"/>
    </row>
    <row r="557" spans="1:17" ht="19.5" customHeight="1" x14ac:dyDescent="0.25">
      <c r="A557" s="331"/>
      <c r="B557" s="331"/>
      <c r="C557" s="331"/>
      <c r="D557" s="333"/>
      <c r="E557" s="333"/>
      <c r="F557" s="333"/>
      <c r="G557" s="331"/>
      <c r="H557" s="331"/>
      <c r="I557" s="331"/>
      <c r="J557" s="331"/>
      <c r="K557" s="331"/>
      <c r="L557" s="331"/>
      <c r="M557" s="331"/>
      <c r="N557" s="331"/>
      <c r="O557" s="331"/>
      <c r="P557" s="331"/>
      <c r="Q557" s="331"/>
    </row>
    <row r="558" spans="1:17" ht="19.5" customHeight="1" x14ac:dyDescent="0.25">
      <c r="A558" s="331"/>
      <c r="B558" s="331"/>
      <c r="C558" s="331"/>
      <c r="D558" s="333"/>
      <c r="E558" s="333"/>
      <c r="F558" s="333"/>
      <c r="G558" s="331"/>
      <c r="H558" s="331"/>
      <c r="I558" s="331"/>
      <c r="J558" s="331"/>
      <c r="K558" s="331"/>
      <c r="L558" s="331"/>
      <c r="M558" s="331"/>
      <c r="N558" s="331"/>
      <c r="O558" s="331"/>
      <c r="P558" s="331"/>
      <c r="Q558" s="331"/>
    </row>
    <row r="559" spans="1:17" ht="19.5" customHeight="1" x14ac:dyDescent="0.25">
      <c r="A559" s="331"/>
      <c r="B559" s="331"/>
      <c r="C559" s="331"/>
      <c r="D559" s="333"/>
      <c r="E559" s="333"/>
      <c r="F559" s="333"/>
      <c r="G559" s="331"/>
      <c r="H559" s="331"/>
      <c r="I559" s="331"/>
      <c r="J559" s="331"/>
      <c r="K559" s="331"/>
      <c r="L559" s="331"/>
      <c r="M559" s="331"/>
      <c r="N559" s="331"/>
      <c r="O559" s="331"/>
      <c r="P559" s="331"/>
      <c r="Q559" s="331"/>
    </row>
    <row r="560" spans="1:17" ht="19.5" customHeight="1" x14ac:dyDescent="0.25">
      <c r="A560" s="331"/>
      <c r="B560" s="331"/>
      <c r="C560" s="331"/>
      <c r="D560" s="333"/>
      <c r="E560" s="333"/>
      <c r="F560" s="333"/>
      <c r="G560" s="331"/>
      <c r="H560" s="331"/>
      <c r="I560" s="331"/>
      <c r="J560" s="331"/>
      <c r="K560" s="331"/>
      <c r="L560" s="331"/>
      <c r="M560" s="331"/>
      <c r="N560" s="331"/>
      <c r="O560" s="331"/>
      <c r="P560" s="331"/>
      <c r="Q560" s="331"/>
    </row>
    <row r="561" spans="1:17" ht="19.5" customHeight="1" x14ac:dyDescent="0.25">
      <c r="A561" s="331"/>
      <c r="B561" s="331"/>
      <c r="C561" s="331"/>
      <c r="D561" s="333"/>
      <c r="E561" s="333"/>
      <c r="F561" s="333"/>
      <c r="G561" s="331"/>
      <c r="H561" s="331"/>
      <c r="I561" s="331"/>
      <c r="J561" s="331"/>
      <c r="K561" s="331"/>
      <c r="L561" s="331"/>
      <c r="M561" s="331"/>
      <c r="N561" s="331"/>
      <c r="O561" s="331"/>
      <c r="P561" s="331"/>
      <c r="Q561" s="331"/>
    </row>
    <row r="562" spans="1:17" ht="19.5" customHeight="1" x14ac:dyDescent="0.25">
      <c r="A562" s="331"/>
      <c r="B562" s="331"/>
      <c r="C562" s="331"/>
      <c r="D562" s="333"/>
      <c r="E562" s="333"/>
      <c r="F562" s="333"/>
      <c r="G562" s="331"/>
      <c r="H562" s="331"/>
      <c r="I562" s="331"/>
      <c r="J562" s="331"/>
      <c r="K562" s="331"/>
      <c r="L562" s="331"/>
      <c r="M562" s="331"/>
      <c r="N562" s="331"/>
      <c r="O562" s="331"/>
      <c r="P562" s="331"/>
      <c r="Q562" s="331"/>
    </row>
    <row r="563" spans="1:17" ht="19.5" customHeight="1" x14ac:dyDescent="0.25">
      <c r="A563" s="331"/>
      <c r="B563" s="331"/>
      <c r="C563" s="331"/>
      <c r="D563" s="333"/>
      <c r="E563" s="333"/>
      <c r="F563" s="333"/>
      <c r="G563" s="331"/>
      <c r="H563" s="331"/>
      <c r="I563" s="331"/>
      <c r="J563" s="331"/>
      <c r="K563" s="331"/>
      <c r="L563" s="331"/>
      <c r="M563" s="331"/>
      <c r="N563" s="331"/>
      <c r="O563" s="331"/>
      <c r="P563" s="331"/>
      <c r="Q563" s="331"/>
    </row>
    <row r="564" spans="1:17" ht="19.5" customHeight="1" x14ac:dyDescent="0.25">
      <c r="A564" s="331"/>
      <c r="B564" s="331"/>
      <c r="C564" s="331"/>
      <c r="D564" s="333"/>
      <c r="E564" s="333"/>
      <c r="F564" s="333"/>
      <c r="G564" s="331"/>
      <c r="H564" s="331"/>
      <c r="I564" s="331"/>
      <c r="J564" s="331"/>
      <c r="K564" s="331"/>
      <c r="L564" s="331"/>
      <c r="M564" s="331"/>
      <c r="N564" s="331"/>
      <c r="O564" s="331"/>
      <c r="P564" s="331"/>
      <c r="Q564" s="331"/>
    </row>
    <row r="565" spans="1:17" ht="19.5" customHeight="1" x14ac:dyDescent="0.25">
      <c r="A565" s="331"/>
      <c r="B565" s="331"/>
      <c r="C565" s="331"/>
      <c r="D565" s="333"/>
      <c r="E565" s="333"/>
      <c r="F565" s="333"/>
      <c r="G565" s="331"/>
      <c r="H565" s="331"/>
      <c r="I565" s="331"/>
      <c r="J565" s="331"/>
      <c r="K565" s="331"/>
      <c r="L565" s="331"/>
      <c r="M565" s="331"/>
      <c r="N565" s="331"/>
      <c r="O565" s="331"/>
      <c r="P565" s="331"/>
      <c r="Q565" s="331"/>
    </row>
    <row r="566" spans="1:17" ht="19.5" customHeight="1" x14ac:dyDescent="0.25">
      <c r="A566" s="331"/>
      <c r="B566" s="331"/>
      <c r="C566" s="331"/>
      <c r="D566" s="333"/>
      <c r="E566" s="333"/>
      <c r="F566" s="333"/>
      <c r="G566" s="331"/>
      <c r="H566" s="331"/>
      <c r="I566" s="331"/>
      <c r="J566" s="331"/>
      <c r="K566" s="331"/>
      <c r="L566" s="331"/>
      <c r="M566" s="331"/>
      <c r="N566" s="331"/>
      <c r="O566" s="331"/>
      <c r="P566" s="331"/>
      <c r="Q566" s="331"/>
    </row>
    <row r="567" spans="1:17" ht="19.5" customHeight="1" x14ac:dyDescent="0.25">
      <c r="A567" s="331"/>
      <c r="B567" s="331"/>
      <c r="C567" s="331"/>
      <c r="D567" s="333"/>
      <c r="E567" s="333"/>
      <c r="F567" s="333"/>
      <c r="G567" s="331"/>
      <c r="H567" s="331"/>
      <c r="I567" s="331"/>
      <c r="J567" s="331"/>
      <c r="K567" s="331"/>
      <c r="L567" s="331"/>
      <c r="M567" s="331"/>
      <c r="N567" s="331"/>
      <c r="O567" s="331"/>
      <c r="P567" s="331"/>
      <c r="Q567" s="331"/>
    </row>
    <row r="568" spans="1:17" ht="19.5" customHeight="1" x14ac:dyDescent="0.25">
      <c r="A568" s="331"/>
      <c r="B568" s="331"/>
      <c r="C568" s="331"/>
      <c r="D568" s="333"/>
      <c r="E568" s="333"/>
      <c r="F568" s="333"/>
      <c r="G568" s="331"/>
      <c r="H568" s="331"/>
      <c r="I568" s="331"/>
      <c r="J568" s="331"/>
      <c r="K568" s="331"/>
      <c r="L568" s="331"/>
      <c r="M568" s="331"/>
      <c r="N568" s="331"/>
      <c r="O568" s="331"/>
      <c r="P568" s="331"/>
      <c r="Q568" s="331"/>
    </row>
    <row r="569" spans="1:17" ht="19.5" customHeight="1" x14ac:dyDescent="0.25">
      <c r="A569" s="331"/>
      <c r="B569" s="331"/>
      <c r="C569" s="331"/>
      <c r="D569" s="333"/>
      <c r="E569" s="333"/>
      <c r="F569" s="333"/>
      <c r="G569" s="331"/>
      <c r="H569" s="331"/>
      <c r="I569" s="331"/>
      <c r="J569" s="331"/>
      <c r="K569" s="331"/>
      <c r="L569" s="331"/>
      <c r="M569" s="331"/>
      <c r="N569" s="331"/>
      <c r="O569" s="331"/>
      <c r="P569" s="331"/>
      <c r="Q569" s="331"/>
    </row>
    <row r="570" spans="1:17" ht="19.5" customHeight="1" x14ac:dyDescent="0.25">
      <c r="A570" s="331"/>
      <c r="B570" s="331"/>
      <c r="C570" s="331"/>
      <c r="D570" s="333"/>
      <c r="E570" s="333"/>
      <c r="F570" s="333"/>
      <c r="G570" s="331"/>
      <c r="H570" s="331"/>
      <c r="I570" s="331"/>
      <c r="J570" s="331"/>
      <c r="K570" s="331"/>
      <c r="L570" s="331"/>
      <c r="M570" s="331"/>
      <c r="N570" s="331"/>
      <c r="O570" s="331"/>
      <c r="P570" s="331"/>
      <c r="Q570" s="331"/>
    </row>
    <row r="571" spans="1:17" ht="19.5" customHeight="1" x14ac:dyDescent="0.25">
      <c r="A571" s="331"/>
      <c r="B571" s="331"/>
      <c r="C571" s="331"/>
      <c r="D571" s="333"/>
      <c r="E571" s="333"/>
      <c r="F571" s="333"/>
      <c r="G571" s="331"/>
      <c r="H571" s="331"/>
      <c r="I571" s="331"/>
      <c r="J571" s="331"/>
      <c r="K571" s="331"/>
      <c r="L571" s="331"/>
      <c r="M571" s="331"/>
      <c r="N571" s="331"/>
      <c r="O571" s="331"/>
      <c r="P571" s="331"/>
      <c r="Q571" s="331"/>
    </row>
    <row r="572" spans="1:17" ht="19.5" customHeight="1" x14ac:dyDescent="0.25">
      <c r="A572" s="331"/>
      <c r="B572" s="331"/>
      <c r="C572" s="331"/>
      <c r="D572" s="333"/>
      <c r="E572" s="333"/>
      <c r="F572" s="333"/>
      <c r="G572" s="331"/>
      <c r="H572" s="331"/>
      <c r="I572" s="331"/>
      <c r="J572" s="331"/>
      <c r="K572" s="331"/>
      <c r="L572" s="331"/>
      <c r="M572" s="331"/>
      <c r="N572" s="331"/>
      <c r="O572" s="331"/>
      <c r="P572" s="331"/>
      <c r="Q572" s="331"/>
    </row>
    <row r="573" spans="1:17" ht="19.5" customHeight="1" x14ac:dyDescent="0.25">
      <c r="A573" s="331"/>
      <c r="B573" s="331"/>
      <c r="C573" s="331"/>
      <c r="D573" s="333"/>
      <c r="E573" s="333"/>
      <c r="F573" s="333"/>
      <c r="G573" s="331"/>
      <c r="H573" s="331"/>
      <c r="I573" s="331"/>
      <c r="J573" s="331"/>
      <c r="K573" s="331"/>
      <c r="L573" s="331"/>
      <c r="M573" s="331"/>
      <c r="N573" s="331"/>
      <c r="O573" s="331"/>
      <c r="P573" s="331"/>
      <c r="Q573" s="331"/>
    </row>
    <row r="574" spans="1:17" ht="19.5" customHeight="1" x14ac:dyDescent="0.25">
      <c r="A574" s="331"/>
      <c r="B574" s="331"/>
      <c r="C574" s="331"/>
      <c r="D574" s="333"/>
      <c r="E574" s="333"/>
      <c r="F574" s="333"/>
      <c r="G574" s="331"/>
      <c r="H574" s="331"/>
      <c r="I574" s="331"/>
      <c r="J574" s="331"/>
      <c r="K574" s="331"/>
      <c r="L574" s="331"/>
      <c r="M574" s="331"/>
      <c r="N574" s="331"/>
      <c r="O574" s="331"/>
      <c r="P574" s="331"/>
      <c r="Q574" s="331"/>
    </row>
    <row r="575" spans="1:17" ht="19.5" customHeight="1" x14ac:dyDescent="0.25">
      <c r="A575" s="331"/>
      <c r="B575" s="331"/>
      <c r="C575" s="331"/>
      <c r="D575" s="333"/>
      <c r="E575" s="333"/>
      <c r="F575" s="333"/>
      <c r="G575" s="331"/>
      <c r="H575" s="331"/>
      <c r="I575" s="331"/>
      <c r="J575" s="331"/>
      <c r="K575" s="331"/>
      <c r="L575" s="331"/>
      <c r="M575" s="331"/>
      <c r="N575" s="331"/>
      <c r="O575" s="331"/>
      <c r="P575" s="331"/>
      <c r="Q575" s="331"/>
    </row>
    <row r="576" spans="1:17" ht="19.5" customHeight="1" x14ac:dyDescent="0.25">
      <c r="A576" s="331"/>
      <c r="B576" s="331"/>
      <c r="C576" s="331"/>
      <c r="D576" s="333"/>
      <c r="E576" s="333"/>
      <c r="F576" s="333"/>
      <c r="G576" s="331"/>
      <c r="H576" s="331"/>
      <c r="I576" s="331"/>
      <c r="J576" s="331"/>
      <c r="K576" s="331"/>
      <c r="L576" s="331"/>
      <c r="M576" s="331"/>
      <c r="N576" s="331"/>
      <c r="O576" s="331"/>
      <c r="P576" s="331"/>
      <c r="Q576" s="331"/>
    </row>
    <row r="577" spans="1:17" ht="19.5" customHeight="1" x14ac:dyDescent="0.25">
      <c r="A577" s="331"/>
      <c r="B577" s="331"/>
      <c r="C577" s="331"/>
      <c r="D577" s="333"/>
      <c r="E577" s="333"/>
      <c r="F577" s="333"/>
      <c r="G577" s="331"/>
      <c r="H577" s="331"/>
      <c r="I577" s="331"/>
      <c r="J577" s="331"/>
      <c r="K577" s="331"/>
      <c r="L577" s="331"/>
      <c r="M577" s="331"/>
      <c r="N577" s="331"/>
      <c r="O577" s="331"/>
      <c r="P577" s="331"/>
      <c r="Q577" s="331"/>
    </row>
    <row r="578" spans="1:17" ht="19.5" customHeight="1" x14ac:dyDescent="0.25">
      <c r="A578" s="331"/>
      <c r="B578" s="331"/>
      <c r="C578" s="331"/>
      <c r="D578" s="333"/>
      <c r="E578" s="333"/>
      <c r="F578" s="333"/>
      <c r="G578" s="331"/>
      <c r="H578" s="331"/>
      <c r="I578" s="331"/>
      <c r="J578" s="331"/>
      <c r="K578" s="331"/>
      <c r="L578" s="331"/>
      <c r="M578" s="331"/>
      <c r="N578" s="331"/>
      <c r="O578" s="331"/>
      <c r="P578" s="331"/>
      <c r="Q578" s="331"/>
    </row>
    <row r="579" spans="1:17" ht="19.5" customHeight="1" x14ac:dyDescent="0.25">
      <c r="A579" s="331"/>
      <c r="B579" s="331"/>
      <c r="C579" s="331"/>
      <c r="D579" s="333"/>
      <c r="E579" s="333"/>
      <c r="F579" s="333"/>
      <c r="G579" s="331"/>
      <c r="H579" s="331"/>
      <c r="I579" s="331"/>
      <c r="J579" s="331"/>
      <c r="K579" s="331"/>
      <c r="L579" s="331"/>
      <c r="M579" s="331"/>
      <c r="N579" s="331"/>
      <c r="O579" s="331"/>
      <c r="P579" s="331"/>
      <c r="Q579" s="331"/>
    </row>
    <row r="580" spans="1:17" ht="19.5" customHeight="1" x14ac:dyDescent="0.25">
      <c r="A580" s="331"/>
      <c r="B580" s="331"/>
      <c r="C580" s="331"/>
      <c r="D580" s="333"/>
      <c r="E580" s="333"/>
      <c r="F580" s="333"/>
      <c r="G580" s="331"/>
      <c r="H580" s="331"/>
      <c r="I580" s="331"/>
      <c r="J580" s="331"/>
      <c r="K580" s="331"/>
      <c r="L580" s="331"/>
      <c r="M580" s="331"/>
      <c r="N580" s="331"/>
      <c r="O580" s="331"/>
      <c r="P580" s="331"/>
      <c r="Q580" s="331"/>
    </row>
    <row r="581" spans="1:17" ht="19.5" customHeight="1" x14ac:dyDescent="0.25">
      <c r="A581" s="331"/>
      <c r="B581" s="331"/>
      <c r="C581" s="331"/>
      <c r="D581" s="333"/>
      <c r="E581" s="333"/>
      <c r="F581" s="333"/>
      <c r="G581" s="331"/>
      <c r="H581" s="331"/>
      <c r="I581" s="331"/>
      <c r="J581" s="331"/>
      <c r="K581" s="331"/>
      <c r="L581" s="331"/>
      <c r="M581" s="331"/>
      <c r="N581" s="331"/>
      <c r="O581" s="331"/>
      <c r="P581" s="331"/>
      <c r="Q581" s="331"/>
    </row>
    <row r="582" spans="1:17" ht="19.5" customHeight="1" x14ac:dyDescent="0.25">
      <c r="A582" s="331"/>
      <c r="B582" s="331"/>
      <c r="C582" s="331"/>
      <c r="D582" s="333"/>
      <c r="E582" s="333"/>
      <c r="F582" s="333"/>
      <c r="G582" s="331"/>
      <c r="H582" s="331"/>
      <c r="I582" s="331"/>
      <c r="J582" s="331"/>
      <c r="K582" s="331"/>
      <c r="L582" s="331"/>
      <c r="M582" s="331"/>
      <c r="N582" s="331"/>
      <c r="O582" s="331"/>
      <c r="P582" s="331"/>
      <c r="Q582" s="331"/>
    </row>
    <row r="583" spans="1:17" ht="19.5" customHeight="1" x14ac:dyDescent="0.25">
      <c r="A583" s="331"/>
      <c r="B583" s="331"/>
      <c r="C583" s="331"/>
      <c r="D583" s="333"/>
      <c r="E583" s="333"/>
      <c r="F583" s="333"/>
      <c r="G583" s="331"/>
      <c r="H583" s="331"/>
      <c r="I583" s="331"/>
      <c r="J583" s="331"/>
      <c r="K583" s="331"/>
      <c r="L583" s="331"/>
      <c r="M583" s="331"/>
      <c r="N583" s="331"/>
      <c r="O583" s="331"/>
      <c r="P583" s="331"/>
      <c r="Q583" s="331"/>
    </row>
    <row r="584" spans="1:17" ht="19.5" customHeight="1" x14ac:dyDescent="0.25">
      <c r="A584" s="331"/>
      <c r="B584" s="331"/>
      <c r="C584" s="331"/>
      <c r="D584" s="333"/>
      <c r="E584" s="333"/>
      <c r="F584" s="333"/>
      <c r="G584" s="331"/>
      <c r="H584" s="331"/>
      <c r="I584" s="331"/>
      <c r="J584" s="331"/>
      <c r="K584" s="331"/>
      <c r="L584" s="331"/>
      <c r="M584" s="331"/>
      <c r="N584" s="331"/>
      <c r="O584" s="331"/>
      <c r="P584" s="331"/>
      <c r="Q584" s="331"/>
    </row>
    <row r="585" spans="1:17" ht="19.5" customHeight="1" x14ac:dyDescent="0.25">
      <c r="A585" s="331"/>
      <c r="B585" s="331"/>
      <c r="C585" s="331"/>
      <c r="D585" s="333"/>
      <c r="E585" s="333"/>
      <c r="F585" s="333"/>
      <c r="G585" s="331"/>
      <c r="H585" s="331"/>
      <c r="I585" s="331"/>
      <c r="J585" s="331"/>
      <c r="K585" s="331"/>
      <c r="L585" s="331"/>
      <c r="M585" s="331"/>
      <c r="N585" s="331"/>
      <c r="O585" s="331"/>
      <c r="P585" s="331"/>
      <c r="Q585" s="331"/>
    </row>
    <row r="586" spans="1:17" ht="19.5" customHeight="1" x14ac:dyDescent="0.25">
      <c r="A586" s="331"/>
      <c r="B586" s="331"/>
      <c r="C586" s="331"/>
      <c r="D586" s="333"/>
      <c r="E586" s="333"/>
      <c r="F586" s="333"/>
      <c r="G586" s="331"/>
      <c r="H586" s="331"/>
      <c r="I586" s="331"/>
      <c r="J586" s="331"/>
      <c r="K586" s="331"/>
      <c r="L586" s="331"/>
      <c r="M586" s="331"/>
      <c r="N586" s="331"/>
      <c r="O586" s="331"/>
      <c r="P586" s="331"/>
      <c r="Q586" s="331"/>
    </row>
    <row r="587" spans="1:17" ht="19.5" customHeight="1" x14ac:dyDescent="0.25">
      <c r="A587" s="331"/>
      <c r="B587" s="331"/>
      <c r="C587" s="331"/>
      <c r="D587" s="333"/>
      <c r="E587" s="333"/>
      <c r="F587" s="333"/>
      <c r="G587" s="331"/>
      <c r="H587" s="331"/>
      <c r="I587" s="331"/>
      <c r="J587" s="331"/>
      <c r="K587" s="331"/>
      <c r="L587" s="331"/>
      <c r="M587" s="331"/>
      <c r="N587" s="331"/>
      <c r="O587" s="331"/>
      <c r="P587" s="331"/>
      <c r="Q587" s="331"/>
    </row>
    <row r="588" spans="1:17" ht="19.5" customHeight="1" x14ac:dyDescent="0.25">
      <c r="A588" s="331"/>
      <c r="B588" s="331"/>
      <c r="C588" s="331"/>
      <c r="D588" s="333"/>
      <c r="E588" s="333"/>
      <c r="F588" s="333"/>
      <c r="G588" s="331"/>
      <c r="H588" s="331"/>
      <c r="I588" s="331"/>
      <c r="J588" s="331"/>
      <c r="K588" s="331"/>
      <c r="L588" s="331"/>
      <c r="M588" s="331"/>
      <c r="N588" s="331"/>
      <c r="O588" s="331"/>
      <c r="P588" s="331"/>
      <c r="Q588" s="331"/>
    </row>
    <row r="589" spans="1:17" ht="19.5" customHeight="1" x14ac:dyDescent="0.25">
      <c r="A589" s="331"/>
      <c r="B589" s="331"/>
      <c r="C589" s="331"/>
      <c r="D589" s="333"/>
      <c r="E589" s="333"/>
      <c r="F589" s="333"/>
      <c r="G589" s="331"/>
      <c r="H589" s="331"/>
      <c r="I589" s="331"/>
      <c r="J589" s="331"/>
      <c r="K589" s="331"/>
      <c r="L589" s="331"/>
      <c r="M589" s="331"/>
      <c r="N589" s="331"/>
      <c r="O589" s="331"/>
      <c r="P589" s="331"/>
      <c r="Q589" s="331"/>
    </row>
    <row r="590" spans="1:17" ht="19.5" customHeight="1" x14ac:dyDescent="0.25">
      <c r="A590" s="331"/>
      <c r="B590" s="331"/>
      <c r="C590" s="331"/>
      <c r="D590" s="333"/>
      <c r="E590" s="333"/>
      <c r="F590" s="333"/>
      <c r="G590" s="331"/>
      <c r="H590" s="331"/>
      <c r="I590" s="331"/>
      <c r="J590" s="331"/>
      <c r="K590" s="331"/>
      <c r="L590" s="331"/>
      <c r="M590" s="331"/>
      <c r="N590" s="331"/>
      <c r="O590" s="331"/>
      <c r="P590" s="331"/>
      <c r="Q590" s="331"/>
    </row>
    <row r="591" spans="1:17" ht="19.5" customHeight="1" x14ac:dyDescent="0.25">
      <c r="A591" s="331"/>
      <c r="B591" s="331"/>
      <c r="C591" s="331"/>
      <c r="D591" s="333"/>
      <c r="E591" s="333"/>
      <c r="F591" s="333"/>
      <c r="G591" s="331"/>
      <c r="H591" s="331"/>
      <c r="I591" s="331"/>
      <c r="J591" s="331"/>
      <c r="K591" s="331"/>
      <c r="L591" s="331"/>
      <c r="M591" s="331"/>
      <c r="N591" s="331"/>
      <c r="O591" s="331"/>
      <c r="P591" s="331"/>
      <c r="Q591" s="331"/>
    </row>
    <row r="592" spans="1:17" ht="19.5" customHeight="1" x14ac:dyDescent="0.25">
      <c r="A592" s="331"/>
      <c r="B592" s="331"/>
      <c r="C592" s="331"/>
      <c r="D592" s="333"/>
      <c r="E592" s="333"/>
      <c r="F592" s="333"/>
      <c r="G592" s="331"/>
      <c r="H592" s="331"/>
      <c r="I592" s="331"/>
      <c r="J592" s="331"/>
      <c r="K592" s="331"/>
      <c r="L592" s="331"/>
      <c r="M592" s="331"/>
      <c r="N592" s="331"/>
      <c r="O592" s="331"/>
      <c r="P592" s="331"/>
      <c r="Q592" s="331"/>
    </row>
    <row r="593" spans="1:17" ht="19.5" customHeight="1" x14ac:dyDescent="0.25">
      <c r="A593" s="331"/>
      <c r="B593" s="331"/>
      <c r="C593" s="331"/>
      <c r="D593" s="333"/>
      <c r="E593" s="333"/>
      <c r="F593" s="333"/>
      <c r="G593" s="331"/>
      <c r="H593" s="331"/>
      <c r="I593" s="331"/>
      <c r="J593" s="331"/>
      <c r="K593" s="331"/>
      <c r="L593" s="331"/>
      <c r="M593" s="331"/>
      <c r="N593" s="331"/>
      <c r="O593" s="331"/>
      <c r="P593" s="331"/>
      <c r="Q593" s="331"/>
    </row>
    <row r="594" spans="1:17" ht="19.5" customHeight="1" x14ac:dyDescent="0.25">
      <c r="A594" s="331"/>
      <c r="B594" s="331"/>
      <c r="C594" s="331"/>
      <c r="D594" s="333"/>
      <c r="E594" s="333"/>
      <c r="F594" s="333"/>
      <c r="G594" s="331"/>
      <c r="H594" s="331"/>
      <c r="I594" s="331"/>
      <c r="J594" s="331"/>
      <c r="K594" s="331"/>
      <c r="L594" s="331"/>
      <c r="M594" s="331"/>
      <c r="N594" s="331"/>
      <c r="O594" s="331"/>
      <c r="P594" s="331"/>
      <c r="Q594" s="331"/>
    </row>
    <row r="595" spans="1:17" ht="19.5" customHeight="1" x14ac:dyDescent="0.25">
      <c r="A595" s="331"/>
      <c r="B595" s="331"/>
      <c r="C595" s="331"/>
      <c r="D595" s="333"/>
      <c r="E595" s="333"/>
      <c r="F595" s="333"/>
      <c r="G595" s="331"/>
      <c r="H595" s="331"/>
      <c r="I595" s="331"/>
      <c r="J595" s="331"/>
      <c r="K595" s="331"/>
      <c r="L595" s="331"/>
      <c r="M595" s="331"/>
      <c r="N595" s="331"/>
      <c r="O595" s="331"/>
      <c r="P595" s="331"/>
      <c r="Q595" s="331"/>
    </row>
    <row r="596" spans="1:17" ht="19.5" customHeight="1" x14ac:dyDescent="0.25">
      <c r="A596" s="331"/>
      <c r="B596" s="331"/>
      <c r="C596" s="331"/>
      <c r="D596" s="333"/>
      <c r="E596" s="333"/>
      <c r="F596" s="333"/>
      <c r="G596" s="331"/>
      <c r="H596" s="331"/>
      <c r="I596" s="331"/>
      <c r="J596" s="331"/>
      <c r="K596" s="331"/>
      <c r="L596" s="331"/>
      <c r="M596" s="331"/>
      <c r="N596" s="331"/>
      <c r="O596" s="331"/>
      <c r="P596" s="331"/>
      <c r="Q596" s="331"/>
    </row>
    <row r="597" spans="1:17" ht="19.5" customHeight="1" x14ac:dyDescent="0.25">
      <c r="A597" s="331"/>
      <c r="B597" s="331"/>
      <c r="C597" s="331"/>
      <c r="D597" s="333"/>
      <c r="E597" s="333"/>
      <c r="F597" s="333"/>
      <c r="G597" s="331"/>
      <c r="H597" s="331"/>
      <c r="I597" s="331"/>
      <c r="J597" s="331"/>
      <c r="K597" s="331"/>
      <c r="L597" s="331"/>
      <c r="M597" s="331"/>
      <c r="N597" s="331"/>
      <c r="O597" s="331"/>
      <c r="P597" s="331"/>
      <c r="Q597" s="331"/>
    </row>
    <row r="598" spans="1:17" ht="19.5" customHeight="1" x14ac:dyDescent="0.25">
      <c r="A598" s="331"/>
      <c r="B598" s="331"/>
      <c r="C598" s="331"/>
      <c r="D598" s="333"/>
      <c r="E598" s="333"/>
      <c r="F598" s="333"/>
      <c r="G598" s="331"/>
      <c r="H598" s="331"/>
      <c r="I598" s="331"/>
      <c r="J598" s="331"/>
      <c r="K598" s="331"/>
      <c r="L598" s="331"/>
      <c r="M598" s="331"/>
      <c r="N598" s="331"/>
      <c r="O598" s="331"/>
      <c r="P598" s="331"/>
      <c r="Q598" s="331"/>
    </row>
    <row r="599" spans="1:17" ht="19.5" customHeight="1" x14ac:dyDescent="0.25">
      <c r="A599" s="331"/>
      <c r="B599" s="331"/>
      <c r="C599" s="331"/>
      <c r="D599" s="333"/>
      <c r="E599" s="333"/>
      <c r="F599" s="333"/>
      <c r="G599" s="331"/>
      <c r="H599" s="331"/>
      <c r="I599" s="331"/>
      <c r="J599" s="331"/>
      <c r="K599" s="331"/>
      <c r="L599" s="331"/>
      <c r="M599" s="331"/>
      <c r="N599" s="331"/>
      <c r="O599" s="331"/>
      <c r="P599" s="331"/>
      <c r="Q599" s="331"/>
    </row>
    <row r="600" spans="1:17" ht="19.5" customHeight="1" x14ac:dyDescent="0.25">
      <c r="A600" s="331"/>
      <c r="B600" s="331"/>
      <c r="C600" s="331"/>
      <c r="D600" s="333"/>
      <c r="E600" s="333"/>
      <c r="F600" s="333"/>
      <c r="G600" s="331"/>
      <c r="H600" s="331"/>
      <c r="I600" s="331"/>
      <c r="J600" s="331"/>
      <c r="K600" s="331"/>
      <c r="L600" s="331"/>
      <c r="M600" s="331"/>
      <c r="N600" s="331"/>
      <c r="O600" s="331"/>
      <c r="P600" s="331"/>
      <c r="Q600" s="331"/>
    </row>
    <row r="601" spans="1:17" ht="19.5" customHeight="1" x14ac:dyDescent="0.25">
      <c r="A601" s="331"/>
      <c r="B601" s="331"/>
      <c r="C601" s="331"/>
      <c r="D601" s="333"/>
      <c r="E601" s="333"/>
      <c r="F601" s="333"/>
      <c r="G601" s="331"/>
      <c r="H601" s="331"/>
      <c r="I601" s="331"/>
      <c r="J601" s="331"/>
      <c r="K601" s="331"/>
      <c r="L601" s="331"/>
      <c r="M601" s="331"/>
      <c r="N601" s="331"/>
      <c r="O601" s="331"/>
      <c r="P601" s="331"/>
      <c r="Q601" s="331"/>
    </row>
    <row r="602" spans="1:17" ht="19.5" customHeight="1" x14ac:dyDescent="0.25">
      <c r="A602" s="331"/>
      <c r="B602" s="331"/>
      <c r="C602" s="331"/>
      <c r="D602" s="333"/>
      <c r="E602" s="333"/>
      <c r="F602" s="333"/>
      <c r="G602" s="331"/>
      <c r="H602" s="331"/>
      <c r="I602" s="331"/>
      <c r="J602" s="331"/>
      <c r="K602" s="331"/>
      <c r="L602" s="331"/>
      <c r="M602" s="331"/>
      <c r="N602" s="331"/>
      <c r="O602" s="331"/>
      <c r="P602" s="331"/>
      <c r="Q602" s="331"/>
    </row>
    <row r="603" spans="1:17" ht="19.5" customHeight="1" x14ac:dyDescent="0.25">
      <c r="A603" s="331"/>
      <c r="B603" s="331"/>
      <c r="C603" s="331"/>
      <c r="D603" s="333"/>
      <c r="E603" s="333"/>
      <c r="F603" s="333"/>
      <c r="G603" s="331"/>
      <c r="H603" s="331"/>
      <c r="I603" s="331"/>
      <c r="J603" s="331"/>
      <c r="K603" s="331"/>
      <c r="L603" s="331"/>
      <c r="M603" s="331"/>
      <c r="N603" s="331"/>
      <c r="O603" s="331"/>
      <c r="P603" s="331"/>
      <c r="Q603" s="331"/>
    </row>
    <row r="604" spans="1:17" ht="19.5" customHeight="1" x14ac:dyDescent="0.25">
      <c r="A604" s="331"/>
      <c r="B604" s="331"/>
      <c r="C604" s="331"/>
      <c r="D604" s="333"/>
      <c r="E604" s="333"/>
      <c r="F604" s="333"/>
      <c r="G604" s="331"/>
      <c r="H604" s="331"/>
      <c r="I604" s="331"/>
      <c r="J604" s="331"/>
      <c r="K604" s="331"/>
      <c r="L604" s="331"/>
      <c r="M604" s="331"/>
      <c r="N604" s="331"/>
      <c r="O604" s="331"/>
      <c r="P604" s="331"/>
      <c r="Q604" s="331"/>
    </row>
    <row r="605" spans="1:17" ht="19.5" customHeight="1" x14ac:dyDescent="0.25">
      <c r="A605" s="331"/>
      <c r="B605" s="331"/>
      <c r="C605" s="331"/>
      <c r="D605" s="333"/>
      <c r="E605" s="333"/>
      <c r="F605" s="333"/>
      <c r="G605" s="331"/>
      <c r="H605" s="331"/>
      <c r="I605" s="331"/>
      <c r="J605" s="331"/>
      <c r="K605" s="331"/>
      <c r="L605" s="331"/>
      <c r="M605" s="331"/>
      <c r="N605" s="331"/>
      <c r="O605" s="331"/>
      <c r="P605" s="331"/>
      <c r="Q605" s="331"/>
    </row>
    <row r="606" spans="1:17" ht="19.5" customHeight="1" x14ac:dyDescent="0.25">
      <c r="A606" s="331"/>
      <c r="B606" s="331"/>
      <c r="C606" s="331"/>
      <c r="D606" s="333"/>
      <c r="E606" s="333"/>
      <c r="F606" s="333"/>
      <c r="G606" s="331"/>
      <c r="H606" s="331"/>
      <c r="I606" s="331"/>
      <c r="J606" s="331"/>
      <c r="K606" s="331"/>
      <c r="L606" s="331"/>
      <c r="M606" s="331"/>
      <c r="N606" s="331"/>
      <c r="O606" s="331"/>
      <c r="P606" s="331"/>
      <c r="Q606" s="331"/>
    </row>
    <row r="607" spans="1:17" ht="19.5" customHeight="1" x14ac:dyDescent="0.25">
      <c r="A607" s="331"/>
      <c r="B607" s="331"/>
      <c r="C607" s="331"/>
      <c r="D607" s="333"/>
      <c r="E607" s="333"/>
      <c r="F607" s="333"/>
      <c r="G607" s="331"/>
      <c r="H607" s="331"/>
      <c r="I607" s="331"/>
      <c r="J607" s="331"/>
      <c r="K607" s="331"/>
      <c r="L607" s="331"/>
      <c r="M607" s="331"/>
      <c r="N607" s="331"/>
      <c r="O607" s="331"/>
      <c r="P607" s="331"/>
      <c r="Q607" s="331"/>
    </row>
    <row r="608" spans="1:17" ht="19.5" customHeight="1" x14ac:dyDescent="0.25">
      <c r="A608" s="331"/>
      <c r="B608" s="331"/>
      <c r="C608" s="331"/>
      <c r="D608" s="333"/>
      <c r="E608" s="333"/>
      <c r="F608" s="333"/>
      <c r="G608" s="331"/>
      <c r="H608" s="331"/>
      <c r="I608" s="331"/>
      <c r="J608" s="331"/>
      <c r="K608" s="331"/>
      <c r="L608" s="331"/>
      <c r="M608" s="331"/>
      <c r="N608" s="331"/>
      <c r="O608" s="331"/>
      <c r="P608" s="331"/>
      <c r="Q608" s="331"/>
    </row>
    <row r="609" spans="1:17" ht="19.5" customHeight="1" x14ac:dyDescent="0.25">
      <c r="A609" s="331"/>
      <c r="B609" s="331"/>
      <c r="C609" s="331"/>
      <c r="D609" s="333"/>
      <c r="E609" s="333"/>
      <c r="F609" s="333"/>
      <c r="G609" s="331"/>
      <c r="H609" s="331"/>
      <c r="I609" s="331"/>
      <c r="J609" s="331"/>
      <c r="K609" s="331"/>
      <c r="L609" s="331"/>
      <c r="M609" s="331"/>
      <c r="N609" s="331"/>
      <c r="O609" s="331"/>
      <c r="P609" s="331"/>
      <c r="Q609" s="331"/>
    </row>
    <row r="610" spans="1:17" ht="19.5" customHeight="1" x14ac:dyDescent="0.25">
      <c r="A610" s="331"/>
      <c r="B610" s="331"/>
      <c r="C610" s="331"/>
      <c r="D610" s="333"/>
      <c r="E610" s="333"/>
      <c r="F610" s="333"/>
      <c r="G610" s="331"/>
      <c r="H610" s="331"/>
      <c r="I610" s="331"/>
      <c r="J610" s="331"/>
      <c r="K610" s="331"/>
      <c r="L610" s="331"/>
      <c r="M610" s="331"/>
      <c r="N610" s="331"/>
      <c r="O610" s="331"/>
      <c r="P610" s="331"/>
      <c r="Q610" s="331"/>
    </row>
    <row r="611" spans="1:17" ht="19.5" customHeight="1" x14ac:dyDescent="0.25">
      <c r="A611" s="331"/>
      <c r="B611" s="331"/>
      <c r="C611" s="331"/>
      <c r="D611" s="333"/>
      <c r="E611" s="333"/>
      <c r="F611" s="333"/>
      <c r="G611" s="331"/>
      <c r="H611" s="331"/>
      <c r="I611" s="331"/>
      <c r="J611" s="331"/>
      <c r="K611" s="331"/>
      <c r="L611" s="331"/>
      <c r="M611" s="331"/>
      <c r="N611" s="331"/>
      <c r="O611" s="331"/>
      <c r="P611" s="331"/>
      <c r="Q611" s="331"/>
    </row>
    <row r="612" spans="1:17" ht="19.5" customHeight="1" x14ac:dyDescent="0.25">
      <c r="A612" s="331"/>
      <c r="B612" s="331"/>
      <c r="C612" s="331"/>
      <c r="D612" s="333"/>
      <c r="E612" s="333"/>
      <c r="F612" s="333"/>
      <c r="G612" s="331"/>
      <c r="H612" s="331"/>
      <c r="I612" s="331"/>
      <c r="J612" s="331"/>
      <c r="K612" s="331"/>
      <c r="L612" s="331"/>
      <c r="M612" s="331"/>
      <c r="N612" s="331"/>
      <c r="O612" s="331"/>
      <c r="P612" s="331"/>
      <c r="Q612" s="331"/>
    </row>
    <row r="613" spans="1:17" ht="19.5" customHeight="1" x14ac:dyDescent="0.25">
      <c r="A613" s="331"/>
      <c r="B613" s="331"/>
      <c r="C613" s="331"/>
      <c r="D613" s="333"/>
      <c r="E613" s="333"/>
      <c r="F613" s="333"/>
      <c r="G613" s="331"/>
      <c r="H613" s="331"/>
      <c r="I613" s="331"/>
      <c r="J613" s="331"/>
      <c r="K613" s="331"/>
      <c r="L613" s="331"/>
      <c r="M613" s="331"/>
      <c r="N613" s="331"/>
      <c r="O613" s="331"/>
      <c r="P613" s="331"/>
      <c r="Q613" s="331"/>
    </row>
    <row r="614" spans="1:17" ht="19.5" customHeight="1" x14ac:dyDescent="0.25">
      <c r="A614" s="331"/>
      <c r="B614" s="331"/>
      <c r="C614" s="331"/>
      <c r="D614" s="333"/>
      <c r="E614" s="333"/>
      <c r="F614" s="333"/>
      <c r="G614" s="331"/>
      <c r="H614" s="331"/>
      <c r="I614" s="331"/>
      <c r="J614" s="331"/>
      <c r="K614" s="331"/>
      <c r="L614" s="331"/>
      <c r="M614" s="331"/>
      <c r="N614" s="331"/>
      <c r="O614" s="331"/>
      <c r="P614" s="331"/>
      <c r="Q614" s="331"/>
    </row>
    <row r="615" spans="1:17" ht="19.5" customHeight="1" x14ac:dyDescent="0.25">
      <c r="A615" s="331"/>
      <c r="B615" s="331"/>
      <c r="C615" s="331"/>
      <c r="D615" s="333"/>
      <c r="E615" s="333"/>
      <c r="F615" s="333"/>
      <c r="G615" s="331"/>
      <c r="H615" s="331"/>
      <c r="I615" s="331"/>
      <c r="J615" s="331"/>
      <c r="K615" s="331"/>
      <c r="L615" s="331"/>
      <c r="M615" s="331"/>
      <c r="N615" s="331"/>
      <c r="O615" s="331"/>
      <c r="P615" s="331"/>
      <c r="Q615" s="331"/>
    </row>
    <row r="616" spans="1:17" ht="19.5" customHeight="1" x14ac:dyDescent="0.25">
      <c r="A616" s="331"/>
      <c r="B616" s="331"/>
      <c r="C616" s="331"/>
      <c r="D616" s="333"/>
      <c r="E616" s="333"/>
      <c r="F616" s="333"/>
      <c r="G616" s="331"/>
      <c r="H616" s="331"/>
      <c r="I616" s="331"/>
      <c r="J616" s="331"/>
      <c r="K616" s="331"/>
      <c r="L616" s="331"/>
      <c r="M616" s="331"/>
      <c r="N616" s="331"/>
      <c r="O616" s="331"/>
      <c r="P616" s="331"/>
      <c r="Q616" s="331"/>
    </row>
    <row r="617" spans="1:17" ht="19.5" customHeight="1" x14ac:dyDescent="0.25">
      <c r="A617" s="331"/>
      <c r="B617" s="331"/>
      <c r="C617" s="331"/>
      <c r="D617" s="333"/>
      <c r="E617" s="333"/>
      <c r="F617" s="333"/>
      <c r="G617" s="331"/>
      <c r="H617" s="331"/>
      <c r="I617" s="331"/>
      <c r="J617" s="331"/>
      <c r="K617" s="331"/>
      <c r="L617" s="331"/>
      <c r="M617" s="331"/>
      <c r="N617" s="331"/>
      <c r="O617" s="331"/>
      <c r="P617" s="331"/>
      <c r="Q617" s="331"/>
    </row>
    <row r="618" spans="1:17" ht="19.5" customHeight="1" x14ac:dyDescent="0.25">
      <c r="A618" s="331"/>
      <c r="B618" s="331"/>
      <c r="C618" s="331"/>
      <c r="D618" s="333"/>
      <c r="E618" s="333"/>
      <c r="F618" s="333"/>
      <c r="G618" s="331"/>
      <c r="H618" s="331"/>
      <c r="I618" s="331"/>
      <c r="J618" s="331"/>
      <c r="K618" s="331"/>
      <c r="L618" s="331"/>
      <c r="M618" s="331"/>
      <c r="N618" s="331"/>
      <c r="O618" s="331"/>
      <c r="P618" s="331"/>
      <c r="Q618" s="331"/>
    </row>
    <row r="619" spans="1:17" ht="19.5" customHeight="1" x14ac:dyDescent="0.25">
      <c r="A619" s="331"/>
      <c r="B619" s="331"/>
      <c r="C619" s="331"/>
      <c r="D619" s="333"/>
      <c r="E619" s="333"/>
      <c r="F619" s="333"/>
      <c r="G619" s="331"/>
      <c r="H619" s="331"/>
      <c r="I619" s="331"/>
      <c r="J619" s="331"/>
      <c r="K619" s="331"/>
      <c r="L619" s="331"/>
      <c r="M619" s="331"/>
      <c r="N619" s="331"/>
      <c r="O619" s="331"/>
      <c r="P619" s="331"/>
      <c r="Q619" s="331"/>
    </row>
    <row r="620" spans="1:17" ht="19.5" customHeight="1" x14ac:dyDescent="0.25">
      <c r="A620" s="331"/>
      <c r="B620" s="331"/>
      <c r="C620" s="331"/>
      <c r="D620" s="333"/>
      <c r="E620" s="333"/>
      <c r="F620" s="333"/>
      <c r="G620" s="331"/>
      <c r="H620" s="331"/>
      <c r="I620" s="331"/>
      <c r="J620" s="331"/>
      <c r="K620" s="331"/>
      <c r="L620" s="331"/>
      <c r="M620" s="331"/>
      <c r="N620" s="331"/>
      <c r="O620" s="331"/>
      <c r="P620" s="331"/>
      <c r="Q620" s="331"/>
    </row>
    <row r="621" spans="1:17" ht="19.5" customHeight="1" x14ac:dyDescent="0.25">
      <c r="A621" s="331"/>
      <c r="B621" s="331"/>
      <c r="C621" s="331"/>
      <c r="D621" s="333"/>
      <c r="E621" s="333"/>
      <c r="F621" s="333"/>
      <c r="G621" s="331"/>
      <c r="H621" s="331"/>
      <c r="I621" s="331"/>
      <c r="J621" s="331"/>
      <c r="K621" s="331"/>
      <c r="L621" s="331"/>
      <c r="M621" s="331"/>
      <c r="N621" s="331"/>
      <c r="O621" s="331"/>
      <c r="P621" s="331"/>
      <c r="Q621" s="331"/>
    </row>
    <row r="622" spans="1:17" ht="19.5" customHeight="1" x14ac:dyDescent="0.25">
      <c r="A622" s="331"/>
      <c r="B622" s="331"/>
      <c r="C622" s="331"/>
      <c r="D622" s="333"/>
      <c r="E622" s="333"/>
      <c r="F622" s="333"/>
      <c r="G622" s="331"/>
      <c r="H622" s="331"/>
      <c r="I622" s="331"/>
      <c r="J622" s="331"/>
      <c r="K622" s="331"/>
      <c r="L622" s="331"/>
      <c r="M622" s="331"/>
      <c r="N622" s="331"/>
      <c r="O622" s="331"/>
      <c r="P622" s="331"/>
      <c r="Q622" s="331"/>
    </row>
    <row r="623" spans="1:17" ht="19.5" customHeight="1" x14ac:dyDescent="0.25">
      <c r="A623" s="331"/>
      <c r="B623" s="331"/>
      <c r="C623" s="331"/>
      <c r="D623" s="333"/>
      <c r="E623" s="333"/>
      <c r="F623" s="333"/>
      <c r="G623" s="331"/>
      <c r="H623" s="331"/>
      <c r="I623" s="331"/>
      <c r="J623" s="331"/>
      <c r="K623" s="331"/>
      <c r="L623" s="331"/>
      <c r="M623" s="331"/>
      <c r="N623" s="331"/>
      <c r="O623" s="331"/>
      <c r="P623" s="331"/>
      <c r="Q623" s="331"/>
    </row>
    <row r="624" spans="1:17" ht="19.5" customHeight="1" x14ac:dyDescent="0.25">
      <c r="A624" s="331"/>
      <c r="B624" s="331"/>
      <c r="C624" s="331"/>
      <c r="D624" s="333"/>
      <c r="E624" s="333"/>
      <c r="F624" s="333"/>
      <c r="G624" s="331"/>
      <c r="H624" s="331"/>
      <c r="I624" s="331"/>
      <c r="J624" s="331"/>
      <c r="K624" s="331"/>
      <c r="L624" s="331"/>
      <c r="M624" s="331"/>
      <c r="N624" s="331"/>
      <c r="O624" s="331"/>
      <c r="P624" s="331"/>
      <c r="Q624" s="331"/>
    </row>
    <row r="625" spans="1:17" ht="19.5" customHeight="1" x14ac:dyDescent="0.25">
      <c r="A625" s="331"/>
      <c r="B625" s="331"/>
      <c r="C625" s="331"/>
      <c r="D625" s="333"/>
      <c r="E625" s="333"/>
      <c r="F625" s="333"/>
      <c r="G625" s="331"/>
      <c r="H625" s="331"/>
      <c r="I625" s="331"/>
      <c r="J625" s="331"/>
      <c r="K625" s="331"/>
      <c r="L625" s="331"/>
      <c r="M625" s="331"/>
      <c r="N625" s="331"/>
      <c r="O625" s="331"/>
      <c r="P625" s="331"/>
      <c r="Q625" s="331"/>
    </row>
    <row r="626" spans="1:17" ht="19.5" customHeight="1" x14ac:dyDescent="0.25">
      <c r="A626" s="331"/>
      <c r="B626" s="331"/>
      <c r="C626" s="331"/>
      <c r="D626" s="333"/>
      <c r="E626" s="333"/>
      <c r="F626" s="333"/>
      <c r="G626" s="331"/>
      <c r="H626" s="331"/>
      <c r="I626" s="331"/>
      <c r="J626" s="331"/>
      <c r="K626" s="331"/>
      <c r="L626" s="331"/>
      <c r="M626" s="331"/>
      <c r="N626" s="331"/>
      <c r="O626" s="331"/>
      <c r="P626" s="331"/>
      <c r="Q626" s="331"/>
    </row>
    <row r="627" spans="1:17" ht="19.5" customHeight="1" x14ac:dyDescent="0.25">
      <c r="A627" s="331"/>
      <c r="B627" s="331"/>
      <c r="C627" s="331"/>
      <c r="D627" s="333"/>
      <c r="E627" s="333"/>
      <c r="F627" s="333"/>
      <c r="G627" s="331"/>
      <c r="H627" s="331"/>
      <c r="I627" s="331"/>
      <c r="J627" s="331"/>
      <c r="K627" s="331"/>
      <c r="L627" s="331"/>
      <c r="M627" s="331"/>
      <c r="N627" s="331"/>
      <c r="O627" s="331"/>
      <c r="P627" s="331"/>
      <c r="Q627" s="331"/>
    </row>
    <row r="628" spans="1:17" ht="19.5" customHeight="1" x14ac:dyDescent="0.25">
      <c r="A628" s="331"/>
      <c r="B628" s="331"/>
      <c r="C628" s="331"/>
      <c r="D628" s="333"/>
      <c r="E628" s="333"/>
      <c r="F628" s="333"/>
      <c r="G628" s="331"/>
      <c r="H628" s="331"/>
      <c r="I628" s="331"/>
      <c r="J628" s="331"/>
      <c r="K628" s="331"/>
      <c r="L628" s="331"/>
      <c r="M628" s="331"/>
      <c r="N628" s="331"/>
      <c r="O628" s="331"/>
      <c r="P628" s="331"/>
      <c r="Q628" s="331"/>
    </row>
    <row r="629" spans="1:17" ht="19.5" customHeight="1" x14ac:dyDescent="0.25">
      <c r="A629" s="331"/>
      <c r="B629" s="331"/>
      <c r="C629" s="331"/>
      <c r="D629" s="333"/>
      <c r="E629" s="333"/>
      <c r="F629" s="333"/>
      <c r="G629" s="331"/>
      <c r="H629" s="331"/>
      <c r="I629" s="331"/>
      <c r="J629" s="331"/>
      <c r="K629" s="331"/>
      <c r="L629" s="331"/>
      <c r="M629" s="331"/>
      <c r="N629" s="331"/>
      <c r="O629" s="331"/>
      <c r="P629" s="331"/>
      <c r="Q629" s="331"/>
    </row>
    <row r="630" spans="1:17" ht="19.5" customHeight="1" x14ac:dyDescent="0.25">
      <c r="A630" s="331"/>
      <c r="B630" s="331"/>
      <c r="C630" s="331"/>
      <c r="D630" s="333"/>
      <c r="E630" s="333"/>
      <c r="F630" s="333"/>
      <c r="G630" s="331"/>
      <c r="H630" s="331"/>
      <c r="I630" s="331"/>
      <c r="J630" s="331"/>
      <c r="K630" s="331"/>
      <c r="L630" s="331"/>
      <c r="M630" s="331"/>
      <c r="N630" s="331"/>
      <c r="O630" s="331"/>
      <c r="P630" s="331"/>
      <c r="Q630" s="331"/>
    </row>
    <row r="631" spans="1:17" ht="19.5" customHeight="1" x14ac:dyDescent="0.25">
      <c r="A631" s="331"/>
      <c r="B631" s="331"/>
      <c r="C631" s="331"/>
      <c r="D631" s="333"/>
      <c r="E631" s="333"/>
      <c r="F631" s="333"/>
      <c r="G631" s="331"/>
      <c r="H631" s="331"/>
      <c r="I631" s="331"/>
      <c r="J631" s="331"/>
      <c r="K631" s="331"/>
      <c r="L631" s="331"/>
      <c r="M631" s="331"/>
      <c r="N631" s="331"/>
      <c r="O631" s="331"/>
      <c r="P631" s="331"/>
      <c r="Q631" s="331"/>
    </row>
    <row r="632" spans="1:17" ht="19.5" customHeight="1" x14ac:dyDescent="0.25">
      <c r="A632" s="331"/>
      <c r="B632" s="331"/>
      <c r="C632" s="331"/>
      <c r="D632" s="333"/>
      <c r="E632" s="333"/>
      <c r="F632" s="333"/>
      <c r="G632" s="331"/>
      <c r="H632" s="331"/>
      <c r="I632" s="331"/>
      <c r="J632" s="331"/>
      <c r="K632" s="331"/>
      <c r="L632" s="331"/>
      <c r="M632" s="331"/>
      <c r="N632" s="331"/>
      <c r="O632" s="331"/>
      <c r="P632" s="331"/>
      <c r="Q632" s="331"/>
    </row>
    <row r="633" spans="1:17" ht="19.5" customHeight="1" x14ac:dyDescent="0.25">
      <c r="A633" s="331"/>
      <c r="B633" s="331"/>
      <c r="C633" s="331"/>
      <c r="D633" s="333"/>
      <c r="E633" s="333"/>
      <c r="F633" s="333"/>
      <c r="G633" s="331"/>
      <c r="H633" s="331"/>
      <c r="I633" s="331"/>
      <c r="J633" s="331"/>
      <c r="K633" s="331"/>
      <c r="L633" s="331"/>
      <c r="M633" s="331"/>
      <c r="N633" s="331"/>
      <c r="O633" s="331"/>
      <c r="P633" s="331"/>
      <c r="Q633" s="331"/>
    </row>
    <row r="634" spans="1:17" ht="19.5" customHeight="1" x14ac:dyDescent="0.25">
      <c r="A634" s="331"/>
      <c r="B634" s="331"/>
      <c r="C634" s="331"/>
      <c r="D634" s="333"/>
      <c r="E634" s="333"/>
      <c r="F634" s="333"/>
      <c r="G634" s="331"/>
      <c r="H634" s="331"/>
      <c r="I634" s="331"/>
      <c r="J634" s="331"/>
      <c r="K634" s="331"/>
      <c r="L634" s="331"/>
      <c r="M634" s="331"/>
      <c r="N634" s="331"/>
      <c r="O634" s="331"/>
      <c r="P634" s="331"/>
      <c r="Q634" s="331"/>
    </row>
    <row r="635" spans="1:17" ht="19.5" customHeight="1" x14ac:dyDescent="0.25">
      <c r="A635" s="331"/>
      <c r="B635" s="331"/>
      <c r="C635" s="331"/>
      <c r="D635" s="333"/>
      <c r="E635" s="333"/>
      <c r="F635" s="333"/>
      <c r="G635" s="331"/>
      <c r="H635" s="331"/>
      <c r="I635" s="331"/>
      <c r="J635" s="331"/>
      <c r="K635" s="331"/>
      <c r="L635" s="331"/>
      <c r="M635" s="331"/>
      <c r="N635" s="331"/>
      <c r="O635" s="331"/>
      <c r="P635" s="331"/>
      <c r="Q635" s="331"/>
    </row>
    <row r="636" spans="1:17" ht="19.5" customHeight="1" x14ac:dyDescent="0.25">
      <c r="A636" s="331"/>
      <c r="B636" s="331"/>
      <c r="C636" s="331"/>
      <c r="D636" s="333"/>
      <c r="E636" s="333"/>
      <c r="F636" s="333"/>
      <c r="G636" s="331"/>
      <c r="H636" s="331"/>
      <c r="I636" s="331"/>
      <c r="J636" s="331"/>
      <c r="K636" s="331"/>
      <c r="L636" s="331"/>
      <c r="M636" s="331"/>
      <c r="N636" s="331"/>
      <c r="O636" s="331"/>
      <c r="P636" s="331"/>
      <c r="Q636" s="331"/>
    </row>
    <row r="637" spans="1:17" ht="19.5" customHeight="1" x14ac:dyDescent="0.25">
      <c r="A637" s="331"/>
      <c r="B637" s="331"/>
      <c r="C637" s="331"/>
      <c r="D637" s="333"/>
      <c r="E637" s="333"/>
      <c r="F637" s="333"/>
      <c r="G637" s="331"/>
      <c r="H637" s="331"/>
      <c r="I637" s="331"/>
      <c r="J637" s="331"/>
      <c r="K637" s="331"/>
      <c r="L637" s="331"/>
      <c r="M637" s="331"/>
      <c r="N637" s="331"/>
      <c r="O637" s="331"/>
      <c r="P637" s="331"/>
      <c r="Q637" s="331"/>
    </row>
    <row r="638" spans="1:17" ht="19.5" customHeight="1" x14ac:dyDescent="0.25">
      <c r="A638" s="331"/>
      <c r="B638" s="331"/>
      <c r="C638" s="331"/>
      <c r="D638" s="333"/>
      <c r="E638" s="333"/>
      <c r="F638" s="333"/>
      <c r="G638" s="331"/>
      <c r="H638" s="331"/>
      <c r="I638" s="331"/>
      <c r="J638" s="331"/>
      <c r="K638" s="331"/>
      <c r="L638" s="331"/>
      <c r="M638" s="331"/>
      <c r="N638" s="331"/>
      <c r="O638" s="331"/>
      <c r="P638" s="331"/>
      <c r="Q638" s="331"/>
    </row>
    <row r="639" spans="1:17" ht="19.5" customHeight="1" x14ac:dyDescent="0.25">
      <c r="A639" s="331"/>
      <c r="B639" s="331"/>
      <c r="C639" s="331"/>
      <c r="D639" s="333"/>
      <c r="E639" s="333"/>
      <c r="F639" s="333"/>
      <c r="G639" s="331"/>
      <c r="H639" s="331"/>
      <c r="I639" s="331"/>
      <c r="J639" s="331"/>
      <c r="K639" s="331"/>
      <c r="L639" s="331"/>
      <c r="M639" s="331"/>
      <c r="N639" s="331"/>
      <c r="O639" s="331"/>
      <c r="P639" s="331"/>
      <c r="Q639" s="331"/>
    </row>
    <row r="640" spans="1:17" ht="19.5" customHeight="1" x14ac:dyDescent="0.25">
      <c r="A640" s="331"/>
      <c r="B640" s="331"/>
      <c r="C640" s="331"/>
      <c r="D640" s="333"/>
      <c r="E640" s="333"/>
      <c r="F640" s="333"/>
      <c r="G640" s="331"/>
      <c r="H640" s="331"/>
      <c r="I640" s="331"/>
      <c r="J640" s="331"/>
      <c r="K640" s="331"/>
      <c r="L640" s="331"/>
      <c r="M640" s="331"/>
      <c r="N640" s="331"/>
      <c r="O640" s="331"/>
      <c r="P640" s="331"/>
      <c r="Q640" s="331"/>
    </row>
    <row r="641" spans="1:17" ht="19.5" customHeight="1" x14ac:dyDescent="0.25">
      <c r="A641" s="331"/>
      <c r="B641" s="331"/>
      <c r="C641" s="331"/>
      <c r="D641" s="333"/>
      <c r="E641" s="333"/>
      <c r="F641" s="333"/>
      <c r="G641" s="331"/>
      <c r="H641" s="331"/>
      <c r="I641" s="331"/>
      <c r="J641" s="331"/>
      <c r="K641" s="331"/>
      <c r="L641" s="331"/>
      <c r="M641" s="331"/>
      <c r="N641" s="331"/>
      <c r="O641" s="331"/>
      <c r="P641" s="331"/>
      <c r="Q641" s="331"/>
    </row>
    <row r="642" spans="1:17" ht="19.5" customHeight="1" x14ac:dyDescent="0.25">
      <c r="A642" s="331"/>
      <c r="B642" s="331"/>
      <c r="C642" s="331"/>
      <c r="D642" s="333"/>
      <c r="E642" s="333"/>
      <c r="F642" s="333"/>
      <c r="G642" s="331"/>
      <c r="H642" s="331"/>
      <c r="I642" s="331"/>
      <c r="J642" s="331"/>
      <c r="K642" s="331"/>
      <c r="L642" s="331"/>
      <c r="M642" s="331"/>
      <c r="N642" s="331"/>
      <c r="O642" s="331"/>
      <c r="P642" s="331"/>
      <c r="Q642" s="331"/>
    </row>
    <row r="643" spans="1:17" ht="19.5" customHeight="1" x14ac:dyDescent="0.25">
      <c r="A643" s="331"/>
      <c r="B643" s="331"/>
      <c r="C643" s="331"/>
      <c r="D643" s="333"/>
      <c r="E643" s="333"/>
      <c r="F643" s="333"/>
      <c r="G643" s="331"/>
      <c r="H643" s="331"/>
      <c r="I643" s="331"/>
      <c r="J643" s="331"/>
      <c r="K643" s="331"/>
      <c r="L643" s="331"/>
      <c r="M643" s="331"/>
      <c r="N643" s="331"/>
      <c r="O643" s="331"/>
      <c r="P643" s="331"/>
      <c r="Q643" s="331"/>
    </row>
    <row r="644" spans="1:17" ht="19.5" customHeight="1" x14ac:dyDescent="0.25">
      <c r="A644" s="331"/>
      <c r="B644" s="331"/>
      <c r="C644" s="331"/>
      <c r="D644" s="333"/>
      <c r="E644" s="333"/>
      <c r="F644" s="333"/>
      <c r="G644" s="331"/>
      <c r="H644" s="331"/>
      <c r="I644" s="331"/>
      <c r="J644" s="331"/>
      <c r="K644" s="331"/>
      <c r="L644" s="331"/>
      <c r="M644" s="331"/>
      <c r="N644" s="331"/>
      <c r="O644" s="331"/>
      <c r="P644" s="331"/>
      <c r="Q644" s="331"/>
    </row>
    <row r="645" spans="1:17" ht="19.5" customHeight="1" x14ac:dyDescent="0.25">
      <c r="A645" s="331"/>
      <c r="B645" s="331"/>
      <c r="C645" s="331"/>
      <c r="D645" s="333"/>
      <c r="E645" s="333"/>
      <c r="F645" s="333"/>
      <c r="G645" s="331"/>
      <c r="H645" s="331"/>
      <c r="I645" s="331"/>
      <c r="J645" s="331"/>
      <c r="K645" s="331"/>
      <c r="L645" s="331"/>
      <c r="M645" s="331"/>
      <c r="N645" s="331"/>
      <c r="O645" s="331"/>
      <c r="P645" s="331"/>
      <c r="Q645" s="331"/>
    </row>
    <row r="646" spans="1:17" ht="19.5" customHeight="1" x14ac:dyDescent="0.25">
      <c r="A646" s="331"/>
      <c r="B646" s="331"/>
      <c r="C646" s="331"/>
      <c r="D646" s="333"/>
      <c r="E646" s="333"/>
      <c r="F646" s="333"/>
      <c r="G646" s="331"/>
      <c r="H646" s="331"/>
      <c r="I646" s="331"/>
      <c r="J646" s="331"/>
      <c r="K646" s="331"/>
      <c r="L646" s="331"/>
      <c r="M646" s="331"/>
      <c r="N646" s="331"/>
      <c r="O646" s="331"/>
      <c r="P646" s="331"/>
      <c r="Q646" s="331"/>
    </row>
    <row r="647" spans="1:17" ht="19.5" customHeight="1" x14ac:dyDescent="0.25">
      <c r="A647" s="331"/>
      <c r="B647" s="331"/>
      <c r="C647" s="331"/>
      <c r="D647" s="333"/>
      <c r="E647" s="333"/>
      <c r="F647" s="333"/>
      <c r="G647" s="331"/>
      <c r="H647" s="331"/>
      <c r="I647" s="331"/>
      <c r="J647" s="331"/>
      <c r="K647" s="331"/>
      <c r="L647" s="331"/>
      <c r="M647" s="331"/>
      <c r="N647" s="331"/>
      <c r="O647" s="331"/>
      <c r="P647" s="331"/>
      <c r="Q647" s="331"/>
    </row>
    <row r="648" spans="1:17" ht="19.5" customHeight="1" x14ac:dyDescent="0.25">
      <c r="A648" s="331"/>
      <c r="B648" s="331"/>
      <c r="C648" s="331"/>
      <c r="D648" s="333"/>
      <c r="E648" s="333"/>
      <c r="F648" s="333"/>
      <c r="G648" s="331"/>
      <c r="H648" s="331"/>
      <c r="I648" s="331"/>
      <c r="J648" s="331"/>
      <c r="K648" s="331"/>
      <c r="L648" s="331"/>
      <c r="M648" s="331"/>
      <c r="N648" s="331"/>
      <c r="O648" s="331"/>
      <c r="P648" s="331"/>
      <c r="Q648" s="331"/>
    </row>
    <row r="649" spans="1:17" ht="19.5" customHeight="1" x14ac:dyDescent="0.25">
      <c r="A649" s="331"/>
      <c r="B649" s="331"/>
      <c r="C649" s="331"/>
      <c r="D649" s="333"/>
      <c r="E649" s="333"/>
      <c r="F649" s="333"/>
      <c r="G649" s="331"/>
      <c r="H649" s="331"/>
      <c r="I649" s="331"/>
      <c r="J649" s="331"/>
      <c r="K649" s="331"/>
      <c r="L649" s="331"/>
      <c r="M649" s="331"/>
      <c r="N649" s="331"/>
      <c r="O649" s="331"/>
      <c r="P649" s="331"/>
      <c r="Q649" s="331"/>
    </row>
    <row r="650" spans="1:17" ht="19.5" customHeight="1" x14ac:dyDescent="0.25">
      <c r="A650" s="331"/>
      <c r="B650" s="331"/>
      <c r="C650" s="331"/>
      <c r="D650" s="333"/>
      <c r="E650" s="333"/>
      <c r="F650" s="333"/>
      <c r="G650" s="331"/>
      <c r="H650" s="331"/>
      <c r="I650" s="331"/>
      <c r="J650" s="331"/>
      <c r="K650" s="331"/>
      <c r="L650" s="331"/>
      <c r="M650" s="331"/>
      <c r="N650" s="331"/>
      <c r="O650" s="331"/>
      <c r="P650" s="331"/>
      <c r="Q650" s="331"/>
    </row>
    <row r="651" spans="1:17" ht="19.5" customHeight="1" x14ac:dyDescent="0.25">
      <c r="A651" s="331"/>
      <c r="B651" s="331"/>
      <c r="C651" s="331"/>
      <c r="D651" s="333"/>
      <c r="E651" s="333"/>
      <c r="F651" s="333"/>
      <c r="G651" s="331"/>
      <c r="H651" s="331"/>
      <c r="I651" s="331"/>
      <c r="J651" s="331"/>
      <c r="K651" s="331"/>
      <c r="L651" s="331"/>
      <c r="M651" s="331"/>
      <c r="N651" s="331"/>
      <c r="O651" s="331"/>
      <c r="P651" s="331"/>
      <c r="Q651" s="331"/>
    </row>
    <row r="652" spans="1:17" ht="19.5" customHeight="1" x14ac:dyDescent="0.25">
      <c r="A652" s="331"/>
      <c r="B652" s="331"/>
      <c r="C652" s="331"/>
      <c r="D652" s="333"/>
      <c r="E652" s="333"/>
      <c r="F652" s="333"/>
      <c r="G652" s="331"/>
      <c r="H652" s="331"/>
      <c r="I652" s="331"/>
      <c r="J652" s="331"/>
      <c r="K652" s="331"/>
      <c r="L652" s="331"/>
      <c r="M652" s="331"/>
      <c r="N652" s="331"/>
      <c r="O652" s="331"/>
      <c r="P652" s="331"/>
      <c r="Q652" s="331"/>
    </row>
    <row r="653" spans="1:17" ht="19.5" customHeight="1" x14ac:dyDescent="0.25">
      <c r="A653" s="331"/>
      <c r="B653" s="331"/>
      <c r="C653" s="331"/>
      <c r="D653" s="333"/>
      <c r="E653" s="333"/>
      <c r="F653" s="333"/>
      <c r="G653" s="331"/>
      <c r="H653" s="331"/>
      <c r="I653" s="331"/>
      <c r="J653" s="331"/>
      <c r="K653" s="331"/>
      <c r="L653" s="331"/>
      <c r="M653" s="331"/>
      <c r="N653" s="331"/>
      <c r="O653" s="331"/>
      <c r="P653" s="331"/>
      <c r="Q653" s="331"/>
    </row>
    <row r="654" spans="1:17" ht="19.5" customHeight="1" x14ac:dyDescent="0.25">
      <c r="A654" s="331"/>
      <c r="B654" s="331"/>
      <c r="C654" s="331"/>
      <c r="D654" s="333"/>
      <c r="E654" s="333"/>
      <c r="F654" s="333"/>
      <c r="G654" s="331"/>
      <c r="H654" s="331"/>
      <c r="I654" s="331"/>
      <c r="J654" s="331"/>
      <c r="K654" s="331"/>
      <c r="L654" s="331"/>
      <c r="M654" s="331"/>
      <c r="N654" s="331"/>
      <c r="O654" s="331"/>
      <c r="P654" s="331"/>
      <c r="Q654" s="331"/>
    </row>
    <row r="655" spans="1:17" ht="19.5" customHeight="1" x14ac:dyDescent="0.25">
      <c r="A655" s="331"/>
      <c r="B655" s="331"/>
      <c r="C655" s="331"/>
      <c r="D655" s="333"/>
      <c r="E655" s="333"/>
      <c r="F655" s="333"/>
      <c r="G655" s="331"/>
      <c r="H655" s="331"/>
      <c r="I655" s="331"/>
      <c r="J655" s="331"/>
      <c r="K655" s="331"/>
      <c r="L655" s="331"/>
      <c r="M655" s="331"/>
      <c r="N655" s="331"/>
      <c r="O655" s="331"/>
      <c r="P655" s="331"/>
      <c r="Q655" s="331"/>
    </row>
    <row r="656" spans="1:17" ht="19.5" customHeight="1" x14ac:dyDescent="0.25">
      <c r="A656" s="331"/>
      <c r="B656" s="331"/>
      <c r="C656" s="331"/>
      <c r="D656" s="333"/>
      <c r="E656" s="333"/>
      <c r="F656" s="333"/>
      <c r="G656" s="331"/>
      <c r="H656" s="331"/>
      <c r="I656" s="331"/>
      <c r="J656" s="331"/>
      <c r="K656" s="331"/>
      <c r="L656" s="331"/>
      <c r="M656" s="331"/>
      <c r="N656" s="331"/>
      <c r="O656" s="331"/>
      <c r="P656" s="331"/>
      <c r="Q656" s="331"/>
    </row>
    <row r="657" spans="1:17" ht="19.5" customHeight="1" x14ac:dyDescent="0.25">
      <c r="A657" s="331"/>
      <c r="B657" s="331"/>
      <c r="C657" s="331"/>
      <c r="D657" s="333"/>
      <c r="E657" s="333"/>
      <c r="F657" s="333"/>
      <c r="G657" s="331"/>
      <c r="H657" s="331"/>
      <c r="I657" s="331"/>
      <c r="J657" s="331"/>
      <c r="K657" s="331"/>
      <c r="L657" s="331"/>
      <c r="M657" s="331"/>
      <c r="N657" s="331"/>
      <c r="O657" s="331"/>
      <c r="P657" s="331"/>
      <c r="Q657" s="331"/>
    </row>
    <row r="658" spans="1:17" ht="19.5" customHeight="1" x14ac:dyDescent="0.25">
      <c r="A658" s="331"/>
      <c r="B658" s="331"/>
      <c r="C658" s="331"/>
      <c r="D658" s="333"/>
      <c r="E658" s="333"/>
      <c r="F658" s="333"/>
      <c r="G658" s="331"/>
      <c r="H658" s="331"/>
      <c r="I658" s="331"/>
      <c r="J658" s="331"/>
      <c r="K658" s="331"/>
      <c r="L658" s="331"/>
      <c r="M658" s="331"/>
      <c r="N658" s="331"/>
      <c r="O658" s="331"/>
      <c r="P658" s="331"/>
      <c r="Q658" s="331"/>
    </row>
    <row r="659" spans="1:17" ht="19.5" customHeight="1" x14ac:dyDescent="0.25">
      <c r="A659" s="331"/>
      <c r="B659" s="331"/>
      <c r="C659" s="331"/>
      <c r="D659" s="333"/>
      <c r="E659" s="333"/>
      <c r="F659" s="333"/>
      <c r="G659" s="331"/>
      <c r="H659" s="331"/>
      <c r="I659" s="331"/>
      <c r="J659" s="331"/>
      <c r="K659" s="331"/>
      <c r="L659" s="331"/>
      <c r="M659" s="331"/>
      <c r="N659" s="331"/>
      <c r="O659" s="331"/>
      <c r="P659" s="331"/>
      <c r="Q659" s="331"/>
    </row>
    <row r="660" spans="1:17" ht="19.5" customHeight="1" x14ac:dyDescent="0.25">
      <c r="A660" s="331"/>
      <c r="B660" s="331"/>
      <c r="C660" s="331"/>
      <c r="D660" s="333"/>
      <c r="E660" s="333"/>
      <c r="F660" s="333"/>
      <c r="G660" s="331"/>
      <c r="H660" s="331"/>
      <c r="I660" s="331"/>
      <c r="J660" s="331"/>
      <c r="K660" s="331"/>
      <c r="L660" s="331"/>
      <c r="M660" s="331"/>
      <c r="N660" s="331"/>
      <c r="O660" s="331"/>
      <c r="P660" s="331"/>
      <c r="Q660" s="331"/>
    </row>
    <row r="661" spans="1:17" ht="19.5" customHeight="1" x14ac:dyDescent="0.25">
      <c r="A661" s="331"/>
      <c r="B661" s="331"/>
      <c r="C661" s="331"/>
      <c r="D661" s="333"/>
      <c r="E661" s="333"/>
      <c r="F661" s="333"/>
      <c r="G661" s="331"/>
      <c r="H661" s="331"/>
      <c r="I661" s="331"/>
      <c r="J661" s="331"/>
      <c r="K661" s="331"/>
      <c r="L661" s="331"/>
      <c r="M661" s="331"/>
      <c r="N661" s="331"/>
      <c r="O661" s="331"/>
      <c r="P661" s="331"/>
      <c r="Q661" s="331"/>
    </row>
    <row r="662" spans="1:17" ht="19.5" customHeight="1" x14ac:dyDescent="0.25">
      <c r="A662" s="331"/>
      <c r="B662" s="331"/>
      <c r="C662" s="331"/>
      <c r="D662" s="333"/>
      <c r="E662" s="333"/>
      <c r="F662" s="333"/>
      <c r="G662" s="331"/>
      <c r="H662" s="331"/>
      <c r="I662" s="331"/>
      <c r="J662" s="331"/>
      <c r="K662" s="331"/>
      <c r="L662" s="331"/>
      <c r="M662" s="331"/>
      <c r="N662" s="331"/>
      <c r="O662" s="331"/>
      <c r="P662" s="331"/>
      <c r="Q662" s="331"/>
    </row>
    <row r="663" spans="1:17" ht="19.5" customHeight="1" x14ac:dyDescent="0.25">
      <c r="A663" s="331"/>
      <c r="B663" s="331"/>
      <c r="C663" s="331"/>
      <c r="D663" s="333"/>
      <c r="E663" s="333"/>
      <c r="F663" s="333"/>
      <c r="G663" s="331"/>
      <c r="H663" s="331"/>
      <c r="I663" s="331"/>
      <c r="J663" s="331"/>
      <c r="K663" s="331"/>
      <c r="L663" s="331"/>
      <c r="M663" s="331"/>
      <c r="N663" s="331"/>
      <c r="O663" s="331"/>
      <c r="P663" s="331"/>
      <c r="Q663" s="331"/>
    </row>
    <row r="664" spans="1:17" ht="19.5" customHeight="1" x14ac:dyDescent="0.25">
      <c r="A664" s="331"/>
      <c r="B664" s="331"/>
      <c r="C664" s="331"/>
      <c r="D664" s="333"/>
      <c r="E664" s="333"/>
      <c r="F664" s="333"/>
      <c r="G664" s="331"/>
      <c r="H664" s="331"/>
      <c r="I664" s="331"/>
      <c r="J664" s="331"/>
      <c r="K664" s="331"/>
      <c r="L664" s="331"/>
      <c r="M664" s="331"/>
      <c r="N664" s="331"/>
      <c r="O664" s="331"/>
      <c r="P664" s="331"/>
      <c r="Q664" s="331"/>
    </row>
    <row r="665" spans="1:17" ht="19.5" customHeight="1" x14ac:dyDescent="0.25">
      <c r="A665" s="331"/>
      <c r="B665" s="331"/>
      <c r="C665" s="331"/>
      <c r="D665" s="333"/>
      <c r="E665" s="333"/>
      <c r="F665" s="333"/>
      <c r="G665" s="331"/>
      <c r="H665" s="331"/>
      <c r="I665" s="331"/>
      <c r="J665" s="331"/>
      <c r="K665" s="331"/>
      <c r="L665" s="331"/>
      <c r="M665" s="331"/>
      <c r="N665" s="331"/>
      <c r="O665" s="331"/>
      <c r="P665" s="331"/>
      <c r="Q665" s="331"/>
    </row>
    <row r="666" spans="1:17" ht="19.5" customHeight="1" x14ac:dyDescent="0.25">
      <c r="A666" s="331"/>
      <c r="B666" s="331"/>
      <c r="C666" s="331"/>
      <c r="D666" s="333"/>
      <c r="E666" s="333"/>
      <c r="F666" s="333"/>
      <c r="G666" s="331"/>
      <c r="H666" s="331"/>
      <c r="I666" s="331"/>
      <c r="J666" s="331"/>
      <c r="K666" s="331"/>
      <c r="L666" s="331"/>
      <c r="M666" s="331"/>
      <c r="N666" s="331"/>
      <c r="O666" s="331"/>
      <c r="P666" s="331"/>
      <c r="Q666" s="331"/>
    </row>
    <row r="667" spans="1:17" ht="19.5" customHeight="1" x14ac:dyDescent="0.25">
      <c r="A667" s="331"/>
      <c r="B667" s="331"/>
      <c r="C667" s="331"/>
      <c r="D667" s="333"/>
      <c r="E667" s="333"/>
      <c r="F667" s="333"/>
      <c r="G667" s="331"/>
      <c r="H667" s="331"/>
      <c r="I667" s="331"/>
      <c r="J667" s="331"/>
      <c r="K667" s="331"/>
      <c r="L667" s="331"/>
      <c r="M667" s="331"/>
      <c r="N667" s="331"/>
      <c r="O667" s="331"/>
      <c r="P667" s="331"/>
      <c r="Q667" s="331"/>
    </row>
    <row r="668" spans="1:17" ht="19.5" customHeight="1" x14ac:dyDescent="0.25">
      <c r="A668" s="331"/>
      <c r="B668" s="331"/>
      <c r="C668" s="331"/>
      <c r="D668" s="333"/>
      <c r="E668" s="333"/>
      <c r="F668" s="333"/>
      <c r="G668" s="331"/>
      <c r="H668" s="331"/>
      <c r="I668" s="331"/>
      <c r="J668" s="331"/>
      <c r="K668" s="331"/>
      <c r="L668" s="331"/>
      <c r="M668" s="331"/>
      <c r="N668" s="331"/>
      <c r="O668" s="331"/>
      <c r="P668" s="331"/>
      <c r="Q668" s="331"/>
    </row>
    <row r="669" spans="1:17" ht="19.5" customHeight="1" x14ac:dyDescent="0.25">
      <c r="A669" s="331"/>
      <c r="B669" s="331"/>
      <c r="C669" s="331"/>
      <c r="D669" s="333"/>
      <c r="E669" s="333"/>
      <c r="F669" s="333"/>
      <c r="G669" s="331"/>
      <c r="H669" s="331"/>
      <c r="I669" s="331"/>
      <c r="J669" s="331"/>
      <c r="K669" s="331"/>
      <c r="L669" s="331"/>
      <c r="M669" s="331"/>
      <c r="N669" s="331"/>
      <c r="O669" s="331"/>
      <c r="P669" s="331"/>
      <c r="Q669" s="331"/>
    </row>
    <row r="670" spans="1:17" ht="19.5" customHeight="1" x14ac:dyDescent="0.25">
      <c r="A670" s="331"/>
      <c r="B670" s="331"/>
      <c r="C670" s="331"/>
      <c r="D670" s="333"/>
      <c r="E670" s="333"/>
      <c r="F670" s="333"/>
      <c r="G670" s="331"/>
      <c r="H670" s="331"/>
      <c r="I670" s="331"/>
      <c r="J670" s="331"/>
      <c r="K670" s="331"/>
      <c r="L670" s="331"/>
      <c r="M670" s="331"/>
      <c r="N670" s="331"/>
      <c r="O670" s="331"/>
      <c r="P670" s="331"/>
      <c r="Q670" s="331"/>
    </row>
    <row r="671" spans="1:17" ht="19.5" customHeight="1" x14ac:dyDescent="0.25">
      <c r="A671" s="331"/>
      <c r="B671" s="331"/>
      <c r="C671" s="331"/>
      <c r="D671" s="333"/>
      <c r="E671" s="333"/>
      <c r="F671" s="333"/>
      <c r="G671" s="331"/>
      <c r="H671" s="331"/>
      <c r="I671" s="331"/>
      <c r="J671" s="331"/>
      <c r="K671" s="331"/>
      <c r="L671" s="331"/>
      <c r="M671" s="331"/>
      <c r="N671" s="331"/>
      <c r="O671" s="331"/>
      <c r="P671" s="331"/>
      <c r="Q671" s="331"/>
    </row>
    <row r="672" spans="1:17" ht="19.5" customHeight="1" x14ac:dyDescent="0.25">
      <c r="A672" s="331"/>
      <c r="B672" s="331"/>
      <c r="C672" s="331"/>
      <c r="D672" s="333"/>
      <c r="E672" s="333"/>
      <c r="F672" s="333"/>
      <c r="G672" s="331"/>
      <c r="H672" s="331"/>
      <c r="I672" s="331"/>
      <c r="J672" s="331"/>
      <c r="K672" s="331"/>
      <c r="L672" s="331"/>
      <c r="M672" s="331"/>
      <c r="N672" s="331"/>
      <c r="O672" s="331"/>
      <c r="P672" s="331"/>
      <c r="Q672" s="331"/>
    </row>
    <row r="673" spans="1:17" ht="19.5" customHeight="1" x14ac:dyDescent="0.25">
      <c r="A673" s="331"/>
      <c r="B673" s="331"/>
      <c r="C673" s="331"/>
      <c r="D673" s="333"/>
      <c r="E673" s="333"/>
      <c r="F673" s="333"/>
      <c r="G673" s="331"/>
      <c r="H673" s="331"/>
      <c r="I673" s="331"/>
      <c r="J673" s="331"/>
      <c r="K673" s="331"/>
      <c r="L673" s="331"/>
      <c r="M673" s="331"/>
      <c r="N673" s="331"/>
      <c r="O673" s="331"/>
      <c r="P673" s="331"/>
      <c r="Q673" s="331"/>
    </row>
    <row r="674" spans="1:17" ht="19.5" customHeight="1" x14ac:dyDescent="0.25">
      <c r="A674" s="331"/>
      <c r="B674" s="331"/>
      <c r="C674" s="331"/>
      <c r="D674" s="333"/>
      <c r="E674" s="333"/>
      <c r="F674" s="333"/>
      <c r="G674" s="331"/>
      <c r="H674" s="331"/>
      <c r="I674" s="331"/>
      <c r="J674" s="331"/>
      <c r="K674" s="331"/>
      <c r="L674" s="331"/>
      <c r="M674" s="331"/>
      <c r="N674" s="331"/>
      <c r="O674" s="331"/>
      <c r="P674" s="331"/>
      <c r="Q674" s="331"/>
    </row>
    <row r="675" spans="1:17" ht="19.5" customHeight="1" x14ac:dyDescent="0.25">
      <c r="A675" s="331"/>
      <c r="B675" s="331"/>
      <c r="C675" s="331"/>
      <c r="D675" s="333"/>
      <c r="E675" s="333"/>
      <c r="F675" s="333"/>
      <c r="G675" s="331"/>
      <c r="H675" s="331"/>
      <c r="I675" s="331"/>
      <c r="J675" s="331"/>
      <c r="K675" s="331"/>
      <c r="L675" s="331"/>
      <c r="M675" s="331"/>
      <c r="N675" s="331"/>
      <c r="O675" s="331"/>
      <c r="P675" s="331"/>
      <c r="Q675" s="331"/>
    </row>
    <row r="676" spans="1:17" ht="19.5" customHeight="1" x14ac:dyDescent="0.25">
      <c r="A676" s="331"/>
      <c r="B676" s="331"/>
      <c r="C676" s="331"/>
      <c r="D676" s="333"/>
      <c r="E676" s="333"/>
      <c r="F676" s="333"/>
      <c r="G676" s="331"/>
      <c r="H676" s="331"/>
      <c r="I676" s="331"/>
      <c r="J676" s="331"/>
      <c r="K676" s="331"/>
      <c r="L676" s="331"/>
      <c r="M676" s="331"/>
      <c r="N676" s="331"/>
      <c r="O676" s="331"/>
      <c r="P676" s="331"/>
      <c r="Q676" s="331"/>
    </row>
    <row r="677" spans="1:17" ht="19.5" customHeight="1" x14ac:dyDescent="0.25">
      <c r="A677" s="331"/>
      <c r="B677" s="331"/>
      <c r="C677" s="331"/>
      <c r="D677" s="333"/>
      <c r="E677" s="333"/>
      <c r="F677" s="333"/>
      <c r="G677" s="331"/>
      <c r="H677" s="331"/>
      <c r="I677" s="331"/>
      <c r="J677" s="331"/>
      <c r="K677" s="331"/>
      <c r="L677" s="331"/>
      <c r="M677" s="331"/>
      <c r="N677" s="331"/>
      <c r="O677" s="331"/>
      <c r="P677" s="331"/>
      <c r="Q677" s="331"/>
    </row>
    <row r="678" spans="1:17" ht="19.5" customHeight="1" x14ac:dyDescent="0.25">
      <c r="A678" s="331"/>
      <c r="B678" s="331"/>
      <c r="C678" s="331"/>
      <c r="D678" s="333"/>
      <c r="E678" s="333"/>
      <c r="F678" s="333"/>
      <c r="G678" s="331"/>
      <c r="H678" s="331"/>
      <c r="I678" s="331"/>
      <c r="J678" s="331"/>
      <c r="K678" s="331"/>
      <c r="L678" s="331"/>
      <c r="M678" s="331"/>
      <c r="N678" s="331"/>
      <c r="O678" s="331"/>
      <c r="P678" s="331"/>
      <c r="Q678" s="331"/>
    </row>
    <row r="679" spans="1:17" ht="19.5" customHeight="1" x14ac:dyDescent="0.25">
      <c r="A679" s="331"/>
      <c r="B679" s="331"/>
      <c r="C679" s="331"/>
      <c r="D679" s="333"/>
      <c r="E679" s="333"/>
      <c r="F679" s="333"/>
      <c r="G679" s="331"/>
      <c r="H679" s="331"/>
      <c r="I679" s="331"/>
      <c r="J679" s="331"/>
      <c r="K679" s="331"/>
      <c r="L679" s="331"/>
      <c r="M679" s="331"/>
      <c r="N679" s="331"/>
      <c r="O679" s="331"/>
      <c r="P679" s="331"/>
      <c r="Q679" s="331"/>
    </row>
    <row r="680" spans="1:17" ht="19.5" customHeight="1" x14ac:dyDescent="0.25">
      <c r="A680" s="331"/>
      <c r="B680" s="331"/>
      <c r="C680" s="331"/>
      <c r="D680" s="333"/>
      <c r="E680" s="333"/>
      <c r="F680" s="333"/>
      <c r="G680" s="331"/>
      <c r="H680" s="331"/>
      <c r="I680" s="331"/>
      <c r="J680" s="331"/>
      <c r="K680" s="331"/>
      <c r="L680" s="331"/>
      <c r="M680" s="331"/>
      <c r="N680" s="331"/>
      <c r="O680" s="331"/>
      <c r="P680" s="331"/>
      <c r="Q680" s="331"/>
    </row>
    <row r="681" spans="1:17" ht="19.5" customHeight="1" x14ac:dyDescent="0.25">
      <c r="A681" s="331"/>
      <c r="B681" s="331"/>
      <c r="C681" s="331"/>
      <c r="D681" s="333"/>
      <c r="E681" s="333"/>
      <c r="F681" s="333"/>
      <c r="G681" s="331"/>
      <c r="H681" s="331"/>
      <c r="I681" s="331"/>
      <c r="J681" s="331"/>
      <c r="K681" s="331"/>
      <c r="L681" s="331"/>
      <c r="M681" s="331"/>
      <c r="N681" s="331"/>
      <c r="O681" s="331"/>
      <c r="P681" s="331"/>
      <c r="Q681" s="331"/>
    </row>
    <row r="682" spans="1:17" ht="19.5" customHeight="1" x14ac:dyDescent="0.25">
      <c r="A682" s="331"/>
      <c r="B682" s="331"/>
      <c r="C682" s="331"/>
      <c r="D682" s="333"/>
      <c r="E682" s="333"/>
      <c r="F682" s="333"/>
      <c r="G682" s="331"/>
      <c r="H682" s="331"/>
      <c r="I682" s="331"/>
      <c r="J682" s="331"/>
      <c r="K682" s="331"/>
      <c r="L682" s="331"/>
      <c r="M682" s="331"/>
      <c r="N682" s="331"/>
      <c r="O682" s="331"/>
      <c r="P682" s="331"/>
      <c r="Q682" s="331"/>
    </row>
    <row r="683" spans="1:17" ht="19.5" customHeight="1" x14ac:dyDescent="0.25">
      <c r="A683" s="331"/>
      <c r="B683" s="331"/>
      <c r="C683" s="331"/>
      <c r="D683" s="333"/>
      <c r="E683" s="333"/>
      <c r="F683" s="333"/>
      <c r="G683" s="331"/>
      <c r="H683" s="331"/>
      <c r="I683" s="331"/>
      <c r="J683" s="331"/>
      <c r="K683" s="331"/>
      <c r="L683" s="331"/>
      <c r="M683" s="331"/>
      <c r="N683" s="331"/>
      <c r="O683" s="331"/>
      <c r="P683" s="331"/>
      <c r="Q683" s="331"/>
    </row>
    <row r="684" spans="1:17" ht="19.5" customHeight="1" x14ac:dyDescent="0.25">
      <c r="A684" s="331"/>
      <c r="B684" s="331"/>
      <c r="C684" s="331"/>
      <c r="D684" s="333"/>
      <c r="E684" s="333"/>
      <c r="F684" s="333"/>
      <c r="G684" s="331"/>
      <c r="H684" s="331"/>
      <c r="I684" s="331"/>
      <c r="J684" s="331"/>
      <c r="K684" s="331"/>
      <c r="L684" s="331"/>
      <c r="M684" s="331"/>
      <c r="N684" s="331"/>
      <c r="O684" s="331"/>
      <c r="P684" s="331"/>
      <c r="Q684" s="331"/>
    </row>
    <row r="685" spans="1:17" ht="19.5" customHeight="1" x14ac:dyDescent="0.25">
      <c r="A685" s="331"/>
      <c r="B685" s="331"/>
      <c r="C685" s="331"/>
      <c r="D685" s="333"/>
      <c r="E685" s="333"/>
      <c r="F685" s="333"/>
      <c r="G685" s="331"/>
      <c r="H685" s="331"/>
      <c r="I685" s="331"/>
      <c r="J685" s="331"/>
      <c r="K685" s="331"/>
      <c r="L685" s="331"/>
      <c r="M685" s="331"/>
      <c r="N685" s="331"/>
      <c r="O685" s="331"/>
      <c r="P685" s="331"/>
      <c r="Q685" s="331"/>
    </row>
    <row r="686" spans="1:17" ht="19.5" customHeight="1" x14ac:dyDescent="0.25">
      <c r="A686" s="331"/>
      <c r="B686" s="331"/>
      <c r="C686" s="331"/>
      <c r="D686" s="333"/>
      <c r="E686" s="333"/>
      <c r="F686" s="333"/>
      <c r="G686" s="331"/>
      <c r="H686" s="331"/>
      <c r="I686" s="331"/>
      <c r="J686" s="331"/>
      <c r="K686" s="331"/>
      <c r="L686" s="331"/>
      <c r="M686" s="331"/>
      <c r="N686" s="331"/>
      <c r="O686" s="331"/>
      <c r="P686" s="331"/>
      <c r="Q686" s="331"/>
    </row>
    <row r="687" spans="1:17" ht="19.5" customHeight="1" x14ac:dyDescent="0.25">
      <c r="A687" s="331"/>
      <c r="B687" s="331"/>
      <c r="C687" s="331"/>
      <c r="D687" s="333"/>
      <c r="E687" s="333"/>
      <c r="F687" s="333"/>
      <c r="G687" s="331"/>
      <c r="H687" s="331"/>
      <c r="I687" s="331"/>
      <c r="J687" s="331"/>
      <c r="K687" s="331"/>
      <c r="L687" s="331"/>
      <c r="M687" s="331"/>
      <c r="N687" s="331"/>
      <c r="O687" s="331"/>
      <c r="P687" s="331"/>
      <c r="Q687" s="331"/>
    </row>
    <row r="688" spans="1:17" ht="19.5" customHeight="1" x14ac:dyDescent="0.25">
      <c r="A688" s="331"/>
      <c r="B688" s="331"/>
      <c r="C688" s="331"/>
      <c r="D688" s="333"/>
      <c r="E688" s="333"/>
      <c r="F688" s="333"/>
      <c r="G688" s="331"/>
      <c r="H688" s="331"/>
      <c r="I688" s="331"/>
      <c r="J688" s="331"/>
      <c r="K688" s="331"/>
      <c r="L688" s="331"/>
      <c r="M688" s="331"/>
      <c r="N688" s="331"/>
      <c r="O688" s="331"/>
      <c r="P688" s="331"/>
      <c r="Q688" s="331"/>
    </row>
    <row r="689" spans="1:17" ht="19.5" customHeight="1" x14ac:dyDescent="0.25">
      <c r="A689" s="331"/>
      <c r="B689" s="331"/>
      <c r="C689" s="331"/>
      <c r="D689" s="333"/>
      <c r="E689" s="333"/>
      <c r="F689" s="333"/>
      <c r="G689" s="331"/>
      <c r="H689" s="331"/>
      <c r="I689" s="331"/>
      <c r="J689" s="331"/>
      <c r="K689" s="331"/>
      <c r="L689" s="331"/>
      <c r="M689" s="331"/>
      <c r="N689" s="331"/>
      <c r="O689" s="331"/>
      <c r="P689" s="331"/>
      <c r="Q689" s="331"/>
    </row>
    <row r="690" spans="1:17" ht="19.5" customHeight="1" x14ac:dyDescent="0.25">
      <c r="A690" s="331"/>
      <c r="B690" s="331"/>
      <c r="C690" s="331"/>
      <c r="D690" s="333"/>
      <c r="E690" s="333"/>
      <c r="F690" s="333"/>
      <c r="G690" s="331"/>
      <c r="H690" s="331"/>
      <c r="I690" s="331"/>
      <c r="J690" s="331"/>
      <c r="K690" s="331"/>
      <c r="L690" s="331"/>
      <c r="M690" s="331"/>
      <c r="N690" s="331"/>
      <c r="O690" s="331"/>
      <c r="P690" s="331"/>
      <c r="Q690" s="331"/>
    </row>
    <row r="691" spans="1:17" ht="19.5" customHeight="1" x14ac:dyDescent="0.25">
      <c r="A691" s="331"/>
      <c r="B691" s="331"/>
      <c r="C691" s="331"/>
      <c r="D691" s="333"/>
      <c r="E691" s="333"/>
      <c r="F691" s="333"/>
      <c r="G691" s="331"/>
      <c r="H691" s="331"/>
      <c r="I691" s="331"/>
      <c r="J691" s="331"/>
      <c r="K691" s="331"/>
      <c r="L691" s="331"/>
      <c r="M691" s="331"/>
      <c r="N691" s="331"/>
      <c r="O691" s="331"/>
      <c r="P691" s="331"/>
      <c r="Q691" s="331"/>
    </row>
    <row r="692" spans="1:17" ht="19.5" customHeight="1" x14ac:dyDescent="0.25">
      <c r="A692" s="331"/>
      <c r="B692" s="331"/>
      <c r="C692" s="331"/>
      <c r="D692" s="333"/>
      <c r="E692" s="333"/>
      <c r="F692" s="333"/>
      <c r="G692" s="331"/>
      <c r="H692" s="331"/>
      <c r="I692" s="331"/>
      <c r="J692" s="331"/>
      <c r="K692" s="331"/>
      <c r="L692" s="331"/>
      <c r="M692" s="331"/>
      <c r="N692" s="331"/>
      <c r="O692" s="331"/>
      <c r="P692" s="331"/>
      <c r="Q692" s="331"/>
    </row>
    <row r="693" spans="1:17" ht="19.5" customHeight="1" x14ac:dyDescent="0.25">
      <c r="A693" s="331"/>
      <c r="B693" s="331"/>
      <c r="C693" s="331"/>
      <c r="D693" s="333"/>
      <c r="E693" s="333"/>
      <c r="F693" s="333"/>
      <c r="G693" s="331"/>
      <c r="H693" s="331"/>
      <c r="I693" s="331"/>
      <c r="J693" s="331"/>
      <c r="K693" s="331"/>
      <c r="L693" s="331"/>
      <c r="M693" s="331"/>
      <c r="N693" s="331"/>
      <c r="O693" s="331"/>
      <c r="P693" s="331"/>
      <c r="Q693" s="331"/>
    </row>
    <row r="694" spans="1:17" ht="19.5" customHeight="1" x14ac:dyDescent="0.25">
      <c r="A694" s="331"/>
      <c r="B694" s="331"/>
      <c r="C694" s="331"/>
      <c r="D694" s="333"/>
      <c r="E694" s="333"/>
      <c r="F694" s="333"/>
      <c r="G694" s="331"/>
      <c r="H694" s="331"/>
      <c r="I694" s="331"/>
      <c r="J694" s="331"/>
      <c r="K694" s="331"/>
      <c r="L694" s="331"/>
      <c r="M694" s="331"/>
      <c r="N694" s="331"/>
      <c r="O694" s="331"/>
      <c r="P694" s="331"/>
      <c r="Q694" s="331"/>
    </row>
    <row r="695" spans="1:17" ht="19.5" customHeight="1" x14ac:dyDescent="0.25">
      <c r="A695" s="331"/>
      <c r="B695" s="331"/>
      <c r="C695" s="331"/>
      <c r="D695" s="333"/>
      <c r="E695" s="333"/>
      <c r="F695" s="333"/>
      <c r="G695" s="331"/>
      <c r="H695" s="331"/>
      <c r="I695" s="331"/>
      <c r="J695" s="331"/>
      <c r="K695" s="331"/>
      <c r="L695" s="331"/>
      <c r="M695" s="331"/>
      <c r="N695" s="331"/>
      <c r="O695" s="331"/>
      <c r="P695" s="331"/>
      <c r="Q695" s="331"/>
    </row>
    <row r="696" spans="1:17" ht="19.5" customHeight="1" x14ac:dyDescent="0.25">
      <c r="A696" s="331"/>
      <c r="B696" s="331"/>
      <c r="C696" s="331"/>
      <c r="D696" s="333"/>
      <c r="E696" s="333"/>
      <c r="F696" s="333"/>
      <c r="G696" s="331"/>
      <c r="H696" s="331"/>
      <c r="I696" s="331"/>
      <c r="J696" s="331"/>
      <c r="K696" s="331"/>
      <c r="L696" s="331"/>
      <c r="M696" s="331"/>
      <c r="N696" s="331"/>
      <c r="O696" s="331"/>
      <c r="P696" s="331"/>
      <c r="Q696" s="331"/>
    </row>
    <row r="697" spans="1:17" ht="19.5" customHeight="1" x14ac:dyDescent="0.25">
      <c r="A697" s="331"/>
      <c r="B697" s="331"/>
      <c r="C697" s="331"/>
      <c r="D697" s="333"/>
      <c r="E697" s="333"/>
      <c r="F697" s="333"/>
      <c r="G697" s="331"/>
      <c r="H697" s="331"/>
      <c r="I697" s="331"/>
      <c r="J697" s="331"/>
      <c r="K697" s="331"/>
      <c r="L697" s="331"/>
      <c r="M697" s="331"/>
      <c r="N697" s="331"/>
      <c r="O697" s="331"/>
      <c r="P697" s="331"/>
      <c r="Q697" s="331"/>
    </row>
    <row r="698" spans="1:17" ht="19.5" customHeight="1" x14ac:dyDescent="0.25">
      <c r="A698" s="331"/>
      <c r="B698" s="331"/>
      <c r="C698" s="331"/>
      <c r="D698" s="333"/>
      <c r="E698" s="333"/>
      <c r="F698" s="333"/>
      <c r="G698" s="331"/>
      <c r="H698" s="331"/>
      <c r="I698" s="331"/>
      <c r="J698" s="331"/>
      <c r="K698" s="331"/>
      <c r="L698" s="331"/>
      <c r="M698" s="331"/>
      <c r="N698" s="331"/>
      <c r="O698" s="331"/>
      <c r="P698" s="331"/>
      <c r="Q698" s="331"/>
    </row>
    <row r="699" spans="1:17" ht="19.5" customHeight="1" x14ac:dyDescent="0.25">
      <c r="A699" s="331"/>
      <c r="B699" s="331"/>
      <c r="C699" s="331"/>
      <c r="D699" s="333"/>
      <c r="E699" s="333"/>
      <c r="F699" s="333"/>
      <c r="G699" s="331"/>
      <c r="H699" s="331"/>
      <c r="I699" s="331"/>
      <c r="J699" s="331"/>
      <c r="K699" s="331"/>
      <c r="L699" s="331"/>
      <c r="M699" s="331"/>
      <c r="N699" s="331"/>
      <c r="O699" s="331"/>
      <c r="P699" s="331"/>
      <c r="Q699" s="331"/>
    </row>
    <row r="700" spans="1:17" ht="19.5" customHeight="1" x14ac:dyDescent="0.25">
      <c r="A700" s="331"/>
      <c r="B700" s="331"/>
      <c r="C700" s="331"/>
      <c r="D700" s="333"/>
      <c r="E700" s="333"/>
      <c r="F700" s="333"/>
      <c r="G700" s="331"/>
      <c r="H700" s="331"/>
      <c r="I700" s="331"/>
      <c r="J700" s="331"/>
      <c r="K700" s="331"/>
      <c r="L700" s="331"/>
      <c r="M700" s="331"/>
      <c r="N700" s="331"/>
      <c r="O700" s="331"/>
      <c r="P700" s="331"/>
      <c r="Q700" s="331"/>
    </row>
    <row r="701" spans="1:17" ht="19.5" customHeight="1" x14ac:dyDescent="0.25">
      <c r="A701" s="331"/>
      <c r="B701" s="331"/>
      <c r="C701" s="331"/>
      <c r="D701" s="333"/>
      <c r="E701" s="333"/>
      <c r="F701" s="333"/>
      <c r="G701" s="331"/>
      <c r="H701" s="331"/>
      <c r="I701" s="331"/>
      <c r="J701" s="331"/>
      <c r="K701" s="331"/>
      <c r="L701" s="331"/>
      <c r="M701" s="331"/>
      <c r="N701" s="331"/>
      <c r="O701" s="331"/>
      <c r="P701" s="331"/>
      <c r="Q701" s="331"/>
    </row>
    <row r="702" spans="1:17" ht="19.5" customHeight="1" x14ac:dyDescent="0.25">
      <c r="A702" s="331"/>
      <c r="B702" s="331"/>
      <c r="C702" s="331"/>
      <c r="D702" s="333"/>
      <c r="E702" s="333"/>
      <c r="F702" s="333"/>
      <c r="G702" s="331"/>
      <c r="H702" s="331"/>
      <c r="I702" s="331"/>
      <c r="J702" s="331"/>
      <c r="K702" s="331"/>
      <c r="L702" s="331"/>
      <c r="M702" s="331"/>
      <c r="N702" s="331"/>
      <c r="O702" s="331"/>
      <c r="P702" s="331"/>
      <c r="Q702" s="331"/>
    </row>
    <row r="703" spans="1:17" ht="19.5" customHeight="1" x14ac:dyDescent="0.25">
      <c r="A703" s="331"/>
      <c r="B703" s="331"/>
      <c r="C703" s="331"/>
      <c r="D703" s="333"/>
      <c r="E703" s="333"/>
      <c r="F703" s="333"/>
      <c r="G703" s="331"/>
      <c r="H703" s="331"/>
      <c r="I703" s="331"/>
      <c r="J703" s="331"/>
      <c r="K703" s="331"/>
      <c r="L703" s="331"/>
      <c r="M703" s="331"/>
      <c r="N703" s="331"/>
      <c r="O703" s="331"/>
      <c r="P703" s="331"/>
      <c r="Q703" s="331"/>
    </row>
    <row r="704" spans="1:17" ht="19.5" customHeight="1" x14ac:dyDescent="0.25">
      <c r="A704" s="331"/>
      <c r="B704" s="331"/>
      <c r="C704" s="331"/>
      <c r="D704" s="333"/>
      <c r="E704" s="333"/>
      <c r="F704" s="333"/>
      <c r="G704" s="331"/>
      <c r="H704" s="331"/>
      <c r="I704" s="331"/>
      <c r="J704" s="331"/>
      <c r="K704" s="331"/>
      <c r="L704" s="331"/>
      <c r="M704" s="331"/>
      <c r="N704" s="331"/>
      <c r="O704" s="331"/>
      <c r="P704" s="331"/>
      <c r="Q704" s="331"/>
    </row>
    <row r="705" spans="1:17" ht="19.5" customHeight="1" x14ac:dyDescent="0.25">
      <c r="A705" s="331"/>
      <c r="B705" s="331"/>
      <c r="C705" s="331"/>
      <c r="D705" s="333"/>
      <c r="E705" s="333"/>
      <c r="F705" s="333"/>
      <c r="G705" s="331"/>
      <c r="H705" s="331"/>
      <c r="I705" s="331"/>
      <c r="J705" s="331"/>
      <c r="K705" s="331"/>
      <c r="L705" s="331"/>
      <c r="M705" s="331"/>
      <c r="N705" s="331"/>
      <c r="O705" s="331"/>
      <c r="P705" s="331"/>
      <c r="Q705" s="331"/>
    </row>
    <row r="706" spans="1:17" ht="19.5" customHeight="1" x14ac:dyDescent="0.25">
      <c r="A706" s="331"/>
      <c r="B706" s="331"/>
      <c r="C706" s="331"/>
      <c r="D706" s="333"/>
      <c r="E706" s="333"/>
      <c r="F706" s="333"/>
      <c r="G706" s="331"/>
      <c r="H706" s="331"/>
      <c r="I706" s="331"/>
      <c r="J706" s="331"/>
      <c r="K706" s="331"/>
      <c r="L706" s="331"/>
      <c r="M706" s="331"/>
      <c r="N706" s="331"/>
      <c r="O706" s="331"/>
      <c r="P706" s="331"/>
      <c r="Q706" s="331"/>
    </row>
    <row r="707" spans="1:17" ht="19.5" customHeight="1" x14ac:dyDescent="0.25">
      <c r="A707" s="331"/>
      <c r="B707" s="331"/>
      <c r="C707" s="331"/>
      <c r="D707" s="333"/>
      <c r="E707" s="333"/>
      <c r="F707" s="333"/>
      <c r="G707" s="331"/>
      <c r="H707" s="331"/>
      <c r="I707" s="331"/>
      <c r="J707" s="331"/>
      <c r="K707" s="331"/>
      <c r="L707" s="331"/>
      <c r="M707" s="331"/>
      <c r="N707" s="331"/>
      <c r="O707" s="331"/>
      <c r="P707" s="331"/>
      <c r="Q707" s="331"/>
    </row>
    <row r="708" spans="1:17" ht="19.5" customHeight="1" x14ac:dyDescent="0.25">
      <c r="A708" s="331"/>
      <c r="B708" s="331"/>
      <c r="C708" s="331"/>
      <c r="D708" s="333"/>
      <c r="E708" s="333"/>
      <c r="F708" s="333"/>
      <c r="G708" s="331"/>
      <c r="H708" s="331"/>
      <c r="I708" s="331"/>
      <c r="J708" s="331"/>
      <c r="K708" s="331"/>
      <c r="L708" s="331"/>
      <c r="M708" s="331"/>
      <c r="N708" s="331"/>
      <c r="O708" s="331"/>
      <c r="P708" s="331"/>
      <c r="Q708" s="331"/>
    </row>
    <row r="709" spans="1:17" ht="19.5" customHeight="1" x14ac:dyDescent="0.25">
      <c r="A709" s="331"/>
      <c r="B709" s="331"/>
      <c r="C709" s="331"/>
      <c r="D709" s="333"/>
      <c r="E709" s="333"/>
      <c r="F709" s="333"/>
      <c r="G709" s="331"/>
      <c r="H709" s="331"/>
      <c r="I709" s="331"/>
      <c r="J709" s="331"/>
      <c r="K709" s="331"/>
      <c r="L709" s="331"/>
      <c r="M709" s="331"/>
      <c r="N709" s="331"/>
      <c r="O709" s="331"/>
      <c r="P709" s="331"/>
      <c r="Q709" s="331"/>
    </row>
    <row r="710" spans="1:17" ht="19.5" customHeight="1" x14ac:dyDescent="0.25">
      <c r="A710" s="331"/>
      <c r="B710" s="331"/>
      <c r="C710" s="331"/>
      <c r="D710" s="333"/>
      <c r="E710" s="333"/>
      <c r="F710" s="333"/>
      <c r="G710" s="331"/>
      <c r="H710" s="331"/>
      <c r="I710" s="331"/>
      <c r="J710" s="331"/>
      <c r="K710" s="331"/>
      <c r="L710" s="331"/>
      <c r="M710" s="331"/>
      <c r="N710" s="331"/>
      <c r="O710" s="331"/>
      <c r="P710" s="331"/>
      <c r="Q710" s="331"/>
    </row>
    <row r="711" spans="1:17" ht="19.5" customHeight="1" x14ac:dyDescent="0.25">
      <c r="A711" s="331"/>
      <c r="B711" s="331"/>
      <c r="C711" s="331"/>
      <c r="D711" s="333"/>
      <c r="E711" s="333"/>
      <c r="F711" s="333"/>
      <c r="G711" s="331"/>
      <c r="H711" s="331"/>
      <c r="I711" s="331"/>
      <c r="J711" s="331"/>
      <c r="K711" s="331"/>
      <c r="L711" s="331"/>
      <c r="M711" s="331"/>
      <c r="N711" s="331"/>
      <c r="O711" s="331"/>
      <c r="P711" s="331"/>
      <c r="Q711" s="331"/>
    </row>
    <row r="712" spans="1:17" ht="19.5" customHeight="1" x14ac:dyDescent="0.25">
      <c r="A712" s="331"/>
      <c r="B712" s="331"/>
      <c r="C712" s="331"/>
      <c r="D712" s="333"/>
      <c r="E712" s="333"/>
      <c r="F712" s="333"/>
      <c r="G712" s="331"/>
      <c r="H712" s="331"/>
      <c r="I712" s="331"/>
      <c r="J712" s="331"/>
      <c r="K712" s="331"/>
      <c r="L712" s="331"/>
      <c r="M712" s="331"/>
      <c r="N712" s="331"/>
      <c r="O712" s="331"/>
      <c r="P712" s="331"/>
      <c r="Q712" s="331"/>
    </row>
    <row r="713" spans="1:17" ht="19.5" customHeight="1" x14ac:dyDescent="0.25">
      <c r="A713" s="331"/>
      <c r="B713" s="331"/>
      <c r="C713" s="331"/>
      <c r="D713" s="333"/>
      <c r="E713" s="333"/>
      <c r="F713" s="333"/>
      <c r="G713" s="331"/>
      <c r="H713" s="331"/>
      <c r="I713" s="331"/>
      <c r="J713" s="331"/>
      <c r="K713" s="331"/>
      <c r="L713" s="331"/>
      <c r="M713" s="331"/>
      <c r="N713" s="331"/>
      <c r="O713" s="331"/>
      <c r="P713" s="331"/>
      <c r="Q713" s="331"/>
    </row>
    <row r="714" spans="1:17" ht="19.5" customHeight="1" x14ac:dyDescent="0.25">
      <c r="A714" s="331"/>
      <c r="B714" s="331"/>
      <c r="C714" s="331"/>
      <c r="D714" s="333"/>
      <c r="E714" s="333"/>
      <c r="F714" s="333"/>
      <c r="G714" s="331"/>
      <c r="H714" s="331"/>
      <c r="I714" s="331"/>
      <c r="J714" s="331"/>
      <c r="K714" s="331"/>
      <c r="L714" s="331"/>
      <c r="M714" s="331"/>
      <c r="N714" s="331"/>
      <c r="O714" s="331"/>
      <c r="P714" s="331"/>
      <c r="Q714" s="331"/>
    </row>
    <row r="715" spans="1:17" ht="19.5" customHeight="1" x14ac:dyDescent="0.25">
      <c r="A715" s="331"/>
      <c r="B715" s="331"/>
      <c r="C715" s="331"/>
      <c r="D715" s="333"/>
      <c r="E715" s="333"/>
      <c r="F715" s="333"/>
      <c r="G715" s="331"/>
      <c r="H715" s="331"/>
      <c r="I715" s="331"/>
      <c r="J715" s="331"/>
      <c r="K715" s="331"/>
      <c r="L715" s="331"/>
      <c r="M715" s="331"/>
      <c r="N715" s="331"/>
      <c r="O715" s="331"/>
      <c r="P715" s="331"/>
      <c r="Q715" s="331"/>
    </row>
    <row r="716" spans="1:17" ht="19.5" customHeight="1" x14ac:dyDescent="0.25">
      <c r="A716" s="331"/>
      <c r="B716" s="331"/>
      <c r="C716" s="331"/>
      <c r="D716" s="333"/>
      <c r="E716" s="333"/>
      <c r="F716" s="333"/>
      <c r="G716" s="331"/>
      <c r="H716" s="331"/>
      <c r="I716" s="331"/>
      <c r="J716" s="331"/>
      <c r="K716" s="331"/>
      <c r="L716" s="331"/>
      <c r="M716" s="331"/>
      <c r="N716" s="331"/>
      <c r="O716" s="331"/>
      <c r="P716" s="331"/>
      <c r="Q716" s="331"/>
    </row>
    <row r="717" spans="1:17" ht="19.5" customHeight="1" x14ac:dyDescent="0.25">
      <c r="A717" s="331"/>
      <c r="B717" s="331"/>
      <c r="C717" s="331"/>
      <c r="D717" s="333"/>
      <c r="E717" s="333"/>
      <c r="F717" s="333"/>
      <c r="G717" s="331"/>
      <c r="H717" s="331"/>
      <c r="I717" s="331"/>
      <c r="J717" s="331"/>
      <c r="K717" s="331"/>
      <c r="L717" s="331"/>
      <c r="M717" s="331"/>
      <c r="N717" s="331"/>
      <c r="O717" s="331"/>
      <c r="P717" s="331"/>
      <c r="Q717" s="331"/>
    </row>
    <row r="718" spans="1:17" ht="19.5" customHeight="1" x14ac:dyDescent="0.25">
      <c r="A718" s="331"/>
      <c r="B718" s="331"/>
      <c r="C718" s="331"/>
      <c r="D718" s="333"/>
      <c r="E718" s="333"/>
      <c r="F718" s="333"/>
      <c r="G718" s="331"/>
      <c r="H718" s="331"/>
      <c r="I718" s="331"/>
      <c r="J718" s="331"/>
      <c r="K718" s="331"/>
      <c r="L718" s="331"/>
      <c r="M718" s="331"/>
      <c r="N718" s="331"/>
      <c r="O718" s="331"/>
      <c r="P718" s="331"/>
      <c r="Q718" s="331"/>
    </row>
    <row r="719" spans="1:17" ht="19.5" customHeight="1" x14ac:dyDescent="0.25">
      <c r="A719" s="331"/>
      <c r="B719" s="331"/>
      <c r="C719" s="331"/>
      <c r="D719" s="333"/>
      <c r="E719" s="333"/>
      <c r="F719" s="333"/>
      <c r="G719" s="331"/>
      <c r="H719" s="331"/>
      <c r="I719" s="331"/>
      <c r="J719" s="331"/>
      <c r="K719" s="331"/>
      <c r="L719" s="331"/>
      <c r="M719" s="331"/>
      <c r="N719" s="331"/>
      <c r="O719" s="331"/>
      <c r="P719" s="331"/>
      <c r="Q719" s="331"/>
    </row>
    <row r="720" spans="1:17" ht="19.5" customHeight="1" x14ac:dyDescent="0.25">
      <c r="A720" s="331"/>
      <c r="B720" s="331"/>
      <c r="C720" s="331"/>
      <c r="D720" s="333"/>
      <c r="E720" s="333"/>
      <c r="F720" s="333"/>
      <c r="G720" s="331"/>
      <c r="H720" s="331"/>
      <c r="I720" s="331"/>
      <c r="J720" s="331"/>
      <c r="K720" s="331"/>
      <c r="L720" s="331"/>
      <c r="M720" s="331"/>
      <c r="N720" s="331"/>
      <c r="O720" s="331"/>
      <c r="P720" s="331"/>
      <c r="Q720" s="331"/>
    </row>
    <row r="721" spans="1:17" ht="19.5" customHeight="1" x14ac:dyDescent="0.25">
      <c r="A721" s="331"/>
      <c r="B721" s="331"/>
      <c r="C721" s="331"/>
      <c r="D721" s="333"/>
      <c r="E721" s="333"/>
      <c r="F721" s="333"/>
      <c r="G721" s="331"/>
      <c r="H721" s="331"/>
      <c r="I721" s="331"/>
      <c r="J721" s="331"/>
      <c r="K721" s="331"/>
      <c r="L721" s="331"/>
      <c r="M721" s="331"/>
      <c r="N721" s="331"/>
      <c r="O721" s="331"/>
      <c r="P721" s="331"/>
      <c r="Q721" s="331"/>
    </row>
    <row r="722" spans="1:17" ht="19.5" customHeight="1" x14ac:dyDescent="0.25">
      <c r="A722" s="331"/>
      <c r="B722" s="331"/>
      <c r="C722" s="331"/>
      <c r="D722" s="333"/>
      <c r="E722" s="333"/>
      <c r="F722" s="333"/>
      <c r="G722" s="331"/>
      <c r="H722" s="331"/>
      <c r="I722" s="331"/>
      <c r="J722" s="331"/>
      <c r="K722" s="331"/>
      <c r="L722" s="331"/>
      <c r="M722" s="331"/>
      <c r="N722" s="331"/>
      <c r="O722" s="331"/>
      <c r="P722" s="331"/>
      <c r="Q722" s="331"/>
    </row>
    <row r="723" spans="1:17" ht="19.5" customHeight="1" x14ac:dyDescent="0.25">
      <c r="A723" s="331"/>
      <c r="B723" s="331"/>
      <c r="C723" s="331"/>
      <c r="D723" s="333"/>
      <c r="E723" s="333"/>
      <c r="F723" s="333"/>
      <c r="G723" s="331"/>
      <c r="H723" s="331"/>
      <c r="I723" s="331"/>
      <c r="J723" s="331"/>
      <c r="K723" s="331"/>
      <c r="L723" s="331"/>
      <c r="M723" s="331"/>
      <c r="N723" s="331"/>
      <c r="O723" s="331"/>
      <c r="P723" s="331"/>
      <c r="Q723" s="331"/>
    </row>
    <row r="724" spans="1:17" ht="19.5" customHeight="1" x14ac:dyDescent="0.25">
      <c r="A724" s="331"/>
      <c r="B724" s="331"/>
      <c r="C724" s="331"/>
      <c r="D724" s="333"/>
      <c r="E724" s="333"/>
      <c r="F724" s="333"/>
      <c r="G724" s="331"/>
      <c r="H724" s="331"/>
      <c r="I724" s="331"/>
      <c r="J724" s="331"/>
      <c r="K724" s="331"/>
      <c r="L724" s="331"/>
      <c r="M724" s="331"/>
      <c r="N724" s="331"/>
      <c r="O724" s="331"/>
      <c r="P724" s="331"/>
      <c r="Q724" s="331"/>
    </row>
    <row r="725" spans="1:17" ht="19.5" customHeight="1" x14ac:dyDescent="0.25">
      <c r="A725" s="331"/>
      <c r="B725" s="331"/>
      <c r="C725" s="331"/>
      <c r="D725" s="333"/>
      <c r="E725" s="333"/>
      <c r="F725" s="333"/>
      <c r="G725" s="331"/>
      <c r="H725" s="331"/>
      <c r="I725" s="331"/>
      <c r="J725" s="331"/>
      <c r="K725" s="331"/>
      <c r="L725" s="331"/>
      <c r="M725" s="331"/>
      <c r="N725" s="331"/>
      <c r="O725" s="331"/>
      <c r="P725" s="331"/>
      <c r="Q725" s="331"/>
    </row>
    <row r="726" spans="1:17" ht="19.5" customHeight="1" x14ac:dyDescent="0.25">
      <c r="A726" s="331"/>
      <c r="B726" s="331"/>
      <c r="C726" s="331"/>
      <c r="D726" s="333"/>
      <c r="E726" s="333"/>
      <c r="F726" s="333"/>
      <c r="G726" s="331"/>
      <c r="H726" s="331"/>
      <c r="I726" s="331"/>
      <c r="J726" s="331"/>
      <c r="K726" s="331"/>
      <c r="L726" s="331"/>
      <c r="M726" s="331"/>
      <c r="N726" s="331"/>
      <c r="O726" s="331"/>
      <c r="P726" s="331"/>
      <c r="Q726" s="331"/>
    </row>
    <row r="727" spans="1:17" ht="19.5" customHeight="1" x14ac:dyDescent="0.25">
      <c r="A727" s="331"/>
      <c r="B727" s="331"/>
      <c r="C727" s="331"/>
      <c r="D727" s="333"/>
      <c r="E727" s="333"/>
      <c r="F727" s="333"/>
      <c r="G727" s="331"/>
      <c r="H727" s="331"/>
      <c r="I727" s="331"/>
      <c r="J727" s="331"/>
      <c r="K727" s="331"/>
      <c r="L727" s="331"/>
      <c r="M727" s="331"/>
      <c r="N727" s="331"/>
      <c r="O727" s="331"/>
      <c r="P727" s="331"/>
      <c r="Q727" s="331"/>
    </row>
    <row r="728" spans="1:17" ht="19.5" customHeight="1" x14ac:dyDescent="0.25">
      <c r="A728" s="331"/>
      <c r="B728" s="331"/>
      <c r="C728" s="331"/>
      <c r="D728" s="333"/>
      <c r="E728" s="333"/>
      <c r="F728" s="333"/>
      <c r="G728" s="331"/>
      <c r="H728" s="331"/>
      <c r="I728" s="331"/>
      <c r="J728" s="331"/>
      <c r="K728" s="331"/>
      <c r="L728" s="331"/>
      <c r="M728" s="331"/>
      <c r="N728" s="331"/>
      <c r="O728" s="331"/>
      <c r="P728" s="331"/>
      <c r="Q728" s="331"/>
    </row>
    <row r="729" spans="1:17" ht="19.5" customHeight="1" x14ac:dyDescent="0.25">
      <c r="A729" s="331"/>
      <c r="B729" s="331"/>
      <c r="C729" s="331"/>
      <c r="D729" s="333"/>
      <c r="E729" s="333"/>
      <c r="F729" s="333"/>
      <c r="G729" s="331"/>
      <c r="H729" s="331"/>
      <c r="I729" s="331"/>
      <c r="J729" s="331"/>
      <c r="K729" s="331"/>
      <c r="L729" s="331"/>
      <c r="M729" s="331"/>
      <c r="N729" s="331"/>
      <c r="O729" s="331"/>
      <c r="P729" s="331"/>
      <c r="Q729" s="331"/>
    </row>
    <row r="730" spans="1:17" ht="19.5" customHeight="1" x14ac:dyDescent="0.25">
      <c r="A730" s="331"/>
      <c r="B730" s="331"/>
      <c r="C730" s="331"/>
      <c r="D730" s="333"/>
      <c r="E730" s="333"/>
      <c r="F730" s="333"/>
      <c r="G730" s="331"/>
      <c r="H730" s="331"/>
      <c r="I730" s="331"/>
      <c r="J730" s="331"/>
      <c r="K730" s="331"/>
      <c r="L730" s="331"/>
      <c r="M730" s="331"/>
      <c r="N730" s="331"/>
      <c r="O730" s="331"/>
      <c r="P730" s="331"/>
      <c r="Q730" s="331"/>
    </row>
    <row r="731" spans="1:17" ht="19.5" customHeight="1" x14ac:dyDescent="0.25">
      <c r="A731" s="331"/>
      <c r="B731" s="331"/>
      <c r="C731" s="331"/>
      <c r="D731" s="333"/>
      <c r="E731" s="333"/>
      <c r="F731" s="333"/>
      <c r="G731" s="331"/>
      <c r="H731" s="331"/>
      <c r="I731" s="331"/>
      <c r="J731" s="331"/>
      <c r="K731" s="331"/>
      <c r="L731" s="331"/>
      <c r="M731" s="331"/>
      <c r="N731" s="331"/>
      <c r="O731" s="331"/>
      <c r="P731" s="331"/>
      <c r="Q731" s="331"/>
    </row>
    <row r="732" spans="1:17" ht="19.5" customHeight="1" x14ac:dyDescent="0.25">
      <c r="A732" s="331"/>
      <c r="B732" s="331"/>
      <c r="C732" s="331"/>
      <c r="D732" s="333"/>
      <c r="E732" s="333"/>
      <c r="F732" s="333"/>
      <c r="G732" s="331"/>
      <c r="H732" s="331"/>
      <c r="I732" s="331"/>
      <c r="J732" s="331"/>
      <c r="K732" s="331"/>
      <c r="L732" s="331"/>
      <c r="M732" s="331"/>
      <c r="N732" s="331"/>
      <c r="O732" s="331"/>
      <c r="P732" s="331"/>
      <c r="Q732" s="331"/>
    </row>
    <row r="733" spans="1:17" ht="19.5" customHeight="1" x14ac:dyDescent="0.25">
      <c r="A733" s="331"/>
      <c r="B733" s="331"/>
      <c r="C733" s="331"/>
      <c r="D733" s="333"/>
      <c r="E733" s="333"/>
      <c r="F733" s="333"/>
      <c r="G733" s="331"/>
      <c r="H733" s="331"/>
      <c r="I733" s="331"/>
      <c r="J733" s="331"/>
      <c r="K733" s="331"/>
      <c r="L733" s="331"/>
      <c r="M733" s="331"/>
      <c r="N733" s="331"/>
      <c r="O733" s="331"/>
      <c r="P733" s="331"/>
      <c r="Q733" s="331"/>
    </row>
    <row r="734" spans="1:17" ht="19.5" customHeight="1" x14ac:dyDescent="0.25">
      <c r="A734" s="331"/>
      <c r="B734" s="331"/>
      <c r="C734" s="331"/>
      <c r="D734" s="333"/>
      <c r="E734" s="333"/>
      <c r="F734" s="333"/>
      <c r="G734" s="331"/>
      <c r="H734" s="331"/>
      <c r="I734" s="331"/>
      <c r="J734" s="331"/>
      <c r="K734" s="331"/>
      <c r="L734" s="331"/>
      <c r="M734" s="331"/>
      <c r="N734" s="331"/>
      <c r="O734" s="331"/>
      <c r="P734" s="331"/>
      <c r="Q734" s="331"/>
    </row>
    <row r="735" spans="1:17" ht="19.5" customHeight="1" x14ac:dyDescent="0.25">
      <c r="A735" s="331"/>
      <c r="B735" s="331"/>
      <c r="C735" s="331"/>
      <c r="D735" s="333"/>
      <c r="E735" s="333"/>
      <c r="F735" s="333"/>
      <c r="G735" s="331"/>
      <c r="H735" s="331"/>
      <c r="I735" s="331"/>
      <c r="J735" s="331"/>
      <c r="K735" s="331"/>
      <c r="L735" s="331"/>
      <c r="M735" s="331"/>
      <c r="N735" s="331"/>
      <c r="O735" s="331"/>
      <c r="P735" s="331"/>
      <c r="Q735" s="331"/>
    </row>
    <row r="736" spans="1:17" ht="19.5" customHeight="1" x14ac:dyDescent="0.25">
      <c r="A736" s="331"/>
      <c r="B736" s="331"/>
      <c r="C736" s="331"/>
      <c r="D736" s="333"/>
      <c r="E736" s="333"/>
      <c r="F736" s="333"/>
      <c r="G736" s="331"/>
      <c r="H736" s="331"/>
      <c r="I736" s="331"/>
      <c r="J736" s="331"/>
      <c r="K736" s="331"/>
      <c r="L736" s="331"/>
      <c r="M736" s="331"/>
      <c r="N736" s="331"/>
      <c r="O736" s="331"/>
      <c r="P736" s="331"/>
      <c r="Q736" s="331"/>
    </row>
    <row r="737" spans="1:17" ht="19.5" customHeight="1" x14ac:dyDescent="0.25">
      <c r="A737" s="331"/>
      <c r="B737" s="331"/>
      <c r="C737" s="331"/>
      <c r="D737" s="333"/>
      <c r="E737" s="333"/>
      <c r="F737" s="333"/>
      <c r="G737" s="331"/>
      <c r="H737" s="331"/>
      <c r="I737" s="331"/>
      <c r="J737" s="331"/>
      <c r="K737" s="331"/>
      <c r="L737" s="331"/>
      <c r="M737" s="331"/>
      <c r="N737" s="331"/>
      <c r="O737" s="331"/>
      <c r="P737" s="331"/>
      <c r="Q737" s="331"/>
    </row>
    <row r="738" spans="1:17" ht="19.5" customHeight="1" x14ac:dyDescent="0.25">
      <c r="A738" s="331"/>
      <c r="B738" s="331"/>
      <c r="C738" s="331"/>
      <c r="D738" s="333"/>
      <c r="E738" s="333"/>
      <c r="F738" s="333"/>
      <c r="G738" s="331"/>
      <c r="H738" s="331"/>
      <c r="I738" s="331"/>
      <c r="J738" s="331"/>
      <c r="K738" s="331"/>
      <c r="L738" s="331"/>
      <c r="M738" s="331"/>
      <c r="N738" s="331"/>
      <c r="O738" s="331"/>
      <c r="P738" s="331"/>
      <c r="Q738" s="331"/>
    </row>
    <row r="739" spans="1:17" ht="19.5" customHeight="1" x14ac:dyDescent="0.25">
      <c r="A739" s="331"/>
      <c r="B739" s="331"/>
      <c r="C739" s="331"/>
      <c r="D739" s="333"/>
      <c r="E739" s="333"/>
      <c r="F739" s="333"/>
      <c r="G739" s="331"/>
      <c r="H739" s="331"/>
      <c r="I739" s="331"/>
      <c r="J739" s="331"/>
      <c r="K739" s="331"/>
      <c r="L739" s="331"/>
      <c r="M739" s="331"/>
      <c r="N739" s="331"/>
      <c r="O739" s="331"/>
      <c r="P739" s="331"/>
      <c r="Q739" s="331"/>
    </row>
    <row r="740" spans="1:17" ht="19.5" customHeight="1" x14ac:dyDescent="0.25">
      <c r="A740" s="331"/>
      <c r="B740" s="331"/>
      <c r="C740" s="331"/>
      <c r="D740" s="333"/>
      <c r="E740" s="333"/>
      <c r="F740" s="333"/>
      <c r="G740" s="331"/>
      <c r="H740" s="331"/>
      <c r="I740" s="331"/>
      <c r="J740" s="331"/>
      <c r="K740" s="331"/>
      <c r="L740" s="331"/>
      <c r="M740" s="331"/>
      <c r="N740" s="331"/>
      <c r="O740" s="331"/>
      <c r="P740" s="331"/>
      <c r="Q740" s="331"/>
    </row>
    <row r="741" spans="1:17" ht="19.5" customHeight="1" x14ac:dyDescent="0.25">
      <c r="A741" s="331"/>
      <c r="B741" s="331"/>
      <c r="C741" s="331"/>
      <c r="D741" s="333"/>
      <c r="E741" s="333"/>
      <c r="F741" s="333"/>
      <c r="G741" s="331"/>
      <c r="H741" s="331"/>
      <c r="I741" s="331"/>
      <c r="J741" s="331"/>
      <c r="K741" s="331"/>
      <c r="L741" s="331"/>
      <c r="M741" s="331"/>
      <c r="N741" s="331"/>
      <c r="O741" s="331"/>
      <c r="P741" s="331"/>
      <c r="Q741" s="331"/>
    </row>
    <row r="742" spans="1:17" ht="19.5" customHeight="1" x14ac:dyDescent="0.25">
      <c r="A742" s="331"/>
      <c r="B742" s="331"/>
      <c r="C742" s="331"/>
      <c r="D742" s="333"/>
      <c r="E742" s="333"/>
      <c r="F742" s="333"/>
      <c r="G742" s="331"/>
      <c r="H742" s="331"/>
      <c r="I742" s="331"/>
      <c r="J742" s="331"/>
      <c r="K742" s="331"/>
      <c r="L742" s="331"/>
      <c r="M742" s="331"/>
      <c r="N742" s="331"/>
      <c r="O742" s="331"/>
      <c r="P742" s="331"/>
      <c r="Q742" s="331"/>
    </row>
    <row r="743" spans="1:17" ht="19.5" customHeight="1" x14ac:dyDescent="0.25">
      <c r="A743" s="331"/>
      <c r="B743" s="331"/>
      <c r="C743" s="331"/>
      <c r="D743" s="333"/>
      <c r="E743" s="333"/>
      <c r="F743" s="333"/>
      <c r="G743" s="331"/>
      <c r="H743" s="331"/>
      <c r="I743" s="331"/>
      <c r="J743" s="331"/>
      <c r="K743" s="331"/>
      <c r="L743" s="331"/>
      <c r="M743" s="331"/>
      <c r="N743" s="331"/>
      <c r="O743" s="331"/>
      <c r="P743" s="331"/>
      <c r="Q743" s="331"/>
    </row>
    <row r="744" spans="1:17" ht="19.5" customHeight="1" x14ac:dyDescent="0.25">
      <c r="A744" s="331"/>
      <c r="B744" s="331"/>
      <c r="C744" s="331"/>
      <c r="D744" s="333"/>
      <c r="E744" s="333"/>
      <c r="F744" s="333"/>
      <c r="G744" s="331"/>
      <c r="H744" s="331"/>
      <c r="I744" s="331"/>
      <c r="J744" s="331"/>
      <c r="K744" s="331"/>
      <c r="L744" s="331"/>
      <c r="M744" s="331"/>
      <c r="N744" s="331"/>
      <c r="O744" s="331"/>
      <c r="P744" s="331"/>
      <c r="Q744" s="331"/>
    </row>
    <row r="745" spans="1:17" ht="19.5" customHeight="1" x14ac:dyDescent="0.25">
      <c r="A745" s="331"/>
      <c r="B745" s="331"/>
      <c r="C745" s="331"/>
      <c r="D745" s="333"/>
      <c r="E745" s="333"/>
      <c r="F745" s="333"/>
      <c r="G745" s="331"/>
      <c r="H745" s="331"/>
      <c r="I745" s="331"/>
      <c r="J745" s="331"/>
      <c r="K745" s="331"/>
      <c r="L745" s="331"/>
      <c r="M745" s="331"/>
      <c r="N745" s="331"/>
      <c r="O745" s="331"/>
      <c r="P745" s="331"/>
      <c r="Q745" s="331"/>
    </row>
    <row r="746" spans="1:17" ht="19.5" customHeight="1" x14ac:dyDescent="0.25">
      <c r="A746" s="331"/>
      <c r="B746" s="331"/>
      <c r="C746" s="331"/>
      <c r="D746" s="333"/>
      <c r="E746" s="333"/>
      <c r="F746" s="333"/>
      <c r="G746" s="331"/>
      <c r="H746" s="331"/>
      <c r="I746" s="331"/>
      <c r="J746" s="331"/>
      <c r="K746" s="331"/>
      <c r="L746" s="331"/>
      <c r="M746" s="331"/>
      <c r="N746" s="331"/>
      <c r="O746" s="331"/>
      <c r="P746" s="331"/>
      <c r="Q746" s="331"/>
    </row>
    <row r="747" spans="1:17" ht="19.5" customHeight="1" x14ac:dyDescent="0.25">
      <c r="A747" s="331"/>
      <c r="B747" s="331"/>
      <c r="C747" s="331"/>
      <c r="D747" s="333"/>
      <c r="E747" s="333"/>
      <c r="F747" s="333"/>
      <c r="G747" s="331"/>
      <c r="H747" s="331"/>
      <c r="I747" s="331"/>
      <c r="J747" s="331"/>
      <c r="K747" s="331"/>
      <c r="L747" s="331"/>
      <c r="M747" s="331"/>
      <c r="N747" s="331"/>
      <c r="O747" s="331"/>
      <c r="P747" s="331"/>
      <c r="Q747" s="331"/>
    </row>
    <row r="748" spans="1:17" ht="19.5" customHeight="1" x14ac:dyDescent="0.25">
      <c r="A748" s="331"/>
      <c r="B748" s="331"/>
      <c r="C748" s="331"/>
      <c r="D748" s="333"/>
      <c r="E748" s="333"/>
      <c r="F748" s="333"/>
      <c r="G748" s="331"/>
      <c r="H748" s="331"/>
      <c r="I748" s="331"/>
      <c r="J748" s="331"/>
      <c r="K748" s="331"/>
      <c r="L748" s="331"/>
      <c r="M748" s="331"/>
      <c r="N748" s="331"/>
      <c r="O748" s="331"/>
      <c r="P748" s="331"/>
      <c r="Q748" s="331"/>
    </row>
    <row r="749" spans="1:17" ht="19.5" customHeight="1" x14ac:dyDescent="0.25">
      <c r="A749" s="331"/>
      <c r="B749" s="331"/>
      <c r="C749" s="331"/>
      <c r="D749" s="333"/>
      <c r="E749" s="333"/>
      <c r="F749" s="333"/>
      <c r="G749" s="331"/>
      <c r="H749" s="331"/>
      <c r="I749" s="331"/>
      <c r="J749" s="331"/>
      <c r="K749" s="331"/>
      <c r="L749" s="331"/>
      <c r="M749" s="331"/>
      <c r="N749" s="331"/>
      <c r="O749" s="331"/>
      <c r="P749" s="331"/>
      <c r="Q749" s="331"/>
    </row>
    <row r="750" spans="1:17" ht="19.5" customHeight="1" x14ac:dyDescent="0.25">
      <c r="A750" s="331"/>
      <c r="B750" s="331"/>
      <c r="C750" s="331"/>
      <c r="D750" s="333"/>
      <c r="E750" s="333"/>
      <c r="F750" s="333"/>
      <c r="G750" s="331"/>
      <c r="H750" s="331"/>
      <c r="I750" s="331"/>
      <c r="J750" s="331"/>
      <c r="K750" s="331"/>
      <c r="L750" s="331"/>
      <c r="M750" s="331"/>
      <c r="N750" s="331"/>
      <c r="O750" s="331"/>
      <c r="P750" s="331"/>
      <c r="Q750" s="331"/>
    </row>
    <row r="751" spans="1:17" ht="19.5" customHeight="1" x14ac:dyDescent="0.25">
      <c r="A751" s="331"/>
      <c r="B751" s="331"/>
      <c r="C751" s="331"/>
      <c r="D751" s="333"/>
      <c r="E751" s="333"/>
      <c r="F751" s="333"/>
      <c r="G751" s="331"/>
      <c r="H751" s="331"/>
      <c r="I751" s="331"/>
      <c r="J751" s="331"/>
      <c r="K751" s="331"/>
      <c r="L751" s="331"/>
      <c r="M751" s="331"/>
      <c r="N751" s="331"/>
      <c r="O751" s="331"/>
      <c r="P751" s="331"/>
      <c r="Q751" s="331"/>
    </row>
    <row r="752" spans="1:17" ht="19.5" customHeight="1" x14ac:dyDescent="0.25">
      <c r="A752" s="331"/>
      <c r="B752" s="331"/>
      <c r="C752" s="331"/>
      <c r="D752" s="333"/>
      <c r="E752" s="333"/>
      <c r="F752" s="333"/>
      <c r="G752" s="331"/>
      <c r="H752" s="331"/>
      <c r="I752" s="331"/>
      <c r="J752" s="331"/>
      <c r="K752" s="331"/>
      <c r="L752" s="331"/>
      <c r="M752" s="331"/>
      <c r="N752" s="331"/>
      <c r="O752" s="331"/>
      <c r="P752" s="331"/>
      <c r="Q752" s="331"/>
    </row>
    <row r="753" spans="1:17" ht="19.5" customHeight="1" x14ac:dyDescent="0.25">
      <c r="A753" s="331"/>
      <c r="B753" s="331"/>
      <c r="C753" s="331"/>
      <c r="D753" s="333"/>
      <c r="E753" s="333"/>
      <c r="F753" s="333"/>
      <c r="G753" s="331"/>
      <c r="H753" s="331"/>
      <c r="I753" s="331"/>
      <c r="J753" s="331"/>
      <c r="K753" s="331"/>
      <c r="L753" s="331"/>
      <c r="M753" s="331"/>
      <c r="N753" s="331"/>
      <c r="O753" s="331"/>
      <c r="P753" s="331"/>
      <c r="Q753" s="331"/>
    </row>
    <row r="754" spans="1:17" ht="19.5" customHeight="1" x14ac:dyDescent="0.25">
      <c r="A754" s="331"/>
      <c r="B754" s="331"/>
      <c r="C754" s="331"/>
      <c r="D754" s="333"/>
      <c r="E754" s="333"/>
      <c r="F754" s="333"/>
      <c r="G754" s="331"/>
      <c r="H754" s="331"/>
      <c r="I754" s="331"/>
      <c r="J754" s="331"/>
      <c r="K754" s="331"/>
      <c r="L754" s="331"/>
      <c r="M754" s="331"/>
      <c r="N754" s="331"/>
      <c r="O754" s="331"/>
      <c r="P754" s="331"/>
      <c r="Q754" s="331"/>
    </row>
    <row r="755" spans="1:17" ht="19.5" customHeight="1" x14ac:dyDescent="0.25">
      <c r="A755" s="331"/>
      <c r="B755" s="331"/>
      <c r="C755" s="331"/>
      <c r="D755" s="333"/>
      <c r="E755" s="333"/>
      <c r="F755" s="333"/>
      <c r="G755" s="331"/>
      <c r="H755" s="331"/>
      <c r="I755" s="331"/>
      <c r="J755" s="331"/>
      <c r="K755" s="331"/>
      <c r="L755" s="331"/>
      <c r="M755" s="331"/>
      <c r="N755" s="331"/>
      <c r="O755" s="331"/>
      <c r="P755" s="331"/>
      <c r="Q755" s="331"/>
    </row>
    <row r="756" spans="1:17" ht="19.5" customHeight="1" x14ac:dyDescent="0.25">
      <c r="A756" s="331"/>
      <c r="B756" s="331"/>
      <c r="C756" s="331"/>
      <c r="D756" s="333"/>
      <c r="E756" s="333"/>
      <c r="F756" s="333"/>
      <c r="G756" s="331"/>
      <c r="H756" s="331"/>
      <c r="I756" s="331"/>
      <c r="J756" s="331"/>
      <c r="K756" s="331"/>
      <c r="L756" s="331"/>
      <c r="M756" s="331"/>
      <c r="N756" s="331"/>
      <c r="O756" s="331"/>
      <c r="P756" s="331"/>
      <c r="Q756" s="331"/>
    </row>
    <row r="757" spans="1:17" ht="19.5" customHeight="1" x14ac:dyDescent="0.25">
      <c r="A757" s="331"/>
      <c r="B757" s="331"/>
      <c r="C757" s="331"/>
      <c r="D757" s="333"/>
      <c r="E757" s="333"/>
      <c r="F757" s="333"/>
      <c r="G757" s="331"/>
      <c r="H757" s="331"/>
      <c r="I757" s="331"/>
      <c r="J757" s="331"/>
      <c r="K757" s="331"/>
      <c r="L757" s="331"/>
      <c r="M757" s="331"/>
      <c r="N757" s="331"/>
      <c r="O757" s="331"/>
      <c r="P757" s="331"/>
      <c r="Q757" s="331"/>
    </row>
    <row r="758" spans="1:17" ht="19.5" customHeight="1" x14ac:dyDescent="0.25">
      <c r="A758" s="331"/>
      <c r="B758" s="331"/>
      <c r="C758" s="331"/>
      <c r="D758" s="333"/>
      <c r="E758" s="333"/>
      <c r="F758" s="333"/>
      <c r="G758" s="331"/>
      <c r="H758" s="331"/>
      <c r="I758" s="331"/>
      <c r="J758" s="331"/>
      <c r="K758" s="331"/>
      <c r="L758" s="331"/>
      <c r="M758" s="331"/>
      <c r="N758" s="331"/>
      <c r="O758" s="331"/>
      <c r="P758" s="331"/>
      <c r="Q758" s="331"/>
    </row>
    <row r="759" spans="1:17" ht="19.5" customHeight="1" x14ac:dyDescent="0.25">
      <c r="A759" s="331"/>
      <c r="B759" s="331"/>
      <c r="C759" s="331"/>
      <c r="D759" s="333"/>
      <c r="E759" s="333"/>
      <c r="F759" s="333"/>
      <c r="G759" s="331"/>
      <c r="H759" s="331"/>
      <c r="I759" s="331"/>
      <c r="J759" s="331"/>
      <c r="K759" s="331"/>
      <c r="L759" s="331"/>
      <c r="M759" s="331"/>
      <c r="N759" s="331"/>
      <c r="O759" s="331"/>
      <c r="P759" s="331"/>
      <c r="Q759" s="331"/>
    </row>
    <row r="760" spans="1:17" ht="19.5" customHeight="1" x14ac:dyDescent="0.25">
      <c r="A760" s="331"/>
      <c r="B760" s="331"/>
      <c r="C760" s="331"/>
      <c r="D760" s="333"/>
      <c r="E760" s="333"/>
      <c r="F760" s="333"/>
      <c r="G760" s="331"/>
      <c r="H760" s="331"/>
      <c r="I760" s="331"/>
      <c r="J760" s="331"/>
      <c r="K760" s="331"/>
      <c r="L760" s="331"/>
      <c r="M760" s="331"/>
      <c r="N760" s="331"/>
      <c r="O760" s="331"/>
      <c r="P760" s="331"/>
      <c r="Q760" s="331"/>
    </row>
    <row r="761" spans="1:17" ht="19.5" customHeight="1" x14ac:dyDescent="0.25">
      <c r="A761" s="331"/>
      <c r="B761" s="331"/>
      <c r="C761" s="331"/>
      <c r="D761" s="333"/>
      <c r="E761" s="333"/>
      <c r="F761" s="333"/>
      <c r="G761" s="331"/>
      <c r="H761" s="331"/>
      <c r="I761" s="331"/>
      <c r="J761" s="331"/>
      <c r="K761" s="331"/>
      <c r="L761" s="331"/>
      <c r="M761" s="331"/>
      <c r="N761" s="331"/>
      <c r="O761" s="331"/>
      <c r="P761" s="331"/>
      <c r="Q761" s="331"/>
    </row>
    <row r="762" spans="1:17" ht="19.5" customHeight="1" x14ac:dyDescent="0.25">
      <c r="A762" s="331"/>
      <c r="B762" s="331"/>
      <c r="C762" s="331"/>
      <c r="D762" s="333"/>
      <c r="E762" s="333"/>
      <c r="F762" s="333"/>
      <c r="G762" s="331"/>
      <c r="H762" s="331"/>
      <c r="I762" s="331"/>
      <c r="J762" s="331"/>
      <c r="K762" s="331"/>
      <c r="L762" s="331"/>
      <c r="M762" s="331"/>
      <c r="N762" s="331"/>
      <c r="O762" s="331"/>
      <c r="P762" s="331"/>
      <c r="Q762" s="331"/>
    </row>
    <row r="763" spans="1:17" ht="19.5" customHeight="1" x14ac:dyDescent="0.25">
      <c r="A763" s="331"/>
      <c r="B763" s="331"/>
      <c r="C763" s="331"/>
      <c r="D763" s="333"/>
      <c r="E763" s="333"/>
      <c r="F763" s="333"/>
      <c r="G763" s="331"/>
      <c r="H763" s="331"/>
      <c r="I763" s="331"/>
      <c r="J763" s="331"/>
      <c r="K763" s="331"/>
      <c r="L763" s="331"/>
      <c r="M763" s="331"/>
      <c r="N763" s="331"/>
      <c r="O763" s="331"/>
      <c r="P763" s="331"/>
      <c r="Q763" s="331"/>
    </row>
    <row r="764" spans="1:17" ht="19.5" customHeight="1" x14ac:dyDescent="0.25">
      <c r="A764" s="331"/>
      <c r="B764" s="331"/>
      <c r="C764" s="331"/>
      <c r="D764" s="333"/>
      <c r="E764" s="333"/>
      <c r="F764" s="333"/>
      <c r="G764" s="331"/>
      <c r="H764" s="331"/>
      <c r="I764" s="331"/>
      <c r="J764" s="331"/>
      <c r="K764" s="331"/>
      <c r="L764" s="331"/>
      <c r="M764" s="331"/>
      <c r="N764" s="331"/>
      <c r="O764" s="331"/>
      <c r="P764" s="331"/>
      <c r="Q764" s="331"/>
    </row>
    <row r="765" spans="1:17" ht="19.5" customHeight="1" x14ac:dyDescent="0.25">
      <c r="A765" s="331"/>
      <c r="B765" s="331"/>
      <c r="C765" s="331"/>
      <c r="D765" s="333"/>
      <c r="E765" s="333"/>
      <c r="F765" s="333"/>
      <c r="G765" s="331"/>
      <c r="H765" s="331"/>
      <c r="I765" s="331"/>
      <c r="J765" s="331"/>
      <c r="K765" s="331"/>
      <c r="L765" s="331"/>
      <c r="M765" s="331"/>
      <c r="N765" s="331"/>
      <c r="O765" s="331"/>
      <c r="P765" s="331"/>
      <c r="Q765" s="331"/>
    </row>
    <row r="766" spans="1:17" ht="19.5" customHeight="1" x14ac:dyDescent="0.25">
      <c r="A766" s="331"/>
      <c r="B766" s="331"/>
      <c r="C766" s="331"/>
      <c r="D766" s="333"/>
      <c r="E766" s="333"/>
      <c r="F766" s="333"/>
      <c r="G766" s="331"/>
      <c r="H766" s="331"/>
      <c r="I766" s="331"/>
      <c r="J766" s="331"/>
      <c r="K766" s="331"/>
      <c r="L766" s="331"/>
      <c r="M766" s="331"/>
      <c r="N766" s="331"/>
      <c r="O766" s="331"/>
      <c r="P766" s="331"/>
      <c r="Q766" s="331"/>
    </row>
    <row r="767" spans="1:17" ht="19.5" customHeight="1" x14ac:dyDescent="0.25">
      <c r="A767" s="331"/>
      <c r="B767" s="331"/>
      <c r="C767" s="331"/>
      <c r="D767" s="333"/>
      <c r="E767" s="333"/>
      <c r="F767" s="333"/>
      <c r="G767" s="331"/>
      <c r="H767" s="331"/>
      <c r="I767" s="331"/>
      <c r="J767" s="331"/>
      <c r="K767" s="331"/>
      <c r="L767" s="331"/>
      <c r="M767" s="331"/>
      <c r="N767" s="331"/>
      <c r="O767" s="331"/>
      <c r="P767" s="331"/>
      <c r="Q767" s="331"/>
    </row>
    <row r="768" spans="1:17" ht="19.5" customHeight="1" x14ac:dyDescent="0.25">
      <c r="A768" s="331"/>
      <c r="B768" s="331"/>
      <c r="C768" s="331"/>
      <c r="D768" s="333"/>
      <c r="E768" s="333"/>
      <c r="F768" s="333"/>
      <c r="G768" s="331"/>
      <c r="H768" s="331"/>
      <c r="I768" s="331"/>
      <c r="J768" s="331"/>
      <c r="K768" s="331"/>
      <c r="L768" s="331"/>
      <c r="M768" s="331"/>
      <c r="N768" s="331"/>
      <c r="O768" s="331"/>
      <c r="P768" s="331"/>
      <c r="Q768" s="331"/>
    </row>
    <row r="769" spans="1:17" ht="19.5" customHeight="1" x14ac:dyDescent="0.25">
      <c r="A769" s="331"/>
      <c r="B769" s="331"/>
      <c r="C769" s="331"/>
      <c r="D769" s="333"/>
      <c r="E769" s="333"/>
      <c r="F769" s="333"/>
      <c r="G769" s="331"/>
      <c r="H769" s="331"/>
      <c r="I769" s="331"/>
      <c r="J769" s="331"/>
      <c r="K769" s="331"/>
      <c r="L769" s="331"/>
      <c r="M769" s="331"/>
      <c r="N769" s="331"/>
      <c r="O769" s="331"/>
      <c r="P769" s="331"/>
      <c r="Q769" s="331"/>
    </row>
    <row r="770" spans="1:17" ht="19.5" customHeight="1" x14ac:dyDescent="0.25">
      <c r="A770" s="331"/>
      <c r="B770" s="331"/>
      <c r="C770" s="331"/>
      <c r="D770" s="333"/>
      <c r="E770" s="333"/>
      <c r="F770" s="333"/>
      <c r="G770" s="331"/>
      <c r="H770" s="331"/>
      <c r="I770" s="331"/>
      <c r="J770" s="331"/>
      <c r="K770" s="331"/>
      <c r="L770" s="331"/>
      <c r="M770" s="331"/>
      <c r="N770" s="331"/>
      <c r="O770" s="331"/>
      <c r="P770" s="331"/>
      <c r="Q770" s="331"/>
    </row>
    <row r="771" spans="1:17" ht="19.5" customHeight="1" x14ac:dyDescent="0.25">
      <c r="A771" s="331"/>
      <c r="B771" s="331"/>
      <c r="C771" s="331"/>
      <c r="D771" s="333"/>
      <c r="E771" s="333"/>
      <c r="F771" s="333"/>
      <c r="G771" s="331"/>
      <c r="H771" s="331"/>
      <c r="I771" s="331"/>
      <c r="J771" s="331"/>
      <c r="K771" s="331"/>
      <c r="L771" s="331"/>
      <c r="M771" s="331"/>
      <c r="N771" s="331"/>
      <c r="O771" s="331"/>
      <c r="P771" s="331"/>
      <c r="Q771" s="331"/>
    </row>
    <row r="772" spans="1:17" ht="19.5" customHeight="1" x14ac:dyDescent="0.25">
      <c r="A772" s="331"/>
      <c r="B772" s="331"/>
      <c r="C772" s="331"/>
      <c r="D772" s="333"/>
      <c r="E772" s="333"/>
      <c r="F772" s="333"/>
      <c r="G772" s="331"/>
      <c r="H772" s="331"/>
      <c r="I772" s="331"/>
      <c r="J772" s="331"/>
      <c r="K772" s="331"/>
      <c r="L772" s="331"/>
      <c r="M772" s="331"/>
      <c r="N772" s="331"/>
      <c r="O772" s="331"/>
      <c r="P772" s="331"/>
      <c r="Q772" s="331"/>
    </row>
    <row r="773" spans="1:17" ht="19.5" customHeight="1" x14ac:dyDescent="0.25">
      <c r="A773" s="331"/>
      <c r="B773" s="331"/>
      <c r="C773" s="331"/>
      <c r="D773" s="333"/>
      <c r="E773" s="333"/>
      <c r="F773" s="333"/>
      <c r="G773" s="331"/>
      <c r="H773" s="331"/>
      <c r="I773" s="331"/>
      <c r="J773" s="331"/>
      <c r="K773" s="331"/>
      <c r="L773" s="331"/>
      <c r="M773" s="331"/>
      <c r="N773" s="331"/>
      <c r="O773" s="331"/>
      <c r="P773" s="331"/>
      <c r="Q773" s="331"/>
    </row>
    <row r="774" spans="1:17" ht="19.5" customHeight="1" x14ac:dyDescent="0.25">
      <c r="A774" s="331"/>
      <c r="B774" s="331"/>
      <c r="C774" s="331"/>
      <c r="D774" s="333"/>
      <c r="E774" s="333"/>
      <c r="F774" s="333"/>
      <c r="G774" s="331"/>
      <c r="H774" s="331"/>
      <c r="I774" s="331"/>
      <c r="J774" s="331"/>
      <c r="K774" s="331"/>
      <c r="L774" s="331"/>
      <c r="M774" s="331"/>
      <c r="N774" s="331"/>
      <c r="O774" s="331"/>
      <c r="P774" s="331"/>
      <c r="Q774" s="331"/>
    </row>
    <row r="775" spans="1:17" ht="19.5" customHeight="1" x14ac:dyDescent="0.25">
      <c r="A775" s="331"/>
      <c r="B775" s="331"/>
      <c r="C775" s="331"/>
      <c r="D775" s="333"/>
      <c r="E775" s="333"/>
      <c r="F775" s="333"/>
      <c r="G775" s="331"/>
      <c r="H775" s="331"/>
      <c r="I775" s="331"/>
      <c r="J775" s="331"/>
      <c r="K775" s="331"/>
      <c r="L775" s="331"/>
      <c r="M775" s="331"/>
      <c r="N775" s="331"/>
      <c r="O775" s="331"/>
      <c r="P775" s="331"/>
      <c r="Q775" s="331"/>
    </row>
    <row r="776" spans="1:17" ht="19.5" customHeight="1" x14ac:dyDescent="0.25">
      <c r="A776" s="331"/>
      <c r="B776" s="331"/>
      <c r="C776" s="331"/>
      <c r="D776" s="333"/>
      <c r="E776" s="333"/>
      <c r="F776" s="333"/>
      <c r="G776" s="331"/>
      <c r="H776" s="331"/>
      <c r="I776" s="331"/>
      <c r="J776" s="331"/>
      <c r="K776" s="331"/>
      <c r="L776" s="331"/>
      <c r="M776" s="331"/>
      <c r="N776" s="331"/>
      <c r="O776" s="331"/>
      <c r="P776" s="331"/>
      <c r="Q776" s="331"/>
    </row>
    <row r="777" spans="1:17" ht="19.5" customHeight="1" x14ac:dyDescent="0.25">
      <c r="A777" s="331"/>
      <c r="B777" s="331"/>
      <c r="C777" s="331"/>
      <c r="D777" s="333"/>
      <c r="E777" s="333"/>
      <c r="F777" s="333"/>
      <c r="G777" s="331"/>
      <c r="H777" s="331"/>
      <c r="I777" s="331"/>
      <c r="J777" s="331"/>
      <c r="K777" s="331"/>
      <c r="L777" s="331"/>
      <c r="M777" s="331"/>
      <c r="N777" s="331"/>
      <c r="O777" s="331"/>
      <c r="P777" s="331"/>
      <c r="Q777" s="331"/>
    </row>
    <row r="778" spans="1:17" ht="19.5" customHeight="1" x14ac:dyDescent="0.25">
      <c r="A778" s="331"/>
      <c r="B778" s="331"/>
      <c r="C778" s="331"/>
      <c r="D778" s="333"/>
      <c r="E778" s="333"/>
      <c r="F778" s="333"/>
      <c r="G778" s="331"/>
      <c r="H778" s="331"/>
      <c r="I778" s="331"/>
      <c r="J778" s="331"/>
      <c r="K778" s="331"/>
      <c r="L778" s="331"/>
      <c r="M778" s="331"/>
      <c r="N778" s="331"/>
      <c r="O778" s="331"/>
      <c r="P778" s="331"/>
      <c r="Q778" s="331"/>
    </row>
    <row r="779" spans="1:17" ht="19.5" customHeight="1" x14ac:dyDescent="0.25">
      <c r="A779" s="331"/>
      <c r="B779" s="331"/>
      <c r="C779" s="331"/>
      <c r="D779" s="333"/>
      <c r="E779" s="333"/>
      <c r="F779" s="333"/>
      <c r="G779" s="331"/>
      <c r="H779" s="331"/>
      <c r="I779" s="331"/>
      <c r="J779" s="331"/>
      <c r="K779" s="331"/>
      <c r="L779" s="331"/>
      <c r="M779" s="331"/>
      <c r="N779" s="331"/>
      <c r="O779" s="331"/>
      <c r="P779" s="331"/>
      <c r="Q779" s="331"/>
    </row>
    <row r="780" spans="1:17" ht="19.5" customHeight="1" x14ac:dyDescent="0.25">
      <c r="A780" s="331"/>
      <c r="B780" s="331"/>
      <c r="C780" s="331"/>
      <c r="D780" s="333"/>
      <c r="E780" s="333"/>
      <c r="F780" s="333"/>
      <c r="G780" s="331"/>
      <c r="H780" s="331"/>
      <c r="I780" s="331"/>
      <c r="J780" s="331"/>
      <c r="K780" s="331"/>
      <c r="L780" s="331"/>
      <c r="M780" s="331"/>
      <c r="N780" s="331"/>
      <c r="O780" s="331"/>
      <c r="P780" s="331"/>
      <c r="Q780" s="331"/>
    </row>
    <row r="781" spans="1:17" ht="19.5" customHeight="1" x14ac:dyDescent="0.25">
      <c r="A781" s="331"/>
      <c r="B781" s="331"/>
      <c r="C781" s="331"/>
      <c r="D781" s="333"/>
      <c r="E781" s="333"/>
      <c r="F781" s="333"/>
      <c r="G781" s="331"/>
      <c r="H781" s="331"/>
      <c r="I781" s="331"/>
      <c r="J781" s="331"/>
      <c r="K781" s="331"/>
      <c r="L781" s="331"/>
      <c r="M781" s="331"/>
      <c r="N781" s="331"/>
      <c r="O781" s="331"/>
      <c r="P781" s="331"/>
      <c r="Q781" s="331"/>
    </row>
    <row r="782" spans="1:17" ht="19.5" customHeight="1" x14ac:dyDescent="0.25">
      <c r="A782" s="331"/>
      <c r="B782" s="331"/>
      <c r="C782" s="331"/>
      <c r="D782" s="333"/>
      <c r="E782" s="333"/>
      <c r="F782" s="333"/>
      <c r="G782" s="331"/>
      <c r="H782" s="331"/>
      <c r="I782" s="331"/>
      <c r="J782" s="331"/>
      <c r="K782" s="331"/>
      <c r="L782" s="331"/>
      <c r="M782" s="331"/>
      <c r="N782" s="331"/>
      <c r="O782" s="331"/>
      <c r="P782" s="331"/>
      <c r="Q782" s="331"/>
    </row>
    <row r="783" spans="1:17" ht="19.5" customHeight="1" x14ac:dyDescent="0.25">
      <c r="A783" s="331"/>
      <c r="B783" s="331"/>
      <c r="C783" s="331"/>
      <c r="D783" s="333"/>
      <c r="E783" s="333"/>
      <c r="F783" s="333"/>
      <c r="G783" s="331"/>
      <c r="H783" s="331"/>
      <c r="I783" s="331"/>
      <c r="J783" s="331"/>
      <c r="K783" s="331"/>
      <c r="L783" s="331"/>
      <c r="M783" s="331"/>
      <c r="N783" s="331"/>
      <c r="O783" s="331"/>
      <c r="P783" s="331"/>
      <c r="Q783" s="331"/>
    </row>
    <row r="784" spans="1:17" ht="19.5" customHeight="1" x14ac:dyDescent="0.25">
      <c r="A784" s="331"/>
      <c r="B784" s="331"/>
      <c r="C784" s="331"/>
      <c r="D784" s="333"/>
      <c r="E784" s="333"/>
      <c r="F784" s="333"/>
      <c r="G784" s="331"/>
      <c r="H784" s="331"/>
      <c r="I784" s="331"/>
      <c r="J784" s="331"/>
      <c r="K784" s="331"/>
      <c r="L784" s="331"/>
      <c r="M784" s="331"/>
      <c r="N784" s="331"/>
      <c r="O784" s="331"/>
      <c r="P784" s="331"/>
      <c r="Q784" s="331"/>
    </row>
    <row r="785" spans="1:17" ht="19.5" customHeight="1" x14ac:dyDescent="0.25">
      <c r="A785" s="331"/>
      <c r="B785" s="331"/>
      <c r="C785" s="331"/>
      <c r="D785" s="333"/>
      <c r="E785" s="333"/>
      <c r="F785" s="333"/>
      <c r="G785" s="331"/>
      <c r="H785" s="331"/>
      <c r="I785" s="331"/>
      <c r="J785" s="331"/>
      <c r="K785" s="331"/>
      <c r="L785" s="331"/>
      <c r="M785" s="331"/>
      <c r="N785" s="331"/>
      <c r="O785" s="331"/>
      <c r="P785" s="331"/>
      <c r="Q785" s="331"/>
    </row>
    <row r="786" spans="1:17" ht="19.5" customHeight="1" x14ac:dyDescent="0.25">
      <c r="A786" s="331"/>
      <c r="B786" s="331"/>
      <c r="C786" s="331"/>
      <c r="D786" s="333"/>
      <c r="E786" s="333"/>
      <c r="F786" s="333"/>
      <c r="G786" s="331"/>
      <c r="H786" s="331"/>
      <c r="I786" s="331"/>
      <c r="J786" s="331"/>
      <c r="K786" s="331"/>
      <c r="L786" s="331"/>
      <c r="M786" s="331"/>
      <c r="N786" s="331"/>
      <c r="O786" s="331"/>
      <c r="P786" s="331"/>
      <c r="Q786" s="331"/>
    </row>
    <row r="787" spans="1:17" ht="19.5" customHeight="1" x14ac:dyDescent="0.25">
      <c r="A787" s="331"/>
      <c r="B787" s="331"/>
      <c r="C787" s="331"/>
      <c r="D787" s="333"/>
      <c r="E787" s="333"/>
      <c r="F787" s="333"/>
      <c r="G787" s="331"/>
      <c r="H787" s="331"/>
      <c r="I787" s="331"/>
      <c r="J787" s="331"/>
      <c r="K787" s="331"/>
      <c r="L787" s="331"/>
      <c r="M787" s="331"/>
      <c r="N787" s="331"/>
      <c r="O787" s="331"/>
      <c r="P787" s="331"/>
      <c r="Q787" s="331"/>
    </row>
    <row r="788" spans="1:17" ht="19.5" customHeight="1" x14ac:dyDescent="0.25">
      <c r="A788" s="331"/>
      <c r="B788" s="331"/>
      <c r="C788" s="331"/>
      <c r="D788" s="333"/>
      <c r="E788" s="333"/>
      <c r="F788" s="333"/>
      <c r="G788" s="331"/>
      <c r="H788" s="331"/>
      <c r="I788" s="331"/>
      <c r="J788" s="331"/>
      <c r="K788" s="331"/>
      <c r="L788" s="331"/>
      <c r="M788" s="331"/>
      <c r="N788" s="331"/>
      <c r="O788" s="331"/>
      <c r="P788" s="331"/>
      <c r="Q788" s="331"/>
    </row>
    <row r="789" spans="1:17" ht="19.5" customHeight="1" x14ac:dyDescent="0.25">
      <c r="A789" s="331"/>
      <c r="B789" s="331"/>
      <c r="C789" s="331"/>
      <c r="D789" s="333"/>
      <c r="E789" s="333"/>
      <c r="F789" s="333"/>
      <c r="G789" s="331"/>
      <c r="H789" s="331"/>
      <c r="I789" s="331"/>
      <c r="J789" s="331"/>
      <c r="K789" s="331"/>
      <c r="L789" s="331"/>
      <c r="M789" s="331"/>
      <c r="N789" s="331"/>
      <c r="O789" s="331"/>
      <c r="P789" s="331"/>
      <c r="Q789" s="331"/>
    </row>
    <row r="790" spans="1:17" ht="19.5" customHeight="1" x14ac:dyDescent="0.25">
      <c r="A790" s="331"/>
      <c r="B790" s="331"/>
      <c r="C790" s="331"/>
      <c r="D790" s="333"/>
      <c r="E790" s="333"/>
      <c r="F790" s="333"/>
      <c r="G790" s="331"/>
      <c r="H790" s="331"/>
      <c r="I790" s="331"/>
      <c r="J790" s="331"/>
      <c r="K790" s="331"/>
      <c r="L790" s="331"/>
      <c r="M790" s="331"/>
      <c r="N790" s="331"/>
      <c r="O790" s="331"/>
      <c r="P790" s="331"/>
      <c r="Q790" s="331"/>
    </row>
    <row r="791" spans="1:17" ht="19.5" customHeight="1" x14ac:dyDescent="0.25">
      <c r="A791" s="331"/>
      <c r="B791" s="331"/>
      <c r="C791" s="331"/>
      <c r="D791" s="333"/>
      <c r="E791" s="333"/>
      <c r="F791" s="333"/>
      <c r="G791" s="331"/>
      <c r="H791" s="331"/>
      <c r="I791" s="331"/>
      <c r="J791" s="331"/>
      <c r="K791" s="331"/>
      <c r="L791" s="331"/>
      <c r="M791" s="331"/>
      <c r="N791" s="331"/>
      <c r="O791" s="331"/>
      <c r="P791" s="331"/>
      <c r="Q791" s="331"/>
    </row>
    <row r="792" spans="1:17" ht="19.5" customHeight="1" x14ac:dyDescent="0.25">
      <c r="A792" s="331"/>
      <c r="B792" s="331"/>
      <c r="C792" s="331"/>
      <c r="D792" s="333"/>
      <c r="E792" s="333"/>
      <c r="F792" s="333"/>
      <c r="G792" s="331"/>
      <c r="H792" s="331"/>
      <c r="I792" s="331"/>
      <c r="J792" s="331"/>
      <c r="K792" s="331"/>
      <c r="L792" s="331"/>
      <c r="M792" s="331"/>
      <c r="N792" s="331"/>
      <c r="O792" s="331"/>
      <c r="P792" s="331"/>
      <c r="Q792" s="331"/>
    </row>
    <row r="793" spans="1:17" ht="19.5" customHeight="1" x14ac:dyDescent="0.25">
      <c r="A793" s="331"/>
      <c r="B793" s="331"/>
      <c r="C793" s="331"/>
      <c r="D793" s="333"/>
      <c r="E793" s="333"/>
      <c r="F793" s="333"/>
      <c r="G793" s="331"/>
      <c r="H793" s="331"/>
      <c r="I793" s="331"/>
      <c r="J793" s="331"/>
      <c r="K793" s="331"/>
      <c r="L793" s="331"/>
      <c r="M793" s="331"/>
      <c r="N793" s="331"/>
      <c r="O793" s="331"/>
      <c r="P793" s="331"/>
      <c r="Q793" s="331"/>
    </row>
    <row r="794" spans="1:17" ht="19.5" customHeight="1" x14ac:dyDescent="0.25">
      <c r="A794" s="331"/>
      <c r="B794" s="331"/>
      <c r="C794" s="331"/>
      <c r="D794" s="333"/>
      <c r="E794" s="333"/>
      <c r="F794" s="333"/>
      <c r="G794" s="331"/>
      <c r="H794" s="331"/>
      <c r="I794" s="331"/>
      <c r="J794" s="331"/>
      <c r="K794" s="331"/>
      <c r="L794" s="331"/>
      <c r="M794" s="331"/>
      <c r="N794" s="331"/>
      <c r="O794" s="331"/>
      <c r="P794" s="331"/>
      <c r="Q794" s="331"/>
    </row>
    <row r="795" spans="1:17" ht="19.5" customHeight="1" x14ac:dyDescent="0.25">
      <c r="A795" s="331"/>
      <c r="B795" s="331"/>
      <c r="C795" s="331"/>
      <c r="D795" s="333"/>
      <c r="E795" s="333"/>
      <c r="F795" s="333"/>
      <c r="G795" s="331"/>
      <c r="H795" s="331"/>
      <c r="I795" s="331"/>
      <c r="J795" s="331"/>
      <c r="K795" s="331"/>
      <c r="L795" s="331"/>
      <c r="M795" s="331"/>
      <c r="N795" s="331"/>
      <c r="O795" s="331"/>
      <c r="P795" s="331"/>
      <c r="Q795" s="331"/>
    </row>
    <row r="796" spans="1:17" ht="19.5" customHeight="1" x14ac:dyDescent="0.25">
      <c r="A796" s="331"/>
      <c r="B796" s="331"/>
      <c r="C796" s="331"/>
      <c r="D796" s="333"/>
      <c r="E796" s="333"/>
      <c r="F796" s="333"/>
      <c r="G796" s="331"/>
      <c r="H796" s="331"/>
      <c r="I796" s="331"/>
      <c r="J796" s="331"/>
      <c r="K796" s="331"/>
      <c r="L796" s="331"/>
      <c r="M796" s="331"/>
      <c r="N796" s="331"/>
      <c r="O796" s="331"/>
      <c r="P796" s="331"/>
      <c r="Q796" s="331"/>
    </row>
    <row r="797" spans="1:17" ht="19.5" customHeight="1" x14ac:dyDescent="0.25">
      <c r="A797" s="331"/>
      <c r="B797" s="331"/>
      <c r="C797" s="331"/>
      <c r="D797" s="333"/>
      <c r="E797" s="333"/>
      <c r="F797" s="333"/>
      <c r="G797" s="331"/>
      <c r="H797" s="331"/>
      <c r="I797" s="331"/>
      <c r="J797" s="331"/>
      <c r="K797" s="331"/>
      <c r="L797" s="331"/>
      <c r="M797" s="331"/>
      <c r="N797" s="331"/>
      <c r="O797" s="331"/>
      <c r="P797" s="331"/>
      <c r="Q797" s="331"/>
    </row>
    <row r="798" spans="1:17" ht="19.5" customHeight="1" x14ac:dyDescent="0.25">
      <c r="A798" s="331"/>
      <c r="B798" s="331"/>
      <c r="C798" s="331"/>
      <c r="D798" s="333"/>
      <c r="E798" s="333"/>
      <c r="F798" s="333"/>
      <c r="G798" s="331"/>
      <c r="H798" s="331"/>
      <c r="I798" s="331"/>
      <c r="J798" s="331"/>
      <c r="K798" s="331"/>
      <c r="L798" s="331"/>
      <c r="M798" s="331"/>
      <c r="N798" s="331"/>
      <c r="O798" s="331"/>
      <c r="P798" s="331"/>
      <c r="Q798" s="331"/>
    </row>
    <row r="799" spans="1:17" ht="19.5" customHeight="1" x14ac:dyDescent="0.25">
      <c r="A799" s="331"/>
      <c r="B799" s="331"/>
      <c r="C799" s="331"/>
      <c r="D799" s="333"/>
      <c r="E799" s="333"/>
      <c r="F799" s="333"/>
      <c r="G799" s="331"/>
      <c r="H799" s="331"/>
      <c r="I799" s="331"/>
      <c r="J799" s="331"/>
      <c r="K799" s="331"/>
      <c r="L799" s="331"/>
      <c r="M799" s="331"/>
      <c r="N799" s="331"/>
      <c r="O799" s="331"/>
      <c r="P799" s="331"/>
      <c r="Q799" s="331"/>
    </row>
    <row r="800" spans="1:17" ht="19.5" customHeight="1" x14ac:dyDescent="0.25">
      <c r="A800" s="331"/>
      <c r="B800" s="331"/>
      <c r="C800" s="331"/>
      <c r="D800" s="333"/>
      <c r="E800" s="333"/>
      <c r="F800" s="333"/>
      <c r="G800" s="331"/>
      <c r="H800" s="331"/>
      <c r="I800" s="331"/>
      <c r="J800" s="331"/>
      <c r="K800" s="331"/>
      <c r="L800" s="331"/>
      <c r="M800" s="331"/>
      <c r="N800" s="331"/>
      <c r="O800" s="331"/>
      <c r="P800" s="331"/>
      <c r="Q800" s="331"/>
    </row>
    <row r="801" spans="1:17" ht="19.5" customHeight="1" x14ac:dyDescent="0.25">
      <c r="A801" s="331"/>
      <c r="B801" s="331"/>
      <c r="C801" s="331"/>
      <c r="D801" s="333"/>
      <c r="E801" s="333"/>
      <c r="F801" s="333"/>
      <c r="G801" s="331"/>
      <c r="H801" s="331"/>
      <c r="I801" s="331"/>
      <c r="J801" s="331"/>
      <c r="K801" s="331"/>
      <c r="L801" s="331"/>
      <c r="M801" s="331"/>
      <c r="N801" s="331"/>
      <c r="O801" s="331"/>
      <c r="P801" s="331"/>
      <c r="Q801" s="331"/>
    </row>
    <row r="802" spans="1:17" ht="19.5" customHeight="1" x14ac:dyDescent="0.25">
      <c r="A802" s="331"/>
      <c r="B802" s="331"/>
      <c r="C802" s="331"/>
      <c r="D802" s="333"/>
      <c r="E802" s="333"/>
      <c r="F802" s="333"/>
      <c r="G802" s="331"/>
      <c r="H802" s="331"/>
      <c r="I802" s="331"/>
      <c r="J802" s="331"/>
      <c r="K802" s="331"/>
      <c r="L802" s="331"/>
      <c r="M802" s="331"/>
      <c r="N802" s="331"/>
      <c r="O802" s="331"/>
      <c r="P802" s="331"/>
      <c r="Q802" s="331"/>
    </row>
    <row r="803" spans="1:17" ht="19.5" customHeight="1" x14ac:dyDescent="0.25">
      <c r="A803" s="331"/>
      <c r="B803" s="331"/>
      <c r="C803" s="331"/>
      <c r="D803" s="333"/>
      <c r="E803" s="333"/>
      <c r="F803" s="333"/>
      <c r="G803" s="331"/>
      <c r="H803" s="331"/>
      <c r="I803" s="331"/>
      <c r="J803" s="331"/>
      <c r="K803" s="331"/>
      <c r="L803" s="331"/>
      <c r="M803" s="331"/>
      <c r="N803" s="331"/>
      <c r="O803" s="331"/>
      <c r="P803" s="331"/>
      <c r="Q803" s="331"/>
    </row>
    <row r="804" spans="1:17" ht="19.5" customHeight="1" x14ac:dyDescent="0.25">
      <c r="A804" s="331"/>
      <c r="B804" s="331"/>
      <c r="C804" s="331"/>
      <c r="D804" s="333"/>
      <c r="E804" s="333"/>
      <c r="F804" s="333"/>
      <c r="G804" s="331"/>
      <c r="H804" s="331"/>
      <c r="I804" s="331"/>
      <c r="J804" s="331"/>
      <c r="K804" s="331"/>
      <c r="L804" s="331"/>
      <c r="M804" s="331"/>
      <c r="N804" s="331"/>
      <c r="O804" s="331"/>
      <c r="P804" s="331"/>
      <c r="Q804" s="331"/>
    </row>
    <row r="805" spans="1:17" ht="19.5" customHeight="1" x14ac:dyDescent="0.25">
      <c r="A805" s="331"/>
      <c r="B805" s="331"/>
      <c r="C805" s="331"/>
      <c r="D805" s="333"/>
      <c r="E805" s="333"/>
      <c r="F805" s="333"/>
      <c r="G805" s="331"/>
      <c r="H805" s="331"/>
      <c r="I805" s="331"/>
      <c r="J805" s="331"/>
      <c r="K805" s="331"/>
      <c r="L805" s="331"/>
      <c r="M805" s="331"/>
      <c r="N805" s="331"/>
      <c r="O805" s="331"/>
      <c r="P805" s="331"/>
      <c r="Q805" s="331"/>
    </row>
    <row r="806" spans="1:17" ht="19.5" customHeight="1" x14ac:dyDescent="0.25">
      <c r="A806" s="331"/>
      <c r="B806" s="331"/>
      <c r="C806" s="331"/>
      <c r="D806" s="333"/>
      <c r="E806" s="333"/>
      <c r="F806" s="333"/>
      <c r="G806" s="331"/>
      <c r="H806" s="331"/>
      <c r="I806" s="331"/>
      <c r="J806" s="331"/>
      <c r="K806" s="331"/>
      <c r="L806" s="331"/>
      <c r="M806" s="331"/>
      <c r="N806" s="331"/>
      <c r="O806" s="331"/>
      <c r="P806" s="331"/>
      <c r="Q806" s="331"/>
    </row>
    <row r="807" spans="1:17" ht="19.5" customHeight="1" x14ac:dyDescent="0.25">
      <c r="A807" s="331"/>
      <c r="B807" s="331"/>
      <c r="C807" s="331"/>
      <c r="D807" s="333"/>
      <c r="E807" s="333"/>
      <c r="F807" s="333"/>
      <c r="G807" s="331"/>
      <c r="H807" s="331"/>
      <c r="I807" s="331"/>
      <c r="J807" s="331"/>
      <c r="K807" s="331"/>
      <c r="L807" s="331"/>
      <c r="M807" s="331"/>
      <c r="N807" s="331"/>
      <c r="O807" s="331"/>
      <c r="P807" s="331"/>
      <c r="Q807" s="331"/>
    </row>
    <row r="808" spans="1:17" ht="19.5" customHeight="1" x14ac:dyDescent="0.25">
      <c r="A808" s="331"/>
      <c r="B808" s="331"/>
      <c r="C808" s="331"/>
      <c r="D808" s="333"/>
      <c r="E808" s="333"/>
      <c r="F808" s="333"/>
      <c r="G808" s="331"/>
      <c r="H808" s="331"/>
      <c r="I808" s="331"/>
      <c r="J808" s="331"/>
      <c r="K808" s="331"/>
      <c r="L808" s="331"/>
      <c r="M808" s="331"/>
      <c r="N808" s="331"/>
      <c r="O808" s="331"/>
      <c r="P808" s="331"/>
      <c r="Q808" s="331"/>
    </row>
    <row r="809" spans="1:17" ht="19.5" customHeight="1" x14ac:dyDescent="0.25">
      <c r="A809" s="331"/>
      <c r="B809" s="331"/>
      <c r="C809" s="331"/>
      <c r="D809" s="333"/>
      <c r="E809" s="333"/>
      <c r="F809" s="333"/>
      <c r="G809" s="331"/>
      <c r="H809" s="331"/>
      <c r="I809" s="331"/>
      <c r="J809" s="331"/>
      <c r="K809" s="331"/>
      <c r="L809" s="331"/>
      <c r="M809" s="331"/>
      <c r="N809" s="331"/>
      <c r="O809" s="331"/>
      <c r="P809" s="331"/>
      <c r="Q809" s="331"/>
    </row>
    <row r="810" spans="1:17" ht="19.5" customHeight="1" x14ac:dyDescent="0.25">
      <c r="A810" s="331"/>
      <c r="B810" s="331"/>
      <c r="C810" s="331"/>
      <c r="D810" s="333"/>
      <c r="E810" s="333"/>
      <c r="F810" s="333"/>
      <c r="G810" s="331"/>
      <c r="H810" s="331"/>
      <c r="I810" s="331"/>
      <c r="J810" s="331"/>
      <c r="K810" s="331"/>
      <c r="L810" s="331"/>
      <c r="M810" s="331"/>
      <c r="N810" s="331"/>
      <c r="O810" s="331"/>
      <c r="P810" s="331"/>
      <c r="Q810" s="331"/>
    </row>
    <row r="811" spans="1:17" ht="19.5" customHeight="1" x14ac:dyDescent="0.25">
      <c r="A811" s="331"/>
      <c r="B811" s="331"/>
      <c r="C811" s="331"/>
      <c r="D811" s="333"/>
      <c r="E811" s="333"/>
      <c r="F811" s="333"/>
      <c r="G811" s="331"/>
      <c r="H811" s="331"/>
      <c r="I811" s="331"/>
      <c r="J811" s="331"/>
      <c r="K811" s="331"/>
      <c r="L811" s="331"/>
      <c r="M811" s="331"/>
      <c r="N811" s="331"/>
      <c r="O811" s="331"/>
      <c r="P811" s="331"/>
      <c r="Q811" s="331"/>
    </row>
    <row r="812" spans="1:17" ht="19.5" customHeight="1" x14ac:dyDescent="0.25">
      <c r="A812" s="331"/>
      <c r="B812" s="331"/>
      <c r="C812" s="331"/>
      <c r="D812" s="333"/>
      <c r="E812" s="333"/>
      <c r="F812" s="333"/>
      <c r="G812" s="331"/>
      <c r="H812" s="331"/>
      <c r="I812" s="331"/>
      <c r="J812" s="331"/>
      <c r="K812" s="331"/>
      <c r="L812" s="331"/>
      <c r="M812" s="331"/>
      <c r="N812" s="331"/>
      <c r="O812" s="331"/>
      <c r="P812" s="331"/>
      <c r="Q812" s="331"/>
    </row>
    <row r="813" spans="1:17" ht="19.5" customHeight="1" x14ac:dyDescent="0.25">
      <c r="A813" s="331"/>
      <c r="B813" s="331"/>
      <c r="C813" s="331"/>
      <c r="D813" s="333"/>
      <c r="E813" s="333"/>
      <c r="F813" s="333"/>
      <c r="G813" s="331"/>
      <c r="H813" s="331"/>
      <c r="I813" s="331"/>
      <c r="J813" s="331"/>
      <c r="K813" s="331"/>
      <c r="L813" s="331"/>
      <c r="M813" s="331"/>
      <c r="N813" s="331"/>
      <c r="O813" s="331"/>
      <c r="P813" s="331"/>
      <c r="Q813" s="331"/>
    </row>
    <row r="814" spans="1:17" ht="19.5" customHeight="1" x14ac:dyDescent="0.25">
      <c r="A814" s="331"/>
      <c r="B814" s="331"/>
      <c r="C814" s="331"/>
      <c r="D814" s="333"/>
      <c r="E814" s="333"/>
      <c r="F814" s="333"/>
      <c r="G814" s="331"/>
      <c r="H814" s="331"/>
      <c r="I814" s="331"/>
      <c r="J814" s="331"/>
      <c r="K814" s="331"/>
      <c r="L814" s="331"/>
      <c r="M814" s="331"/>
      <c r="N814" s="331"/>
      <c r="O814" s="331"/>
      <c r="P814" s="331"/>
      <c r="Q814" s="331"/>
    </row>
    <row r="815" spans="1:17" ht="19.5" customHeight="1" x14ac:dyDescent="0.25">
      <c r="A815" s="331"/>
      <c r="B815" s="331"/>
      <c r="C815" s="331"/>
      <c r="D815" s="333"/>
      <c r="E815" s="333"/>
      <c r="F815" s="333"/>
      <c r="G815" s="331"/>
      <c r="H815" s="331"/>
      <c r="I815" s="331"/>
      <c r="J815" s="331"/>
      <c r="K815" s="331"/>
      <c r="L815" s="331"/>
      <c r="M815" s="331"/>
      <c r="N815" s="331"/>
      <c r="O815" s="331"/>
      <c r="P815" s="331"/>
      <c r="Q815" s="331"/>
    </row>
    <row r="816" spans="1:17" ht="19.5" customHeight="1" x14ac:dyDescent="0.25">
      <c r="A816" s="331"/>
      <c r="B816" s="331"/>
      <c r="C816" s="331"/>
      <c r="D816" s="333"/>
      <c r="E816" s="333"/>
      <c r="F816" s="333"/>
      <c r="G816" s="331"/>
      <c r="H816" s="331"/>
      <c r="I816" s="331"/>
      <c r="J816" s="331"/>
      <c r="K816" s="331"/>
      <c r="L816" s="331"/>
      <c r="M816" s="331"/>
      <c r="N816" s="331"/>
      <c r="O816" s="331"/>
      <c r="P816" s="331"/>
      <c r="Q816" s="331"/>
    </row>
    <row r="817" spans="1:17" ht="19.5" customHeight="1" x14ac:dyDescent="0.25">
      <c r="A817" s="331"/>
      <c r="B817" s="331"/>
      <c r="C817" s="331"/>
      <c r="D817" s="333"/>
      <c r="E817" s="333"/>
      <c r="F817" s="333"/>
      <c r="G817" s="331"/>
      <c r="H817" s="331"/>
      <c r="I817" s="331"/>
      <c r="J817" s="331"/>
      <c r="K817" s="331"/>
      <c r="L817" s="331"/>
      <c r="M817" s="331"/>
      <c r="N817" s="331"/>
      <c r="O817" s="331"/>
      <c r="P817" s="331"/>
      <c r="Q817" s="331"/>
    </row>
    <row r="818" spans="1:17" ht="19.5" customHeight="1" x14ac:dyDescent="0.25">
      <c r="A818" s="331"/>
      <c r="B818" s="331"/>
      <c r="C818" s="331"/>
      <c r="D818" s="333"/>
      <c r="E818" s="333"/>
      <c r="F818" s="333"/>
      <c r="G818" s="331"/>
      <c r="H818" s="331"/>
      <c r="I818" s="331"/>
      <c r="J818" s="331"/>
      <c r="K818" s="331"/>
      <c r="L818" s="331"/>
      <c r="M818" s="331"/>
      <c r="N818" s="331"/>
      <c r="O818" s="331"/>
      <c r="P818" s="331"/>
      <c r="Q818" s="331"/>
    </row>
    <row r="819" spans="1:17" ht="19.5" customHeight="1" x14ac:dyDescent="0.25">
      <c r="A819" s="331"/>
      <c r="B819" s="331"/>
      <c r="C819" s="331"/>
      <c r="D819" s="333"/>
      <c r="E819" s="333"/>
      <c r="F819" s="333"/>
      <c r="G819" s="331"/>
      <c r="H819" s="331"/>
      <c r="I819" s="331"/>
      <c r="J819" s="331"/>
      <c r="K819" s="331"/>
      <c r="L819" s="331"/>
      <c r="M819" s="331"/>
      <c r="N819" s="331"/>
      <c r="O819" s="331"/>
      <c r="P819" s="331"/>
      <c r="Q819" s="331"/>
    </row>
    <row r="820" spans="1:17" ht="19.5" customHeight="1" x14ac:dyDescent="0.25">
      <c r="A820" s="331"/>
      <c r="B820" s="331"/>
      <c r="C820" s="331"/>
      <c r="D820" s="333"/>
      <c r="E820" s="333"/>
      <c r="F820" s="333"/>
      <c r="G820" s="331"/>
      <c r="H820" s="331"/>
      <c r="I820" s="331"/>
      <c r="J820" s="331"/>
      <c r="K820" s="331"/>
      <c r="L820" s="331"/>
      <c r="M820" s="331"/>
      <c r="N820" s="331"/>
      <c r="O820" s="331"/>
      <c r="P820" s="331"/>
      <c r="Q820" s="331"/>
    </row>
    <row r="821" spans="1:17" ht="19.5" customHeight="1" x14ac:dyDescent="0.25">
      <c r="A821" s="331"/>
      <c r="B821" s="331"/>
      <c r="C821" s="331"/>
      <c r="D821" s="333"/>
      <c r="E821" s="333"/>
      <c r="F821" s="333"/>
      <c r="G821" s="331"/>
      <c r="H821" s="331"/>
      <c r="I821" s="331"/>
      <c r="J821" s="331"/>
      <c r="K821" s="331"/>
      <c r="L821" s="331"/>
      <c r="M821" s="331"/>
      <c r="N821" s="331"/>
      <c r="O821" s="331"/>
      <c r="P821" s="331"/>
      <c r="Q821" s="331"/>
    </row>
    <row r="822" spans="1:17" ht="19.5" customHeight="1" x14ac:dyDescent="0.25">
      <c r="A822" s="331"/>
      <c r="B822" s="331"/>
      <c r="C822" s="331"/>
      <c r="D822" s="333"/>
      <c r="E822" s="333"/>
      <c r="F822" s="333"/>
      <c r="G822" s="331"/>
      <c r="H822" s="331"/>
      <c r="I822" s="331"/>
      <c r="J822" s="331"/>
      <c r="K822" s="331"/>
      <c r="L822" s="331"/>
      <c r="M822" s="331"/>
      <c r="N822" s="331"/>
      <c r="O822" s="331"/>
      <c r="P822" s="331"/>
      <c r="Q822" s="331"/>
    </row>
    <row r="823" spans="1:17" ht="19.5" customHeight="1" x14ac:dyDescent="0.25">
      <c r="A823" s="331"/>
      <c r="B823" s="331"/>
      <c r="C823" s="331"/>
      <c r="D823" s="333"/>
      <c r="E823" s="333"/>
      <c r="F823" s="333"/>
      <c r="G823" s="331"/>
      <c r="H823" s="331"/>
      <c r="I823" s="331"/>
      <c r="J823" s="331"/>
      <c r="K823" s="331"/>
      <c r="L823" s="331"/>
      <c r="M823" s="331"/>
      <c r="N823" s="331"/>
      <c r="O823" s="331"/>
      <c r="P823" s="331"/>
      <c r="Q823" s="331"/>
    </row>
    <row r="824" spans="1:17" ht="19.5" customHeight="1" x14ac:dyDescent="0.25">
      <c r="A824" s="331"/>
      <c r="B824" s="331"/>
      <c r="C824" s="331"/>
      <c r="D824" s="333"/>
      <c r="E824" s="333"/>
      <c r="F824" s="333"/>
      <c r="G824" s="331"/>
      <c r="H824" s="331"/>
      <c r="I824" s="331"/>
      <c r="J824" s="331"/>
      <c r="K824" s="331"/>
      <c r="L824" s="331"/>
      <c r="M824" s="331"/>
      <c r="N824" s="331"/>
      <c r="O824" s="331"/>
      <c r="P824" s="331"/>
      <c r="Q824" s="331"/>
    </row>
    <row r="825" spans="1:17" ht="19.5" customHeight="1" x14ac:dyDescent="0.25">
      <c r="A825" s="331"/>
      <c r="B825" s="331"/>
      <c r="C825" s="331"/>
      <c r="D825" s="333"/>
      <c r="E825" s="333"/>
      <c r="F825" s="333"/>
      <c r="G825" s="331"/>
      <c r="H825" s="331"/>
      <c r="I825" s="331"/>
      <c r="J825" s="331"/>
      <c r="K825" s="331"/>
      <c r="L825" s="331"/>
      <c r="M825" s="331"/>
      <c r="N825" s="331"/>
      <c r="O825" s="331"/>
      <c r="P825" s="331"/>
      <c r="Q825" s="331"/>
    </row>
    <row r="826" spans="1:17" ht="19.5" customHeight="1" x14ac:dyDescent="0.25">
      <c r="A826" s="331"/>
      <c r="B826" s="331"/>
      <c r="C826" s="331"/>
      <c r="D826" s="333"/>
      <c r="E826" s="333"/>
      <c r="F826" s="333"/>
      <c r="G826" s="331"/>
      <c r="H826" s="331"/>
      <c r="I826" s="331"/>
      <c r="J826" s="331"/>
      <c r="K826" s="331"/>
      <c r="L826" s="331"/>
      <c r="M826" s="331"/>
      <c r="N826" s="331"/>
      <c r="O826" s="331"/>
      <c r="P826" s="331"/>
      <c r="Q826" s="331"/>
    </row>
    <row r="827" spans="1:17" ht="19.5" customHeight="1" x14ac:dyDescent="0.25">
      <c r="A827" s="331"/>
      <c r="B827" s="331"/>
      <c r="C827" s="331"/>
      <c r="D827" s="333"/>
      <c r="E827" s="333"/>
      <c r="F827" s="333"/>
      <c r="G827" s="331"/>
      <c r="H827" s="331"/>
      <c r="I827" s="331"/>
      <c r="J827" s="331"/>
      <c r="K827" s="331"/>
      <c r="L827" s="331"/>
      <c r="M827" s="331"/>
      <c r="N827" s="331"/>
      <c r="O827" s="331"/>
      <c r="P827" s="331"/>
      <c r="Q827" s="331"/>
    </row>
    <row r="828" spans="1:17" ht="19.5" customHeight="1" x14ac:dyDescent="0.25">
      <c r="A828" s="331"/>
      <c r="B828" s="331"/>
      <c r="C828" s="331"/>
      <c r="D828" s="333"/>
      <c r="E828" s="333"/>
      <c r="F828" s="333"/>
      <c r="G828" s="331"/>
      <c r="H828" s="331"/>
      <c r="I828" s="331"/>
      <c r="J828" s="331"/>
      <c r="K828" s="331"/>
      <c r="L828" s="331"/>
      <c r="M828" s="331"/>
      <c r="N828" s="331"/>
      <c r="O828" s="331"/>
      <c r="P828" s="331"/>
      <c r="Q828" s="331"/>
    </row>
    <row r="829" spans="1:17" ht="19.5" customHeight="1" x14ac:dyDescent="0.25">
      <c r="A829" s="331"/>
      <c r="B829" s="331"/>
      <c r="C829" s="331"/>
      <c r="D829" s="333"/>
      <c r="E829" s="333"/>
      <c r="F829" s="333"/>
      <c r="G829" s="331"/>
      <c r="H829" s="331"/>
      <c r="I829" s="331"/>
      <c r="J829" s="331"/>
      <c r="K829" s="331"/>
      <c r="L829" s="331"/>
      <c r="M829" s="331"/>
      <c r="N829" s="331"/>
      <c r="O829" s="331"/>
      <c r="P829" s="331"/>
      <c r="Q829" s="331"/>
    </row>
    <row r="830" spans="1:17" ht="19.5" customHeight="1" x14ac:dyDescent="0.25">
      <c r="A830" s="331"/>
      <c r="B830" s="331"/>
      <c r="C830" s="331"/>
      <c r="D830" s="333"/>
      <c r="E830" s="333"/>
      <c r="F830" s="333"/>
      <c r="G830" s="331"/>
      <c r="H830" s="331"/>
      <c r="I830" s="331"/>
      <c r="J830" s="331"/>
      <c r="K830" s="331"/>
      <c r="L830" s="331"/>
      <c r="M830" s="331"/>
      <c r="N830" s="331"/>
      <c r="O830" s="331"/>
      <c r="P830" s="331"/>
      <c r="Q830" s="331"/>
    </row>
    <row r="831" spans="1:17" ht="19.5" customHeight="1" x14ac:dyDescent="0.25">
      <c r="A831" s="331"/>
      <c r="B831" s="331"/>
      <c r="C831" s="331"/>
      <c r="D831" s="333"/>
      <c r="E831" s="333"/>
      <c r="F831" s="333"/>
      <c r="G831" s="331"/>
      <c r="H831" s="331"/>
      <c r="I831" s="331"/>
      <c r="J831" s="331"/>
      <c r="K831" s="331"/>
      <c r="L831" s="331"/>
      <c r="M831" s="331"/>
      <c r="N831" s="331"/>
      <c r="O831" s="331"/>
      <c r="P831" s="331"/>
      <c r="Q831" s="331"/>
    </row>
    <row r="832" spans="1:17" ht="19.5" customHeight="1" x14ac:dyDescent="0.25">
      <c r="A832" s="331"/>
      <c r="B832" s="331"/>
      <c r="C832" s="331"/>
      <c r="D832" s="333"/>
      <c r="E832" s="333"/>
      <c r="F832" s="333"/>
      <c r="G832" s="331"/>
      <c r="H832" s="331"/>
      <c r="I832" s="331"/>
      <c r="J832" s="331"/>
      <c r="K832" s="331"/>
      <c r="L832" s="331"/>
      <c r="M832" s="331"/>
      <c r="N832" s="331"/>
      <c r="O832" s="331"/>
      <c r="P832" s="331"/>
      <c r="Q832" s="331"/>
    </row>
    <row r="833" spans="1:17" ht="19.5" customHeight="1" x14ac:dyDescent="0.25">
      <c r="A833" s="331"/>
      <c r="B833" s="331"/>
      <c r="C833" s="331"/>
      <c r="D833" s="333"/>
      <c r="E833" s="333"/>
      <c r="F833" s="333"/>
      <c r="G833" s="331"/>
      <c r="H833" s="331"/>
      <c r="I833" s="331"/>
      <c r="J833" s="331"/>
      <c r="K833" s="331"/>
      <c r="L833" s="331"/>
      <c r="M833" s="331"/>
      <c r="N833" s="331"/>
      <c r="O833" s="331"/>
      <c r="P833" s="331"/>
      <c r="Q833" s="331"/>
    </row>
    <row r="834" spans="1:17" ht="19.5" customHeight="1" x14ac:dyDescent="0.25">
      <c r="A834" s="331"/>
      <c r="B834" s="331"/>
      <c r="C834" s="331"/>
      <c r="D834" s="333"/>
      <c r="E834" s="333"/>
      <c r="F834" s="333"/>
      <c r="G834" s="331"/>
      <c r="H834" s="331"/>
      <c r="I834" s="331"/>
      <c r="J834" s="331"/>
      <c r="K834" s="331"/>
      <c r="L834" s="331"/>
      <c r="M834" s="331"/>
      <c r="N834" s="331"/>
      <c r="O834" s="331"/>
      <c r="P834" s="331"/>
      <c r="Q834" s="331"/>
    </row>
    <row r="835" spans="1:17" ht="19.5" customHeight="1" x14ac:dyDescent="0.25">
      <c r="A835" s="331"/>
      <c r="B835" s="331"/>
      <c r="C835" s="331"/>
      <c r="D835" s="333"/>
      <c r="E835" s="333"/>
      <c r="F835" s="333"/>
      <c r="G835" s="331"/>
      <c r="H835" s="331"/>
      <c r="I835" s="331"/>
      <c r="J835" s="331"/>
      <c r="K835" s="331"/>
      <c r="L835" s="331"/>
      <c r="M835" s="331"/>
      <c r="N835" s="331"/>
      <c r="O835" s="331"/>
      <c r="P835" s="331"/>
      <c r="Q835" s="331"/>
    </row>
    <row r="836" spans="1:17" ht="19.5" customHeight="1" x14ac:dyDescent="0.25">
      <c r="A836" s="331"/>
      <c r="B836" s="331"/>
      <c r="C836" s="331"/>
      <c r="D836" s="333"/>
      <c r="E836" s="333"/>
      <c r="F836" s="333"/>
      <c r="G836" s="331"/>
      <c r="H836" s="331"/>
      <c r="I836" s="331"/>
      <c r="J836" s="331"/>
      <c r="K836" s="331"/>
      <c r="L836" s="331"/>
      <c r="M836" s="331"/>
      <c r="N836" s="331"/>
      <c r="O836" s="331"/>
      <c r="P836" s="331"/>
      <c r="Q836" s="331"/>
    </row>
    <row r="837" spans="1:17" ht="19.5" customHeight="1" x14ac:dyDescent="0.25">
      <c r="A837" s="331"/>
      <c r="B837" s="331"/>
      <c r="C837" s="331"/>
      <c r="D837" s="333"/>
      <c r="E837" s="333"/>
      <c r="F837" s="333"/>
      <c r="G837" s="331"/>
      <c r="H837" s="331"/>
      <c r="I837" s="331"/>
      <c r="J837" s="331"/>
      <c r="K837" s="331"/>
      <c r="L837" s="331"/>
      <c r="M837" s="331"/>
      <c r="N837" s="331"/>
      <c r="O837" s="331"/>
      <c r="P837" s="331"/>
      <c r="Q837" s="331"/>
    </row>
    <row r="838" spans="1:17" ht="19.5" customHeight="1" x14ac:dyDescent="0.25">
      <c r="A838" s="331"/>
      <c r="B838" s="331"/>
      <c r="C838" s="331"/>
      <c r="D838" s="333"/>
      <c r="E838" s="333"/>
      <c r="F838" s="333"/>
      <c r="G838" s="331"/>
      <c r="H838" s="331"/>
      <c r="I838" s="331"/>
      <c r="J838" s="331"/>
      <c r="K838" s="331"/>
      <c r="L838" s="331"/>
      <c r="M838" s="331"/>
      <c r="N838" s="331"/>
      <c r="O838" s="331"/>
      <c r="P838" s="331"/>
      <c r="Q838" s="331"/>
    </row>
    <row r="839" spans="1:17" ht="19.5" customHeight="1" x14ac:dyDescent="0.25">
      <c r="A839" s="331"/>
      <c r="B839" s="331"/>
      <c r="C839" s="331"/>
      <c r="D839" s="333"/>
      <c r="E839" s="333"/>
      <c r="F839" s="333"/>
      <c r="G839" s="331"/>
      <c r="H839" s="331"/>
      <c r="I839" s="331"/>
      <c r="J839" s="331"/>
      <c r="K839" s="331"/>
      <c r="L839" s="331"/>
      <c r="M839" s="331"/>
      <c r="N839" s="331"/>
      <c r="O839" s="331"/>
      <c r="P839" s="331"/>
      <c r="Q839" s="331"/>
    </row>
    <row r="840" spans="1:17" ht="19.5" customHeight="1" x14ac:dyDescent="0.25">
      <c r="A840" s="331"/>
      <c r="B840" s="331"/>
      <c r="C840" s="331"/>
      <c r="D840" s="333"/>
      <c r="E840" s="333"/>
      <c r="F840" s="333"/>
      <c r="G840" s="331"/>
      <c r="H840" s="331"/>
      <c r="I840" s="331"/>
      <c r="J840" s="331"/>
      <c r="K840" s="331"/>
      <c r="L840" s="331"/>
      <c r="M840" s="331"/>
      <c r="N840" s="331"/>
      <c r="O840" s="331"/>
      <c r="P840" s="331"/>
      <c r="Q840" s="331"/>
    </row>
    <row r="841" spans="1:17" ht="19.5" customHeight="1" x14ac:dyDescent="0.25">
      <c r="A841" s="331"/>
      <c r="B841" s="331"/>
      <c r="C841" s="331"/>
      <c r="D841" s="333"/>
      <c r="E841" s="333"/>
      <c r="F841" s="333"/>
      <c r="G841" s="331"/>
      <c r="H841" s="331"/>
      <c r="I841" s="331"/>
      <c r="J841" s="331"/>
      <c r="K841" s="331"/>
      <c r="L841" s="331"/>
      <c r="M841" s="331"/>
      <c r="N841" s="331"/>
      <c r="O841" s="331"/>
      <c r="P841" s="331"/>
      <c r="Q841" s="331"/>
    </row>
    <row r="842" spans="1:17" ht="19.5" customHeight="1" x14ac:dyDescent="0.25">
      <c r="A842" s="331"/>
      <c r="B842" s="331"/>
      <c r="C842" s="331"/>
      <c r="D842" s="333"/>
      <c r="E842" s="333"/>
      <c r="F842" s="333"/>
      <c r="G842" s="331"/>
      <c r="H842" s="331"/>
      <c r="I842" s="331"/>
      <c r="J842" s="331"/>
      <c r="K842" s="331"/>
      <c r="L842" s="331"/>
      <c r="M842" s="331"/>
      <c r="N842" s="331"/>
      <c r="O842" s="331"/>
      <c r="P842" s="331"/>
      <c r="Q842" s="331"/>
    </row>
    <row r="843" spans="1:17" ht="19.5" customHeight="1" x14ac:dyDescent="0.25">
      <c r="A843" s="331"/>
      <c r="B843" s="331"/>
      <c r="C843" s="331"/>
      <c r="D843" s="333"/>
      <c r="E843" s="333"/>
      <c r="F843" s="333"/>
      <c r="G843" s="331"/>
      <c r="H843" s="331"/>
      <c r="I843" s="331"/>
      <c r="J843" s="331"/>
      <c r="K843" s="331"/>
      <c r="L843" s="331"/>
      <c r="M843" s="331"/>
      <c r="N843" s="331"/>
      <c r="O843" s="331"/>
      <c r="P843" s="331"/>
      <c r="Q843" s="331"/>
    </row>
    <row r="844" spans="1:17" ht="19.5" customHeight="1" x14ac:dyDescent="0.25">
      <c r="A844" s="331"/>
      <c r="B844" s="331"/>
      <c r="C844" s="331"/>
      <c r="D844" s="333"/>
      <c r="E844" s="333"/>
      <c r="F844" s="333"/>
      <c r="G844" s="331"/>
      <c r="H844" s="331"/>
      <c r="I844" s="331"/>
      <c r="J844" s="331"/>
      <c r="K844" s="331"/>
      <c r="L844" s="331"/>
      <c r="M844" s="331"/>
      <c r="N844" s="331"/>
      <c r="O844" s="331"/>
      <c r="P844" s="331"/>
      <c r="Q844" s="331"/>
    </row>
    <row r="845" spans="1:17" ht="19.5" customHeight="1" x14ac:dyDescent="0.25">
      <c r="A845" s="331"/>
      <c r="B845" s="331"/>
      <c r="C845" s="331"/>
      <c r="D845" s="333"/>
      <c r="E845" s="333"/>
      <c r="F845" s="333"/>
      <c r="G845" s="331"/>
      <c r="H845" s="331"/>
      <c r="I845" s="331"/>
      <c r="J845" s="331"/>
      <c r="K845" s="331"/>
      <c r="L845" s="331"/>
      <c r="M845" s="331"/>
      <c r="N845" s="331"/>
      <c r="O845" s="331"/>
      <c r="P845" s="331"/>
      <c r="Q845" s="331"/>
    </row>
    <row r="846" spans="1:17" ht="19.5" customHeight="1" x14ac:dyDescent="0.25">
      <c r="A846" s="331"/>
      <c r="B846" s="331"/>
      <c r="C846" s="331"/>
      <c r="D846" s="333"/>
      <c r="E846" s="333"/>
      <c r="F846" s="333"/>
      <c r="G846" s="331"/>
      <c r="H846" s="331"/>
      <c r="I846" s="331"/>
      <c r="J846" s="331"/>
      <c r="K846" s="331"/>
      <c r="L846" s="331"/>
      <c r="M846" s="331"/>
      <c r="N846" s="331"/>
      <c r="O846" s="331"/>
      <c r="P846" s="331"/>
      <c r="Q846" s="331"/>
    </row>
    <row r="847" spans="1:17" ht="19.5" customHeight="1" x14ac:dyDescent="0.25">
      <c r="A847" s="331"/>
      <c r="B847" s="331"/>
      <c r="C847" s="331"/>
      <c r="D847" s="333"/>
      <c r="E847" s="333"/>
      <c r="F847" s="333"/>
      <c r="G847" s="331"/>
      <c r="H847" s="331"/>
      <c r="I847" s="331"/>
      <c r="J847" s="331"/>
      <c r="K847" s="331"/>
      <c r="L847" s="331"/>
      <c r="M847" s="331"/>
      <c r="N847" s="331"/>
      <c r="O847" s="331"/>
      <c r="P847" s="331"/>
      <c r="Q847" s="331"/>
    </row>
    <row r="848" spans="1:17" ht="19.5" customHeight="1" x14ac:dyDescent="0.25">
      <c r="A848" s="331"/>
      <c r="B848" s="331"/>
      <c r="C848" s="331"/>
      <c r="D848" s="333"/>
      <c r="E848" s="333"/>
      <c r="F848" s="333"/>
      <c r="G848" s="331"/>
      <c r="H848" s="331"/>
      <c r="I848" s="331"/>
      <c r="J848" s="331"/>
      <c r="K848" s="331"/>
      <c r="L848" s="331"/>
      <c r="M848" s="331"/>
      <c r="N848" s="331"/>
      <c r="O848" s="331"/>
      <c r="P848" s="331"/>
      <c r="Q848" s="331"/>
    </row>
    <row r="849" spans="1:17" ht="19.5" customHeight="1" x14ac:dyDescent="0.25">
      <c r="A849" s="331"/>
      <c r="B849" s="331"/>
      <c r="C849" s="331"/>
      <c r="D849" s="333"/>
      <c r="E849" s="333"/>
      <c r="F849" s="333"/>
      <c r="G849" s="331"/>
      <c r="H849" s="331"/>
      <c r="I849" s="331"/>
      <c r="J849" s="331"/>
      <c r="K849" s="331"/>
      <c r="L849" s="331"/>
      <c r="M849" s="331"/>
      <c r="N849" s="331"/>
      <c r="O849" s="331"/>
      <c r="P849" s="331"/>
      <c r="Q849" s="331"/>
    </row>
    <row r="850" spans="1:17" ht="19.5" customHeight="1" x14ac:dyDescent="0.25">
      <c r="A850" s="331"/>
      <c r="B850" s="331"/>
      <c r="C850" s="331"/>
      <c r="D850" s="333"/>
      <c r="E850" s="333"/>
      <c r="F850" s="333"/>
      <c r="G850" s="331"/>
      <c r="H850" s="331"/>
      <c r="I850" s="331"/>
      <c r="J850" s="331"/>
      <c r="K850" s="331"/>
      <c r="L850" s="331"/>
      <c r="M850" s="331"/>
      <c r="N850" s="331"/>
      <c r="O850" s="331"/>
      <c r="P850" s="331"/>
      <c r="Q850" s="331"/>
    </row>
    <row r="851" spans="1:17" ht="19.5" customHeight="1" x14ac:dyDescent="0.25">
      <c r="A851" s="331"/>
      <c r="B851" s="331"/>
      <c r="C851" s="331"/>
      <c r="D851" s="333"/>
      <c r="E851" s="333"/>
      <c r="F851" s="333"/>
      <c r="G851" s="331"/>
      <c r="H851" s="331"/>
      <c r="I851" s="331"/>
      <c r="J851" s="331"/>
      <c r="K851" s="331"/>
      <c r="L851" s="331"/>
      <c r="M851" s="331"/>
      <c r="N851" s="331"/>
      <c r="O851" s="331"/>
      <c r="P851" s="331"/>
      <c r="Q851" s="331"/>
    </row>
    <row r="852" spans="1:17" ht="19.5" customHeight="1" x14ac:dyDescent="0.25">
      <c r="A852" s="331"/>
      <c r="B852" s="331"/>
      <c r="C852" s="331"/>
      <c r="D852" s="333"/>
      <c r="E852" s="333"/>
      <c r="F852" s="333"/>
      <c r="G852" s="331"/>
      <c r="H852" s="331"/>
      <c r="I852" s="331"/>
      <c r="J852" s="331"/>
      <c r="K852" s="331"/>
      <c r="L852" s="331"/>
      <c r="M852" s="331"/>
      <c r="N852" s="331"/>
      <c r="O852" s="331"/>
      <c r="P852" s="331"/>
      <c r="Q852" s="331"/>
    </row>
    <row r="853" spans="1:17" ht="19.5" customHeight="1" x14ac:dyDescent="0.25">
      <c r="A853" s="331"/>
      <c r="B853" s="331"/>
      <c r="C853" s="331"/>
      <c r="D853" s="333"/>
      <c r="E853" s="333"/>
      <c r="F853" s="333"/>
      <c r="G853" s="331"/>
      <c r="H853" s="331"/>
      <c r="I853" s="331"/>
      <c r="J853" s="331"/>
      <c r="K853" s="331"/>
      <c r="L853" s="331"/>
      <c r="M853" s="331"/>
      <c r="N853" s="331"/>
      <c r="O853" s="331"/>
      <c r="P853" s="331"/>
      <c r="Q853" s="331"/>
    </row>
    <row r="854" spans="1:17" ht="19.5" customHeight="1" x14ac:dyDescent="0.25">
      <c r="A854" s="331"/>
      <c r="B854" s="331"/>
      <c r="C854" s="331"/>
      <c r="D854" s="333"/>
      <c r="E854" s="333"/>
      <c r="F854" s="333"/>
      <c r="G854" s="331"/>
      <c r="H854" s="331"/>
      <c r="I854" s="331"/>
      <c r="J854" s="331"/>
      <c r="K854" s="331"/>
      <c r="L854" s="331"/>
      <c r="M854" s="331"/>
      <c r="N854" s="331"/>
      <c r="O854" s="331"/>
      <c r="P854" s="331"/>
      <c r="Q854" s="331"/>
    </row>
    <row r="855" spans="1:17" ht="19.5" customHeight="1" x14ac:dyDescent="0.25">
      <c r="A855" s="331"/>
      <c r="B855" s="331"/>
      <c r="C855" s="331"/>
      <c r="D855" s="333"/>
      <c r="E855" s="333"/>
      <c r="F855" s="333"/>
      <c r="G855" s="331"/>
      <c r="H855" s="331"/>
      <c r="I855" s="331"/>
      <c r="J855" s="331"/>
      <c r="K855" s="331"/>
      <c r="L855" s="331"/>
      <c r="M855" s="331"/>
      <c r="N855" s="331"/>
      <c r="O855" s="331"/>
      <c r="P855" s="331"/>
      <c r="Q855" s="331"/>
    </row>
    <row r="856" spans="1:17" ht="19.5" customHeight="1" x14ac:dyDescent="0.25">
      <c r="A856" s="331"/>
      <c r="B856" s="331"/>
      <c r="C856" s="331"/>
      <c r="D856" s="333"/>
      <c r="E856" s="333"/>
      <c r="F856" s="333"/>
      <c r="G856" s="331"/>
      <c r="H856" s="331"/>
      <c r="I856" s="331"/>
      <c r="J856" s="331"/>
      <c r="K856" s="331"/>
      <c r="L856" s="331"/>
      <c r="M856" s="331"/>
      <c r="N856" s="331"/>
      <c r="O856" s="331"/>
      <c r="P856" s="331"/>
      <c r="Q856" s="331"/>
    </row>
    <row r="857" spans="1:17" ht="19.5" customHeight="1" x14ac:dyDescent="0.25">
      <c r="A857" s="331"/>
      <c r="B857" s="331"/>
      <c r="C857" s="331"/>
      <c r="D857" s="333"/>
      <c r="E857" s="333"/>
      <c r="F857" s="333"/>
      <c r="G857" s="331"/>
      <c r="H857" s="331"/>
      <c r="I857" s="331"/>
      <c r="J857" s="331"/>
      <c r="K857" s="331"/>
      <c r="L857" s="331"/>
      <c r="M857" s="331"/>
      <c r="N857" s="331"/>
      <c r="O857" s="331"/>
      <c r="P857" s="331"/>
      <c r="Q857" s="331"/>
    </row>
    <row r="858" spans="1:17" ht="19.5" customHeight="1" x14ac:dyDescent="0.25">
      <c r="A858" s="331"/>
      <c r="B858" s="331"/>
      <c r="C858" s="331"/>
      <c r="D858" s="333"/>
      <c r="E858" s="333"/>
      <c r="F858" s="333"/>
      <c r="G858" s="331"/>
      <c r="H858" s="331"/>
      <c r="I858" s="331"/>
      <c r="J858" s="331"/>
      <c r="K858" s="331"/>
      <c r="L858" s="331"/>
      <c r="M858" s="331"/>
      <c r="N858" s="331"/>
      <c r="O858" s="331"/>
      <c r="P858" s="331"/>
      <c r="Q858" s="331"/>
    </row>
    <row r="859" spans="1:17" ht="19.5" customHeight="1" x14ac:dyDescent="0.25">
      <c r="A859" s="331"/>
      <c r="B859" s="331"/>
      <c r="C859" s="331"/>
      <c r="D859" s="333"/>
      <c r="E859" s="333"/>
      <c r="F859" s="333"/>
      <c r="G859" s="331"/>
      <c r="H859" s="331"/>
      <c r="I859" s="331"/>
      <c r="J859" s="331"/>
      <c r="K859" s="331"/>
      <c r="L859" s="331"/>
      <c r="M859" s="331"/>
      <c r="N859" s="331"/>
      <c r="O859" s="331"/>
      <c r="P859" s="331"/>
      <c r="Q859" s="331"/>
    </row>
    <row r="860" spans="1:17" ht="19.5" customHeight="1" x14ac:dyDescent="0.25">
      <c r="A860" s="331"/>
      <c r="B860" s="331"/>
      <c r="C860" s="331"/>
      <c r="D860" s="333"/>
      <c r="E860" s="333"/>
      <c r="F860" s="333"/>
      <c r="G860" s="331"/>
      <c r="H860" s="331"/>
      <c r="I860" s="331"/>
      <c r="J860" s="331"/>
      <c r="K860" s="331"/>
      <c r="L860" s="331"/>
      <c r="M860" s="331"/>
      <c r="N860" s="331"/>
      <c r="O860" s="331"/>
      <c r="P860" s="331"/>
      <c r="Q860" s="331"/>
    </row>
    <row r="861" spans="1:17" ht="19.5" customHeight="1" x14ac:dyDescent="0.25">
      <c r="A861" s="331"/>
      <c r="B861" s="331"/>
      <c r="C861" s="331"/>
      <c r="D861" s="333"/>
      <c r="E861" s="333"/>
      <c r="F861" s="333"/>
      <c r="G861" s="331"/>
      <c r="H861" s="331"/>
      <c r="I861" s="331"/>
      <c r="J861" s="331"/>
      <c r="K861" s="331"/>
      <c r="L861" s="331"/>
      <c r="M861" s="331"/>
      <c r="N861" s="331"/>
      <c r="O861" s="331"/>
      <c r="P861" s="331"/>
      <c r="Q861" s="331"/>
    </row>
    <row r="862" spans="1:17" ht="19.5" customHeight="1" x14ac:dyDescent="0.25">
      <c r="A862" s="331"/>
      <c r="B862" s="331"/>
      <c r="C862" s="331"/>
      <c r="D862" s="333"/>
      <c r="E862" s="333"/>
      <c r="F862" s="333"/>
      <c r="G862" s="331"/>
      <c r="H862" s="331"/>
      <c r="I862" s="331"/>
      <c r="J862" s="331"/>
      <c r="K862" s="331"/>
      <c r="L862" s="331"/>
      <c r="M862" s="331"/>
      <c r="N862" s="331"/>
      <c r="O862" s="331"/>
      <c r="P862" s="331"/>
      <c r="Q862" s="331"/>
    </row>
    <row r="863" spans="1:17" ht="19.5" customHeight="1" x14ac:dyDescent="0.25">
      <c r="A863" s="331"/>
      <c r="B863" s="331"/>
      <c r="C863" s="331"/>
      <c r="D863" s="333"/>
      <c r="E863" s="333"/>
      <c r="F863" s="333"/>
      <c r="G863" s="331"/>
      <c r="H863" s="331"/>
      <c r="I863" s="331"/>
      <c r="J863" s="331"/>
      <c r="K863" s="331"/>
      <c r="L863" s="331"/>
      <c r="M863" s="331"/>
      <c r="N863" s="331"/>
      <c r="O863" s="331"/>
      <c r="P863" s="331"/>
      <c r="Q863" s="331"/>
    </row>
    <row r="864" spans="1:17" ht="19.5" customHeight="1" x14ac:dyDescent="0.25">
      <c r="A864" s="331"/>
      <c r="B864" s="331"/>
      <c r="C864" s="331"/>
      <c r="D864" s="333"/>
      <c r="E864" s="333"/>
      <c r="F864" s="333"/>
      <c r="G864" s="331"/>
      <c r="H864" s="331"/>
      <c r="I864" s="331"/>
      <c r="J864" s="331"/>
      <c r="K864" s="331"/>
      <c r="L864" s="331"/>
      <c r="M864" s="331"/>
      <c r="N864" s="331"/>
      <c r="O864" s="331"/>
      <c r="P864" s="331"/>
      <c r="Q864" s="331"/>
    </row>
    <row r="865" spans="1:17" ht="19.5" customHeight="1" x14ac:dyDescent="0.25">
      <c r="A865" s="331"/>
      <c r="B865" s="331"/>
      <c r="C865" s="331"/>
      <c r="D865" s="333"/>
      <c r="E865" s="333"/>
      <c r="F865" s="333"/>
      <c r="G865" s="331"/>
      <c r="H865" s="331"/>
      <c r="I865" s="331"/>
      <c r="J865" s="331"/>
      <c r="K865" s="331"/>
      <c r="L865" s="331"/>
      <c r="M865" s="331"/>
      <c r="N865" s="331"/>
      <c r="O865" s="331"/>
      <c r="P865" s="331"/>
      <c r="Q865" s="331"/>
    </row>
    <row r="866" spans="1:17" ht="19.5" customHeight="1" x14ac:dyDescent="0.25">
      <c r="A866" s="331"/>
      <c r="B866" s="331"/>
      <c r="C866" s="331"/>
      <c r="D866" s="333"/>
      <c r="E866" s="333"/>
      <c r="F866" s="333"/>
      <c r="G866" s="331"/>
      <c r="H866" s="331"/>
      <c r="I866" s="331"/>
      <c r="J866" s="331"/>
      <c r="K866" s="331"/>
      <c r="L866" s="331"/>
      <c r="M866" s="331"/>
      <c r="N866" s="331"/>
      <c r="O866" s="331"/>
      <c r="P866" s="331"/>
      <c r="Q866" s="331"/>
    </row>
    <row r="867" spans="1:17" ht="19.5" customHeight="1" x14ac:dyDescent="0.25">
      <c r="A867" s="331"/>
      <c r="B867" s="331"/>
      <c r="C867" s="331"/>
      <c r="D867" s="333"/>
      <c r="E867" s="333"/>
      <c r="F867" s="333"/>
      <c r="G867" s="331"/>
      <c r="H867" s="331"/>
      <c r="I867" s="331"/>
      <c r="J867" s="331"/>
      <c r="K867" s="331"/>
      <c r="L867" s="331"/>
      <c r="M867" s="331"/>
      <c r="N867" s="331"/>
      <c r="O867" s="331"/>
      <c r="P867" s="331"/>
      <c r="Q867" s="331"/>
    </row>
    <row r="868" spans="1:17" ht="19.5" customHeight="1" x14ac:dyDescent="0.25">
      <c r="A868" s="331"/>
      <c r="B868" s="331"/>
      <c r="C868" s="331"/>
      <c r="D868" s="333"/>
      <c r="E868" s="333"/>
      <c r="F868" s="333"/>
      <c r="G868" s="331"/>
      <c r="H868" s="331"/>
      <c r="I868" s="331"/>
      <c r="J868" s="331"/>
      <c r="K868" s="331"/>
      <c r="L868" s="331"/>
      <c r="M868" s="331"/>
      <c r="N868" s="331"/>
      <c r="O868" s="331"/>
      <c r="P868" s="331"/>
      <c r="Q868" s="331"/>
    </row>
    <row r="869" spans="1:17" ht="19.5" customHeight="1" x14ac:dyDescent="0.25">
      <c r="A869" s="331"/>
      <c r="B869" s="331"/>
      <c r="C869" s="331"/>
      <c r="D869" s="333"/>
      <c r="E869" s="333"/>
      <c r="F869" s="333"/>
      <c r="G869" s="331"/>
      <c r="H869" s="331"/>
      <c r="I869" s="331"/>
      <c r="J869" s="331"/>
      <c r="K869" s="331"/>
      <c r="L869" s="331"/>
      <c r="M869" s="331"/>
      <c r="N869" s="331"/>
      <c r="O869" s="331"/>
      <c r="P869" s="331"/>
      <c r="Q869" s="331"/>
    </row>
    <row r="870" spans="1:17" ht="19.5" customHeight="1" x14ac:dyDescent="0.25">
      <c r="A870" s="331"/>
      <c r="B870" s="331"/>
      <c r="C870" s="331"/>
      <c r="D870" s="333"/>
      <c r="E870" s="333"/>
      <c r="F870" s="333"/>
      <c r="G870" s="331"/>
      <c r="H870" s="331"/>
      <c r="I870" s="331"/>
      <c r="J870" s="331"/>
      <c r="K870" s="331"/>
      <c r="L870" s="331"/>
      <c r="M870" s="331"/>
      <c r="N870" s="331"/>
      <c r="O870" s="331"/>
      <c r="P870" s="331"/>
      <c r="Q870" s="331"/>
    </row>
    <row r="871" spans="1:17" ht="19.5" customHeight="1" x14ac:dyDescent="0.25">
      <c r="A871" s="331"/>
      <c r="B871" s="331"/>
      <c r="C871" s="331"/>
      <c r="D871" s="333"/>
      <c r="E871" s="333"/>
      <c r="F871" s="333"/>
      <c r="G871" s="331"/>
      <c r="H871" s="331"/>
      <c r="I871" s="331"/>
      <c r="J871" s="331"/>
      <c r="K871" s="331"/>
      <c r="L871" s="331"/>
      <c r="M871" s="331"/>
      <c r="N871" s="331"/>
      <c r="O871" s="331"/>
      <c r="P871" s="331"/>
      <c r="Q871" s="331"/>
    </row>
    <row r="872" spans="1:17" ht="19.5" customHeight="1" x14ac:dyDescent="0.25">
      <c r="A872" s="331"/>
      <c r="B872" s="331"/>
      <c r="C872" s="331"/>
      <c r="D872" s="333"/>
      <c r="E872" s="333"/>
      <c r="F872" s="333"/>
      <c r="G872" s="331"/>
      <c r="H872" s="331"/>
      <c r="I872" s="331"/>
      <c r="J872" s="331"/>
      <c r="K872" s="331"/>
      <c r="L872" s="331"/>
      <c r="M872" s="331"/>
      <c r="N872" s="331"/>
      <c r="O872" s="331"/>
      <c r="P872" s="331"/>
      <c r="Q872" s="331"/>
    </row>
    <row r="873" spans="1:17" ht="19.5" customHeight="1" x14ac:dyDescent="0.25">
      <c r="A873" s="331"/>
      <c r="B873" s="331"/>
      <c r="C873" s="331"/>
      <c r="D873" s="333"/>
      <c r="E873" s="333"/>
      <c r="F873" s="333"/>
      <c r="G873" s="331"/>
      <c r="H873" s="331"/>
      <c r="I873" s="331"/>
      <c r="J873" s="331"/>
      <c r="K873" s="331"/>
      <c r="L873" s="331"/>
      <c r="M873" s="331"/>
      <c r="N873" s="331"/>
      <c r="O873" s="331"/>
      <c r="P873" s="331"/>
      <c r="Q873" s="331"/>
    </row>
    <row r="874" spans="1:17" ht="19.5" customHeight="1" x14ac:dyDescent="0.25">
      <c r="A874" s="331"/>
      <c r="B874" s="331"/>
      <c r="C874" s="331"/>
      <c r="D874" s="333"/>
      <c r="E874" s="333"/>
      <c r="F874" s="333"/>
      <c r="G874" s="331"/>
      <c r="H874" s="331"/>
      <c r="I874" s="331"/>
      <c r="J874" s="331"/>
      <c r="K874" s="331"/>
      <c r="L874" s="331"/>
      <c r="M874" s="331"/>
      <c r="N874" s="331"/>
      <c r="O874" s="331"/>
      <c r="P874" s="331"/>
      <c r="Q874" s="331"/>
    </row>
    <row r="875" spans="1:17" ht="19.5" customHeight="1" x14ac:dyDescent="0.25">
      <c r="A875" s="331"/>
      <c r="B875" s="331"/>
      <c r="C875" s="331"/>
      <c r="D875" s="333"/>
      <c r="E875" s="333"/>
      <c r="F875" s="333"/>
      <c r="G875" s="331"/>
      <c r="H875" s="331"/>
      <c r="I875" s="331"/>
      <c r="J875" s="331"/>
      <c r="K875" s="331"/>
      <c r="L875" s="331"/>
      <c r="M875" s="331"/>
      <c r="N875" s="331"/>
      <c r="O875" s="331"/>
      <c r="P875" s="331"/>
      <c r="Q875" s="331"/>
    </row>
    <row r="876" spans="1:17" ht="19.5" customHeight="1" x14ac:dyDescent="0.25">
      <c r="A876" s="331"/>
      <c r="B876" s="331"/>
      <c r="C876" s="331"/>
      <c r="D876" s="333"/>
      <c r="E876" s="333"/>
      <c r="F876" s="333"/>
      <c r="G876" s="331"/>
      <c r="H876" s="331"/>
      <c r="I876" s="331"/>
      <c r="J876" s="331"/>
      <c r="K876" s="331"/>
      <c r="L876" s="331"/>
      <c r="M876" s="331"/>
      <c r="N876" s="331"/>
      <c r="O876" s="331"/>
      <c r="P876" s="331"/>
      <c r="Q876" s="331"/>
    </row>
    <row r="877" spans="1:17" ht="19.5" customHeight="1" x14ac:dyDescent="0.25">
      <c r="A877" s="331"/>
      <c r="B877" s="331"/>
      <c r="C877" s="331"/>
      <c r="D877" s="333"/>
      <c r="E877" s="333"/>
      <c r="F877" s="333"/>
      <c r="G877" s="331"/>
      <c r="H877" s="331"/>
      <c r="I877" s="331"/>
      <c r="J877" s="331"/>
      <c r="K877" s="331"/>
      <c r="L877" s="331"/>
      <c r="M877" s="331"/>
      <c r="N877" s="331"/>
      <c r="O877" s="331"/>
      <c r="P877" s="331"/>
      <c r="Q877" s="331"/>
    </row>
    <row r="878" spans="1:17" ht="19.5" customHeight="1" x14ac:dyDescent="0.25">
      <c r="A878" s="331"/>
      <c r="B878" s="331"/>
      <c r="C878" s="331"/>
      <c r="D878" s="333"/>
      <c r="E878" s="333"/>
      <c r="F878" s="333"/>
      <c r="G878" s="331"/>
      <c r="H878" s="331"/>
      <c r="I878" s="331"/>
      <c r="J878" s="331"/>
      <c r="K878" s="331"/>
      <c r="L878" s="331"/>
      <c r="M878" s="331"/>
      <c r="N878" s="331"/>
      <c r="O878" s="331"/>
      <c r="P878" s="331"/>
      <c r="Q878" s="331"/>
    </row>
    <row r="879" spans="1:17" ht="19.5" customHeight="1" x14ac:dyDescent="0.25">
      <c r="A879" s="331"/>
      <c r="B879" s="331"/>
      <c r="C879" s="331"/>
      <c r="D879" s="333"/>
      <c r="E879" s="333"/>
      <c r="F879" s="333"/>
      <c r="G879" s="331"/>
      <c r="H879" s="331"/>
      <c r="I879" s="331"/>
      <c r="J879" s="331"/>
      <c r="K879" s="331"/>
      <c r="L879" s="331"/>
      <c r="M879" s="331"/>
      <c r="N879" s="331"/>
      <c r="O879" s="331"/>
      <c r="P879" s="331"/>
      <c r="Q879" s="331"/>
    </row>
    <row r="880" spans="1:17" ht="19.5" customHeight="1" x14ac:dyDescent="0.25">
      <c r="A880" s="331"/>
      <c r="B880" s="331"/>
      <c r="C880" s="331"/>
      <c r="D880" s="333"/>
      <c r="E880" s="333"/>
      <c r="F880" s="333"/>
      <c r="G880" s="331"/>
      <c r="H880" s="331"/>
      <c r="I880" s="331"/>
      <c r="J880" s="331"/>
      <c r="K880" s="331"/>
      <c r="L880" s="331"/>
      <c r="M880" s="331"/>
      <c r="N880" s="331"/>
      <c r="O880" s="331"/>
      <c r="P880" s="331"/>
      <c r="Q880" s="331"/>
    </row>
    <row r="881" spans="1:17" ht="19.5" customHeight="1" x14ac:dyDescent="0.25">
      <c r="A881" s="331"/>
      <c r="B881" s="331"/>
      <c r="C881" s="331"/>
      <c r="D881" s="333"/>
      <c r="E881" s="333"/>
      <c r="F881" s="333"/>
      <c r="G881" s="331"/>
      <c r="H881" s="331"/>
      <c r="I881" s="331"/>
      <c r="J881" s="331"/>
      <c r="K881" s="331"/>
      <c r="L881" s="331"/>
      <c r="M881" s="331"/>
      <c r="N881" s="331"/>
      <c r="O881" s="331"/>
      <c r="P881" s="331"/>
      <c r="Q881" s="331"/>
    </row>
    <row r="882" spans="1:17" ht="19.5" customHeight="1" x14ac:dyDescent="0.25">
      <c r="A882" s="331"/>
      <c r="B882" s="331"/>
      <c r="C882" s="331"/>
      <c r="D882" s="333"/>
      <c r="E882" s="333"/>
      <c r="F882" s="333"/>
      <c r="G882" s="331"/>
      <c r="H882" s="331"/>
      <c r="I882" s="331"/>
      <c r="J882" s="331"/>
      <c r="K882" s="331"/>
      <c r="L882" s="331"/>
      <c r="M882" s="331"/>
      <c r="N882" s="331"/>
      <c r="O882" s="331"/>
      <c r="P882" s="331"/>
      <c r="Q882" s="331"/>
    </row>
    <row r="883" spans="1:17" ht="19.5" customHeight="1" x14ac:dyDescent="0.25">
      <c r="A883" s="331"/>
      <c r="B883" s="331"/>
      <c r="C883" s="331"/>
      <c r="D883" s="333"/>
      <c r="E883" s="333"/>
      <c r="F883" s="333"/>
      <c r="G883" s="331"/>
      <c r="H883" s="331"/>
      <c r="I883" s="331"/>
      <c r="J883" s="331"/>
      <c r="K883" s="331"/>
      <c r="L883" s="331"/>
      <c r="M883" s="331"/>
      <c r="N883" s="331"/>
      <c r="O883" s="331"/>
      <c r="P883" s="331"/>
      <c r="Q883" s="331"/>
    </row>
    <row r="884" spans="1:17" ht="19.5" customHeight="1" x14ac:dyDescent="0.25">
      <c r="A884" s="331"/>
      <c r="B884" s="331"/>
      <c r="C884" s="331"/>
      <c r="D884" s="333"/>
      <c r="E884" s="333"/>
      <c r="F884" s="333"/>
      <c r="G884" s="331"/>
      <c r="H884" s="331"/>
      <c r="I884" s="331"/>
      <c r="J884" s="331"/>
      <c r="K884" s="331"/>
      <c r="L884" s="331"/>
      <c r="M884" s="331"/>
      <c r="N884" s="331"/>
      <c r="O884" s="331"/>
      <c r="P884" s="331"/>
      <c r="Q884" s="331"/>
    </row>
    <row r="885" spans="1:17" ht="19.5" customHeight="1" x14ac:dyDescent="0.25">
      <c r="A885" s="331"/>
      <c r="B885" s="331"/>
      <c r="C885" s="331"/>
      <c r="D885" s="333"/>
      <c r="E885" s="333"/>
      <c r="F885" s="333"/>
      <c r="G885" s="331"/>
      <c r="H885" s="331"/>
      <c r="I885" s="331"/>
      <c r="J885" s="331"/>
      <c r="K885" s="331"/>
      <c r="L885" s="331"/>
      <c r="M885" s="331"/>
      <c r="N885" s="331"/>
      <c r="O885" s="331"/>
      <c r="P885" s="331"/>
      <c r="Q885" s="331"/>
    </row>
    <row r="886" spans="1:17" ht="19.5" customHeight="1" x14ac:dyDescent="0.25">
      <c r="A886" s="331"/>
      <c r="B886" s="331"/>
      <c r="C886" s="331"/>
      <c r="D886" s="333"/>
      <c r="E886" s="333"/>
      <c r="F886" s="333"/>
      <c r="G886" s="331"/>
      <c r="H886" s="331"/>
      <c r="I886" s="331"/>
      <c r="J886" s="331"/>
      <c r="K886" s="331"/>
      <c r="L886" s="331"/>
      <c r="M886" s="331"/>
      <c r="N886" s="331"/>
      <c r="O886" s="331"/>
      <c r="P886" s="331"/>
      <c r="Q886" s="331"/>
    </row>
    <row r="887" spans="1:17" ht="19.5" customHeight="1" x14ac:dyDescent="0.25">
      <c r="A887" s="331"/>
      <c r="B887" s="331"/>
      <c r="C887" s="331"/>
      <c r="D887" s="333"/>
      <c r="E887" s="333"/>
      <c r="F887" s="333"/>
      <c r="G887" s="331"/>
      <c r="H887" s="331"/>
      <c r="I887" s="331"/>
      <c r="J887" s="331"/>
      <c r="K887" s="331"/>
      <c r="L887" s="331"/>
      <c r="M887" s="331"/>
      <c r="N887" s="331"/>
      <c r="O887" s="331"/>
      <c r="P887" s="331"/>
      <c r="Q887" s="331"/>
    </row>
    <row r="888" spans="1:17" ht="19.5" customHeight="1" x14ac:dyDescent="0.25">
      <c r="A888" s="331"/>
      <c r="B888" s="331"/>
      <c r="C888" s="331"/>
      <c r="D888" s="333"/>
      <c r="E888" s="333"/>
      <c r="F888" s="333"/>
      <c r="G888" s="331"/>
      <c r="H888" s="331"/>
      <c r="I888" s="331"/>
      <c r="J888" s="331"/>
      <c r="K888" s="331"/>
      <c r="L888" s="331"/>
      <c r="M888" s="331"/>
      <c r="N888" s="331"/>
      <c r="O888" s="331"/>
      <c r="P888" s="331"/>
      <c r="Q888" s="331"/>
    </row>
    <row r="889" spans="1:17" ht="19.5" customHeight="1" x14ac:dyDescent="0.25">
      <c r="A889" s="331"/>
      <c r="B889" s="331"/>
      <c r="C889" s="331"/>
      <c r="D889" s="333"/>
      <c r="E889" s="333"/>
      <c r="F889" s="333"/>
      <c r="G889" s="331"/>
      <c r="H889" s="331"/>
      <c r="I889" s="331"/>
      <c r="J889" s="331"/>
      <c r="K889" s="331"/>
      <c r="L889" s="331"/>
      <c r="M889" s="331"/>
      <c r="N889" s="331"/>
      <c r="O889" s="331"/>
      <c r="P889" s="331"/>
      <c r="Q889" s="331"/>
    </row>
    <row r="890" spans="1:17" ht="19.5" customHeight="1" x14ac:dyDescent="0.25">
      <c r="A890" s="331"/>
      <c r="B890" s="331"/>
      <c r="C890" s="331"/>
      <c r="D890" s="333"/>
      <c r="E890" s="333"/>
      <c r="F890" s="333"/>
      <c r="G890" s="331"/>
      <c r="H890" s="331"/>
      <c r="I890" s="331"/>
      <c r="J890" s="331"/>
      <c r="K890" s="331"/>
      <c r="L890" s="331"/>
      <c r="M890" s="331"/>
      <c r="N890" s="331"/>
      <c r="O890" s="331"/>
      <c r="P890" s="331"/>
      <c r="Q890" s="331"/>
    </row>
    <row r="891" spans="1:17" ht="19.5" customHeight="1" x14ac:dyDescent="0.25">
      <c r="A891" s="331"/>
      <c r="B891" s="331"/>
      <c r="C891" s="331"/>
      <c r="D891" s="333"/>
      <c r="E891" s="333"/>
      <c r="F891" s="333"/>
      <c r="G891" s="331"/>
      <c r="H891" s="331"/>
      <c r="I891" s="331"/>
      <c r="J891" s="331"/>
      <c r="K891" s="331"/>
      <c r="L891" s="331"/>
      <c r="M891" s="331"/>
      <c r="N891" s="331"/>
      <c r="O891" s="331"/>
      <c r="P891" s="331"/>
      <c r="Q891" s="331"/>
    </row>
    <row r="892" spans="1:17" ht="19.5" customHeight="1" x14ac:dyDescent="0.25">
      <c r="A892" s="331"/>
      <c r="B892" s="331"/>
      <c r="C892" s="331"/>
      <c r="D892" s="333"/>
      <c r="E892" s="333"/>
      <c r="F892" s="333"/>
      <c r="G892" s="331"/>
      <c r="H892" s="331"/>
      <c r="I892" s="331"/>
      <c r="J892" s="331"/>
      <c r="K892" s="331"/>
      <c r="L892" s="331"/>
      <c r="M892" s="331"/>
      <c r="N892" s="331"/>
      <c r="O892" s="331"/>
      <c r="P892" s="331"/>
      <c r="Q892" s="331"/>
    </row>
    <row r="893" spans="1:17" ht="19.5" customHeight="1" x14ac:dyDescent="0.25">
      <c r="A893" s="331"/>
      <c r="B893" s="331"/>
      <c r="C893" s="331"/>
      <c r="D893" s="333"/>
      <c r="E893" s="333"/>
      <c r="F893" s="333"/>
      <c r="G893" s="331"/>
      <c r="H893" s="331"/>
      <c r="I893" s="331"/>
      <c r="J893" s="331"/>
      <c r="K893" s="331"/>
      <c r="L893" s="331"/>
      <c r="M893" s="331"/>
      <c r="N893" s="331"/>
      <c r="O893" s="331"/>
      <c r="P893" s="331"/>
      <c r="Q893" s="331"/>
    </row>
    <row r="894" spans="1:17" ht="19.5" customHeight="1" x14ac:dyDescent="0.25">
      <c r="A894" s="331"/>
      <c r="B894" s="331"/>
      <c r="C894" s="331"/>
      <c r="D894" s="333"/>
      <c r="E894" s="333"/>
      <c r="F894" s="333"/>
      <c r="G894" s="331"/>
      <c r="H894" s="331"/>
      <c r="I894" s="331"/>
      <c r="J894" s="331"/>
      <c r="K894" s="331"/>
      <c r="L894" s="331"/>
      <c r="M894" s="331"/>
      <c r="N894" s="331"/>
      <c r="O894" s="331"/>
      <c r="P894" s="331"/>
      <c r="Q894" s="331"/>
    </row>
    <row r="895" spans="1:17" ht="19.5" customHeight="1" x14ac:dyDescent="0.25">
      <c r="A895" s="331"/>
      <c r="B895" s="331"/>
      <c r="C895" s="331"/>
      <c r="D895" s="333"/>
      <c r="E895" s="333"/>
      <c r="F895" s="333"/>
      <c r="G895" s="331"/>
      <c r="H895" s="331"/>
      <c r="I895" s="331"/>
      <c r="J895" s="331"/>
      <c r="K895" s="331"/>
      <c r="L895" s="331"/>
      <c r="M895" s="331"/>
      <c r="N895" s="331"/>
      <c r="O895" s="331"/>
      <c r="P895" s="331"/>
      <c r="Q895" s="331"/>
    </row>
    <row r="896" spans="1:17" ht="19.5" customHeight="1" x14ac:dyDescent="0.25">
      <c r="A896" s="331"/>
      <c r="B896" s="331"/>
      <c r="C896" s="331"/>
      <c r="D896" s="333"/>
      <c r="E896" s="333"/>
      <c r="F896" s="333"/>
      <c r="G896" s="331"/>
      <c r="H896" s="331"/>
      <c r="I896" s="331"/>
      <c r="J896" s="331"/>
      <c r="K896" s="331"/>
      <c r="L896" s="331"/>
      <c r="M896" s="331"/>
      <c r="N896" s="331"/>
      <c r="O896" s="331"/>
      <c r="P896" s="331"/>
      <c r="Q896" s="331"/>
    </row>
    <row r="897" spans="1:17" ht="19.5" customHeight="1" x14ac:dyDescent="0.25">
      <c r="A897" s="331"/>
      <c r="B897" s="331"/>
      <c r="C897" s="331"/>
      <c r="D897" s="333"/>
      <c r="E897" s="333"/>
      <c r="F897" s="333"/>
      <c r="G897" s="331"/>
      <c r="H897" s="331"/>
      <c r="I897" s="331"/>
      <c r="J897" s="331"/>
      <c r="K897" s="331"/>
      <c r="L897" s="331"/>
      <c r="M897" s="331"/>
      <c r="N897" s="331"/>
      <c r="O897" s="331"/>
      <c r="P897" s="331"/>
      <c r="Q897" s="331"/>
    </row>
    <row r="898" spans="1:17" ht="19.5" customHeight="1" x14ac:dyDescent="0.25">
      <c r="A898" s="331"/>
      <c r="B898" s="331"/>
      <c r="C898" s="331"/>
      <c r="D898" s="333"/>
      <c r="E898" s="333"/>
      <c r="F898" s="333"/>
      <c r="G898" s="331"/>
      <c r="H898" s="331"/>
      <c r="I898" s="331"/>
      <c r="J898" s="331"/>
      <c r="K898" s="331"/>
      <c r="L898" s="331"/>
      <c r="M898" s="331"/>
      <c r="N898" s="331"/>
      <c r="O898" s="331"/>
      <c r="P898" s="331"/>
      <c r="Q898" s="331"/>
    </row>
    <row r="899" spans="1:17" ht="19.5" customHeight="1" x14ac:dyDescent="0.25">
      <c r="A899" s="331"/>
      <c r="B899" s="331"/>
      <c r="C899" s="331"/>
      <c r="D899" s="333"/>
      <c r="E899" s="333"/>
      <c r="F899" s="333"/>
      <c r="G899" s="331"/>
      <c r="H899" s="331"/>
      <c r="I899" s="331"/>
      <c r="J899" s="331"/>
      <c r="K899" s="331"/>
      <c r="L899" s="331"/>
      <c r="M899" s="331"/>
      <c r="N899" s="331"/>
      <c r="O899" s="331"/>
      <c r="P899" s="331"/>
      <c r="Q899" s="331"/>
    </row>
    <row r="900" spans="1:17" ht="19.5" customHeight="1" x14ac:dyDescent="0.25">
      <c r="A900" s="331"/>
      <c r="B900" s="331"/>
      <c r="C900" s="331"/>
      <c r="D900" s="333"/>
      <c r="E900" s="333"/>
      <c r="F900" s="333"/>
      <c r="G900" s="331"/>
      <c r="H900" s="331"/>
      <c r="I900" s="331"/>
      <c r="J900" s="331"/>
      <c r="K900" s="331"/>
      <c r="L900" s="331"/>
      <c r="M900" s="331"/>
      <c r="N900" s="331"/>
      <c r="O900" s="331"/>
      <c r="P900" s="331"/>
      <c r="Q900" s="331"/>
    </row>
    <row r="901" spans="1:17" ht="19.5" customHeight="1" x14ac:dyDescent="0.25">
      <c r="A901" s="331"/>
      <c r="B901" s="331"/>
      <c r="C901" s="331"/>
      <c r="D901" s="333"/>
      <c r="E901" s="333"/>
      <c r="F901" s="333"/>
      <c r="G901" s="331"/>
      <c r="H901" s="331"/>
      <c r="I901" s="331"/>
      <c r="J901" s="331"/>
      <c r="K901" s="331"/>
      <c r="L901" s="331"/>
      <c r="M901" s="331"/>
      <c r="N901" s="331"/>
      <c r="O901" s="331"/>
      <c r="P901" s="331"/>
      <c r="Q901" s="331"/>
    </row>
    <row r="902" spans="1:17" ht="19.5" customHeight="1" x14ac:dyDescent="0.25">
      <c r="A902" s="331"/>
      <c r="B902" s="331"/>
      <c r="C902" s="331"/>
      <c r="D902" s="333"/>
      <c r="E902" s="333"/>
      <c r="F902" s="333"/>
      <c r="G902" s="331"/>
      <c r="H902" s="331"/>
      <c r="I902" s="331"/>
      <c r="J902" s="331"/>
      <c r="K902" s="331"/>
      <c r="L902" s="331"/>
      <c r="M902" s="331"/>
      <c r="N902" s="331"/>
      <c r="O902" s="331"/>
      <c r="P902" s="331"/>
      <c r="Q902" s="331"/>
    </row>
    <row r="903" spans="1:17" ht="19.5" customHeight="1" x14ac:dyDescent="0.25">
      <c r="A903" s="331"/>
      <c r="B903" s="331"/>
      <c r="C903" s="331"/>
      <c r="D903" s="333"/>
      <c r="E903" s="333"/>
      <c r="F903" s="333"/>
      <c r="G903" s="331"/>
      <c r="H903" s="331"/>
      <c r="I903" s="331"/>
      <c r="J903" s="331"/>
      <c r="K903" s="331"/>
      <c r="L903" s="331"/>
      <c r="M903" s="331"/>
      <c r="N903" s="331"/>
      <c r="O903" s="331"/>
      <c r="P903" s="331"/>
      <c r="Q903" s="331"/>
    </row>
    <row r="904" spans="1:17" ht="19.5" customHeight="1" x14ac:dyDescent="0.25">
      <c r="A904" s="331"/>
      <c r="B904" s="331"/>
      <c r="C904" s="331"/>
      <c r="D904" s="333"/>
      <c r="E904" s="333"/>
      <c r="F904" s="333"/>
      <c r="G904" s="331"/>
      <c r="H904" s="331"/>
      <c r="I904" s="331"/>
      <c r="J904" s="331"/>
      <c r="K904" s="331"/>
      <c r="L904" s="331"/>
      <c r="M904" s="331"/>
      <c r="N904" s="331"/>
      <c r="O904" s="331"/>
      <c r="P904" s="331"/>
      <c r="Q904" s="331"/>
    </row>
    <row r="905" spans="1:17" ht="19.5" customHeight="1" x14ac:dyDescent="0.25">
      <c r="A905" s="331"/>
      <c r="B905" s="331"/>
      <c r="C905" s="331"/>
      <c r="D905" s="333"/>
      <c r="E905" s="333"/>
      <c r="F905" s="333"/>
      <c r="G905" s="331"/>
      <c r="H905" s="331"/>
      <c r="I905" s="331"/>
      <c r="J905" s="331"/>
      <c r="K905" s="331"/>
      <c r="L905" s="331"/>
      <c r="M905" s="331"/>
      <c r="N905" s="331"/>
      <c r="O905" s="331"/>
      <c r="P905" s="331"/>
      <c r="Q905" s="331"/>
    </row>
    <row r="906" spans="1:17" ht="19.5" customHeight="1" x14ac:dyDescent="0.25">
      <c r="A906" s="331"/>
      <c r="B906" s="331"/>
      <c r="C906" s="331"/>
      <c r="D906" s="333"/>
      <c r="E906" s="333"/>
      <c r="F906" s="333"/>
      <c r="G906" s="331"/>
      <c r="H906" s="331"/>
      <c r="I906" s="331"/>
      <c r="J906" s="331"/>
      <c r="K906" s="331"/>
      <c r="L906" s="331"/>
      <c r="M906" s="331"/>
      <c r="N906" s="331"/>
      <c r="O906" s="331"/>
      <c r="P906" s="331"/>
      <c r="Q906" s="331"/>
    </row>
    <row r="907" spans="1:17" ht="19.5" customHeight="1" x14ac:dyDescent="0.25">
      <c r="A907" s="331"/>
      <c r="B907" s="331"/>
      <c r="C907" s="331"/>
      <c r="D907" s="333"/>
      <c r="E907" s="333"/>
      <c r="F907" s="333"/>
      <c r="G907" s="331"/>
      <c r="H907" s="331"/>
      <c r="I907" s="331"/>
      <c r="J907" s="331"/>
      <c r="K907" s="331"/>
      <c r="L907" s="331"/>
      <c r="M907" s="331"/>
      <c r="N907" s="331"/>
      <c r="O907" s="331"/>
      <c r="P907" s="331"/>
      <c r="Q907" s="331"/>
    </row>
    <row r="908" spans="1:17" ht="19.5" customHeight="1" x14ac:dyDescent="0.25">
      <c r="A908" s="331"/>
      <c r="B908" s="331"/>
      <c r="C908" s="331"/>
      <c r="D908" s="333"/>
      <c r="E908" s="333"/>
      <c r="F908" s="333"/>
      <c r="G908" s="331"/>
      <c r="H908" s="331"/>
      <c r="I908" s="331"/>
      <c r="J908" s="331"/>
      <c r="K908" s="331"/>
      <c r="L908" s="331"/>
      <c r="M908" s="331"/>
      <c r="N908" s="331"/>
      <c r="O908" s="331"/>
      <c r="P908" s="331"/>
      <c r="Q908" s="331"/>
    </row>
    <row r="909" spans="1:17" ht="19.5" customHeight="1" x14ac:dyDescent="0.25">
      <c r="A909" s="331"/>
      <c r="B909" s="331"/>
      <c r="C909" s="331"/>
      <c r="D909" s="333"/>
      <c r="E909" s="333"/>
      <c r="F909" s="333"/>
      <c r="G909" s="331"/>
      <c r="H909" s="331"/>
      <c r="I909" s="331"/>
      <c r="J909" s="331"/>
      <c r="K909" s="331"/>
      <c r="L909" s="331"/>
      <c r="M909" s="331"/>
      <c r="N909" s="331"/>
      <c r="O909" s="331"/>
      <c r="P909" s="331"/>
      <c r="Q909" s="331"/>
    </row>
    <row r="910" spans="1:17" ht="19.5" customHeight="1" x14ac:dyDescent="0.25">
      <c r="A910" s="331"/>
      <c r="B910" s="331"/>
      <c r="C910" s="331"/>
      <c r="D910" s="333"/>
      <c r="E910" s="333"/>
      <c r="F910" s="333"/>
      <c r="G910" s="331"/>
      <c r="H910" s="331"/>
      <c r="I910" s="331"/>
      <c r="J910" s="331"/>
      <c r="K910" s="331"/>
      <c r="L910" s="331"/>
      <c r="M910" s="331"/>
      <c r="N910" s="331"/>
      <c r="O910" s="331"/>
      <c r="P910" s="331"/>
      <c r="Q910" s="331"/>
    </row>
    <row r="911" spans="1:17" ht="19.5" customHeight="1" x14ac:dyDescent="0.25">
      <c r="A911" s="331"/>
      <c r="B911" s="331"/>
      <c r="C911" s="331"/>
      <c r="D911" s="333"/>
      <c r="E911" s="333"/>
      <c r="F911" s="333"/>
      <c r="G911" s="331"/>
      <c r="H911" s="331"/>
      <c r="I911" s="331"/>
      <c r="J911" s="331"/>
      <c r="K911" s="331"/>
      <c r="L911" s="331"/>
      <c r="M911" s="331"/>
      <c r="N911" s="331"/>
      <c r="O911" s="331"/>
      <c r="P911" s="331"/>
      <c r="Q911" s="331"/>
    </row>
    <row r="912" spans="1:17" ht="19.5" customHeight="1" x14ac:dyDescent="0.25">
      <c r="A912" s="331"/>
      <c r="B912" s="331"/>
      <c r="C912" s="331"/>
      <c r="D912" s="333"/>
      <c r="E912" s="333"/>
      <c r="F912" s="333"/>
      <c r="G912" s="331"/>
      <c r="H912" s="331"/>
      <c r="I912" s="331"/>
      <c r="J912" s="331"/>
      <c r="K912" s="331"/>
      <c r="L912" s="331"/>
      <c r="M912" s="331"/>
      <c r="N912" s="331"/>
      <c r="O912" s="331"/>
      <c r="P912" s="331"/>
      <c r="Q912" s="331"/>
    </row>
    <row r="913" spans="1:17" ht="19.5" customHeight="1" x14ac:dyDescent="0.25">
      <c r="A913" s="331"/>
      <c r="B913" s="331"/>
      <c r="C913" s="331"/>
      <c r="D913" s="333"/>
      <c r="E913" s="333"/>
      <c r="F913" s="333"/>
      <c r="G913" s="331"/>
      <c r="H913" s="331"/>
      <c r="I913" s="331"/>
      <c r="J913" s="331"/>
      <c r="K913" s="331"/>
      <c r="L913" s="331"/>
      <c r="M913" s="331"/>
      <c r="N913" s="331"/>
      <c r="O913" s="331"/>
      <c r="P913" s="331"/>
      <c r="Q913" s="331"/>
    </row>
    <row r="914" spans="1:17" ht="19.5" customHeight="1" x14ac:dyDescent="0.25">
      <c r="A914" s="331"/>
      <c r="B914" s="331"/>
      <c r="C914" s="331"/>
      <c r="D914" s="333"/>
      <c r="E914" s="333"/>
      <c r="F914" s="333"/>
      <c r="G914" s="331"/>
      <c r="H914" s="331"/>
      <c r="I914" s="331"/>
      <c r="J914" s="331"/>
      <c r="K914" s="331"/>
      <c r="L914" s="331"/>
      <c r="M914" s="331"/>
      <c r="N914" s="331"/>
      <c r="O914" s="331"/>
      <c r="P914" s="331"/>
      <c r="Q914" s="331"/>
    </row>
    <row r="915" spans="1:17" ht="19.5" customHeight="1" x14ac:dyDescent="0.25">
      <c r="A915" s="331"/>
      <c r="B915" s="331"/>
      <c r="C915" s="331"/>
      <c r="D915" s="333"/>
      <c r="E915" s="333"/>
      <c r="F915" s="333"/>
      <c r="G915" s="331"/>
      <c r="H915" s="331"/>
      <c r="I915" s="331"/>
      <c r="J915" s="331"/>
      <c r="K915" s="331"/>
      <c r="L915" s="331"/>
      <c r="M915" s="331"/>
      <c r="N915" s="331"/>
      <c r="O915" s="331"/>
      <c r="P915" s="331"/>
      <c r="Q915" s="331"/>
    </row>
    <row r="916" spans="1:17" ht="19.5" customHeight="1" x14ac:dyDescent="0.25">
      <c r="A916" s="331"/>
      <c r="B916" s="331"/>
      <c r="C916" s="331"/>
      <c r="D916" s="333"/>
      <c r="E916" s="333"/>
      <c r="F916" s="333"/>
      <c r="G916" s="331"/>
      <c r="H916" s="331"/>
      <c r="I916" s="331"/>
      <c r="J916" s="331"/>
      <c r="K916" s="331"/>
      <c r="L916" s="331"/>
      <c r="M916" s="331"/>
      <c r="N916" s="331"/>
      <c r="O916" s="331"/>
      <c r="P916" s="331"/>
      <c r="Q916" s="331"/>
    </row>
    <row r="917" spans="1:17" ht="19.5" customHeight="1" x14ac:dyDescent="0.25">
      <c r="A917" s="331"/>
      <c r="B917" s="331"/>
      <c r="C917" s="331"/>
      <c r="D917" s="333"/>
      <c r="E917" s="333"/>
      <c r="F917" s="333"/>
      <c r="G917" s="331"/>
      <c r="H917" s="331"/>
      <c r="I917" s="331"/>
      <c r="J917" s="331"/>
      <c r="K917" s="331"/>
      <c r="L917" s="331"/>
      <c r="M917" s="331"/>
      <c r="N917" s="331"/>
      <c r="O917" s="331"/>
      <c r="P917" s="331"/>
      <c r="Q917" s="331"/>
    </row>
    <row r="918" spans="1:17" ht="19.5" customHeight="1" x14ac:dyDescent="0.25">
      <c r="A918" s="331"/>
      <c r="B918" s="331"/>
      <c r="C918" s="331"/>
      <c r="D918" s="333"/>
      <c r="E918" s="333"/>
      <c r="F918" s="333"/>
      <c r="G918" s="331"/>
      <c r="H918" s="331"/>
      <c r="I918" s="331"/>
      <c r="J918" s="331"/>
      <c r="K918" s="331"/>
      <c r="L918" s="331"/>
      <c r="M918" s="331"/>
      <c r="N918" s="331"/>
      <c r="O918" s="331"/>
      <c r="P918" s="331"/>
      <c r="Q918" s="331"/>
    </row>
    <row r="919" spans="1:17" ht="19.5" customHeight="1" x14ac:dyDescent="0.25">
      <c r="A919" s="331"/>
      <c r="B919" s="331"/>
      <c r="C919" s="331"/>
      <c r="D919" s="333"/>
      <c r="E919" s="333"/>
      <c r="F919" s="333"/>
      <c r="G919" s="331"/>
      <c r="H919" s="331"/>
      <c r="I919" s="331"/>
      <c r="J919" s="331"/>
      <c r="K919" s="331"/>
      <c r="L919" s="331"/>
      <c r="M919" s="331"/>
      <c r="N919" s="331"/>
      <c r="O919" s="331"/>
      <c r="P919" s="331"/>
      <c r="Q919" s="331"/>
    </row>
    <row r="920" spans="1:17" ht="19.5" customHeight="1" x14ac:dyDescent="0.25">
      <c r="A920" s="331"/>
      <c r="B920" s="331"/>
      <c r="C920" s="331"/>
      <c r="D920" s="333"/>
      <c r="E920" s="333"/>
      <c r="F920" s="333"/>
      <c r="G920" s="331"/>
      <c r="H920" s="331"/>
      <c r="I920" s="331"/>
      <c r="J920" s="331"/>
      <c r="K920" s="331"/>
      <c r="L920" s="331"/>
      <c r="M920" s="331"/>
      <c r="N920" s="331"/>
      <c r="O920" s="331"/>
      <c r="P920" s="331"/>
      <c r="Q920" s="331"/>
    </row>
    <row r="921" spans="1:17" ht="19.5" customHeight="1" x14ac:dyDescent="0.25">
      <c r="A921" s="331"/>
      <c r="B921" s="331"/>
      <c r="C921" s="331"/>
      <c r="D921" s="333"/>
      <c r="E921" s="333"/>
      <c r="F921" s="333"/>
      <c r="G921" s="331"/>
      <c r="H921" s="331"/>
      <c r="I921" s="331"/>
      <c r="J921" s="331"/>
      <c r="K921" s="331"/>
      <c r="L921" s="331"/>
      <c r="M921" s="331"/>
      <c r="N921" s="331"/>
      <c r="O921" s="331"/>
      <c r="P921" s="331"/>
      <c r="Q921" s="331"/>
    </row>
    <row r="922" spans="1:17" ht="19.5" customHeight="1" x14ac:dyDescent="0.25">
      <c r="A922" s="331"/>
      <c r="B922" s="331"/>
      <c r="C922" s="331"/>
      <c r="D922" s="333"/>
      <c r="E922" s="333"/>
      <c r="F922" s="333"/>
      <c r="G922" s="331"/>
      <c r="H922" s="331"/>
      <c r="I922" s="331"/>
      <c r="J922" s="331"/>
      <c r="K922" s="331"/>
      <c r="L922" s="331"/>
      <c r="M922" s="331"/>
      <c r="N922" s="331"/>
      <c r="O922" s="331"/>
      <c r="P922" s="331"/>
      <c r="Q922" s="331"/>
    </row>
    <row r="923" spans="1:17" ht="19.5" customHeight="1" x14ac:dyDescent="0.25">
      <c r="A923" s="331"/>
      <c r="B923" s="331"/>
      <c r="C923" s="331"/>
      <c r="D923" s="333"/>
      <c r="E923" s="333"/>
      <c r="F923" s="333"/>
      <c r="G923" s="331"/>
      <c r="H923" s="331"/>
      <c r="I923" s="331"/>
      <c r="J923" s="331"/>
      <c r="K923" s="331"/>
      <c r="L923" s="331"/>
      <c r="M923" s="331"/>
      <c r="N923" s="331"/>
      <c r="O923" s="331"/>
      <c r="P923" s="331"/>
      <c r="Q923" s="331"/>
    </row>
    <row r="924" spans="1:17" ht="19.5" customHeight="1" x14ac:dyDescent="0.25">
      <c r="A924" s="331"/>
      <c r="B924" s="331"/>
      <c r="C924" s="331"/>
      <c r="D924" s="333"/>
      <c r="E924" s="333"/>
      <c r="F924" s="333"/>
      <c r="G924" s="331"/>
      <c r="H924" s="331"/>
      <c r="I924" s="331"/>
      <c r="J924" s="331"/>
      <c r="K924" s="331"/>
      <c r="L924" s="331"/>
      <c r="M924" s="331"/>
      <c r="N924" s="331"/>
      <c r="O924" s="331"/>
      <c r="P924" s="331"/>
      <c r="Q924" s="331"/>
    </row>
    <row r="925" spans="1:17" ht="19.5" customHeight="1" x14ac:dyDescent="0.25">
      <c r="A925" s="331"/>
      <c r="B925" s="331"/>
      <c r="C925" s="331"/>
      <c r="D925" s="333"/>
      <c r="E925" s="333"/>
      <c r="F925" s="333"/>
      <c r="G925" s="331"/>
      <c r="H925" s="331"/>
      <c r="I925" s="331"/>
      <c r="J925" s="331"/>
      <c r="K925" s="331"/>
      <c r="L925" s="331"/>
      <c r="M925" s="331"/>
      <c r="N925" s="331"/>
      <c r="O925" s="331"/>
      <c r="P925" s="331"/>
      <c r="Q925" s="331"/>
    </row>
    <row r="926" spans="1:17" ht="19.5" customHeight="1" x14ac:dyDescent="0.25">
      <c r="A926" s="331"/>
      <c r="B926" s="331"/>
      <c r="C926" s="331"/>
      <c r="D926" s="333"/>
      <c r="E926" s="333"/>
      <c r="F926" s="333"/>
      <c r="G926" s="331"/>
      <c r="H926" s="331"/>
      <c r="I926" s="331"/>
      <c r="J926" s="331"/>
      <c r="K926" s="331"/>
      <c r="L926" s="331"/>
      <c r="M926" s="331"/>
      <c r="N926" s="331"/>
      <c r="O926" s="331"/>
      <c r="P926" s="331"/>
      <c r="Q926" s="331"/>
    </row>
    <row r="927" spans="1:17" ht="19.5" customHeight="1" x14ac:dyDescent="0.25">
      <c r="A927" s="331"/>
      <c r="B927" s="331"/>
      <c r="C927" s="331"/>
      <c r="D927" s="333"/>
      <c r="E927" s="333"/>
      <c r="F927" s="333"/>
      <c r="G927" s="331"/>
      <c r="H927" s="331"/>
      <c r="I927" s="331"/>
      <c r="J927" s="331"/>
      <c r="K927" s="331"/>
      <c r="L927" s="331"/>
      <c r="M927" s="331"/>
      <c r="N927" s="331"/>
      <c r="O927" s="331"/>
      <c r="P927" s="331"/>
      <c r="Q927" s="331"/>
    </row>
    <row r="928" spans="1:17" ht="19.5" customHeight="1" x14ac:dyDescent="0.25">
      <c r="A928" s="331"/>
      <c r="B928" s="331"/>
      <c r="C928" s="331"/>
      <c r="D928" s="333"/>
      <c r="E928" s="333"/>
      <c r="F928" s="333"/>
      <c r="G928" s="331"/>
      <c r="H928" s="331"/>
      <c r="I928" s="331"/>
      <c r="J928" s="331"/>
      <c r="K928" s="331"/>
      <c r="L928" s="331"/>
      <c r="M928" s="331"/>
      <c r="N928" s="331"/>
      <c r="O928" s="331"/>
      <c r="P928" s="331"/>
      <c r="Q928" s="331"/>
    </row>
    <row r="929" spans="1:17" ht="19.5" customHeight="1" x14ac:dyDescent="0.25">
      <c r="A929" s="331"/>
      <c r="B929" s="331"/>
      <c r="C929" s="331"/>
      <c r="D929" s="333"/>
      <c r="E929" s="333"/>
      <c r="F929" s="333"/>
      <c r="G929" s="331"/>
      <c r="H929" s="331"/>
      <c r="I929" s="331"/>
      <c r="J929" s="331"/>
      <c r="K929" s="331"/>
      <c r="L929" s="331"/>
      <c r="M929" s="331"/>
      <c r="N929" s="331"/>
      <c r="O929" s="331"/>
      <c r="P929" s="331"/>
      <c r="Q929" s="331"/>
    </row>
    <row r="930" spans="1:17" ht="19.5" customHeight="1" x14ac:dyDescent="0.25">
      <c r="A930" s="331"/>
      <c r="B930" s="331"/>
      <c r="C930" s="331"/>
      <c r="D930" s="333"/>
      <c r="E930" s="333"/>
      <c r="F930" s="333"/>
      <c r="G930" s="331"/>
      <c r="H930" s="331"/>
      <c r="I930" s="331"/>
      <c r="J930" s="331"/>
      <c r="K930" s="331"/>
      <c r="L930" s="331"/>
      <c r="M930" s="331"/>
      <c r="N930" s="331"/>
      <c r="O930" s="331"/>
      <c r="P930" s="331"/>
      <c r="Q930" s="331"/>
    </row>
    <row r="931" spans="1:17" ht="19.5" customHeight="1" x14ac:dyDescent="0.25">
      <c r="A931" s="331"/>
      <c r="B931" s="331"/>
      <c r="C931" s="331"/>
      <c r="D931" s="333"/>
      <c r="E931" s="333"/>
      <c r="F931" s="333"/>
      <c r="G931" s="331"/>
      <c r="H931" s="331"/>
      <c r="I931" s="331"/>
      <c r="J931" s="331"/>
      <c r="K931" s="331"/>
      <c r="L931" s="331"/>
      <c r="M931" s="331"/>
      <c r="N931" s="331"/>
      <c r="O931" s="331"/>
      <c r="P931" s="331"/>
      <c r="Q931" s="331"/>
    </row>
    <row r="932" spans="1:17" ht="19.5" customHeight="1" x14ac:dyDescent="0.25">
      <c r="A932" s="331"/>
      <c r="B932" s="331"/>
      <c r="C932" s="331"/>
      <c r="D932" s="333"/>
      <c r="E932" s="333"/>
      <c r="F932" s="333"/>
      <c r="G932" s="331"/>
      <c r="H932" s="331"/>
      <c r="I932" s="331"/>
      <c r="J932" s="331"/>
      <c r="K932" s="331"/>
      <c r="L932" s="331"/>
      <c r="M932" s="331"/>
      <c r="N932" s="331"/>
      <c r="O932" s="331"/>
      <c r="P932" s="331"/>
      <c r="Q932" s="331"/>
    </row>
    <row r="933" spans="1:17" ht="19.5" customHeight="1" x14ac:dyDescent="0.25">
      <c r="A933" s="331"/>
      <c r="B933" s="331"/>
      <c r="C933" s="331"/>
      <c r="D933" s="333"/>
      <c r="E933" s="333"/>
      <c r="F933" s="333"/>
      <c r="G933" s="331"/>
      <c r="H933" s="331"/>
      <c r="I933" s="331"/>
      <c r="J933" s="331"/>
      <c r="K933" s="331"/>
      <c r="L933" s="331"/>
      <c r="M933" s="331"/>
      <c r="N933" s="331"/>
      <c r="O933" s="331"/>
      <c r="P933" s="331"/>
      <c r="Q933" s="331"/>
    </row>
    <row r="934" spans="1:17" ht="19.5" customHeight="1" x14ac:dyDescent="0.25">
      <c r="A934" s="331"/>
      <c r="B934" s="331"/>
      <c r="C934" s="331"/>
      <c r="D934" s="333"/>
      <c r="E934" s="333"/>
      <c r="F934" s="333"/>
      <c r="G934" s="331"/>
      <c r="H934" s="331"/>
      <c r="I934" s="331"/>
      <c r="J934" s="331"/>
      <c r="K934" s="331"/>
      <c r="L934" s="331"/>
      <c r="M934" s="331"/>
      <c r="N934" s="331"/>
      <c r="O934" s="331"/>
      <c r="P934" s="331"/>
      <c r="Q934" s="331"/>
    </row>
    <row r="935" spans="1:17" ht="19.5" customHeight="1" x14ac:dyDescent="0.25">
      <c r="A935" s="331"/>
      <c r="B935" s="331"/>
      <c r="C935" s="331"/>
      <c r="D935" s="333"/>
      <c r="E935" s="333"/>
      <c r="F935" s="333"/>
      <c r="G935" s="331"/>
      <c r="H935" s="331"/>
      <c r="I935" s="331"/>
      <c r="J935" s="331"/>
      <c r="K935" s="331"/>
      <c r="L935" s="331"/>
      <c r="M935" s="331"/>
      <c r="N935" s="331"/>
      <c r="O935" s="331"/>
      <c r="P935" s="331"/>
      <c r="Q935" s="331"/>
    </row>
    <row r="936" spans="1:17" ht="19.5" customHeight="1" x14ac:dyDescent="0.25">
      <c r="A936" s="331"/>
      <c r="B936" s="331"/>
      <c r="C936" s="331"/>
      <c r="D936" s="333"/>
      <c r="E936" s="333"/>
      <c r="F936" s="333"/>
      <c r="G936" s="331"/>
      <c r="H936" s="331"/>
      <c r="I936" s="331"/>
      <c r="J936" s="331"/>
      <c r="K936" s="331"/>
      <c r="L936" s="331"/>
      <c r="M936" s="331"/>
      <c r="N936" s="331"/>
      <c r="O936" s="331"/>
      <c r="P936" s="331"/>
      <c r="Q936" s="331"/>
    </row>
    <row r="937" spans="1:17" ht="19.5" customHeight="1" x14ac:dyDescent="0.25">
      <c r="A937" s="331"/>
      <c r="B937" s="331"/>
      <c r="C937" s="331"/>
      <c r="D937" s="333"/>
      <c r="E937" s="333"/>
      <c r="F937" s="333"/>
      <c r="G937" s="331"/>
      <c r="H937" s="331"/>
      <c r="I937" s="331"/>
      <c r="J937" s="331"/>
      <c r="K937" s="331"/>
      <c r="L937" s="331"/>
      <c r="M937" s="331"/>
      <c r="N937" s="331"/>
      <c r="O937" s="331"/>
      <c r="P937" s="331"/>
      <c r="Q937" s="331"/>
    </row>
    <row r="938" spans="1:17" ht="19.5" customHeight="1" x14ac:dyDescent="0.25">
      <c r="A938" s="331"/>
      <c r="B938" s="331"/>
      <c r="C938" s="331"/>
      <c r="D938" s="333"/>
      <c r="E938" s="333"/>
      <c r="F938" s="333"/>
      <c r="G938" s="331"/>
      <c r="H938" s="331"/>
      <c r="I938" s="331"/>
      <c r="J938" s="331"/>
      <c r="K938" s="331"/>
      <c r="L938" s="331"/>
      <c r="M938" s="331"/>
      <c r="N938" s="331"/>
      <c r="O938" s="331"/>
      <c r="P938" s="331"/>
      <c r="Q938" s="331"/>
    </row>
    <row r="939" spans="1:17" ht="19.5" customHeight="1" x14ac:dyDescent="0.25">
      <c r="A939" s="331"/>
      <c r="B939" s="331"/>
      <c r="C939" s="331"/>
      <c r="D939" s="333"/>
      <c r="E939" s="333"/>
      <c r="F939" s="333"/>
      <c r="G939" s="331"/>
      <c r="H939" s="331"/>
      <c r="I939" s="331"/>
      <c r="J939" s="331"/>
      <c r="K939" s="331"/>
      <c r="L939" s="331"/>
      <c r="M939" s="331"/>
      <c r="N939" s="331"/>
      <c r="O939" s="331"/>
      <c r="P939" s="331"/>
      <c r="Q939" s="331"/>
    </row>
    <row r="940" spans="1:17" ht="19.5" customHeight="1" x14ac:dyDescent="0.25">
      <c r="A940" s="331"/>
      <c r="B940" s="331"/>
      <c r="C940" s="331"/>
      <c r="D940" s="333"/>
      <c r="E940" s="333"/>
      <c r="F940" s="333"/>
      <c r="G940" s="331"/>
      <c r="H940" s="331"/>
      <c r="I940" s="331"/>
      <c r="J940" s="331"/>
      <c r="K940" s="331"/>
      <c r="L940" s="331"/>
      <c r="M940" s="331"/>
      <c r="N940" s="331"/>
      <c r="O940" s="331"/>
      <c r="P940" s="331"/>
      <c r="Q940" s="331"/>
    </row>
  </sheetData>
  <sortState xmlns:xlrd2="http://schemas.microsoft.com/office/spreadsheetml/2017/richdata2" ref="F24:G29">
    <sortCondition descending="1" ref="G24:G29"/>
  </sortState>
  <phoneticPr fontId="11" type="noConversion"/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521B-B4D4-484F-9438-84F815DFC96A}">
  <sheetPr codeName="Planilha2">
    <tabColor rgb="FF1851D6"/>
    <outlinePr summaryBelow="0" summaryRight="0"/>
    <pageSetUpPr fitToPage="1"/>
  </sheetPr>
  <dimension ref="A1:AI2157"/>
  <sheetViews>
    <sheetView showGridLines="0" zoomScaleNormal="100" workbookViewId="0">
      <pane ySplit="11" topLeftCell="A12" activePane="bottomLeft" state="frozen"/>
      <selection pane="bottomLeft" activeCell="T2109" sqref="T2109"/>
    </sheetView>
  </sheetViews>
  <sheetFormatPr defaultColWidth="8.85546875" defaultRowHeight="12.75" outlineLevelRow="4" outlineLevelCol="2" x14ac:dyDescent="0.2"/>
  <cols>
    <col min="1" max="1" width="1.5703125" customWidth="1"/>
    <col min="2" max="2" width="9.140625" style="4" customWidth="1" outlineLevel="1"/>
    <col min="3" max="3" width="8.140625" style="3" hidden="1" customWidth="1" outlineLevel="1"/>
    <col min="4" max="4" width="12.28515625" style="1" customWidth="1"/>
    <col min="5" max="12" width="1" style="1" hidden="1" customWidth="1"/>
    <col min="13" max="14" width="1" style="5" hidden="1" customWidth="1"/>
    <col min="15" max="15" width="3.7109375" style="5" hidden="1" customWidth="1"/>
    <col min="16" max="16" width="2.42578125" style="5" hidden="1" customWidth="1"/>
    <col min="17" max="17" width="0.42578125" style="5" hidden="1" customWidth="1"/>
    <col min="18" max="18" width="0.42578125" style="1" hidden="1" customWidth="1"/>
    <col min="19" max="19" width="68.5703125" style="1" customWidth="1"/>
    <col min="20" max="20" width="8" style="3" customWidth="1" outlineLevel="1"/>
    <col min="21" max="21" width="16.85546875" style="8" customWidth="1" outlineLevel="1"/>
    <col min="22" max="22" width="9.7109375" style="314" customWidth="1" outlineLevel="2"/>
    <col min="23" max="23" width="13.5703125" style="15" customWidth="1" outlineLevel="2"/>
    <col min="24" max="24" width="11.28515625" style="8" customWidth="1" outlineLevel="2"/>
    <col min="25" max="25" width="10.7109375" style="6" customWidth="1" outlineLevel="1"/>
    <col min="26" max="26" width="20.140625" style="1" customWidth="1" outlineLevel="1" collapsed="1"/>
    <col min="27" max="27" width="0.7109375" style="223" hidden="1" customWidth="1" outlineLevel="2"/>
    <col min="28" max="28" width="0.7109375" style="1" hidden="1" customWidth="1" outlineLevel="2"/>
    <col min="29" max="29" width="12.42578125" style="1" customWidth="1" outlineLevel="1"/>
    <col min="30" max="30" width="7.140625" bestFit="1" customWidth="1" collapsed="1"/>
    <col min="31" max="31" width="14" style="8" hidden="1" customWidth="1" outlineLevel="1"/>
    <col min="32" max="32" width="25.5703125" style="3" hidden="1" customWidth="1" outlineLevel="1" collapsed="1"/>
    <col min="33" max="33" width="2" hidden="1" customWidth="1" outlineLevel="1"/>
    <col min="34" max="34" width="5.5703125" bestFit="1" customWidth="1"/>
  </cols>
  <sheetData>
    <row r="1" spans="1:32" ht="4.9000000000000004" customHeight="1" x14ac:dyDescent="0.2">
      <c r="AB1" s="9"/>
    </row>
    <row r="2" spans="1:32" ht="28.15" customHeight="1" x14ac:dyDescent="0.2">
      <c r="A2" s="484" t="str">
        <f>"ORÇAMENTO EXECUTIVO - "&amp;UPPER(S5)</f>
        <v>ORÇAMENTO EXECUTIVO - ACÁCIAS FLOWE'S HOSP.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D2" s="186"/>
    </row>
    <row r="3" spans="1:32" ht="7.15" customHeight="1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198"/>
      <c r="T3" s="198"/>
      <c r="U3" s="198"/>
      <c r="V3" s="315"/>
      <c r="W3" s="198"/>
      <c r="X3" s="198"/>
      <c r="Y3" s="198"/>
      <c r="Z3" s="198"/>
      <c r="AA3" s="224"/>
      <c r="AB3" s="198"/>
      <c r="AC3" s="198"/>
    </row>
    <row r="4" spans="1:32" ht="15" customHeight="1" x14ac:dyDescent="0.2">
      <c r="A4" s="182" t="s">
        <v>131</v>
      </c>
      <c r="B4" s="183"/>
      <c r="C4" s="183"/>
      <c r="D4" s="182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213"/>
      <c r="R4" s="96"/>
      <c r="S4" s="490" t="str">
        <f>CAPA!B2</f>
        <v>Construtora ALL Empreendimentos</v>
      </c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186"/>
      <c r="AE4" s="214" t="s">
        <v>152</v>
      </c>
      <c r="AF4" s="215" t="str">
        <f>S4</f>
        <v>Construtora ALL Empreendimentos</v>
      </c>
    </row>
    <row r="5" spans="1:32" s="10" customFormat="1" ht="13.15" customHeight="1" x14ac:dyDescent="0.2">
      <c r="A5" s="182" t="s">
        <v>25</v>
      </c>
      <c r="B5" s="184"/>
      <c r="C5" s="184"/>
      <c r="D5" s="182"/>
      <c r="E5" s="97"/>
      <c r="F5" s="97"/>
      <c r="G5" s="97"/>
      <c r="H5" s="97"/>
      <c r="I5" s="97"/>
      <c r="J5" s="97"/>
      <c r="K5" s="97"/>
      <c r="L5" s="97"/>
      <c r="M5" s="98"/>
      <c r="N5" s="98"/>
      <c r="O5" s="98"/>
      <c r="P5" s="98"/>
      <c r="Q5" s="251"/>
      <c r="R5" s="98"/>
      <c r="S5" s="490" t="str">
        <f>CAPA!B1</f>
        <v>ACÁCIAS FLOWE'S HOSP.</v>
      </c>
      <c r="T5" s="491"/>
      <c r="U5" s="491"/>
      <c r="V5" s="491"/>
      <c r="W5" s="491"/>
      <c r="X5" s="491"/>
      <c r="Y5" s="491"/>
      <c r="Z5" s="491"/>
      <c r="AA5" s="491"/>
      <c r="AB5" s="491"/>
      <c r="AC5" s="491"/>
      <c r="AD5" s="187"/>
      <c r="AE5" s="214" t="s">
        <v>153</v>
      </c>
      <c r="AF5" s="215">
        <f>OBRA!D12</f>
        <v>22</v>
      </c>
    </row>
    <row r="6" spans="1:32" s="10" customFormat="1" ht="13.15" customHeight="1" x14ac:dyDescent="0.2">
      <c r="A6" s="182" t="s">
        <v>132</v>
      </c>
      <c r="B6" s="184"/>
      <c r="C6" s="184"/>
      <c r="D6" s="182"/>
      <c r="E6" s="97"/>
      <c r="F6" s="97"/>
      <c r="G6" s="97"/>
      <c r="H6" s="97"/>
      <c r="I6" s="97"/>
      <c r="J6" s="97"/>
      <c r="K6" s="97"/>
      <c r="L6" s="97"/>
      <c r="M6" s="98"/>
      <c r="N6" s="98"/>
      <c r="O6" s="98"/>
      <c r="P6" s="98"/>
      <c r="Q6" s="251"/>
      <c r="R6" s="98"/>
      <c r="S6" s="287" t="str">
        <f>CAPA!B3</f>
        <v>R00</v>
      </c>
      <c r="T6" s="97"/>
      <c r="U6" s="97"/>
      <c r="V6" s="316"/>
      <c r="W6" s="97"/>
      <c r="X6" s="97"/>
      <c r="Y6" s="97"/>
      <c r="Z6" s="97"/>
      <c r="AA6" s="97"/>
      <c r="AB6" s="97"/>
      <c r="AC6" s="97"/>
      <c r="AD6" s="187"/>
      <c r="AE6" s="214" t="s">
        <v>32</v>
      </c>
      <c r="AF6" s="216">
        <f>OBRA!D10</f>
        <v>1943.23</v>
      </c>
    </row>
    <row r="7" spans="1:32" s="10" customFormat="1" ht="13.15" customHeight="1" x14ac:dyDescent="0.2">
      <c r="A7" s="182" t="s">
        <v>26</v>
      </c>
      <c r="B7" s="184"/>
      <c r="C7" s="184"/>
      <c r="D7" s="182"/>
      <c r="E7" s="97"/>
      <c r="F7" s="97"/>
      <c r="G7" s="97"/>
      <c r="H7" s="97"/>
      <c r="I7" s="97"/>
      <c r="J7" s="97"/>
      <c r="K7" s="97"/>
      <c r="L7" s="97"/>
      <c r="M7" s="98"/>
      <c r="N7" s="98"/>
      <c r="O7" s="98"/>
      <c r="P7" s="98"/>
      <c r="Q7" s="251"/>
      <c r="R7" s="98"/>
      <c r="S7" s="492">
        <f>CAPA!B4</f>
        <v>45463</v>
      </c>
      <c r="T7" s="493"/>
      <c r="U7" s="493"/>
      <c r="V7" s="493"/>
      <c r="W7" s="493"/>
      <c r="X7" s="493"/>
      <c r="Y7" s="493"/>
      <c r="Z7" s="493"/>
      <c r="AA7" s="493"/>
      <c r="AB7" s="493"/>
      <c r="AC7" s="493"/>
      <c r="AD7" s="187"/>
      <c r="AE7" s="214" t="s">
        <v>100</v>
      </c>
      <c r="AF7" s="215">
        <f>OBRA!D11</f>
        <v>38</v>
      </c>
    </row>
    <row r="8" spans="1:32" s="10" customFormat="1" ht="4.9000000000000004" customHeight="1" x14ac:dyDescent="0.2">
      <c r="A8" s="195"/>
      <c r="B8" s="13"/>
      <c r="C8" s="196"/>
      <c r="D8" s="13"/>
      <c r="E8" s="197"/>
      <c r="F8" s="197"/>
      <c r="G8" s="197"/>
      <c r="H8" s="197"/>
      <c r="I8" s="197"/>
      <c r="J8" s="197"/>
      <c r="K8" s="197"/>
      <c r="L8" s="197"/>
      <c r="M8" s="181"/>
      <c r="N8" s="181"/>
      <c r="O8" s="181"/>
      <c r="P8" s="181"/>
      <c r="Q8" s="252"/>
      <c r="R8" s="181"/>
      <c r="S8" s="175"/>
      <c r="T8" s="242"/>
      <c r="U8" s="176"/>
      <c r="V8" s="317"/>
      <c r="W8" s="177"/>
      <c r="X8" s="176"/>
      <c r="Y8" s="178"/>
      <c r="Z8" s="14"/>
      <c r="AA8" s="225"/>
      <c r="AB8" s="180"/>
      <c r="AC8" s="180"/>
      <c r="AE8" s="179"/>
      <c r="AF8" s="179"/>
    </row>
    <row r="9" spans="1:32" s="211" customFormat="1" ht="19.149999999999999" customHeight="1" x14ac:dyDescent="0.2">
      <c r="A9" s="488" t="s">
        <v>567</v>
      </c>
      <c r="B9" s="489"/>
      <c r="C9" s="489"/>
      <c r="D9" s="489"/>
      <c r="E9" s="489"/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9"/>
      <c r="Q9" s="489"/>
      <c r="R9" s="489"/>
      <c r="S9" s="489"/>
      <c r="T9" s="489"/>
      <c r="U9" s="489"/>
      <c r="V9" s="489"/>
      <c r="W9" s="489"/>
      <c r="X9" s="489"/>
      <c r="Y9" s="489"/>
      <c r="Z9" s="489"/>
      <c r="AA9" s="489"/>
      <c r="AB9" s="489"/>
      <c r="AC9" s="489"/>
      <c r="AE9" s="486" t="str">
        <f>UPPER(AF4)</f>
        <v>CONSTRUTORA ALL EMPREENDIMENTOS</v>
      </c>
      <c r="AF9" s="487"/>
    </row>
    <row r="10" spans="1:32" s="10" customFormat="1" ht="21.6" customHeight="1" x14ac:dyDescent="0.2">
      <c r="A10" s="188"/>
      <c r="B10" s="188" t="s">
        <v>14</v>
      </c>
      <c r="C10" s="189" t="s">
        <v>155</v>
      </c>
      <c r="D10" s="217" t="s">
        <v>6</v>
      </c>
      <c r="E10" s="218" t="s">
        <v>11</v>
      </c>
      <c r="F10" s="219" t="s">
        <v>147</v>
      </c>
      <c r="G10" s="220" t="s">
        <v>22</v>
      </c>
      <c r="H10" s="219" t="s">
        <v>148</v>
      </c>
      <c r="I10" s="220" t="s">
        <v>1</v>
      </c>
      <c r="J10" s="219" t="s">
        <v>149</v>
      </c>
      <c r="K10" s="220" t="s">
        <v>2</v>
      </c>
      <c r="L10" s="219" t="s">
        <v>150</v>
      </c>
      <c r="M10" s="220" t="s">
        <v>3</v>
      </c>
      <c r="N10" s="219" t="s">
        <v>151</v>
      </c>
      <c r="O10" s="220" t="s">
        <v>4</v>
      </c>
      <c r="P10" s="220" t="s">
        <v>554</v>
      </c>
      <c r="Q10" s="253" t="s">
        <v>558</v>
      </c>
      <c r="R10" s="221" t="s">
        <v>130</v>
      </c>
      <c r="S10" s="188" t="s">
        <v>7</v>
      </c>
      <c r="T10" s="190" t="s">
        <v>12</v>
      </c>
      <c r="U10" s="191" t="s">
        <v>15</v>
      </c>
      <c r="V10" s="318" t="s">
        <v>17</v>
      </c>
      <c r="W10" s="192" t="s">
        <v>18</v>
      </c>
      <c r="X10" s="191" t="s">
        <v>16</v>
      </c>
      <c r="Y10" s="193" t="s">
        <v>28</v>
      </c>
      <c r="Z10" s="194" t="s">
        <v>92</v>
      </c>
      <c r="AA10" s="212" t="s">
        <v>565</v>
      </c>
      <c r="AB10" s="258" t="s">
        <v>564</v>
      </c>
      <c r="AC10" s="174" t="s">
        <v>27</v>
      </c>
      <c r="AE10" s="191" t="s">
        <v>31</v>
      </c>
      <c r="AF10" s="193" t="s">
        <v>99</v>
      </c>
    </row>
    <row r="11" spans="1:32" s="10" customFormat="1" ht="1.9" customHeight="1" x14ac:dyDescent="0.2">
      <c r="A11" s="165"/>
      <c r="B11" s="185"/>
      <c r="C11" s="165"/>
      <c r="D11" s="165"/>
      <c r="E11" s="165"/>
      <c r="F11" s="166">
        <v>0</v>
      </c>
      <c r="G11" s="165"/>
      <c r="H11" s="167">
        <v>0</v>
      </c>
      <c r="I11" s="165"/>
      <c r="J11" s="167">
        <v>0</v>
      </c>
      <c r="K11" s="165"/>
      <c r="L11" s="168">
        <v>0</v>
      </c>
      <c r="M11" s="165"/>
      <c r="N11" s="168">
        <v>0</v>
      </c>
      <c r="O11" s="165"/>
      <c r="P11" s="165"/>
      <c r="Q11" s="243"/>
      <c r="R11" s="165"/>
      <c r="S11" s="165"/>
      <c r="T11" s="243"/>
      <c r="U11" s="169"/>
      <c r="V11" s="319"/>
      <c r="W11" s="170"/>
      <c r="X11" s="169"/>
      <c r="Y11" s="171"/>
      <c r="Z11" s="171"/>
      <c r="AA11" s="226"/>
      <c r="AB11" s="165"/>
      <c r="AC11" s="172"/>
      <c r="AE11" s="173"/>
      <c r="AF11" s="172"/>
    </row>
    <row r="12" spans="1:32" s="10" customFormat="1" ht="13.15" customHeight="1" x14ac:dyDescent="0.2">
      <c r="A12" s="227"/>
      <c r="B12" s="228" t="s">
        <v>22</v>
      </c>
      <c r="C12" s="229" t="str">
        <f t="shared" ref="C12:C75" si="0">IF(B12="INSUMO",COUNTIFS(B:B,"INSUMO",S:S,S12),IF(B12="SERVIÇO",COUNTIFS(B:B,"SERVIÇO",S:S,S12),""))</f>
        <v/>
      </c>
      <c r="D12" s="227" t="str">
        <f ca="1">IF(B12="Unidade Construtiva",TEXT(F12,"00"),IF(B12="Célula Construtiva",TEXT(H12,"00"),IF(B12="Etapa",CONCATENATE(TEXT(H12,"00"),".",TEXT(J12,"000")),IF(B12="Subetapa",CONCATENATE(TEXT(H12,"00"),".",TEXT(J12,"000"),".",TEXT(L12,"000")),IF(B12="Serviço",CONCATENATE(TEXT(H12,"00"),".",TEXT(J12,"000"),".",TEXT(L12,"000"),".",TEXT(N12,"000")),"")))))</f>
        <v>01</v>
      </c>
      <c r="E12" s="228">
        <f ca="1">IF(B12="*","",IFERROR(IF(B12="SERVIÇO",D12,OFFSET(E12,-1,0)),""))</f>
        <v>0</v>
      </c>
      <c r="F12" s="230">
        <f ca="1">IF($B12="UNIDADE CONSTRUTIVA",OFFSET(F12,-1,0)+1,LARGE(F$10:F11,1))</f>
        <v>1</v>
      </c>
      <c r="G12" s="228" t="str">
        <f t="shared" ref="G12:G55" ca="1" si="1">IF(B12="*","",IF(B12="UNIDADE CONSTRUTIVA",S12,OFFSET(G12,-1,0)))</f>
        <v xml:space="preserve">   GERENCIAMENTO TÉCNICO E ADMINISTRATIVO</v>
      </c>
      <c r="H12" s="230">
        <f ca="1">IF(B12="UNIDADE CONSTRUTIVA",0,IF(B12="CÉLULA CONSTRUTIVA",OFFSET(H12,-1,0)+1,OFFSET(H12,-1,0)))</f>
        <v>0</v>
      </c>
      <c r="I12" s="228">
        <f t="shared" ref="I12:I55" ca="1" si="2">IF(B12="*","",IF(B12="CÉLULA CONSTRUTIVA",S12,OFFSET(I12,-1,0)))</f>
        <v>0</v>
      </c>
      <c r="J12" s="230">
        <f ca="1">IF(B12="CÉLULA CONSTRUTIVA",0,IF(B12="ETAPA",OFFSET(J12,-1,0)+1,OFFSET(J12,-1,0)))</f>
        <v>0</v>
      </c>
      <c r="K12" s="228">
        <f t="shared" ref="K12:K55" ca="1" si="3">IF(B12="*","",IF(B12="ETAPA",S12,OFFSET(K12,-1,0)))</f>
        <v>0</v>
      </c>
      <c r="L12" s="231">
        <f ca="1">IF(B12="ETAPA",0,IF(B12="SUBETAPA",OFFSET(L12,-1,0)+1,OFFSET(L12,-1,0)))</f>
        <v>0</v>
      </c>
      <c r="M12" s="228">
        <f t="shared" ref="M12:M55" ca="1" si="4">IF(B12="*","",IF(B12="SUBETAPA",S12,OFFSET(M12,-1,0)))</f>
        <v>0</v>
      </c>
      <c r="N12" s="231">
        <f ca="1">IF(B12="Subetapa",0,IF(B12="serviço",OFFSET(N12,-1,0)+1,OFFSET(N12,-1,0)))</f>
        <v>0</v>
      </c>
      <c r="O12" s="228">
        <f t="shared" ref="O12:O55" ca="1" si="5">IF(B12="*","",IF(B12="SERVIÇO",S12,OFFSET(O12,-1,0)))</f>
        <v>0</v>
      </c>
      <c r="P12" s="232" t="str">
        <f>IF(S12="","",IF(Orçamento!$B12="INSUMO",S12,""))</f>
        <v/>
      </c>
      <c r="Q12" s="244" t="str">
        <f>IF(S12="","",IF(Orçamento!$B12="Serviço",S12,""))</f>
        <v/>
      </c>
      <c r="R12" s="234">
        <f t="shared" ref="R12:R55" ca="1" si="6">IF(B12="serviço",U12,OFFSET(R12,-1,0))</f>
        <v>0</v>
      </c>
      <c r="S12" s="233" t="s">
        <v>406</v>
      </c>
      <c r="T12" s="242" t="s">
        <v>35</v>
      </c>
      <c r="U12" s="235" t="str">
        <f>IF($B12="insumo",R12,"")</f>
        <v/>
      </c>
      <c r="V12" s="320" t="s">
        <v>35</v>
      </c>
      <c r="W12" s="236" t="str">
        <f>IFERROR(IF(B12="INSUMO",_xlfn.XLOOKUP(S12,Insumos!A:A,Insumos!C:C),""),"Inserir Preço")</f>
        <v/>
      </c>
      <c r="X12" s="235" t="str">
        <f t="shared" ref="X12:X72" ca="1" si="7">IF(B12="Complemento do insumo",V12,IF(R12="","",IF(B12="serviço",R12,IF(OR(B12="insumo"),V12*R12,""))))</f>
        <v/>
      </c>
      <c r="Y12" s="236" t="str">
        <f t="shared" ref="Y12:Y43" si="8">IF(B12="insumo",W12*V12,IF(B12="serviço",SUMIFS(Y:Y,B:B,"insumo",E:E,E12,I:I,I12),""))</f>
        <v/>
      </c>
      <c r="Z12" s="237">
        <f t="shared" ref="Z12:Z75" ca="1" si="9">IFERROR(IF(B12="Unidade Construtiva",SUMIFS(Z:Z,B:B,"Célula Construtiva",G:G,G12),IF(B12="célula construtiva",SUMIFS(Z:Z,B:B,"Insumo",I:I,I12,G:G,G12),IF(B12="ETAPA",SUMIFS(Z:Z,B:B,"Insumo",K:K,K12,I:I,I12,G:G,G12),IF(B12="subetapa",SUMIFS(Z:Z,M:M,M12,B:B,"insumo",K:K,K12,I:I,I12,G:G,G12),IF(B12="complemento do insumo",V12*W12,IF(B12="INSUMO",R12*V12*W12,X12*Y12)))))),"")</f>
        <v>728402.36797331506</v>
      </c>
      <c r="AA12" s="238"/>
      <c r="AB12" s="233" t="str">
        <f>IF(B12="insumo",_xlfn.XLOOKUP(S12,Insumos!A:A,Insumos!D:D),"")</f>
        <v/>
      </c>
      <c r="AC12" s="239">
        <f t="shared" ref="AC12:AC75" ca="1" si="10">IFERROR(IF(B12="","",Z12/SUMIF(B:B,"INSUMO",Z:Z)),0)</f>
        <v>0.10449596067913532</v>
      </c>
      <c r="AE12" s="240">
        <f ca="1">IFERROR(IF(OR(Z12="",Z12=0),"",IF(AF12="","",IF(AF12="R$/mês",Z12/OBRA!$D$12,IF(AF12="R$/m²",Z12/OBRA!$D$10,IF(AF12="R$/apto",Orçamento!Z12/OBRA!$D$11,""))))),"")</f>
        <v>374.84104710884202</v>
      </c>
      <c r="AF12" s="241" t="s">
        <v>154</v>
      </c>
    </row>
    <row r="13" spans="1:32" s="10" customFormat="1" ht="13.15" customHeight="1" outlineLevel="1" x14ac:dyDescent="0.2">
      <c r="A13" s="227"/>
      <c r="B13" s="228" t="s">
        <v>1</v>
      </c>
      <c r="C13" s="229" t="str">
        <f t="shared" si="0"/>
        <v/>
      </c>
      <c r="D13" s="227" t="str">
        <f ca="1">IF(B13="Unidade Construtiva",TEXT(F13,"00"),IF(B13="Célula Construtiva",TEXT(H13,"00"),IF(B13="Etapa",CONCATENATE(TEXT(H13,"00"),".",TEXT(J13,"000")),IF(B13="Subetapa",CONCATENATE(TEXT(H13,"00"),".",TEXT(J13,"000"),".",TEXT(L13,"000")),IF(B13="Serviço",CONCATENATE(TEXT(H13,"00"),".",TEXT(J13,"000"),".",TEXT(L13,"000"),".",TEXT(N13,"000")),"")))))</f>
        <v>01</v>
      </c>
      <c r="E13" s="228">
        <f ca="1">IF(B13="*","",IFERROR(IF(B13="SERVIÇO",D13,OFFSET(E13,-1,0)),""))</f>
        <v>0</v>
      </c>
      <c r="F13" s="230">
        <f ca="1">IF($B13="UNIDADE CONSTRUTIVA",OFFSET(F13,-1,0)+1,LARGE(F$10:F12,1))</f>
        <v>1</v>
      </c>
      <c r="G13" s="228" t="str">
        <f t="shared" ref="G13" ca="1" si="11">IF(B13="*","",IF(B13="UNIDADE CONSTRUTIVA",S13,OFFSET(G13,-1,0)))</f>
        <v xml:space="preserve">   GERENCIAMENTO TÉCNICO E ADMINISTRATIVO</v>
      </c>
      <c r="H13" s="230">
        <f ca="1">IF(B13="UNIDADE CONSTRUTIVA",0,IF(B13="CÉLULA CONSTRUTIVA",OFFSET(H13,-1,0)+1,OFFSET(H13,-1,0)))</f>
        <v>1</v>
      </c>
      <c r="I13" s="228" t="str">
        <f t="shared" ref="I13" ca="1" si="12">IF(B13="*","",IF(B13="CÉLULA CONSTRUTIVA",S13,OFFSET(I13,-1,0)))</f>
        <v xml:space="preserve">   GERENCIAMENTO TÉCNICO</v>
      </c>
      <c r="J13" s="230">
        <f ca="1">IF(B13="CÉLULA CONSTRUTIVA",0,IF(B13="ETAPA",OFFSET(J13,-1,0)+1,OFFSET(J13,-1,0)))</f>
        <v>0</v>
      </c>
      <c r="K13" s="228">
        <f t="shared" ref="K13" ca="1" si="13">IF(B13="*","",IF(B13="ETAPA",S13,OFFSET(K13,-1,0)))</f>
        <v>0</v>
      </c>
      <c r="L13" s="231">
        <f ca="1">IF(B13="ETAPA",0,IF(B13="SUBETAPA",OFFSET(L13,-1,0)+1,OFFSET(L13,-1,0)))</f>
        <v>0</v>
      </c>
      <c r="M13" s="228">
        <f t="shared" ref="M13" ca="1" si="14">IF(B13="*","",IF(B13="SUBETAPA",S13,OFFSET(M13,-1,0)))</f>
        <v>0</v>
      </c>
      <c r="N13" s="231">
        <f ca="1">IF(B13="Subetapa",0,IF(B13="serviço",OFFSET(N13,-1,0)+1,OFFSET(N13,-1,0)))</f>
        <v>0</v>
      </c>
      <c r="O13" s="228">
        <f t="shared" ref="O13" ca="1" si="15">IF(B13="*","",IF(B13="SERVIÇO",S13,OFFSET(O13,-1,0)))</f>
        <v>0</v>
      </c>
      <c r="P13" s="232" t="str">
        <f>IF(S13="","",IF(Orçamento!$B13="INSUMO",S13,""))</f>
        <v/>
      </c>
      <c r="Q13" s="244" t="str">
        <f>IF(S13="","",IF(Orçamento!$B13="Serviço",S13,""))</f>
        <v/>
      </c>
      <c r="R13" s="234">
        <f t="shared" ca="1" si="6"/>
        <v>0</v>
      </c>
      <c r="S13" s="233" t="s">
        <v>407</v>
      </c>
      <c r="T13" s="242" t="s">
        <v>35</v>
      </c>
      <c r="U13" s="235" t="str">
        <f t="shared" ref="U13:U72" si="16">IF($B13="insumo",R13,"")</f>
        <v/>
      </c>
      <c r="V13" s="320" t="s">
        <v>35</v>
      </c>
      <c r="W13" s="236" t="str">
        <f>IFERROR(IF(B13="INSUMO",_xlfn.XLOOKUP(S13,Insumos!A:A,Insumos!C:C),""),"Inserir Preço")</f>
        <v/>
      </c>
      <c r="X13" s="235" t="str">
        <f t="shared" ca="1" si="7"/>
        <v/>
      </c>
      <c r="Y13" s="236" t="str">
        <f t="shared" si="8"/>
        <v/>
      </c>
      <c r="Z13" s="237">
        <f t="shared" ca="1" si="9"/>
        <v>206833.88932567977</v>
      </c>
      <c r="AA13" s="238"/>
      <c r="AB13" s="233" t="str">
        <f>IF(B13="insumo",_xlfn.XLOOKUP(S13,Insumos!A:A,Insumos!D:D),"")</f>
        <v/>
      </c>
      <c r="AC13" s="239">
        <f t="shared" ca="1" si="10"/>
        <v>2.9672207170639869E-2</v>
      </c>
      <c r="AE13" s="240">
        <f ca="1">IFERROR(IF(OR(Z13="",Z13=0),"",IF(AF13="","",IF(AF13="R$/mês",Z13/OBRA!$D$12,IF(AF13="R$/m²",Z13/OBRA!$D$10,IF(AF13="R$/apto",Orçamento!Z13/OBRA!$D$11,""))))),"")</f>
        <v>106.43819276445906</v>
      </c>
      <c r="AF13" s="241" t="s">
        <v>154</v>
      </c>
    </row>
    <row r="14" spans="1:32" s="10" customFormat="1" ht="13.15" customHeight="1" outlineLevel="2" collapsed="1" x14ac:dyDescent="0.2">
      <c r="A14" s="227"/>
      <c r="B14" s="228" t="s">
        <v>2</v>
      </c>
      <c r="C14" s="229" t="str">
        <f t="shared" si="0"/>
        <v/>
      </c>
      <c r="D14" s="227" t="str">
        <f ca="1">IF(B14="Unidade Construtiva",TEXT(F14,"00"),IF(B14="Célula Construtiva",TEXT(H14,"00"),IF(B14="Etapa",CONCATENATE(TEXT(H14,"00"),".",TEXT(J14,"000")),IF(B14="Subetapa",CONCATENATE(TEXT(H14,"00"),".",TEXT(J14,"000"),".",TEXT(L14,"000")),IF(B14="Serviço",CONCATENATE(TEXT(H14,"00"),".",TEXT(J14,"000"),".",TEXT(L14,"000"),".",TEXT(N14,"000")),"")))))</f>
        <v>01.001</v>
      </c>
      <c r="E14" s="228">
        <f t="shared" ref="E14:E55" ca="1" si="17">IF(B14="*","",IFERROR(IF(B14="SERVIÇO",D14,OFFSET(E14,-1,0)),""))</f>
        <v>0</v>
      </c>
      <c r="F14" s="230">
        <f ca="1">IF($B14="UNIDADE CONSTRUTIVA",OFFSET(F14,-1,0)+1,LARGE(F$10:F13,1))</f>
        <v>1</v>
      </c>
      <c r="G14" s="228" t="str">
        <f t="shared" ca="1" si="1"/>
        <v xml:space="preserve">   GERENCIAMENTO TÉCNICO E ADMINISTRATIVO</v>
      </c>
      <c r="H14" s="230">
        <f t="shared" ref="H14:H55" ca="1" si="18">IF(B14="UNIDADE CONSTRUTIVA",0,IF(B14="CÉLULA CONSTRUTIVA",OFFSET(H14,-1,0)+1,OFFSET(H14,-1,0)))</f>
        <v>1</v>
      </c>
      <c r="I14" s="228" t="str">
        <f t="shared" ca="1" si="2"/>
        <v xml:space="preserve">   GERENCIAMENTO TÉCNICO</v>
      </c>
      <c r="J14" s="230">
        <f t="shared" ref="J14:J55" ca="1" si="19">IF(B14="CÉLULA CONSTRUTIVA",0,IF(B14="ETAPA",OFFSET(J14,-1,0)+1,OFFSET(J14,-1,0)))</f>
        <v>1</v>
      </c>
      <c r="K14" s="228" t="str">
        <f t="shared" ca="1" si="3"/>
        <v xml:space="preserve">   ESTUDOS | PROJETOS | CONSULTORIAS</v>
      </c>
      <c r="L14" s="231">
        <f t="shared" ref="L14:L55" ca="1" si="20">IF(B14="ETAPA",0,IF(B14="SUBETAPA",OFFSET(L14,-1,0)+1,OFFSET(L14,-1,0)))</f>
        <v>0</v>
      </c>
      <c r="M14" s="228">
        <f t="shared" ca="1" si="4"/>
        <v>0</v>
      </c>
      <c r="N14" s="231">
        <f t="shared" ref="N14:N55" ca="1" si="21">IF(B14="Subetapa",0,IF(B14="serviço",OFFSET(N14,-1,0)+1,OFFSET(N14,-1,0)))</f>
        <v>0</v>
      </c>
      <c r="O14" s="228">
        <f t="shared" ca="1" si="5"/>
        <v>0</v>
      </c>
      <c r="P14" s="232" t="str">
        <f>IF(S14="","",IF(Orçamento!$B14="INSUMO",S14,""))</f>
        <v/>
      </c>
      <c r="Q14" s="244" t="str">
        <f>IF(S14="","",IF(Orçamento!$B14="Serviço",S14,""))</f>
        <v/>
      </c>
      <c r="R14" s="234">
        <f t="shared" ca="1" si="6"/>
        <v>0</v>
      </c>
      <c r="S14" s="233" t="s">
        <v>408</v>
      </c>
      <c r="T14" s="242" t="s">
        <v>35</v>
      </c>
      <c r="U14" s="235" t="str">
        <f t="shared" si="16"/>
        <v/>
      </c>
      <c r="V14" s="320" t="s">
        <v>35</v>
      </c>
      <c r="W14" s="236" t="str">
        <f>IFERROR(IF(B14="INSUMO",_xlfn.XLOOKUP(S14,Insumos!A:A,Insumos!C:C),""),"Inserir Preço")</f>
        <v/>
      </c>
      <c r="X14" s="235" t="str">
        <f t="shared" ca="1" si="7"/>
        <v/>
      </c>
      <c r="Y14" s="236" t="str">
        <f t="shared" si="8"/>
        <v/>
      </c>
      <c r="Z14" s="237">
        <f t="shared" ca="1" si="9"/>
        <v>161015.62</v>
      </c>
      <c r="AA14" s="238"/>
      <c r="AB14" s="233" t="str">
        <f>IF(B14="insumo",_xlfn.XLOOKUP(S14,Insumos!A:A,Insumos!D:D),"")</f>
        <v/>
      </c>
      <c r="AC14" s="239">
        <f t="shared" ca="1" si="10"/>
        <v>2.3099158701338808E-2</v>
      </c>
      <c r="AE14" s="240">
        <f ca="1">IFERROR(IF(OR(Z14="",Z14=0),"",IF(AF14="","",IF(AF14="R$/mês",Z14/OBRA!$D$12,IF(AF14="R$/m²",Z14/OBRA!$D$10,IF(AF14="R$/apto",Orçamento!Z14/OBRA!$D$11,""))))),"")</f>
        <v>82.859784997143933</v>
      </c>
      <c r="AF14" s="241" t="s">
        <v>154</v>
      </c>
    </row>
    <row r="15" spans="1:32" s="10" customFormat="1" ht="13.15" hidden="1" customHeight="1" outlineLevel="3" collapsed="1" x14ac:dyDescent="0.2">
      <c r="A15" s="227"/>
      <c r="B15" s="228" t="s">
        <v>3</v>
      </c>
      <c r="C15" s="229" t="str">
        <f t="shared" si="0"/>
        <v/>
      </c>
      <c r="D15" s="227" t="str">
        <f ca="1">IF(B15="Unidade Construtiva",TEXT(F15,"00"),IF(B15="Célula Construtiva",TEXT(H15,"00"),IF(B15="Etapa",CONCATENATE(TEXT(H15,"00"),".",TEXT(J15,"000")),IF(B15="Subetapa",CONCATENATE(TEXT(H15,"00"),".",TEXT(J15,"000"),".",TEXT(L15,"000")),IF(B15="Serviço",CONCATENATE(TEXT(H15,"00"),".",TEXT(J15,"000"),".",TEXT(L15,"000"),".",TEXT(N15,"000")),"")))))</f>
        <v>01.001.001</v>
      </c>
      <c r="E15" s="228">
        <f t="shared" ca="1" si="17"/>
        <v>0</v>
      </c>
      <c r="F15" s="230">
        <f ca="1">IF($B15="UNIDADE CONSTRUTIVA",OFFSET(F15,-1,0)+1,LARGE(F$10:F14,1))</f>
        <v>1</v>
      </c>
      <c r="G15" s="228" t="str">
        <f t="shared" ca="1" si="1"/>
        <v xml:space="preserve">   GERENCIAMENTO TÉCNICO E ADMINISTRATIVO</v>
      </c>
      <c r="H15" s="230">
        <f t="shared" ca="1" si="18"/>
        <v>1</v>
      </c>
      <c r="I15" s="228" t="str">
        <f t="shared" ca="1" si="2"/>
        <v xml:space="preserve">   GERENCIAMENTO TÉCNICO</v>
      </c>
      <c r="J15" s="230">
        <f t="shared" ca="1" si="19"/>
        <v>1</v>
      </c>
      <c r="K15" s="228" t="str">
        <f t="shared" ca="1" si="3"/>
        <v xml:space="preserve">   ESTUDOS | PROJETOS | CONSULTORIAS</v>
      </c>
      <c r="L15" s="231">
        <f t="shared" ca="1" si="20"/>
        <v>1</v>
      </c>
      <c r="M15" s="228" t="str">
        <f t="shared" ca="1" si="4"/>
        <v xml:space="preserve">   Estudos</v>
      </c>
      <c r="N15" s="231">
        <f t="shared" ca="1" si="21"/>
        <v>0</v>
      </c>
      <c r="O15" s="228">
        <f t="shared" ca="1" si="5"/>
        <v>0</v>
      </c>
      <c r="P15" s="232" t="str">
        <f>IF(S15="","",IF(Orçamento!$B15="INSUMO",S15,""))</f>
        <v/>
      </c>
      <c r="Q15" s="244" t="str">
        <f>IF(S15="","",IF(Orçamento!$B15="Serviço",S15,""))</f>
        <v/>
      </c>
      <c r="R15" s="234">
        <f t="shared" ca="1" si="6"/>
        <v>0</v>
      </c>
      <c r="S15" s="233" t="s">
        <v>409</v>
      </c>
      <c r="T15" s="242" t="s">
        <v>35</v>
      </c>
      <c r="U15" s="235" t="str">
        <f t="shared" si="16"/>
        <v/>
      </c>
      <c r="V15" s="320" t="s">
        <v>35</v>
      </c>
      <c r="W15" s="236" t="str">
        <f>IFERROR(IF(B15="INSUMO",_xlfn.XLOOKUP(S15,Insumos!A:A,Insumos!C:C),""),"Inserir Preço")</f>
        <v/>
      </c>
      <c r="X15" s="235" t="str">
        <f t="shared" ca="1" si="7"/>
        <v/>
      </c>
      <c r="Y15" s="236" t="str">
        <f t="shared" si="8"/>
        <v/>
      </c>
      <c r="Z15" s="237">
        <f t="shared" ca="1" si="9"/>
        <v>16700</v>
      </c>
      <c r="AA15" s="238"/>
      <c r="AB15" s="233" t="str">
        <f>IF(B15="insumo",_xlfn.XLOOKUP(S15,Insumos!A:A,Insumos!D:D),"")</f>
        <v/>
      </c>
      <c r="AC15" s="239">
        <f t="shared" ca="1" si="10"/>
        <v>2.3957672573155209E-3</v>
      </c>
      <c r="AE15" s="240">
        <f ca="1">IFERROR(IF(OR(Z15="",Z15=0),"",IF(AF15="","",IF(AF15="R$/mês",Z15/OBRA!$D$12,IF(AF15="R$/m²",Z15/OBRA!$D$10,IF(AF15="R$/apto",Orçamento!Z15/OBRA!$D$11,""))))),"")</f>
        <v>8.5939389573030471</v>
      </c>
      <c r="AF15" s="241" t="s">
        <v>154</v>
      </c>
    </row>
    <row r="16" spans="1:32" s="10" customFormat="1" ht="13.15" hidden="1" customHeight="1" outlineLevel="4" x14ac:dyDescent="0.2">
      <c r="A16" s="227"/>
      <c r="B16" s="228" t="s">
        <v>4</v>
      </c>
      <c r="C16" s="229">
        <f t="shared" si="0"/>
        <v>1</v>
      </c>
      <c r="D16" s="227" t="str">
        <f t="shared" ref="D16:D57" ca="1" si="22">IF(B16="Unidade Construtiva",TEXT(F16,"00"),IF(B16="Célula Construtiva",TEXT(H16,"00"),IF(B16="Etapa",CONCATENATE(TEXT(H16,"00"),".",TEXT(J16,"000")),IF(B16="Subetapa",CONCATENATE(TEXT(H16,"00"),".",TEXT(J16,"000"),".",TEXT(L16,"000")),IF(B16="Serviço",CONCATENATE(TEXT(H16,"00"),".",TEXT(J16,"000"),".",TEXT(L16,"000"),".",TEXT(N16,"000")),"")))))</f>
        <v>01.001.001.001</v>
      </c>
      <c r="E16" s="228" t="str">
        <f t="shared" ca="1" si="17"/>
        <v>01.001.001.001</v>
      </c>
      <c r="F16" s="230">
        <f ca="1">IF($B16="UNIDADE CONSTRUTIVA",OFFSET(F16,-1,0)+1,LARGE(F$10:F15,1))</f>
        <v>1</v>
      </c>
      <c r="G16" s="228" t="str">
        <f t="shared" ca="1" si="1"/>
        <v xml:space="preserve">   GERENCIAMENTO TÉCNICO E ADMINISTRATIVO</v>
      </c>
      <c r="H16" s="230">
        <f t="shared" ca="1" si="18"/>
        <v>1</v>
      </c>
      <c r="I16" s="228" t="str">
        <f t="shared" ca="1" si="2"/>
        <v xml:space="preserve">   GERENCIAMENTO TÉCNICO</v>
      </c>
      <c r="J16" s="230">
        <f t="shared" ca="1" si="19"/>
        <v>1</v>
      </c>
      <c r="K16" s="228" t="str">
        <f t="shared" ca="1" si="3"/>
        <v xml:space="preserve">   ESTUDOS | PROJETOS | CONSULTORIAS</v>
      </c>
      <c r="L16" s="231">
        <f t="shared" ca="1" si="20"/>
        <v>1</v>
      </c>
      <c r="M16" s="228" t="str">
        <f t="shared" ca="1" si="4"/>
        <v xml:space="preserve">   Estudos</v>
      </c>
      <c r="N16" s="231">
        <f t="shared" ca="1" si="21"/>
        <v>1</v>
      </c>
      <c r="O16" s="228" t="str">
        <f t="shared" ca="1" si="5"/>
        <v>Serviço Levantamento Topografico</v>
      </c>
      <c r="P16" s="232" t="str">
        <f>IF(S16="","",IF(Orçamento!$B16="INSUMO",S16,""))</f>
        <v/>
      </c>
      <c r="Q16" s="244" t="str">
        <f>IF(B16="","",IF(B16="Serviço",S16,""))</f>
        <v>Serviço Levantamento Topografico</v>
      </c>
      <c r="R16" s="234">
        <f t="shared" ca="1" si="6"/>
        <v>1</v>
      </c>
      <c r="S16" s="233" t="s">
        <v>1216</v>
      </c>
      <c r="T16" s="242" t="s">
        <v>170</v>
      </c>
      <c r="U16" s="235">
        <v>1</v>
      </c>
      <c r="V16" s="320" t="s">
        <v>35</v>
      </c>
      <c r="W16" s="236" t="str">
        <f>IFERROR(IF(B16="INSUMO",_xlfn.XLOOKUP(S16,Insumos!A:A,Insumos!C:C),""),"Inserir Preço")</f>
        <v/>
      </c>
      <c r="X16" s="235">
        <f t="shared" ca="1" si="7"/>
        <v>1</v>
      </c>
      <c r="Y16" s="236">
        <f t="shared" ca="1" si="8"/>
        <v>7800</v>
      </c>
      <c r="Z16" s="237">
        <f t="shared" ca="1" si="9"/>
        <v>7800</v>
      </c>
      <c r="AA16" s="238"/>
      <c r="AB16" s="233" t="str">
        <f>IF(B16="insumo",_xlfn.XLOOKUP(S16,Insumos!A:A,Insumos!D:D),"")</f>
        <v/>
      </c>
      <c r="AC16" s="239">
        <f t="shared" ca="1" si="10"/>
        <v>1.1189811141952733E-3</v>
      </c>
      <c r="AE16" s="240">
        <f ca="1">IFERROR(IF(OR(Z16="",Z16=0),"",IF(AF16="","",IF(AF16="R$/mês",Z16/OBRA!$D$12,IF(AF16="R$/m²",Z16/OBRA!$D$10,IF(AF16="R$/apto",Orçamento!Z16/OBRA!$D$11,""))))),"")</f>
        <v>4.0139355608960336</v>
      </c>
      <c r="AF16" s="241" t="s">
        <v>154</v>
      </c>
    </row>
    <row r="17" spans="1:32" s="10" customFormat="1" ht="13.15" hidden="1" customHeight="1" outlineLevel="4" x14ac:dyDescent="0.2">
      <c r="A17" s="227"/>
      <c r="B17" s="228" t="s">
        <v>19</v>
      </c>
      <c r="C17" s="229">
        <f t="shared" si="0"/>
        <v>1</v>
      </c>
      <c r="D17" s="227" t="str">
        <f t="shared" si="22"/>
        <v/>
      </c>
      <c r="E17" s="228" t="str">
        <f t="shared" ca="1" si="17"/>
        <v>01.001.001.001</v>
      </c>
      <c r="F17" s="230">
        <f ca="1">IF($B17="UNIDADE CONSTRUTIVA",OFFSET(F17,-1,0)+1,LARGE(F$10:F16,1))</f>
        <v>1</v>
      </c>
      <c r="G17" s="228" t="str">
        <f t="shared" ca="1" si="1"/>
        <v xml:space="preserve">   GERENCIAMENTO TÉCNICO E ADMINISTRATIVO</v>
      </c>
      <c r="H17" s="230">
        <f t="shared" ca="1" si="18"/>
        <v>1</v>
      </c>
      <c r="I17" s="228" t="str">
        <f t="shared" ca="1" si="2"/>
        <v xml:space="preserve">   GERENCIAMENTO TÉCNICO</v>
      </c>
      <c r="J17" s="230">
        <f t="shared" ca="1" si="19"/>
        <v>1</v>
      </c>
      <c r="K17" s="228" t="str">
        <f t="shared" ca="1" si="3"/>
        <v xml:space="preserve">   ESTUDOS | PROJETOS | CONSULTORIAS</v>
      </c>
      <c r="L17" s="231">
        <f t="shared" ca="1" si="20"/>
        <v>1</v>
      </c>
      <c r="M17" s="228" t="str">
        <f t="shared" ca="1" si="4"/>
        <v xml:space="preserve">   Estudos</v>
      </c>
      <c r="N17" s="231">
        <f t="shared" ca="1" si="21"/>
        <v>1</v>
      </c>
      <c r="O17" s="228" t="str">
        <f t="shared" ca="1" si="5"/>
        <v>Serviço Levantamento Topografico</v>
      </c>
      <c r="P17" s="232" t="str">
        <f>IF(S17="","",IF(Orçamento!$B17="INSUMO",S17,""))</f>
        <v>LEVANTAMENTO TOPOGRAFICO</v>
      </c>
      <c r="Q17" s="244" t="str">
        <f t="shared" ref="Q17:Q58" si="23">IF(B17="","",IF(B17="Serviço",S17,""))</f>
        <v/>
      </c>
      <c r="R17" s="234">
        <f t="shared" ca="1" si="6"/>
        <v>1</v>
      </c>
      <c r="S17" s="233" t="s">
        <v>219</v>
      </c>
      <c r="T17" s="242" t="str">
        <f>_xlfn.XLOOKUP(S17,Insumos!$A$3:$A$371,Insumos!$B$3:$B$371)</f>
        <v>M3</v>
      </c>
      <c r="U17" s="235">
        <f t="shared" ca="1" si="16"/>
        <v>1</v>
      </c>
      <c r="V17" s="320">
        <v>1</v>
      </c>
      <c r="W17" s="236">
        <f>IFERROR(IF(B17="INSUMO",_xlfn.XLOOKUP(S17,Insumos!A:A,Insumos!C:C),""),"Inserir Preço")</f>
        <v>7800</v>
      </c>
      <c r="X17" s="235">
        <f t="shared" ca="1" si="7"/>
        <v>1</v>
      </c>
      <c r="Y17" s="236">
        <f t="shared" si="8"/>
        <v>7800</v>
      </c>
      <c r="Z17" s="237">
        <f t="shared" ca="1" si="9"/>
        <v>7800</v>
      </c>
      <c r="AA17" s="238"/>
      <c r="AB17" s="233" t="str">
        <f>IF(B17="insumo",_xlfn.XLOOKUP(S17,Insumos!A:A,Insumos!D:D),"")</f>
        <v>Balancete</v>
      </c>
      <c r="AC17" s="239">
        <f t="shared" ca="1" si="10"/>
        <v>1.1189811141952733E-3</v>
      </c>
      <c r="AE17" s="240">
        <f ca="1">IFERROR(IF(OR(Z17="",Z17=0),"",IF(AF17="","",IF(AF17="R$/mês",Z17/OBRA!$D$12,IF(AF17="R$/m²",Z17/OBRA!$D$10,IF(AF17="R$/apto",Orçamento!Z17/OBRA!$D$11,""))))),"")</f>
        <v>4.0139355608960336</v>
      </c>
      <c r="AF17" s="241" t="s">
        <v>154</v>
      </c>
    </row>
    <row r="18" spans="1:32" s="10" customFormat="1" ht="13.15" hidden="1" customHeight="1" outlineLevel="4" x14ac:dyDescent="0.2">
      <c r="A18" s="227"/>
      <c r="B18" s="228" t="s">
        <v>4</v>
      </c>
      <c r="C18" s="229">
        <f t="shared" si="0"/>
        <v>1</v>
      </c>
      <c r="D18" s="227" t="str">
        <f t="shared" ca="1" si="22"/>
        <v>01.001.001.002</v>
      </c>
      <c r="E18" s="228" t="str">
        <f t="shared" ca="1" si="17"/>
        <v>01.001.001.002</v>
      </c>
      <c r="F18" s="230">
        <f ca="1">IF($B18="UNIDADE CONSTRUTIVA",OFFSET(F18,-1,0)+1,LARGE(F$10:F17,1))</f>
        <v>1</v>
      </c>
      <c r="G18" s="228" t="str">
        <f t="shared" ca="1" si="1"/>
        <v xml:space="preserve">   GERENCIAMENTO TÉCNICO E ADMINISTRATIVO</v>
      </c>
      <c r="H18" s="230">
        <f t="shared" ca="1" si="18"/>
        <v>1</v>
      </c>
      <c r="I18" s="228" t="str">
        <f t="shared" ca="1" si="2"/>
        <v xml:space="preserve">   GERENCIAMENTO TÉCNICO</v>
      </c>
      <c r="J18" s="230">
        <f t="shared" ca="1" si="19"/>
        <v>1</v>
      </c>
      <c r="K18" s="228" t="str">
        <f t="shared" ca="1" si="3"/>
        <v xml:space="preserve">   ESTUDOS | PROJETOS | CONSULTORIAS</v>
      </c>
      <c r="L18" s="231">
        <f t="shared" ca="1" si="20"/>
        <v>1</v>
      </c>
      <c r="M18" s="228" t="str">
        <f t="shared" ca="1" si="4"/>
        <v xml:space="preserve">   Estudos</v>
      </c>
      <c r="N18" s="231">
        <f t="shared" ca="1" si="21"/>
        <v>2</v>
      </c>
      <c r="O18" s="228" t="str">
        <f t="shared" ca="1" si="5"/>
        <v>Sondagem do terreno</v>
      </c>
      <c r="P18" s="232" t="str">
        <f>IF(S18="","",IF(Orçamento!$B18="INSUMO",S18,""))</f>
        <v/>
      </c>
      <c r="Q18" s="244" t="str">
        <f t="shared" si="23"/>
        <v>Sondagem do terreno</v>
      </c>
      <c r="R18" s="234">
        <f t="shared" ca="1" si="6"/>
        <v>1</v>
      </c>
      <c r="S18" s="233" t="s">
        <v>134</v>
      </c>
      <c r="T18" s="242" t="s">
        <v>170</v>
      </c>
      <c r="U18" s="235">
        <v>1</v>
      </c>
      <c r="V18" s="320" t="s">
        <v>35</v>
      </c>
      <c r="W18" s="236" t="str">
        <f>IFERROR(IF(B18="INSUMO",_xlfn.XLOOKUP(S18,Insumos!A:A,Insumos!C:C),""),"Inserir Preço")</f>
        <v/>
      </c>
      <c r="X18" s="235">
        <f t="shared" ca="1" si="7"/>
        <v>1</v>
      </c>
      <c r="Y18" s="236">
        <f t="shared" ca="1" si="8"/>
        <v>8900</v>
      </c>
      <c r="Z18" s="237">
        <f t="shared" ca="1" si="9"/>
        <v>8900</v>
      </c>
      <c r="AA18" s="238"/>
      <c r="AB18" s="233" t="str">
        <f>IF(B18="insumo",_xlfn.XLOOKUP(S18,Insumos!A:A,Insumos!D:D),"")</f>
        <v/>
      </c>
      <c r="AC18" s="239">
        <f t="shared" ca="1" si="10"/>
        <v>1.2767861431202477E-3</v>
      </c>
      <c r="AE18" s="240">
        <f ca="1">IFERROR(IF(OR(Z18="",Z18=0),"",IF(AF18="","",IF(AF18="R$/mês",Z18/OBRA!$D$12,IF(AF18="R$/m²",Z18/OBRA!$D$10,IF(AF18="R$/apto",Orçamento!Z18/OBRA!$D$11,""))))),"")</f>
        <v>4.5800033964070126</v>
      </c>
      <c r="AF18" s="241" t="s">
        <v>154</v>
      </c>
    </row>
    <row r="19" spans="1:32" s="10" customFormat="1" ht="13.15" hidden="1" customHeight="1" outlineLevel="4" x14ac:dyDescent="0.2">
      <c r="A19" s="227"/>
      <c r="B19" s="228" t="s">
        <v>19</v>
      </c>
      <c r="C19" s="229">
        <f t="shared" si="0"/>
        <v>1</v>
      </c>
      <c r="D19" s="227" t="str">
        <f t="shared" si="22"/>
        <v/>
      </c>
      <c r="E19" s="228" t="str">
        <f t="shared" ca="1" si="17"/>
        <v>01.001.001.002</v>
      </c>
      <c r="F19" s="230">
        <f ca="1">IF($B19="UNIDADE CONSTRUTIVA",OFFSET(F19,-1,0)+1,LARGE(F$10:F18,1))</f>
        <v>1</v>
      </c>
      <c r="G19" s="228" t="str">
        <f t="shared" ca="1" si="1"/>
        <v xml:space="preserve">   GERENCIAMENTO TÉCNICO E ADMINISTRATIVO</v>
      </c>
      <c r="H19" s="230">
        <f t="shared" ca="1" si="18"/>
        <v>1</v>
      </c>
      <c r="I19" s="228" t="str">
        <f t="shared" ca="1" si="2"/>
        <v xml:space="preserve">   GERENCIAMENTO TÉCNICO</v>
      </c>
      <c r="J19" s="230">
        <f t="shared" ca="1" si="19"/>
        <v>1</v>
      </c>
      <c r="K19" s="228" t="str">
        <f t="shared" ca="1" si="3"/>
        <v xml:space="preserve">   ESTUDOS | PROJETOS | CONSULTORIAS</v>
      </c>
      <c r="L19" s="231">
        <f t="shared" ca="1" si="20"/>
        <v>1</v>
      </c>
      <c r="M19" s="228" t="str">
        <f t="shared" ca="1" si="4"/>
        <v xml:space="preserve">   Estudos</v>
      </c>
      <c r="N19" s="231">
        <f t="shared" ca="1" si="21"/>
        <v>2</v>
      </c>
      <c r="O19" s="228" t="str">
        <f t="shared" ca="1" si="5"/>
        <v>Sondagem do terreno</v>
      </c>
      <c r="P19" s="232" t="str">
        <f>IF(S19="","",IF(Orçamento!$B19="INSUMO",S19,""))</f>
        <v>SONDAGEM</v>
      </c>
      <c r="Q19" s="244" t="str">
        <f t="shared" si="23"/>
        <v/>
      </c>
      <c r="R19" s="234">
        <f t="shared" ca="1" si="6"/>
        <v>1</v>
      </c>
      <c r="S19" s="233" t="s">
        <v>220</v>
      </c>
      <c r="T19" s="242" t="str">
        <f>_xlfn.XLOOKUP(S19,Insumos!$A$3:$A$371,Insumos!$B$3:$B$371)</f>
        <v>VB</v>
      </c>
      <c r="U19" s="235">
        <f t="shared" ca="1" si="16"/>
        <v>1</v>
      </c>
      <c r="V19" s="320">
        <v>1</v>
      </c>
      <c r="W19" s="236">
        <f>IFERROR(IF(B19="INSUMO",_xlfn.XLOOKUP(S19,Insumos!A:A,Insumos!C:C),""),"Inserir Preço")</f>
        <v>8900</v>
      </c>
      <c r="X19" s="235">
        <f t="shared" ca="1" si="7"/>
        <v>1</v>
      </c>
      <c r="Y19" s="236">
        <f t="shared" si="8"/>
        <v>8900</v>
      </c>
      <c r="Z19" s="237">
        <f t="shared" ca="1" si="9"/>
        <v>8900</v>
      </c>
      <c r="AA19" s="238"/>
      <c r="AB19" s="233" t="str">
        <f>IF(B19="insumo",_xlfn.XLOOKUP(S19,Insumos!A:A,Insumos!D:D),"")</f>
        <v>Balancete</v>
      </c>
      <c r="AC19" s="239">
        <f t="shared" ca="1" si="10"/>
        <v>1.2767861431202477E-3</v>
      </c>
      <c r="AE19" s="240">
        <f ca="1">IFERROR(IF(OR(Z19="",Z19=0),"",IF(AF19="","",IF(AF19="R$/mês",Z19/OBRA!$D$12,IF(AF19="R$/m²",Z19/OBRA!$D$10,IF(AF19="R$/apto",Orçamento!Z19/OBRA!$D$11,""))))),"")</f>
        <v>4.5800033964070126</v>
      </c>
      <c r="AF19" s="241" t="s">
        <v>154</v>
      </c>
    </row>
    <row r="20" spans="1:32" s="10" customFormat="1" ht="13.15" hidden="1" customHeight="1" outlineLevel="3" collapsed="1" x14ac:dyDescent="0.2">
      <c r="A20" s="227"/>
      <c r="B20" s="228" t="s">
        <v>3</v>
      </c>
      <c r="C20" s="229" t="str">
        <f t="shared" si="0"/>
        <v/>
      </c>
      <c r="D20" s="227" t="str">
        <f t="shared" ca="1" si="22"/>
        <v>01.001.002</v>
      </c>
      <c r="E20" s="228" t="str">
        <f t="shared" ca="1" si="17"/>
        <v>01.001.001.002</v>
      </c>
      <c r="F20" s="230">
        <f ca="1">IF($B20="UNIDADE CONSTRUTIVA",OFFSET(F20,-1,0)+1,LARGE(F$10:F19,1))</f>
        <v>1</v>
      </c>
      <c r="G20" s="228" t="str">
        <f t="shared" ca="1" si="1"/>
        <v xml:space="preserve">   GERENCIAMENTO TÉCNICO E ADMINISTRATIVO</v>
      </c>
      <c r="H20" s="230">
        <f t="shared" ca="1" si="18"/>
        <v>1</v>
      </c>
      <c r="I20" s="228" t="str">
        <f t="shared" ca="1" si="2"/>
        <v xml:space="preserve">   GERENCIAMENTO TÉCNICO</v>
      </c>
      <c r="J20" s="230">
        <f t="shared" ca="1" si="19"/>
        <v>1</v>
      </c>
      <c r="K20" s="228" t="str">
        <f t="shared" ca="1" si="3"/>
        <v xml:space="preserve">   ESTUDOS | PROJETOS | CONSULTORIAS</v>
      </c>
      <c r="L20" s="231">
        <f t="shared" ca="1" si="20"/>
        <v>2</v>
      </c>
      <c r="M20" s="228" t="str">
        <f t="shared" ca="1" si="4"/>
        <v xml:space="preserve">   Projetos</v>
      </c>
      <c r="N20" s="231">
        <f t="shared" ca="1" si="21"/>
        <v>0</v>
      </c>
      <c r="O20" s="228" t="str">
        <f t="shared" ca="1" si="5"/>
        <v>Sondagem do terreno</v>
      </c>
      <c r="P20" s="232" t="str">
        <f>IF(S20="","",IF(Orçamento!$B20="INSUMO",S20,""))</f>
        <v/>
      </c>
      <c r="Q20" s="244" t="str">
        <f t="shared" si="23"/>
        <v/>
      </c>
      <c r="R20" s="234">
        <f t="shared" ca="1" si="6"/>
        <v>1</v>
      </c>
      <c r="S20" s="233" t="s">
        <v>410</v>
      </c>
      <c r="T20" s="242" t="s">
        <v>35</v>
      </c>
      <c r="U20" s="235" t="str">
        <f t="shared" si="16"/>
        <v/>
      </c>
      <c r="V20" s="320" t="s">
        <v>35</v>
      </c>
      <c r="W20" s="236" t="str">
        <f>IFERROR(IF(B20="INSUMO",_xlfn.XLOOKUP(S20,Insumos!A:A,Insumos!C:C),""),"Inserir Preço")</f>
        <v/>
      </c>
      <c r="X20" s="235" t="str">
        <f t="shared" ca="1" si="7"/>
        <v/>
      </c>
      <c r="Y20" s="236" t="str">
        <f t="shared" si="8"/>
        <v/>
      </c>
      <c r="Z20" s="237">
        <f t="shared" ca="1" si="9"/>
        <v>106486</v>
      </c>
      <c r="AA20" s="238"/>
      <c r="AB20" s="233" t="str">
        <f>IF(B20="insumo",_xlfn.XLOOKUP(S20,Insumos!A:A,Insumos!D:D),"")</f>
        <v/>
      </c>
      <c r="AC20" s="239">
        <f t="shared" ca="1" si="10"/>
        <v>1.5276387554640752E-2</v>
      </c>
      <c r="AE20" s="240">
        <f ca="1">IFERROR(IF(OR(Z20="",Z20=0),"",IF(AF20="","",IF(AF20="R$/mês",Z20/OBRA!$D$12,IF(AF20="R$/m²",Z20/OBRA!$D$10,IF(AF20="R$/apto",Orçamento!Z20/OBRA!$D$11,""))))),"")</f>
        <v>54.798454120201932</v>
      </c>
      <c r="AF20" s="241" t="s">
        <v>154</v>
      </c>
    </row>
    <row r="21" spans="1:32" s="10" customFormat="1" ht="13.15" hidden="1" customHeight="1" outlineLevel="4" x14ac:dyDescent="0.2">
      <c r="A21" s="227"/>
      <c r="B21" s="228" t="s">
        <v>4</v>
      </c>
      <c r="C21" s="229">
        <f t="shared" si="0"/>
        <v>1</v>
      </c>
      <c r="D21" s="227" t="str">
        <f t="shared" ca="1" si="22"/>
        <v>01.001.002.001</v>
      </c>
      <c r="E21" s="228" t="str">
        <f t="shared" ca="1" si="17"/>
        <v>01.001.002.001</v>
      </c>
      <c r="F21" s="230">
        <f ca="1">IF($B21="UNIDADE CONSTRUTIVA",OFFSET(F21,-1,0)+1,LARGE(F$10:F20,1))</f>
        <v>1</v>
      </c>
      <c r="G21" s="228" t="str">
        <f t="shared" ca="1" si="1"/>
        <v xml:space="preserve">   GERENCIAMENTO TÉCNICO E ADMINISTRATIVO</v>
      </c>
      <c r="H21" s="230">
        <f t="shared" ca="1" si="18"/>
        <v>1</v>
      </c>
      <c r="I21" s="228" t="str">
        <f t="shared" ca="1" si="2"/>
        <v xml:space="preserve">   GERENCIAMENTO TÉCNICO</v>
      </c>
      <c r="J21" s="230">
        <f t="shared" ca="1" si="19"/>
        <v>1</v>
      </c>
      <c r="K21" s="228" t="str">
        <f t="shared" ca="1" si="3"/>
        <v xml:space="preserve">   ESTUDOS | PROJETOS | CONSULTORIAS</v>
      </c>
      <c r="L21" s="231">
        <f t="shared" ca="1" si="20"/>
        <v>2</v>
      </c>
      <c r="M21" s="228" t="str">
        <f t="shared" ca="1" si="4"/>
        <v xml:space="preserve">   Projetos</v>
      </c>
      <c r="N21" s="231">
        <f t="shared" ca="1" si="21"/>
        <v>1</v>
      </c>
      <c r="O21" s="228" t="str">
        <f t="shared" ca="1" si="5"/>
        <v>Projeto Arquitetônico</v>
      </c>
      <c r="P21" s="232" t="str">
        <f>IF(S21="","",IF(Orçamento!$B21="INSUMO",S21,""))</f>
        <v/>
      </c>
      <c r="Q21" s="244" t="str">
        <f t="shared" si="23"/>
        <v>Projeto Arquitetônico</v>
      </c>
      <c r="R21" s="234">
        <f t="shared" ca="1" si="6"/>
        <v>1</v>
      </c>
      <c r="S21" s="233" t="s">
        <v>221</v>
      </c>
      <c r="T21" s="242" t="s">
        <v>170</v>
      </c>
      <c r="U21" s="235">
        <v>1</v>
      </c>
      <c r="V21" s="320" t="s">
        <v>35</v>
      </c>
      <c r="W21" s="236" t="str">
        <f>IFERROR(IF(B21="INSUMO",_xlfn.XLOOKUP(S21,Insumos!A:A,Insumos!C:C),""),"Inserir Preço")</f>
        <v/>
      </c>
      <c r="X21" s="235">
        <f t="shared" ca="1" si="7"/>
        <v>1</v>
      </c>
      <c r="Y21" s="236">
        <f t="shared" ca="1" si="8"/>
        <v>40816</v>
      </c>
      <c r="Z21" s="237">
        <f t="shared" ca="1" si="9"/>
        <v>40816</v>
      </c>
      <c r="AA21" s="238"/>
      <c r="AB21" s="233" t="str">
        <f>IF(B21="insumo",_xlfn.XLOOKUP(S21,Insumos!A:A,Insumos!D:D),"")</f>
        <v/>
      </c>
      <c r="AC21" s="239">
        <f t="shared" ca="1" si="10"/>
        <v>5.8554273278197781E-3</v>
      </c>
      <c r="AE21" s="240">
        <f ca="1">IFERROR(IF(OR(Z21="",Z21=0),"",IF(AF21="","",IF(AF21="R$/mês",Z21/OBRA!$D$12,IF(AF21="R$/m²",Z21/OBRA!$D$10,IF(AF21="R$/apto",Orçamento!Z21/OBRA!$D$11,""))))),"")</f>
        <v>21.004204340196477</v>
      </c>
      <c r="AF21" s="241" t="s">
        <v>154</v>
      </c>
    </row>
    <row r="22" spans="1:32" s="10" customFormat="1" ht="13.15" hidden="1" customHeight="1" outlineLevel="4" x14ac:dyDescent="0.2">
      <c r="A22" s="227"/>
      <c r="B22" s="228" t="s">
        <v>19</v>
      </c>
      <c r="C22" s="229">
        <f t="shared" si="0"/>
        <v>1</v>
      </c>
      <c r="D22" s="227" t="str">
        <f t="shared" si="22"/>
        <v/>
      </c>
      <c r="E22" s="228" t="str">
        <f t="shared" ca="1" si="17"/>
        <v>01.001.002.001</v>
      </c>
      <c r="F22" s="230">
        <f ca="1">IF($B22="UNIDADE CONSTRUTIVA",OFFSET(F22,-1,0)+1,LARGE(F$10:F21,1))</f>
        <v>1</v>
      </c>
      <c r="G22" s="228" t="str">
        <f t="shared" ca="1" si="1"/>
        <v xml:space="preserve">   GERENCIAMENTO TÉCNICO E ADMINISTRATIVO</v>
      </c>
      <c r="H22" s="230">
        <f t="shared" ca="1" si="18"/>
        <v>1</v>
      </c>
      <c r="I22" s="228" t="str">
        <f t="shared" ca="1" si="2"/>
        <v xml:space="preserve">   GERENCIAMENTO TÉCNICO</v>
      </c>
      <c r="J22" s="230">
        <f t="shared" ca="1" si="19"/>
        <v>1</v>
      </c>
      <c r="K22" s="228" t="str">
        <f t="shared" ca="1" si="3"/>
        <v xml:space="preserve">   ESTUDOS | PROJETOS | CONSULTORIAS</v>
      </c>
      <c r="L22" s="231">
        <f t="shared" ca="1" si="20"/>
        <v>2</v>
      </c>
      <c r="M22" s="228" t="str">
        <f t="shared" ca="1" si="4"/>
        <v xml:space="preserve">   Projetos</v>
      </c>
      <c r="N22" s="231">
        <f t="shared" ca="1" si="21"/>
        <v>1</v>
      </c>
      <c r="O22" s="228" t="str">
        <f t="shared" ca="1" si="5"/>
        <v>Projeto Arquitetônico</v>
      </c>
      <c r="P22" s="232" t="str">
        <f>IF(S22="","",IF(Orçamento!$B22="INSUMO",S22,""))</f>
        <v>PROJETO ARQUITETONICO</v>
      </c>
      <c r="Q22" s="244" t="str">
        <f t="shared" si="23"/>
        <v/>
      </c>
      <c r="R22" s="234">
        <f t="shared" ca="1" si="6"/>
        <v>1</v>
      </c>
      <c r="S22" s="233" t="s">
        <v>222</v>
      </c>
      <c r="T22" s="242" t="str">
        <f>_xlfn.XLOOKUP(S22,Insumos!$A$3:$A$371,Insumos!$B$3:$B$371)</f>
        <v>VB</v>
      </c>
      <c r="U22" s="235">
        <f t="shared" ca="1" si="16"/>
        <v>1</v>
      </c>
      <c r="V22" s="320">
        <v>1</v>
      </c>
      <c r="W22" s="236">
        <f>IFERROR(IF(B22="INSUMO",_xlfn.XLOOKUP(S22,Insumos!A:A,Insumos!C:C),""),"Inserir Preço")</f>
        <v>40816</v>
      </c>
      <c r="X22" s="235">
        <f t="shared" ca="1" si="7"/>
        <v>1</v>
      </c>
      <c r="Y22" s="236">
        <f t="shared" si="8"/>
        <v>40816</v>
      </c>
      <c r="Z22" s="237">
        <f t="shared" ca="1" si="9"/>
        <v>40816</v>
      </c>
      <c r="AA22" s="238"/>
      <c r="AB22" s="233" t="str">
        <f>IF(B22="insumo",_xlfn.XLOOKUP(S22,Insumos!A:A,Insumos!D:D),"")</f>
        <v>Recebido Cliente</v>
      </c>
      <c r="AC22" s="239">
        <f t="shared" ca="1" si="10"/>
        <v>5.8554273278197781E-3</v>
      </c>
      <c r="AE22" s="240">
        <f ca="1">IFERROR(IF(OR(Z22="",Z22=0),"",IF(AF22="","",IF(AF22="R$/mês",Z22/OBRA!$D$12,IF(AF22="R$/m²",Z22/OBRA!$D$10,IF(AF22="R$/apto",Orçamento!Z22/OBRA!$D$11,""))))),"")</f>
        <v>21.004204340196477</v>
      </c>
      <c r="AF22" s="241" t="s">
        <v>154</v>
      </c>
    </row>
    <row r="23" spans="1:32" s="10" customFormat="1" ht="13.15" hidden="1" customHeight="1" outlineLevel="4" x14ac:dyDescent="0.2">
      <c r="A23" s="227"/>
      <c r="B23" s="228" t="s">
        <v>4</v>
      </c>
      <c r="C23" s="229">
        <f t="shared" si="0"/>
        <v>1</v>
      </c>
      <c r="D23" s="227" t="str">
        <f t="shared" ca="1" si="22"/>
        <v>01.001.002.002</v>
      </c>
      <c r="E23" s="228" t="str">
        <f t="shared" ca="1" si="17"/>
        <v>01.001.002.002</v>
      </c>
      <c r="F23" s="230">
        <f ca="1">IF($B23="UNIDADE CONSTRUTIVA",OFFSET(F23,-1,0)+1,LARGE(F$10:F22,1))</f>
        <v>1</v>
      </c>
      <c r="G23" s="228" t="str">
        <f t="shared" ca="1" si="1"/>
        <v xml:space="preserve">   GERENCIAMENTO TÉCNICO E ADMINISTRATIVO</v>
      </c>
      <c r="H23" s="230">
        <f t="shared" ca="1" si="18"/>
        <v>1</v>
      </c>
      <c r="I23" s="228" t="str">
        <f t="shared" ca="1" si="2"/>
        <v xml:space="preserve">   GERENCIAMENTO TÉCNICO</v>
      </c>
      <c r="J23" s="230">
        <f t="shared" ca="1" si="19"/>
        <v>1</v>
      </c>
      <c r="K23" s="228" t="str">
        <f t="shared" ca="1" si="3"/>
        <v xml:space="preserve">   ESTUDOS | PROJETOS | CONSULTORIAS</v>
      </c>
      <c r="L23" s="231">
        <f t="shared" ca="1" si="20"/>
        <v>2</v>
      </c>
      <c r="M23" s="228" t="str">
        <f t="shared" ca="1" si="4"/>
        <v xml:space="preserve">   Projetos</v>
      </c>
      <c r="N23" s="231">
        <f t="shared" ca="1" si="21"/>
        <v>2</v>
      </c>
      <c r="O23" s="228" t="str">
        <f t="shared" ca="1" si="5"/>
        <v>Projeto Estrutural</v>
      </c>
      <c r="P23" s="232" t="str">
        <f>IF(S23="","",IF(Orçamento!$B23="INSUMO",S23,""))</f>
        <v/>
      </c>
      <c r="Q23" s="244" t="str">
        <f t="shared" si="23"/>
        <v>Projeto Estrutural</v>
      </c>
      <c r="R23" s="234">
        <f t="shared" ca="1" si="6"/>
        <v>1</v>
      </c>
      <c r="S23" s="233" t="s">
        <v>223</v>
      </c>
      <c r="T23" s="242" t="s">
        <v>170</v>
      </c>
      <c r="U23" s="235">
        <v>1</v>
      </c>
      <c r="V23" s="320" t="s">
        <v>35</v>
      </c>
      <c r="W23" s="236" t="str">
        <f>IFERROR(IF(B23="INSUMO",_xlfn.XLOOKUP(S23,Insumos!A:A,Insumos!C:C),""),"Inserir Preço")</f>
        <v/>
      </c>
      <c r="X23" s="235">
        <f t="shared" ca="1" si="7"/>
        <v>1</v>
      </c>
      <c r="Y23" s="236">
        <f t="shared" ca="1" si="8"/>
        <v>29900</v>
      </c>
      <c r="Z23" s="237">
        <f t="shared" ca="1" si="9"/>
        <v>29900</v>
      </c>
      <c r="AA23" s="238"/>
      <c r="AB23" s="233" t="str">
        <f>IF(B23="insumo",_xlfn.XLOOKUP(S23,Insumos!A:A,Insumos!D:D),"")</f>
        <v/>
      </c>
      <c r="AC23" s="239">
        <f t="shared" ca="1" si="10"/>
        <v>4.2894276044152142E-3</v>
      </c>
      <c r="AE23" s="240">
        <f ca="1">IFERROR(IF(OR(Z23="",Z23=0),"",IF(AF23="","",IF(AF23="R$/mês",Z23/OBRA!$D$12,IF(AF23="R$/m²",Z23/OBRA!$D$10,IF(AF23="R$/apto",Orçamento!Z23/OBRA!$D$11,""))))),"")</f>
        <v>15.386752983434796</v>
      </c>
      <c r="AF23" s="241" t="s">
        <v>154</v>
      </c>
    </row>
    <row r="24" spans="1:32" s="10" customFormat="1" ht="13.15" hidden="1" customHeight="1" outlineLevel="4" x14ac:dyDescent="0.2">
      <c r="A24" s="227"/>
      <c r="B24" s="228" t="s">
        <v>19</v>
      </c>
      <c r="C24" s="229">
        <f t="shared" si="0"/>
        <v>1</v>
      </c>
      <c r="D24" s="227" t="str">
        <f t="shared" si="22"/>
        <v/>
      </c>
      <c r="E24" s="228" t="str">
        <f t="shared" ca="1" si="17"/>
        <v>01.001.002.002</v>
      </c>
      <c r="F24" s="230">
        <f ca="1">IF($B24="UNIDADE CONSTRUTIVA",OFFSET(F24,-1,0)+1,LARGE(F$10:F23,1))</f>
        <v>1</v>
      </c>
      <c r="G24" s="228" t="str">
        <f t="shared" ca="1" si="1"/>
        <v xml:space="preserve">   GERENCIAMENTO TÉCNICO E ADMINISTRATIVO</v>
      </c>
      <c r="H24" s="230">
        <f t="shared" ca="1" si="18"/>
        <v>1</v>
      </c>
      <c r="I24" s="228" t="str">
        <f t="shared" ca="1" si="2"/>
        <v xml:space="preserve">   GERENCIAMENTO TÉCNICO</v>
      </c>
      <c r="J24" s="230">
        <f t="shared" ca="1" si="19"/>
        <v>1</v>
      </c>
      <c r="K24" s="228" t="str">
        <f t="shared" ca="1" si="3"/>
        <v xml:space="preserve">   ESTUDOS | PROJETOS | CONSULTORIAS</v>
      </c>
      <c r="L24" s="231">
        <f t="shared" ca="1" si="20"/>
        <v>2</v>
      </c>
      <c r="M24" s="228" t="str">
        <f t="shared" ca="1" si="4"/>
        <v xml:space="preserve">   Projetos</v>
      </c>
      <c r="N24" s="231">
        <f t="shared" ca="1" si="21"/>
        <v>2</v>
      </c>
      <c r="O24" s="228" t="str">
        <f t="shared" ca="1" si="5"/>
        <v>Projeto Estrutural</v>
      </c>
      <c r="P24" s="232" t="str">
        <f>IF(S24="","",IF(Orçamento!$B24="INSUMO",S24,""))</f>
        <v>PROJETO ESTRUTURAL</v>
      </c>
      <c r="Q24" s="244" t="str">
        <f t="shared" si="23"/>
        <v/>
      </c>
      <c r="R24" s="234">
        <f t="shared" ca="1" si="6"/>
        <v>1</v>
      </c>
      <c r="S24" s="233" t="s">
        <v>224</v>
      </c>
      <c r="T24" s="242" t="str">
        <f>_xlfn.XLOOKUP(S24,Insumos!$A$3:$A$371,Insumos!$B$3:$B$371)</f>
        <v>VB</v>
      </c>
      <c r="U24" s="235">
        <f t="shared" ca="1" si="16"/>
        <v>1</v>
      </c>
      <c r="V24" s="320">
        <v>1</v>
      </c>
      <c r="W24" s="236">
        <f>IFERROR(IF(B24="INSUMO",_xlfn.XLOOKUP(S24,Insumos!A:A,Insumos!C:C),""),"Inserir Preço")</f>
        <v>29900</v>
      </c>
      <c r="X24" s="235">
        <f t="shared" ca="1" si="7"/>
        <v>1</v>
      </c>
      <c r="Y24" s="236">
        <f t="shared" si="8"/>
        <v>29900</v>
      </c>
      <c r="Z24" s="237">
        <f t="shared" ca="1" si="9"/>
        <v>29900</v>
      </c>
      <c r="AA24" s="238"/>
      <c r="AB24" s="233" t="str">
        <f>IF(B24="insumo",_xlfn.XLOOKUP(S24,Insumos!A:A,Insumos!D:D),"")</f>
        <v>Recebido Cliente</v>
      </c>
      <c r="AC24" s="239">
        <f t="shared" ca="1" si="10"/>
        <v>4.2894276044152142E-3</v>
      </c>
      <c r="AE24" s="240">
        <f ca="1">IFERROR(IF(OR(Z24="",Z24=0),"",IF(AF24="","",IF(AF24="R$/mês",Z24/OBRA!$D$12,IF(AF24="R$/m²",Z24/OBRA!$D$10,IF(AF24="R$/apto",Orçamento!Z24/OBRA!$D$11,""))))),"")</f>
        <v>15.386752983434796</v>
      </c>
      <c r="AF24" s="241" t="s">
        <v>154</v>
      </c>
    </row>
    <row r="25" spans="1:32" s="10" customFormat="1" ht="13.15" hidden="1" customHeight="1" outlineLevel="4" x14ac:dyDescent="0.2">
      <c r="A25" s="227"/>
      <c r="B25" s="228" t="s">
        <v>4</v>
      </c>
      <c r="C25" s="229">
        <f t="shared" si="0"/>
        <v>1</v>
      </c>
      <c r="D25" s="227" t="str">
        <f t="shared" ca="1" si="22"/>
        <v>01.001.002.003</v>
      </c>
      <c r="E25" s="228" t="str">
        <f t="shared" ca="1" si="17"/>
        <v>01.001.002.003</v>
      </c>
      <c r="F25" s="230">
        <f ca="1">IF($B25="UNIDADE CONSTRUTIVA",OFFSET(F25,-1,0)+1,LARGE(F$10:F24,1))</f>
        <v>1</v>
      </c>
      <c r="G25" s="228" t="str">
        <f t="shared" ca="1" si="1"/>
        <v xml:space="preserve">   GERENCIAMENTO TÉCNICO E ADMINISTRATIVO</v>
      </c>
      <c r="H25" s="230">
        <f t="shared" ca="1" si="18"/>
        <v>1</v>
      </c>
      <c r="I25" s="228" t="str">
        <f t="shared" ca="1" si="2"/>
        <v xml:space="preserve">   GERENCIAMENTO TÉCNICO</v>
      </c>
      <c r="J25" s="230">
        <f t="shared" ca="1" si="19"/>
        <v>1</v>
      </c>
      <c r="K25" s="228" t="str">
        <f t="shared" ca="1" si="3"/>
        <v xml:space="preserve">   ESTUDOS | PROJETOS | CONSULTORIAS</v>
      </c>
      <c r="L25" s="231">
        <f t="shared" ca="1" si="20"/>
        <v>2</v>
      </c>
      <c r="M25" s="228" t="str">
        <f t="shared" ca="1" si="4"/>
        <v xml:space="preserve">   Projetos</v>
      </c>
      <c r="N25" s="231">
        <f t="shared" ca="1" si="21"/>
        <v>3</v>
      </c>
      <c r="O25" s="228" t="str">
        <f t="shared" ca="1" si="5"/>
        <v xml:space="preserve">Projeto eletrico </v>
      </c>
      <c r="P25" s="232" t="str">
        <f>IF(S25="","",IF(Orçamento!$B25="INSUMO",S25,""))</f>
        <v/>
      </c>
      <c r="Q25" s="244" t="str">
        <f t="shared" si="23"/>
        <v xml:space="preserve">Projeto eletrico </v>
      </c>
      <c r="R25" s="234">
        <f t="shared" ca="1" si="6"/>
        <v>1</v>
      </c>
      <c r="S25" s="233" t="s">
        <v>1219</v>
      </c>
      <c r="T25" s="242" t="s">
        <v>170</v>
      </c>
      <c r="U25" s="235">
        <v>1</v>
      </c>
      <c r="V25" s="320" t="s">
        <v>35</v>
      </c>
      <c r="W25" s="236" t="str">
        <f>IFERROR(IF(B25="INSUMO",_xlfn.XLOOKUP(S25,Insumos!A:A,Insumos!C:C),""),"Inserir Preço")</f>
        <v/>
      </c>
      <c r="X25" s="235">
        <f t="shared" ca="1" si="7"/>
        <v>1</v>
      </c>
      <c r="Y25" s="236">
        <f t="shared" ca="1" si="8"/>
        <v>5936</v>
      </c>
      <c r="Z25" s="237">
        <f t="shared" ca="1" si="9"/>
        <v>5936</v>
      </c>
      <c r="AA25" s="238"/>
      <c r="AB25" s="233" t="str">
        <f>IF(B25="insumo",_xlfn.XLOOKUP(S25,Insumos!A:A,Insumos!D:D),"")</f>
        <v/>
      </c>
      <c r="AC25" s="239">
        <f t="shared" ca="1" si="10"/>
        <v>8.5157331972604382E-4</v>
      </c>
      <c r="AE25" s="240">
        <f ca="1">IFERROR(IF(OR(Z25="",Z25=0),"",IF(AF25="","",IF(AF25="R$/mês",Z25/OBRA!$D$12,IF(AF25="R$/m²",Z25/OBRA!$D$10,IF(AF25="R$/apto",Orçamento!Z25/OBRA!$D$11,""))))),"")</f>
        <v>3.05470788326652</v>
      </c>
      <c r="AF25" s="241" t="s">
        <v>154</v>
      </c>
    </row>
    <row r="26" spans="1:32" s="10" customFormat="1" ht="13.15" hidden="1" customHeight="1" outlineLevel="4" x14ac:dyDescent="0.2">
      <c r="A26" s="227"/>
      <c r="B26" s="228" t="s">
        <v>19</v>
      </c>
      <c r="C26" s="229">
        <f t="shared" si="0"/>
        <v>1</v>
      </c>
      <c r="D26" s="227" t="str">
        <f t="shared" si="22"/>
        <v/>
      </c>
      <c r="E26" s="228" t="str">
        <f t="shared" ca="1" si="17"/>
        <v>01.001.002.003</v>
      </c>
      <c r="F26" s="230">
        <f ca="1">IF($B26="UNIDADE CONSTRUTIVA",OFFSET(F26,-1,0)+1,LARGE(F$10:F25,1))</f>
        <v>1</v>
      </c>
      <c r="G26" s="228" t="str">
        <f t="shared" ca="1" si="1"/>
        <v xml:space="preserve">   GERENCIAMENTO TÉCNICO E ADMINISTRATIVO</v>
      </c>
      <c r="H26" s="230">
        <f t="shared" ca="1" si="18"/>
        <v>1</v>
      </c>
      <c r="I26" s="228" t="str">
        <f t="shared" ca="1" si="2"/>
        <v xml:space="preserve">   GERENCIAMENTO TÉCNICO</v>
      </c>
      <c r="J26" s="230">
        <f t="shared" ca="1" si="19"/>
        <v>1</v>
      </c>
      <c r="K26" s="228" t="str">
        <f t="shared" ca="1" si="3"/>
        <v xml:space="preserve">   ESTUDOS | PROJETOS | CONSULTORIAS</v>
      </c>
      <c r="L26" s="231">
        <f t="shared" ca="1" si="20"/>
        <v>2</v>
      </c>
      <c r="M26" s="228" t="str">
        <f t="shared" ca="1" si="4"/>
        <v xml:space="preserve">   Projetos</v>
      </c>
      <c r="N26" s="231">
        <f t="shared" ca="1" si="21"/>
        <v>3</v>
      </c>
      <c r="O26" s="228" t="str">
        <f t="shared" ca="1" si="5"/>
        <v xml:space="preserve">Projeto eletrico </v>
      </c>
      <c r="P26" s="232" t="str">
        <f>IF(S26="","",IF(Orçamento!$B26="INSUMO",S26,""))</f>
        <v>PROJETO ELETRICO</v>
      </c>
      <c r="Q26" s="244" t="str">
        <f t="shared" si="23"/>
        <v/>
      </c>
      <c r="R26" s="234">
        <f t="shared" ca="1" si="6"/>
        <v>1</v>
      </c>
      <c r="S26" s="233" t="s">
        <v>225</v>
      </c>
      <c r="T26" s="242" t="str">
        <f>_xlfn.XLOOKUP(S26,Insumos!$A$3:$A$371,Insumos!$B$3:$B$371)</f>
        <v>VB</v>
      </c>
      <c r="U26" s="235">
        <f t="shared" ca="1" si="16"/>
        <v>1</v>
      </c>
      <c r="V26" s="320">
        <v>1</v>
      </c>
      <c r="W26" s="236">
        <f>IFERROR(IF(B26="INSUMO",_xlfn.XLOOKUP(S26,Insumos!A:A,Insumos!C:C),""),"Inserir Preço")</f>
        <v>5936</v>
      </c>
      <c r="X26" s="235">
        <f t="shared" ca="1" si="7"/>
        <v>1</v>
      </c>
      <c r="Y26" s="236">
        <f t="shared" si="8"/>
        <v>5936</v>
      </c>
      <c r="Z26" s="237">
        <f t="shared" ca="1" si="9"/>
        <v>5936</v>
      </c>
      <c r="AA26" s="238"/>
      <c r="AB26" s="233" t="str">
        <f>IF(B26="insumo",_xlfn.XLOOKUP(S26,Insumos!A:A,Insumos!D:D),"")</f>
        <v>Recebido Cliente</v>
      </c>
      <c r="AC26" s="239">
        <f t="shared" ca="1" si="10"/>
        <v>8.5157331972604382E-4</v>
      </c>
      <c r="AE26" s="240">
        <f ca="1">IFERROR(IF(OR(Z26="",Z26=0),"",IF(AF26="","",IF(AF26="R$/mês",Z26/OBRA!$D$12,IF(AF26="R$/m²",Z26/OBRA!$D$10,IF(AF26="R$/apto",Orçamento!Z26/OBRA!$D$11,""))))),"")</f>
        <v>3.05470788326652</v>
      </c>
      <c r="AF26" s="241" t="s">
        <v>154</v>
      </c>
    </row>
    <row r="27" spans="1:32" s="10" customFormat="1" ht="13.15" hidden="1" customHeight="1" outlineLevel="4" x14ac:dyDescent="0.2">
      <c r="A27" s="227"/>
      <c r="B27" s="228" t="s">
        <v>4</v>
      </c>
      <c r="C27" s="229">
        <f t="shared" si="0"/>
        <v>1</v>
      </c>
      <c r="D27" s="227" t="str">
        <f t="shared" ca="1" si="22"/>
        <v>01.001.002.004</v>
      </c>
      <c r="E27" s="228" t="str">
        <f t="shared" ca="1" si="17"/>
        <v>01.001.002.004</v>
      </c>
      <c r="F27" s="230">
        <f ca="1">IF($B27="UNIDADE CONSTRUTIVA",OFFSET(F27,-1,0)+1,LARGE(F$10:F26,1))</f>
        <v>1</v>
      </c>
      <c r="G27" s="228" t="str">
        <f t="shared" ca="1" si="1"/>
        <v xml:space="preserve">   GERENCIAMENTO TÉCNICO E ADMINISTRATIVO</v>
      </c>
      <c r="H27" s="230">
        <f t="shared" ca="1" si="18"/>
        <v>1</v>
      </c>
      <c r="I27" s="228" t="str">
        <f t="shared" ca="1" si="2"/>
        <v xml:space="preserve">   GERENCIAMENTO TÉCNICO</v>
      </c>
      <c r="J27" s="230">
        <f t="shared" ca="1" si="19"/>
        <v>1</v>
      </c>
      <c r="K27" s="228" t="str">
        <f t="shared" ca="1" si="3"/>
        <v xml:space="preserve">   ESTUDOS | PROJETOS | CONSULTORIAS</v>
      </c>
      <c r="L27" s="231">
        <f t="shared" ca="1" si="20"/>
        <v>2</v>
      </c>
      <c r="M27" s="228" t="str">
        <f t="shared" ca="1" si="4"/>
        <v xml:space="preserve">   Projetos</v>
      </c>
      <c r="N27" s="231">
        <f t="shared" ca="1" si="21"/>
        <v>4</v>
      </c>
      <c r="O27" s="228" t="str">
        <f t="shared" ca="1" si="5"/>
        <v>Projeto hidrossanitário</v>
      </c>
      <c r="P27" s="232" t="str">
        <f>IF(S27="","",IF(Orçamento!$B27="INSUMO",S27,""))</f>
        <v/>
      </c>
      <c r="Q27" s="244" t="str">
        <f t="shared" si="23"/>
        <v>Projeto hidrossanitário</v>
      </c>
      <c r="R27" s="234">
        <f t="shared" ca="1" si="6"/>
        <v>1</v>
      </c>
      <c r="S27" s="233" t="s">
        <v>226</v>
      </c>
      <c r="T27" s="242" t="s">
        <v>170</v>
      </c>
      <c r="U27" s="235">
        <v>1</v>
      </c>
      <c r="V27" s="320" t="s">
        <v>35</v>
      </c>
      <c r="W27" s="236" t="str">
        <f>IFERROR(IF(B27="INSUMO",_xlfn.XLOOKUP(S27,Insumos!A:A,Insumos!C:C),""),"Inserir Preço")</f>
        <v/>
      </c>
      <c r="X27" s="235">
        <f t="shared" ca="1" si="7"/>
        <v>1</v>
      </c>
      <c r="Y27" s="236">
        <f t="shared" ca="1" si="8"/>
        <v>9500</v>
      </c>
      <c r="Z27" s="237">
        <f t="shared" ca="1" si="9"/>
        <v>9500</v>
      </c>
      <c r="AA27" s="238"/>
      <c r="AB27" s="233" t="str">
        <f>IF(B27="insumo",_xlfn.XLOOKUP(S27,Insumos!A:A,Insumos!D:D),"")</f>
        <v/>
      </c>
      <c r="AC27" s="239">
        <f t="shared" ca="1" si="10"/>
        <v>1.3628616134429611E-3</v>
      </c>
      <c r="AE27" s="240">
        <f ca="1">IFERROR(IF(OR(Z27="",Z27=0),"",IF(AF27="","",IF(AF27="R$/mês",Z27/OBRA!$D$12,IF(AF27="R$/m²",Z27/OBRA!$D$10,IF(AF27="R$/apto",Orçamento!Z27/OBRA!$D$11,""))))),"")</f>
        <v>4.8887676703220926</v>
      </c>
      <c r="AF27" s="241" t="s">
        <v>154</v>
      </c>
    </row>
    <row r="28" spans="1:32" s="10" customFormat="1" ht="13.15" hidden="1" customHeight="1" outlineLevel="4" x14ac:dyDescent="0.2">
      <c r="A28" s="227"/>
      <c r="B28" s="228" t="s">
        <v>19</v>
      </c>
      <c r="C28" s="229">
        <f t="shared" si="0"/>
        <v>1</v>
      </c>
      <c r="D28" s="227" t="str">
        <f t="shared" si="22"/>
        <v/>
      </c>
      <c r="E28" s="228" t="str">
        <f t="shared" ca="1" si="17"/>
        <v>01.001.002.004</v>
      </c>
      <c r="F28" s="230">
        <f ca="1">IF($B28="UNIDADE CONSTRUTIVA",OFFSET(F28,-1,0)+1,LARGE(F$10:F27,1))</f>
        <v>1</v>
      </c>
      <c r="G28" s="228" t="str">
        <f t="shared" ca="1" si="1"/>
        <v xml:space="preserve">   GERENCIAMENTO TÉCNICO E ADMINISTRATIVO</v>
      </c>
      <c r="H28" s="230">
        <f t="shared" ca="1" si="18"/>
        <v>1</v>
      </c>
      <c r="I28" s="228" t="str">
        <f t="shared" ca="1" si="2"/>
        <v xml:space="preserve">   GERENCIAMENTO TÉCNICO</v>
      </c>
      <c r="J28" s="230">
        <f t="shared" ca="1" si="19"/>
        <v>1</v>
      </c>
      <c r="K28" s="228" t="str">
        <f t="shared" ca="1" si="3"/>
        <v xml:space="preserve">   ESTUDOS | PROJETOS | CONSULTORIAS</v>
      </c>
      <c r="L28" s="231">
        <f t="shared" ca="1" si="20"/>
        <v>2</v>
      </c>
      <c r="M28" s="228" t="str">
        <f t="shared" ca="1" si="4"/>
        <v xml:space="preserve">   Projetos</v>
      </c>
      <c r="N28" s="231">
        <f t="shared" ca="1" si="21"/>
        <v>4</v>
      </c>
      <c r="O28" s="228" t="str">
        <f t="shared" ca="1" si="5"/>
        <v>Projeto hidrossanitário</v>
      </c>
      <c r="P28" s="232" t="str">
        <f>IF(S28="","",IF(Orçamento!$B28="INSUMO",S28,""))</f>
        <v>PROJETO HIDROSSANITARIO</v>
      </c>
      <c r="Q28" s="244" t="str">
        <f t="shared" si="23"/>
        <v/>
      </c>
      <c r="R28" s="234">
        <f t="shared" ca="1" si="6"/>
        <v>1</v>
      </c>
      <c r="S28" s="233" t="s">
        <v>227</v>
      </c>
      <c r="T28" s="242" t="str">
        <f>_xlfn.XLOOKUP(S28,Insumos!$A$3:$A$371,Insumos!$B$3:$B$371)</f>
        <v>VB</v>
      </c>
      <c r="U28" s="235">
        <f t="shared" ca="1" si="16"/>
        <v>1</v>
      </c>
      <c r="V28" s="320">
        <v>1</v>
      </c>
      <c r="W28" s="236">
        <f>IFERROR(IF(B28="INSUMO",_xlfn.XLOOKUP(S28,Insumos!A:A,Insumos!C:C),""),"Inserir Preço")</f>
        <v>9500</v>
      </c>
      <c r="X28" s="235">
        <f t="shared" ca="1" si="7"/>
        <v>1</v>
      </c>
      <c r="Y28" s="236">
        <f t="shared" si="8"/>
        <v>9500</v>
      </c>
      <c r="Z28" s="237">
        <f t="shared" ca="1" si="9"/>
        <v>9500</v>
      </c>
      <c r="AA28" s="238"/>
      <c r="AB28" s="233" t="str">
        <f>IF(B28="insumo",_xlfn.XLOOKUP(S28,Insumos!A:A,Insumos!D:D),"")</f>
        <v>Recebido Cliente</v>
      </c>
      <c r="AC28" s="239">
        <f t="shared" ca="1" si="10"/>
        <v>1.3628616134429611E-3</v>
      </c>
      <c r="AE28" s="240">
        <f ca="1">IFERROR(IF(OR(Z28="",Z28=0),"",IF(AF28="","",IF(AF28="R$/mês",Z28/OBRA!$D$12,IF(AF28="R$/m²",Z28/OBRA!$D$10,IF(AF28="R$/apto",Orçamento!Z28/OBRA!$D$11,""))))),"")</f>
        <v>4.8887676703220926</v>
      </c>
      <c r="AF28" s="241" t="s">
        <v>154</v>
      </c>
    </row>
    <row r="29" spans="1:32" s="10" customFormat="1" ht="13.15" hidden="1" customHeight="1" outlineLevel="4" x14ac:dyDescent="0.2">
      <c r="A29" s="227"/>
      <c r="B29" s="228" t="s">
        <v>4</v>
      </c>
      <c r="C29" s="229">
        <f t="shared" si="0"/>
        <v>1</v>
      </c>
      <c r="D29" s="227" t="str">
        <f t="shared" ca="1" si="22"/>
        <v>01.001.002.005</v>
      </c>
      <c r="E29" s="228" t="str">
        <f t="shared" ca="1" si="17"/>
        <v>01.001.002.005</v>
      </c>
      <c r="F29" s="230">
        <f ca="1">IF($B29="UNIDADE CONSTRUTIVA",OFFSET(F29,-1,0)+1,LARGE(F$10:F28,1))</f>
        <v>1</v>
      </c>
      <c r="G29" s="228" t="str">
        <f t="shared" ca="1" si="1"/>
        <v xml:space="preserve">   GERENCIAMENTO TÉCNICO E ADMINISTRATIVO</v>
      </c>
      <c r="H29" s="230">
        <f t="shared" ca="1" si="18"/>
        <v>1</v>
      </c>
      <c r="I29" s="228" t="str">
        <f t="shared" ca="1" si="2"/>
        <v xml:space="preserve">   GERENCIAMENTO TÉCNICO</v>
      </c>
      <c r="J29" s="230">
        <f t="shared" ca="1" si="19"/>
        <v>1</v>
      </c>
      <c r="K29" s="228" t="str">
        <f t="shared" ca="1" si="3"/>
        <v xml:space="preserve">   ESTUDOS | PROJETOS | CONSULTORIAS</v>
      </c>
      <c r="L29" s="231">
        <f t="shared" ca="1" si="20"/>
        <v>2</v>
      </c>
      <c r="M29" s="228" t="str">
        <f t="shared" ca="1" si="4"/>
        <v xml:space="preserve">   Projetos</v>
      </c>
      <c r="N29" s="231">
        <f t="shared" ca="1" si="21"/>
        <v>5</v>
      </c>
      <c r="O29" s="228" t="str">
        <f t="shared" ca="1" si="5"/>
        <v>Projeto Comunicação e Dados</v>
      </c>
      <c r="P29" s="232" t="str">
        <f>IF(S29="","",IF(Orçamento!$B29="INSUMO",S29,""))</f>
        <v/>
      </c>
      <c r="Q29" s="244" t="str">
        <f t="shared" si="23"/>
        <v>Projeto Comunicação e Dados</v>
      </c>
      <c r="R29" s="234">
        <f t="shared" ca="1" si="6"/>
        <v>1</v>
      </c>
      <c r="S29" s="233" t="s">
        <v>573</v>
      </c>
      <c r="T29" s="242" t="s">
        <v>170</v>
      </c>
      <c r="U29" s="235">
        <v>1</v>
      </c>
      <c r="V29" s="320" t="s">
        <v>35</v>
      </c>
      <c r="W29" s="236" t="str">
        <f>IFERROR(IF(B29="INSUMO",_xlfn.XLOOKUP(S29,Insumos!A:A,Insumos!C:C),""),"Inserir Preço")</f>
        <v/>
      </c>
      <c r="X29" s="235">
        <f t="shared" ca="1" si="7"/>
        <v>1</v>
      </c>
      <c r="Y29" s="236">
        <f t="shared" ca="1" si="8"/>
        <v>2967</v>
      </c>
      <c r="Z29" s="237">
        <f t="shared" ca="1" si="9"/>
        <v>2967</v>
      </c>
      <c r="AA29" s="238"/>
      <c r="AB29" s="233" t="str">
        <f>IF(B29="insumo",_xlfn.XLOOKUP(S29,Insumos!A:A,Insumos!D:D),"")</f>
        <v/>
      </c>
      <c r="AC29" s="239">
        <f t="shared" ca="1" si="10"/>
        <v>4.2564320074581739E-4</v>
      </c>
      <c r="AE29" s="240">
        <f ca="1">IFERROR(IF(OR(Z29="",Z29=0),"",IF(AF29="","",IF(AF29="R$/mês",Z29/OBRA!$D$12,IF(AF29="R$/m²",Z29/OBRA!$D$10,IF(AF29="R$/apto",Orçamento!Z29/OBRA!$D$11,""))))),"")</f>
        <v>1.5268393345100684</v>
      </c>
      <c r="AF29" s="241" t="s">
        <v>154</v>
      </c>
    </row>
    <row r="30" spans="1:32" s="10" customFormat="1" ht="13.15" hidden="1" customHeight="1" outlineLevel="4" x14ac:dyDescent="0.2">
      <c r="A30" s="227"/>
      <c r="B30" s="228" t="s">
        <v>19</v>
      </c>
      <c r="C30" s="229">
        <f t="shared" si="0"/>
        <v>1</v>
      </c>
      <c r="D30" s="227" t="str">
        <f t="shared" si="22"/>
        <v/>
      </c>
      <c r="E30" s="228" t="str">
        <f t="shared" ca="1" si="17"/>
        <v>01.001.002.005</v>
      </c>
      <c r="F30" s="230">
        <f ca="1">IF($B30="UNIDADE CONSTRUTIVA",OFFSET(F30,-1,0)+1,LARGE(F$10:F29,1))</f>
        <v>1</v>
      </c>
      <c r="G30" s="228" t="str">
        <f t="shared" ca="1" si="1"/>
        <v xml:space="preserve">   GERENCIAMENTO TÉCNICO E ADMINISTRATIVO</v>
      </c>
      <c r="H30" s="230">
        <f t="shared" ca="1" si="18"/>
        <v>1</v>
      </c>
      <c r="I30" s="228" t="str">
        <f t="shared" ca="1" si="2"/>
        <v xml:space="preserve">   GERENCIAMENTO TÉCNICO</v>
      </c>
      <c r="J30" s="230">
        <f t="shared" ca="1" si="19"/>
        <v>1</v>
      </c>
      <c r="K30" s="228" t="str">
        <f t="shared" ca="1" si="3"/>
        <v xml:space="preserve">   ESTUDOS | PROJETOS | CONSULTORIAS</v>
      </c>
      <c r="L30" s="231">
        <f t="shared" ca="1" si="20"/>
        <v>2</v>
      </c>
      <c r="M30" s="228" t="str">
        <f t="shared" ca="1" si="4"/>
        <v xml:space="preserve">   Projetos</v>
      </c>
      <c r="N30" s="231">
        <f t="shared" ca="1" si="21"/>
        <v>5</v>
      </c>
      <c r="O30" s="228" t="str">
        <f t="shared" ca="1" si="5"/>
        <v>Projeto Comunicação e Dados</v>
      </c>
      <c r="P30" s="232" t="str">
        <f>IF(S30="","",IF(Orçamento!$B30="INSUMO",S30,""))</f>
        <v>Projeto Comunicação e Dados</v>
      </c>
      <c r="Q30" s="244" t="str">
        <f t="shared" si="23"/>
        <v/>
      </c>
      <c r="R30" s="234">
        <f t="shared" ca="1" si="6"/>
        <v>1</v>
      </c>
      <c r="S30" s="233" t="s">
        <v>573</v>
      </c>
      <c r="T30" s="242" t="str">
        <f>_xlfn.XLOOKUP(S30,Insumos!$A$3:$A$371,Insumos!$B$3:$B$371)</f>
        <v>VB</v>
      </c>
      <c r="U30" s="235">
        <f t="shared" ca="1" si="16"/>
        <v>1</v>
      </c>
      <c r="V30" s="320">
        <v>1</v>
      </c>
      <c r="W30" s="236">
        <f>IFERROR(IF(B30="INSUMO",_xlfn.XLOOKUP(S30,Insumos!A:A,Insumos!C:C),""),"Inserir Preço")</f>
        <v>2967</v>
      </c>
      <c r="X30" s="235">
        <f t="shared" ca="1" si="7"/>
        <v>1</v>
      </c>
      <c r="Y30" s="236">
        <f t="shared" si="8"/>
        <v>2967</v>
      </c>
      <c r="Z30" s="237">
        <f t="shared" ca="1" si="9"/>
        <v>2967</v>
      </c>
      <c r="AA30" s="238"/>
      <c r="AB30" s="233" t="str">
        <f>IF(B30="insumo",_xlfn.XLOOKUP(S30,Insumos!A:A,Insumos!D:D),"")</f>
        <v>Recebido Cliente</v>
      </c>
      <c r="AC30" s="239">
        <f t="shared" ca="1" si="10"/>
        <v>4.2564320074581739E-4</v>
      </c>
      <c r="AE30" s="240">
        <f ca="1">IFERROR(IF(OR(Z30="",Z30=0),"",IF(AF30="","",IF(AF30="R$/mês",Z30/OBRA!$D$12,IF(AF30="R$/m²",Z30/OBRA!$D$10,IF(AF30="R$/apto",Orçamento!Z30/OBRA!$D$11,""))))),"")</f>
        <v>1.5268393345100684</v>
      </c>
      <c r="AF30" s="241" t="s">
        <v>154</v>
      </c>
    </row>
    <row r="31" spans="1:32" s="10" customFormat="1" ht="13.15" hidden="1" customHeight="1" outlineLevel="4" x14ac:dyDescent="0.2">
      <c r="A31" s="227"/>
      <c r="B31" s="228" t="s">
        <v>4</v>
      </c>
      <c r="C31" s="229">
        <f t="shared" si="0"/>
        <v>1</v>
      </c>
      <c r="D31" s="227" t="str">
        <f t="shared" ca="1" si="22"/>
        <v>01.001.002.006</v>
      </c>
      <c r="E31" s="228" t="str">
        <f t="shared" ca="1" si="17"/>
        <v>01.001.002.006</v>
      </c>
      <c r="F31" s="230">
        <f ca="1">IF($B31="UNIDADE CONSTRUTIVA",OFFSET(F31,-1,0)+1,LARGE(F$10:F30,1))</f>
        <v>1</v>
      </c>
      <c r="G31" s="228" t="str">
        <f t="shared" ca="1" si="1"/>
        <v xml:space="preserve">   GERENCIAMENTO TÉCNICO E ADMINISTRATIVO</v>
      </c>
      <c r="H31" s="230">
        <f t="shared" ca="1" si="18"/>
        <v>1</v>
      </c>
      <c r="I31" s="228" t="str">
        <f t="shared" ca="1" si="2"/>
        <v xml:space="preserve">   GERENCIAMENTO TÉCNICO</v>
      </c>
      <c r="J31" s="230">
        <f t="shared" ca="1" si="19"/>
        <v>1</v>
      </c>
      <c r="K31" s="228" t="str">
        <f t="shared" ca="1" si="3"/>
        <v xml:space="preserve">   ESTUDOS | PROJETOS | CONSULTORIAS</v>
      </c>
      <c r="L31" s="231">
        <f t="shared" ca="1" si="20"/>
        <v>2</v>
      </c>
      <c r="M31" s="228" t="str">
        <f t="shared" ca="1" si="4"/>
        <v xml:space="preserve">   Projetos</v>
      </c>
      <c r="N31" s="231">
        <f t="shared" ca="1" si="21"/>
        <v>6</v>
      </c>
      <c r="O31" s="228" t="str">
        <f t="shared" ca="1" si="5"/>
        <v>Projeto de Telefonia</v>
      </c>
      <c r="P31" s="232" t="str">
        <f>IF(S31="","",IF(Orçamento!$B31="INSUMO",S31,""))</f>
        <v/>
      </c>
      <c r="Q31" s="244" t="str">
        <f t="shared" si="23"/>
        <v>Projeto de Telefonia</v>
      </c>
      <c r="R31" s="234">
        <f t="shared" ca="1" si="6"/>
        <v>1</v>
      </c>
      <c r="S31" s="233" t="s">
        <v>586</v>
      </c>
      <c r="T31" s="242" t="s">
        <v>170</v>
      </c>
      <c r="U31" s="235">
        <v>1</v>
      </c>
      <c r="V31" s="320" t="s">
        <v>35</v>
      </c>
      <c r="W31" s="236" t="str">
        <f>IFERROR(IF(B31="INSUMO",_xlfn.XLOOKUP(S31,Insumos!A:A,Insumos!C:C),""),"Inserir Preço")</f>
        <v/>
      </c>
      <c r="X31" s="235">
        <f t="shared" ca="1" si="7"/>
        <v>1</v>
      </c>
      <c r="Y31" s="236">
        <f t="shared" ca="1" si="8"/>
        <v>2967</v>
      </c>
      <c r="Z31" s="237">
        <f t="shared" ca="1" si="9"/>
        <v>2967</v>
      </c>
      <c r="AA31" s="238"/>
      <c r="AB31" s="233" t="str">
        <f>IF(B31="insumo",_xlfn.XLOOKUP(S31,Insumos!A:A,Insumos!D:D),"")</f>
        <v/>
      </c>
      <c r="AC31" s="239">
        <f t="shared" ca="1" si="10"/>
        <v>4.2564320074581739E-4</v>
      </c>
      <c r="AE31" s="240">
        <f ca="1">IFERROR(IF(OR(Z31="",Z31=0),"",IF(AF31="","",IF(AF31="R$/mês",Z31/OBRA!$D$12,IF(AF31="R$/m²",Z31/OBRA!$D$10,IF(AF31="R$/apto",Orçamento!Z31/OBRA!$D$11,""))))),"")</f>
        <v>1.5268393345100684</v>
      </c>
      <c r="AF31" s="241" t="s">
        <v>154</v>
      </c>
    </row>
    <row r="32" spans="1:32" s="10" customFormat="1" ht="13.15" hidden="1" customHeight="1" outlineLevel="4" x14ac:dyDescent="0.2">
      <c r="A32" s="227"/>
      <c r="B32" s="228" t="s">
        <v>19</v>
      </c>
      <c r="C32" s="229">
        <f t="shared" si="0"/>
        <v>1</v>
      </c>
      <c r="D32" s="227" t="str">
        <f t="shared" si="22"/>
        <v/>
      </c>
      <c r="E32" s="228" t="str">
        <f t="shared" ca="1" si="17"/>
        <v>01.001.002.006</v>
      </c>
      <c r="F32" s="230">
        <f ca="1">IF($B32="UNIDADE CONSTRUTIVA",OFFSET(F32,-1,0)+1,LARGE(F$10:F31,1))</f>
        <v>1</v>
      </c>
      <c r="G32" s="228" t="str">
        <f t="shared" ca="1" si="1"/>
        <v xml:space="preserve">   GERENCIAMENTO TÉCNICO E ADMINISTRATIVO</v>
      </c>
      <c r="H32" s="230">
        <f t="shared" ca="1" si="18"/>
        <v>1</v>
      </c>
      <c r="I32" s="228" t="str">
        <f t="shared" ca="1" si="2"/>
        <v xml:space="preserve">   GERENCIAMENTO TÉCNICO</v>
      </c>
      <c r="J32" s="230">
        <f t="shared" ca="1" si="19"/>
        <v>1</v>
      </c>
      <c r="K32" s="228" t="str">
        <f t="shared" ca="1" si="3"/>
        <v xml:space="preserve">   ESTUDOS | PROJETOS | CONSULTORIAS</v>
      </c>
      <c r="L32" s="231">
        <f t="shared" ca="1" si="20"/>
        <v>2</v>
      </c>
      <c r="M32" s="228" t="str">
        <f t="shared" ca="1" si="4"/>
        <v xml:space="preserve">   Projetos</v>
      </c>
      <c r="N32" s="231">
        <f t="shared" ca="1" si="21"/>
        <v>6</v>
      </c>
      <c r="O32" s="228" t="str">
        <f t="shared" ca="1" si="5"/>
        <v>Projeto de Telefonia</v>
      </c>
      <c r="P32" s="232" t="str">
        <f>IF(S32="","",IF(Orçamento!$B32="INSUMO",S32,""))</f>
        <v>Projeto Telefonia</v>
      </c>
      <c r="Q32" s="244" t="str">
        <f t="shared" si="23"/>
        <v/>
      </c>
      <c r="R32" s="234">
        <f t="shared" ca="1" si="6"/>
        <v>1</v>
      </c>
      <c r="S32" s="233" t="s">
        <v>574</v>
      </c>
      <c r="T32" s="242" t="str">
        <f>_xlfn.XLOOKUP(S32,Insumos!$A$3:$A$371,Insumos!$B$3:$B$371)</f>
        <v>VB</v>
      </c>
      <c r="U32" s="235">
        <f t="shared" ca="1" si="16"/>
        <v>1</v>
      </c>
      <c r="V32" s="320">
        <v>1</v>
      </c>
      <c r="W32" s="236">
        <f>IFERROR(IF(B32="INSUMO",_xlfn.XLOOKUP(S32,Insumos!A:A,Insumos!C:C),""),"Inserir Preço")</f>
        <v>2967</v>
      </c>
      <c r="X32" s="235">
        <f t="shared" ca="1" si="7"/>
        <v>1</v>
      </c>
      <c r="Y32" s="236">
        <f t="shared" si="8"/>
        <v>2967</v>
      </c>
      <c r="Z32" s="237">
        <f t="shared" ca="1" si="9"/>
        <v>2967</v>
      </c>
      <c r="AA32" s="238"/>
      <c r="AB32" s="233" t="str">
        <f>IF(B32="insumo",_xlfn.XLOOKUP(S32,Insumos!A:A,Insumos!D:D),"")</f>
        <v>Recebido Cliente</v>
      </c>
      <c r="AC32" s="239">
        <f t="shared" ca="1" si="10"/>
        <v>4.2564320074581739E-4</v>
      </c>
      <c r="AE32" s="240">
        <f ca="1">IFERROR(IF(OR(Z32="",Z32=0),"",IF(AF32="","",IF(AF32="R$/mês",Z32/OBRA!$D$12,IF(AF32="R$/m²",Z32/OBRA!$D$10,IF(AF32="R$/apto",Orçamento!Z32/OBRA!$D$11,""))))),"")</f>
        <v>1.5268393345100684</v>
      </c>
      <c r="AF32" s="241" t="s">
        <v>154</v>
      </c>
    </row>
    <row r="33" spans="1:32" s="10" customFormat="1" ht="13.15" hidden="1" customHeight="1" outlineLevel="4" x14ac:dyDescent="0.2">
      <c r="A33" s="227"/>
      <c r="B33" s="228" t="s">
        <v>4</v>
      </c>
      <c r="C33" s="229">
        <f t="shared" si="0"/>
        <v>1</v>
      </c>
      <c r="D33" s="227" t="str">
        <f t="shared" ca="1" si="22"/>
        <v>01.001.002.007</v>
      </c>
      <c r="E33" s="228" t="str">
        <f t="shared" ca="1" si="17"/>
        <v>01.001.002.007</v>
      </c>
      <c r="F33" s="230">
        <f ca="1">IF($B33="UNIDADE CONSTRUTIVA",OFFSET(F33,-1,0)+1,LARGE(F$10:F32,1))</f>
        <v>1</v>
      </c>
      <c r="G33" s="228" t="str">
        <f t="shared" ca="1" si="1"/>
        <v xml:space="preserve">   GERENCIAMENTO TÉCNICO E ADMINISTRATIVO</v>
      </c>
      <c r="H33" s="230">
        <f t="shared" ca="1" si="18"/>
        <v>1</v>
      </c>
      <c r="I33" s="228" t="str">
        <f t="shared" ca="1" si="2"/>
        <v xml:space="preserve">   GERENCIAMENTO TÉCNICO</v>
      </c>
      <c r="J33" s="230">
        <f t="shared" ca="1" si="19"/>
        <v>1</v>
      </c>
      <c r="K33" s="228" t="str">
        <f t="shared" ca="1" si="3"/>
        <v xml:space="preserve">   ESTUDOS | PROJETOS | CONSULTORIAS</v>
      </c>
      <c r="L33" s="231">
        <f t="shared" ca="1" si="20"/>
        <v>2</v>
      </c>
      <c r="M33" s="228" t="str">
        <f t="shared" ca="1" si="4"/>
        <v xml:space="preserve">   Projetos</v>
      </c>
      <c r="N33" s="231">
        <f t="shared" ca="1" si="21"/>
        <v>7</v>
      </c>
      <c r="O33" s="228" t="str">
        <f t="shared" ca="1" si="5"/>
        <v>Projeto de Prevenção Combate a Incêndio</v>
      </c>
      <c r="P33" s="232" t="str">
        <f>IF(S33="","",IF(Orçamento!$B33="INSUMO",S33,""))</f>
        <v/>
      </c>
      <c r="Q33" s="244" t="str">
        <f t="shared" si="23"/>
        <v>Projeto de Prevenção Combate a Incêndio</v>
      </c>
      <c r="R33" s="234">
        <f t="shared" ca="1" si="6"/>
        <v>1</v>
      </c>
      <c r="S33" s="233" t="s">
        <v>587</v>
      </c>
      <c r="T33" s="242" t="s">
        <v>170</v>
      </c>
      <c r="U33" s="235">
        <v>1</v>
      </c>
      <c r="V33" s="320" t="s">
        <v>35</v>
      </c>
      <c r="W33" s="236" t="str">
        <f>IFERROR(IF(B33="INSUMO",_xlfn.XLOOKUP(S33,Insumos!A:A,Insumos!C:C),""),"Inserir Preço")</f>
        <v/>
      </c>
      <c r="X33" s="235">
        <f t="shared" ca="1" si="7"/>
        <v>1</v>
      </c>
      <c r="Y33" s="236">
        <f t="shared" ca="1" si="8"/>
        <v>9500</v>
      </c>
      <c r="Z33" s="237">
        <f t="shared" ca="1" si="9"/>
        <v>9500</v>
      </c>
      <c r="AA33" s="238"/>
      <c r="AB33" s="233" t="str">
        <f>IF(B33="insumo",_xlfn.XLOOKUP(S33,Insumos!A:A,Insumos!D:D),"")</f>
        <v/>
      </c>
      <c r="AC33" s="239">
        <f t="shared" ca="1" si="10"/>
        <v>1.3628616134429611E-3</v>
      </c>
      <c r="AE33" s="240">
        <f ca="1">IFERROR(IF(OR(Z33="",Z33=0),"",IF(AF33="","",IF(AF33="R$/mês",Z33/OBRA!$D$12,IF(AF33="R$/m²",Z33/OBRA!$D$10,IF(AF33="R$/apto",Orçamento!Z33/OBRA!$D$11,""))))),"")</f>
        <v>4.8887676703220926</v>
      </c>
      <c r="AF33" s="241" t="s">
        <v>154</v>
      </c>
    </row>
    <row r="34" spans="1:32" s="10" customFormat="1" ht="13.15" hidden="1" customHeight="1" outlineLevel="4" x14ac:dyDescent="0.2">
      <c r="A34" s="227"/>
      <c r="B34" s="228" t="s">
        <v>19</v>
      </c>
      <c r="C34" s="229">
        <f t="shared" si="0"/>
        <v>1</v>
      </c>
      <c r="D34" s="227" t="str">
        <f t="shared" si="22"/>
        <v/>
      </c>
      <c r="E34" s="228" t="str">
        <f t="shared" ca="1" si="17"/>
        <v>01.001.002.007</v>
      </c>
      <c r="F34" s="230">
        <f ca="1">IF($B34="UNIDADE CONSTRUTIVA",OFFSET(F34,-1,0)+1,LARGE(F$10:F33,1))</f>
        <v>1</v>
      </c>
      <c r="G34" s="228" t="str">
        <f t="shared" ca="1" si="1"/>
        <v xml:space="preserve">   GERENCIAMENTO TÉCNICO E ADMINISTRATIVO</v>
      </c>
      <c r="H34" s="230">
        <f t="shared" ca="1" si="18"/>
        <v>1</v>
      </c>
      <c r="I34" s="228" t="str">
        <f t="shared" ca="1" si="2"/>
        <v xml:space="preserve">   GERENCIAMENTO TÉCNICO</v>
      </c>
      <c r="J34" s="230">
        <f t="shared" ca="1" si="19"/>
        <v>1</v>
      </c>
      <c r="K34" s="228" t="str">
        <f t="shared" ca="1" si="3"/>
        <v xml:space="preserve">   ESTUDOS | PROJETOS | CONSULTORIAS</v>
      </c>
      <c r="L34" s="231">
        <f t="shared" ca="1" si="20"/>
        <v>2</v>
      </c>
      <c r="M34" s="228" t="str">
        <f t="shared" ca="1" si="4"/>
        <v xml:space="preserve">   Projetos</v>
      </c>
      <c r="N34" s="231">
        <f t="shared" ca="1" si="21"/>
        <v>7</v>
      </c>
      <c r="O34" s="228" t="str">
        <f t="shared" ca="1" si="5"/>
        <v>Projeto de Prevenção Combate a Incêndio</v>
      </c>
      <c r="P34" s="232" t="str">
        <f>IF(S34="","",IF(Orçamento!$B34="INSUMO",S34,""))</f>
        <v>Projeto PCI (Prevenção e combate a Incêndios)</v>
      </c>
      <c r="Q34" s="244" t="str">
        <f t="shared" si="23"/>
        <v/>
      </c>
      <c r="R34" s="234">
        <f t="shared" ca="1" si="6"/>
        <v>1</v>
      </c>
      <c r="S34" s="233" t="s">
        <v>575</v>
      </c>
      <c r="T34" s="242" t="str">
        <f>_xlfn.XLOOKUP(S34,Insumos!$A$3:$A$371,Insumos!$B$3:$B$371)</f>
        <v>VB</v>
      </c>
      <c r="U34" s="235">
        <f t="shared" ca="1" si="16"/>
        <v>1</v>
      </c>
      <c r="V34" s="320">
        <v>1</v>
      </c>
      <c r="W34" s="236">
        <f>IFERROR(IF(B34="INSUMO",_xlfn.XLOOKUP(S34,Insumos!A:A,Insumos!C:C),""),"Inserir Preço")</f>
        <v>9500</v>
      </c>
      <c r="X34" s="235">
        <f t="shared" ca="1" si="7"/>
        <v>1</v>
      </c>
      <c r="Y34" s="236">
        <f t="shared" si="8"/>
        <v>9500</v>
      </c>
      <c r="Z34" s="237">
        <f t="shared" ca="1" si="9"/>
        <v>9500</v>
      </c>
      <c r="AA34" s="238"/>
      <c r="AB34" s="233" t="str">
        <f>IF(B34="insumo",_xlfn.XLOOKUP(S34,Insumos!A:A,Insumos!D:D),"")</f>
        <v>Recebido Cliente</v>
      </c>
      <c r="AC34" s="239">
        <f t="shared" ca="1" si="10"/>
        <v>1.3628616134429611E-3</v>
      </c>
      <c r="AE34" s="240">
        <f ca="1">IFERROR(IF(OR(Z34="",Z34=0),"",IF(AF34="","",IF(AF34="R$/mês",Z34/OBRA!$D$12,IF(AF34="R$/m²",Z34/OBRA!$D$10,IF(AF34="R$/apto",Orçamento!Z34/OBRA!$D$11,""))))),"")</f>
        <v>4.8887676703220926</v>
      </c>
      <c r="AF34" s="241" t="s">
        <v>154</v>
      </c>
    </row>
    <row r="35" spans="1:32" s="10" customFormat="1" ht="13.15" hidden="1" customHeight="1" outlineLevel="4" x14ac:dyDescent="0.2">
      <c r="A35" s="227"/>
      <c r="B35" s="228" t="s">
        <v>4</v>
      </c>
      <c r="C35" s="229">
        <f t="shared" si="0"/>
        <v>1</v>
      </c>
      <c r="D35" s="227" t="str">
        <f ca="1">IF(B35="Unidade Construtiva",TEXT(F35,"00"),IF(B35="Célula Construtiva",TEXT(H35,"00"),IF(B35="Etapa",CONCATENATE(TEXT(H35,"00"),".",TEXT(J35,"000")),IF(B35="Subetapa",CONCATENATE(TEXT(H35,"00"),".",TEXT(J35,"000"),".",TEXT(L35,"000")),IF(B35="Serviço",CONCATENATE(TEXT(H35,"00"),".",TEXT(J35,"000"),".",TEXT(L35,"000"),".",TEXT(N35,"000")),"")))))</f>
        <v>01.001.002.008</v>
      </c>
      <c r="E35" s="228" t="str">
        <f ca="1">IF(B35="*","",IFERROR(IF(B35="SERVIÇO",D35,OFFSET(E35,-1,0)),""))</f>
        <v>01.001.002.008</v>
      </c>
      <c r="F35" s="230">
        <f ca="1">IF($B35="UNIDADE CONSTRUTIVA",OFFSET(F35,-1,0)+1,LARGE(F$10:F34,1))</f>
        <v>1</v>
      </c>
      <c r="G35" s="228" t="str">
        <f ca="1">IF(B35="*","",IF(B35="UNIDADE CONSTRUTIVA",S35,OFFSET(G35,-1,0)))</f>
        <v xml:space="preserve">   GERENCIAMENTO TÉCNICO E ADMINISTRATIVO</v>
      </c>
      <c r="H35" s="230">
        <f ca="1">IF(B35="UNIDADE CONSTRUTIVA",0,IF(B35="CÉLULA CONSTRUTIVA",OFFSET(H35,-1,0)+1,OFFSET(H35,-1,0)))</f>
        <v>1</v>
      </c>
      <c r="I35" s="228" t="str">
        <f ca="1">IF(B35="*","",IF(B35="CÉLULA CONSTRUTIVA",S35,OFFSET(I35,-1,0)))</f>
        <v xml:space="preserve">   GERENCIAMENTO TÉCNICO</v>
      </c>
      <c r="J35" s="230">
        <f ca="1">IF(B35="CÉLULA CONSTRUTIVA",0,IF(B35="ETAPA",OFFSET(J35,-1,0)+1,OFFSET(J35,-1,0)))</f>
        <v>1</v>
      </c>
      <c r="K35" s="228" t="str">
        <f ca="1">IF(B35="*","",IF(B35="ETAPA",S35,OFFSET(K35,-1,0)))</f>
        <v xml:space="preserve">   ESTUDOS | PROJETOS | CONSULTORIAS</v>
      </c>
      <c r="L35" s="231">
        <f ca="1">IF(B35="ETAPA",0,IF(B35="SUBETAPA",OFFSET(L35,-1,0)+1,OFFSET(L35,-1,0)))</f>
        <v>2</v>
      </c>
      <c r="M35" s="228" t="str">
        <f ca="1">IF(B35="*","",IF(B35="SUBETAPA",S35,OFFSET(M35,-1,0)))</f>
        <v xml:space="preserve">   Projetos</v>
      </c>
      <c r="N35" s="231">
        <f ca="1">IF(B35="Subetapa",0,IF(B35="serviço",OFFSET(N35,-1,0)+1,OFFSET(N35,-1,0)))</f>
        <v>8</v>
      </c>
      <c r="O35" s="228" t="str">
        <f ca="1">IF(B35="*","",IF(B35="SERVIÇO",S35,OFFSET(O35,-1,0)))</f>
        <v>Projeto de Segurança do Trabalho</v>
      </c>
      <c r="P35" s="232" t="str">
        <f>IF(S35="","",IF(Orçamento!$B35="INSUMO",S35,""))</f>
        <v/>
      </c>
      <c r="Q35" s="244" t="str">
        <f>IF(B35="","",IF(B35="Serviço",S35,""))</f>
        <v>Projeto de Segurança do Trabalho</v>
      </c>
      <c r="R35" s="234">
        <f ca="1">IF(B35="serviço",U35,OFFSET(R35,-1,0))</f>
        <v>1</v>
      </c>
      <c r="S35" s="233" t="s">
        <v>593</v>
      </c>
      <c r="T35" s="242" t="s">
        <v>170</v>
      </c>
      <c r="U35" s="235">
        <v>1</v>
      </c>
      <c r="V35" s="320" t="s">
        <v>35</v>
      </c>
      <c r="W35" s="236" t="str">
        <f>IFERROR(IF(B35="INSUMO",_xlfn.XLOOKUP(S35,Insumos!A:A,Insumos!C:C),""),"Inserir Preço")</f>
        <v/>
      </c>
      <c r="X35" s="235">
        <f ca="1">IF(B35="Complemento do insumo",V35,IF(R35="","",IF(B35="serviço",R35,IF(OR(B35="insumo"),V35*R35,""))))</f>
        <v>1</v>
      </c>
      <c r="Y35" s="236">
        <f t="shared" ca="1" si="8"/>
        <v>3500</v>
      </c>
      <c r="Z35" s="237">
        <f t="shared" ca="1" si="9"/>
        <v>3500</v>
      </c>
      <c r="AA35" s="238"/>
      <c r="AB35" s="233" t="str">
        <f>IF(B35="insumo",_xlfn.XLOOKUP(S35,Insumos!A:A,Insumos!D:D),"")</f>
        <v/>
      </c>
      <c r="AC35" s="239">
        <f t="shared" ca="1" si="10"/>
        <v>5.0210691021582772E-4</v>
      </c>
      <c r="AE35" s="240">
        <f ca="1">IFERROR(IF(OR(Z35="",Z35=0),"",IF(AF35="","",IF(AF35="R$/mês",Z35/OBRA!$D$12,IF(AF35="R$/m²",Z35/OBRA!$D$10,IF(AF35="R$/apto",Orçamento!Z35/OBRA!$D$11,""))))),"")</f>
        <v>1.8011249311712973</v>
      </c>
      <c r="AF35" s="241" t="s">
        <v>154</v>
      </c>
    </row>
    <row r="36" spans="1:32" s="10" customFormat="1" ht="13.15" hidden="1" customHeight="1" outlineLevel="4" x14ac:dyDescent="0.2">
      <c r="A36" s="227"/>
      <c r="B36" s="228" t="s">
        <v>19</v>
      </c>
      <c r="C36" s="229">
        <f t="shared" si="0"/>
        <v>1</v>
      </c>
      <c r="D36" s="227" t="str">
        <f>IF(B36="Unidade Construtiva",TEXT(F36,"00"),IF(B36="Célula Construtiva",TEXT(H36,"00"),IF(B36="Etapa",CONCATENATE(TEXT(H36,"00"),".",TEXT(J36,"000")),IF(B36="Subetapa",CONCATENATE(TEXT(H36,"00"),".",TEXT(J36,"000"),".",TEXT(L36,"000")),IF(B36="Serviço",CONCATENATE(TEXT(H36,"00"),".",TEXT(J36,"000"),".",TEXT(L36,"000"),".",TEXT(N36,"000")),"")))))</f>
        <v/>
      </c>
      <c r="E36" s="228" t="str">
        <f ca="1">IF(B36="*","",IFERROR(IF(B36="SERVIÇO",D36,OFFSET(E36,-1,0)),""))</f>
        <v>01.001.002.008</v>
      </c>
      <c r="F36" s="230">
        <f ca="1">IF($B36="UNIDADE CONSTRUTIVA",OFFSET(F36,-1,0)+1,LARGE(F$10:F35,1))</f>
        <v>1</v>
      </c>
      <c r="G36" s="228" t="str">
        <f ca="1">IF(B36="*","",IF(B36="UNIDADE CONSTRUTIVA",S36,OFFSET(G36,-1,0)))</f>
        <v xml:space="preserve">   GERENCIAMENTO TÉCNICO E ADMINISTRATIVO</v>
      </c>
      <c r="H36" s="230">
        <f ca="1">IF(B36="UNIDADE CONSTRUTIVA",0,IF(B36="CÉLULA CONSTRUTIVA",OFFSET(H36,-1,0)+1,OFFSET(H36,-1,0)))</f>
        <v>1</v>
      </c>
      <c r="I36" s="228" t="str">
        <f ca="1">IF(B36="*","",IF(B36="CÉLULA CONSTRUTIVA",S36,OFFSET(I36,-1,0)))</f>
        <v xml:space="preserve">   GERENCIAMENTO TÉCNICO</v>
      </c>
      <c r="J36" s="230">
        <f ca="1">IF(B36="CÉLULA CONSTRUTIVA",0,IF(B36="ETAPA",OFFSET(J36,-1,0)+1,OFFSET(J36,-1,0)))</f>
        <v>1</v>
      </c>
      <c r="K36" s="228" t="str">
        <f ca="1">IF(B36="*","",IF(B36="ETAPA",S36,OFFSET(K36,-1,0)))</f>
        <v xml:space="preserve">   ESTUDOS | PROJETOS | CONSULTORIAS</v>
      </c>
      <c r="L36" s="231">
        <f ca="1">IF(B36="ETAPA",0,IF(B36="SUBETAPA",OFFSET(L36,-1,0)+1,OFFSET(L36,-1,0)))</f>
        <v>2</v>
      </c>
      <c r="M36" s="228" t="str">
        <f ca="1">IF(B36="*","",IF(B36="SUBETAPA",S36,OFFSET(M36,-1,0)))</f>
        <v xml:space="preserve">   Projetos</v>
      </c>
      <c r="N36" s="231">
        <f ca="1">IF(B36="Subetapa",0,IF(B36="serviço",OFFSET(N36,-1,0)+1,OFFSET(N36,-1,0)))</f>
        <v>8</v>
      </c>
      <c r="O36" s="228" t="str">
        <f ca="1">IF(B36="*","",IF(B36="SERVIÇO",S36,OFFSET(O36,-1,0)))</f>
        <v>Projeto de Segurança do Trabalho</v>
      </c>
      <c r="P36" s="232" t="str">
        <f>IF(S36="","",IF(Orçamento!$B36="INSUMO",S36,""))</f>
        <v>PROJETO DE SEGURANCA DO TRABALHO</v>
      </c>
      <c r="Q36" s="244" t="str">
        <f>IF(B36="","",IF(B36="Serviço",S36,""))</f>
        <v/>
      </c>
      <c r="R36" s="234">
        <f ca="1">IF(B36="serviço",U36,OFFSET(R36,-1,0))</f>
        <v>1</v>
      </c>
      <c r="S36" s="233" t="s">
        <v>594</v>
      </c>
      <c r="T36" s="242" t="str">
        <f>_xlfn.XLOOKUP(S36,Insumos!$A$3:$A$371,Insumos!$B$3:$B$371)</f>
        <v>VB</v>
      </c>
      <c r="U36" s="235">
        <f t="shared" ca="1" si="16"/>
        <v>1</v>
      </c>
      <c r="V36" s="320">
        <v>1</v>
      </c>
      <c r="W36" s="236">
        <f>IFERROR(IF(B36="INSUMO",_xlfn.XLOOKUP(S36,Insumos!A:A,Insumos!C:C),""),"Inserir Preço")</f>
        <v>3500</v>
      </c>
      <c r="X36" s="235">
        <f t="shared" ca="1" si="7"/>
        <v>1</v>
      </c>
      <c r="Y36" s="236">
        <f t="shared" si="8"/>
        <v>3500</v>
      </c>
      <c r="Z36" s="237">
        <f t="shared" ca="1" si="9"/>
        <v>3500</v>
      </c>
      <c r="AA36" s="238"/>
      <c r="AB36" s="233" t="str">
        <f>IF(B36="insumo",_xlfn.XLOOKUP(S36,Insumos!A:A,Insumos!D:D),"")</f>
        <v>Recebido Cliente</v>
      </c>
      <c r="AC36" s="239">
        <f t="shared" ca="1" si="10"/>
        <v>5.0210691021582772E-4</v>
      </c>
      <c r="AE36" s="240">
        <f ca="1">IFERROR(IF(OR(Z36="",Z36=0),"",IF(AF36="","",IF(AF36="R$/mês",Z36/OBRA!$D$12,IF(AF36="R$/m²",Z36/OBRA!$D$10,IF(AF36="R$/apto",Orçamento!Z36/OBRA!$D$11,""))))),"")</f>
        <v>1.8011249311712973</v>
      </c>
      <c r="AF36" s="241" t="s">
        <v>154</v>
      </c>
    </row>
    <row r="37" spans="1:32" s="10" customFormat="1" ht="13.15" hidden="1" customHeight="1" outlineLevel="4" x14ac:dyDescent="0.2">
      <c r="A37" s="227"/>
      <c r="B37" s="228" t="s">
        <v>4</v>
      </c>
      <c r="C37" s="229">
        <f t="shared" si="0"/>
        <v>1</v>
      </c>
      <c r="D37" s="227" t="str">
        <f t="shared" ca="1" si="22"/>
        <v>01.001.002.009</v>
      </c>
      <c r="E37" s="228" t="str">
        <f t="shared" ca="1" si="17"/>
        <v>01.001.002.009</v>
      </c>
      <c r="F37" s="230">
        <f ca="1">IF($B37="UNIDADE CONSTRUTIVA",OFFSET(F37,-1,0)+1,LARGE(F$10:F36,1))</f>
        <v>1</v>
      </c>
      <c r="G37" s="228" t="str">
        <f t="shared" ca="1" si="1"/>
        <v xml:space="preserve">   GERENCIAMENTO TÉCNICO E ADMINISTRATIVO</v>
      </c>
      <c r="H37" s="230">
        <f t="shared" ca="1" si="18"/>
        <v>1</v>
      </c>
      <c r="I37" s="228" t="str">
        <f t="shared" ca="1" si="2"/>
        <v xml:space="preserve">   GERENCIAMENTO TÉCNICO</v>
      </c>
      <c r="J37" s="230">
        <f t="shared" ca="1" si="19"/>
        <v>1</v>
      </c>
      <c r="K37" s="228" t="str">
        <f t="shared" ca="1" si="3"/>
        <v xml:space="preserve">   ESTUDOS | PROJETOS | CONSULTORIAS</v>
      </c>
      <c r="L37" s="231">
        <f t="shared" ca="1" si="20"/>
        <v>2</v>
      </c>
      <c r="M37" s="228" t="str">
        <f t="shared" ca="1" si="4"/>
        <v xml:space="preserve">   Projetos</v>
      </c>
      <c r="N37" s="231">
        <f t="shared" ca="1" si="21"/>
        <v>9</v>
      </c>
      <c r="O37" s="228" t="str">
        <f t="shared" ca="1" si="5"/>
        <v>Projeto de climatização</v>
      </c>
      <c r="P37" s="232" t="str">
        <f>IF(S37="","",IF(Orçamento!$B37="INSUMO",S37,""))</f>
        <v/>
      </c>
      <c r="Q37" s="244" t="str">
        <f t="shared" si="23"/>
        <v>Projeto de climatização</v>
      </c>
      <c r="R37" s="234">
        <f t="shared" ca="1" si="6"/>
        <v>1</v>
      </c>
      <c r="S37" s="233" t="s">
        <v>135</v>
      </c>
      <c r="T37" s="242" t="s">
        <v>170</v>
      </c>
      <c r="U37" s="235">
        <v>1</v>
      </c>
      <c r="V37" s="320" t="s">
        <v>35</v>
      </c>
      <c r="W37" s="236" t="str">
        <f>IFERROR(IF(B37="INSUMO",_xlfn.XLOOKUP(S37,Insumos!A:A,Insumos!C:C),""),"Inserir Preço")</f>
        <v/>
      </c>
      <c r="X37" s="235">
        <f t="shared" ca="1" si="7"/>
        <v>1</v>
      </c>
      <c r="Y37" s="236">
        <f t="shared" ca="1" si="8"/>
        <v>1400</v>
      </c>
      <c r="Z37" s="237">
        <f t="shared" ca="1" si="9"/>
        <v>1400</v>
      </c>
      <c r="AA37" s="238"/>
      <c r="AB37" s="233" t="str">
        <f>IF(B37="insumo",_xlfn.XLOOKUP(S37,Insumos!A:A,Insumos!D:D),"")</f>
        <v/>
      </c>
      <c r="AC37" s="239">
        <f t="shared" ca="1" si="10"/>
        <v>2.0084276408633108E-4</v>
      </c>
      <c r="AE37" s="240">
        <f ca="1">IFERROR(IF(OR(Z37="",Z37=0),"",IF(AF37="","",IF(AF37="R$/mês",Z37/OBRA!$D$12,IF(AF37="R$/m²",Z37/OBRA!$D$10,IF(AF37="R$/apto",Orçamento!Z37/OBRA!$D$11,""))))),"")</f>
        <v>0.72044997246851894</v>
      </c>
      <c r="AF37" s="241" t="s">
        <v>154</v>
      </c>
    </row>
    <row r="38" spans="1:32" s="10" customFormat="1" ht="13.15" hidden="1" customHeight="1" outlineLevel="4" x14ac:dyDescent="0.2">
      <c r="A38" s="227"/>
      <c r="B38" s="228" t="s">
        <v>19</v>
      </c>
      <c r="C38" s="229">
        <f t="shared" si="0"/>
        <v>1</v>
      </c>
      <c r="D38" s="227" t="str">
        <f t="shared" si="22"/>
        <v/>
      </c>
      <c r="E38" s="228" t="str">
        <f t="shared" ca="1" si="17"/>
        <v>01.001.002.009</v>
      </c>
      <c r="F38" s="230">
        <f ca="1">IF($B38="UNIDADE CONSTRUTIVA",OFFSET(F38,-1,0)+1,LARGE(F$10:F37,1))</f>
        <v>1</v>
      </c>
      <c r="G38" s="228" t="str">
        <f t="shared" ca="1" si="1"/>
        <v xml:space="preserve">   GERENCIAMENTO TÉCNICO E ADMINISTRATIVO</v>
      </c>
      <c r="H38" s="230">
        <f t="shared" ca="1" si="18"/>
        <v>1</v>
      </c>
      <c r="I38" s="228" t="str">
        <f t="shared" ca="1" si="2"/>
        <v xml:space="preserve">   GERENCIAMENTO TÉCNICO</v>
      </c>
      <c r="J38" s="230">
        <f t="shared" ca="1" si="19"/>
        <v>1</v>
      </c>
      <c r="K38" s="228" t="str">
        <f t="shared" ca="1" si="3"/>
        <v xml:space="preserve">   ESTUDOS | PROJETOS | CONSULTORIAS</v>
      </c>
      <c r="L38" s="231">
        <f t="shared" ca="1" si="20"/>
        <v>2</v>
      </c>
      <c r="M38" s="228" t="str">
        <f t="shared" ca="1" si="4"/>
        <v xml:space="preserve">   Projetos</v>
      </c>
      <c r="N38" s="231">
        <f t="shared" ca="1" si="21"/>
        <v>9</v>
      </c>
      <c r="O38" s="228" t="str">
        <f t="shared" ca="1" si="5"/>
        <v>Projeto de climatização</v>
      </c>
      <c r="P38" s="232" t="str">
        <f>IF(S38="","",IF(Orçamento!$B38="INSUMO",S38,""))</f>
        <v>Projeto De Climatização</v>
      </c>
      <c r="Q38" s="244" t="str">
        <f t="shared" si="23"/>
        <v/>
      </c>
      <c r="R38" s="234">
        <f t="shared" ca="1" si="6"/>
        <v>1</v>
      </c>
      <c r="S38" s="233" t="s">
        <v>228</v>
      </c>
      <c r="T38" s="242" t="str">
        <f>_xlfn.XLOOKUP(S38,Insumos!$A$3:$A$371,Insumos!$B$3:$B$371)</f>
        <v>VB</v>
      </c>
      <c r="U38" s="235">
        <f t="shared" ca="1" si="16"/>
        <v>1</v>
      </c>
      <c r="V38" s="320">
        <v>1</v>
      </c>
      <c r="W38" s="236">
        <f>IFERROR(IF(B38="INSUMO",_xlfn.XLOOKUP(S38,Insumos!A:A,Insumos!C:C),""),"Inserir Preço")</f>
        <v>1400</v>
      </c>
      <c r="X38" s="235">
        <f t="shared" ca="1" si="7"/>
        <v>1</v>
      </c>
      <c r="Y38" s="236">
        <f t="shared" si="8"/>
        <v>1400</v>
      </c>
      <c r="Z38" s="237">
        <f t="shared" ca="1" si="9"/>
        <v>1400</v>
      </c>
      <c r="AA38" s="238"/>
      <c r="AB38" s="233" t="str">
        <f>IF(B38="insumo",_xlfn.XLOOKUP(S38,Insumos!A:A,Insumos!D:D),"")</f>
        <v>Recebido Cliente</v>
      </c>
      <c r="AC38" s="239">
        <f t="shared" ca="1" si="10"/>
        <v>2.0084276408633108E-4</v>
      </c>
      <c r="AE38" s="240">
        <f ca="1">IFERROR(IF(OR(Z38="",Z38=0),"",IF(AF38="","",IF(AF38="R$/mês",Z38/OBRA!$D$12,IF(AF38="R$/m²",Z38/OBRA!$D$10,IF(AF38="R$/apto",Orçamento!Z38/OBRA!$D$11,""))))),"")</f>
        <v>0.72044997246851894</v>
      </c>
      <c r="AF38" s="241" t="s">
        <v>154</v>
      </c>
    </row>
    <row r="39" spans="1:32" s="10" customFormat="1" ht="13.15" hidden="1" customHeight="1" outlineLevel="3" collapsed="1" x14ac:dyDescent="0.2">
      <c r="A39" s="227"/>
      <c r="B39" s="228" t="s">
        <v>3</v>
      </c>
      <c r="C39" s="229" t="str">
        <f t="shared" si="0"/>
        <v/>
      </c>
      <c r="D39" s="227" t="str">
        <f t="shared" ca="1" si="22"/>
        <v>01.001.003</v>
      </c>
      <c r="E39" s="228" t="str">
        <f t="shared" ca="1" si="17"/>
        <v>01.001.002.009</v>
      </c>
      <c r="F39" s="230">
        <f ca="1">IF($B39="UNIDADE CONSTRUTIVA",OFFSET(F39,-1,0)+1,LARGE(F$10:F38,1))</f>
        <v>1</v>
      </c>
      <c r="G39" s="228" t="str">
        <f t="shared" ca="1" si="1"/>
        <v xml:space="preserve">   GERENCIAMENTO TÉCNICO E ADMINISTRATIVO</v>
      </c>
      <c r="H39" s="230">
        <f t="shared" ca="1" si="18"/>
        <v>1</v>
      </c>
      <c r="I39" s="228" t="str">
        <f t="shared" ca="1" si="2"/>
        <v xml:space="preserve">   GERENCIAMENTO TÉCNICO</v>
      </c>
      <c r="J39" s="230">
        <f t="shared" ca="1" si="19"/>
        <v>1</v>
      </c>
      <c r="K39" s="228" t="str">
        <f t="shared" ca="1" si="3"/>
        <v xml:space="preserve">   ESTUDOS | PROJETOS | CONSULTORIAS</v>
      </c>
      <c r="L39" s="231">
        <f t="shared" ca="1" si="20"/>
        <v>3</v>
      </c>
      <c r="M39" s="228" t="str">
        <f t="shared" ca="1" si="4"/>
        <v xml:space="preserve">   Consultorias</v>
      </c>
      <c r="N39" s="231">
        <f t="shared" ca="1" si="21"/>
        <v>0</v>
      </c>
      <c r="O39" s="228" t="str">
        <f t="shared" ca="1" si="5"/>
        <v>Projeto de climatização</v>
      </c>
      <c r="P39" s="232" t="str">
        <f>IF(S39="","",IF(Orçamento!$B39="INSUMO",S39,""))</f>
        <v/>
      </c>
      <c r="Q39" s="244" t="str">
        <f t="shared" si="23"/>
        <v/>
      </c>
      <c r="R39" s="234">
        <f t="shared" ca="1" si="6"/>
        <v>1</v>
      </c>
      <c r="S39" s="233" t="s">
        <v>411</v>
      </c>
      <c r="T39" s="242" t="s">
        <v>35</v>
      </c>
      <c r="U39" s="235" t="str">
        <f t="shared" si="16"/>
        <v/>
      </c>
      <c r="V39" s="320" t="s">
        <v>35</v>
      </c>
      <c r="W39" s="236" t="str">
        <f>IFERROR(IF(B39="INSUMO",_xlfn.XLOOKUP(S39,Insumos!A:A,Insumos!C:C),""),"Inserir Preço")</f>
        <v/>
      </c>
      <c r="X39" s="235" t="str">
        <f t="shared" ca="1" si="7"/>
        <v/>
      </c>
      <c r="Y39" s="236" t="str">
        <f t="shared" si="8"/>
        <v/>
      </c>
      <c r="Z39" s="237">
        <f t="shared" ca="1" si="9"/>
        <v>21000</v>
      </c>
      <c r="AA39" s="238"/>
      <c r="AB39" s="233" t="str">
        <f>IF(B39="insumo",_xlfn.XLOOKUP(S39,Insumos!A:A,Insumos!D:D),"")</f>
        <v/>
      </c>
      <c r="AC39" s="239">
        <f t="shared" ca="1" si="10"/>
        <v>3.0126414612949666E-3</v>
      </c>
      <c r="AE39" s="240">
        <f ca="1">IFERROR(IF(OR(Z39="",Z39=0),"",IF(AF39="","",IF(AF39="R$/mês",Z39/OBRA!$D$12,IF(AF39="R$/m²",Z39/OBRA!$D$10,IF(AF39="R$/apto",Orçamento!Z39/OBRA!$D$11,""))))),"")</f>
        <v>10.806749587027783</v>
      </c>
      <c r="AF39" s="241" t="s">
        <v>154</v>
      </c>
    </row>
    <row r="40" spans="1:32" s="10" customFormat="1" ht="13.15" hidden="1" customHeight="1" outlineLevel="4" x14ac:dyDescent="0.2">
      <c r="A40" s="227"/>
      <c r="B40" s="228" t="s">
        <v>4</v>
      </c>
      <c r="C40" s="229">
        <f t="shared" si="0"/>
        <v>1</v>
      </c>
      <c r="D40" s="227" t="str">
        <f t="shared" ca="1" si="22"/>
        <v>01.001.003.001</v>
      </c>
      <c r="E40" s="228" t="str">
        <f t="shared" ca="1" si="17"/>
        <v>01.001.003.001</v>
      </c>
      <c r="F40" s="230">
        <f ca="1">IF($B40="UNIDADE CONSTRUTIVA",OFFSET(F40,-1,0)+1,LARGE(F$10:F39,1))</f>
        <v>1</v>
      </c>
      <c r="G40" s="228" t="str">
        <f t="shared" ca="1" si="1"/>
        <v xml:space="preserve">   GERENCIAMENTO TÉCNICO E ADMINISTRATIVO</v>
      </c>
      <c r="H40" s="230">
        <f t="shared" ca="1" si="18"/>
        <v>1</v>
      </c>
      <c r="I40" s="228" t="str">
        <f t="shared" ca="1" si="2"/>
        <v xml:space="preserve">   GERENCIAMENTO TÉCNICO</v>
      </c>
      <c r="J40" s="230">
        <f t="shared" ca="1" si="19"/>
        <v>1</v>
      </c>
      <c r="K40" s="228" t="str">
        <f t="shared" ca="1" si="3"/>
        <v xml:space="preserve">   ESTUDOS | PROJETOS | CONSULTORIAS</v>
      </c>
      <c r="L40" s="231">
        <f t="shared" ca="1" si="20"/>
        <v>3</v>
      </c>
      <c r="M40" s="228" t="str">
        <f t="shared" ca="1" si="4"/>
        <v xml:space="preserve">   Consultorias</v>
      </c>
      <c r="N40" s="231">
        <f t="shared" ca="1" si="21"/>
        <v>1</v>
      </c>
      <c r="O40" s="228" t="str">
        <f t="shared" ca="1" si="5"/>
        <v>Consultoria de Orçamento e Planejamento</v>
      </c>
      <c r="P40" s="232" t="str">
        <f>IF(S40="","",IF(Orçamento!$B40="INSUMO",S40,""))</f>
        <v/>
      </c>
      <c r="Q40" s="244" t="str">
        <f t="shared" si="23"/>
        <v>Consultoria de Orçamento e Planejamento</v>
      </c>
      <c r="R40" s="234">
        <f t="shared" ca="1" si="6"/>
        <v>1</v>
      </c>
      <c r="S40" s="233" t="s">
        <v>229</v>
      </c>
      <c r="T40" s="242" t="s">
        <v>170</v>
      </c>
      <c r="U40" s="235">
        <v>1</v>
      </c>
      <c r="V40" s="320" t="s">
        <v>35</v>
      </c>
      <c r="W40" s="236" t="str">
        <f>IFERROR(IF(B40="INSUMO",_xlfn.XLOOKUP(S40,Insumos!A:A,Insumos!C:C),""),"Inserir Preço")</f>
        <v/>
      </c>
      <c r="X40" s="235">
        <f t="shared" ca="1" si="7"/>
        <v>1</v>
      </c>
      <c r="Y40" s="236">
        <f t="shared" ca="1" si="8"/>
        <v>21000</v>
      </c>
      <c r="Z40" s="237">
        <f t="shared" ca="1" si="9"/>
        <v>21000</v>
      </c>
      <c r="AA40" s="238"/>
      <c r="AB40" s="233" t="str">
        <f>IF(B40="insumo",_xlfn.XLOOKUP(S40,Insumos!A:A,Insumos!D:D),"")</f>
        <v/>
      </c>
      <c r="AC40" s="239">
        <f t="shared" ca="1" si="10"/>
        <v>3.0126414612949666E-3</v>
      </c>
      <c r="AE40" s="240">
        <f ca="1">IFERROR(IF(OR(Z40="",Z40=0),"",IF(AF40="","",IF(AF40="R$/mês",Z40/OBRA!$D$12,IF(AF40="R$/m²",Z40/OBRA!$D$10,IF(AF40="R$/apto",Orçamento!Z40/OBRA!$D$11,""))))),"")</f>
        <v>10.806749587027783</v>
      </c>
      <c r="AF40" s="241" t="s">
        <v>154</v>
      </c>
    </row>
    <row r="41" spans="1:32" s="10" customFormat="1" ht="13.15" hidden="1" customHeight="1" outlineLevel="4" x14ac:dyDescent="0.2">
      <c r="A41" s="227"/>
      <c r="B41" s="228" t="s">
        <v>19</v>
      </c>
      <c r="C41" s="229">
        <f t="shared" si="0"/>
        <v>1</v>
      </c>
      <c r="D41" s="227" t="str">
        <f t="shared" si="22"/>
        <v/>
      </c>
      <c r="E41" s="228" t="str">
        <f t="shared" ca="1" si="17"/>
        <v>01.001.003.001</v>
      </c>
      <c r="F41" s="230">
        <f ca="1">IF($B41="UNIDADE CONSTRUTIVA",OFFSET(F41,-1,0)+1,LARGE(F$10:F40,1))</f>
        <v>1</v>
      </c>
      <c r="G41" s="228" t="str">
        <f t="shared" ca="1" si="1"/>
        <v xml:space="preserve">   GERENCIAMENTO TÉCNICO E ADMINISTRATIVO</v>
      </c>
      <c r="H41" s="230">
        <f t="shared" ca="1" si="18"/>
        <v>1</v>
      </c>
      <c r="I41" s="228" t="str">
        <f t="shared" ca="1" si="2"/>
        <v xml:space="preserve">   GERENCIAMENTO TÉCNICO</v>
      </c>
      <c r="J41" s="230">
        <f t="shared" ca="1" si="19"/>
        <v>1</v>
      </c>
      <c r="K41" s="228" t="str">
        <f t="shared" ca="1" si="3"/>
        <v xml:space="preserve">   ESTUDOS | PROJETOS | CONSULTORIAS</v>
      </c>
      <c r="L41" s="231">
        <f t="shared" ca="1" si="20"/>
        <v>3</v>
      </c>
      <c r="M41" s="228" t="str">
        <f t="shared" ca="1" si="4"/>
        <v xml:space="preserve">   Consultorias</v>
      </c>
      <c r="N41" s="231">
        <f t="shared" ca="1" si="21"/>
        <v>1</v>
      </c>
      <c r="O41" s="228" t="str">
        <f t="shared" ca="1" si="5"/>
        <v>Consultoria de Orçamento e Planejamento</v>
      </c>
      <c r="P41" s="232" t="str">
        <f>IF(S41="","",IF(Orçamento!$B41="INSUMO",S41,""))</f>
        <v>ORCAMENTO E PLANEJAMENTO</v>
      </c>
      <c r="Q41" s="244" t="str">
        <f t="shared" si="23"/>
        <v/>
      </c>
      <c r="R41" s="234">
        <f t="shared" ca="1" si="6"/>
        <v>1</v>
      </c>
      <c r="S41" s="233" t="s">
        <v>230</v>
      </c>
      <c r="T41" s="242" t="str">
        <f>_xlfn.XLOOKUP(S41,Insumos!$A$3:$A$371,Insumos!$B$3:$B$371)</f>
        <v>VB</v>
      </c>
      <c r="U41" s="235">
        <f t="shared" ca="1" si="16"/>
        <v>1</v>
      </c>
      <c r="V41" s="320">
        <v>1</v>
      </c>
      <c r="W41" s="236">
        <f>IFERROR(IF(B41="INSUMO",_xlfn.XLOOKUP(S41,Insumos!A:A,Insumos!C:C),""),"Inserir Preço")</f>
        <v>21000</v>
      </c>
      <c r="X41" s="235">
        <f t="shared" ca="1" si="7"/>
        <v>1</v>
      </c>
      <c r="Y41" s="236">
        <f t="shared" si="8"/>
        <v>21000</v>
      </c>
      <c r="Z41" s="237">
        <f t="shared" ca="1" si="9"/>
        <v>21000</v>
      </c>
      <c r="AA41" s="238"/>
      <c r="AB41" s="233" t="str">
        <f>IF(B41="insumo",_xlfn.XLOOKUP(S41,Insumos!A:A,Insumos!D:D),"")</f>
        <v>Recebido Cliente</v>
      </c>
      <c r="AC41" s="239">
        <f t="shared" ca="1" si="10"/>
        <v>3.0126414612949666E-3</v>
      </c>
      <c r="AE41" s="240">
        <f ca="1">IFERROR(IF(OR(Z41="",Z41=0),"",IF(AF41="","",IF(AF41="R$/mês",Z41/OBRA!$D$12,IF(AF41="R$/m²",Z41/OBRA!$D$10,IF(AF41="R$/apto",Orçamento!Z41/OBRA!$D$11,""))))),"")</f>
        <v>10.806749587027783</v>
      </c>
      <c r="AF41" s="241" t="s">
        <v>154</v>
      </c>
    </row>
    <row r="42" spans="1:32" s="10" customFormat="1" ht="13.15" hidden="1" customHeight="1" outlineLevel="3" collapsed="1" x14ac:dyDescent="0.2">
      <c r="A42" s="227"/>
      <c r="B42" s="228" t="s">
        <v>3</v>
      </c>
      <c r="C42" s="229" t="str">
        <f t="shared" si="0"/>
        <v/>
      </c>
      <c r="D42" s="227" t="str">
        <f ca="1">IF(B42="Unidade Construtiva",TEXT(F42,"00"),IF(B42="Célula Construtiva",TEXT(H42,"00"),IF(B42="Etapa",CONCATENATE(TEXT(H42,"00"),".",TEXT(J42,"000")),IF(B42="Subetapa",CONCATENATE(TEXT(H42,"00"),".",TEXT(J42,"000"),".",TEXT(L42,"000")),IF(B42="Serviço",CONCATENATE(TEXT(H42,"00"),".",TEXT(J42,"000"),".",TEXT(L42,"000"),".",TEXT(N42,"000")),"")))))</f>
        <v>01.001.004</v>
      </c>
      <c r="E42" s="228" t="str">
        <f ca="1">IF(B42="*","",IFERROR(IF(B42="SERVIÇO",D42,OFFSET(E42,-1,0)),""))</f>
        <v>01.001.003.001</v>
      </c>
      <c r="F42" s="230">
        <f ca="1">IF($B42="UNIDADE CONSTRUTIVA",OFFSET(F42,-1,0)+1,LARGE(F$10:F41,1))</f>
        <v>1</v>
      </c>
      <c r="G42" s="228" t="str">
        <f ca="1">IF(B42="*","",IF(B42="UNIDADE CONSTRUTIVA",S42,OFFSET(G42,-1,0)))</f>
        <v xml:space="preserve">   GERENCIAMENTO TÉCNICO E ADMINISTRATIVO</v>
      </c>
      <c r="H42" s="230">
        <f ca="1">IF(B42="UNIDADE CONSTRUTIVA",0,IF(B42="CÉLULA CONSTRUTIVA",OFFSET(H42,-1,0)+1,OFFSET(H42,-1,0)))</f>
        <v>1</v>
      </c>
      <c r="I42" s="228" t="str">
        <f ca="1">IF(B42="*","",IF(B42="CÉLULA CONSTRUTIVA",S42,OFFSET(I42,-1,0)))</f>
        <v xml:space="preserve">   GERENCIAMENTO TÉCNICO</v>
      </c>
      <c r="J42" s="230">
        <f ca="1">IF(B42="CÉLULA CONSTRUTIVA",0,IF(B42="ETAPA",OFFSET(J42,-1,0)+1,OFFSET(J42,-1,0)))</f>
        <v>1</v>
      </c>
      <c r="K42" s="228" t="str">
        <f ca="1">IF(B42="*","",IF(B42="ETAPA",S42,OFFSET(K42,-1,0)))</f>
        <v xml:space="preserve">   ESTUDOS | PROJETOS | CONSULTORIAS</v>
      </c>
      <c r="L42" s="231">
        <f ca="1">IF(B42="ETAPA",0,IF(B42="SUBETAPA",OFFSET(L42,-1,0)+1,OFFSET(L42,-1,0)))</f>
        <v>4</v>
      </c>
      <c r="M42" s="228" t="str">
        <f ca="1">IF(B42="*","",IF(B42="SUBETAPA",S42,OFFSET(M42,-1,0)))</f>
        <v xml:space="preserve">   Controle Tecnológico de Concreto</v>
      </c>
      <c r="N42" s="231">
        <f ca="1">IF(B42="Subetapa",0,IF(B42="serviço",OFFSET(N42,-1,0)+1,OFFSET(N42,-1,0)))</f>
        <v>0</v>
      </c>
      <c r="O42" s="228" t="str">
        <f ca="1">IF(B42="*","",IF(B42="SERVIÇO",S42,OFFSET(O42,-1,0)))</f>
        <v>Consultoria de Orçamento e Planejamento</v>
      </c>
      <c r="P42" s="232" t="str">
        <f>IF(S42="","",IF(Orçamento!$B42="INSUMO",S42,""))</f>
        <v/>
      </c>
      <c r="Q42" s="244" t="str">
        <f>IF(B42="","",IF(B42="Serviço",S42,""))</f>
        <v/>
      </c>
      <c r="R42" s="234">
        <f ca="1">IF(B42="serviço",U42,OFFSET(R42,-1,0))</f>
        <v>1</v>
      </c>
      <c r="S42" s="233" t="s">
        <v>1137</v>
      </c>
      <c r="T42" s="242" t="s">
        <v>35</v>
      </c>
      <c r="U42" s="235" t="str">
        <f>IF($B42="insumo",R42,"")</f>
        <v/>
      </c>
      <c r="V42" s="320" t="s">
        <v>35</v>
      </c>
      <c r="W42" s="236" t="str">
        <f>IFERROR(IF(B42="INSUMO",_xlfn.XLOOKUP(S42,Insumos!A:A,Insumos!C:C),""),"Inserir Preço")</f>
        <v/>
      </c>
      <c r="X42" s="235" t="str">
        <f ca="1">IF(B42="Complemento do insumo",V42,IF(R42="","",IF(B42="serviço",R42,IF(OR(B42="insumo"),V42*R42,""))))</f>
        <v/>
      </c>
      <c r="Y42" s="236" t="str">
        <f t="shared" si="8"/>
        <v/>
      </c>
      <c r="Z42" s="237">
        <f t="shared" ca="1" si="9"/>
        <v>16829.620000000003</v>
      </c>
      <c r="AA42" s="238"/>
      <c r="AB42" s="233" t="str">
        <f>IF(B42="insumo",_xlfn.XLOOKUP(S42,Insumos!A:A,Insumos!D:D),"")</f>
        <v/>
      </c>
      <c r="AC42" s="239">
        <f t="shared" ca="1" si="10"/>
        <v>2.4143624280875712E-3</v>
      </c>
      <c r="AE42" s="240">
        <f ca="1">IFERROR(IF(OR(Z42="",Z42=0),"",IF(AF42="","",IF(AF42="R$/mês",Z42/OBRA!$D$12,IF(AF42="R$/m²",Z42/OBRA!$D$10,IF(AF42="R$/apto",Orçamento!Z42/OBRA!$D$11,""))))),"")</f>
        <v>8.6606423326111699</v>
      </c>
      <c r="AF42" s="241" t="s">
        <v>154</v>
      </c>
    </row>
    <row r="43" spans="1:32" s="10" customFormat="1" ht="13.15" hidden="1" customHeight="1" outlineLevel="4" x14ac:dyDescent="0.2">
      <c r="A43" s="227"/>
      <c r="B43" s="228" t="s">
        <v>4</v>
      </c>
      <c r="C43" s="229">
        <f t="shared" si="0"/>
        <v>1</v>
      </c>
      <c r="D43" s="227" t="str">
        <f ca="1">IF(B43="Unidade Construtiva",TEXT(F43,"00"),IF(B43="Célula Construtiva",TEXT(H43,"00"),IF(B43="Etapa",CONCATENATE(TEXT(H43,"00"),".",TEXT(J43,"000")),IF(B43="Subetapa",CONCATENATE(TEXT(H43,"00"),".",TEXT(J43,"000"),".",TEXT(L43,"000")),IF(B43="Serviço",CONCATENATE(TEXT(H43,"00"),".",TEXT(J43,"000"),".",TEXT(L43,"000"),".",TEXT(N43,"000")),"")))))</f>
        <v>01.001.004.001</v>
      </c>
      <c r="E43" s="228" t="str">
        <f ca="1">IF(B43="*","",IFERROR(IF(B43="SERVIÇO",D43,OFFSET(E43,-1,0)),""))</f>
        <v>01.001.004.001</v>
      </c>
      <c r="F43" s="230">
        <f ca="1">IF($B43="UNIDADE CONSTRUTIVA",OFFSET(F43,-1,0)+1,LARGE(F$10:F42,1))</f>
        <v>1</v>
      </c>
      <c r="G43" s="228" t="str">
        <f ca="1">IF(B43="*","",IF(B43="UNIDADE CONSTRUTIVA",S43,OFFSET(G43,-1,0)))</f>
        <v xml:space="preserve">   GERENCIAMENTO TÉCNICO E ADMINISTRATIVO</v>
      </c>
      <c r="H43" s="230">
        <f ca="1">IF(B43="UNIDADE CONSTRUTIVA",0,IF(B43="CÉLULA CONSTRUTIVA",OFFSET(H43,-1,0)+1,OFFSET(H43,-1,0)))</f>
        <v>1</v>
      </c>
      <c r="I43" s="228" t="str">
        <f ca="1">IF(B43="*","",IF(B43="CÉLULA CONSTRUTIVA",S43,OFFSET(I43,-1,0)))</f>
        <v xml:space="preserve">   GERENCIAMENTO TÉCNICO</v>
      </c>
      <c r="J43" s="230">
        <f ca="1">IF(B43="CÉLULA CONSTRUTIVA",0,IF(B43="ETAPA",OFFSET(J43,-1,0)+1,OFFSET(J43,-1,0)))</f>
        <v>1</v>
      </c>
      <c r="K43" s="228" t="str">
        <f ca="1">IF(B43="*","",IF(B43="ETAPA",S43,OFFSET(K43,-1,0)))</f>
        <v xml:space="preserve">   ESTUDOS | PROJETOS | CONSULTORIAS</v>
      </c>
      <c r="L43" s="231">
        <f ca="1">IF(B43="ETAPA",0,IF(B43="SUBETAPA",OFFSET(L43,-1,0)+1,OFFSET(L43,-1,0)))</f>
        <v>4</v>
      </c>
      <c r="M43" s="228" t="str">
        <f ca="1">IF(B43="*","",IF(B43="SUBETAPA",S43,OFFSET(M43,-1,0)))</f>
        <v xml:space="preserve">   Controle Tecnológico de Concreto</v>
      </c>
      <c r="N43" s="231">
        <f ca="1">IF(B43="Subetapa",0,IF(B43="serviço",OFFSET(N43,-1,0)+1,OFFSET(N43,-1,0)))</f>
        <v>1</v>
      </c>
      <c r="O43" s="228" t="str">
        <f ca="1">IF(B43="*","",IF(B43="SERVIÇO",S43,OFFSET(O43,-1,0)))</f>
        <v>Controle Tecnológico de Concreto - Infraestrura e Contenção</v>
      </c>
      <c r="P43" s="232" t="str">
        <f>IF(S43="","",IF(Orçamento!$B43="INSUMO",S43,""))</f>
        <v/>
      </c>
      <c r="Q43" s="244" t="str">
        <f>IF(B43="","",IF(B43="Serviço",S43,""))</f>
        <v>Controle Tecnológico de Concreto - Infraestrura e Contenção</v>
      </c>
      <c r="R43" s="234">
        <f ca="1">IF(B43="serviço",U43,OFFSET(R43,-1,0))</f>
        <v>1</v>
      </c>
      <c r="S43" s="233" t="s">
        <v>942</v>
      </c>
      <c r="T43" s="242" t="s">
        <v>170</v>
      </c>
      <c r="U43" s="235">
        <v>1</v>
      </c>
      <c r="V43" s="320" t="s">
        <v>35</v>
      </c>
      <c r="W43" s="236" t="str">
        <f>IFERROR(IF(B43="INSUMO",_xlfn.XLOOKUP(S43,Insumos!A:A,Insumos!C:C),""),"Inserir Preço")</f>
        <v/>
      </c>
      <c r="X43" s="235">
        <f ca="1">IF(B43="Complemento do insumo",V43,IF(R43="","",IF(B43="serviço",R43,IF(OR(B43="insumo"),V43*R43,""))))</f>
        <v>1</v>
      </c>
      <c r="Y43" s="236">
        <f t="shared" ca="1" si="8"/>
        <v>3772</v>
      </c>
      <c r="Z43" s="237">
        <f t="shared" ca="1" si="9"/>
        <v>3772</v>
      </c>
      <c r="AA43" s="238"/>
      <c r="AB43" s="233" t="str">
        <f>IF(B43="insumo",_xlfn.XLOOKUP(S43,Insumos!A:A,Insumos!D:D),"")</f>
        <v/>
      </c>
      <c r="AC43" s="239">
        <f t="shared" ca="1" si="10"/>
        <v>5.4112779009545778E-4</v>
      </c>
      <c r="AE43" s="240">
        <f ca="1">IFERROR(IF(OR(Z43="",Z43=0),"",IF(AF43="","",IF(AF43="R$/mês",Z43/OBRA!$D$12,IF(AF43="R$/m²",Z43/OBRA!$D$10,IF(AF43="R$/apto",Orçamento!Z43/OBRA!$D$11,""))))),"")</f>
        <v>1.9410980686794665</v>
      </c>
      <c r="AF43" s="241" t="s">
        <v>154</v>
      </c>
    </row>
    <row r="44" spans="1:32" s="10" customFormat="1" ht="13.15" hidden="1" customHeight="1" outlineLevel="4" x14ac:dyDescent="0.2">
      <c r="A44" s="227"/>
      <c r="B44" s="228" t="s">
        <v>19</v>
      </c>
      <c r="C44" s="229">
        <f t="shared" si="0"/>
        <v>1</v>
      </c>
      <c r="D44" s="227" t="str">
        <f>IF(B44="Unidade Construtiva",TEXT(F44,"00"),IF(B44="Célula Construtiva",TEXT(H44,"00"),IF(B44="Etapa",CONCATENATE(TEXT(H44,"00"),".",TEXT(J44,"000")),IF(B44="Subetapa",CONCATENATE(TEXT(H44,"00"),".",TEXT(J44,"000"),".",TEXT(L44,"000")),IF(B44="Serviço",CONCATENATE(TEXT(H44,"00"),".",TEXT(J44,"000"),".",TEXT(L44,"000"),".",TEXT(N44,"000")),"")))))</f>
        <v/>
      </c>
      <c r="E44" s="228" t="str">
        <f ca="1">IF(B44="*","",IFERROR(IF(B44="SERVIÇO",D44,OFFSET(E44,-1,0)),""))</f>
        <v>01.001.004.001</v>
      </c>
      <c r="F44" s="230">
        <f ca="1">IF($B44="UNIDADE CONSTRUTIVA",OFFSET(F44,-1,0)+1,LARGE(F$10:F43,1))</f>
        <v>1</v>
      </c>
      <c r="G44" s="228" t="str">
        <f ca="1">IF(B44="*","",IF(B44="UNIDADE CONSTRUTIVA",S44,OFFSET(G44,-1,0)))</f>
        <v xml:space="preserve">   GERENCIAMENTO TÉCNICO E ADMINISTRATIVO</v>
      </c>
      <c r="H44" s="230">
        <f ca="1">IF(B44="UNIDADE CONSTRUTIVA",0,IF(B44="CÉLULA CONSTRUTIVA",OFFSET(H44,-1,0)+1,OFFSET(H44,-1,0)))</f>
        <v>1</v>
      </c>
      <c r="I44" s="228" t="str">
        <f ca="1">IF(B44="*","",IF(B44="CÉLULA CONSTRUTIVA",S44,OFFSET(I44,-1,0)))</f>
        <v xml:space="preserve">   GERENCIAMENTO TÉCNICO</v>
      </c>
      <c r="J44" s="230">
        <f ca="1">IF(B44="CÉLULA CONSTRUTIVA",0,IF(B44="ETAPA",OFFSET(J44,-1,0)+1,OFFSET(J44,-1,0)))</f>
        <v>1</v>
      </c>
      <c r="K44" s="228" t="str">
        <f ca="1">IF(B44="*","",IF(B44="ETAPA",S44,OFFSET(K44,-1,0)))</f>
        <v xml:space="preserve">   ESTUDOS | PROJETOS | CONSULTORIAS</v>
      </c>
      <c r="L44" s="231">
        <f ca="1">IF(B44="ETAPA",0,IF(B44="SUBETAPA",OFFSET(L44,-1,0)+1,OFFSET(L44,-1,0)))</f>
        <v>4</v>
      </c>
      <c r="M44" s="228" t="str">
        <f ca="1">IF(B44="*","",IF(B44="SUBETAPA",S44,OFFSET(M44,-1,0)))</f>
        <v xml:space="preserve">   Controle Tecnológico de Concreto</v>
      </c>
      <c r="N44" s="231">
        <f ca="1">IF(B44="Subetapa",0,IF(B44="serviço",OFFSET(N44,-1,0)+1,OFFSET(N44,-1,0)))</f>
        <v>1</v>
      </c>
      <c r="O44" s="228" t="str">
        <f ca="1">IF(B44="*","",IF(B44="SERVIÇO",S44,OFFSET(O44,-1,0)))</f>
        <v>Controle Tecnológico de Concreto - Infraestrura e Contenção</v>
      </c>
      <c r="P44" s="232" t="str">
        <f>IF(S44="","",IF(Orçamento!$B44="INSUMO",S44,""))</f>
        <v>CONTROLE TECNOLOGICO DO CONCRETO - FUNDAÇÃO</v>
      </c>
      <c r="Q44" s="244" t="str">
        <f>IF(B44="","",IF(B44="Serviço",S44,""))</f>
        <v/>
      </c>
      <c r="R44" s="234">
        <f ca="1">IF(B44="serviço",U44,OFFSET(R44,-1,0))</f>
        <v>1</v>
      </c>
      <c r="S44" s="233" t="s">
        <v>1198</v>
      </c>
      <c r="T44" s="242" t="str">
        <f>_xlfn.XLOOKUP(S44,Insumos!$A$3:$A$371,Insumos!$B$3:$B$371)</f>
        <v>VB</v>
      </c>
      <c r="U44" s="235">
        <f ca="1">IF($B44="insumo",R44,"")</f>
        <v>1</v>
      </c>
      <c r="V44" s="320">
        <v>1</v>
      </c>
      <c r="W44" s="236">
        <f>IFERROR(IF(B44="INSUMO",_xlfn.XLOOKUP(S44,Insumos!A:A,Insumos!C:C),""),"Inserir Preço")</f>
        <v>3772</v>
      </c>
      <c r="X44" s="235">
        <f ca="1">IF(B44="Complemento do insumo",V44,IF(R44="","",IF(B44="serviço",R44,IF(OR(B44="insumo"),V44*R44,""))))</f>
        <v>1</v>
      </c>
      <c r="Y44" s="236">
        <f t="shared" ref="Y44:Y75" si="24">IF(B44="insumo",W44*V44,IF(B44="serviço",SUMIFS(Y:Y,B:B,"insumo",E:E,E44,I:I,I44),""))</f>
        <v>3772</v>
      </c>
      <c r="Z44" s="237">
        <f t="shared" ca="1" si="9"/>
        <v>3772</v>
      </c>
      <c r="AA44" s="238"/>
      <c r="AB44" s="233" t="str">
        <f>IF(B44="insumo",_xlfn.XLOOKUP(S44,Insumos!A:A,Insumos!D:D),"")</f>
        <v>Balancete</v>
      </c>
      <c r="AC44" s="239">
        <f t="shared" ca="1" si="10"/>
        <v>5.4112779009545778E-4</v>
      </c>
      <c r="AE44" s="240">
        <f ca="1">IFERROR(IF(OR(Z44="",Z44=0),"",IF(AF44="","",IF(AF44="R$/mês",Z44/OBRA!$D$12,IF(AF44="R$/m²",Z44/OBRA!$D$10,IF(AF44="R$/apto",Orçamento!Z44/OBRA!$D$11,""))))),"")</f>
        <v>1.9410980686794665</v>
      </c>
      <c r="AF44" s="241" t="s">
        <v>154</v>
      </c>
    </row>
    <row r="45" spans="1:32" s="10" customFormat="1" ht="13.15" hidden="1" customHeight="1" outlineLevel="4" x14ac:dyDescent="0.2">
      <c r="A45" s="227"/>
      <c r="B45" s="228" t="s">
        <v>4</v>
      </c>
      <c r="C45" s="229">
        <f t="shared" si="0"/>
        <v>1</v>
      </c>
      <c r="D45" s="227" t="str">
        <f ca="1">IF(B45="Unidade Construtiva",TEXT(F45,"00"),IF(B45="Célula Construtiva",TEXT(H45,"00"),IF(B45="Etapa",CONCATENATE(TEXT(H45,"00"),".",TEXT(J45,"000")),IF(B45="Subetapa",CONCATENATE(TEXT(H45,"00"),".",TEXT(J45,"000"),".",TEXT(L45,"000")),IF(B45="Serviço",CONCATENATE(TEXT(H45,"00"),".",TEXT(J45,"000"),".",TEXT(L45,"000"),".",TEXT(N45,"000")),"")))))</f>
        <v>01.001.004.002</v>
      </c>
      <c r="E45" s="228" t="str">
        <f ca="1">IF(B45="*","",IFERROR(IF(B45="SERVIÇO",D45,OFFSET(E45,-1,0)),""))</f>
        <v>01.001.004.002</v>
      </c>
      <c r="F45" s="230">
        <f ca="1">IF($B45="UNIDADE CONSTRUTIVA",OFFSET(F45,-1,0)+1,LARGE(F$10:F44,1))</f>
        <v>1</v>
      </c>
      <c r="G45" s="228" t="str">
        <f ca="1">IF(B45="*","",IF(B45="UNIDADE CONSTRUTIVA",S45,OFFSET(G45,-1,0)))</f>
        <v xml:space="preserve">   GERENCIAMENTO TÉCNICO E ADMINISTRATIVO</v>
      </c>
      <c r="H45" s="230">
        <f ca="1">IF(B45="UNIDADE CONSTRUTIVA",0,IF(B45="CÉLULA CONSTRUTIVA",OFFSET(H45,-1,0)+1,OFFSET(H45,-1,0)))</f>
        <v>1</v>
      </c>
      <c r="I45" s="228" t="str">
        <f ca="1">IF(B45="*","",IF(B45="CÉLULA CONSTRUTIVA",S45,OFFSET(I45,-1,0)))</f>
        <v xml:space="preserve">   GERENCIAMENTO TÉCNICO</v>
      </c>
      <c r="J45" s="230">
        <f ca="1">IF(B45="CÉLULA CONSTRUTIVA",0,IF(B45="ETAPA",OFFSET(J45,-1,0)+1,OFFSET(J45,-1,0)))</f>
        <v>1</v>
      </c>
      <c r="K45" s="228" t="str">
        <f ca="1">IF(B45="*","",IF(B45="ETAPA",S45,OFFSET(K45,-1,0)))</f>
        <v xml:space="preserve">   ESTUDOS | PROJETOS | CONSULTORIAS</v>
      </c>
      <c r="L45" s="231">
        <f ca="1">IF(B45="ETAPA",0,IF(B45="SUBETAPA",OFFSET(L45,-1,0)+1,OFFSET(L45,-1,0)))</f>
        <v>4</v>
      </c>
      <c r="M45" s="228" t="str">
        <f ca="1">IF(B45="*","",IF(B45="SUBETAPA",S45,OFFSET(M45,-1,0)))</f>
        <v xml:space="preserve">   Controle Tecnológico de Concreto</v>
      </c>
      <c r="N45" s="231">
        <f ca="1">IF(B45="Subetapa",0,IF(B45="serviço",OFFSET(N45,-1,0)+1,OFFSET(N45,-1,0)))</f>
        <v>2</v>
      </c>
      <c r="O45" s="228" t="str">
        <f ca="1">IF(B45="*","",IF(B45="SERVIÇO",S45,OFFSET(O45,-1,0)))</f>
        <v>Controle Tecnológico de Concreto - Supraestrutura</v>
      </c>
      <c r="P45" s="232" t="str">
        <f>IF(S45="","",IF(Orçamento!$B45="INSUMO",S45,""))</f>
        <v/>
      </c>
      <c r="Q45" s="244" t="str">
        <f>IF(B45="","",IF(B45="Serviço",S45,""))</f>
        <v>Controle Tecnológico de Concreto - Supraestrutura</v>
      </c>
      <c r="R45" s="234">
        <f ca="1">IF(B45="serviço",U45,OFFSET(R45,-1,0))</f>
        <v>566</v>
      </c>
      <c r="S45" s="233" t="s">
        <v>941</v>
      </c>
      <c r="T45" s="242" t="s">
        <v>142</v>
      </c>
      <c r="U45" s="235">
        <f>ROUNDUP((U301+U400+U491+U582+U655)/5*6,)</f>
        <v>566</v>
      </c>
      <c r="V45" s="320" t="s">
        <v>35</v>
      </c>
      <c r="W45" s="236" t="str">
        <f>IFERROR(IF(B45="INSUMO",_xlfn.XLOOKUP(S45,Insumos!A:A,Insumos!C:C),""),"Inserir Preço")</f>
        <v/>
      </c>
      <c r="X45" s="235">
        <f ca="1">IF(B45="Complemento do insumo",V45,IF(R45="","",IF(B45="serviço",R45,IF(OR(B45="insumo"),V45*R45,""))))</f>
        <v>566</v>
      </c>
      <c r="Y45" s="236">
        <f t="shared" ca="1" si="24"/>
        <v>23.07</v>
      </c>
      <c r="Z45" s="237">
        <f t="shared" ca="1" si="9"/>
        <v>13057.62</v>
      </c>
      <c r="AA45" s="238"/>
      <c r="AB45" s="233" t="str">
        <f>IF(B45="insumo",_xlfn.XLOOKUP(S45,Insumos!A:A,Insumos!D:D),"")</f>
        <v/>
      </c>
      <c r="AC45" s="239">
        <f t="shared" ca="1" si="10"/>
        <v>1.8732346379921134E-3</v>
      </c>
      <c r="AE45" s="240">
        <f ca="1">IFERROR(IF(OR(Z45="",Z45=0),"",IF(AF45="","",IF(AF45="R$/mês",Z45/OBRA!$D$12,IF(AF45="R$/m²",Z45/OBRA!$D$10,IF(AF45="R$/apto",Orçamento!Z45/OBRA!$D$11,""))))),"")</f>
        <v>6.7195442639317013</v>
      </c>
      <c r="AF45" s="241" t="s">
        <v>154</v>
      </c>
    </row>
    <row r="46" spans="1:32" s="10" customFormat="1" ht="13.15" hidden="1" customHeight="1" outlineLevel="4" x14ac:dyDescent="0.2">
      <c r="A46" s="227"/>
      <c r="B46" s="228" t="s">
        <v>19</v>
      </c>
      <c r="C46" s="229">
        <f t="shared" si="0"/>
        <v>1</v>
      </c>
      <c r="D46" s="227" t="str">
        <f>IF(B46="Unidade Construtiva",TEXT(F46,"00"),IF(B46="Célula Construtiva",TEXT(H46,"00"),IF(B46="Etapa",CONCATENATE(TEXT(H46,"00"),".",TEXT(J46,"000")),IF(B46="Subetapa",CONCATENATE(TEXT(H46,"00"),".",TEXT(J46,"000"),".",TEXT(L46,"000")),IF(B46="Serviço",CONCATENATE(TEXT(H46,"00"),".",TEXT(J46,"000"),".",TEXT(L46,"000"),".",TEXT(N46,"000")),"")))))</f>
        <v/>
      </c>
      <c r="E46" s="228" t="str">
        <f ca="1">IF(B46="*","",IFERROR(IF(B46="SERVIÇO",D46,OFFSET(E46,-1,0)),""))</f>
        <v>01.001.004.002</v>
      </c>
      <c r="F46" s="230">
        <f ca="1">IF($B46="UNIDADE CONSTRUTIVA",OFFSET(F46,-1,0)+1,LARGE(F$10:F45,1))</f>
        <v>1</v>
      </c>
      <c r="G46" s="228" t="str">
        <f ca="1">IF(B46="*","",IF(B46="UNIDADE CONSTRUTIVA",S46,OFFSET(G46,-1,0)))</f>
        <v xml:space="preserve">   GERENCIAMENTO TÉCNICO E ADMINISTRATIVO</v>
      </c>
      <c r="H46" s="230">
        <f ca="1">IF(B46="UNIDADE CONSTRUTIVA",0,IF(B46="CÉLULA CONSTRUTIVA",OFFSET(H46,-1,0)+1,OFFSET(H46,-1,0)))</f>
        <v>1</v>
      </c>
      <c r="I46" s="228" t="str">
        <f ca="1">IF(B46="*","",IF(B46="CÉLULA CONSTRUTIVA",S46,OFFSET(I46,-1,0)))</f>
        <v xml:space="preserve">   GERENCIAMENTO TÉCNICO</v>
      </c>
      <c r="J46" s="230">
        <f ca="1">IF(B46="CÉLULA CONSTRUTIVA",0,IF(B46="ETAPA",OFFSET(J46,-1,0)+1,OFFSET(J46,-1,0)))</f>
        <v>1</v>
      </c>
      <c r="K46" s="228" t="str">
        <f ca="1">IF(B46="*","",IF(B46="ETAPA",S46,OFFSET(K46,-1,0)))</f>
        <v xml:space="preserve">   ESTUDOS | PROJETOS | CONSULTORIAS</v>
      </c>
      <c r="L46" s="231">
        <f ca="1">IF(B46="ETAPA",0,IF(B46="SUBETAPA",OFFSET(L46,-1,0)+1,OFFSET(L46,-1,0)))</f>
        <v>4</v>
      </c>
      <c r="M46" s="228" t="str">
        <f ca="1">IF(B46="*","",IF(B46="SUBETAPA",S46,OFFSET(M46,-1,0)))</f>
        <v xml:space="preserve">   Controle Tecnológico de Concreto</v>
      </c>
      <c r="N46" s="231">
        <f ca="1">IF(B46="Subetapa",0,IF(B46="serviço",OFFSET(N46,-1,0)+1,OFFSET(N46,-1,0)))</f>
        <v>2</v>
      </c>
      <c r="O46" s="228" t="str">
        <f ca="1">IF(B46="*","",IF(B46="SERVIÇO",S46,OFFSET(O46,-1,0)))</f>
        <v>Controle Tecnológico de Concreto - Supraestrutura</v>
      </c>
      <c r="P46" s="232" t="str">
        <f>IF(S46="","",IF(Orçamento!$B46="INSUMO",S46,""))</f>
        <v>CONTROLE TECNOLOGICO DO CONCRETO</v>
      </c>
      <c r="Q46" s="244" t="str">
        <f>IF(B46="","",IF(B46="Serviço",S46,""))</f>
        <v/>
      </c>
      <c r="R46" s="234">
        <f ca="1">IF(B46="serviço",U46,OFFSET(R46,-1,0))</f>
        <v>566</v>
      </c>
      <c r="S46" s="233" t="s">
        <v>231</v>
      </c>
      <c r="T46" s="242" t="str">
        <f>_xlfn.XLOOKUP(S46,Insumos!$A$3:$A$371,Insumos!$B$3:$B$371)</f>
        <v>VB</v>
      </c>
      <c r="U46" s="235">
        <f ca="1">IF($B46="insumo",R46,"")</f>
        <v>566</v>
      </c>
      <c r="V46" s="320">
        <v>1</v>
      </c>
      <c r="W46" s="236">
        <f>IFERROR(IF(B46="INSUMO",_xlfn.XLOOKUP(S46,Insumos!A:A,Insumos!C:C),""),"Inserir Preço")</f>
        <v>23.07</v>
      </c>
      <c r="X46" s="235">
        <f ca="1">IF(B46="Complemento do insumo",V46,IF(R46="","",IF(B46="serviço",R46,IF(OR(B46="insumo"),V46*R46,""))))</f>
        <v>566</v>
      </c>
      <c r="Y46" s="236">
        <f t="shared" si="24"/>
        <v>23.07</v>
      </c>
      <c r="Z46" s="237">
        <f t="shared" ca="1" si="9"/>
        <v>13057.62</v>
      </c>
      <c r="AA46" s="238"/>
      <c r="AB46" s="233" t="str">
        <f>IF(B46="insumo",_xlfn.XLOOKUP(S46,Insumos!A:A,Insumos!D:D),"")</f>
        <v xml:space="preserve"> </v>
      </c>
      <c r="AC46" s="239">
        <f t="shared" ca="1" si="10"/>
        <v>1.8732346379921134E-3</v>
      </c>
      <c r="AE46" s="240">
        <f ca="1">IFERROR(IF(OR(Z46="",Z46=0),"",IF(AF46="","",IF(AF46="R$/mês",Z46/OBRA!$D$12,IF(AF46="R$/m²",Z46/OBRA!$D$10,IF(AF46="R$/apto",Orçamento!Z46/OBRA!$D$11,""))))),"")</f>
        <v>6.7195442639317013</v>
      </c>
      <c r="AF46" s="241" t="s">
        <v>154</v>
      </c>
    </row>
    <row r="47" spans="1:32" s="10" customFormat="1" ht="13.15" customHeight="1" outlineLevel="2" collapsed="1" x14ac:dyDescent="0.2">
      <c r="A47" s="227"/>
      <c r="B47" s="228" t="s">
        <v>2</v>
      </c>
      <c r="C47" s="229" t="str">
        <f t="shared" si="0"/>
        <v/>
      </c>
      <c r="D47" s="227" t="str">
        <f t="shared" ca="1" si="22"/>
        <v>01.002</v>
      </c>
      <c r="E47" s="228" t="str">
        <f t="shared" ca="1" si="17"/>
        <v>01.001.004.002</v>
      </c>
      <c r="F47" s="230">
        <f ca="1">IF($B47="UNIDADE CONSTRUTIVA",OFFSET(F47,-1,0)+1,LARGE(F$10:F46,1))</f>
        <v>1</v>
      </c>
      <c r="G47" s="228" t="str">
        <f t="shared" ca="1" si="1"/>
        <v xml:space="preserve">   GERENCIAMENTO TÉCNICO E ADMINISTRATIVO</v>
      </c>
      <c r="H47" s="230">
        <f t="shared" ca="1" si="18"/>
        <v>1</v>
      </c>
      <c r="I47" s="228" t="str">
        <f t="shared" ca="1" si="2"/>
        <v xml:space="preserve">   GERENCIAMENTO TÉCNICO</v>
      </c>
      <c r="J47" s="230">
        <f t="shared" ca="1" si="19"/>
        <v>2</v>
      </c>
      <c r="K47" s="228" t="str">
        <f t="shared" ca="1" si="3"/>
        <v xml:space="preserve">   TAXAS | DOCUMENTOS</v>
      </c>
      <c r="L47" s="231">
        <f t="shared" ca="1" si="20"/>
        <v>0</v>
      </c>
      <c r="M47" s="228" t="str">
        <f t="shared" ca="1" si="4"/>
        <v xml:space="preserve">   Controle Tecnológico de Concreto</v>
      </c>
      <c r="N47" s="231">
        <f t="shared" ca="1" si="21"/>
        <v>2</v>
      </c>
      <c r="O47" s="228" t="str">
        <f t="shared" ca="1" si="5"/>
        <v>Controle Tecnológico de Concreto - Supraestrutura</v>
      </c>
      <c r="P47" s="232" t="str">
        <f>IF(S47="","",IF(Orçamento!$B47="INSUMO",S47,""))</f>
        <v/>
      </c>
      <c r="Q47" s="244" t="str">
        <f t="shared" si="23"/>
        <v/>
      </c>
      <c r="R47" s="234">
        <f t="shared" ca="1" si="6"/>
        <v>566</v>
      </c>
      <c r="S47" s="233" t="s">
        <v>412</v>
      </c>
      <c r="T47" s="242" t="s">
        <v>35</v>
      </c>
      <c r="U47" s="235" t="str">
        <f t="shared" si="16"/>
        <v/>
      </c>
      <c r="V47" s="320" t="s">
        <v>35</v>
      </c>
      <c r="W47" s="236" t="str">
        <f>IFERROR(IF(B47="INSUMO",_xlfn.XLOOKUP(S47,Insumos!A:A,Insumos!C:C),""),"Inserir Preço")</f>
        <v/>
      </c>
      <c r="X47" s="235" t="str">
        <f t="shared" ca="1" si="7"/>
        <v/>
      </c>
      <c r="Y47" s="236" t="str">
        <f t="shared" si="24"/>
        <v/>
      </c>
      <c r="Z47" s="237">
        <f t="shared" ca="1" si="9"/>
        <v>45818.269325679794</v>
      </c>
      <c r="AA47" s="238"/>
      <c r="AB47" s="233" t="str">
        <f>IF(B47="insumo",_xlfn.XLOOKUP(S47,Insumos!A:A,Insumos!D:D),"")</f>
        <v/>
      </c>
      <c r="AC47" s="239">
        <f t="shared" ca="1" si="10"/>
        <v>6.5730484693010622E-3</v>
      </c>
      <c r="AE47" s="240">
        <f ca="1">IFERROR(IF(OR(Z47="",Z47=0),"",IF(AF47="","",IF(AF47="R$/mês",Z47/OBRA!$D$12,IF(AF47="R$/m²",Z47/OBRA!$D$10,IF(AF47="R$/apto",Orçamento!Z47/OBRA!$D$11,""))))),"")</f>
        <v>23.578407767315138</v>
      </c>
      <c r="AF47" s="241" t="s">
        <v>154</v>
      </c>
    </row>
    <row r="48" spans="1:32" s="10" customFormat="1" ht="13.15" hidden="1" customHeight="1" outlineLevel="3" collapsed="1" x14ac:dyDescent="0.2">
      <c r="A48" s="227"/>
      <c r="B48" s="228" t="s">
        <v>3</v>
      </c>
      <c r="C48" s="229" t="str">
        <f t="shared" si="0"/>
        <v/>
      </c>
      <c r="D48" s="227" t="str">
        <f t="shared" ca="1" si="22"/>
        <v>01.002.001</v>
      </c>
      <c r="E48" s="228" t="str">
        <f t="shared" ca="1" si="17"/>
        <v>01.001.004.002</v>
      </c>
      <c r="F48" s="230">
        <f ca="1">IF($B48="UNIDADE CONSTRUTIVA",OFFSET(F48,-1,0)+1,LARGE(F$10:F47,1))</f>
        <v>1</v>
      </c>
      <c r="G48" s="228" t="str">
        <f t="shared" ca="1" si="1"/>
        <v xml:space="preserve">   GERENCIAMENTO TÉCNICO E ADMINISTRATIVO</v>
      </c>
      <c r="H48" s="230">
        <f t="shared" ca="1" si="18"/>
        <v>1</v>
      </c>
      <c r="I48" s="228" t="str">
        <f t="shared" ca="1" si="2"/>
        <v xml:space="preserve">   GERENCIAMENTO TÉCNICO</v>
      </c>
      <c r="J48" s="230">
        <f t="shared" ca="1" si="19"/>
        <v>2</v>
      </c>
      <c r="K48" s="228" t="str">
        <f t="shared" ca="1" si="3"/>
        <v xml:space="preserve">   TAXAS | DOCUMENTOS</v>
      </c>
      <c r="L48" s="231">
        <f t="shared" ca="1" si="20"/>
        <v>1</v>
      </c>
      <c r="M48" s="228" t="str">
        <f t="shared" ca="1" si="4"/>
        <v xml:space="preserve">   Licenciamento - Taxas - Impostos</v>
      </c>
      <c r="N48" s="231">
        <f t="shared" ca="1" si="21"/>
        <v>0</v>
      </c>
      <c r="O48" s="228" t="str">
        <f t="shared" ca="1" si="5"/>
        <v>Controle Tecnológico de Concreto - Supraestrutura</v>
      </c>
      <c r="P48" s="232" t="str">
        <f>IF(S48="","",IF(Orçamento!$B48="INSUMO",S48,""))</f>
        <v/>
      </c>
      <c r="Q48" s="244" t="str">
        <f t="shared" si="23"/>
        <v/>
      </c>
      <c r="R48" s="234">
        <f t="shared" ca="1" si="6"/>
        <v>566</v>
      </c>
      <c r="S48" s="233" t="s">
        <v>413</v>
      </c>
      <c r="T48" s="242" t="s">
        <v>35</v>
      </c>
      <c r="U48" s="235" t="str">
        <f t="shared" si="16"/>
        <v/>
      </c>
      <c r="V48" s="320" t="s">
        <v>35</v>
      </c>
      <c r="W48" s="236" t="str">
        <f>IFERROR(IF(B48="INSUMO",_xlfn.XLOOKUP(S48,Insumos!A:A,Insumos!C:C),""),"Inserir Preço")</f>
        <v/>
      </c>
      <c r="X48" s="235" t="str">
        <f t="shared" ca="1" si="7"/>
        <v/>
      </c>
      <c r="Y48" s="236" t="str">
        <f t="shared" si="24"/>
        <v/>
      </c>
      <c r="Z48" s="237">
        <f t="shared" ca="1" si="9"/>
        <v>45818.269325679794</v>
      </c>
      <c r="AA48" s="238"/>
      <c r="AB48" s="233" t="str">
        <f>IF(B48="insumo",_xlfn.XLOOKUP(S48,Insumos!A:A,Insumos!D:D),"")</f>
        <v/>
      </c>
      <c r="AC48" s="239">
        <f t="shared" ca="1" si="10"/>
        <v>6.5730484693010622E-3</v>
      </c>
      <c r="AE48" s="240">
        <f ca="1">IFERROR(IF(OR(Z48="",Z48=0),"",IF(AF48="","",IF(AF48="R$/mês",Z48/OBRA!$D$12,IF(AF48="R$/m²",Z48/OBRA!$D$10,IF(AF48="R$/apto",Orçamento!Z48/OBRA!$D$11,""))))),"")</f>
        <v>23.578407767315138</v>
      </c>
      <c r="AF48" s="241" t="s">
        <v>154</v>
      </c>
    </row>
    <row r="49" spans="1:32" s="10" customFormat="1" ht="13.15" hidden="1" customHeight="1" outlineLevel="4" x14ac:dyDescent="0.2">
      <c r="A49" s="227"/>
      <c r="B49" s="228" t="s">
        <v>4</v>
      </c>
      <c r="C49" s="229">
        <f t="shared" si="0"/>
        <v>1</v>
      </c>
      <c r="D49" s="227" t="str">
        <f ca="1">IF(B49="Unidade Construtiva",TEXT(F49,"00"),IF(B49="Célula Construtiva",TEXT(H49,"00"),IF(B49="Etapa",CONCATENATE(TEXT(H49,"00"),".",TEXT(J49,"000")),IF(B49="Subetapa",CONCATENATE(TEXT(H49,"00"),".",TEXT(J49,"000"),".",TEXT(L49,"000")),IF(B49="Serviço",CONCATENATE(TEXT(H49,"00"),".",TEXT(J49,"000"),".",TEXT(L49,"000"),".",TEXT(N49,"000")),"")))))</f>
        <v>01.002.001.001</v>
      </c>
      <c r="E49" s="228" t="str">
        <f ca="1">IF(B49="*","",IFERROR(IF(B49="SERVIÇO",D49,OFFSET(E49,-1,0)),""))</f>
        <v>01.002.001.001</v>
      </c>
      <c r="F49" s="230">
        <f ca="1">IF($B49="UNIDADE CONSTRUTIVA",OFFSET(F49,-1,0)+1,LARGE(F$10:F48,1))</f>
        <v>1</v>
      </c>
      <c r="G49" s="228" t="str">
        <f ca="1">IF(B49="*","",IF(B49="UNIDADE CONSTRUTIVA",S49,OFFSET(G49,-1,0)))</f>
        <v xml:space="preserve">   GERENCIAMENTO TÉCNICO E ADMINISTRATIVO</v>
      </c>
      <c r="H49" s="230">
        <f ca="1">IF(B49="UNIDADE CONSTRUTIVA",0,IF(B49="CÉLULA CONSTRUTIVA",OFFSET(H49,-1,0)+1,OFFSET(H49,-1,0)))</f>
        <v>1</v>
      </c>
      <c r="I49" s="228" t="str">
        <f ca="1">IF(B49="*","",IF(B49="CÉLULA CONSTRUTIVA",S49,OFFSET(I49,-1,0)))</f>
        <v xml:space="preserve">   GERENCIAMENTO TÉCNICO</v>
      </c>
      <c r="J49" s="230">
        <f ca="1">IF(B49="CÉLULA CONSTRUTIVA",0,IF(B49="ETAPA",OFFSET(J49,-1,0)+1,OFFSET(J49,-1,0)))</f>
        <v>2</v>
      </c>
      <c r="K49" s="228" t="str">
        <f ca="1">IF(B49="*","",IF(B49="ETAPA",S49,OFFSET(K49,-1,0)))</f>
        <v xml:space="preserve">   TAXAS | DOCUMENTOS</v>
      </c>
      <c r="L49" s="231">
        <f ca="1">IF(B49="ETAPA",0,IF(B49="SUBETAPA",OFFSET(L49,-1,0)+1,OFFSET(L49,-1,0)))</f>
        <v>1</v>
      </c>
      <c r="M49" s="228" t="str">
        <f ca="1">IF(B49="*","",IF(B49="SUBETAPA",S49,OFFSET(M49,-1,0)))</f>
        <v xml:space="preserve">   Licenciamento - Taxas - Impostos</v>
      </c>
      <c r="N49" s="231">
        <f ca="1">IF(B49="Subetapa",0,IF(B49="serviço",OFFSET(N49,-1,0)+1,OFFSET(N49,-1,0)))</f>
        <v>1</v>
      </c>
      <c r="O49" s="228" t="str">
        <f ca="1">IF(B49="*","",IF(B49="SERVIÇO",S49,OFFSET(O49,-1,0)))</f>
        <v>Despesas certidão INSS</v>
      </c>
      <c r="P49" s="232" t="str">
        <f>IF(S49="","",IF(Orçamento!$B49="INSUMO",S49,""))</f>
        <v/>
      </c>
      <c r="Q49" s="244" t="str">
        <f>IF(B49="","",IF(B49="Serviço",S49,""))</f>
        <v>Despesas certidão INSS</v>
      </c>
      <c r="R49" s="234">
        <f ca="1">IF(B49="serviço",U49,OFFSET(R49,-1,0))</f>
        <v>1</v>
      </c>
      <c r="S49" s="233" t="s">
        <v>588</v>
      </c>
      <c r="T49" s="242" t="s">
        <v>170</v>
      </c>
      <c r="U49" s="235">
        <v>1</v>
      </c>
      <c r="V49" s="320" t="s">
        <v>35</v>
      </c>
      <c r="W49" s="236" t="str">
        <f>IFERROR(IF(B49="INSUMO",_xlfn.XLOOKUP(S49,Insumos!A:A,Insumos!C:C),""),"Inserir Preço")</f>
        <v/>
      </c>
      <c r="X49" s="235">
        <f ca="1">IF(B49="Complemento do insumo",V49,IF(R49="","",IF(B49="serviço",R49,IF(OR(B49="insumo"),V49*R49,""))))</f>
        <v>1</v>
      </c>
      <c r="Y49" s="236">
        <f t="shared" ca="1" si="24"/>
        <v>2111.2724197693183</v>
      </c>
      <c r="Z49" s="237">
        <f t="shared" ca="1" si="9"/>
        <v>2111.2724197693183</v>
      </c>
      <c r="AA49" s="238"/>
      <c r="AB49" s="233" t="str">
        <f>IF(B49="insumo",_xlfn.XLOOKUP(S49,Insumos!A:A,Insumos!D:D),"")</f>
        <v/>
      </c>
      <c r="AC49" s="239">
        <f t="shared" ca="1" si="10"/>
        <v>3.0288127751836182E-4</v>
      </c>
      <c r="AE49" s="240">
        <f ca="1">IFERROR(IF(OR(Z49="",Z49=0),"",IF(AF49="","",IF(AF49="R$/mês",Z49/OBRA!$D$12,IF(AF49="R$/m²",Z49/OBRA!$D$10,IF(AF49="R$/apto",Orçamento!Z49/OBRA!$D$11,""))))),"")</f>
        <v>1.0864758262116776</v>
      </c>
      <c r="AF49" s="241" t="s">
        <v>154</v>
      </c>
    </row>
    <row r="50" spans="1:32" s="10" customFormat="1" ht="13.15" hidden="1" customHeight="1" outlineLevel="4" x14ac:dyDescent="0.2">
      <c r="A50" s="227"/>
      <c r="B50" s="228" t="s">
        <v>19</v>
      </c>
      <c r="C50" s="229">
        <f t="shared" si="0"/>
        <v>1</v>
      </c>
      <c r="D50" s="227" t="str">
        <f>IF(B50="Unidade Construtiva",TEXT(F50,"00"),IF(B50="Célula Construtiva",TEXT(H50,"00"),IF(B50="Etapa",CONCATENATE(TEXT(H50,"00"),".",TEXT(J50,"000")),IF(B50="Subetapa",CONCATENATE(TEXT(H50,"00"),".",TEXT(J50,"000"),".",TEXT(L50,"000")),IF(B50="Serviço",CONCATENATE(TEXT(H50,"00"),".",TEXT(J50,"000"),".",TEXT(L50,"000"),".",TEXT(N50,"000")),"")))))</f>
        <v/>
      </c>
      <c r="E50" s="228" t="str">
        <f ca="1">IF(B50="*","",IFERROR(IF(B50="SERVIÇO",D50,OFFSET(E50,-1,0)),""))</f>
        <v>01.002.001.001</v>
      </c>
      <c r="F50" s="230">
        <f ca="1">IF($B50="UNIDADE CONSTRUTIVA",OFFSET(F50,-1,0)+1,LARGE(F$10:F49,1))</f>
        <v>1</v>
      </c>
      <c r="G50" s="228" t="str">
        <f ca="1">IF(B50="*","",IF(B50="UNIDADE CONSTRUTIVA",S50,OFFSET(G50,-1,0)))</f>
        <v xml:space="preserve">   GERENCIAMENTO TÉCNICO E ADMINISTRATIVO</v>
      </c>
      <c r="H50" s="230">
        <f ca="1">IF(B50="UNIDADE CONSTRUTIVA",0,IF(B50="CÉLULA CONSTRUTIVA",OFFSET(H50,-1,0)+1,OFFSET(H50,-1,0)))</f>
        <v>1</v>
      </c>
      <c r="I50" s="228" t="str">
        <f ca="1">IF(B50="*","",IF(B50="CÉLULA CONSTRUTIVA",S50,OFFSET(I50,-1,0)))</f>
        <v xml:space="preserve">   GERENCIAMENTO TÉCNICO</v>
      </c>
      <c r="J50" s="230">
        <f ca="1">IF(B50="CÉLULA CONSTRUTIVA",0,IF(B50="ETAPA",OFFSET(J50,-1,0)+1,OFFSET(J50,-1,0)))</f>
        <v>2</v>
      </c>
      <c r="K50" s="228" t="str">
        <f ca="1">IF(B50="*","",IF(B50="ETAPA",S50,OFFSET(K50,-1,0)))</f>
        <v xml:space="preserve">   TAXAS | DOCUMENTOS</v>
      </c>
      <c r="L50" s="231">
        <f ca="1">IF(B50="ETAPA",0,IF(B50="SUBETAPA",OFFSET(L50,-1,0)+1,OFFSET(L50,-1,0)))</f>
        <v>1</v>
      </c>
      <c r="M50" s="228" t="str">
        <f ca="1">IF(B50="*","",IF(B50="SUBETAPA",S50,OFFSET(M50,-1,0)))</f>
        <v xml:space="preserve">   Licenciamento - Taxas - Impostos</v>
      </c>
      <c r="N50" s="231">
        <f ca="1">IF(B50="Subetapa",0,IF(B50="serviço",OFFSET(N50,-1,0)+1,OFFSET(N50,-1,0)))</f>
        <v>1</v>
      </c>
      <c r="O50" s="228" t="str">
        <f ca="1">IF(B50="*","",IF(B50="SERVIÇO",S50,OFFSET(O50,-1,0)))</f>
        <v>Despesas certidão INSS</v>
      </c>
      <c r="P50" s="232" t="str">
        <f>IF(S50="","",IF(Orçamento!$B50="INSUMO",S50,""))</f>
        <v>Certidão INSS</v>
      </c>
      <c r="Q50" s="244" t="str">
        <f>IF(B50="","",IF(B50="Serviço",S50,""))</f>
        <v/>
      </c>
      <c r="R50" s="234">
        <f ca="1">IF(B50="serviço",U50,OFFSET(R50,-1,0))</f>
        <v>1</v>
      </c>
      <c r="S50" s="233" t="s">
        <v>590</v>
      </c>
      <c r="T50" s="242" t="str">
        <f>_xlfn.XLOOKUP(S50,Insumos!$A$3:$A$371,Insumos!$B$3:$B$371)</f>
        <v>VB</v>
      </c>
      <c r="U50" s="235">
        <f t="shared" ca="1" si="16"/>
        <v>1</v>
      </c>
      <c r="V50" s="320">
        <v>1</v>
      </c>
      <c r="W50" s="236">
        <f>IFERROR(IF(B50="INSUMO",_xlfn.XLOOKUP(S50,Insumos!A:A,Insumos!C:C),""),"Inserir Preço")</f>
        <v>2111.2724197693183</v>
      </c>
      <c r="X50" s="235">
        <f t="shared" ca="1" si="7"/>
        <v>1</v>
      </c>
      <c r="Y50" s="236">
        <f t="shared" si="24"/>
        <v>2111.2724197693183</v>
      </c>
      <c r="Z50" s="237">
        <f t="shared" ca="1" si="9"/>
        <v>2111.2724197693183</v>
      </c>
      <c r="AA50" s="238"/>
      <c r="AB50" s="233" t="str">
        <f>IF(B50="insumo",_xlfn.XLOOKUP(S50,Insumos!A:A,Insumos!D:D),"")</f>
        <v>Base de dados</v>
      </c>
      <c r="AC50" s="239">
        <f t="shared" ca="1" si="10"/>
        <v>3.0288127751836182E-4</v>
      </c>
      <c r="AE50" s="240">
        <f ca="1">IFERROR(IF(OR(Z50="",Z50=0),"",IF(AF50="","",IF(AF50="R$/mês",Z50/OBRA!$D$12,IF(AF50="R$/m²",Z50/OBRA!$D$10,IF(AF50="R$/apto",Orçamento!Z50/OBRA!$D$11,""))))),"")</f>
        <v>1.0864758262116776</v>
      </c>
      <c r="AF50" s="241" t="s">
        <v>154</v>
      </c>
    </row>
    <row r="51" spans="1:32" s="10" customFormat="1" ht="13.15" hidden="1" customHeight="1" outlineLevel="4" x14ac:dyDescent="0.2">
      <c r="A51" s="227"/>
      <c r="B51" s="228" t="s">
        <v>4</v>
      </c>
      <c r="C51" s="229">
        <f t="shared" si="0"/>
        <v>1</v>
      </c>
      <c r="D51" s="227" t="str">
        <f t="shared" ca="1" si="22"/>
        <v>01.002.001.002</v>
      </c>
      <c r="E51" s="228" t="str">
        <f t="shared" ca="1" si="17"/>
        <v>01.002.001.002</v>
      </c>
      <c r="F51" s="230">
        <f ca="1">IF($B51="UNIDADE CONSTRUTIVA",OFFSET(F51,-1,0)+1,LARGE(F$10:F50,1))</f>
        <v>1</v>
      </c>
      <c r="G51" s="228" t="str">
        <f t="shared" ca="1" si="1"/>
        <v xml:space="preserve">   GERENCIAMENTO TÉCNICO E ADMINISTRATIVO</v>
      </c>
      <c r="H51" s="230">
        <f t="shared" ca="1" si="18"/>
        <v>1</v>
      </c>
      <c r="I51" s="228" t="str">
        <f t="shared" ca="1" si="2"/>
        <v xml:space="preserve">   GERENCIAMENTO TÉCNICO</v>
      </c>
      <c r="J51" s="230">
        <f t="shared" ca="1" si="19"/>
        <v>2</v>
      </c>
      <c r="K51" s="228" t="str">
        <f t="shared" ca="1" si="3"/>
        <v xml:space="preserve">   TAXAS | DOCUMENTOS</v>
      </c>
      <c r="L51" s="231">
        <f t="shared" ca="1" si="20"/>
        <v>1</v>
      </c>
      <c r="M51" s="228" t="str">
        <f t="shared" ca="1" si="4"/>
        <v xml:space="preserve">   Licenciamento - Taxas - Impostos</v>
      </c>
      <c r="N51" s="231">
        <f t="shared" ca="1" si="21"/>
        <v>2</v>
      </c>
      <c r="O51" s="228" t="str">
        <f t="shared" ca="1" si="5"/>
        <v>Despesas cartorio e juridicas</v>
      </c>
      <c r="P51" s="232" t="str">
        <f>IF(S51="","",IF(Orçamento!$B51="INSUMO",S51,""))</f>
        <v/>
      </c>
      <c r="Q51" s="244" t="str">
        <f t="shared" si="23"/>
        <v>Despesas cartorio e juridicas</v>
      </c>
      <c r="R51" s="234">
        <f t="shared" ca="1" si="6"/>
        <v>1</v>
      </c>
      <c r="S51" s="233" t="s">
        <v>402</v>
      </c>
      <c r="T51" s="242" t="s">
        <v>170</v>
      </c>
      <c r="U51" s="235">
        <v>1</v>
      </c>
      <c r="V51" s="320" t="s">
        <v>35</v>
      </c>
      <c r="W51" s="236" t="str">
        <f>IFERROR(IF(B51="INSUMO",_xlfn.XLOOKUP(S51,Insumos!A:A,Insumos!C:C),""),"Inserir Preço")</f>
        <v/>
      </c>
      <c r="X51" s="235">
        <f t="shared" ca="1" si="7"/>
        <v>1</v>
      </c>
      <c r="Y51" s="236">
        <f t="shared" ca="1" si="24"/>
        <v>6916.85</v>
      </c>
      <c r="Z51" s="237">
        <f t="shared" ca="1" si="9"/>
        <v>6916.85</v>
      </c>
      <c r="AA51" s="238"/>
      <c r="AB51" s="233" t="str">
        <f>IF(B51="insumo",_xlfn.XLOOKUP(S51,Insumos!A:A,Insumos!D:D),"")</f>
        <v/>
      </c>
      <c r="AC51" s="239">
        <f t="shared" ca="1" si="10"/>
        <v>9.922851948360996E-4</v>
      </c>
      <c r="AE51" s="240">
        <f ca="1">IFERROR(IF(OR(Z51="",Z51=0),"",IF(AF51="","",IF(AF51="R$/mês",Z51/OBRA!$D$12,IF(AF51="R$/m²",Z51/OBRA!$D$10,IF(AF51="R$/apto",Orçamento!Z51/OBRA!$D$11,""))))),"")</f>
        <v>3.5594602800491968</v>
      </c>
      <c r="AF51" s="241" t="s">
        <v>154</v>
      </c>
    </row>
    <row r="52" spans="1:32" s="10" customFormat="1" ht="13.15" hidden="1" customHeight="1" outlineLevel="4" x14ac:dyDescent="0.2">
      <c r="A52" s="227"/>
      <c r="B52" s="228" t="s">
        <v>19</v>
      </c>
      <c r="C52" s="229">
        <f t="shared" si="0"/>
        <v>1</v>
      </c>
      <c r="D52" s="227" t="str">
        <f t="shared" si="22"/>
        <v/>
      </c>
      <c r="E52" s="228" t="str">
        <f t="shared" ca="1" si="17"/>
        <v>01.002.001.002</v>
      </c>
      <c r="F52" s="230">
        <f ca="1">IF($B52="UNIDADE CONSTRUTIVA",OFFSET(F52,-1,0)+1,LARGE(F$10:F51,1))</f>
        <v>1</v>
      </c>
      <c r="G52" s="228" t="str">
        <f t="shared" ca="1" si="1"/>
        <v xml:space="preserve">   GERENCIAMENTO TÉCNICO E ADMINISTRATIVO</v>
      </c>
      <c r="H52" s="230">
        <f t="shared" ca="1" si="18"/>
        <v>1</v>
      </c>
      <c r="I52" s="228" t="str">
        <f t="shared" ca="1" si="2"/>
        <v xml:space="preserve">   GERENCIAMENTO TÉCNICO</v>
      </c>
      <c r="J52" s="230">
        <f t="shared" ca="1" si="19"/>
        <v>2</v>
      </c>
      <c r="K52" s="228" t="str">
        <f t="shared" ca="1" si="3"/>
        <v xml:space="preserve">   TAXAS | DOCUMENTOS</v>
      </c>
      <c r="L52" s="231">
        <f t="shared" ca="1" si="20"/>
        <v>1</v>
      </c>
      <c r="M52" s="228" t="str">
        <f t="shared" ca="1" si="4"/>
        <v xml:space="preserve">   Licenciamento - Taxas - Impostos</v>
      </c>
      <c r="N52" s="231">
        <f t="shared" ca="1" si="21"/>
        <v>2</v>
      </c>
      <c r="O52" s="228" t="str">
        <f t="shared" ca="1" si="5"/>
        <v>Despesas cartorio e juridicas</v>
      </c>
      <c r="P52" s="232" t="str">
        <f>IF(S52="","",IF(Orçamento!$B52="INSUMO",S52,""))</f>
        <v>Despesas de cartório, licenças, certidões e jurídicas</v>
      </c>
      <c r="Q52" s="244" t="str">
        <f t="shared" si="23"/>
        <v/>
      </c>
      <c r="R52" s="234">
        <f t="shared" ca="1" si="6"/>
        <v>1</v>
      </c>
      <c r="S52" s="233" t="s">
        <v>585</v>
      </c>
      <c r="T52" s="242" t="str">
        <f>_xlfn.XLOOKUP(S52,Insumos!$A$3:$A$371,Insumos!$B$3:$B$371)</f>
        <v>VB</v>
      </c>
      <c r="U52" s="235">
        <f t="shared" ca="1" si="16"/>
        <v>1</v>
      </c>
      <c r="V52" s="320">
        <v>1</v>
      </c>
      <c r="W52" s="236">
        <f>IFERROR(IF(B52="INSUMO",_xlfn.XLOOKUP(S52,Insumos!A:A,Insumos!C:C),""),"Inserir Preço")</f>
        <v>6916.85</v>
      </c>
      <c r="X52" s="235">
        <f t="shared" ca="1" si="7"/>
        <v>1</v>
      </c>
      <c r="Y52" s="236">
        <f t="shared" si="24"/>
        <v>6916.85</v>
      </c>
      <c r="Z52" s="237">
        <f t="shared" ca="1" si="9"/>
        <v>6916.85</v>
      </c>
      <c r="AA52" s="238"/>
      <c r="AB52" s="233" t="str">
        <f>IF(B52="insumo",_xlfn.XLOOKUP(S52,Insumos!A:A,Insumos!D:D),"")</f>
        <v>Recebido Cliente</v>
      </c>
      <c r="AC52" s="239">
        <f t="shared" ca="1" si="10"/>
        <v>9.922851948360996E-4</v>
      </c>
      <c r="AE52" s="240">
        <f ca="1">IFERROR(IF(OR(Z52="",Z52=0),"",IF(AF52="","",IF(AF52="R$/mês",Z52/OBRA!$D$12,IF(AF52="R$/m²",Z52/OBRA!$D$10,IF(AF52="R$/apto",Orçamento!Z52/OBRA!$D$11,""))))),"")</f>
        <v>3.5594602800491968</v>
      </c>
      <c r="AF52" s="241" t="s">
        <v>154</v>
      </c>
    </row>
    <row r="53" spans="1:32" s="10" customFormat="1" ht="13.15" hidden="1" customHeight="1" outlineLevel="4" x14ac:dyDescent="0.2">
      <c r="A53" s="227"/>
      <c r="B53" s="228" t="s">
        <v>4</v>
      </c>
      <c r="C53" s="229">
        <f t="shared" si="0"/>
        <v>1</v>
      </c>
      <c r="D53" s="227" t="str">
        <f t="shared" ca="1" si="22"/>
        <v>01.002.001.003</v>
      </c>
      <c r="E53" s="228" t="str">
        <f t="shared" ca="1" si="17"/>
        <v>01.002.001.003</v>
      </c>
      <c r="F53" s="230">
        <f ca="1">IF($B53="UNIDADE CONSTRUTIVA",OFFSET(F53,-1,0)+1,LARGE(F$10:F52,1))</f>
        <v>1</v>
      </c>
      <c r="G53" s="228" t="str">
        <f t="shared" ca="1" si="1"/>
        <v xml:space="preserve">   GERENCIAMENTO TÉCNICO E ADMINISTRATIVO</v>
      </c>
      <c r="H53" s="230">
        <f t="shared" ca="1" si="18"/>
        <v>1</v>
      </c>
      <c r="I53" s="228" t="str">
        <f t="shared" ca="1" si="2"/>
        <v xml:space="preserve">   GERENCIAMENTO TÉCNICO</v>
      </c>
      <c r="J53" s="230">
        <f t="shared" ca="1" si="19"/>
        <v>2</v>
      </c>
      <c r="K53" s="228" t="str">
        <f t="shared" ca="1" si="3"/>
        <v xml:space="preserve">   TAXAS | DOCUMENTOS</v>
      </c>
      <c r="L53" s="231">
        <f t="shared" ca="1" si="20"/>
        <v>1</v>
      </c>
      <c r="M53" s="228" t="str">
        <f t="shared" ca="1" si="4"/>
        <v xml:space="preserve">   Licenciamento - Taxas - Impostos</v>
      </c>
      <c r="N53" s="231">
        <f t="shared" ca="1" si="21"/>
        <v>3</v>
      </c>
      <c r="O53" s="228" t="str">
        <f t="shared" ca="1" si="5"/>
        <v>Taxas de ART e RRT</v>
      </c>
      <c r="P53" s="232" t="str">
        <f>IF(S53="","",IF(Orçamento!$B53="INSUMO",S53,""))</f>
        <v/>
      </c>
      <c r="Q53" s="244" t="str">
        <f t="shared" si="23"/>
        <v>Taxas de ART e RRT</v>
      </c>
      <c r="R53" s="234">
        <f t="shared" ca="1" si="6"/>
        <v>1</v>
      </c>
      <c r="S53" s="233" t="s">
        <v>381</v>
      </c>
      <c r="T53" s="242" t="s">
        <v>170</v>
      </c>
      <c r="U53" s="235">
        <v>1</v>
      </c>
      <c r="V53" s="320" t="s">
        <v>35</v>
      </c>
      <c r="W53" s="236" t="str">
        <f>IFERROR(IF(B53="INSUMO",_xlfn.XLOOKUP(S53,Insumos!A:A,Insumos!C:C),""),"Inserir Preço")</f>
        <v/>
      </c>
      <c r="X53" s="235">
        <f t="shared" ca="1" si="7"/>
        <v>1</v>
      </c>
      <c r="Y53" s="236">
        <f t="shared" ca="1" si="24"/>
        <v>2250</v>
      </c>
      <c r="Z53" s="237">
        <f t="shared" ca="1" si="9"/>
        <v>2250</v>
      </c>
      <c r="AA53" s="238"/>
      <c r="AB53" s="233" t="str">
        <f>IF(B53="insumo",_xlfn.XLOOKUP(S53,Insumos!A:A,Insumos!D:D),"")</f>
        <v/>
      </c>
      <c r="AC53" s="239">
        <f t="shared" ca="1" si="10"/>
        <v>3.2278301371017497E-4</v>
      </c>
      <c r="AE53" s="240">
        <f ca="1">IFERROR(IF(OR(Z53="",Z53=0),"",IF(AF53="","",IF(AF53="R$/mês",Z53/OBRA!$D$12,IF(AF53="R$/m²",Z53/OBRA!$D$10,IF(AF53="R$/apto",Orçamento!Z53/OBRA!$D$11,""))))),"")</f>
        <v>1.1578660271815482</v>
      </c>
      <c r="AF53" s="241" t="s">
        <v>154</v>
      </c>
    </row>
    <row r="54" spans="1:32" s="10" customFormat="1" ht="13.15" hidden="1" customHeight="1" outlineLevel="4" x14ac:dyDescent="0.2">
      <c r="A54" s="227"/>
      <c r="B54" s="228" t="s">
        <v>19</v>
      </c>
      <c r="C54" s="229">
        <f t="shared" si="0"/>
        <v>1</v>
      </c>
      <c r="D54" s="227" t="str">
        <f t="shared" si="22"/>
        <v/>
      </c>
      <c r="E54" s="228" t="str">
        <f t="shared" ca="1" si="17"/>
        <v>01.002.001.003</v>
      </c>
      <c r="F54" s="230">
        <f ca="1">IF($B54="UNIDADE CONSTRUTIVA",OFFSET(F54,-1,0)+1,LARGE(F$10:F53,1))</f>
        <v>1</v>
      </c>
      <c r="G54" s="228" t="str">
        <f t="shared" ca="1" si="1"/>
        <v xml:space="preserve">   GERENCIAMENTO TÉCNICO E ADMINISTRATIVO</v>
      </c>
      <c r="H54" s="230">
        <f t="shared" ca="1" si="18"/>
        <v>1</v>
      </c>
      <c r="I54" s="228" t="str">
        <f t="shared" ca="1" si="2"/>
        <v xml:space="preserve">   GERENCIAMENTO TÉCNICO</v>
      </c>
      <c r="J54" s="230">
        <f t="shared" ca="1" si="19"/>
        <v>2</v>
      </c>
      <c r="K54" s="228" t="str">
        <f t="shared" ca="1" si="3"/>
        <v xml:space="preserve">   TAXAS | DOCUMENTOS</v>
      </c>
      <c r="L54" s="231">
        <f t="shared" ca="1" si="20"/>
        <v>1</v>
      </c>
      <c r="M54" s="228" t="str">
        <f t="shared" ca="1" si="4"/>
        <v xml:space="preserve">   Licenciamento - Taxas - Impostos</v>
      </c>
      <c r="N54" s="231">
        <f t="shared" ca="1" si="21"/>
        <v>3</v>
      </c>
      <c r="O54" s="228" t="str">
        <f t="shared" ca="1" si="5"/>
        <v>Taxas de ART e RRT</v>
      </c>
      <c r="P54" s="232" t="str">
        <f>IF(S54="","",IF(Orçamento!$B54="INSUMO",S54,""))</f>
        <v>Taxas de ART e RRT</v>
      </c>
      <c r="Q54" s="244" t="str">
        <f t="shared" si="23"/>
        <v/>
      </c>
      <c r="R54" s="234">
        <f t="shared" ca="1" si="6"/>
        <v>1</v>
      </c>
      <c r="S54" s="233" t="s">
        <v>381</v>
      </c>
      <c r="T54" s="242" t="str">
        <f>_xlfn.XLOOKUP(S54,Insumos!$A$3:$A$371,Insumos!$B$3:$B$371)</f>
        <v>VB</v>
      </c>
      <c r="U54" s="235">
        <f t="shared" ca="1" si="16"/>
        <v>1</v>
      </c>
      <c r="V54" s="320">
        <v>1</v>
      </c>
      <c r="W54" s="236">
        <f>IFERROR(IF(B54="INSUMO",_xlfn.XLOOKUP(S54,Insumos!A:A,Insumos!C:C),""),"Inserir Preço")</f>
        <v>2250</v>
      </c>
      <c r="X54" s="235">
        <f t="shared" ca="1" si="7"/>
        <v>1</v>
      </c>
      <c r="Y54" s="236">
        <f t="shared" si="24"/>
        <v>2250</v>
      </c>
      <c r="Z54" s="237">
        <f t="shared" ca="1" si="9"/>
        <v>2250</v>
      </c>
      <c r="AA54" s="238"/>
      <c r="AB54" s="233" t="str">
        <f>IF(B54="insumo",_xlfn.XLOOKUP(S54,Insumos!A:A,Insumos!D:D),"")</f>
        <v>Recebido Cliente</v>
      </c>
      <c r="AC54" s="239">
        <f t="shared" ca="1" si="10"/>
        <v>3.2278301371017497E-4</v>
      </c>
      <c r="AE54" s="240">
        <f ca="1">IFERROR(IF(OR(Z54="",Z54=0),"",IF(AF54="","",IF(AF54="R$/mês",Z54/OBRA!$D$12,IF(AF54="R$/m²",Z54/OBRA!$D$10,IF(AF54="R$/apto",Orçamento!Z54/OBRA!$D$11,""))))),"")</f>
        <v>1.1578660271815482</v>
      </c>
      <c r="AF54" s="241" t="s">
        <v>154</v>
      </c>
    </row>
    <row r="55" spans="1:32" s="10" customFormat="1" ht="13.15" hidden="1" customHeight="1" outlineLevel="4" x14ac:dyDescent="0.2">
      <c r="A55" s="227"/>
      <c r="B55" s="228" t="s">
        <v>4</v>
      </c>
      <c r="C55" s="229">
        <f t="shared" si="0"/>
        <v>1</v>
      </c>
      <c r="D55" s="227" t="str">
        <f t="shared" ca="1" si="22"/>
        <v>01.002.001.004</v>
      </c>
      <c r="E55" s="228" t="str">
        <f t="shared" ca="1" si="17"/>
        <v>01.002.001.004</v>
      </c>
      <c r="F55" s="230">
        <f ca="1">IF($B55="UNIDADE CONSTRUTIVA",OFFSET(F55,-1,0)+1,LARGE(F$10:F54,1))</f>
        <v>1</v>
      </c>
      <c r="G55" s="228" t="str">
        <f t="shared" ca="1" si="1"/>
        <v xml:space="preserve">   GERENCIAMENTO TÉCNICO E ADMINISTRATIVO</v>
      </c>
      <c r="H55" s="230">
        <f t="shared" ca="1" si="18"/>
        <v>1</v>
      </c>
      <c r="I55" s="228" t="str">
        <f t="shared" ca="1" si="2"/>
        <v xml:space="preserve">   GERENCIAMENTO TÉCNICO</v>
      </c>
      <c r="J55" s="230">
        <f t="shared" ca="1" si="19"/>
        <v>2</v>
      </c>
      <c r="K55" s="228" t="str">
        <f t="shared" ca="1" si="3"/>
        <v xml:space="preserve">   TAXAS | DOCUMENTOS</v>
      </c>
      <c r="L55" s="231">
        <f t="shared" ca="1" si="20"/>
        <v>1</v>
      </c>
      <c r="M55" s="228" t="str">
        <f t="shared" ca="1" si="4"/>
        <v xml:space="preserve">   Licenciamento - Taxas - Impostos</v>
      </c>
      <c r="N55" s="231">
        <f t="shared" ca="1" si="21"/>
        <v>4</v>
      </c>
      <c r="O55" s="228" t="str">
        <f t="shared" ca="1" si="5"/>
        <v>IPTU</v>
      </c>
      <c r="P55" s="232" t="str">
        <f>IF(S55="","",IF(Orçamento!$B55="INSUMO",S55,""))</f>
        <v/>
      </c>
      <c r="Q55" s="244" t="str">
        <f t="shared" si="23"/>
        <v>IPTU</v>
      </c>
      <c r="R55" s="234">
        <f t="shared" ca="1" si="6"/>
        <v>1</v>
      </c>
      <c r="S55" s="233" t="s">
        <v>145</v>
      </c>
      <c r="T55" s="242" t="s">
        <v>170</v>
      </c>
      <c r="U55" s="235">
        <v>1</v>
      </c>
      <c r="V55" s="320" t="s">
        <v>35</v>
      </c>
      <c r="W55" s="236" t="str">
        <f>IFERROR(IF(B55="INSUMO",_xlfn.XLOOKUP(S55,Insumos!A:A,Insumos!C:C),""),"Inserir Preço")</f>
        <v/>
      </c>
      <c r="X55" s="235">
        <f t="shared" ca="1" si="7"/>
        <v>1</v>
      </c>
      <c r="Y55" s="236">
        <f t="shared" ca="1" si="24"/>
        <v>7000</v>
      </c>
      <c r="Z55" s="237">
        <f t="shared" ca="1" si="9"/>
        <v>7000</v>
      </c>
      <c r="AA55" s="238"/>
      <c r="AB55" s="233" t="str">
        <f>IF(B55="insumo",_xlfn.XLOOKUP(S55,Insumos!A:A,Insumos!D:D),"")</f>
        <v/>
      </c>
      <c r="AC55" s="239">
        <f t="shared" ca="1" si="10"/>
        <v>1.0042138204316554E-3</v>
      </c>
      <c r="AE55" s="240">
        <f ca="1">IFERROR(IF(OR(Z55="",Z55=0),"",IF(AF55="","",IF(AF55="R$/mês",Z55/OBRA!$D$12,IF(AF55="R$/m²",Z55/OBRA!$D$10,IF(AF55="R$/apto",Orçamento!Z55/OBRA!$D$11,""))))),"")</f>
        <v>3.6022498623425947</v>
      </c>
      <c r="AF55" s="241" t="s">
        <v>154</v>
      </c>
    </row>
    <row r="56" spans="1:32" s="10" customFormat="1" ht="13.15" hidden="1" customHeight="1" outlineLevel="4" x14ac:dyDescent="0.2">
      <c r="A56" s="227"/>
      <c r="B56" s="228" t="s">
        <v>19</v>
      </c>
      <c r="C56" s="229">
        <f t="shared" si="0"/>
        <v>1</v>
      </c>
      <c r="D56" s="227" t="str">
        <f t="shared" si="22"/>
        <v/>
      </c>
      <c r="E56" s="228" t="str">
        <f t="shared" ref="E56:E113" ca="1" si="25">IF(B56="*","",IFERROR(IF(B56="SERVIÇO",D56,OFFSET(E56,-1,0)),""))</f>
        <v>01.002.001.004</v>
      </c>
      <c r="F56" s="230">
        <f ca="1">IF($B56="UNIDADE CONSTRUTIVA",OFFSET(F56,-1,0)+1,LARGE(F$10:F55,1))</f>
        <v>1</v>
      </c>
      <c r="G56" s="228" t="str">
        <f t="shared" ref="G56:G113" ca="1" si="26">IF(B56="*","",IF(B56="UNIDADE CONSTRUTIVA",S56,OFFSET(G56,-1,0)))</f>
        <v xml:space="preserve">   GERENCIAMENTO TÉCNICO E ADMINISTRATIVO</v>
      </c>
      <c r="H56" s="230">
        <f t="shared" ref="H56:H113" ca="1" si="27">IF(B56="UNIDADE CONSTRUTIVA",0,IF(B56="CÉLULA CONSTRUTIVA",OFFSET(H56,-1,0)+1,OFFSET(H56,-1,0)))</f>
        <v>1</v>
      </c>
      <c r="I56" s="228" t="str">
        <f t="shared" ref="I56:I113" ca="1" si="28">IF(B56="*","",IF(B56="CÉLULA CONSTRUTIVA",S56,OFFSET(I56,-1,0)))</f>
        <v xml:space="preserve">   GERENCIAMENTO TÉCNICO</v>
      </c>
      <c r="J56" s="230">
        <f t="shared" ref="J56:J113" ca="1" si="29">IF(B56="CÉLULA CONSTRUTIVA",0,IF(B56="ETAPA",OFFSET(J56,-1,0)+1,OFFSET(J56,-1,0)))</f>
        <v>2</v>
      </c>
      <c r="K56" s="228" t="str">
        <f t="shared" ref="K56:K113" ca="1" si="30">IF(B56="*","",IF(B56="ETAPA",S56,OFFSET(K56,-1,0)))</f>
        <v xml:space="preserve">   TAXAS | DOCUMENTOS</v>
      </c>
      <c r="L56" s="231">
        <f t="shared" ref="L56:L113" ca="1" si="31">IF(B56="ETAPA",0,IF(B56="SUBETAPA",OFFSET(L56,-1,0)+1,OFFSET(L56,-1,0)))</f>
        <v>1</v>
      </c>
      <c r="M56" s="228" t="str">
        <f t="shared" ref="M56:M113" ca="1" si="32">IF(B56="*","",IF(B56="SUBETAPA",S56,OFFSET(M56,-1,0)))</f>
        <v xml:space="preserve">   Licenciamento - Taxas - Impostos</v>
      </c>
      <c r="N56" s="231">
        <f t="shared" ref="N56:N113" ca="1" si="33">IF(B56="Subetapa",0,IF(B56="serviço",OFFSET(N56,-1,0)+1,OFFSET(N56,-1,0)))</f>
        <v>4</v>
      </c>
      <c r="O56" s="228" t="str">
        <f t="shared" ref="O56:O113" ca="1" si="34">IF(B56="*","",IF(B56="SERVIÇO",S56,OFFSET(O56,-1,0)))</f>
        <v>IPTU</v>
      </c>
      <c r="P56" s="232" t="str">
        <f>IF(S56="","",IF(Orçamento!$B56="INSUMO",S56,""))</f>
        <v>IPTU - IMPOSTO PREDIAL E TERRITORIAL URBANO</v>
      </c>
      <c r="Q56" s="244" t="str">
        <f t="shared" si="23"/>
        <v/>
      </c>
      <c r="R56" s="234">
        <f t="shared" ref="R56:R114" ca="1" si="35">IF(B56="serviço",U56,OFFSET(R56,-1,0))</f>
        <v>1</v>
      </c>
      <c r="S56" s="233" t="s">
        <v>361</v>
      </c>
      <c r="T56" s="242" t="str">
        <f>_xlfn.XLOOKUP(S56,Insumos!$A$3:$A$371,Insumos!$B$3:$B$371)</f>
        <v>VB</v>
      </c>
      <c r="U56" s="235">
        <f t="shared" ca="1" si="16"/>
        <v>1</v>
      </c>
      <c r="V56" s="320">
        <v>1</v>
      </c>
      <c r="W56" s="236">
        <f>IFERROR(IF(B56="INSUMO",_xlfn.XLOOKUP(S56,Insumos!A:A,Insumos!C:C),""),"Inserir Preço")</f>
        <v>7000</v>
      </c>
      <c r="X56" s="235">
        <f t="shared" ca="1" si="7"/>
        <v>1</v>
      </c>
      <c r="Y56" s="236">
        <f t="shared" si="24"/>
        <v>7000</v>
      </c>
      <c r="Z56" s="237">
        <f t="shared" ca="1" si="9"/>
        <v>7000</v>
      </c>
      <c r="AA56" s="238"/>
      <c r="AB56" s="233" t="str">
        <f>IF(B56="insumo",_xlfn.XLOOKUP(S56,Insumos!A:A,Insumos!D:D),"")</f>
        <v>Recebido Cliente</v>
      </c>
      <c r="AC56" s="239">
        <f t="shared" ca="1" si="10"/>
        <v>1.0042138204316554E-3</v>
      </c>
      <c r="AE56" s="240">
        <f ca="1">IFERROR(IF(OR(Z56="",Z56=0),"",IF(AF56="","",IF(AF56="R$/mês",Z56/OBRA!$D$12,IF(AF56="R$/m²",Z56/OBRA!$D$10,IF(AF56="R$/apto",Orçamento!Z56/OBRA!$D$11,""))))),"")</f>
        <v>3.6022498623425947</v>
      </c>
      <c r="AF56" s="241" t="s">
        <v>154</v>
      </c>
    </row>
    <row r="57" spans="1:32" s="10" customFormat="1" ht="13.15" hidden="1" customHeight="1" outlineLevel="4" x14ac:dyDescent="0.2">
      <c r="A57" s="227"/>
      <c r="B57" s="228" t="s">
        <v>4</v>
      </c>
      <c r="C57" s="229">
        <f t="shared" si="0"/>
        <v>1</v>
      </c>
      <c r="D57" s="227" t="str">
        <f t="shared" ca="1" si="22"/>
        <v>01.002.001.005</v>
      </c>
      <c r="E57" s="228" t="str">
        <f t="shared" ca="1" si="25"/>
        <v>01.002.001.005</v>
      </c>
      <c r="F57" s="230">
        <f ca="1">IF($B57="UNIDADE CONSTRUTIVA",OFFSET(F57,-1,0)+1,LARGE(F$10:F56,1))</f>
        <v>1</v>
      </c>
      <c r="G57" s="228" t="str">
        <f t="shared" ca="1" si="26"/>
        <v xml:space="preserve">   GERENCIAMENTO TÉCNICO E ADMINISTRATIVO</v>
      </c>
      <c r="H57" s="230">
        <f t="shared" ca="1" si="27"/>
        <v>1</v>
      </c>
      <c r="I57" s="228" t="str">
        <f t="shared" ca="1" si="28"/>
        <v xml:space="preserve">   GERENCIAMENTO TÉCNICO</v>
      </c>
      <c r="J57" s="230">
        <f t="shared" ca="1" si="29"/>
        <v>2</v>
      </c>
      <c r="K57" s="228" t="str">
        <f t="shared" ca="1" si="30"/>
        <v xml:space="preserve">   TAXAS | DOCUMENTOS</v>
      </c>
      <c r="L57" s="231">
        <f t="shared" ca="1" si="31"/>
        <v>1</v>
      </c>
      <c r="M57" s="228" t="str">
        <f t="shared" ca="1" si="32"/>
        <v xml:space="preserve">   Licenciamento - Taxas - Impostos</v>
      </c>
      <c r="N57" s="231">
        <f t="shared" ca="1" si="33"/>
        <v>5</v>
      </c>
      <c r="O57" s="228" t="str">
        <f t="shared" ca="1" si="34"/>
        <v xml:space="preserve">Taxas de Aprovação de Projetos e Alvarás (Prefeituras/Bombeiro) </v>
      </c>
      <c r="P57" s="232" t="str">
        <f>IF(S57="","",IF(Orçamento!$B57="INSUMO",S57,""))</f>
        <v/>
      </c>
      <c r="Q57" s="244" t="str">
        <f t="shared" si="23"/>
        <v xml:space="preserve">Taxas de Aprovação de Projetos e Alvarás (Prefeituras/Bombeiro) </v>
      </c>
      <c r="R57" s="234">
        <f t="shared" ca="1" si="35"/>
        <v>1</v>
      </c>
      <c r="S57" s="233" t="s">
        <v>1220</v>
      </c>
      <c r="T57" s="242" t="s">
        <v>170</v>
      </c>
      <c r="U57" s="235">
        <v>1</v>
      </c>
      <c r="V57" s="320" t="s">
        <v>35</v>
      </c>
      <c r="W57" s="236" t="str">
        <f>IFERROR(IF(B57="INSUMO",_xlfn.XLOOKUP(S57,Insumos!A:A,Insumos!C:C),""),"Inserir Preço")</f>
        <v/>
      </c>
      <c r="X57" s="235">
        <f t="shared" ref="X57:X114" ca="1" si="36">IF(B57="Complemento do insumo",V57,IF(R57="","",IF(B57="serviço",R57,IF(OR(B57="insumo"),V57*R57,""))))</f>
        <v>1</v>
      </c>
      <c r="Y57" s="236">
        <f t="shared" ca="1" si="24"/>
        <v>5923.6399999999994</v>
      </c>
      <c r="Z57" s="237">
        <f t="shared" ca="1" si="9"/>
        <v>5923.6399999999994</v>
      </c>
      <c r="AA57" s="238"/>
      <c r="AB57" s="233" t="str">
        <f>IF(B57="insumo",_xlfn.XLOOKUP(S57,Insumos!A:A,Insumos!D:D),"")</f>
        <v/>
      </c>
      <c r="AC57" s="239">
        <f t="shared" ca="1" si="10"/>
        <v>8.4980016503739581E-4</v>
      </c>
      <c r="AE57" s="240">
        <f ca="1">IFERROR(IF(OR(Z57="",Z57=0),"",IF(AF57="","",IF(AF57="R$/mês",Z57/OBRA!$D$12,IF(AF57="R$/m²",Z57/OBRA!$D$10,IF(AF57="R$/apto",Orçamento!Z57/OBRA!$D$11,""))))),"")</f>
        <v>3.0483473392238691</v>
      </c>
      <c r="AF57" s="241" t="s">
        <v>154</v>
      </c>
    </row>
    <row r="58" spans="1:32" s="10" customFormat="1" ht="13.15" hidden="1" customHeight="1" outlineLevel="4" x14ac:dyDescent="0.2">
      <c r="A58" s="227"/>
      <c r="B58" s="228" t="s">
        <v>19</v>
      </c>
      <c r="C58" s="229">
        <f t="shared" si="0"/>
        <v>1</v>
      </c>
      <c r="D58" s="227" t="str">
        <f t="shared" ref="D58:D115" si="37">IF(B58="Unidade Construtiva",TEXT(F58,"00"),IF(B58="Célula Construtiva",TEXT(H58,"00"),IF(B58="Etapa",CONCATENATE(TEXT(H58,"00"),".",TEXT(J58,"000")),IF(B58="Subetapa",CONCATENATE(TEXT(H58,"00"),".",TEXT(J58,"000"),".",TEXT(L58,"000")),IF(B58="Serviço",CONCATENATE(TEXT(H58,"00"),".",TEXT(J58,"000"),".",TEXT(L58,"000"),".",TEXT(N58,"000")),"")))))</f>
        <v/>
      </c>
      <c r="E58" s="228" t="str">
        <f t="shared" ca="1" si="25"/>
        <v>01.002.001.005</v>
      </c>
      <c r="F58" s="230">
        <f ca="1">IF($B58="UNIDADE CONSTRUTIVA",OFFSET(F58,-1,0)+1,LARGE(F$10:F57,1))</f>
        <v>1</v>
      </c>
      <c r="G58" s="228" t="str">
        <f t="shared" ca="1" si="26"/>
        <v xml:space="preserve">   GERENCIAMENTO TÉCNICO E ADMINISTRATIVO</v>
      </c>
      <c r="H58" s="230">
        <f t="shared" ca="1" si="27"/>
        <v>1</v>
      </c>
      <c r="I58" s="228" t="str">
        <f t="shared" ca="1" si="28"/>
        <v xml:space="preserve">   GERENCIAMENTO TÉCNICO</v>
      </c>
      <c r="J58" s="230">
        <f t="shared" ca="1" si="29"/>
        <v>2</v>
      </c>
      <c r="K58" s="228" t="str">
        <f t="shared" ca="1" si="30"/>
        <v xml:space="preserve">   TAXAS | DOCUMENTOS</v>
      </c>
      <c r="L58" s="231">
        <f t="shared" ca="1" si="31"/>
        <v>1</v>
      </c>
      <c r="M58" s="228" t="str">
        <f t="shared" ca="1" si="32"/>
        <v xml:space="preserve">   Licenciamento - Taxas - Impostos</v>
      </c>
      <c r="N58" s="231">
        <f t="shared" ca="1" si="33"/>
        <v>5</v>
      </c>
      <c r="O58" s="228" t="str">
        <f t="shared" ca="1" si="34"/>
        <v xml:space="preserve">Taxas de Aprovação de Projetos e Alvarás (Prefeituras/Bombeiro) </v>
      </c>
      <c r="P58" s="232" t="str">
        <f>IF(S58="","",IF(Orçamento!$B58="INSUMO",S58,""))</f>
        <v>Taxas de Aprovação de Projetos e Alvarás (Prefeituras/Bombeiro)</v>
      </c>
      <c r="Q58" s="244" t="str">
        <f t="shared" si="23"/>
        <v/>
      </c>
      <c r="R58" s="234">
        <f t="shared" ca="1" si="35"/>
        <v>1</v>
      </c>
      <c r="S58" s="233" t="s">
        <v>317</v>
      </c>
      <c r="T58" s="242" t="str">
        <f>_xlfn.XLOOKUP(S58,Insumos!$A$3:$A$371,Insumos!$B$3:$B$371)</f>
        <v>VB</v>
      </c>
      <c r="U58" s="235">
        <f t="shared" ca="1" si="16"/>
        <v>1</v>
      </c>
      <c r="V58" s="320">
        <v>1</v>
      </c>
      <c r="W58" s="236">
        <f>IFERROR(IF(B58="INSUMO",_xlfn.XLOOKUP(S58,Insumos!A:A,Insumos!C:C),""),"Inserir Preço")</f>
        <v>5923.6399999999994</v>
      </c>
      <c r="X58" s="235">
        <f t="shared" ca="1" si="7"/>
        <v>1</v>
      </c>
      <c r="Y58" s="236">
        <f t="shared" si="24"/>
        <v>5923.6399999999994</v>
      </c>
      <c r="Z58" s="237">
        <f t="shared" ca="1" si="9"/>
        <v>5923.6399999999994</v>
      </c>
      <c r="AA58" s="238"/>
      <c r="AB58" s="233" t="str">
        <f>IF(B58="insumo",_xlfn.XLOOKUP(S58,Insumos!A:A,Insumos!D:D),"")</f>
        <v>Recebido Cliente + Média base de dados para Bembeiros</v>
      </c>
      <c r="AC58" s="239">
        <f t="shared" ca="1" si="10"/>
        <v>8.4980016503739581E-4</v>
      </c>
      <c r="AE58" s="240">
        <f ca="1">IFERROR(IF(OR(Z58="",Z58=0),"",IF(AF58="","",IF(AF58="R$/mês",Z58/OBRA!$D$12,IF(AF58="R$/m²",Z58/OBRA!$D$10,IF(AF58="R$/apto",Orçamento!Z58/OBRA!$D$11,""))))),"")</f>
        <v>3.0483473392238691</v>
      </c>
      <c r="AF58" s="241" t="s">
        <v>154</v>
      </c>
    </row>
    <row r="59" spans="1:32" s="10" customFormat="1" ht="13.15" hidden="1" customHeight="1" outlineLevel="4" x14ac:dyDescent="0.2">
      <c r="A59" s="227"/>
      <c r="B59" s="228" t="s">
        <v>4</v>
      </c>
      <c r="C59" s="229">
        <f t="shared" si="0"/>
        <v>1</v>
      </c>
      <c r="D59" s="227" t="str">
        <f t="shared" ca="1" si="37"/>
        <v>01.002.001.006</v>
      </c>
      <c r="E59" s="228" t="str">
        <f t="shared" ca="1" si="25"/>
        <v>01.002.001.006</v>
      </c>
      <c r="F59" s="230">
        <f ca="1">IF($B59="UNIDADE CONSTRUTIVA",OFFSET(F59,-1,0)+1,LARGE(F$10:F58,1))</f>
        <v>1</v>
      </c>
      <c r="G59" s="228" t="str">
        <f t="shared" ca="1" si="26"/>
        <v xml:space="preserve">   GERENCIAMENTO TÉCNICO E ADMINISTRATIVO</v>
      </c>
      <c r="H59" s="230">
        <f t="shared" ca="1" si="27"/>
        <v>1</v>
      </c>
      <c r="I59" s="228" t="str">
        <f t="shared" ca="1" si="28"/>
        <v xml:space="preserve">   GERENCIAMENTO TÉCNICO</v>
      </c>
      <c r="J59" s="230">
        <f t="shared" ca="1" si="29"/>
        <v>2</v>
      </c>
      <c r="K59" s="228" t="str">
        <f t="shared" ca="1" si="30"/>
        <v xml:space="preserve">   TAXAS | DOCUMENTOS</v>
      </c>
      <c r="L59" s="231">
        <f t="shared" ca="1" si="31"/>
        <v>1</v>
      </c>
      <c r="M59" s="228" t="str">
        <f t="shared" ca="1" si="32"/>
        <v xml:space="preserve">   Licenciamento - Taxas - Impostos</v>
      </c>
      <c r="N59" s="231">
        <f t="shared" ca="1" si="33"/>
        <v>6</v>
      </c>
      <c r="O59" s="228" t="str">
        <f t="shared" ca="1" si="34"/>
        <v>Taxa de Aprovação Ambiental</v>
      </c>
      <c r="P59" s="232" t="str">
        <f>IF(S59="","",IF(Orçamento!$B59="INSUMO",S59,""))</f>
        <v/>
      </c>
      <c r="Q59" s="244" t="str">
        <f t="shared" ref="Q59:Q113" si="38">IF(B59="","",IF(B59="Serviço",S59,""))</f>
        <v>Taxa de Aprovação Ambiental</v>
      </c>
      <c r="R59" s="234">
        <f t="shared" ca="1" si="35"/>
        <v>1</v>
      </c>
      <c r="S59" s="233" t="s">
        <v>403</v>
      </c>
      <c r="T59" s="242" t="s">
        <v>170</v>
      </c>
      <c r="U59" s="235">
        <v>1</v>
      </c>
      <c r="V59" s="320" t="s">
        <v>35</v>
      </c>
      <c r="W59" s="236" t="str">
        <f>IFERROR(IF(B59="INSUMO",_xlfn.XLOOKUP(S59,Insumos!A:A,Insumos!C:C),""),"Inserir Preço")</f>
        <v/>
      </c>
      <c r="X59" s="235">
        <f t="shared" ca="1" si="36"/>
        <v>1</v>
      </c>
      <c r="Y59" s="236">
        <f t="shared" ca="1" si="24"/>
        <v>905.81</v>
      </c>
      <c r="Z59" s="237">
        <f t="shared" ca="1" si="9"/>
        <v>905.81</v>
      </c>
      <c r="AA59" s="238"/>
      <c r="AB59" s="233" t="str">
        <f>IF(B59="insumo",_xlfn.XLOOKUP(S59,Insumos!A:A,Insumos!D:D),"")</f>
        <v/>
      </c>
      <c r="AC59" s="239">
        <f t="shared" ca="1" si="10"/>
        <v>1.2994670295502826E-4</v>
      </c>
      <c r="AE59" s="240">
        <f ca="1">IFERROR(IF(OR(Z59="",Z59=0),"",IF(AF59="","",IF(AF59="R$/mês",Z59/OBRA!$D$12,IF(AF59="R$/m²",Z59/OBRA!$D$10,IF(AF59="R$/apto",Orçamento!Z59/OBRA!$D$11,""))))),"")</f>
        <v>0.46613627825836362</v>
      </c>
      <c r="AF59" s="241" t="s">
        <v>154</v>
      </c>
    </row>
    <row r="60" spans="1:32" s="10" customFormat="1" ht="13.15" hidden="1" customHeight="1" outlineLevel="4" x14ac:dyDescent="0.2">
      <c r="A60" s="227"/>
      <c r="B60" s="228" t="s">
        <v>19</v>
      </c>
      <c r="C60" s="229">
        <f t="shared" si="0"/>
        <v>1</v>
      </c>
      <c r="D60" s="227" t="str">
        <f t="shared" si="37"/>
        <v/>
      </c>
      <c r="E60" s="228" t="str">
        <f t="shared" ca="1" si="25"/>
        <v>01.002.001.006</v>
      </c>
      <c r="F60" s="230">
        <f ca="1">IF($B60="UNIDADE CONSTRUTIVA",OFFSET(F60,-1,0)+1,LARGE(F$10:F59,1))</f>
        <v>1</v>
      </c>
      <c r="G60" s="228" t="str">
        <f t="shared" ca="1" si="26"/>
        <v xml:space="preserve">   GERENCIAMENTO TÉCNICO E ADMINISTRATIVO</v>
      </c>
      <c r="H60" s="230">
        <f t="shared" ca="1" si="27"/>
        <v>1</v>
      </c>
      <c r="I60" s="228" t="str">
        <f t="shared" ca="1" si="28"/>
        <v xml:space="preserve">   GERENCIAMENTO TÉCNICO</v>
      </c>
      <c r="J60" s="230">
        <f t="shared" ca="1" si="29"/>
        <v>2</v>
      </c>
      <c r="K60" s="228" t="str">
        <f t="shared" ca="1" si="30"/>
        <v xml:space="preserve">   TAXAS | DOCUMENTOS</v>
      </c>
      <c r="L60" s="231">
        <f t="shared" ca="1" si="31"/>
        <v>1</v>
      </c>
      <c r="M60" s="228" t="str">
        <f t="shared" ca="1" si="32"/>
        <v xml:space="preserve">   Licenciamento - Taxas - Impostos</v>
      </c>
      <c r="N60" s="231">
        <f t="shared" ca="1" si="33"/>
        <v>6</v>
      </c>
      <c r="O60" s="228" t="str">
        <f t="shared" ca="1" si="34"/>
        <v>Taxa de Aprovação Ambiental</v>
      </c>
      <c r="P60" s="232" t="str">
        <f>IF(S60="","",IF(Orçamento!$B60="INSUMO",S60,""))</f>
        <v>Taxa Aprovação Ambiental (Lap/Lai/Auc)/Compensatória)</v>
      </c>
      <c r="Q60" s="244" t="str">
        <f t="shared" si="38"/>
        <v/>
      </c>
      <c r="R60" s="234">
        <f t="shared" ca="1" si="35"/>
        <v>1</v>
      </c>
      <c r="S60" s="233" t="s">
        <v>391</v>
      </c>
      <c r="T60" s="242" t="str">
        <f>_xlfn.XLOOKUP(S60,Insumos!$A$3:$A$371,Insumos!$B$3:$B$371)</f>
        <v>VB</v>
      </c>
      <c r="U60" s="235">
        <f t="shared" ca="1" si="16"/>
        <v>1</v>
      </c>
      <c r="V60" s="320">
        <v>1</v>
      </c>
      <c r="W60" s="236">
        <f>IFERROR(IF(B60="INSUMO",_xlfn.XLOOKUP(S60,Insumos!A:A,Insumos!C:C),""),"Inserir Preço")</f>
        <v>905.81</v>
      </c>
      <c r="X60" s="235">
        <f t="shared" ca="1" si="7"/>
        <v>1</v>
      </c>
      <c r="Y60" s="236">
        <f t="shared" si="24"/>
        <v>905.81</v>
      </c>
      <c r="Z60" s="237">
        <f t="shared" ca="1" si="9"/>
        <v>905.81</v>
      </c>
      <c r="AA60" s="238"/>
      <c r="AB60" s="233" t="str">
        <f>IF(B60="insumo",_xlfn.XLOOKUP(S60,Insumos!A:A,Insumos!D:D),"")</f>
        <v>Recebido Cliente</v>
      </c>
      <c r="AC60" s="239">
        <f t="shared" ca="1" si="10"/>
        <v>1.2994670295502826E-4</v>
      </c>
      <c r="AE60" s="240">
        <f ca="1">IFERROR(IF(OR(Z60="",Z60=0),"",IF(AF60="","",IF(AF60="R$/mês",Z60/OBRA!$D$12,IF(AF60="R$/m²",Z60/OBRA!$D$10,IF(AF60="R$/apto",Orçamento!Z60/OBRA!$D$11,""))))),"")</f>
        <v>0.46613627825836362</v>
      </c>
      <c r="AF60" s="241" t="s">
        <v>154</v>
      </c>
    </row>
    <row r="61" spans="1:32" s="10" customFormat="1" ht="13.15" hidden="1" customHeight="1" outlineLevel="4" x14ac:dyDescent="0.2">
      <c r="A61" s="227"/>
      <c r="B61" s="228" t="s">
        <v>4</v>
      </c>
      <c r="C61" s="229">
        <f t="shared" si="0"/>
        <v>1</v>
      </c>
      <c r="D61" s="227" t="str">
        <f t="shared" ca="1" si="37"/>
        <v>01.002.001.007</v>
      </c>
      <c r="E61" s="228" t="str">
        <f t="shared" ca="1" si="25"/>
        <v>01.002.001.007</v>
      </c>
      <c r="F61" s="230">
        <f ca="1">IF($B61="UNIDADE CONSTRUTIVA",OFFSET(F61,-1,0)+1,LARGE(F$10:F60,1))</f>
        <v>1</v>
      </c>
      <c r="G61" s="228" t="str">
        <f t="shared" ca="1" si="26"/>
        <v xml:space="preserve">   GERENCIAMENTO TÉCNICO E ADMINISTRATIVO</v>
      </c>
      <c r="H61" s="230">
        <f t="shared" ca="1" si="27"/>
        <v>1</v>
      </c>
      <c r="I61" s="228" t="str">
        <f t="shared" ca="1" si="28"/>
        <v xml:space="preserve">   GERENCIAMENTO TÉCNICO</v>
      </c>
      <c r="J61" s="230">
        <f t="shared" ca="1" si="29"/>
        <v>2</v>
      </c>
      <c r="K61" s="228" t="str">
        <f t="shared" ca="1" si="30"/>
        <v xml:space="preserve">   TAXAS | DOCUMENTOS</v>
      </c>
      <c r="L61" s="231">
        <f t="shared" ca="1" si="31"/>
        <v>1</v>
      </c>
      <c r="M61" s="228" t="str">
        <f t="shared" ca="1" si="32"/>
        <v xml:space="preserve">   Licenciamento - Taxas - Impostos</v>
      </c>
      <c r="N61" s="231">
        <f t="shared" ca="1" si="33"/>
        <v>7</v>
      </c>
      <c r="O61" s="228" t="str">
        <f t="shared" ca="1" si="34"/>
        <v>Taxas de Aprovação de Projetos (Hidrossanitário)</v>
      </c>
      <c r="P61" s="232" t="str">
        <f>IF(S61="","",IF(Orçamento!$B61="INSUMO",S61,""))</f>
        <v/>
      </c>
      <c r="Q61" s="244" t="str">
        <f t="shared" si="38"/>
        <v>Taxas de Aprovação de Projetos (Hidrossanitário)</v>
      </c>
      <c r="R61" s="234">
        <f t="shared" ca="1" si="35"/>
        <v>1</v>
      </c>
      <c r="S61" s="233" t="s">
        <v>404</v>
      </c>
      <c r="T61" s="242" t="s">
        <v>170</v>
      </c>
      <c r="U61" s="235">
        <v>1</v>
      </c>
      <c r="V61" s="320" t="s">
        <v>35</v>
      </c>
      <c r="W61" s="236" t="str">
        <f>IFERROR(IF(B61="INSUMO",_xlfn.XLOOKUP(S61,Insumos!A:A,Insumos!C:C),""),"Inserir Preço")</f>
        <v/>
      </c>
      <c r="X61" s="235">
        <f t="shared" ca="1" si="36"/>
        <v>1</v>
      </c>
      <c r="Y61" s="236">
        <f t="shared" ca="1" si="24"/>
        <v>293.89</v>
      </c>
      <c r="Z61" s="237">
        <f t="shared" ca="1" si="9"/>
        <v>293.89</v>
      </c>
      <c r="AA61" s="238"/>
      <c r="AB61" s="233" t="str">
        <f>IF(B61="insumo",_xlfn.XLOOKUP(S61,Insumos!A:A,Insumos!D:D),"")</f>
        <v/>
      </c>
      <c r="AC61" s="239">
        <f t="shared" ca="1" si="10"/>
        <v>4.2161199955237032E-5</v>
      </c>
      <c r="AE61" s="240">
        <f ca="1">IFERROR(IF(OR(Z61="",Z61=0),"",IF(AF61="","",IF(AF61="R$/mês",Z61/OBRA!$D$12,IF(AF61="R$/m²",Z61/OBRA!$D$10,IF(AF61="R$/apto",Orçamento!Z61/OBRA!$D$11,""))))),"")</f>
        <v>0.15123788743483788</v>
      </c>
      <c r="AF61" s="241" t="s">
        <v>154</v>
      </c>
    </row>
    <row r="62" spans="1:32" s="10" customFormat="1" ht="13.15" hidden="1" customHeight="1" outlineLevel="4" x14ac:dyDescent="0.2">
      <c r="A62" s="227"/>
      <c r="B62" s="228" t="s">
        <v>19</v>
      </c>
      <c r="C62" s="229">
        <f t="shared" si="0"/>
        <v>1</v>
      </c>
      <c r="D62" s="227" t="str">
        <f t="shared" si="37"/>
        <v/>
      </c>
      <c r="E62" s="228" t="str">
        <f t="shared" ca="1" si="25"/>
        <v>01.002.001.007</v>
      </c>
      <c r="F62" s="230">
        <f ca="1">IF($B62="UNIDADE CONSTRUTIVA",OFFSET(F62,-1,0)+1,LARGE(F$10:F61,1))</f>
        <v>1</v>
      </c>
      <c r="G62" s="228" t="str">
        <f t="shared" ca="1" si="26"/>
        <v xml:space="preserve">   GERENCIAMENTO TÉCNICO E ADMINISTRATIVO</v>
      </c>
      <c r="H62" s="230">
        <f t="shared" ca="1" si="27"/>
        <v>1</v>
      </c>
      <c r="I62" s="228" t="str">
        <f t="shared" ca="1" si="28"/>
        <v xml:space="preserve">   GERENCIAMENTO TÉCNICO</v>
      </c>
      <c r="J62" s="230">
        <f t="shared" ca="1" si="29"/>
        <v>2</v>
      </c>
      <c r="K62" s="228" t="str">
        <f t="shared" ca="1" si="30"/>
        <v xml:space="preserve">   TAXAS | DOCUMENTOS</v>
      </c>
      <c r="L62" s="231">
        <f t="shared" ca="1" si="31"/>
        <v>1</v>
      </c>
      <c r="M62" s="228" t="str">
        <f t="shared" ca="1" si="32"/>
        <v xml:space="preserve">   Licenciamento - Taxas - Impostos</v>
      </c>
      <c r="N62" s="231">
        <f t="shared" ca="1" si="33"/>
        <v>7</v>
      </c>
      <c r="O62" s="228" t="str">
        <f t="shared" ca="1" si="34"/>
        <v>Taxas de Aprovação de Projetos (Hidrossanitário)</v>
      </c>
      <c r="P62" s="232" t="str">
        <f>IF(S62="","",IF(Orçamento!$B62="INSUMO",S62,""))</f>
        <v>Taxa Aprovação e legalização água e esgoto</v>
      </c>
      <c r="Q62" s="244" t="str">
        <f t="shared" si="38"/>
        <v/>
      </c>
      <c r="R62" s="234">
        <f t="shared" ca="1" si="35"/>
        <v>1</v>
      </c>
      <c r="S62" s="233" t="s">
        <v>576</v>
      </c>
      <c r="T62" s="242" t="str">
        <f>_xlfn.XLOOKUP(S62,Insumos!$A$3:$A$371,Insumos!$B$3:$B$371)</f>
        <v>VB</v>
      </c>
      <c r="U62" s="235">
        <f t="shared" ca="1" si="16"/>
        <v>1</v>
      </c>
      <c r="V62" s="320">
        <v>1</v>
      </c>
      <c r="W62" s="236">
        <f>IFERROR(IF(B62="INSUMO",_xlfn.XLOOKUP(S62,Insumos!A:A,Insumos!C:C),""),"Inserir Preço")</f>
        <v>293.89</v>
      </c>
      <c r="X62" s="235">
        <f t="shared" ca="1" si="7"/>
        <v>1</v>
      </c>
      <c r="Y62" s="236">
        <f t="shared" si="24"/>
        <v>293.89</v>
      </c>
      <c r="Z62" s="237">
        <f t="shared" ca="1" si="9"/>
        <v>293.89</v>
      </c>
      <c r="AA62" s="238"/>
      <c r="AB62" s="233" t="str">
        <f>IF(B62="insumo",_xlfn.XLOOKUP(S62,Insumos!A:A,Insumos!D:D),"")</f>
        <v>Recebido Cliente</v>
      </c>
      <c r="AC62" s="239">
        <f t="shared" ca="1" si="10"/>
        <v>4.2161199955237032E-5</v>
      </c>
      <c r="AE62" s="240">
        <f ca="1">IFERROR(IF(OR(Z62="",Z62=0),"",IF(AF62="","",IF(AF62="R$/mês",Z62/OBRA!$D$12,IF(AF62="R$/m²",Z62/OBRA!$D$10,IF(AF62="R$/apto",Orçamento!Z62/OBRA!$D$11,""))))),"")</f>
        <v>0.15123788743483788</v>
      </c>
      <c r="AF62" s="241" t="s">
        <v>154</v>
      </c>
    </row>
    <row r="63" spans="1:32" s="10" customFormat="1" ht="13.15" hidden="1" customHeight="1" outlineLevel="4" x14ac:dyDescent="0.2">
      <c r="A63" s="227"/>
      <c r="B63" s="228" t="s">
        <v>4</v>
      </c>
      <c r="C63" s="229">
        <f t="shared" si="0"/>
        <v>1</v>
      </c>
      <c r="D63" s="227" t="str">
        <f t="shared" ca="1" si="37"/>
        <v>01.002.001.008</v>
      </c>
      <c r="E63" s="228" t="str">
        <f t="shared" ca="1" si="25"/>
        <v>01.002.001.008</v>
      </c>
      <c r="F63" s="230">
        <f ca="1">IF($B63="UNIDADE CONSTRUTIVA",OFFSET(F63,-1,0)+1,LARGE(F$10:F62,1))</f>
        <v>1</v>
      </c>
      <c r="G63" s="228" t="str">
        <f t="shared" ca="1" si="26"/>
        <v xml:space="preserve">   GERENCIAMENTO TÉCNICO E ADMINISTRATIVO</v>
      </c>
      <c r="H63" s="230">
        <f t="shared" ca="1" si="27"/>
        <v>1</v>
      </c>
      <c r="I63" s="228" t="str">
        <f t="shared" ca="1" si="28"/>
        <v xml:space="preserve">   GERENCIAMENTO TÉCNICO</v>
      </c>
      <c r="J63" s="230">
        <f t="shared" ca="1" si="29"/>
        <v>2</v>
      </c>
      <c r="K63" s="228" t="str">
        <f t="shared" ca="1" si="30"/>
        <v xml:space="preserve">   TAXAS | DOCUMENTOS</v>
      </c>
      <c r="L63" s="231">
        <f t="shared" ca="1" si="31"/>
        <v>1</v>
      </c>
      <c r="M63" s="228" t="str">
        <f t="shared" ca="1" si="32"/>
        <v xml:space="preserve">   Licenciamento - Taxas - Impostos</v>
      </c>
      <c r="N63" s="231">
        <f t="shared" ca="1" si="33"/>
        <v>8</v>
      </c>
      <c r="O63" s="228" t="str">
        <f t="shared" ca="1" si="34"/>
        <v>Taxa de Aprovação de Projetos (Elétrico)</v>
      </c>
      <c r="P63" s="232" t="str">
        <f>IF(S63="","",IF(Orçamento!$B63="INSUMO",S63,""))</f>
        <v/>
      </c>
      <c r="Q63" s="244" t="str">
        <f t="shared" si="38"/>
        <v>Taxa de Aprovação de Projetos (Elétrico)</v>
      </c>
      <c r="R63" s="234">
        <f t="shared" ca="1" si="35"/>
        <v>1</v>
      </c>
      <c r="S63" s="233" t="s">
        <v>405</v>
      </c>
      <c r="T63" s="242" t="s">
        <v>170</v>
      </c>
      <c r="U63" s="235">
        <v>1</v>
      </c>
      <c r="V63" s="320" t="s">
        <v>35</v>
      </c>
      <c r="W63" s="236" t="str">
        <f>IFERROR(IF(B63="INSUMO",_xlfn.XLOOKUP(S63,Insumos!A:A,Insumos!C:C),""),"Inserir Preço")</f>
        <v/>
      </c>
      <c r="X63" s="235">
        <f t="shared" ca="1" si="36"/>
        <v>1</v>
      </c>
      <c r="Y63" s="236">
        <f t="shared" ca="1" si="24"/>
        <v>2588.5732803442297</v>
      </c>
      <c r="Z63" s="237">
        <f t="shared" ca="1" si="9"/>
        <v>2588.5732803442297</v>
      </c>
      <c r="AA63" s="238"/>
      <c r="AB63" s="233" t="str">
        <f>IF(B63="insumo",_xlfn.XLOOKUP(S63,Insumos!A:A,Insumos!D:D),"")</f>
        <v/>
      </c>
      <c r="AC63" s="239">
        <f t="shared" ca="1" si="10"/>
        <v>3.7135443761739735E-4</v>
      </c>
      <c r="AE63" s="240">
        <f ca="1">IFERROR(IF(OR(Z63="",Z63=0),"",IF(AF63="","",IF(AF63="R$/mês",Z63/OBRA!$D$12,IF(AF63="R$/m²",Z63/OBRA!$D$10,IF(AF63="R$/apto",Orçamento!Z63/OBRA!$D$11,""))))),"")</f>
        <v>1.3320982489691029</v>
      </c>
      <c r="AF63" s="241" t="s">
        <v>154</v>
      </c>
    </row>
    <row r="64" spans="1:32" s="10" customFormat="1" ht="13.15" hidden="1" customHeight="1" outlineLevel="4" x14ac:dyDescent="0.2">
      <c r="A64" s="227"/>
      <c r="B64" s="228" t="s">
        <v>19</v>
      </c>
      <c r="C64" s="229">
        <f t="shared" si="0"/>
        <v>1</v>
      </c>
      <c r="D64" s="227" t="str">
        <f t="shared" si="37"/>
        <v/>
      </c>
      <c r="E64" s="228" t="str">
        <f t="shared" ca="1" si="25"/>
        <v>01.002.001.008</v>
      </c>
      <c r="F64" s="230">
        <f ca="1">IF($B64="UNIDADE CONSTRUTIVA",OFFSET(F64,-1,0)+1,LARGE(F$10:F63,1))</f>
        <v>1</v>
      </c>
      <c r="G64" s="228" t="str">
        <f t="shared" ca="1" si="26"/>
        <v xml:space="preserve">   GERENCIAMENTO TÉCNICO E ADMINISTRATIVO</v>
      </c>
      <c r="H64" s="230">
        <f t="shared" ca="1" si="27"/>
        <v>1</v>
      </c>
      <c r="I64" s="228" t="str">
        <f t="shared" ca="1" si="28"/>
        <v xml:space="preserve">   GERENCIAMENTO TÉCNICO</v>
      </c>
      <c r="J64" s="230">
        <f t="shared" ca="1" si="29"/>
        <v>2</v>
      </c>
      <c r="K64" s="228" t="str">
        <f t="shared" ca="1" si="30"/>
        <v xml:space="preserve">   TAXAS | DOCUMENTOS</v>
      </c>
      <c r="L64" s="231">
        <f t="shared" ca="1" si="31"/>
        <v>1</v>
      </c>
      <c r="M64" s="228" t="str">
        <f t="shared" ca="1" si="32"/>
        <v xml:space="preserve">   Licenciamento - Taxas - Impostos</v>
      </c>
      <c r="N64" s="231">
        <f t="shared" ca="1" si="33"/>
        <v>8</v>
      </c>
      <c r="O64" s="228" t="str">
        <f t="shared" ca="1" si="34"/>
        <v>Taxa de Aprovação de Projetos (Elétrico)</v>
      </c>
      <c r="P64" s="232" t="str">
        <f>IF(S64="","",IF(Orçamento!$B64="INSUMO",S64,""))</f>
        <v>Taxa Aprovação e legalização elétrico</v>
      </c>
      <c r="Q64" s="244" t="str">
        <f t="shared" si="38"/>
        <v/>
      </c>
      <c r="R64" s="234">
        <f t="shared" ca="1" si="35"/>
        <v>1</v>
      </c>
      <c r="S64" s="233" t="s">
        <v>577</v>
      </c>
      <c r="T64" s="242" t="str">
        <f>_xlfn.XLOOKUP(S64,Insumos!$A$3:$A$371,Insumos!$B$3:$B$371)</f>
        <v>VB</v>
      </c>
      <c r="U64" s="235">
        <f t="shared" ca="1" si="16"/>
        <v>1</v>
      </c>
      <c r="V64" s="320">
        <v>1</v>
      </c>
      <c r="W64" s="236">
        <f>IFERROR(IF(B64="INSUMO",_xlfn.XLOOKUP(S64,Insumos!A:A,Insumos!C:C),""),"Inserir Preço")</f>
        <v>2588.5732803442297</v>
      </c>
      <c r="X64" s="235">
        <f t="shared" ca="1" si="7"/>
        <v>1</v>
      </c>
      <c r="Y64" s="236">
        <f t="shared" si="24"/>
        <v>2588.5732803442297</v>
      </c>
      <c r="Z64" s="237">
        <f t="shared" ca="1" si="9"/>
        <v>2588.5732803442297</v>
      </c>
      <c r="AA64" s="238"/>
      <c r="AB64" s="233" t="str">
        <f>IF(B64="insumo",_xlfn.XLOOKUP(S64,Insumos!A:A,Insumos!D:D),"")</f>
        <v>Base de dados</v>
      </c>
      <c r="AC64" s="239">
        <f t="shared" ca="1" si="10"/>
        <v>3.7135443761739735E-4</v>
      </c>
      <c r="AE64" s="240">
        <f ca="1">IFERROR(IF(OR(Z64="",Z64=0),"",IF(AF64="","",IF(AF64="R$/mês",Z64/OBRA!$D$12,IF(AF64="R$/m²",Z64/OBRA!$D$10,IF(AF64="R$/apto",Orçamento!Z64/OBRA!$D$11,""))))),"")</f>
        <v>1.3320982489691029</v>
      </c>
      <c r="AF64" s="241" t="s">
        <v>154</v>
      </c>
    </row>
    <row r="65" spans="1:32" s="10" customFormat="1" ht="13.15" hidden="1" customHeight="1" outlineLevel="4" x14ac:dyDescent="0.2">
      <c r="A65" s="227"/>
      <c r="B65" s="228" t="s">
        <v>4</v>
      </c>
      <c r="C65" s="229">
        <f t="shared" si="0"/>
        <v>1</v>
      </c>
      <c r="D65" s="227" t="str">
        <f ca="1">IF(B65="Unidade Construtiva",TEXT(F65,"00"),IF(B65="Célula Construtiva",TEXT(H65,"00"),IF(B65="Etapa",CONCATENATE(TEXT(H65,"00"),".",TEXT(J65,"000")),IF(B65="Subetapa",CONCATENATE(TEXT(H65,"00"),".",TEXT(J65,"000"),".",TEXT(L65,"000")),IF(B65="Serviço",CONCATENATE(TEXT(H65,"00"),".",TEXT(J65,"000"),".",TEXT(L65,"000"),".",TEXT(N65,"000")),"")))))</f>
        <v>01.002.001.009</v>
      </c>
      <c r="E65" s="228" t="str">
        <f ca="1">IF(B65="*","",IFERROR(IF(B65="SERVIÇO",D65,OFFSET(E65,-1,0)),""))</f>
        <v>01.002.001.009</v>
      </c>
      <c r="F65" s="230">
        <f ca="1">IF($B65="UNIDADE CONSTRUTIVA",OFFSET(F65,-1,0)+1,LARGE(F$10:F64,1))</f>
        <v>1</v>
      </c>
      <c r="G65" s="228" t="str">
        <f ca="1">IF(B65="*","",IF(B65="UNIDADE CONSTRUTIVA",S65,OFFSET(G65,-1,0)))</f>
        <v xml:space="preserve">   GERENCIAMENTO TÉCNICO E ADMINISTRATIVO</v>
      </c>
      <c r="H65" s="230">
        <f ca="1">IF(B65="UNIDADE CONSTRUTIVA",0,IF(B65="CÉLULA CONSTRUTIVA",OFFSET(H65,-1,0)+1,OFFSET(H65,-1,0)))</f>
        <v>1</v>
      </c>
      <c r="I65" s="228" t="str">
        <f ca="1">IF(B65="*","",IF(B65="CÉLULA CONSTRUTIVA",S65,OFFSET(I65,-1,0)))</f>
        <v xml:space="preserve">   GERENCIAMENTO TÉCNICO</v>
      </c>
      <c r="J65" s="230">
        <f ca="1">IF(B65="CÉLULA CONSTRUTIVA",0,IF(B65="ETAPA",OFFSET(J65,-1,0)+1,OFFSET(J65,-1,0)))</f>
        <v>2</v>
      </c>
      <c r="K65" s="228" t="str">
        <f ca="1">IF(B65="*","",IF(B65="ETAPA",S65,OFFSET(K65,-1,0)))</f>
        <v xml:space="preserve">   TAXAS | DOCUMENTOS</v>
      </c>
      <c r="L65" s="231">
        <f ca="1">IF(B65="ETAPA",0,IF(B65="SUBETAPA",OFFSET(L65,-1,0)+1,OFFSET(L65,-1,0)))</f>
        <v>1</v>
      </c>
      <c r="M65" s="228" t="str">
        <f ca="1">IF(B65="*","",IF(B65="SUBETAPA",S65,OFFSET(M65,-1,0)))</f>
        <v xml:space="preserve">   Licenciamento - Taxas - Impostos</v>
      </c>
      <c r="N65" s="231">
        <f ca="1">IF(B65="Subetapa",0,IF(B65="serviço",OFFSET(N65,-1,0)+1,OFFSET(N65,-1,0)))</f>
        <v>9</v>
      </c>
      <c r="O65" s="228" t="str">
        <f ca="1">IF(B65="*","",IF(B65="SERVIÇO",S65,OFFSET(O65,-1,0)))</f>
        <v>Taxa de As Built</v>
      </c>
      <c r="P65" s="232" t="str">
        <f>IF(S65="","",IF(Orçamento!$B65="INSUMO",S65,""))</f>
        <v/>
      </c>
      <c r="Q65" s="244" t="str">
        <f>IF(B65="","",IF(B65="Serviço",S65,""))</f>
        <v>Taxa de As Built</v>
      </c>
      <c r="R65" s="234">
        <f ca="1">IF(B65="serviço",U65,OFFSET(R65,-1,0))</f>
        <v>1</v>
      </c>
      <c r="S65" s="233" t="s">
        <v>579</v>
      </c>
      <c r="T65" s="242" t="s">
        <v>170</v>
      </c>
      <c r="U65" s="235">
        <v>1</v>
      </c>
      <c r="V65" s="320" t="s">
        <v>35</v>
      </c>
      <c r="W65" s="236" t="str">
        <f>IFERROR(IF(B65="INSUMO",_xlfn.XLOOKUP(S65,Insumos!A:A,Insumos!C:C),""),"Inserir Preço")</f>
        <v/>
      </c>
      <c r="X65" s="235">
        <f ca="1">IF(B65="Complemento do insumo",V65,IF(R65="","",IF(B65="serviço",R65,IF(OR(B65="insumo"),V65*R65,""))))</f>
        <v>1</v>
      </c>
      <c r="Y65" s="236">
        <f t="shared" ca="1" si="24"/>
        <v>7600</v>
      </c>
      <c r="Z65" s="237">
        <f t="shared" ca="1" si="9"/>
        <v>7600</v>
      </c>
      <c r="AA65" s="238"/>
      <c r="AB65" s="233" t="str">
        <f>IF(B65="insumo",_xlfn.XLOOKUP(S65,Insumos!A:A,Insumos!D:D),"")</f>
        <v/>
      </c>
      <c r="AC65" s="239">
        <f t="shared" ca="1" si="10"/>
        <v>1.0902892907543689E-3</v>
      </c>
      <c r="AE65" s="240">
        <f ca="1">IFERROR(IF(OR(Z65="",Z65=0),"",IF(AF65="","",IF(AF65="R$/mês",Z65/OBRA!$D$12,IF(AF65="R$/m²",Z65/OBRA!$D$10,IF(AF65="R$/apto",Orçamento!Z65/OBRA!$D$11,""))))),"")</f>
        <v>3.9110141362576742</v>
      </c>
      <c r="AF65" s="241" t="s">
        <v>154</v>
      </c>
    </row>
    <row r="66" spans="1:32" s="10" customFormat="1" ht="13.15" hidden="1" customHeight="1" outlineLevel="4" x14ac:dyDescent="0.2">
      <c r="A66" s="227"/>
      <c r="B66" s="228" t="s">
        <v>19</v>
      </c>
      <c r="C66" s="229">
        <f t="shared" si="0"/>
        <v>1</v>
      </c>
      <c r="D66" s="227" t="str">
        <f>IF(B66="Unidade Construtiva",TEXT(F66,"00"),IF(B66="Célula Construtiva",TEXT(H66,"00"),IF(B66="Etapa",CONCATENATE(TEXT(H66,"00"),".",TEXT(J66,"000")),IF(B66="Subetapa",CONCATENATE(TEXT(H66,"00"),".",TEXT(J66,"000"),".",TEXT(L66,"000")),IF(B66="Serviço",CONCATENATE(TEXT(H66,"00"),".",TEXT(J66,"000"),".",TEXT(L66,"000"),".",TEXT(N66,"000")),"")))))</f>
        <v/>
      </c>
      <c r="E66" s="228" t="str">
        <f ca="1">IF(B66="*","",IFERROR(IF(B66="SERVIÇO",D66,OFFSET(E66,-1,0)),""))</f>
        <v>01.002.001.009</v>
      </c>
      <c r="F66" s="230">
        <f ca="1">IF($B66="UNIDADE CONSTRUTIVA",OFFSET(F66,-1,0)+1,LARGE(F$10:F65,1))</f>
        <v>1</v>
      </c>
      <c r="G66" s="228" t="str">
        <f ca="1">IF(B66="*","",IF(B66="UNIDADE CONSTRUTIVA",S66,OFFSET(G66,-1,0)))</f>
        <v xml:space="preserve">   GERENCIAMENTO TÉCNICO E ADMINISTRATIVO</v>
      </c>
      <c r="H66" s="230">
        <f ca="1">IF(B66="UNIDADE CONSTRUTIVA",0,IF(B66="CÉLULA CONSTRUTIVA",OFFSET(H66,-1,0)+1,OFFSET(H66,-1,0)))</f>
        <v>1</v>
      </c>
      <c r="I66" s="228" t="str">
        <f ca="1">IF(B66="*","",IF(B66="CÉLULA CONSTRUTIVA",S66,OFFSET(I66,-1,0)))</f>
        <v xml:space="preserve">   GERENCIAMENTO TÉCNICO</v>
      </c>
      <c r="J66" s="230">
        <f ca="1">IF(B66="CÉLULA CONSTRUTIVA",0,IF(B66="ETAPA",OFFSET(J66,-1,0)+1,OFFSET(J66,-1,0)))</f>
        <v>2</v>
      </c>
      <c r="K66" s="228" t="str">
        <f ca="1">IF(B66="*","",IF(B66="ETAPA",S66,OFFSET(K66,-1,0)))</f>
        <v xml:space="preserve">   TAXAS | DOCUMENTOS</v>
      </c>
      <c r="L66" s="231">
        <f ca="1">IF(B66="ETAPA",0,IF(B66="SUBETAPA",OFFSET(L66,-1,0)+1,OFFSET(L66,-1,0)))</f>
        <v>1</v>
      </c>
      <c r="M66" s="228" t="str">
        <f ca="1">IF(B66="*","",IF(B66="SUBETAPA",S66,OFFSET(M66,-1,0)))</f>
        <v xml:space="preserve">   Licenciamento - Taxas - Impostos</v>
      </c>
      <c r="N66" s="231">
        <f ca="1">IF(B66="Subetapa",0,IF(B66="serviço",OFFSET(N66,-1,0)+1,OFFSET(N66,-1,0)))</f>
        <v>9</v>
      </c>
      <c r="O66" s="228" t="str">
        <f ca="1">IF(B66="*","",IF(B66="SERVIÇO",S66,OFFSET(O66,-1,0)))</f>
        <v>Taxa de As Built</v>
      </c>
      <c r="P66" s="232" t="str">
        <f>IF(S66="","",IF(Orçamento!$B66="INSUMO",S66,""))</f>
        <v>Taxas de As Built</v>
      </c>
      <c r="Q66" s="244" t="str">
        <f>IF(B66="","",IF(B66="Serviço",S66,""))</f>
        <v/>
      </c>
      <c r="R66" s="234">
        <f ca="1">IF(B66="serviço",U66,OFFSET(R66,-1,0))</f>
        <v>1</v>
      </c>
      <c r="S66" s="233" t="s">
        <v>581</v>
      </c>
      <c r="T66" s="242" t="str">
        <f>_xlfn.XLOOKUP(S66,Insumos!$A$3:$A$371,Insumos!$B$3:$B$371)</f>
        <v>VB</v>
      </c>
      <c r="U66" s="235">
        <f t="shared" ca="1" si="16"/>
        <v>1</v>
      </c>
      <c r="V66" s="320">
        <v>1</v>
      </c>
      <c r="W66" s="236">
        <f>IFERROR(IF(B66="INSUMO",_xlfn.XLOOKUP(S66,Insumos!A:A,Insumos!C:C),""),"Inserir Preço")</f>
        <v>7600</v>
      </c>
      <c r="X66" s="235">
        <f t="shared" ca="1" si="7"/>
        <v>1</v>
      </c>
      <c r="Y66" s="236">
        <f t="shared" si="24"/>
        <v>7600</v>
      </c>
      <c r="Z66" s="237">
        <f t="shared" ca="1" si="9"/>
        <v>7600</v>
      </c>
      <c r="AA66" s="238"/>
      <c r="AB66" s="233" t="str">
        <f>IF(B66="insumo",_xlfn.XLOOKUP(S66,Insumos!A:A,Insumos!D:D),"")</f>
        <v>Base de dados</v>
      </c>
      <c r="AC66" s="239">
        <f t="shared" ca="1" si="10"/>
        <v>1.0902892907543689E-3</v>
      </c>
      <c r="AE66" s="240">
        <f ca="1">IFERROR(IF(OR(Z66="",Z66=0),"",IF(AF66="","",IF(AF66="R$/mês",Z66/OBRA!$D$12,IF(AF66="R$/m²",Z66/OBRA!$D$10,IF(AF66="R$/apto",Orçamento!Z66/OBRA!$D$11,""))))),"")</f>
        <v>3.9110141362576742</v>
      </c>
      <c r="AF66" s="241" t="s">
        <v>154</v>
      </c>
    </row>
    <row r="67" spans="1:32" s="10" customFormat="1" ht="13.15" hidden="1" customHeight="1" outlineLevel="4" x14ac:dyDescent="0.2">
      <c r="A67" s="227"/>
      <c r="B67" s="228" t="s">
        <v>4</v>
      </c>
      <c r="C67" s="229">
        <f t="shared" si="0"/>
        <v>1</v>
      </c>
      <c r="D67" s="227" t="str">
        <f ca="1">IF(B67="Unidade Construtiva",TEXT(F67,"00"),IF(B67="Célula Construtiva",TEXT(H67,"00"),IF(B67="Etapa",CONCATENATE(TEXT(H67,"00"),".",TEXT(J67,"000")),IF(B67="Subetapa",CONCATENATE(TEXT(H67,"00"),".",TEXT(J67,"000"),".",TEXT(L67,"000")),IF(B67="Serviço",CONCATENATE(TEXT(H67,"00"),".",TEXT(J67,"000"),".",TEXT(L67,"000"),".",TEXT(N67,"000")),"")))))</f>
        <v>01.002.001.010</v>
      </c>
      <c r="E67" s="228" t="str">
        <f ca="1">IF(B67="*","",IFERROR(IF(B67="SERVIÇO",D67,OFFSET(E67,-1,0)),""))</f>
        <v>01.002.001.010</v>
      </c>
      <c r="F67" s="230">
        <f ca="1">IF($B67="UNIDADE CONSTRUTIVA",OFFSET(F67,-1,0)+1,LARGE(F$10:F66,1))</f>
        <v>1</v>
      </c>
      <c r="G67" s="228" t="str">
        <f ca="1">IF(B67="*","",IF(B67="UNIDADE CONSTRUTIVA",S67,OFFSET(G67,-1,0)))</f>
        <v xml:space="preserve">   GERENCIAMENTO TÉCNICO E ADMINISTRATIVO</v>
      </c>
      <c r="H67" s="230">
        <f ca="1">IF(B67="UNIDADE CONSTRUTIVA",0,IF(B67="CÉLULA CONSTRUTIVA",OFFSET(H67,-1,0)+1,OFFSET(H67,-1,0)))</f>
        <v>1</v>
      </c>
      <c r="I67" s="228" t="str">
        <f ca="1">IF(B67="*","",IF(B67="CÉLULA CONSTRUTIVA",S67,OFFSET(I67,-1,0)))</f>
        <v xml:space="preserve">   GERENCIAMENTO TÉCNICO</v>
      </c>
      <c r="J67" s="230">
        <f ca="1">IF(B67="CÉLULA CONSTRUTIVA",0,IF(B67="ETAPA",OFFSET(J67,-1,0)+1,OFFSET(J67,-1,0)))</f>
        <v>2</v>
      </c>
      <c r="K67" s="228" t="str">
        <f ca="1">IF(B67="*","",IF(B67="ETAPA",S67,OFFSET(K67,-1,0)))</f>
        <v xml:space="preserve">   TAXAS | DOCUMENTOS</v>
      </c>
      <c r="L67" s="231">
        <f ca="1">IF(B67="ETAPA",0,IF(B67="SUBETAPA",OFFSET(L67,-1,0)+1,OFFSET(L67,-1,0)))</f>
        <v>1</v>
      </c>
      <c r="M67" s="228" t="str">
        <f ca="1">IF(B67="*","",IF(B67="SUBETAPA",S67,OFFSET(M67,-1,0)))</f>
        <v xml:space="preserve">   Licenciamento - Taxas - Impostos</v>
      </c>
      <c r="N67" s="231">
        <f ca="1">IF(B67="Subetapa",0,IF(B67="serviço",OFFSET(N67,-1,0)+1,OFFSET(N67,-1,0)))</f>
        <v>10</v>
      </c>
      <c r="O67" s="228" t="str">
        <f ca="1">IF(B67="*","",IF(B67="SERVIÇO",S67,OFFSET(O67,-1,0)))</f>
        <v>Taxa de Habite-se</v>
      </c>
      <c r="P67" s="232" t="str">
        <f>IF(S67="","",IF(Orçamento!$B67="INSUMO",S67,""))</f>
        <v/>
      </c>
      <c r="Q67" s="244" t="str">
        <f>IF(B67="","",IF(B67="Serviço",S67,""))</f>
        <v>Taxa de Habite-se</v>
      </c>
      <c r="R67" s="234">
        <f ca="1">IF(B67="serviço",U67,OFFSET(R67,-1,0))</f>
        <v>1</v>
      </c>
      <c r="S67" s="233" t="s">
        <v>580</v>
      </c>
      <c r="T67" s="242" t="s">
        <v>170</v>
      </c>
      <c r="U67" s="235">
        <v>1</v>
      </c>
      <c r="V67" s="320" t="s">
        <v>35</v>
      </c>
      <c r="W67" s="236" t="str">
        <f>IFERROR(IF(B67="INSUMO",_xlfn.XLOOKUP(S67,Insumos!A:A,Insumos!C:C),""),"Inserir Preço")</f>
        <v/>
      </c>
      <c r="X67" s="235">
        <f ca="1">IF(B67="Complemento do insumo",V67,IF(R67="","",IF(B67="serviço",R67,IF(OR(B67="insumo"),V67*R67,""))))</f>
        <v>1</v>
      </c>
      <c r="Y67" s="236">
        <f t="shared" ca="1" si="24"/>
        <v>2528.2336255662462</v>
      </c>
      <c r="Z67" s="237">
        <f t="shared" ca="1" si="9"/>
        <v>2528.2336255662462</v>
      </c>
      <c r="AA67" s="238"/>
      <c r="AB67" s="233" t="str">
        <f>IF(B67="insumo",_xlfn.XLOOKUP(S67,Insumos!A:A,Insumos!D:D),"")</f>
        <v/>
      </c>
      <c r="AC67" s="239">
        <f t="shared" ca="1" si="10"/>
        <v>3.6269816401052223E-4</v>
      </c>
      <c r="AE67" s="240">
        <f ca="1">IFERROR(IF(OR(Z67="",Z67=0),"",IF(AF67="","",IF(AF67="R$/mês",Z67/OBRA!$D$12,IF(AF67="R$/m²",Z67/OBRA!$D$10,IF(AF67="R$/apto",Orçamento!Z67/OBRA!$D$11,""))))),"")</f>
        <v>1.3010470328094184</v>
      </c>
      <c r="AF67" s="241" t="s">
        <v>154</v>
      </c>
    </row>
    <row r="68" spans="1:32" s="10" customFormat="1" ht="13.15" hidden="1" customHeight="1" outlineLevel="4" x14ac:dyDescent="0.2">
      <c r="A68" s="227"/>
      <c r="B68" s="228" t="s">
        <v>19</v>
      </c>
      <c r="C68" s="229">
        <f t="shared" si="0"/>
        <v>1</v>
      </c>
      <c r="D68" s="227" t="str">
        <f>IF(B68="Unidade Construtiva",TEXT(F68,"00"),IF(B68="Célula Construtiva",TEXT(H68,"00"),IF(B68="Etapa",CONCATENATE(TEXT(H68,"00"),".",TEXT(J68,"000")),IF(B68="Subetapa",CONCATENATE(TEXT(H68,"00"),".",TEXT(J68,"000"),".",TEXT(L68,"000")),IF(B68="Serviço",CONCATENATE(TEXT(H68,"00"),".",TEXT(J68,"000"),".",TEXT(L68,"000"),".",TEXT(N68,"000")),"")))))</f>
        <v/>
      </c>
      <c r="E68" s="228" t="str">
        <f ca="1">IF(B68="*","",IFERROR(IF(B68="SERVIÇO",D68,OFFSET(E68,-1,0)),""))</f>
        <v>01.002.001.010</v>
      </c>
      <c r="F68" s="230">
        <f ca="1">IF($B68="UNIDADE CONSTRUTIVA",OFFSET(F68,-1,0)+1,LARGE(F$10:F67,1))</f>
        <v>1</v>
      </c>
      <c r="G68" s="228" t="str">
        <f ca="1">IF(B68="*","",IF(B68="UNIDADE CONSTRUTIVA",S68,OFFSET(G68,-1,0)))</f>
        <v xml:space="preserve">   GERENCIAMENTO TÉCNICO E ADMINISTRATIVO</v>
      </c>
      <c r="H68" s="230">
        <f ca="1">IF(B68="UNIDADE CONSTRUTIVA",0,IF(B68="CÉLULA CONSTRUTIVA",OFFSET(H68,-1,0)+1,OFFSET(H68,-1,0)))</f>
        <v>1</v>
      </c>
      <c r="I68" s="228" t="str">
        <f ca="1">IF(B68="*","",IF(B68="CÉLULA CONSTRUTIVA",S68,OFFSET(I68,-1,0)))</f>
        <v xml:space="preserve">   GERENCIAMENTO TÉCNICO</v>
      </c>
      <c r="J68" s="230">
        <f ca="1">IF(B68="CÉLULA CONSTRUTIVA",0,IF(B68="ETAPA",OFFSET(J68,-1,0)+1,OFFSET(J68,-1,0)))</f>
        <v>2</v>
      </c>
      <c r="K68" s="228" t="str">
        <f ca="1">IF(B68="*","",IF(B68="ETAPA",S68,OFFSET(K68,-1,0)))</f>
        <v xml:space="preserve">   TAXAS | DOCUMENTOS</v>
      </c>
      <c r="L68" s="231">
        <f ca="1">IF(B68="ETAPA",0,IF(B68="SUBETAPA",OFFSET(L68,-1,0)+1,OFFSET(L68,-1,0)))</f>
        <v>1</v>
      </c>
      <c r="M68" s="228" t="str">
        <f ca="1">IF(B68="*","",IF(B68="SUBETAPA",S68,OFFSET(M68,-1,0)))</f>
        <v xml:space="preserve">   Licenciamento - Taxas - Impostos</v>
      </c>
      <c r="N68" s="231">
        <f ca="1">IF(B68="Subetapa",0,IF(B68="serviço",OFFSET(N68,-1,0)+1,OFFSET(N68,-1,0)))</f>
        <v>10</v>
      </c>
      <c r="O68" s="228" t="str">
        <f ca="1">IF(B68="*","",IF(B68="SERVIÇO",S68,OFFSET(O68,-1,0)))</f>
        <v>Taxa de Habite-se</v>
      </c>
      <c r="P68" s="232" t="str">
        <f>IF(S68="","",IF(Orçamento!$B68="INSUMO",S68,""))</f>
        <v>Taxas de Habite-se</v>
      </c>
      <c r="Q68" s="244" t="str">
        <f>IF(B68="","",IF(B68="Serviço",S68,""))</f>
        <v/>
      </c>
      <c r="R68" s="234">
        <f ca="1">IF(B68="serviço",U68,OFFSET(R68,-1,0))</f>
        <v>1</v>
      </c>
      <c r="S68" s="233" t="s">
        <v>582</v>
      </c>
      <c r="T68" s="242" t="str">
        <f>_xlfn.XLOOKUP(S68,Insumos!$A$3:$A$371,Insumos!$B$3:$B$371)</f>
        <v>VB</v>
      </c>
      <c r="U68" s="235">
        <f t="shared" ca="1" si="16"/>
        <v>1</v>
      </c>
      <c r="V68" s="320">
        <v>1</v>
      </c>
      <c r="W68" s="236">
        <f>IFERROR(IF(B68="INSUMO",_xlfn.XLOOKUP(S68,Insumos!A:A,Insumos!C:C),""),"Inserir Preço")</f>
        <v>2528.2336255662462</v>
      </c>
      <c r="X68" s="235">
        <f t="shared" ca="1" si="7"/>
        <v>1</v>
      </c>
      <c r="Y68" s="236">
        <f t="shared" si="24"/>
        <v>2528.2336255662462</v>
      </c>
      <c r="Z68" s="237">
        <f t="shared" ca="1" si="9"/>
        <v>2528.2336255662462</v>
      </c>
      <c r="AA68" s="238"/>
      <c r="AB68" s="233" t="str">
        <f>IF(B68="insumo",_xlfn.XLOOKUP(S68,Insumos!A:A,Insumos!D:D),"")</f>
        <v>Base de dados</v>
      </c>
      <c r="AC68" s="239">
        <f t="shared" ca="1" si="10"/>
        <v>3.6269816401052223E-4</v>
      </c>
      <c r="AE68" s="240">
        <f ca="1">IFERROR(IF(OR(Z68="",Z68=0),"",IF(AF68="","",IF(AF68="R$/mês",Z68/OBRA!$D$12,IF(AF68="R$/m²",Z68/OBRA!$D$10,IF(AF68="R$/apto",Orçamento!Z68/OBRA!$D$11,""))))),"")</f>
        <v>1.3010470328094184</v>
      </c>
      <c r="AF68" s="241" t="s">
        <v>154</v>
      </c>
    </row>
    <row r="69" spans="1:32" s="10" customFormat="1" ht="13.15" hidden="1" customHeight="1" outlineLevel="4" x14ac:dyDescent="0.2">
      <c r="A69" s="227"/>
      <c r="B69" s="228" t="s">
        <v>4</v>
      </c>
      <c r="C69" s="229">
        <f t="shared" si="0"/>
        <v>1</v>
      </c>
      <c r="D69" s="227" t="str">
        <f t="shared" ca="1" si="37"/>
        <v>01.002.001.011</v>
      </c>
      <c r="E69" s="228" t="str">
        <f t="shared" ca="1" si="25"/>
        <v>01.002.001.011</v>
      </c>
      <c r="F69" s="230">
        <f ca="1">IF($B69="UNIDADE CONSTRUTIVA",OFFSET(F69,-1,0)+1,LARGE(F$10:F68,1))</f>
        <v>1</v>
      </c>
      <c r="G69" s="228" t="str">
        <f t="shared" ca="1" si="26"/>
        <v xml:space="preserve">   GERENCIAMENTO TÉCNICO E ADMINISTRATIVO</v>
      </c>
      <c r="H69" s="230">
        <f t="shared" ca="1" si="27"/>
        <v>1</v>
      </c>
      <c r="I69" s="228" t="str">
        <f t="shared" ca="1" si="28"/>
        <v xml:space="preserve">   GERENCIAMENTO TÉCNICO</v>
      </c>
      <c r="J69" s="230">
        <f t="shared" ca="1" si="29"/>
        <v>2</v>
      </c>
      <c r="K69" s="228" t="str">
        <f t="shared" ca="1" si="30"/>
        <v xml:space="preserve">   TAXAS | DOCUMENTOS</v>
      </c>
      <c r="L69" s="231">
        <f t="shared" ca="1" si="31"/>
        <v>1</v>
      </c>
      <c r="M69" s="228" t="str">
        <f t="shared" ca="1" si="32"/>
        <v xml:space="preserve">   Licenciamento - Taxas - Impostos</v>
      </c>
      <c r="N69" s="231">
        <f t="shared" ca="1" si="33"/>
        <v>11</v>
      </c>
      <c r="O69" s="228" t="str">
        <f t="shared" ca="1" si="34"/>
        <v>Taxa de Alvará</v>
      </c>
      <c r="P69" s="232" t="str">
        <f>IF(S69="","",IF(Orçamento!$B69="INSUMO",S69,""))</f>
        <v/>
      </c>
      <c r="Q69" s="244" t="str">
        <f t="shared" si="38"/>
        <v>Taxa de Alvará</v>
      </c>
      <c r="R69" s="234">
        <f t="shared" ca="1" si="35"/>
        <v>1</v>
      </c>
      <c r="S69" s="233" t="s">
        <v>583</v>
      </c>
      <c r="T69" s="242" t="s">
        <v>170</v>
      </c>
      <c r="U69" s="235">
        <v>1</v>
      </c>
      <c r="V69" s="320" t="s">
        <v>35</v>
      </c>
      <c r="W69" s="236" t="str">
        <f>IFERROR(IF(B69="INSUMO",_xlfn.XLOOKUP(S69,Insumos!A:A,Insumos!C:C),""),"Inserir Preço")</f>
        <v/>
      </c>
      <c r="X69" s="235">
        <f t="shared" ca="1" si="36"/>
        <v>1</v>
      </c>
      <c r="Y69" s="236">
        <f t="shared" ca="1" si="24"/>
        <v>2000</v>
      </c>
      <c r="Z69" s="237">
        <f t="shared" ca="1" si="9"/>
        <v>2000</v>
      </c>
      <c r="AA69" s="238"/>
      <c r="AB69" s="233" t="str">
        <f>IF(B69="insumo",_xlfn.XLOOKUP(S69,Insumos!A:A,Insumos!D:D),"")</f>
        <v/>
      </c>
      <c r="AC69" s="239">
        <f t="shared" ca="1" si="10"/>
        <v>2.8691823440904441E-4</v>
      </c>
      <c r="AE69" s="240">
        <f ca="1">IFERROR(IF(OR(Z69="",Z69=0),"",IF(AF69="","",IF(AF69="R$/mês",Z69/OBRA!$D$12,IF(AF69="R$/m²",Z69/OBRA!$D$10,IF(AF69="R$/apto",Orçamento!Z69/OBRA!$D$11,""))))),"")</f>
        <v>1.0292142463835985</v>
      </c>
      <c r="AF69" s="241" t="s">
        <v>154</v>
      </c>
    </row>
    <row r="70" spans="1:32" s="10" customFormat="1" ht="13.15" hidden="1" customHeight="1" outlineLevel="4" x14ac:dyDescent="0.2">
      <c r="A70" s="227"/>
      <c r="B70" s="228" t="s">
        <v>19</v>
      </c>
      <c r="C70" s="229">
        <f t="shared" si="0"/>
        <v>1</v>
      </c>
      <c r="D70" s="227" t="str">
        <f t="shared" si="37"/>
        <v/>
      </c>
      <c r="E70" s="228" t="str">
        <f t="shared" ca="1" si="25"/>
        <v>01.002.001.011</v>
      </c>
      <c r="F70" s="230">
        <f ca="1">IF($B70="UNIDADE CONSTRUTIVA",OFFSET(F70,-1,0)+1,LARGE(F$10:F69,1))</f>
        <v>1</v>
      </c>
      <c r="G70" s="228" t="str">
        <f t="shared" ca="1" si="26"/>
        <v xml:space="preserve">   GERENCIAMENTO TÉCNICO E ADMINISTRATIVO</v>
      </c>
      <c r="H70" s="230">
        <f t="shared" ca="1" si="27"/>
        <v>1</v>
      </c>
      <c r="I70" s="228" t="str">
        <f t="shared" ca="1" si="28"/>
        <v xml:space="preserve">   GERENCIAMENTO TÉCNICO</v>
      </c>
      <c r="J70" s="230">
        <f t="shared" ca="1" si="29"/>
        <v>2</v>
      </c>
      <c r="K70" s="228" t="str">
        <f t="shared" ca="1" si="30"/>
        <v xml:space="preserve">   TAXAS | DOCUMENTOS</v>
      </c>
      <c r="L70" s="231">
        <f t="shared" ca="1" si="31"/>
        <v>1</v>
      </c>
      <c r="M70" s="228" t="str">
        <f t="shared" ca="1" si="32"/>
        <v xml:space="preserve">   Licenciamento - Taxas - Impostos</v>
      </c>
      <c r="N70" s="231">
        <f t="shared" ca="1" si="33"/>
        <v>11</v>
      </c>
      <c r="O70" s="228" t="str">
        <f t="shared" ca="1" si="34"/>
        <v>Taxa de Alvará</v>
      </c>
      <c r="P70" s="232" t="str">
        <f>IF(S70="","",IF(Orçamento!$B70="INSUMO",S70,""))</f>
        <v>TAXAS DE APROVACAO E ALVARAS</v>
      </c>
      <c r="Q70" s="244" t="str">
        <f t="shared" si="38"/>
        <v/>
      </c>
      <c r="R70" s="234">
        <f t="shared" ca="1" si="35"/>
        <v>1</v>
      </c>
      <c r="S70" s="233" t="s">
        <v>396</v>
      </c>
      <c r="T70" s="242" t="str">
        <f>_xlfn.XLOOKUP(S70,Insumos!$A$3:$A$371,Insumos!$B$3:$B$371)</f>
        <v>VB</v>
      </c>
      <c r="U70" s="235">
        <f t="shared" ca="1" si="16"/>
        <v>1</v>
      </c>
      <c r="V70" s="320">
        <v>1</v>
      </c>
      <c r="W70" s="236">
        <f>IFERROR(IF(B70="INSUMO",_xlfn.XLOOKUP(S70,Insumos!A:A,Insumos!C:C),""),"Inserir Preço")</f>
        <v>2000</v>
      </c>
      <c r="X70" s="235">
        <f t="shared" ca="1" si="7"/>
        <v>1</v>
      </c>
      <c r="Y70" s="236">
        <f t="shared" si="24"/>
        <v>2000</v>
      </c>
      <c r="Z70" s="237">
        <f t="shared" ca="1" si="9"/>
        <v>2000</v>
      </c>
      <c r="AA70" s="238"/>
      <c r="AB70" s="233" t="str">
        <f>IF(B70="insumo",_xlfn.XLOOKUP(S70,Insumos!A:A,Insumos!D:D),"")</f>
        <v>Recebido Cliente</v>
      </c>
      <c r="AC70" s="239">
        <f t="shared" ca="1" si="10"/>
        <v>2.8691823440904441E-4</v>
      </c>
      <c r="AE70" s="240">
        <f ca="1">IFERROR(IF(OR(Z70="",Z70=0),"",IF(AF70="","",IF(AF70="R$/mês",Z70/OBRA!$D$12,IF(AF70="R$/m²",Z70/OBRA!$D$10,IF(AF70="R$/apto",Orçamento!Z70/OBRA!$D$11,""))))),"")</f>
        <v>1.0292142463835985</v>
      </c>
      <c r="AF70" s="241" t="s">
        <v>154</v>
      </c>
    </row>
    <row r="71" spans="1:32" s="10" customFormat="1" ht="13.15" hidden="1" customHeight="1" outlineLevel="4" x14ac:dyDescent="0.2">
      <c r="A71" s="227"/>
      <c r="B71" s="228" t="s">
        <v>4</v>
      </c>
      <c r="C71" s="229">
        <f t="shared" si="0"/>
        <v>1</v>
      </c>
      <c r="D71" s="227" t="str">
        <f t="shared" ca="1" si="37"/>
        <v>01.002.001.012</v>
      </c>
      <c r="E71" s="228" t="str">
        <f t="shared" ca="1" si="25"/>
        <v>01.002.001.012</v>
      </c>
      <c r="F71" s="230">
        <f ca="1">IF($B71="UNIDADE CONSTRUTIVA",OFFSET(F71,-1,0)+1,LARGE(F$10:F70,1))</f>
        <v>1</v>
      </c>
      <c r="G71" s="228" t="str">
        <f t="shared" ca="1" si="26"/>
        <v xml:space="preserve">   GERENCIAMENTO TÉCNICO E ADMINISTRATIVO</v>
      </c>
      <c r="H71" s="230">
        <f t="shared" ca="1" si="27"/>
        <v>1</v>
      </c>
      <c r="I71" s="228" t="str">
        <f t="shared" ca="1" si="28"/>
        <v xml:space="preserve">   GERENCIAMENTO TÉCNICO</v>
      </c>
      <c r="J71" s="230">
        <f t="shared" ca="1" si="29"/>
        <v>2</v>
      </c>
      <c r="K71" s="228" t="str">
        <f t="shared" ca="1" si="30"/>
        <v xml:space="preserve">   TAXAS | DOCUMENTOS</v>
      </c>
      <c r="L71" s="231">
        <f t="shared" ca="1" si="31"/>
        <v>1</v>
      </c>
      <c r="M71" s="228" t="str">
        <f t="shared" ca="1" si="32"/>
        <v xml:space="preserve">   Licenciamento - Taxas - Impostos</v>
      </c>
      <c r="N71" s="231">
        <f t="shared" ca="1" si="33"/>
        <v>12</v>
      </c>
      <c r="O71" s="228" t="str">
        <f t="shared" ca="1" si="34"/>
        <v>Manuais Técnicos</v>
      </c>
      <c r="P71" s="232" t="str">
        <f>IF(S71="","",IF(Orçamento!$B71="INSUMO",S71,""))</f>
        <v/>
      </c>
      <c r="Q71" s="244" t="str">
        <f t="shared" si="38"/>
        <v>Manuais Técnicos</v>
      </c>
      <c r="R71" s="234">
        <f t="shared" ca="1" si="35"/>
        <v>1</v>
      </c>
      <c r="S71" s="233" t="s">
        <v>589</v>
      </c>
      <c r="T71" s="242" t="s">
        <v>170</v>
      </c>
      <c r="U71" s="235">
        <v>1</v>
      </c>
      <c r="V71" s="320" t="s">
        <v>35</v>
      </c>
      <c r="W71" s="236" t="str">
        <f>IFERROR(IF(B71="INSUMO",_xlfn.XLOOKUP(S71,Insumos!A:A,Insumos!C:C),""),"Inserir Preço")</f>
        <v/>
      </c>
      <c r="X71" s="235">
        <f t="shared" ca="1" si="36"/>
        <v>1</v>
      </c>
      <c r="Y71" s="236">
        <f t="shared" ca="1" si="24"/>
        <v>5700</v>
      </c>
      <c r="Z71" s="237">
        <f t="shared" ca="1" si="9"/>
        <v>5700</v>
      </c>
      <c r="AA71" s="238"/>
      <c r="AB71" s="233" t="str">
        <f>IF(B71="insumo",_xlfn.XLOOKUP(S71,Insumos!A:A,Insumos!D:D),"")</f>
        <v/>
      </c>
      <c r="AC71" s="239">
        <f t="shared" ca="1" si="10"/>
        <v>8.1771696806577665E-4</v>
      </c>
      <c r="AE71" s="240">
        <f ca="1">IFERROR(IF(OR(Z71="",Z71=0),"",IF(AF71="","",IF(AF71="R$/mês",Z71/OBRA!$D$12,IF(AF71="R$/m²",Z71/OBRA!$D$10,IF(AF71="R$/apto",Orçamento!Z71/OBRA!$D$11,""))))),"")</f>
        <v>2.9332606021932555</v>
      </c>
      <c r="AF71" s="241" t="s">
        <v>154</v>
      </c>
    </row>
    <row r="72" spans="1:32" s="10" customFormat="1" ht="13.15" hidden="1" customHeight="1" outlineLevel="4" x14ac:dyDescent="0.2">
      <c r="A72" s="227"/>
      <c r="B72" s="228" t="s">
        <v>19</v>
      </c>
      <c r="C72" s="229">
        <f t="shared" si="0"/>
        <v>1</v>
      </c>
      <c r="D72" s="227" t="str">
        <f t="shared" si="37"/>
        <v/>
      </c>
      <c r="E72" s="228" t="str">
        <f t="shared" ca="1" si="25"/>
        <v>01.002.001.012</v>
      </c>
      <c r="F72" s="230">
        <f ca="1">IF($B72="UNIDADE CONSTRUTIVA",OFFSET(F72,-1,0)+1,LARGE(F$10:F71,1))</f>
        <v>1</v>
      </c>
      <c r="G72" s="228" t="str">
        <f t="shared" ca="1" si="26"/>
        <v xml:space="preserve">   GERENCIAMENTO TÉCNICO E ADMINISTRATIVO</v>
      </c>
      <c r="H72" s="230">
        <f t="shared" ca="1" si="27"/>
        <v>1</v>
      </c>
      <c r="I72" s="228" t="str">
        <f t="shared" ca="1" si="28"/>
        <v xml:space="preserve">   GERENCIAMENTO TÉCNICO</v>
      </c>
      <c r="J72" s="230">
        <f t="shared" ca="1" si="29"/>
        <v>2</v>
      </c>
      <c r="K72" s="228" t="str">
        <f t="shared" ca="1" si="30"/>
        <v xml:space="preserve">   TAXAS | DOCUMENTOS</v>
      </c>
      <c r="L72" s="231">
        <f t="shared" ca="1" si="31"/>
        <v>1</v>
      </c>
      <c r="M72" s="228" t="str">
        <f t="shared" ca="1" si="32"/>
        <v xml:space="preserve">   Licenciamento - Taxas - Impostos</v>
      </c>
      <c r="N72" s="231">
        <f t="shared" ca="1" si="33"/>
        <v>12</v>
      </c>
      <c r="O72" s="228" t="str">
        <f t="shared" ca="1" si="34"/>
        <v>Manuais Técnicos</v>
      </c>
      <c r="P72" s="232" t="str">
        <f>IF(S72="","",IF(Orçamento!$B72="INSUMO",S72,""))</f>
        <v>Manuais Técnicos condomínio/proprietários</v>
      </c>
      <c r="Q72" s="244" t="str">
        <f t="shared" si="38"/>
        <v/>
      </c>
      <c r="R72" s="234">
        <f t="shared" ca="1" si="35"/>
        <v>1</v>
      </c>
      <c r="S72" s="233" t="s">
        <v>591</v>
      </c>
      <c r="T72" s="242" t="str">
        <f>_xlfn.XLOOKUP(S72,Insumos!$A$3:$A$371,Insumos!$B$3:$B$371)</f>
        <v>VB</v>
      </c>
      <c r="U72" s="235">
        <f t="shared" ca="1" si="16"/>
        <v>1</v>
      </c>
      <c r="V72" s="320">
        <v>1</v>
      </c>
      <c r="W72" s="236">
        <f>IFERROR(IF(B72="INSUMO",_xlfn.XLOOKUP(S72,Insumos!A:A,Insumos!C:C),""),"Inserir Preço")</f>
        <v>5700</v>
      </c>
      <c r="X72" s="235">
        <f t="shared" ca="1" si="7"/>
        <v>1</v>
      </c>
      <c r="Y72" s="236">
        <f t="shared" si="24"/>
        <v>5700</v>
      </c>
      <c r="Z72" s="237">
        <f t="shared" ca="1" si="9"/>
        <v>5700</v>
      </c>
      <c r="AA72" s="238"/>
      <c r="AB72" s="233" t="str">
        <f>IF(B72="insumo",_xlfn.XLOOKUP(S72,Insumos!A:A,Insumos!D:D),"")</f>
        <v>Base de dados</v>
      </c>
      <c r="AC72" s="239">
        <f t="shared" ca="1" si="10"/>
        <v>8.1771696806577665E-4</v>
      </c>
      <c r="AE72" s="240">
        <f ca="1">IFERROR(IF(OR(Z72="",Z72=0),"",IF(AF72="","",IF(AF72="R$/mês",Z72/OBRA!$D$12,IF(AF72="R$/m²",Z72/OBRA!$D$10,IF(AF72="R$/apto",Orçamento!Z72/OBRA!$D$11,""))))),"")</f>
        <v>2.9332606021932555</v>
      </c>
      <c r="AF72" s="241" t="s">
        <v>154</v>
      </c>
    </row>
    <row r="73" spans="1:32" s="10" customFormat="1" ht="13.15" customHeight="1" outlineLevel="1" x14ac:dyDescent="0.2">
      <c r="A73" s="227"/>
      <c r="B73" s="228" t="s">
        <v>1</v>
      </c>
      <c r="C73" s="229" t="str">
        <f t="shared" si="0"/>
        <v/>
      </c>
      <c r="D73" s="227" t="str">
        <f t="shared" ca="1" si="37"/>
        <v>02</v>
      </c>
      <c r="E73" s="228" t="str">
        <f ca="1">IF(B73="*","",IFERROR(IF(B73="SERVIÇO",D73,OFFSET(E73,-1,0)),""))</f>
        <v>01.002.001.012</v>
      </c>
      <c r="F73" s="230">
        <f ca="1">IF($B73="UNIDADE CONSTRUTIVA",OFFSET(F73,-1,0)+1,LARGE(F$10:F72,1))</f>
        <v>1</v>
      </c>
      <c r="G73" s="228" t="str">
        <f t="shared" ca="1" si="26"/>
        <v xml:space="preserve">   GERENCIAMENTO TÉCNICO E ADMINISTRATIVO</v>
      </c>
      <c r="H73" s="230">
        <f ca="1">IF(B73="UNIDADE CONSTRUTIVA",0,IF(B73="CÉLULA CONSTRUTIVA",OFFSET(H73,-1,0)+1,OFFSET(H73,-1,0)))</f>
        <v>2</v>
      </c>
      <c r="I73" s="228" t="str">
        <f t="shared" ca="1" si="28"/>
        <v xml:space="preserve">   GERENCIAMENTO ADMINISTRATIVO</v>
      </c>
      <c r="J73" s="230">
        <f ca="1">IF(B73="CÉLULA CONSTRUTIVA",0,IF(B73="ETAPA",OFFSET(J73,-1,0)+1,OFFSET(J73,-1,0)))</f>
        <v>0</v>
      </c>
      <c r="K73" s="228" t="str">
        <f t="shared" ca="1" si="30"/>
        <v xml:space="preserve">   TAXAS | DOCUMENTOS</v>
      </c>
      <c r="L73" s="231">
        <f ca="1">IF(B73="ETAPA",0,IF(B73="SUBETAPA",OFFSET(L73,-1,0)+1,OFFSET(L73,-1,0)))</f>
        <v>1</v>
      </c>
      <c r="M73" s="228" t="str">
        <f t="shared" ca="1" si="32"/>
        <v xml:space="preserve">   Licenciamento - Taxas - Impostos</v>
      </c>
      <c r="N73" s="231">
        <f ca="1">IF(B73="Subetapa",0,IF(B73="serviço",OFFSET(N73,-1,0)+1,OFFSET(N73,-1,0)))</f>
        <v>12</v>
      </c>
      <c r="O73" s="228" t="str">
        <f t="shared" ca="1" si="34"/>
        <v>Manuais Técnicos</v>
      </c>
      <c r="P73" s="232" t="str">
        <f>IF(S73="","",IF(Orçamento!$B73="INSUMO",S73,""))</f>
        <v/>
      </c>
      <c r="Q73" s="244" t="str">
        <f t="shared" si="38"/>
        <v/>
      </c>
      <c r="R73" s="234">
        <f t="shared" ca="1" si="35"/>
        <v>1</v>
      </c>
      <c r="S73" s="233" t="s">
        <v>542</v>
      </c>
      <c r="T73" s="242" t="s">
        <v>35</v>
      </c>
      <c r="U73" s="235" t="str">
        <f>IF($B73="insumo",R73,"")</f>
        <v/>
      </c>
      <c r="V73" s="320" t="s">
        <v>35</v>
      </c>
      <c r="W73" s="236" t="str">
        <f>IFERROR(IF(B73="INSUMO",_xlfn.XLOOKUP(S73,Insumos!A:A,Insumos!C:C),""),"Inserir Preço")</f>
        <v/>
      </c>
      <c r="X73" s="235" t="str">
        <f t="shared" ca="1" si="36"/>
        <v/>
      </c>
      <c r="Y73" s="236" t="str">
        <f t="shared" si="24"/>
        <v/>
      </c>
      <c r="Z73" s="237">
        <f t="shared" ca="1" si="9"/>
        <v>521568.47864763526</v>
      </c>
      <c r="AA73" s="238"/>
      <c r="AB73" s="233" t="str">
        <f>IF(B73="insumo",_xlfn.XLOOKUP(S73,Insumos!A:A,Insumos!D:D),"")</f>
        <v/>
      </c>
      <c r="AC73" s="239">
        <f t="shared" ca="1" si="10"/>
        <v>7.4823753508495447E-2</v>
      </c>
      <c r="AE73" s="240">
        <f ca="1">IFERROR(IF(OR(Z73="",Z73=0),"",IF(AF73="","",IF(AF73="R$/mês",Z73/OBRA!$D$12,IF(AF73="R$/m²",Z73/OBRA!$D$10,IF(AF73="R$/apto",Orçamento!Z73/OBRA!$D$11,""))))),"")</f>
        <v>268.40285434438294</v>
      </c>
      <c r="AF73" s="241" t="s">
        <v>154</v>
      </c>
    </row>
    <row r="74" spans="1:32" s="10" customFormat="1" ht="13.15" customHeight="1" outlineLevel="2" collapsed="1" x14ac:dyDescent="0.2">
      <c r="A74" s="227"/>
      <c r="B74" s="228" t="s">
        <v>2</v>
      </c>
      <c r="C74" s="229" t="str">
        <f t="shared" si="0"/>
        <v/>
      </c>
      <c r="D74" s="227" t="str">
        <f t="shared" ca="1" si="37"/>
        <v>02.001</v>
      </c>
      <c r="E74" s="228" t="str">
        <f t="shared" ca="1" si="25"/>
        <v>01.002.001.012</v>
      </c>
      <c r="F74" s="230">
        <f ca="1">IF($B74="UNIDADE CONSTRUTIVA",OFFSET(F74,-1,0)+1,LARGE(F$10:F73,1))</f>
        <v>1</v>
      </c>
      <c r="G74" s="228" t="str">
        <f t="shared" ca="1" si="26"/>
        <v xml:space="preserve">   GERENCIAMENTO TÉCNICO E ADMINISTRATIVO</v>
      </c>
      <c r="H74" s="230">
        <f t="shared" ca="1" si="27"/>
        <v>2</v>
      </c>
      <c r="I74" s="228" t="str">
        <f t="shared" ca="1" si="28"/>
        <v xml:space="preserve">   GERENCIAMENTO ADMINISTRATIVO</v>
      </c>
      <c r="J74" s="230">
        <f t="shared" ca="1" si="29"/>
        <v>1</v>
      </c>
      <c r="K74" s="228" t="str">
        <f t="shared" ca="1" si="30"/>
        <v xml:space="preserve">   SEGURANÇA | MEIO AMBIENTE | SAÚDE</v>
      </c>
      <c r="L74" s="231">
        <f t="shared" ca="1" si="31"/>
        <v>0</v>
      </c>
      <c r="M74" s="228" t="str">
        <f t="shared" ca="1" si="32"/>
        <v xml:space="preserve">   Licenciamento - Taxas - Impostos</v>
      </c>
      <c r="N74" s="231">
        <f t="shared" ca="1" si="33"/>
        <v>12</v>
      </c>
      <c r="O74" s="228" t="str">
        <f t="shared" ca="1" si="34"/>
        <v>Manuais Técnicos</v>
      </c>
      <c r="P74" s="232" t="str">
        <f>IF(S74="","",IF(Orçamento!$B74="INSUMO",S74,""))</f>
        <v/>
      </c>
      <c r="Q74" s="244" t="str">
        <f t="shared" si="38"/>
        <v/>
      </c>
      <c r="R74" s="234">
        <f t="shared" ca="1" si="35"/>
        <v>1</v>
      </c>
      <c r="S74" s="233" t="s">
        <v>414</v>
      </c>
      <c r="T74" s="242" t="s">
        <v>35</v>
      </c>
      <c r="U74" s="235" t="str">
        <f>IF($B74="insumo",R74,"")</f>
        <v/>
      </c>
      <c r="V74" s="320" t="s">
        <v>35</v>
      </c>
      <c r="W74" s="236" t="str">
        <f>IFERROR(IF(B74="INSUMO",_xlfn.XLOOKUP(S74,Insumos!A:A,Insumos!C:C),""),"Inserir Preço")</f>
        <v/>
      </c>
      <c r="X74" s="235" t="str">
        <f t="shared" ca="1" si="36"/>
        <v/>
      </c>
      <c r="Y74" s="236" t="str">
        <f t="shared" si="24"/>
        <v/>
      </c>
      <c r="Z74" s="237">
        <f t="shared" ca="1" si="9"/>
        <v>88603.021259599976</v>
      </c>
      <c r="AA74" s="238"/>
      <c r="AB74" s="233" t="str">
        <f>IF(B74="insumo",_xlfn.XLOOKUP(S74,Insumos!A:A,Insumos!D:D),"")</f>
        <v/>
      </c>
      <c r="AC74" s="239">
        <f t="shared" ca="1" si="10"/>
        <v>1.2710911211555726E-2</v>
      </c>
      <c r="AE74" s="240">
        <f ca="1">IFERROR(IF(OR(Z74="",Z74=0),"",IF(AF74="","",IF(AF74="R$/mês",Z74/OBRA!$D$12,IF(AF74="R$/m²",Z74/OBRA!$D$10,IF(AF74="R$/apto",Orçamento!Z74/OBRA!$D$11,""))))),"")</f>
        <v>45.595745876504573</v>
      </c>
      <c r="AF74" s="241" t="s">
        <v>154</v>
      </c>
    </row>
    <row r="75" spans="1:32" s="10" customFormat="1" ht="13.15" hidden="1" customHeight="1" outlineLevel="3" collapsed="1" x14ac:dyDescent="0.2">
      <c r="A75" s="227"/>
      <c r="B75" s="228" t="s">
        <v>3</v>
      </c>
      <c r="C75" s="229" t="str">
        <f t="shared" si="0"/>
        <v/>
      </c>
      <c r="D75" s="227" t="str">
        <f t="shared" ca="1" si="37"/>
        <v>02.001.001</v>
      </c>
      <c r="E75" s="228" t="str">
        <f t="shared" ca="1" si="25"/>
        <v>01.002.001.012</v>
      </c>
      <c r="F75" s="230">
        <f ca="1">IF($B75="UNIDADE CONSTRUTIVA",OFFSET(F75,-1,0)+1,LARGE(F$10:F74,1))</f>
        <v>1</v>
      </c>
      <c r="G75" s="228" t="str">
        <f t="shared" ca="1" si="26"/>
        <v xml:space="preserve">   GERENCIAMENTO TÉCNICO E ADMINISTRATIVO</v>
      </c>
      <c r="H75" s="230">
        <f t="shared" ca="1" si="27"/>
        <v>2</v>
      </c>
      <c r="I75" s="228" t="str">
        <f t="shared" ca="1" si="28"/>
        <v xml:space="preserve">   GERENCIAMENTO ADMINISTRATIVO</v>
      </c>
      <c r="J75" s="230">
        <f t="shared" ca="1" si="29"/>
        <v>1</v>
      </c>
      <c r="K75" s="228" t="str">
        <f t="shared" ca="1" si="30"/>
        <v xml:space="preserve">   SEGURANÇA | MEIO AMBIENTE | SAÚDE</v>
      </c>
      <c r="L75" s="231">
        <f t="shared" ca="1" si="31"/>
        <v>1</v>
      </c>
      <c r="M75" s="228" t="str">
        <f t="shared" ca="1" si="32"/>
        <v xml:space="preserve">   Segurança do Trabalho</v>
      </c>
      <c r="N75" s="231">
        <f t="shared" ca="1" si="33"/>
        <v>0</v>
      </c>
      <c r="O75" s="228" t="str">
        <f t="shared" ca="1" si="34"/>
        <v>Manuais Técnicos</v>
      </c>
      <c r="P75" s="232" t="str">
        <f>IF(S75="","",IF(Orçamento!$B75="INSUMO",S75,""))</f>
        <v/>
      </c>
      <c r="Q75" s="244" t="str">
        <f t="shared" si="38"/>
        <v/>
      </c>
      <c r="R75" s="234">
        <f t="shared" ca="1" si="35"/>
        <v>1</v>
      </c>
      <c r="S75" s="233" t="s">
        <v>415</v>
      </c>
      <c r="T75" s="242" t="s">
        <v>35</v>
      </c>
      <c r="U75" s="235" t="str">
        <f>IF($B75="insumo",R75,"")</f>
        <v/>
      </c>
      <c r="V75" s="320" t="s">
        <v>35</v>
      </c>
      <c r="W75" s="236" t="str">
        <f>IFERROR(IF(B75="INSUMO",_xlfn.XLOOKUP(S75,Insumos!A:A,Insumos!C:C),""),"Inserir Preço")</f>
        <v/>
      </c>
      <c r="X75" s="235" t="str">
        <f t="shared" ca="1" si="36"/>
        <v/>
      </c>
      <c r="Y75" s="236" t="str">
        <f t="shared" si="24"/>
        <v/>
      </c>
      <c r="Z75" s="237">
        <f t="shared" ca="1" si="9"/>
        <v>5220.0200000000004</v>
      </c>
      <c r="AA75" s="238"/>
      <c r="AB75" s="233" t="str">
        <f>IF(B75="insumo",_xlfn.XLOOKUP(S75,Insumos!A:A,Insumos!D:D),"")</f>
        <v/>
      </c>
      <c r="AC75" s="239">
        <f t="shared" ca="1" si="10"/>
        <v>7.4885946098995004E-4</v>
      </c>
      <c r="AE75" s="240">
        <f ca="1">IFERROR(IF(OR(Z75="",Z75=0),"",IF(AF75="","",IF(AF75="R$/mês",Z75/OBRA!$D$12,IF(AF75="R$/m²",Z75/OBRA!$D$10,IF(AF75="R$/apto",Orçamento!Z75/OBRA!$D$11,""))))),"")</f>
        <v>2.6862594752036562</v>
      </c>
      <c r="AF75" s="241" t="s">
        <v>154</v>
      </c>
    </row>
    <row r="76" spans="1:32" s="10" customFormat="1" ht="13.15" hidden="1" customHeight="1" outlineLevel="4" x14ac:dyDescent="0.2">
      <c r="A76" s="227"/>
      <c r="B76" s="228" t="s">
        <v>4</v>
      </c>
      <c r="C76" s="229">
        <f t="shared" ref="C76:C139" si="39">IF(B76="INSUMO",COUNTIFS(B:B,"INSUMO",S:S,S76),IF(B76="SERVIÇO",COUNTIFS(B:B,"SERVIÇO",S:S,S76),""))</f>
        <v>1</v>
      </c>
      <c r="D76" s="227" t="str">
        <f t="shared" ca="1" si="37"/>
        <v>02.001.001.001</v>
      </c>
      <c r="E76" s="228" t="str">
        <f t="shared" ca="1" si="25"/>
        <v>02.001.001.001</v>
      </c>
      <c r="F76" s="230">
        <f ca="1">IF($B76="UNIDADE CONSTRUTIVA",OFFSET(F76,-1,0)+1,LARGE(F$10:F75,1))</f>
        <v>1</v>
      </c>
      <c r="G76" s="228" t="str">
        <f t="shared" ca="1" si="26"/>
        <v xml:space="preserve">   GERENCIAMENTO TÉCNICO E ADMINISTRATIVO</v>
      </c>
      <c r="H76" s="230">
        <f t="shared" ca="1" si="27"/>
        <v>2</v>
      </c>
      <c r="I76" s="228" t="str">
        <f t="shared" ca="1" si="28"/>
        <v xml:space="preserve">   GERENCIAMENTO ADMINISTRATIVO</v>
      </c>
      <c r="J76" s="230">
        <f t="shared" ca="1" si="29"/>
        <v>1</v>
      </c>
      <c r="K76" s="228" t="str">
        <f t="shared" ca="1" si="30"/>
        <v xml:space="preserve">   SEGURANÇA | MEIO AMBIENTE | SAÚDE</v>
      </c>
      <c r="L76" s="231">
        <f t="shared" ca="1" si="31"/>
        <v>1</v>
      </c>
      <c r="M76" s="228" t="str">
        <f t="shared" ca="1" si="32"/>
        <v xml:space="preserve">   Segurança do Trabalho</v>
      </c>
      <c r="N76" s="231">
        <f t="shared" ca="1" si="33"/>
        <v>1</v>
      </c>
      <c r="O76" s="228" t="str">
        <f t="shared" ca="1" si="34"/>
        <v>Elaboracao do Programa PPRA e PCMAT</v>
      </c>
      <c r="P76" s="232" t="str">
        <f>IF(S76="","",IF(Orçamento!$B76="INSUMO",S76,""))</f>
        <v/>
      </c>
      <c r="Q76" s="244" t="str">
        <f t="shared" si="38"/>
        <v>Elaboracao do Programa PPRA e PCMAT</v>
      </c>
      <c r="R76" s="234">
        <f t="shared" ca="1" si="35"/>
        <v>1</v>
      </c>
      <c r="S76" s="233" t="s">
        <v>597</v>
      </c>
      <c r="T76" s="242" t="s">
        <v>170</v>
      </c>
      <c r="U76" s="235">
        <v>1</v>
      </c>
      <c r="V76" s="320" t="s">
        <v>35</v>
      </c>
      <c r="W76" s="236" t="str">
        <f>IFERROR(IF(B76="INSUMO",_xlfn.XLOOKUP(S76,Insumos!A:A,Insumos!C:C),""),"Inserir Preço")</f>
        <v/>
      </c>
      <c r="X76" s="235">
        <f t="shared" ca="1" si="36"/>
        <v>1</v>
      </c>
      <c r="Y76" s="236">
        <f t="shared" ref="Y76:Y107" ca="1" si="40">IF(B76="insumo",W76*V76,IF(B76="serviço",SUMIFS(Y:Y,B:B,"insumo",E:E,E76,I:I,I76),""))</f>
        <v>5220.0200000000004</v>
      </c>
      <c r="Z76" s="237">
        <f t="shared" ref="Z76:Z139" ca="1" si="41">IFERROR(IF(B76="Unidade Construtiva",SUMIFS(Z:Z,B:B,"Célula Construtiva",G:G,G76),IF(B76="célula construtiva",SUMIFS(Z:Z,B:B,"Insumo",I:I,I76,G:G,G76),IF(B76="ETAPA",SUMIFS(Z:Z,B:B,"Insumo",K:K,K76,I:I,I76,G:G,G76),IF(B76="subetapa",SUMIFS(Z:Z,M:M,M76,B:B,"insumo",K:K,K76,I:I,I76,G:G,G76),IF(B76="complemento do insumo",V76*W76,IF(B76="INSUMO",R76*V76*W76,X76*Y76)))))),"")</f>
        <v>5220.0200000000004</v>
      </c>
      <c r="AA76" s="238"/>
      <c r="AB76" s="233" t="str">
        <f>IF(B76="insumo",_xlfn.XLOOKUP(S76,Insumos!A:A,Insumos!D:D),"")</f>
        <v/>
      </c>
      <c r="AC76" s="239">
        <f t="shared" ref="AC76:AC139" ca="1" si="42">IFERROR(IF(B76="","",Z76/SUMIF(B:B,"INSUMO",Z:Z)),0)</f>
        <v>7.4885946098995004E-4</v>
      </c>
      <c r="AE76" s="240">
        <f ca="1">IFERROR(IF(OR(Z76="",Z76=0),"",IF(AF76="","",IF(AF76="R$/mês",Z76/OBRA!$D$12,IF(AF76="R$/m²",Z76/OBRA!$D$10,IF(AF76="R$/apto",Orçamento!Z76/OBRA!$D$11,""))))),"")</f>
        <v>2.6862594752036562</v>
      </c>
      <c r="AF76" s="241" t="s">
        <v>154</v>
      </c>
    </row>
    <row r="77" spans="1:32" s="10" customFormat="1" ht="13.15" hidden="1" customHeight="1" outlineLevel="4" x14ac:dyDescent="0.2">
      <c r="A77" s="227"/>
      <c r="B77" s="228" t="s">
        <v>19</v>
      </c>
      <c r="C77" s="229">
        <f t="shared" si="39"/>
        <v>1</v>
      </c>
      <c r="D77" s="227" t="str">
        <f>IF(B77="Unidade Construtiva",TEXT(F77,"00"),IF(B77="Célula Construtiva",TEXT(H77,"00"),IF(B77="Etapa",CONCATENATE(TEXT(H77,"00"),".",TEXT(J77,"000")),IF(B77="Subetapa",CONCATENATE(TEXT(H77,"00"),".",TEXT(J77,"000"),".",TEXT(L77,"000")),IF(B77="Serviço",CONCATENATE(TEXT(H77,"00"),".",TEXT(J77,"000"),".",TEXT(L77,"000"),".",TEXT(N77,"000")),"")))))</f>
        <v/>
      </c>
      <c r="E77" s="228" t="str">
        <f ca="1">IF(B77="*","",IFERROR(IF(B77="SERVIÇO",D77,OFFSET(E77,-1,0)),""))</f>
        <v>02.001.001.001</v>
      </c>
      <c r="F77" s="230">
        <f ca="1">IF($B77="UNIDADE CONSTRUTIVA",OFFSET(F77,-1,0)+1,LARGE(F$10:F76,1))</f>
        <v>1</v>
      </c>
      <c r="G77" s="228" t="str">
        <f ca="1">IF(B77="*","",IF(B77="UNIDADE CONSTRUTIVA",S77,OFFSET(G77,-1,0)))</f>
        <v xml:space="preserve">   GERENCIAMENTO TÉCNICO E ADMINISTRATIVO</v>
      </c>
      <c r="H77" s="230">
        <f ca="1">IF(B77="UNIDADE CONSTRUTIVA",0,IF(B77="CÉLULA CONSTRUTIVA",OFFSET(H77,-1,0)+1,OFFSET(H77,-1,0)))</f>
        <v>2</v>
      </c>
      <c r="I77" s="228" t="str">
        <f ca="1">IF(B77="*","",IF(B77="CÉLULA CONSTRUTIVA",S77,OFFSET(I77,-1,0)))</f>
        <v xml:space="preserve">   GERENCIAMENTO ADMINISTRATIVO</v>
      </c>
      <c r="J77" s="230">
        <f ca="1">IF(B77="CÉLULA CONSTRUTIVA",0,IF(B77="ETAPA",OFFSET(J77,-1,0)+1,OFFSET(J77,-1,0)))</f>
        <v>1</v>
      </c>
      <c r="K77" s="228" t="str">
        <f ca="1">IF(B77="*","",IF(B77="ETAPA",S77,OFFSET(K77,-1,0)))</f>
        <v xml:space="preserve">   SEGURANÇA | MEIO AMBIENTE | SAÚDE</v>
      </c>
      <c r="L77" s="231">
        <f ca="1">IF(B77="ETAPA",0,IF(B77="SUBETAPA",OFFSET(L77,-1,0)+1,OFFSET(L77,-1,0)))</f>
        <v>1</v>
      </c>
      <c r="M77" s="228" t="str">
        <f ca="1">IF(B77="*","",IF(B77="SUBETAPA",S77,OFFSET(M77,-1,0)))</f>
        <v xml:space="preserve">   Segurança do Trabalho</v>
      </c>
      <c r="N77" s="231">
        <f ca="1">IF(B77="Subetapa",0,IF(B77="serviço",OFFSET(N77,-1,0)+1,OFFSET(N77,-1,0)))</f>
        <v>1</v>
      </c>
      <c r="O77" s="228" t="str">
        <f ca="1">IF(B77="*","",IF(B77="SERVIÇO",S77,OFFSET(O77,-1,0)))</f>
        <v>Elaboracao do Programa PPRA e PCMAT</v>
      </c>
      <c r="P77" s="232" t="str">
        <f>IF(S77="","",IF(Orçamento!$B77="INSUMO",S77,""))</f>
        <v>Elaboracao do Programa de Prevencao dos Riscos Ambientais (PPRA)</v>
      </c>
      <c r="Q77" s="244" t="str">
        <f>IF(B77="","",IF(B77="Serviço",S77,""))</f>
        <v/>
      </c>
      <c r="R77" s="234">
        <f ca="1">IF(B77="serviço",U77,OFFSET(R77,-1,0))</f>
        <v>1</v>
      </c>
      <c r="S77" s="233" t="s">
        <v>596</v>
      </c>
      <c r="T77" s="242" t="str">
        <f>_xlfn.XLOOKUP(S77,Insumos!$A$3:$A$371,Insumos!$B$3:$B$371)</f>
        <v>VB</v>
      </c>
      <c r="U77" s="235">
        <f ca="1">IF($B77="insumo",R77,"")</f>
        <v>1</v>
      </c>
      <c r="V77" s="320">
        <v>1</v>
      </c>
      <c r="W77" s="236">
        <f>IFERROR(IF(B77="INSUMO",_xlfn.XLOOKUP(S77,Insumos!A:A,Insumos!C:C),""),"Inserir Preço")</f>
        <v>720.02</v>
      </c>
      <c r="X77" s="235">
        <f t="shared" ca="1" si="36"/>
        <v>1</v>
      </c>
      <c r="Y77" s="236">
        <f t="shared" si="40"/>
        <v>720.02</v>
      </c>
      <c r="Z77" s="237">
        <f t="shared" ca="1" si="41"/>
        <v>720.02</v>
      </c>
      <c r="AA77" s="238"/>
      <c r="AB77" s="233" t="str">
        <f>IF(B77="insumo",_xlfn.XLOOKUP(S77,Insumos!A:A,Insumos!D:D),"")</f>
        <v>Base de dados</v>
      </c>
      <c r="AC77" s="239">
        <f t="shared" ca="1" si="42"/>
        <v>1.0329343356960008E-4</v>
      </c>
      <c r="AE77" s="240">
        <f ca="1">IFERROR(IF(OR(Z77="",Z77=0),"",IF(AF77="","",IF(AF77="R$/mês",Z77/OBRA!$D$12,IF(AF77="R$/m²",Z77/OBRA!$D$10,IF(AF77="R$/apto",Orçamento!Z77/OBRA!$D$11,""))))),"")</f>
        <v>0.37052742084055929</v>
      </c>
      <c r="AF77" s="241" t="s">
        <v>154</v>
      </c>
    </row>
    <row r="78" spans="1:32" s="10" customFormat="1" ht="13.15" hidden="1" customHeight="1" outlineLevel="4" x14ac:dyDescent="0.2">
      <c r="A78" s="227"/>
      <c r="B78" s="228" t="s">
        <v>19</v>
      </c>
      <c r="C78" s="229">
        <f t="shared" si="39"/>
        <v>1</v>
      </c>
      <c r="D78" s="227" t="str">
        <f t="shared" si="37"/>
        <v/>
      </c>
      <c r="E78" s="228" t="str">
        <f t="shared" ca="1" si="25"/>
        <v>02.001.001.001</v>
      </c>
      <c r="F78" s="230">
        <f ca="1">IF($B78="UNIDADE CONSTRUTIVA",OFFSET(F78,-1,0)+1,LARGE(F$10:F77,1))</f>
        <v>1</v>
      </c>
      <c r="G78" s="228" t="str">
        <f t="shared" ca="1" si="26"/>
        <v xml:space="preserve">   GERENCIAMENTO TÉCNICO E ADMINISTRATIVO</v>
      </c>
      <c r="H78" s="230">
        <f t="shared" ca="1" si="27"/>
        <v>2</v>
      </c>
      <c r="I78" s="228" t="str">
        <f t="shared" ca="1" si="28"/>
        <v xml:space="preserve">   GERENCIAMENTO ADMINISTRATIVO</v>
      </c>
      <c r="J78" s="230">
        <f t="shared" ca="1" si="29"/>
        <v>1</v>
      </c>
      <c r="K78" s="228" t="str">
        <f t="shared" ca="1" si="30"/>
        <v xml:space="preserve">   SEGURANÇA | MEIO AMBIENTE | SAÚDE</v>
      </c>
      <c r="L78" s="231">
        <f t="shared" ca="1" si="31"/>
        <v>1</v>
      </c>
      <c r="M78" s="228" t="str">
        <f t="shared" ca="1" si="32"/>
        <v xml:space="preserve">   Segurança do Trabalho</v>
      </c>
      <c r="N78" s="231">
        <f t="shared" ca="1" si="33"/>
        <v>1</v>
      </c>
      <c r="O78" s="228" t="str">
        <f t="shared" ca="1" si="34"/>
        <v>Elaboracao do Programa PPRA e PCMAT</v>
      </c>
      <c r="P78" s="232" t="str">
        <f>IF(S78="","",IF(Orçamento!$B78="INSUMO",S78,""))</f>
        <v>Elaboração do Programa de Condições e Meio Ambiente de Trabalho na indústria da construção (PCMAT)</v>
      </c>
      <c r="Q78" s="244" t="str">
        <f t="shared" si="38"/>
        <v/>
      </c>
      <c r="R78" s="234">
        <f t="shared" ca="1" si="35"/>
        <v>1</v>
      </c>
      <c r="S78" s="233" t="s">
        <v>595</v>
      </c>
      <c r="T78" s="242" t="str">
        <f>_xlfn.XLOOKUP(S78,Insumos!$A$3:$A$371,Insumos!$B$3:$B$371)</f>
        <v>VB</v>
      </c>
      <c r="U78" s="235">
        <f ca="1">IF($B78="insumo",R78,"")</f>
        <v>1</v>
      </c>
      <c r="V78" s="320">
        <v>1</v>
      </c>
      <c r="W78" s="236">
        <f>IFERROR(IF(B78="INSUMO",_xlfn.XLOOKUP(S78,Insumos!A:A,Insumos!C:C),""),"Inserir Preço")</f>
        <v>4500</v>
      </c>
      <c r="X78" s="235">
        <f t="shared" ca="1" si="36"/>
        <v>1</v>
      </c>
      <c r="Y78" s="236">
        <f t="shared" si="40"/>
        <v>4500</v>
      </c>
      <c r="Z78" s="237">
        <f t="shared" ca="1" si="41"/>
        <v>4500</v>
      </c>
      <c r="AA78" s="238"/>
      <c r="AB78" s="233" t="str">
        <f>IF(B78="insumo",_xlfn.XLOOKUP(S78,Insumos!A:A,Insumos!D:D),"")</f>
        <v>Recebido Cliente</v>
      </c>
      <c r="AC78" s="239">
        <f t="shared" ca="1" si="42"/>
        <v>6.4556602742034993E-4</v>
      </c>
      <c r="AE78" s="240">
        <f ca="1">IFERROR(IF(OR(Z78="",Z78=0),"",IF(AF78="","",IF(AF78="R$/mês",Z78/OBRA!$D$12,IF(AF78="R$/m²",Z78/OBRA!$D$10,IF(AF78="R$/apto",Orçamento!Z78/OBRA!$D$11,""))))),"")</f>
        <v>2.3157320543630964</v>
      </c>
      <c r="AF78" s="241" t="s">
        <v>154</v>
      </c>
    </row>
    <row r="79" spans="1:32" s="10" customFormat="1" ht="13.15" hidden="1" customHeight="1" outlineLevel="3" collapsed="1" x14ac:dyDescent="0.2">
      <c r="A79" s="227"/>
      <c r="B79" s="228" t="s">
        <v>3</v>
      </c>
      <c r="C79" s="229" t="str">
        <f t="shared" si="39"/>
        <v/>
      </c>
      <c r="D79" s="227" t="str">
        <f t="shared" ca="1" si="37"/>
        <v>02.001.002</v>
      </c>
      <c r="E79" s="228" t="str">
        <f t="shared" ca="1" si="25"/>
        <v>02.001.001.001</v>
      </c>
      <c r="F79" s="230">
        <f ca="1">IF($B79="UNIDADE CONSTRUTIVA",OFFSET(F79,-1,0)+1,LARGE(F$10:F78,1))</f>
        <v>1</v>
      </c>
      <c r="G79" s="228" t="str">
        <f t="shared" ca="1" si="26"/>
        <v xml:space="preserve">   GERENCIAMENTO TÉCNICO E ADMINISTRATIVO</v>
      </c>
      <c r="H79" s="230">
        <f t="shared" ca="1" si="27"/>
        <v>2</v>
      </c>
      <c r="I79" s="228" t="str">
        <f t="shared" ca="1" si="28"/>
        <v xml:space="preserve">   GERENCIAMENTO ADMINISTRATIVO</v>
      </c>
      <c r="J79" s="230">
        <f t="shared" ca="1" si="29"/>
        <v>1</v>
      </c>
      <c r="K79" s="228" t="str">
        <f t="shared" ca="1" si="30"/>
        <v xml:space="preserve">   SEGURANÇA | MEIO AMBIENTE | SAÚDE</v>
      </c>
      <c r="L79" s="231">
        <f t="shared" ca="1" si="31"/>
        <v>2</v>
      </c>
      <c r="M79" s="228" t="str">
        <f t="shared" ca="1" si="32"/>
        <v xml:space="preserve">   Equipamentos de Proteção</v>
      </c>
      <c r="N79" s="231">
        <f t="shared" ca="1" si="33"/>
        <v>0</v>
      </c>
      <c r="O79" s="228" t="str">
        <f t="shared" ca="1" si="34"/>
        <v>Elaboracao do Programa PPRA e PCMAT</v>
      </c>
      <c r="P79" s="232" t="str">
        <f>IF(S79="","",IF(Orçamento!$B79="INSUMO",S79,""))</f>
        <v/>
      </c>
      <c r="Q79" s="244" t="str">
        <f t="shared" si="38"/>
        <v/>
      </c>
      <c r="R79" s="234">
        <f t="shared" ca="1" si="35"/>
        <v>1</v>
      </c>
      <c r="S79" s="233" t="s">
        <v>416</v>
      </c>
      <c r="T79" s="242" t="s">
        <v>35</v>
      </c>
      <c r="U79" s="235" t="str">
        <f>IF($B79="insumo",R79,"")</f>
        <v/>
      </c>
      <c r="V79" s="320"/>
      <c r="W79" s="236" t="str">
        <f>IFERROR(IF(B79="INSUMO",_xlfn.XLOOKUP(S79,Insumos!A:A,Insumos!C:C),""),"Inserir Preço")</f>
        <v/>
      </c>
      <c r="X79" s="235" t="str">
        <f t="shared" ca="1" si="36"/>
        <v/>
      </c>
      <c r="Y79" s="236" t="str">
        <f t="shared" si="40"/>
        <v/>
      </c>
      <c r="Z79" s="237">
        <f t="shared" ca="1" si="41"/>
        <v>41983.001259599994</v>
      </c>
      <c r="AA79" s="238"/>
      <c r="AB79" s="233" t="str">
        <f>IF(B79="insumo",_xlfn.XLOOKUP(S79,Insumos!A:A,Insumos!D:D),"")</f>
        <v/>
      </c>
      <c r="AC79" s="239">
        <f t="shared" ca="1" si="42"/>
        <v>6.0228442982985589E-3</v>
      </c>
      <c r="AE79" s="240">
        <f ca="1">IFERROR(IF(OR(Z79="",Z79=0),"",IF(AF79="","",IF(AF79="R$/mês",Z79/OBRA!$D$12,IF(AF79="R$/m²",Z79/OBRA!$D$10,IF(AF79="R$/apto",Orçamento!Z79/OBRA!$D$11,""))))),"")</f>
        <v>21.604751501160436</v>
      </c>
      <c r="AF79" s="241" t="s">
        <v>154</v>
      </c>
    </row>
    <row r="80" spans="1:32" s="10" customFormat="1" ht="13.15" hidden="1" customHeight="1" outlineLevel="4" x14ac:dyDescent="0.2">
      <c r="A80" s="227"/>
      <c r="B80" s="228" t="s">
        <v>4</v>
      </c>
      <c r="C80" s="229">
        <f t="shared" si="39"/>
        <v>1</v>
      </c>
      <c r="D80" s="227" t="str">
        <f t="shared" ca="1" si="37"/>
        <v>02.001.002.001</v>
      </c>
      <c r="E80" s="228" t="str">
        <f t="shared" ca="1" si="25"/>
        <v>02.001.002.001</v>
      </c>
      <c r="F80" s="230">
        <f ca="1">IF($B80="UNIDADE CONSTRUTIVA",OFFSET(F80,-1,0)+1,LARGE(F$10:F79,1))</f>
        <v>1</v>
      </c>
      <c r="G80" s="228" t="str">
        <f t="shared" ca="1" si="26"/>
        <v xml:space="preserve">   GERENCIAMENTO TÉCNICO E ADMINISTRATIVO</v>
      </c>
      <c r="H80" s="230">
        <f t="shared" ca="1" si="27"/>
        <v>2</v>
      </c>
      <c r="I80" s="228" t="str">
        <f t="shared" ca="1" si="28"/>
        <v xml:space="preserve">   GERENCIAMENTO ADMINISTRATIVO</v>
      </c>
      <c r="J80" s="230">
        <f t="shared" ca="1" si="29"/>
        <v>1</v>
      </c>
      <c r="K80" s="228" t="str">
        <f t="shared" ca="1" si="30"/>
        <v xml:space="preserve">   SEGURANÇA | MEIO AMBIENTE | SAÚDE</v>
      </c>
      <c r="L80" s="231">
        <f t="shared" ca="1" si="31"/>
        <v>2</v>
      </c>
      <c r="M80" s="228" t="str">
        <f t="shared" ca="1" si="32"/>
        <v xml:space="preserve">   Equipamentos de Proteção</v>
      </c>
      <c r="N80" s="231">
        <f t="shared" ca="1" si="33"/>
        <v>1</v>
      </c>
      <c r="O80" s="228" t="str">
        <f t="shared" ca="1" si="34"/>
        <v>Bandeja de protecao primaria</v>
      </c>
      <c r="P80" s="232" t="str">
        <f>IF(S80="","",IF(Orçamento!$B80="INSUMO",S80,""))</f>
        <v/>
      </c>
      <c r="Q80" s="244" t="str">
        <f t="shared" si="38"/>
        <v>Bandeja de protecao primaria</v>
      </c>
      <c r="R80" s="234">
        <f t="shared" ca="1" si="35"/>
        <v>64.52</v>
      </c>
      <c r="S80" s="233" t="s">
        <v>417</v>
      </c>
      <c r="T80" s="242" t="s">
        <v>158</v>
      </c>
      <c r="U80" s="235">
        <v>64.52</v>
      </c>
      <c r="V80" s="320"/>
      <c r="W80" s="236" t="str">
        <f>IFERROR(IF(B80="INSUMO",_xlfn.XLOOKUP(S80,Insumos!A:A,Insumos!C:C),""),"Inserir Preço")</f>
        <v/>
      </c>
      <c r="X80" s="235">
        <f t="shared" ca="1" si="36"/>
        <v>64.52</v>
      </c>
      <c r="Y80" s="236">
        <f t="shared" ca="1" si="40"/>
        <v>266.56772000000007</v>
      </c>
      <c r="Z80" s="237">
        <f t="shared" ca="1" si="41"/>
        <v>17198.949294400005</v>
      </c>
      <c r="AA80" s="238"/>
      <c r="AB80" s="233" t="str">
        <f>IF(B80="insumo",_xlfn.XLOOKUP(S80,Insumos!A:A,Insumos!D:D),"")</f>
        <v/>
      </c>
      <c r="AC80" s="239">
        <f t="shared" ca="1" si="42"/>
        <v>2.4673460826199647E-3</v>
      </c>
      <c r="AE80" s="240">
        <f ca="1">IFERROR(IF(OR(Z80="",Z80=0),"",IF(AF80="","",IF(AF80="R$/mês",Z80/OBRA!$D$12,IF(AF80="R$/m²",Z80/OBRA!$D$10,IF(AF80="R$/apto",Orçamento!Z80/OBRA!$D$11,""))))),"")</f>
        <v>8.8507018183128121</v>
      </c>
      <c r="AF80" s="241" t="s">
        <v>154</v>
      </c>
    </row>
    <row r="81" spans="1:32" s="10" customFormat="1" ht="13.15" hidden="1" customHeight="1" outlineLevel="4" x14ac:dyDescent="0.2">
      <c r="A81" s="227"/>
      <c r="B81" s="228" t="s">
        <v>19</v>
      </c>
      <c r="C81" s="229">
        <f t="shared" si="39"/>
        <v>6</v>
      </c>
      <c r="D81" s="227" t="str">
        <f t="shared" si="37"/>
        <v/>
      </c>
      <c r="E81" s="228" t="str">
        <f t="shared" ca="1" si="25"/>
        <v>02.001.002.001</v>
      </c>
      <c r="F81" s="230">
        <f ca="1">IF($B81="UNIDADE CONSTRUTIVA",OFFSET(F81,-1,0)+1,LARGE(F$10:F80,1))</f>
        <v>1</v>
      </c>
      <c r="G81" s="228" t="str">
        <f t="shared" ca="1" si="26"/>
        <v xml:space="preserve">   GERENCIAMENTO TÉCNICO E ADMINISTRATIVO</v>
      </c>
      <c r="H81" s="230">
        <f t="shared" ca="1" si="27"/>
        <v>2</v>
      </c>
      <c r="I81" s="228" t="str">
        <f t="shared" ca="1" si="28"/>
        <v xml:space="preserve">   GERENCIAMENTO ADMINISTRATIVO</v>
      </c>
      <c r="J81" s="230">
        <f t="shared" ca="1" si="29"/>
        <v>1</v>
      </c>
      <c r="K81" s="228" t="str">
        <f t="shared" ca="1" si="30"/>
        <v xml:space="preserve">   SEGURANÇA | MEIO AMBIENTE | SAÚDE</v>
      </c>
      <c r="L81" s="231">
        <f t="shared" ca="1" si="31"/>
        <v>2</v>
      </c>
      <c r="M81" s="228" t="str">
        <f t="shared" ca="1" si="32"/>
        <v xml:space="preserve">   Equipamentos de Proteção</v>
      </c>
      <c r="N81" s="231">
        <f t="shared" ca="1" si="33"/>
        <v>1</v>
      </c>
      <c r="O81" s="228" t="str">
        <f t="shared" ca="1" si="34"/>
        <v>Bandeja de protecao primaria</v>
      </c>
      <c r="P81" s="232" t="str">
        <f>IF(S81="","",IF(Orçamento!$B81="INSUMO",S81,""))</f>
        <v>ACO CA-50A 16,00 MM (5/8)</v>
      </c>
      <c r="Q81" s="244" t="str">
        <f t="shared" si="38"/>
        <v/>
      </c>
      <c r="R81" s="234">
        <f t="shared" ca="1" si="35"/>
        <v>64.52</v>
      </c>
      <c r="S81" s="233" t="s">
        <v>178</v>
      </c>
      <c r="T81" s="242" t="str">
        <f>_xlfn.XLOOKUP(S81,Insumos!$A$3:$A$371,Insumos!$B$3:$B$371)</f>
        <v>KG</v>
      </c>
      <c r="U81" s="235">
        <f t="shared" ref="U81:U86" ca="1" si="43">IF($B81="insumo",R81,"")</f>
        <v>64.52</v>
      </c>
      <c r="V81" s="320">
        <v>1.3675999999999999</v>
      </c>
      <c r="W81" s="236">
        <f>IFERROR(IF(B81="INSUMO",_xlfn.XLOOKUP(S81,Insumos!A:A,Insumos!C:C),""),"Inserir Preço")</f>
        <v>5.2</v>
      </c>
      <c r="X81" s="235">
        <f t="shared" ca="1" si="36"/>
        <v>88.237551999999994</v>
      </c>
      <c r="Y81" s="236">
        <f t="shared" si="40"/>
        <v>7.1115199999999996</v>
      </c>
      <c r="Z81" s="237">
        <f t="shared" ca="1" si="41"/>
        <v>458.83527039999996</v>
      </c>
      <c r="AA81" s="238"/>
      <c r="AB81" s="233" t="str">
        <f>IF(B81="insumo",_xlfn.XLOOKUP(S81,Insumos!A:A,Insumos!D:D),"")</f>
        <v>KNORR</v>
      </c>
      <c r="AC81" s="239">
        <f t="shared" ca="1" si="42"/>
        <v>6.5824102833882237E-5</v>
      </c>
      <c r="AE81" s="240">
        <f ca="1">IFERROR(IF(OR(Z81="",Z81=0),"",IF(AF81="","",IF(AF81="R$/mês",Z81/OBRA!$D$12,IF(AF81="R$/m²",Z81/OBRA!$D$10,IF(AF81="R$/apto",Orçamento!Z81/OBRA!$D$11,""))))),"")</f>
        <v>0.23611989851947529</v>
      </c>
      <c r="AF81" s="241" t="s">
        <v>154</v>
      </c>
    </row>
    <row r="82" spans="1:32" s="10" customFormat="1" ht="13.15" hidden="1" customHeight="1" outlineLevel="4" x14ac:dyDescent="0.2">
      <c r="A82" s="227"/>
      <c r="B82" s="228" t="s">
        <v>19</v>
      </c>
      <c r="C82" s="229">
        <f t="shared" si="39"/>
        <v>44</v>
      </c>
      <c r="D82" s="227" t="str">
        <f t="shared" si="37"/>
        <v/>
      </c>
      <c r="E82" s="228" t="str">
        <f t="shared" ca="1" si="25"/>
        <v>02.001.002.001</v>
      </c>
      <c r="F82" s="230">
        <f ca="1">IF($B82="UNIDADE CONSTRUTIVA",OFFSET(F82,-1,0)+1,LARGE(F$10:F81,1))</f>
        <v>1</v>
      </c>
      <c r="G82" s="228" t="str">
        <f t="shared" ca="1" si="26"/>
        <v xml:space="preserve">   GERENCIAMENTO TÉCNICO E ADMINISTRATIVO</v>
      </c>
      <c r="H82" s="230">
        <f t="shared" ca="1" si="27"/>
        <v>2</v>
      </c>
      <c r="I82" s="228" t="str">
        <f t="shared" ca="1" si="28"/>
        <v xml:space="preserve">   GERENCIAMENTO ADMINISTRATIVO</v>
      </c>
      <c r="J82" s="230">
        <f t="shared" ca="1" si="29"/>
        <v>1</v>
      </c>
      <c r="K82" s="228" t="str">
        <f t="shared" ca="1" si="30"/>
        <v xml:space="preserve">   SEGURANÇA | MEIO AMBIENTE | SAÚDE</v>
      </c>
      <c r="L82" s="231">
        <f t="shared" ca="1" si="31"/>
        <v>2</v>
      </c>
      <c r="M82" s="228" t="str">
        <f t="shared" ca="1" si="32"/>
        <v xml:space="preserve">   Equipamentos de Proteção</v>
      </c>
      <c r="N82" s="231">
        <f t="shared" ca="1" si="33"/>
        <v>1</v>
      </c>
      <c r="O82" s="228" t="str">
        <f t="shared" ca="1" si="34"/>
        <v>Bandeja de protecao primaria</v>
      </c>
      <c r="P82" s="232" t="str">
        <f>IF(S82="","",IF(Orçamento!$B82="INSUMO",S82,""))</f>
        <v>PREGO 17 x 21 COM CABECA</v>
      </c>
      <c r="Q82" s="244" t="str">
        <f t="shared" si="38"/>
        <v/>
      </c>
      <c r="R82" s="234">
        <f t="shared" ca="1" si="35"/>
        <v>64.52</v>
      </c>
      <c r="S82" s="233" t="s">
        <v>173</v>
      </c>
      <c r="T82" s="242" t="str">
        <f>_xlfn.XLOOKUP(S82,Insumos!$A$3:$A$371,Insumos!$B$3:$B$371)</f>
        <v>KG</v>
      </c>
      <c r="U82" s="235">
        <f t="shared" ca="1" si="43"/>
        <v>64.52</v>
      </c>
      <c r="V82" s="320">
        <v>0.123</v>
      </c>
      <c r="W82" s="236">
        <f>IFERROR(IF(B82="INSUMO",_xlfn.XLOOKUP(S82,Insumos!A:A,Insumos!C:C),""),"Inserir Preço")</f>
        <v>13</v>
      </c>
      <c r="X82" s="235">
        <f t="shared" ca="1" si="36"/>
        <v>7.9359599999999997</v>
      </c>
      <c r="Y82" s="236">
        <f t="shared" si="40"/>
        <v>1.599</v>
      </c>
      <c r="Z82" s="237">
        <f t="shared" ca="1" si="41"/>
        <v>103.16748</v>
      </c>
      <c r="AA82" s="238"/>
      <c r="AB82" s="233" t="str">
        <f>IF(B82="insumo",_xlfn.XLOOKUP(S82,Insumos!A:A,Insumos!D:D),"")</f>
        <v xml:space="preserve"> </v>
      </c>
      <c r="AC82" s="239">
        <f t="shared" ca="1" si="42"/>
        <v>1.4800315605015201E-5</v>
      </c>
      <c r="AE82" s="240">
        <f ca="1">IFERROR(IF(OR(Z82="",Z82=0),"",IF(AF82="","",IF(AF82="R$/mês",Z82/OBRA!$D$12,IF(AF82="R$/m²",Z82/OBRA!$D$10,IF(AF82="R$/apto",Orçamento!Z82/OBRA!$D$11,""))))),"")</f>
        <v>5.3090720089747481E-2</v>
      </c>
      <c r="AF82" s="241" t="s">
        <v>154</v>
      </c>
    </row>
    <row r="83" spans="1:32" s="10" customFormat="1" ht="13.15" hidden="1" customHeight="1" outlineLevel="4" x14ac:dyDescent="0.2">
      <c r="A83" s="227"/>
      <c r="B83" s="228" t="s">
        <v>19</v>
      </c>
      <c r="C83" s="229">
        <f t="shared" si="39"/>
        <v>1</v>
      </c>
      <c r="D83" s="227" t="str">
        <f t="shared" si="37"/>
        <v/>
      </c>
      <c r="E83" s="228" t="str">
        <f t="shared" ca="1" si="25"/>
        <v>02.001.002.001</v>
      </c>
      <c r="F83" s="230">
        <f ca="1">IF($B83="UNIDADE CONSTRUTIVA",OFFSET(F83,-1,0)+1,LARGE(F$10:F82,1))</f>
        <v>1</v>
      </c>
      <c r="G83" s="228" t="str">
        <f t="shared" ca="1" si="26"/>
        <v xml:space="preserve">   GERENCIAMENTO TÉCNICO E ADMINISTRATIVO</v>
      </c>
      <c r="H83" s="230">
        <f t="shared" ca="1" si="27"/>
        <v>2</v>
      </c>
      <c r="I83" s="228" t="str">
        <f t="shared" ca="1" si="28"/>
        <v xml:space="preserve">   GERENCIAMENTO ADMINISTRATIVO</v>
      </c>
      <c r="J83" s="230">
        <f t="shared" ca="1" si="29"/>
        <v>1</v>
      </c>
      <c r="K83" s="228" t="str">
        <f t="shared" ca="1" si="30"/>
        <v xml:space="preserve">   SEGURANÇA | MEIO AMBIENTE | SAÚDE</v>
      </c>
      <c r="L83" s="231">
        <f t="shared" ca="1" si="31"/>
        <v>2</v>
      </c>
      <c r="M83" s="228" t="str">
        <f t="shared" ca="1" si="32"/>
        <v xml:space="preserve">   Equipamentos de Proteção</v>
      </c>
      <c r="N83" s="231">
        <f t="shared" ca="1" si="33"/>
        <v>1</v>
      </c>
      <c r="O83" s="228" t="str">
        <f t="shared" ca="1" si="34"/>
        <v>Bandeja de protecao primaria</v>
      </c>
      <c r="P83" s="232" t="str">
        <f>IF(S83="","",IF(Orçamento!$B83="INSUMO",S83,""))</f>
        <v>SUPORTE PARA BANDEJA 250CM + 80CM A 90° PERFIL 3" X 2,65 CARGA 250KG N</v>
      </c>
      <c r="Q83" s="244" t="str">
        <f t="shared" si="38"/>
        <v/>
      </c>
      <c r="R83" s="234">
        <f t="shared" ca="1" si="35"/>
        <v>64.52</v>
      </c>
      <c r="S83" s="233" t="s">
        <v>310</v>
      </c>
      <c r="T83" s="242" t="str">
        <f>_xlfn.XLOOKUP(S83,Insumos!$A$3:$A$371,Insumos!$B$3:$B$371)</f>
        <v>UN</v>
      </c>
      <c r="U83" s="235">
        <f t="shared" ca="1" si="43"/>
        <v>64.52</v>
      </c>
      <c r="V83" s="320">
        <v>0.4</v>
      </c>
      <c r="W83" s="236">
        <f>IFERROR(IF(B83="INSUMO",_xlfn.XLOOKUP(S83,Insumos!A:A,Insumos!C:C),""),"Inserir Preço")</f>
        <v>150</v>
      </c>
      <c r="X83" s="235">
        <f t="shared" ca="1" si="36"/>
        <v>25.808</v>
      </c>
      <c r="Y83" s="236">
        <f t="shared" si="40"/>
        <v>60</v>
      </c>
      <c r="Z83" s="237">
        <f t="shared" ca="1" si="41"/>
        <v>3871.2</v>
      </c>
      <c r="AA83" s="238"/>
      <c r="AB83" s="233" t="str">
        <f>IF(B83="insumo",_xlfn.XLOOKUP(S83,Insumos!A:A,Insumos!D:D),"")</f>
        <v xml:space="preserve"> </v>
      </c>
      <c r="AC83" s="239">
        <f t="shared" ca="1" si="42"/>
        <v>5.5535893452214634E-4</v>
      </c>
      <c r="AE83" s="240">
        <f ca="1">IFERROR(IF(OR(Z83="",Z83=0),"",IF(AF83="","",IF(AF83="R$/mês",Z83/OBRA!$D$12,IF(AF83="R$/m²",Z83/OBRA!$D$10,IF(AF83="R$/apto",Orçamento!Z83/OBRA!$D$11,""))))),"")</f>
        <v>1.992147095300093</v>
      </c>
      <c r="AF83" s="241" t="s">
        <v>154</v>
      </c>
    </row>
    <row r="84" spans="1:32" s="10" customFormat="1" ht="13.15" hidden="1" customHeight="1" outlineLevel="4" x14ac:dyDescent="0.2">
      <c r="A84" s="227"/>
      <c r="B84" s="228" t="s">
        <v>19</v>
      </c>
      <c r="C84" s="229">
        <f t="shared" si="39"/>
        <v>21</v>
      </c>
      <c r="D84" s="227" t="str">
        <f t="shared" si="37"/>
        <v/>
      </c>
      <c r="E84" s="228" t="str">
        <f t="shared" ca="1" si="25"/>
        <v>02.001.002.001</v>
      </c>
      <c r="F84" s="230">
        <f ca="1">IF($B84="UNIDADE CONSTRUTIVA",OFFSET(F84,-1,0)+1,LARGE(F$10:F83,1))</f>
        <v>1</v>
      </c>
      <c r="G84" s="228" t="str">
        <f t="shared" ca="1" si="26"/>
        <v xml:space="preserve">   GERENCIAMENTO TÉCNICO E ADMINISTRATIVO</v>
      </c>
      <c r="H84" s="230">
        <f t="shared" ca="1" si="27"/>
        <v>2</v>
      </c>
      <c r="I84" s="228" t="str">
        <f t="shared" ca="1" si="28"/>
        <v xml:space="preserve">   GERENCIAMENTO ADMINISTRATIVO</v>
      </c>
      <c r="J84" s="230">
        <f t="shared" ca="1" si="29"/>
        <v>1</v>
      </c>
      <c r="K84" s="228" t="str">
        <f t="shared" ca="1" si="30"/>
        <v xml:space="preserve">   SEGURANÇA | MEIO AMBIENTE | SAÚDE</v>
      </c>
      <c r="L84" s="231">
        <f t="shared" ca="1" si="31"/>
        <v>2</v>
      </c>
      <c r="M84" s="228" t="str">
        <f t="shared" ca="1" si="32"/>
        <v xml:space="preserve">   Equipamentos de Proteção</v>
      </c>
      <c r="N84" s="231">
        <f t="shared" ca="1" si="33"/>
        <v>1</v>
      </c>
      <c r="O84" s="228" t="str">
        <f t="shared" ca="1" si="34"/>
        <v>Bandeja de protecao primaria</v>
      </c>
      <c r="P84" s="232" t="str">
        <f>IF(S84="","",IF(Orçamento!$B84="INSUMO",S84,""))</f>
        <v>COMPENSADO MADEIRA TIPO PLASTIFICADO 2200X1100X14MM NBR 1096</v>
      </c>
      <c r="Q84" s="244" t="str">
        <f t="shared" si="38"/>
        <v/>
      </c>
      <c r="R84" s="234">
        <f t="shared" ca="1" si="35"/>
        <v>64.52</v>
      </c>
      <c r="S84" s="233" t="s">
        <v>804</v>
      </c>
      <c r="T84" s="242" t="str">
        <f>_xlfn.XLOOKUP(S84,Insumos!$A$3:$A$371,Insumos!$B$3:$B$371)</f>
        <v>CH</v>
      </c>
      <c r="U84" s="235">
        <f t="shared" ca="1" si="43"/>
        <v>64.52</v>
      </c>
      <c r="V84" s="320">
        <v>1.42</v>
      </c>
      <c r="W84" s="236">
        <f>IFERROR(IF(B84="INSUMO",_xlfn.XLOOKUP(S84,Insumos!A:A,Insumos!C:C),""),"Inserir Preço")</f>
        <v>132</v>
      </c>
      <c r="X84" s="235">
        <f t="shared" ca="1" si="36"/>
        <v>91.618399999999994</v>
      </c>
      <c r="Y84" s="236">
        <f t="shared" si="40"/>
        <v>187.44</v>
      </c>
      <c r="Z84" s="237">
        <f t="shared" ca="1" si="41"/>
        <v>12093.628799999999</v>
      </c>
      <c r="AA84" s="238"/>
      <c r="AB84" s="233" t="str">
        <f>IF(B84="insumo",_xlfn.XLOOKUP(S84,Insumos!A:A,Insumos!D:D),"")</f>
        <v xml:space="preserve"> </v>
      </c>
      <c r="AC84" s="239">
        <f t="shared" ca="1" si="42"/>
        <v>1.7349413114471851E-3</v>
      </c>
      <c r="AE84" s="240">
        <f ca="1">IFERROR(IF(OR(Z84="",Z84=0),"",IF(AF84="","",IF(AF84="R$/mês",Z84/OBRA!$D$12,IF(AF84="R$/m²",Z84/OBRA!$D$10,IF(AF84="R$/apto",Orçamento!Z84/OBRA!$D$11,""))))),"")</f>
        <v>6.2234675257174903</v>
      </c>
      <c r="AF84" s="241" t="s">
        <v>154</v>
      </c>
    </row>
    <row r="85" spans="1:32" s="10" customFormat="1" ht="13.15" hidden="1" customHeight="1" outlineLevel="4" x14ac:dyDescent="0.2">
      <c r="A85" s="227"/>
      <c r="B85" s="228" t="s">
        <v>19</v>
      </c>
      <c r="C85" s="229">
        <f t="shared" si="39"/>
        <v>1</v>
      </c>
      <c r="D85" s="227" t="str">
        <f t="shared" si="37"/>
        <v/>
      </c>
      <c r="E85" s="228" t="str">
        <f t="shared" ca="1" si="25"/>
        <v>02.001.002.001</v>
      </c>
      <c r="F85" s="230">
        <f ca="1">IF($B85="UNIDADE CONSTRUTIVA",OFFSET(F85,-1,0)+1,LARGE(F$10:F84,1))</f>
        <v>1</v>
      </c>
      <c r="G85" s="228" t="str">
        <f t="shared" ca="1" si="26"/>
        <v xml:space="preserve">   GERENCIAMENTO TÉCNICO E ADMINISTRATIVO</v>
      </c>
      <c r="H85" s="230">
        <f t="shared" ca="1" si="27"/>
        <v>2</v>
      </c>
      <c r="I85" s="228" t="str">
        <f t="shared" ca="1" si="28"/>
        <v xml:space="preserve">   GERENCIAMENTO ADMINISTRATIVO</v>
      </c>
      <c r="J85" s="230">
        <f t="shared" ca="1" si="29"/>
        <v>1</v>
      </c>
      <c r="K85" s="228" t="str">
        <f t="shared" ca="1" si="30"/>
        <v xml:space="preserve">   SEGURANÇA | MEIO AMBIENTE | SAÚDE</v>
      </c>
      <c r="L85" s="231">
        <f t="shared" ca="1" si="31"/>
        <v>2</v>
      </c>
      <c r="M85" s="228" t="str">
        <f t="shared" ca="1" si="32"/>
        <v xml:space="preserve">   Equipamentos de Proteção</v>
      </c>
      <c r="N85" s="231">
        <f t="shared" ca="1" si="33"/>
        <v>1</v>
      </c>
      <c r="O85" s="228" t="str">
        <f t="shared" ca="1" si="34"/>
        <v>Bandeja de protecao primaria</v>
      </c>
      <c r="P85" s="232" t="str">
        <f>IF(S85="","",IF(Orçamento!$B85="INSUMO",S85,""))</f>
        <v>Caibro madeira pinus 5x10x300cm</v>
      </c>
      <c r="Q85" s="244" t="str">
        <f t="shared" si="38"/>
        <v/>
      </c>
      <c r="R85" s="234">
        <f t="shared" ca="1" si="35"/>
        <v>64.52</v>
      </c>
      <c r="S85" s="233" t="s">
        <v>378</v>
      </c>
      <c r="T85" s="242" t="str">
        <f>_xlfn.XLOOKUP(S85,Insumos!$A$3:$A$371,Insumos!$B$3:$B$371)</f>
        <v>M3</v>
      </c>
      <c r="U85" s="235">
        <f t="shared" ca="1" si="43"/>
        <v>64.52</v>
      </c>
      <c r="V85" s="320">
        <v>6.0000000000000001E-3</v>
      </c>
      <c r="W85" s="236">
        <f>IFERROR(IF(B85="INSUMO",_xlfn.XLOOKUP(S85,Insumos!A:A,Insumos!C:C),""),"Inserir Preço")</f>
        <v>1050</v>
      </c>
      <c r="X85" s="235">
        <f t="shared" ca="1" si="36"/>
        <v>0.38711999999999996</v>
      </c>
      <c r="Y85" s="236">
        <f t="shared" si="40"/>
        <v>6.3</v>
      </c>
      <c r="Z85" s="237">
        <f t="shared" ca="1" si="41"/>
        <v>406.47599999999994</v>
      </c>
      <c r="AA85" s="238"/>
      <c r="AB85" s="233" t="str">
        <f>IF(B85="insumo",_xlfn.XLOOKUP(S85,Insumos!A:A,Insumos!D:D),"")</f>
        <v xml:space="preserve"> </v>
      </c>
      <c r="AC85" s="239">
        <f t="shared" ca="1" si="42"/>
        <v>5.8312688124825364E-5</v>
      </c>
      <c r="AE85" s="240">
        <f ca="1">IFERROR(IF(OR(Z85="",Z85=0),"",IF(AF85="","",IF(AF85="R$/mês",Z85/OBRA!$D$12,IF(AF85="R$/m²",Z85/OBRA!$D$10,IF(AF85="R$/apto",Orçamento!Z85/OBRA!$D$11,""))))),"")</f>
        <v>0.20917544500650975</v>
      </c>
      <c r="AF85" s="241" t="s">
        <v>154</v>
      </c>
    </row>
    <row r="86" spans="1:32" s="10" customFormat="1" ht="13.15" hidden="1" customHeight="1" outlineLevel="4" x14ac:dyDescent="0.2">
      <c r="A86" s="227"/>
      <c r="B86" s="228" t="s">
        <v>19</v>
      </c>
      <c r="C86" s="229">
        <f t="shared" si="39"/>
        <v>7</v>
      </c>
      <c r="D86" s="227" t="str">
        <f t="shared" si="37"/>
        <v/>
      </c>
      <c r="E86" s="228" t="str">
        <f t="shared" ca="1" si="25"/>
        <v>02.001.002.001</v>
      </c>
      <c r="F86" s="230">
        <f ca="1">IF($B86="UNIDADE CONSTRUTIVA",OFFSET(F86,-1,0)+1,LARGE(F$10:F85,1))</f>
        <v>1</v>
      </c>
      <c r="G86" s="228" t="str">
        <f t="shared" ca="1" si="26"/>
        <v xml:space="preserve">   GERENCIAMENTO TÉCNICO E ADMINISTRATIVO</v>
      </c>
      <c r="H86" s="230">
        <f t="shared" ca="1" si="27"/>
        <v>2</v>
      </c>
      <c r="I86" s="228" t="str">
        <f t="shared" ca="1" si="28"/>
        <v xml:space="preserve">   GERENCIAMENTO ADMINISTRATIVO</v>
      </c>
      <c r="J86" s="230">
        <f t="shared" ca="1" si="29"/>
        <v>1</v>
      </c>
      <c r="K86" s="228" t="str">
        <f t="shared" ca="1" si="30"/>
        <v xml:space="preserve">   SEGURANÇA | MEIO AMBIENTE | SAÚDE</v>
      </c>
      <c r="L86" s="231">
        <f t="shared" ca="1" si="31"/>
        <v>2</v>
      </c>
      <c r="M86" s="228" t="str">
        <f t="shared" ca="1" si="32"/>
        <v xml:space="preserve">   Equipamentos de Proteção</v>
      </c>
      <c r="N86" s="231">
        <f t="shared" ca="1" si="33"/>
        <v>1</v>
      </c>
      <c r="O86" s="228" t="str">
        <f t="shared" ca="1" si="34"/>
        <v>Bandeja de protecao primaria</v>
      </c>
      <c r="P86" s="232" t="str">
        <f>IF(S86="","",IF(Orçamento!$B86="INSUMO",S86,""))</f>
        <v>Tabua de pinus 20x2,5x300cm</v>
      </c>
      <c r="Q86" s="244" t="str">
        <f t="shared" si="38"/>
        <v/>
      </c>
      <c r="R86" s="234">
        <f t="shared" ca="1" si="35"/>
        <v>64.52</v>
      </c>
      <c r="S86" s="233" t="s">
        <v>174</v>
      </c>
      <c r="T86" s="242" t="str">
        <f>_xlfn.XLOOKUP(S86,Insumos!$A$3:$A$371,Insumos!$B$3:$B$371)</f>
        <v>M3</v>
      </c>
      <c r="U86" s="235">
        <f t="shared" ca="1" si="43"/>
        <v>64.52</v>
      </c>
      <c r="V86" s="320">
        <v>2.9199999999999999E-3</v>
      </c>
      <c r="W86" s="236">
        <f>IFERROR(IF(B86="INSUMO",_xlfn.XLOOKUP(S86,Insumos!A:A,Insumos!C:C),""),"Inserir Preço")</f>
        <v>1410</v>
      </c>
      <c r="X86" s="235">
        <f t="shared" ca="1" si="36"/>
        <v>0.18839839999999997</v>
      </c>
      <c r="Y86" s="236">
        <f t="shared" si="40"/>
        <v>4.1171999999999995</v>
      </c>
      <c r="Z86" s="237">
        <f t="shared" ca="1" si="41"/>
        <v>265.64174399999996</v>
      </c>
      <c r="AA86" s="238"/>
      <c r="AB86" s="233" t="str">
        <f>IF(B86="insumo",_xlfn.XLOOKUP(S86,Insumos!A:A,Insumos!D:D),"")</f>
        <v xml:space="preserve"> </v>
      </c>
      <c r="AC86" s="239">
        <f t="shared" ca="1" si="42"/>
        <v>3.8108730086909679E-5</v>
      </c>
      <c r="AE86" s="240">
        <f ca="1">IFERROR(IF(OR(Z86="",Z86=0),"",IF(AF86="","",IF(AF86="R$/mês",Z86/OBRA!$D$12,IF(AF86="R$/m²",Z86/OBRA!$D$10,IF(AF86="R$/apto",Orçamento!Z86/OBRA!$D$11,""))))),"")</f>
        <v>0.13670113367949238</v>
      </c>
      <c r="AF86" s="241" t="s">
        <v>154</v>
      </c>
    </row>
    <row r="87" spans="1:32" s="10" customFormat="1" ht="13.15" hidden="1" customHeight="1" outlineLevel="4" x14ac:dyDescent="0.2">
      <c r="A87" s="227"/>
      <c r="B87" s="228" t="s">
        <v>4</v>
      </c>
      <c r="C87" s="229">
        <f t="shared" si="39"/>
        <v>1</v>
      </c>
      <c r="D87" s="227" t="str">
        <f t="shared" ca="1" si="37"/>
        <v>02.001.002.002</v>
      </c>
      <c r="E87" s="228" t="str">
        <f t="shared" ca="1" si="25"/>
        <v>02.001.002.002</v>
      </c>
      <c r="F87" s="230">
        <f ca="1">IF($B87="UNIDADE CONSTRUTIVA",OFFSET(F87,-1,0)+1,LARGE(F$10:F86,1))</f>
        <v>1</v>
      </c>
      <c r="G87" s="228" t="str">
        <f t="shared" ca="1" si="26"/>
        <v xml:space="preserve">   GERENCIAMENTO TÉCNICO E ADMINISTRATIVO</v>
      </c>
      <c r="H87" s="230">
        <f t="shared" ca="1" si="27"/>
        <v>2</v>
      </c>
      <c r="I87" s="228" t="str">
        <f t="shared" ca="1" si="28"/>
        <v xml:space="preserve">   GERENCIAMENTO ADMINISTRATIVO</v>
      </c>
      <c r="J87" s="230">
        <f t="shared" ca="1" si="29"/>
        <v>1</v>
      </c>
      <c r="K87" s="228" t="str">
        <f t="shared" ca="1" si="30"/>
        <v xml:space="preserve">   SEGURANÇA | MEIO AMBIENTE | SAÚDE</v>
      </c>
      <c r="L87" s="231">
        <f t="shared" ca="1" si="31"/>
        <v>2</v>
      </c>
      <c r="M87" s="228" t="str">
        <f t="shared" ca="1" si="32"/>
        <v xml:space="preserve">   Equipamentos de Proteção</v>
      </c>
      <c r="N87" s="231">
        <f t="shared" ca="1" si="33"/>
        <v>2</v>
      </c>
      <c r="O87" s="228" t="str">
        <f t="shared" ca="1" si="34"/>
        <v>Guarda-corpo de laje apos desforma</v>
      </c>
      <c r="P87" s="232" t="str">
        <f>IF(S87="","",IF(Orçamento!$B87="INSUMO",S87,""))</f>
        <v/>
      </c>
      <c r="Q87" s="244" t="str">
        <f t="shared" si="38"/>
        <v>Guarda-corpo de laje apos desforma</v>
      </c>
      <c r="R87" s="234">
        <f t="shared" ca="1" si="35"/>
        <v>258.08</v>
      </c>
      <c r="S87" s="233" t="s">
        <v>418</v>
      </c>
      <c r="T87" s="242" t="s">
        <v>158</v>
      </c>
      <c r="U87" s="235">
        <v>258.08</v>
      </c>
      <c r="V87" s="320" t="s">
        <v>35</v>
      </c>
      <c r="W87" s="236" t="str">
        <f>IFERROR(IF(B87="INSUMO",_xlfn.XLOOKUP(S87,Insumos!A:A,Insumos!C:C),""),"Inserir Preço")</f>
        <v/>
      </c>
      <c r="X87" s="235">
        <f t="shared" ca="1" si="36"/>
        <v>258.08</v>
      </c>
      <c r="Y87" s="236">
        <f t="shared" ca="1" si="40"/>
        <v>13.68</v>
      </c>
      <c r="Z87" s="237">
        <f t="shared" ca="1" si="41"/>
        <v>3530.5343999999996</v>
      </c>
      <c r="AA87" s="238"/>
      <c r="AB87" s="233" t="str">
        <f>IF(B87="insumo",_xlfn.XLOOKUP(S87,Insumos!A:A,Insumos!D:D),"")</f>
        <v/>
      </c>
      <c r="AC87" s="239">
        <f t="shared" ca="1" si="42"/>
        <v>5.064873482841974E-4</v>
      </c>
      <c r="AE87" s="240">
        <f ca="1">IFERROR(IF(OR(Z87="",Z87=0),"",IF(AF87="","",IF(AF87="R$/mês",Z87/OBRA!$D$12,IF(AF87="R$/m²",Z87/OBRA!$D$10,IF(AF87="R$/apto",Orçamento!Z87/OBRA!$D$11,""))))),"")</f>
        <v>1.8168381509136846</v>
      </c>
      <c r="AF87" s="241" t="s">
        <v>154</v>
      </c>
    </row>
    <row r="88" spans="1:32" s="10" customFormat="1" ht="13.15" hidden="1" customHeight="1" outlineLevel="4" x14ac:dyDescent="0.2">
      <c r="A88" s="227"/>
      <c r="B88" s="228" t="s">
        <v>19</v>
      </c>
      <c r="C88" s="229">
        <f t="shared" si="39"/>
        <v>2</v>
      </c>
      <c r="D88" s="227" t="str">
        <f t="shared" si="37"/>
        <v/>
      </c>
      <c r="E88" s="228" t="str">
        <f t="shared" ca="1" si="25"/>
        <v>02.001.002.002</v>
      </c>
      <c r="F88" s="230">
        <f ca="1">IF($B88="UNIDADE CONSTRUTIVA",OFFSET(F88,-1,0)+1,LARGE(F$10:F87,1))</f>
        <v>1</v>
      </c>
      <c r="G88" s="228" t="str">
        <f t="shared" ca="1" si="26"/>
        <v xml:space="preserve">   GERENCIAMENTO TÉCNICO E ADMINISTRATIVO</v>
      </c>
      <c r="H88" s="230">
        <f t="shared" ca="1" si="27"/>
        <v>2</v>
      </c>
      <c r="I88" s="228" t="str">
        <f t="shared" ca="1" si="28"/>
        <v xml:space="preserve">   GERENCIAMENTO ADMINISTRATIVO</v>
      </c>
      <c r="J88" s="230">
        <f t="shared" ca="1" si="29"/>
        <v>1</v>
      </c>
      <c r="K88" s="228" t="str">
        <f t="shared" ca="1" si="30"/>
        <v xml:space="preserve">   SEGURANÇA | MEIO AMBIENTE | SAÚDE</v>
      </c>
      <c r="L88" s="231">
        <f t="shared" ca="1" si="31"/>
        <v>2</v>
      </c>
      <c r="M88" s="228" t="str">
        <f t="shared" ca="1" si="32"/>
        <v xml:space="preserve">   Equipamentos de Proteção</v>
      </c>
      <c r="N88" s="231">
        <f t="shared" ca="1" si="33"/>
        <v>2</v>
      </c>
      <c r="O88" s="228" t="str">
        <f t="shared" ca="1" si="34"/>
        <v>Guarda-corpo de laje apos desforma</v>
      </c>
      <c r="P88" s="232" t="str">
        <f>IF(S88="","",IF(Orçamento!$B88="INSUMO",S88,""))</f>
        <v>GUARDA CORPO DE VAOS</v>
      </c>
      <c r="Q88" s="244" t="str">
        <f t="shared" si="38"/>
        <v/>
      </c>
      <c r="R88" s="234">
        <f t="shared" ca="1" si="35"/>
        <v>258.08</v>
      </c>
      <c r="S88" s="233" t="s">
        <v>366</v>
      </c>
      <c r="T88" s="242" t="str">
        <f>_xlfn.XLOOKUP(S88,Insumos!$A$3:$A$371,Insumos!$B$3:$B$371)</f>
        <v>VB</v>
      </c>
      <c r="U88" s="235">
        <f ca="1">IF($B88="insumo",R88,"")</f>
        <v>258.08</v>
      </c>
      <c r="V88" s="320">
        <v>1</v>
      </c>
      <c r="W88" s="236">
        <f>IFERROR(IF(B88="INSUMO",_xlfn.XLOOKUP(S88,Insumos!A:A,Insumos!C:C),""),"Inserir Preço")</f>
        <v>13.68</v>
      </c>
      <c r="X88" s="235">
        <f t="shared" ca="1" si="36"/>
        <v>258.08</v>
      </c>
      <c r="Y88" s="236">
        <f t="shared" si="40"/>
        <v>13.68</v>
      </c>
      <c r="Z88" s="237">
        <f t="shared" ca="1" si="41"/>
        <v>3530.5343999999996</v>
      </c>
      <c r="AA88" s="238"/>
      <c r="AB88" s="233" t="str">
        <f>IF(B88="insumo",_xlfn.XLOOKUP(S88,Insumos!A:A,Insumos!D:D),"")</f>
        <v xml:space="preserve"> </v>
      </c>
      <c r="AC88" s="239">
        <f t="shared" ca="1" si="42"/>
        <v>5.064873482841974E-4</v>
      </c>
      <c r="AE88" s="240">
        <f ca="1">IFERROR(IF(OR(Z88="",Z88=0),"",IF(AF88="","",IF(AF88="R$/mês",Z88/OBRA!$D$12,IF(AF88="R$/m²",Z88/OBRA!$D$10,IF(AF88="R$/apto",Orçamento!Z88/OBRA!$D$11,""))))),"")</f>
        <v>1.8168381509136846</v>
      </c>
      <c r="AF88" s="241" t="s">
        <v>154</v>
      </c>
    </row>
    <row r="89" spans="1:32" s="10" customFormat="1" ht="13.15" hidden="1" customHeight="1" outlineLevel="4" x14ac:dyDescent="0.2">
      <c r="A89" s="227"/>
      <c r="B89" s="228" t="s">
        <v>4</v>
      </c>
      <c r="C89" s="229">
        <f t="shared" si="39"/>
        <v>1</v>
      </c>
      <c r="D89" s="227" t="str">
        <f t="shared" ca="1" si="37"/>
        <v>02.001.002.003</v>
      </c>
      <c r="E89" s="228" t="str">
        <f t="shared" ca="1" si="25"/>
        <v>02.001.002.003</v>
      </c>
      <c r="F89" s="230">
        <f ca="1">IF($B89="UNIDADE CONSTRUTIVA",OFFSET(F89,-1,0)+1,LARGE(F$10:F88,1))</f>
        <v>1</v>
      </c>
      <c r="G89" s="228" t="str">
        <f t="shared" ca="1" si="26"/>
        <v xml:space="preserve">   GERENCIAMENTO TÉCNICO E ADMINISTRATIVO</v>
      </c>
      <c r="H89" s="230">
        <f t="shared" ca="1" si="27"/>
        <v>2</v>
      </c>
      <c r="I89" s="228" t="str">
        <f t="shared" ca="1" si="28"/>
        <v xml:space="preserve">   GERENCIAMENTO ADMINISTRATIVO</v>
      </c>
      <c r="J89" s="230">
        <f t="shared" ca="1" si="29"/>
        <v>1</v>
      </c>
      <c r="K89" s="228" t="str">
        <f t="shared" ca="1" si="30"/>
        <v xml:space="preserve">   SEGURANÇA | MEIO AMBIENTE | SAÚDE</v>
      </c>
      <c r="L89" s="231">
        <f t="shared" ca="1" si="31"/>
        <v>2</v>
      </c>
      <c r="M89" s="228" t="str">
        <f t="shared" ca="1" si="32"/>
        <v xml:space="preserve">   Equipamentos de Proteção</v>
      </c>
      <c r="N89" s="231">
        <f t="shared" ca="1" si="33"/>
        <v>3</v>
      </c>
      <c r="O89" s="228" t="str">
        <f t="shared" ca="1" si="34"/>
        <v>Guarda-corpo de vaos, fixado em forma de madeira, em trama de madeira com tela de polipropileno</v>
      </c>
      <c r="P89" s="232" t="str">
        <f>IF(S89="","",IF(Orçamento!$B89="INSUMO",S89,""))</f>
        <v/>
      </c>
      <c r="Q89" s="244" t="str">
        <f t="shared" si="38"/>
        <v>Guarda-corpo de vaos, fixado em forma de madeira, em trama de madeira com tela de polipropileno</v>
      </c>
      <c r="R89" s="234">
        <f t="shared" ca="1" si="35"/>
        <v>98.805499999999995</v>
      </c>
      <c r="S89" s="233" t="s">
        <v>419</v>
      </c>
      <c r="T89" s="242" t="s">
        <v>158</v>
      </c>
      <c r="U89" s="235">
        <v>98.805499999999995</v>
      </c>
      <c r="V89" s="320" t="s">
        <v>35</v>
      </c>
      <c r="W89" s="236" t="str">
        <f>IFERROR(IF(B89="INSUMO",_xlfn.XLOOKUP(S89,Insumos!A:A,Insumos!C:C),""),"Inserir Preço")</f>
        <v/>
      </c>
      <c r="X89" s="235">
        <f t="shared" ca="1" si="36"/>
        <v>98.805499999999995</v>
      </c>
      <c r="Y89" s="236">
        <f t="shared" ca="1" si="40"/>
        <v>13.68</v>
      </c>
      <c r="Z89" s="237">
        <f t="shared" ca="1" si="41"/>
        <v>1351.65924</v>
      </c>
      <c r="AA89" s="238"/>
      <c r="AB89" s="233" t="str">
        <f>IF(B89="insumo",_xlfn.XLOOKUP(S89,Insumos!A:A,Insumos!D:D),"")</f>
        <v/>
      </c>
      <c r="AC89" s="239">
        <f t="shared" ca="1" si="42"/>
        <v>1.939078413317354E-4</v>
      </c>
      <c r="AE89" s="240">
        <f ca="1">IFERROR(IF(OR(Z89="",Z89=0),"",IF(AF89="","",IF(AF89="R$/mês",Z89/OBRA!$D$12,IF(AF89="R$/m²",Z89/OBRA!$D$10,IF(AF89="R$/apto",Orçamento!Z89/OBRA!$D$11,""))))),"")</f>
        <v>0.69557347303201367</v>
      </c>
      <c r="AF89" s="241" t="s">
        <v>154</v>
      </c>
    </row>
    <row r="90" spans="1:32" s="10" customFormat="1" ht="13.15" hidden="1" customHeight="1" outlineLevel="4" x14ac:dyDescent="0.2">
      <c r="A90" s="227"/>
      <c r="B90" s="228" t="s">
        <v>19</v>
      </c>
      <c r="C90" s="229">
        <f t="shared" si="39"/>
        <v>2</v>
      </c>
      <c r="D90" s="227" t="str">
        <f t="shared" si="37"/>
        <v/>
      </c>
      <c r="E90" s="228" t="str">
        <f t="shared" ca="1" si="25"/>
        <v>02.001.002.003</v>
      </c>
      <c r="F90" s="230">
        <f ca="1">IF($B90="UNIDADE CONSTRUTIVA",OFFSET(F90,-1,0)+1,LARGE(F$10:F89,1))</f>
        <v>1</v>
      </c>
      <c r="G90" s="228" t="str">
        <f t="shared" ca="1" si="26"/>
        <v xml:space="preserve">   GERENCIAMENTO TÉCNICO E ADMINISTRATIVO</v>
      </c>
      <c r="H90" s="230">
        <f t="shared" ca="1" si="27"/>
        <v>2</v>
      </c>
      <c r="I90" s="228" t="str">
        <f t="shared" ca="1" si="28"/>
        <v xml:space="preserve">   GERENCIAMENTO ADMINISTRATIVO</v>
      </c>
      <c r="J90" s="230">
        <f t="shared" ca="1" si="29"/>
        <v>1</v>
      </c>
      <c r="K90" s="228" t="str">
        <f t="shared" ca="1" si="30"/>
        <v xml:space="preserve">   SEGURANÇA | MEIO AMBIENTE | SAÚDE</v>
      </c>
      <c r="L90" s="231">
        <f t="shared" ca="1" si="31"/>
        <v>2</v>
      </c>
      <c r="M90" s="228" t="str">
        <f t="shared" ca="1" si="32"/>
        <v xml:space="preserve">   Equipamentos de Proteção</v>
      </c>
      <c r="N90" s="231">
        <f t="shared" ca="1" si="33"/>
        <v>3</v>
      </c>
      <c r="O90" s="228" t="str">
        <f t="shared" ca="1" si="34"/>
        <v>Guarda-corpo de vaos, fixado em forma de madeira, em trama de madeira com tela de polipropileno</v>
      </c>
      <c r="P90" s="232" t="str">
        <f>IF(S90="","",IF(Orçamento!$B90="INSUMO",S90,""))</f>
        <v>GUARDA CORPO DE VAOS</v>
      </c>
      <c r="Q90" s="244" t="str">
        <f t="shared" si="38"/>
        <v/>
      </c>
      <c r="R90" s="234">
        <f t="shared" ca="1" si="35"/>
        <v>98.805499999999995</v>
      </c>
      <c r="S90" s="233" t="s">
        <v>366</v>
      </c>
      <c r="T90" s="242" t="str">
        <f>_xlfn.XLOOKUP(S90,Insumos!$A$3:$A$371,Insumos!$B$3:$B$371)</f>
        <v>VB</v>
      </c>
      <c r="U90" s="235">
        <f ca="1">IF($B90="insumo",R90,"")</f>
        <v>98.805499999999995</v>
      </c>
      <c r="V90" s="320">
        <v>1</v>
      </c>
      <c r="W90" s="236">
        <f>IFERROR(IF(B90="INSUMO",_xlfn.XLOOKUP(S90,Insumos!A:A,Insumos!C:C),""),"Inserir Preço")</f>
        <v>13.68</v>
      </c>
      <c r="X90" s="235">
        <f t="shared" ca="1" si="36"/>
        <v>98.805499999999995</v>
      </c>
      <c r="Y90" s="236">
        <f t="shared" si="40"/>
        <v>13.68</v>
      </c>
      <c r="Z90" s="237">
        <f t="shared" ca="1" si="41"/>
        <v>1351.65924</v>
      </c>
      <c r="AA90" s="238"/>
      <c r="AB90" s="233" t="str">
        <f>IF(B90="insumo",_xlfn.XLOOKUP(S90,Insumos!A:A,Insumos!D:D),"")</f>
        <v xml:space="preserve"> </v>
      </c>
      <c r="AC90" s="239">
        <f t="shared" ca="1" si="42"/>
        <v>1.939078413317354E-4</v>
      </c>
      <c r="AE90" s="240">
        <f ca="1">IFERROR(IF(OR(Z90="",Z90=0),"",IF(AF90="","",IF(AF90="R$/mês",Z90/OBRA!$D$12,IF(AF90="R$/m²",Z90/OBRA!$D$10,IF(AF90="R$/apto",Orçamento!Z90/OBRA!$D$11,""))))),"")</f>
        <v>0.69557347303201367</v>
      </c>
      <c r="AF90" s="241" t="s">
        <v>154</v>
      </c>
    </row>
    <row r="91" spans="1:32" s="10" customFormat="1" ht="13.15" hidden="1" customHeight="1" outlineLevel="4" x14ac:dyDescent="0.2">
      <c r="A91" s="227"/>
      <c r="B91" s="228" t="s">
        <v>4</v>
      </c>
      <c r="C91" s="229">
        <f t="shared" si="39"/>
        <v>1</v>
      </c>
      <c r="D91" s="227" t="str">
        <f t="shared" ca="1" si="37"/>
        <v>02.001.002.004</v>
      </c>
      <c r="E91" s="228" t="str">
        <f t="shared" ca="1" si="25"/>
        <v>02.001.002.004</v>
      </c>
      <c r="F91" s="230">
        <f ca="1">IF($B91="UNIDADE CONSTRUTIVA",OFFSET(F91,-1,0)+1,LARGE(F$10:F90,1))</f>
        <v>1</v>
      </c>
      <c r="G91" s="228" t="str">
        <f t="shared" ca="1" si="26"/>
        <v xml:space="preserve">   GERENCIAMENTO TÉCNICO E ADMINISTRATIVO</v>
      </c>
      <c r="H91" s="230">
        <f t="shared" ca="1" si="27"/>
        <v>2</v>
      </c>
      <c r="I91" s="228" t="str">
        <f t="shared" ca="1" si="28"/>
        <v xml:space="preserve">   GERENCIAMENTO ADMINISTRATIVO</v>
      </c>
      <c r="J91" s="230">
        <f t="shared" ca="1" si="29"/>
        <v>1</v>
      </c>
      <c r="K91" s="228" t="str">
        <f t="shared" ca="1" si="30"/>
        <v xml:space="preserve">   SEGURANÇA | MEIO AMBIENTE | SAÚDE</v>
      </c>
      <c r="L91" s="231">
        <f t="shared" ca="1" si="31"/>
        <v>2</v>
      </c>
      <c r="M91" s="228" t="str">
        <f t="shared" ca="1" si="32"/>
        <v xml:space="preserve">   Equipamentos de Proteção</v>
      </c>
      <c r="N91" s="231">
        <f t="shared" ca="1" si="33"/>
        <v>4</v>
      </c>
      <c r="O91" s="228" t="str">
        <f t="shared" ca="1" si="34"/>
        <v>Fechamento removivel de vaos de porta de elevador em madeira</v>
      </c>
      <c r="P91" s="232" t="str">
        <f>IF(S91="","",IF(Orçamento!$B91="INSUMO",S91,""))</f>
        <v/>
      </c>
      <c r="Q91" s="244" t="str">
        <f t="shared" si="38"/>
        <v>Fechamento removivel de vaos de porta de elevador em madeira</v>
      </c>
      <c r="R91" s="234">
        <f t="shared" ca="1" si="35"/>
        <v>1.6800000000000002</v>
      </c>
      <c r="S91" s="233" t="s">
        <v>420</v>
      </c>
      <c r="T91" s="242" t="s">
        <v>158</v>
      </c>
      <c r="U91" s="235">
        <v>1.6800000000000002</v>
      </c>
      <c r="V91" s="320" t="s">
        <v>35</v>
      </c>
      <c r="W91" s="236" t="str">
        <f>IFERROR(IF(B91="INSUMO",_xlfn.XLOOKUP(S91,Insumos!A:A,Insumos!C:C),""),"Inserir Preço")</f>
        <v/>
      </c>
      <c r="X91" s="235">
        <f t="shared" ca="1" si="36"/>
        <v>1.6800000000000002</v>
      </c>
      <c r="Y91" s="236">
        <f t="shared" ca="1" si="40"/>
        <v>67.757000000000005</v>
      </c>
      <c r="Z91" s="237">
        <f t="shared" ca="1" si="41"/>
        <v>113.83176000000002</v>
      </c>
      <c r="AA91" s="238"/>
      <c r="AB91" s="233" t="str">
        <f>IF(B91="insumo",_xlfn.XLOOKUP(S91,Insumos!A:A,Insumos!D:D),"")</f>
        <v/>
      </c>
      <c r="AC91" s="239">
        <f t="shared" ca="1" si="42"/>
        <v>1.6330203799437044E-5</v>
      </c>
      <c r="AE91" s="240">
        <f ca="1">IFERROR(IF(OR(Z91="",Z91=0),"",IF(AF91="","",IF(AF91="R$/mês",Z91/OBRA!$D$12,IF(AF91="R$/m²",Z91/OBRA!$D$10,IF(AF91="R$/apto",Orçamento!Z91/OBRA!$D$11,""))))),"")</f>
        <v>5.8578634541459333E-2</v>
      </c>
      <c r="AF91" s="241" t="s">
        <v>154</v>
      </c>
    </row>
    <row r="92" spans="1:32" s="10" customFormat="1" ht="13.15" hidden="1" customHeight="1" outlineLevel="4" x14ac:dyDescent="0.2">
      <c r="A92" s="227"/>
      <c r="B92" s="228" t="s">
        <v>19</v>
      </c>
      <c r="C92" s="229">
        <f t="shared" si="39"/>
        <v>44</v>
      </c>
      <c r="D92" s="227" t="str">
        <f t="shared" si="37"/>
        <v/>
      </c>
      <c r="E92" s="228" t="str">
        <f t="shared" ca="1" si="25"/>
        <v>02.001.002.004</v>
      </c>
      <c r="F92" s="230">
        <f ca="1">IF($B92="UNIDADE CONSTRUTIVA",OFFSET(F92,-1,0)+1,LARGE(F$10:F91,1))</f>
        <v>1</v>
      </c>
      <c r="G92" s="228" t="str">
        <f t="shared" ca="1" si="26"/>
        <v xml:space="preserve">   GERENCIAMENTO TÉCNICO E ADMINISTRATIVO</v>
      </c>
      <c r="H92" s="230">
        <f t="shared" ca="1" si="27"/>
        <v>2</v>
      </c>
      <c r="I92" s="228" t="str">
        <f t="shared" ca="1" si="28"/>
        <v xml:space="preserve">   GERENCIAMENTO ADMINISTRATIVO</v>
      </c>
      <c r="J92" s="230">
        <f t="shared" ca="1" si="29"/>
        <v>1</v>
      </c>
      <c r="K92" s="228" t="str">
        <f t="shared" ca="1" si="30"/>
        <v xml:space="preserve">   SEGURANÇA | MEIO AMBIENTE | SAÚDE</v>
      </c>
      <c r="L92" s="231">
        <f t="shared" ca="1" si="31"/>
        <v>2</v>
      </c>
      <c r="M92" s="228" t="str">
        <f t="shared" ca="1" si="32"/>
        <v xml:space="preserve">   Equipamentos de Proteção</v>
      </c>
      <c r="N92" s="231">
        <f t="shared" ca="1" si="33"/>
        <v>4</v>
      </c>
      <c r="O92" s="228" t="str">
        <f t="shared" ca="1" si="34"/>
        <v>Fechamento removivel de vaos de porta de elevador em madeira</v>
      </c>
      <c r="P92" s="232" t="str">
        <f>IF(S92="","",IF(Orçamento!$B92="INSUMO",S92,""))</f>
        <v>PREGO 17 x 21 COM CABECA</v>
      </c>
      <c r="Q92" s="244" t="str">
        <f t="shared" si="38"/>
        <v/>
      </c>
      <c r="R92" s="234">
        <f t="shared" ca="1" si="35"/>
        <v>1.6800000000000002</v>
      </c>
      <c r="S92" s="233" t="s">
        <v>173</v>
      </c>
      <c r="T92" s="242" t="str">
        <f>_xlfn.XLOOKUP(S92,Insumos!$A$3:$A$371,Insumos!$B$3:$B$371)</f>
        <v>KG</v>
      </c>
      <c r="U92" s="235">
        <f ca="1">IF($B92="insumo",R92,"")</f>
        <v>1.6800000000000002</v>
      </c>
      <c r="V92" s="320">
        <v>0.66700000000000004</v>
      </c>
      <c r="W92" s="236">
        <f>IFERROR(IF(B92="INSUMO",_xlfn.XLOOKUP(S92,Insumos!A:A,Insumos!C:C),""),"Inserir Preço")</f>
        <v>13</v>
      </c>
      <c r="X92" s="235">
        <f t="shared" ca="1" si="36"/>
        <v>1.1205600000000002</v>
      </c>
      <c r="Y92" s="236">
        <f t="shared" si="40"/>
        <v>8.6710000000000012</v>
      </c>
      <c r="Z92" s="237">
        <f t="shared" ca="1" si="41"/>
        <v>14.567280000000004</v>
      </c>
      <c r="AA92" s="238"/>
      <c r="AB92" s="233" t="str">
        <f>IF(B92="insumo",_xlfn.XLOOKUP(S92,Insumos!A:A,Insumos!D:D),"")</f>
        <v xml:space="preserve"> </v>
      </c>
      <c r="AC92" s="239">
        <f t="shared" ca="1" si="42"/>
        <v>2.0898091288710929E-6</v>
      </c>
      <c r="AE92" s="240">
        <f ca="1">IFERROR(IF(OR(Z92="",Z92=0),"",IF(AF92="","",IF(AF92="R$/mês",Z92/OBRA!$D$12,IF(AF92="R$/m²",Z92/OBRA!$D$10,IF(AF92="R$/apto",Orçamento!Z92/OBRA!$D$11,""))))),"")</f>
        <v>7.4964260535294348E-3</v>
      </c>
      <c r="AF92" s="241" t="s">
        <v>154</v>
      </c>
    </row>
    <row r="93" spans="1:32" s="10" customFormat="1" ht="13.15" hidden="1" customHeight="1" outlineLevel="4" x14ac:dyDescent="0.2">
      <c r="A93" s="227"/>
      <c r="B93" s="228" t="s">
        <v>19</v>
      </c>
      <c r="C93" s="229">
        <f t="shared" si="39"/>
        <v>1</v>
      </c>
      <c r="D93" s="227" t="str">
        <f t="shared" si="37"/>
        <v/>
      </c>
      <c r="E93" s="228" t="str">
        <f t="shared" ca="1" si="25"/>
        <v>02.001.002.004</v>
      </c>
      <c r="F93" s="230">
        <f ca="1">IF($B93="UNIDADE CONSTRUTIVA",OFFSET(F93,-1,0)+1,LARGE(F$10:F92,1))</f>
        <v>1</v>
      </c>
      <c r="G93" s="228" t="str">
        <f t="shared" ca="1" si="26"/>
        <v xml:space="preserve">   GERENCIAMENTO TÉCNICO E ADMINISTRATIVO</v>
      </c>
      <c r="H93" s="230">
        <f t="shared" ca="1" si="27"/>
        <v>2</v>
      </c>
      <c r="I93" s="228" t="str">
        <f t="shared" ca="1" si="28"/>
        <v xml:space="preserve">   GERENCIAMENTO ADMINISTRATIVO</v>
      </c>
      <c r="J93" s="230">
        <f t="shared" ca="1" si="29"/>
        <v>1</v>
      </c>
      <c r="K93" s="228" t="str">
        <f t="shared" ca="1" si="30"/>
        <v xml:space="preserve">   SEGURANÇA | MEIO AMBIENTE | SAÚDE</v>
      </c>
      <c r="L93" s="231">
        <f t="shared" ca="1" si="31"/>
        <v>2</v>
      </c>
      <c r="M93" s="228" t="str">
        <f t="shared" ca="1" si="32"/>
        <v xml:space="preserve">   Equipamentos de Proteção</v>
      </c>
      <c r="N93" s="231">
        <f t="shared" ca="1" si="33"/>
        <v>4</v>
      </c>
      <c r="O93" s="228" t="str">
        <f t="shared" ca="1" si="34"/>
        <v>Fechamento removivel de vaos de porta de elevador em madeira</v>
      </c>
      <c r="P93" s="232" t="str">
        <f>IF(S93="","",IF(Orçamento!$B93="INSUMO",S93,""))</f>
        <v>CHAPA COMPENSADO RESINADA 14 MM (2,20 X 1,10)</v>
      </c>
      <c r="Q93" s="244" t="str">
        <f t="shared" si="38"/>
        <v/>
      </c>
      <c r="R93" s="234">
        <f t="shared" ca="1" si="35"/>
        <v>1.6800000000000002</v>
      </c>
      <c r="S93" s="233" t="s">
        <v>377</v>
      </c>
      <c r="T93" s="242" t="str">
        <f>_xlfn.XLOOKUP(S93,Insumos!$A$3:$A$371,Insumos!$B$3:$B$371)</f>
        <v>CH</v>
      </c>
      <c r="U93" s="235">
        <f ca="1">IF($B93="insumo",R93,"")</f>
        <v>1.6800000000000002</v>
      </c>
      <c r="V93" s="320">
        <v>0.4556</v>
      </c>
      <c r="W93" s="236">
        <f>IFERROR(IF(B93="INSUMO",_xlfn.XLOOKUP(S93,Insumos!A:A,Insumos!C:C),""),"Inserir Preço")</f>
        <v>110</v>
      </c>
      <c r="X93" s="235">
        <f t="shared" ca="1" si="36"/>
        <v>0.76540800000000009</v>
      </c>
      <c r="Y93" s="236">
        <f t="shared" si="40"/>
        <v>50.116</v>
      </c>
      <c r="Z93" s="237">
        <f t="shared" ca="1" si="41"/>
        <v>84.194880000000012</v>
      </c>
      <c r="AA93" s="238"/>
      <c r="AB93" s="233" t="str">
        <f>IF(B93="insumo",_xlfn.XLOOKUP(S93,Insumos!A:A,Insumos!D:D),"")</f>
        <v xml:space="preserve"> </v>
      </c>
      <c r="AC93" s="239">
        <f t="shared" ca="1" si="42"/>
        <v>1.2078523157940685E-5</v>
      </c>
      <c r="AE93" s="240">
        <f ca="1">IFERROR(IF(OR(Z93="",Z93=0),"",IF(AF93="","",IF(AF93="R$/mês",Z93/OBRA!$D$12,IF(AF93="R$/m²",Z93/OBRA!$D$10,IF(AF93="R$/apto",Orçamento!Z93/OBRA!$D$11,""))))),"")</f>
        <v>4.3327284984278756E-2</v>
      </c>
      <c r="AF93" s="241" t="s">
        <v>154</v>
      </c>
    </row>
    <row r="94" spans="1:32" s="10" customFormat="1" ht="13.15" hidden="1" customHeight="1" outlineLevel="4" x14ac:dyDescent="0.2">
      <c r="A94" s="227"/>
      <c r="B94" s="228" t="s">
        <v>19</v>
      </c>
      <c r="C94" s="229">
        <f t="shared" si="39"/>
        <v>12</v>
      </c>
      <c r="D94" s="227" t="str">
        <f t="shared" si="37"/>
        <v/>
      </c>
      <c r="E94" s="228" t="str">
        <f t="shared" ca="1" si="25"/>
        <v>02.001.002.004</v>
      </c>
      <c r="F94" s="230">
        <f ca="1">IF($B94="UNIDADE CONSTRUTIVA",OFFSET(F94,-1,0)+1,LARGE(F$10:F93,1))</f>
        <v>1</v>
      </c>
      <c r="G94" s="228" t="str">
        <f t="shared" ca="1" si="26"/>
        <v xml:space="preserve">   GERENCIAMENTO TÉCNICO E ADMINISTRATIVO</v>
      </c>
      <c r="H94" s="230">
        <f t="shared" ca="1" si="27"/>
        <v>2</v>
      </c>
      <c r="I94" s="228" t="str">
        <f t="shared" ca="1" si="28"/>
        <v xml:space="preserve">   GERENCIAMENTO ADMINISTRATIVO</v>
      </c>
      <c r="J94" s="230">
        <f t="shared" ca="1" si="29"/>
        <v>1</v>
      </c>
      <c r="K94" s="228" t="str">
        <f t="shared" ca="1" si="30"/>
        <v xml:space="preserve">   SEGURANÇA | MEIO AMBIENTE | SAÚDE</v>
      </c>
      <c r="L94" s="231">
        <f t="shared" ca="1" si="31"/>
        <v>2</v>
      </c>
      <c r="M94" s="228" t="str">
        <f t="shared" ca="1" si="32"/>
        <v xml:space="preserve">   Equipamentos de Proteção</v>
      </c>
      <c r="N94" s="231">
        <f t="shared" ca="1" si="33"/>
        <v>4</v>
      </c>
      <c r="O94" s="228" t="str">
        <f t="shared" ca="1" si="34"/>
        <v>Fechamento removivel de vaos de porta de elevador em madeira</v>
      </c>
      <c r="P94" s="232" t="str">
        <f>IF(S94="","",IF(Orçamento!$B94="INSUMO",S94,""))</f>
        <v>SARRAFO DE MADEIRA 7,0 x 3 M</v>
      </c>
      <c r="Q94" s="244" t="str">
        <f t="shared" si="38"/>
        <v/>
      </c>
      <c r="R94" s="234">
        <f t="shared" ca="1" si="35"/>
        <v>1.6800000000000002</v>
      </c>
      <c r="S94" s="233" t="s">
        <v>175</v>
      </c>
      <c r="T94" s="242" t="str">
        <f>_xlfn.XLOOKUP(S94,Insumos!$A$3:$A$371,Insumos!$B$3:$B$371)</f>
        <v>M3</v>
      </c>
      <c r="U94" s="235">
        <f ca="1">IF($B94="insumo",R94,"")</f>
        <v>1.6800000000000002</v>
      </c>
      <c r="V94" s="320">
        <v>6.8999999999999999E-3</v>
      </c>
      <c r="W94" s="236">
        <f>IFERROR(IF(B94="INSUMO",_xlfn.XLOOKUP(S94,Insumos!A:A,Insumos!C:C),""),"Inserir Preço")</f>
        <v>1300</v>
      </c>
      <c r="X94" s="235">
        <f t="shared" ca="1" si="36"/>
        <v>1.1592000000000002E-2</v>
      </c>
      <c r="Y94" s="236">
        <f t="shared" si="40"/>
        <v>8.9700000000000006</v>
      </c>
      <c r="Z94" s="237">
        <f t="shared" ca="1" si="41"/>
        <v>15.069600000000001</v>
      </c>
      <c r="AA94" s="238"/>
      <c r="AB94" s="233" t="str">
        <f>IF(B94="insumo",_xlfn.XLOOKUP(S94,Insumos!A:A,Insumos!D:D),"")</f>
        <v xml:space="preserve"> </v>
      </c>
      <c r="AC94" s="239">
        <f t="shared" ca="1" si="42"/>
        <v>2.1618715126252679E-6</v>
      </c>
      <c r="AE94" s="240">
        <f ca="1">IFERROR(IF(OR(Z94="",Z94=0),"",IF(AF94="","",IF(AF94="R$/mês",Z94/OBRA!$D$12,IF(AF94="R$/m²",Z94/OBRA!$D$10,IF(AF94="R$/apto",Orçamento!Z94/OBRA!$D$11,""))))),"")</f>
        <v>7.7549235036511377E-3</v>
      </c>
      <c r="AF94" s="241" t="s">
        <v>154</v>
      </c>
    </row>
    <row r="95" spans="1:32" s="10" customFormat="1" ht="13.15" hidden="1" customHeight="1" outlineLevel="4" x14ac:dyDescent="0.2">
      <c r="A95" s="227"/>
      <c r="B95" s="228" t="s">
        <v>4</v>
      </c>
      <c r="C95" s="229">
        <f t="shared" si="39"/>
        <v>1</v>
      </c>
      <c r="D95" s="227" t="str">
        <f t="shared" ca="1" si="37"/>
        <v>02.001.002.005</v>
      </c>
      <c r="E95" s="228" t="str">
        <f t="shared" ca="1" si="25"/>
        <v>02.001.002.005</v>
      </c>
      <c r="F95" s="230">
        <f ca="1">IF($B95="UNIDADE CONSTRUTIVA",OFFSET(F95,-1,0)+1,LARGE(F$10:F94,1))</f>
        <v>1</v>
      </c>
      <c r="G95" s="228" t="str">
        <f t="shared" ca="1" si="26"/>
        <v xml:space="preserve">   GERENCIAMENTO TÉCNICO E ADMINISTRATIVO</v>
      </c>
      <c r="H95" s="230">
        <f t="shared" ca="1" si="27"/>
        <v>2</v>
      </c>
      <c r="I95" s="228" t="str">
        <f t="shared" ca="1" si="28"/>
        <v xml:space="preserve">   GERENCIAMENTO ADMINISTRATIVO</v>
      </c>
      <c r="J95" s="230">
        <f t="shared" ca="1" si="29"/>
        <v>1</v>
      </c>
      <c r="K95" s="228" t="str">
        <f t="shared" ca="1" si="30"/>
        <v xml:space="preserve">   SEGURANÇA | MEIO AMBIENTE | SAÚDE</v>
      </c>
      <c r="L95" s="231">
        <f t="shared" ca="1" si="31"/>
        <v>2</v>
      </c>
      <c r="M95" s="228" t="str">
        <f t="shared" ca="1" si="32"/>
        <v xml:space="preserve">   Equipamentos de Proteção</v>
      </c>
      <c r="N95" s="231">
        <f t="shared" ca="1" si="33"/>
        <v>5</v>
      </c>
      <c r="O95" s="228" t="str">
        <f t="shared" ca="1" si="34"/>
        <v>Varal de seguranca com cabo de aco</v>
      </c>
      <c r="P95" s="232" t="str">
        <f>IF(S95="","",IF(Orçamento!$B95="INSUMO",S95,""))</f>
        <v/>
      </c>
      <c r="Q95" s="244" t="str">
        <f t="shared" si="38"/>
        <v>Varal de seguranca com cabo de aco</v>
      </c>
      <c r="R95" s="234">
        <f t="shared" ca="1" si="35"/>
        <v>129.04</v>
      </c>
      <c r="S95" s="233" t="s">
        <v>421</v>
      </c>
      <c r="T95" s="242" t="s">
        <v>158</v>
      </c>
      <c r="U95" s="235">
        <v>129.04</v>
      </c>
      <c r="V95" s="320" t="s">
        <v>35</v>
      </c>
      <c r="W95" s="236" t="str">
        <f>IFERROR(IF(B95="INSUMO",_xlfn.XLOOKUP(S95,Insumos!A:A,Insumos!C:C),""),"Inserir Preço")</f>
        <v/>
      </c>
      <c r="X95" s="235">
        <f t="shared" ca="1" si="36"/>
        <v>129.04</v>
      </c>
      <c r="Y95" s="236">
        <f t="shared" ca="1" si="40"/>
        <v>59.164380000000001</v>
      </c>
      <c r="Z95" s="237">
        <f t="shared" ca="1" si="41"/>
        <v>7634.5715952</v>
      </c>
      <c r="AA95" s="238"/>
      <c r="AB95" s="233" t="str">
        <f>IF(B95="insumo",_xlfn.XLOOKUP(S95,Insumos!A:A,Insumos!D:D),"")</f>
        <v/>
      </c>
      <c r="AC95" s="239">
        <f t="shared" ca="1" si="42"/>
        <v>1.0952489012821128E-3</v>
      </c>
      <c r="AE95" s="240">
        <f ca="1">IFERROR(IF(OR(Z95="",Z95=0),"",IF(AF95="","",IF(AF95="R$/mês",Z95/OBRA!$D$12,IF(AF95="R$/m²",Z95/OBRA!$D$10,IF(AF95="R$/apto",Orçamento!Z95/OBRA!$D$11,""))))),"")</f>
        <v>3.9288049254076975</v>
      </c>
      <c r="AF95" s="241" t="s">
        <v>154</v>
      </c>
    </row>
    <row r="96" spans="1:32" s="10" customFormat="1" ht="13.15" hidden="1" customHeight="1" outlineLevel="4" x14ac:dyDescent="0.2">
      <c r="A96" s="227"/>
      <c r="B96" s="228" t="s">
        <v>19</v>
      </c>
      <c r="C96" s="229">
        <f t="shared" si="39"/>
        <v>1</v>
      </c>
      <c r="D96" s="227" t="str">
        <f t="shared" si="37"/>
        <v/>
      </c>
      <c r="E96" s="228" t="str">
        <f t="shared" ca="1" si="25"/>
        <v>02.001.002.005</v>
      </c>
      <c r="F96" s="230">
        <f ca="1">IF($B96="UNIDADE CONSTRUTIVA",OFFSET(F96,-1,0)+1,LARGE(F$10:F95,1))</f>
        <v>1</v>
      </c>
      <c r="G96" s="228" t="str">
        <f t="shared" ca="1" si="26"/>
        <v xml:space="preserve">   GERENCIAMENTO TÉCNICO E ADMINISTRATIVO</v>
      </c>
      <c r="H96" s="230">
        <f t="shared" ca="1" si="27"/>
        <v>2</v>
      </c>
      <c r="I96" s="228" t="str">
        <f t="shared" ca="1" si="28"/>
        <v xml:space="preserve">   GERENCIAMENTO ADMINISTRATIVO</v>
      </c>
      <c r="J96" s="230">
        <f t="shared" ca="1" si="29"/>
        <v>1</v>
      </c>
      <c r="K96" s="228" t="str">
        <f t="shared" ca="1" si="30"/>
        <v xml:space="preserve">   SEGURANÇA | MEIO AMBIENTE | SAÚDE</v>
      </c>
      <c r="L96" s="231">
        <f t="shared" ca="1" si="31"/>
        <v>2</v>
      </c>
      <c r="M96" s="228" t="str">
        <f t="shared" ca="1" si="32"/>
        <v xml:space="preserve">   Equipamentos de Proteção</v>
      </c>
      <c r="N96" s="231">
        <f t="shared" ca="1" si="33"/>
        <v>5</v>
      </c>
      <c r="O96" s="228" t="str">
        <f t="shared" ca="1" si="34"/>
        <v>Varal de seguranca com cabo de aco</v>
      </c>
      <c r="P96" s="232" t="str">
        <f>IF(S96="","",IF(Orçamento!$B96="INSUMO",S96,""))</f>
        <v>Sistema de linha de vida tipo varal de segurança com tubo h=7,5 e acessórios incluindo sapata de fixação e pino de travamento</v>
      </c>
      <c r="Q96" s="244" t="str">
        <f t="shared" si="38"/>
        <v/>
      </c>
      <c r="R96" s="234">
        <f t="shared" ca="1" si="35"/>
        <v>129.04</v>
      </c>
      <c r="S96" s="233" t="s">
        <v>913</v>
      </c>
      <c r="T96" s="242" t="str">
        <f>_xlfn.XLOOKUP(S96,Insumos!$A$3:$A$371,Insumos!$B$3:$B$371)</f>
        <v>un</v>
      </c>
      <c r="U96" s="235">
        <f t="shared" ref="U96:U101" ca="1" si="44">IF($B96="insumo",R96,"")</f>
        <v>129.04</v>
      </c>
      <c r="V96" s="320">
        <v>1.6299999999999999E-2</v>
      </c>
      <c r="W96" s="236">
        <f>IFERROR(IF(B96="INSUMO",_xlfn.XLOOKUP(S96,Insumos!A:A,Insumos!C:C),""),"Inserir Preço")</f>
        <v>1500</v>
      </c>
      <c r="X96" s="235">
        <f t="shared" ca="1" si="36"/>
        <v>2.1033519999999997</v>
      </c>
      <c r="Y96" s="236">
        <f t="shared" si="40"/>
        <v>24.45</v>
      </c>
      <c r="Z96" s="237">
        <f t="shared" ca="1" si="41"/>
        <v>3155.0279999999993</v>
      </c>
      <c r="AA96" s="238"/>
      <c r="AB96" s="233" t="str">
        <f>IF(B96="insumo",_xlfn.XLOOKUP(S96,Insumos!A:A,Insumos!D:D),"")</f>
        <v>Base de Dados</v>
      </c>
      <c r="AC96" s="239">
        <f t="shared" ca="1" si="42"/>
        <v>4.5261753163554922E-4</v>
      </c>
      <c r="AE96" s="240">
        <f ca="1">IFERROR(IF(OR(Z96="",Z96=0),"",IF(AF96="","",IF(AF96="R$/mês",Z96/OBRA!$D$12,IF(AF96="R$/m²",Z96/OBRA!$D$10,IF(AF96="R$/apto",Orçamento!Z96/OBRA!$D$11,""))))),"")</f>
        <v>1.6235998826695757</v>
      </c>
      <c r="AF96" s="241" t="s">
        <v>154</v>
      </c>
    </row>
    <row r="97" spans="1:32" s="10" customFormat="1" ht="13.15" hidden="1" customHeight="1" outlineLevel="4" x14ac:dyDescent="0.2">
      <c r="A97" s="227"/>
      <c r="B97" s="228" t="s">
        <v>19</v>
      </c>
      <c r="C97" s="229">
        <f t="shared" si="39"/>
        <v>1</v>
      </c>
      <c r="D97" s="227" t="str">
        <f>IF(B97="Unidade Construtiva",TEXT(F97,"00"),IF(B97="Célula Construtiva",TEXT(H97,"00"),IF(B97="Etapa",CONCATENATE(TEXT(H97,"00"),".",TEXT(J97,"000")),IF(B97="Subetapa",CONCATENATE(TEXT(H97,"00"),".",TEXT(J97,"000"),".",TEXT(L97,"000")),IF(B97="Serviço",CONCATENATE(TEXT(H97,"00"),".",TEXT(J97,"000"),".",TEXT(L97,"000"),".",TEXT(N97,"000")),"")))))</f>
        <v/>
      </c>
      <c r="E97" s="228" t="str">
        <f ca="1">IF(B97="*","",IFERROR(IF(B97="SERVIÇO",D97,OFFSET(E97,-1,0)),""))</f>
        <v>02.001.002.005</v>
      </c>
      <c r="F97" s="230">
        <f ca="1">IF($B97="UNIDADE CONSTRUTIVA",OFFSET(F97,-1,0)+1,LARGE(F$10:F96,1))</f>
        <v>1</v>
      </c>
      <c r="G97" s="228" t="str">
        <f ca="1">IF(B97="*","",IF(B97="UNIDADE CONSTRUTIVA",S97,OFFSET(G97,-1,0)))</f>
        <v xml:space="preserve">   GERENCIAMENTO TÉCNICO E ADMINISTRATIVO</v>
      </c>
      <c r="H97" s="230">
        <f ca="1">IF(B97="UNIDADE CONSTRUTIVA",0,IF(B97="CÉLULA CONSTRUTIVA",OFFSET(H97,-1,0)+1,OFFSET(H97,-1,0)))</f>
        <v>2</v>
      </c>
      <c r="I97" s="228" t="str">
        <f ca="1">IF(B97="*","",IF(B97="CÉLULA CONSTRUTIVA",S97,OFFSET(I97,-1,0)))</f>
        <v xml:space="preserve">   GERENCIAMENTO ADMINISTRATIVO</v>
      </c>
      <c r="J97" s="230">
        <f ca="1">IF(B97="CÉLULA CONSTRUTIVA",0,IF(B97="ETAPA",OFFSET(J97,-1,0)+1,OFFSET(J97,-1,0)))</f>
        <v>1</v>
      </c>
      <c r="K97" s="228" t="str">
        <f ca="1">IF(B97="*","",IF(B97="ETAPA",S97,OFFSET(K97,-1,0)))</f>
        <v xml:space="preserve">   SEGURANÇA | MEIO AMBIENTE | SAÚDE</v>
      </c>
      <c r="L97" s="231">
        <f ca="1">IF(B97="ETAPA",0,IF(B97="SUBETAPA",OFFSET(L97,-1,0)+1,OFFSET(L97,-1,0)))</f>
        <v>2</v>
      </c>
      <c r="M97" s="228" t="str">
        <f ca="1">IF(B97="*","",IF(B97="SUBETAPA",S97,OFFSET(M97,-1,0)))</f>
        <v xml:space="preserve">   Equipamentos de Proteção</v>
      </c>
      <c r="N97" s="231">
        <f ca="1">IF(B97="Subetapa",0,IF(B97="serviço",OFFSET(N97,-1,0)+1,OFFSET(N97,-1,0)))</f>
        <v>5</v>
      </c>
      <c r="O97" s="228" t="str">
        <f ca="1">IF(B97="*","",IF(B97="SERVIÇO",S97,OFFSET(O97,-1,0)))</f>
        <v>Varal de seguranca com cabo de aco</v>
      </c>
      <c r="P97" s="232" t="str">
        <f>IF(S97="","",IF(Orçamento!$B97="INSUMO",S97,""))</f>
        <v>Abraçadeira para linha de vida em aço galvanizado para poste de 3" de cabo 1/2"</v>
      </c>
      <c r="Q97" s="244" t="str">
        <f>IF(B97="","",IF(B97="Serviço",S97,""))</f>
        <v/>
      </c>
      <c r="R97" s="234">
        <f ca="1">IF(B97="serviço",U97,OFFSET(R97,-1,0))</f>
        <v>129.04</v>
      </c>
      <c r="S97" s="233" t="s">
        <v>914</v>
      </c>
      <c r="T97" s="242" t="str">
        <f>_xlfn.XLOOKUP(S97,Insumos!$A$3:$A$371,Insumos!$B$3:$B$371)</f>
        <v>un</v>
      </c>
      <c r="U97" s="235">
        <f t="shared" ca="1" si="44"/>
        <v>129.04</v>
      </c>
      <c r="V97" s="320">
        <v>1.6299999999999999E-2</v>
      </c>
      <c r="W97" s="236">
        <f>IFERROR(IF(B97="INSUMO",_xlfn.XLOOKUP(S97,Insumos!A:A,Insumos!C:C),""),"Inserir Preço")</f>
        <v>85</v>
      </c>
      <c r="X97" s="235">
        <f ca="1">IF(B97="Complemento do insumo",V97,IF(R97="","",IF(B97="serviço",R97,IF(OR(B97="insumo"),V97*R97,""))))</f>
        <v>2.1033519999999997</v>
      </c>
      <c r="Y97" s="236">
        <f t="shared" si="40"/>
        <v>1.3855</v>
      </c>
      <c r="Z97" s="237">
        <f t="shared" ca="1" si="41"/>
        <v>178.78491999999997</v>
      </c>
      <c r="AA97" s="238"/>
      <c r="AB97" s="233" t="str">
        <f>IF(B97="insumo",_xlfn.XLOOKUP(S97,Insumos!A:A,Insumos!D:D),"")</f>
        <v>Base de Dados</v>
      </c>
      <c r="AC97" s="239">
        <f t="shared" ca="1" si="42"/>
        <v>2.5648326792681124E-5</v>
      </c>
      <c r="AE97" s="240">
        <f ca="1">IFERROR(IF(OR(Z97="",Z97=0),"",IF(AF97="","",IF(AF97="R$/mês",Z97/OBRA!$D$12,IF(AF97="R$/m²",Z97/OBRA!$D$10,IF(AF97="R$/apto",Orçamento!Z97/OBRA!$D$11,""))))),"")</f>
        <v>9.2003993351275959E-2</v>
      </c>
      <c r="AF97" s="241" t="s">
        <v>154</v>
      </c>
    </row>
    <row r="98" spans="1:32" s="10" customFormat="1" ht="13.15" hidden="1" customHeight="1" outlineLevel="4" x14ac:dyDescent="0.2">
      <c r="A98" s="227"/>
      <c r="B98" s="228" t="s">
        <v>19</v>
      </c>
      <c r="C98" s="229">
        <f t="shared" si="39"/>
        <v>1</v>
      </c>
      <c r="D98" s="227" t="str">
        <f>IF(B98="Unidade Construtiva",TEXT(F98,"00"),IF(B98="Célula Construtiva",TEXT(H98,"00"),IF(B98="Etapa",CONCATENATE(TEXT(H98,"00"),".",TEXT(J98,"000")),IF(B98="Subetapa",CONCATENATE(TEXT(H98,"00"),".",TEXT(J98,"000"),".",TEXT(L98,"000")),IF(B98="Serviço",CONCATENATE(TEXT(H98,"00"),".",TEXT(J98,"000"),".",TEXT(L98,"000"),".",TEXT(N98,"000")),"")))))</f>
        <v/>
      </c>
      <c r="E98" s="228" t="str">
        <f ca="1">IF(B98="*","",IFERROR(IF(B98="SERVIÇO",D98,OFFSET(E98,-1,0)),""))</f>
        <v>02.001.002.005</v>
      </c>
      <c r="F98" s="230">
        <f ca="1">IF($B98="UNIDADE CONSTRUTIVA",OFFSET(F98,-1,0)+1,LARGE(F$10:F97,1))</f>
        <v>1</v>
      </c>
      <c r="G98" s="228" t="str">
        <f ca="1">IF(B98="*","",IF(B98="UNIDADE CONSTRUTIVA",S98,OFFSET(G98,-1,0)))</f>
        <v xml:space="preserve">   GERENCIAMENTO TÉCNICO E ADMINISTRATIVO</v>
      </c>
      <c r="H98" s="230">
        <f ca="1">IF(B98="UNIDADE CONSTRUTIVA",0,IF(B98="CÉLULA CONSTRUTIVA",OFFSET(H98,-1,0)+1,OFFSET(H98,-1,0)))</f>
        <v>2</v>
      </c>
      <c r="I98" s="228" t="str">
        <f ca="1">IF(B98="*","",IF(B98="CÉLULA CONSTRUTIVA",S98,OFFSET(I98,-1,0)))</f>
        <v xml:space="preserve">   GERENCIAMENTO ADMINISTRATIVO</v>
      </c>
      <c r="J98" s="230">
        <f ca="1">IF(B98="CÉLULA CONSTRUTIVA",0,IF(B98="ETAPA",OFFSET(J98,-1,0)+1,OFFSET(J98,-1,0)))</f>
        <v>1</v>
      </c>
      <c r="K98" s="228" t="str">
        <f ca="1">IF(B98="*","",IF(B98="ETAPA",S98,OFFSET(K98,-1,0)))</f>
        <v xml:space="preserve">   SEGURANÇA | MEIO AMBIENTE | SAÚDE</v>
      </c>
      <c r="L98" s="231">
        <f ca="1">IF(B98="ETAPA",0,IF(B98="SUBETAPA",OFFSET(L98,-1,0)+1,OFFSET(L98,-1,0)))</f>
        <v>2</v>
      </c>
      <c r="M98" s="228" t="str">
        <f ca="1">IF(B98="*","",IF(B98="SUBETAPA",S98,OFFSET(M98,-1,0)))</f>
        <v xml:space="preserve">   Equipamentos de Proteção</v>
      </c>
      <c r="N98" s="231">
        <f ca="1">IF(B98="Subetapa",0,IF(B98="serviço",OFFSET(N98,-1,0)+1,OFFSET(N98,-1,0)))</f>
        <v>5</v>
      </c>
      <c r="O98" s="228" t="str">
        <f ca="1">IF(B98="*","",IF(B98="SERVIÇO",S98,OFFSET(O98,-1,0)))</f>
        <v>Varal de seguranca com cabo de aco</v>
      </c>
      <c r="P98" s="232" t="str">
        <f>IF(S98="","",IF(Orçamento!$B98="INSUMO",S98,""))</f>
        <v>Cabo de aço SAE 1020 1/2" - 6/25 Alma de aço</v>
      </c>
      <c r="Q98" s="244" t="str">
        <f>IF(B98="","",IF(B98="Serviço",S98,""))</f>
        <v/>
      </c>
      <c r="R98" s="234">
        <f ca="1">IF(B98="serviço",U98,OFFSET(R98,-1,0))</f>
        <v>129.04</v>
      </c>
      <c r="S98" s="233" t="s">
        <v>915</v>
      </c>
      <c r="T98" s="242" t="str">
        <f>_xlfn.XLOOKUP(S98,Insumos!$A$3:$A$371,Insumos!$B$3:$B$371)</f>
        <v>kg</v>
      </c>
      <c r="U98" s="235">
        <f t="shared" ca="1" si="44"/>
        <v>129.04</v>
      </c>
      <c r="V98" s="320">
        <v>1.0230999999999999</v>
      </c>
      <c r="W98" s="236">
        <f>IFERROR(IF(B98="INSUMO",_xlfn.XLOOKUP(S98,Insumos!A:A,Insumos!C:C),""),"Inserir Preço")</f>
        <v>7.8</v>
      </c>
      <c r="X98" s="235">
        <f ca="1">IF(B98="Complemento do insumo",V98,IF(R98="","",IF(B98="serviço",R98,IF(OR(B98="insumo"),V98*R98,""))))</f>
        <v>132.02082399999998</v>
      </c>
      <c r="Y98" s="236">
        <f t="shared" si="40"/>
        <v>7.9801799999999989</v>
      </c>
      <c r="Z98" s="237">
        <f t="shared" ca="1" si="41"/>
        <v>1029.7624271999998</v>
      </c>
      <c r="AA98" s="238"/>
      <c r="AB98" s="233" t="str">
        <f>IF(B98="insumo",_xlfn.XLOOKUP(S98,Insumos!A:A,Insumos!D:D),"")</f>
        <v>Base de Dados</v>
      </c>
      <c r="AC98" s="239">
        <f t="shared" ca="1" si="42"/>
        <v>1.4772880873649804E-4</v>
      </c>
      <c r="AE98" s="240">
        <f ca="1">IFERROR(IF(OR(Z98="",Z98=0),"",IF(AF98="","",IF(AF98="R$/mês",Z98/OBRA!$D$12,IF(AF98="R$/m²",Z98/OBRA!$D$10,IF(AF98="R$/apto",Orçamento!Z98/OBRA!$D$11,""))))),"")</f>
        <v>0.52992308023239643</v>
      </c>
      <c r="AF98" s="241" t="s">
        <v>154</v>
      </c>
    </row>
    <row r="99" spans="1:32" s="10" customFormat="1" ht="13.15" hidden="1" customHeight="1" outlineLevel="4" x14ac:dyDescent="0.2">
      <c r="A99" s="227"/>
      <c r="B99" s="228" t="s">
        <v>19</v>
      </c>
      <c r="C99" s="229">
        <f t="shared" si="39"/>
        <v>1</v>
      </c>
      <c r="D99" s="227" t="str">
        <f>IF(B99="Unidade Construtiva",TEXT(F99,"00"),IF(B99="Célula Construtiva",TEXT(H99,"00"),IF(B99="Etapa",CONCATENATE(TEXT(H99,"00"),".",TEXT(J99,"000")),IF(B99="Subetapa",CONCATENATE(TEXT(H99,"00"),".",TEXT(J99,"000"),".",TEXT(L99,"000")),IF(B99="Serviço",CONCATENATE(TEXT(H99,"00"),".",TEXT(J99,"000"),".",TEXT(L99,"000"),".",TEXT(N99,"000")),"")))))</f>
        <v/>
      </c>
      <c r="E99" s="228" t="str">
        <f ca="1">IF(B99="*","",IFERROR(IF(B99="SERVIÇO",D99,OFFSET(E99,-1,0)),""))</f>
        <v>02.001.002.005</v>
      </c>
      <c r="F99" s="230">
        <f ca="1">IF($B99="UNIDADE CONSTRUTIVA",OFFSET(F99,-1,0)+1,LARGE(F$10:F98,1))</f>
        <v>1</v>
      </c>
      <c r="G99" s="228" t="str">
        <f ca="1">IF(B99="*","",IF(B99="UNIDADE CONSTRUTIVA",S99,OFFSET(G99,-1,0)))</f>
        <v xml:space="preserve">   GERENCIAMENTO TÉCNICO E ADMINISTRATIVO</v>
      </c>
      <c r="H99" s="230">
        <f ca="1">IF(B99="UNIDADE CONSTRUTIVA",0,IF(B99="CÉLULA CONSTRUTIVA",OFFSET(H99,-1,0)+1,OFFSET(H99,-1,0)))</f>
        <v>2</v>
      </c>
      <c r="I99" s="228" t="str">
        <f ca="1">IF(B99="*","",IF(B99="CÉLULA CONSTRUTIVA",S99,OFFSET(I99,-1,0)))</f>
        <v xml:space="preserve">   GERENCIAMENTO ADMINISTRATIVO</v>
      </c>
      <c r="J99" s="230">
        <f ca="1">IF(B99="CÉLULA CONSTRUTIVA",0,IF(B99="ETAPA",OFFSET(J99,-1,0)+1,OFFSET(J99,-1,0)))</f>
        <v>1</v>
      </c>
      <c r="K99" s="228" t="str">
        <f ca="1">IF(B99="*","",IF(B99="ETAPA",S99,OFFSET(K99,-1,0)))</f>
        <v xml:space="preserve">   SEGURANÇA | MEIO AMBIENTE | SAÚDE</v>
      </c>
      <c r="L99" s="231">
        <f ca="1">IF(B99="ETAPA",0,IF(B99="SUBETAPA",OFFSET(L99,-1,0)+1,OFFSET(L99,-1,0)))</f>
        <v>2</v>
      </c>
      <c r="M99" s="228" t="str">
        <f ca="1">IF(B99="*","",IF(B99="SUBETAPA",S99,OFFSET(M99,-1,0)))</f>
        <v xml:space="preserve">   Equipamentos de Proteção</v>
      </c>
      <c r="N99" s="231">
        <f ca="1">IF(B99="Subetapa",0,IF(B99="serviço",OFFSET(N99,-1,0)+1,OFFSET(N99,-1,0)))</f>
        <v>5</v>
      </c>
      <c r="O99" s="228" t="str">
        <f ca="1">IF(B99="*","",IF(B99="SERVIÇO",S99,OFFSET(O99,-1,0)))</f>
        <v>Varal de seguranca com cabo de aco</v>
      </c>
      <c r="P99" s="232" t="str">
        <f>IF(S99="","",IF(Orçamento!$B99="INSUMO",S99,""))</f>
        <v xml:space="preserve">Manilha reta padrão "D", corpo forjado em aço carbono 1045 c/ pino reforçado alloy, roscado 1/2". </v>
      </c>
      <c r="Q99" s="244" t="str">
        <f>IF(B99="","",IF(B99="Serviço",S99,""))</f>
        <v/>
      </c>
      <c r="R99" s="234">
        <f ca="1">IF(B99="serviço",U99,OFFSET(R99,-1,0))</f>
        <v>129.04</v>
      </c>
      <c r="S99" s="233" t="s">
        <v>916</v>
      </c>
      <c r="T99" s="242" t="str">
        <f>_xlfn.XLOOKUP(S99,Insumos!$A$3:$A$371,Insumos!$B$3:$B$371)</f>
        <v>un</v>
      </c>
      <c r="U99" s="235">
        <f t="shared" ca="1" si="44"/>
        <v>129.04</v>
      </c>
      <c r="V99" s="320">
        <v>0.45669999999999999</v>
      </c>
      <c r="W99" s="236">
        <f>IFERROR(IF(B99="INSUMO",_xlfn.XLOOKUP(S99,Insumos!A:A,Insumos!C:C),""),"Inserir Preço")</f>
        <v>32.5</v>
      </c>
      <c r="X99" s="235">
        <f ca="1">IF(B99="Complemento do insumo",V99,IF(R99="","",IF(B99="serviço",R99,IF(OR(B99="insumo"),V99*R99,""))))</f>
        <v>58.932567999999996</v>
      </c>
      <c r="Y99" s="236">
        <f t="shared" si="40"/>
        <v>14.842750000000001</v>
      </c>
      <c r="Z99" s="237">
        <f t="shared" ca="1" si="41"/>
        <v>1915.30846</v>
      </c>
      <c r="AA99" s="238"/>
      <c r="AB99" s="233" t="str">
        <f>IF(B99="insumo",_xlfn.XLOOKUP(S99,Insumos!A:A,Insumos!D:D),"")</f>
        <v>Base de Dados</v>
      </c>
      <c r="AC99" s="239">
        <f t="shared" ca="1" si="42"/>
        <v>2.7476846084595292E-4</v>
      </c>
      <c r="AE99" s="240">
        <f ca="1">IFERROR(IF(OR(Z99="",Z99=0),"",IF(AF99="","",IF(AF99="R$/mês",Z99/OBRA!$D$12,IF(AF99="R$/m²",Z99/OBRA!$D$10,IF(AF99="R$/apto",Orçamento!Z99/OBRA!$D$11,""))))),"")</f>
        <v>0.98563137662551525</v>
      </c>
      <c r="AF99" s="241" t="s">
        <v>154</v>
      </c>
    </row>
    <row r="100" spans="1:32" s="10" customFormat="1" ht="13.15" hidden="1" customHeight="1" outlineLevel="4" x14ac:dyDescent="0.2">
      <c r="A100" s="227"/>
      <c r="B100" s="228" t="s">
        <v>19</v>
      </c>
      <c r="C100" s="229">
        <f t="shared" si="39"/>
        <v>1</v>
      </c>
      <c r="D100" s="227" t="str">
        <f>IF(B100="Unidade Construtiva",TEXT(F100,"00"),IF(B100="Célula Construtiva",TEXT(H100,"00"),IF(B100="Etapa",CONCATENATE(TEXT(H100,"00"),".",TEXT(J100,"000")),IF(B100="Subetapa",CONCATENATE(TEXT(H100,"00"),".",TEXT(J100,"000"),".",TEXT(L100,"000")),IF(B100="Serviço",CONCATENATE(TEXT(H100,"00"),".",TEXT(J100,"000"),".",TEXT(L100,"000"),".",TEXT(N100,"000")),"")))))</f>
        <v/>
      </c>
      <c r="E100" s="228" t="str">
        <f ca="1">IF(B100="*","",IFERROR(IF(B100="SERVIÇO",D100,OFFSET(E100,-1,0)),""))</f>
        <v>02.001.002.005</v>
      </c>
      <c r="F100" s="230">
        <f ca="1">IF($B100="UNIDADE CONSTRUTIVA",OFFSET(F100,-1,0)+1,LARGE(F$10:F99,1))</f>
        <v>1</v>
      </c>
      <c r="G100" s="228" t="str">
        <f ca="1">IF(B100="*","",IF(B100="UNIDADE CONSTRUTIVA",S100,OFFSET(G100,-1,0)))</f>
        <v xml:space="preserve">   GERENCIAMENTO TÉCNICO E ADMINISTRATIVO</v>
      </c>
      <c r="H100" s="230">
        <f ca="1">IF(B100="UNIDADE CONSTRUTIVA",0,IF(B100="CÉLULA CONSTRUTIVA",OFFSET(H100,-1,0)+1,OFFSET(H100,-1,0)))</f>
        <v>2</v>
      </c>
      <c r="I100" s="228" t="str">
        <f ca="1">IF(B100="*","",IF(B100="CÉLULA CONSTRUTIVA",S100,OFFSET(I100,-1,0)))</f>
        <v xml:space="preserve">   GERENCIAMENTO ADMINISTRATIVO</v>
      </c>
      <c r="J100" s="230">
        <f ca="1">IF(B100="CÉLULA CONSTRUTIVA",0,IF(B100="ETAPA",OFFSET(J100,-1,0)+1,OFFSET(J100,-1,0)))</f>
        <v>1</v>
      </c>
      <c r="K100" s="228" t="str">
        <f ca="1">IF(B100="*","",IF(B100="ETAPA",S100,OFFSET(K100,-1,0)))</f>
        <v xml:space="preserve">   SEGURANÇA | MEIO AMBIENTE | SAÚDE</v>
      </c>
      <c r="L100" s="231">
        <f ca="1">IF(B100="ETAPA",0,IF(B100="SUBETAPA",OFFSET(L100,-1,0)+1,OFFSET(L100,-1,0)))</f>
        <v>2</v>
      </c>
      <c r="M100" s="228" t="str">
        <f ca="1">IF(B100="*","",IF(B100="SUBETAPA",S100,OFFSET(M100,-1,0)))</f>
        <v xml:space="preserve">   Equipamentos de Proteção</v>
      </c>
      <c r="N100" s="231">
        <f ca="1">IF(B100="Subetapa",0,IF(B100="serviço",OFFSET(N100,-1,0)+1,OFFSET(N100,-1,0)))</f>
        <v>5</v>
      </c>
      <c r="O100" s="228" t="str">
        <f ca="1">IF(B100="*","",IF(B100="SERVIÇO",S100,OFFSET(O100,-1,0)))</f>
        <v>Varal de seguranca com cabo de aco</v>
      </c>
      <c r="P100" s="232" t="str">
        <f>IF(S100="","",IF(Orçamento!$B100="INSUMO",S100,""))</f>
        <v xml:space="preserve">Esticador gancho-olhal para cabo de aço 1/2" em aço forjado DIN 1480 </v>
      </c>
      <c r="Q100" s="244" t="str">
        <f>IF(B100="","",IF(B100="Serviço",S100,""))</f>
        <v/>
      </c>
      <c r="R100" s="234">
        <f ca="1">IF(B100="serviço",U100,OFFSET(R100,-1,0))</f>
        <v>129.04</v>
      </c>
      <c r="S100" s="233" t="s">
        <v>917</v>
      </c>
      <c r="T100" s="242" t="str">
        <f>_xlfn.XLOOKUP(S100,Insumos!$A$3:$A$371,Insumos!$B$3:$B$371)</f>
        <v>un</v>
      </c>
      <c r="U100" s="235">
        <f t="shared" ca="1" si="44"/>
        <v>129.04</v>
      </c>
      <c r="V100" s="320">
        <v>0.45679999999999998</v>
      </c>
      <c r="W100" s="236">
        <f>IFERROR(IF(B100="INSUMO",_xlfn.XLOOKUP(S100,Insumos!A:A,Insumos!C:C),""),"Inserir Preço")</f>
        <v>9.5</v>
      </c>
      <c r="X100" s="235">
        <f ca="1">IF(B100="Complemento do insumo",V100,IF(R100="","",IF(B100="serviço",R100,IF(OR(B100="insumo"),V100*R100,""))))</f>
        <v>58.945471999999995</v>
      </c>
      <c r="Y100" s="236">
        <f t="shared" si="40"/>
        <v>4.3395999999999999</v>
      </c>
      <c r="Z100" s="237">
        <f t="shared" ca="1" si="41"/>
        <v>559.98198400000001</v>
      </c>
      <c r="AA100" s="238"/>
      <c r="AB100" s="233" t="str">
        <f>IF(B100="insumo",_xlfn.XLOOKUP(S100,Insumos!A:A,Insumos!D:D),"")</f>
        <v>Base de Dados</v>
      </c>
      <c r="AC100" s="239">
        <f t="shared" ca="1" si="42"/>
        <v>8.0334521075076879E-5</v>
      </c>
      <c r="AE100" s="240">
        <f ca="1">IFERROR(IF(OR(Z100="",Z100=0),"",IF(AF100="","",IF(AF100="R$/mês",Z100/OBRA!$D$12,IF(AF100="R$/m²",Z100/OBRA!$D$10,IF(AF100="R$/apto",Orçamento!Z100/OBRA!$D$11,""))))),"")</f>
        <v>0.28817071782547615</v>
      </c>
      <c r="AF100" s="241" t="s">
        <v>154</v>
      </c>
    </row>
    <row r="101" spans="1:32" s="10" customFormat="1" ht="13.15" hidden="1" customHeight="1" outlineLevel="4" x14ac:dyDescent="0.2">
      <c r="A101" s="227"/>
      <c r="B101" s="228" t="s">
        <v>19</v>
      </c>
      <c r="C101" s="229">
        <f t="shared" si="39"/>
        <v>1</v>
      </c>
      <c r="D101" s="227" t="str">
        <f>IF(B101="Unidade Construtiva",TEXT(F101,"00"),IF(B101="Célula Construtiva",TEXT(H101,"00"),IF(B101="Etapa",CONCATENATE(TEXT(H101,"00"),".",TEXT(J101,"000")),IF(B101="Subetapa",CONCATENATE(TEXT(H101,"00"),".",TEXT(J101,"000"),".",TEXT(L101,"000")),IF(B101="Serviço",CONCATENATE(TEXT(H101,"00"),".",TEXT(J101,"000"),".",TEXT(L101,"000"),".",TEXT(N101,"000")),"")))))</f>
        <v/>
      </c>
      <c r="E101" s="228" t="str">
        <f ca="1">IF(B101="*","",IFERROR(IF(B101="SERVIÇO",D101,OFFSET(E101,-1,0)),""))</f>
        <v>02.001.002.005</v>
      </c>
      <c r="F101" s="230">
        <f ca="1">IF($B101="UNIDADE CONSTRUTIVA",OFFSET(F101,-1,0)+1,LARGE(F$10:F100,1))</f>
        <v>1</v>
      </c>
      <c r="G101" s="228" t="str">
        <f ca="1">IF(B101="*","",IF(B101="UNIDADE CONSTRUTIVA",S101,OFFSET(G101,-1,0)))</f>
        <v xml:space="preserve">   GERENCIAMENTO TÉCNICO E ADMINISTRATIVO</v>
      </c>
      <c r="H101" s="230">
        <f ca="1">IF(B101="UNIDADE CONSTRUTIVA",0,IF(B101="CÉLULA CONSTRUTIVA",OFFSET(H101,-1,0)+1,OFFSET(H101,-1,0)))</f>
        <v>2</v>
      </c>
      <c r="I101" s="228" t="str">
        <f ca="1">IF(B101="*","",IF(B101="CÉLULA CONSTRUTIVA",S101,OFFSET(I101,-1,0)))</f>
        <v xml:space="preserve">   GERENCIAMENTO ADMINISTRATIVO</v>
      </c>
      <c r="J101" s="230">
        <f ca="1">IF(B101="CÉLULA CONSTRUTIVA",0,IF(B101="ETAPA",OFFSET(J101,-1,0)+1,OFFSET(J101,-1,0)))</f>
        <v>1</v>
      </c>
      <c r="K101" s="228" t="str">
        <f ca="1">IF(B101="*","",IF(B101="ETAPA",S101,OFFSET(K101,-1,0)))</f>
        <v xml:space="preserve">   SEGURANÇA | MEIO AMBIENTE | SAÚDE</v>
      </c>
      <c r="L101" s="231">
        <f ca="1">IF(B101="ETAPA",0,IF(B101="SUBETAPA",OFFSET(L101,-1,0)+1,OFFSET(L101,-1,0)))</f>
        <v>2</v>
      </c>
      <c r="M101" s="228" t="str">
        <f ca="1">IF(B101="*","",IF(B101="SUBETAPA",S101,OFFSET(M101,-1,0)))</f>
        <v xml:space="preserve">   Equipamentos de Proteção</v>
      </c>
      <c r="N101" s="231">
        <f ca="1">IF(B101="Subetapa",0,IF(B101="serviço",OFFSET(N101,-1,0)+1,OFFSET(N101,-1,0)))</f>
        <v>5</v>
      </c>
      <c r="O101" s="228" t="str">
        <f ca="1">IF(B101="*","",IF(B101="SERVIÇO",S101,OFFSET(O101,-1,0)))</f>
        <v>Varal de seguranca com cabo de aco</v>
      </c>
      <c r="P101" s="232" t="str">
        <f>IF(S101="","",IF(Orçamento!$B101="INSUMO",S101,""))</f>
        <v>Clip Para Cabo de Aço 1/2</v>
      </c>
      <c r="Q101" s="244" t="str">
        <f>IF(B101="","",IF(B101="Serviço",S101,""))</f>
        <v/>
      </c>
      <c r="R101" s="234">
        <f ca="1">IF(B101="serviço",U101,OFFSET(R101,-1,0))</f>
        <v>129.04</v>
      </c>
      <c r="S101" s="233" t="s">
        <v>918</v>
      </c>
      <c r="T101" s="242" t="str">
        <f>_xlfn.XLOOKUP(S101,Insumos!$A$3:$A$371,Insumos!$B$3:$B$371)</f>
        <v>un</v>
      </c>
      <c r="U101" s="235">
        <f t="shared" ca="1" si="44"/>
        <v>129.04</v>
      </c>
      <c r="V101" s="320">
        <v>1.3703000000000001</v>
      </c>
      <c r="W101" s="236">
        <f>IFERROR(IF(B101="INSUMO",_xlfn.XLOOKUP(S101,Insumos!A:A,Insumos!C:C),""),"Inserir Preço")</f>
        <v>4.5</v>
      </c>
      <c r="X101" s="235">
        <f ca="1">IF(B101="Complemento do insumo",V101,IF(R101="","",IF(B101="serviço",R101,IF(OR(B101="insumo"),V101*R101,""))))</f>
        <v>176.82351199999999</v>
      </c>
      <c r="Y101" s="236">
        <f t="shared" si="40"/>
        <v>6.1663500000000004</v>
      </c>
      <c r="Z101" s="237">
        <f t="shared" ca="1" si="41"/>
        <v>795.70580399999994</v>
      </c>
      <c r="AA101" s="238"/>
      <c r="AB101" s="233" t="str">
        <f>IF(B101="insumo",_xlfn.XLOOKUP(S101,Insumos!A:A,Insumos!D:D),"")</f>
        <v>Base de Dados</v>
      </c>
      <c r="AC101" s="239">
        <f t="shared" ca="1" si="42"/>
        <v>1.1415125219635456E-4</v>
      </c>
      <c r="AE101" s="240">
        <f ca="1">IFERROR(IF(OR(Z101="",Z101=0),"",IF(AF101="","",IF(AF101="R$/mês",Z101/OBRA!$D$12,IF(AF101="R$/m²",Z101/OBRA!$D$10,IF(AF101="R$/apto",Orçamento!Z101/OBRA!$D$11,""))))),"")</f>
        <v>0.40947587470345759</v>
      </c>
      <c r="AF101" s="241" t="s">
        <v>154</v>
      </c>
    </row>
    <row r="102" spans="1:32" s="10" customFormat="1" ht="13.15" hidden="1" customHeight="1" outlineLevel="4" x14ac:dyDescent="0.2">
      <c r="A102" s="227"/>
      <c r="B102" s="228" t="s">
        <v>4</v>
      </c>
      <c r="C102" s="229">
        <f t="shared" si="39"/>
        <v>1</v>
      </c>
      <c r="D102" s="227" t="str">
        <f t="shared" ca="1" si="37"/>
        <v>02.001.002.006</v>
      </c>
      <c r="E102" s="228" t="str">
        <f t="shared" ca="1" si="25"/>
        <v>02.001.002.006</v>
      </c>
      <c r="F102" s="230">
        <f ca="1">IF($B102="UNIDADE CONSTRUTIVA",OFFSET(F102,-1,0)+1,LARGE(F$10:F101,1))</f>
        <v>1</v>
      </c>
      <c r="G102" s="228" t="str">
        <f t="shared" ca="1" si="26"/>
        <v xml:space="preserve">   GERENCIAMENTO TÉCNICO E ADMINISTRATIVO</v>
      </c>
      <c r="H102" s="230">
        <f t="shared" ca="1" si="27"/>
        <v>2</v>
      </c>
      <c r="I102" s="228" t="str">
        <f t="shared" ca="1" si="28"/>
        <v xml:space="preserve">   GERENCIAMENTO ADMINISTRATIVO</v>
      </c>
      <c r="J102" s="230">
        <f t="shared" ca="1" si="29"/>
        <v>1</v>
      </c>
      <c r="K102" s="228" t="str">
        <f t="shared" ca="1" si="30"/>
        <v xml:space="preserve">   SEGURANÇA | MEIO AMBIENTE | SAÚDE</v>
      </c>
      <c r="L102" s="231">
        <f t="shared" ca="1" si="31"/>
        <v>2</v>
      </c>
      <c r="M102" s="228" t="str">
        <f t="shared" ca="1" si="32"/>
        <v xml:space="preserve">   Equipamentos de Proteção</v>
      </c>
      <c r="N102" s="231">
        <f t="shared" ca="1" si="33"/>
        <v>6</v>
      </c>
      <c r="O102" s="228" t="str">
        <f t="shared" ca="1" si="34"/>
        <v>Tela fachadeira</v>
      </c>
      <c r="P102" s="232" t="str">
        <f>IF(S102="","",IF(Orçamento!$B102="INSUMO",S102,""))</f>
        <v/>
      </c>
      <c r="Q102" s="244" t="str">
        <f t="shared" si="38"/>
        <v>Tela fachadeira</v>
      </c>
      <c r="R102" s="234">
        <f t="shared" ca="1" si="35"/>
        <v>1735.5879999999997</v>
      </c>
      <c r="S102" s="233" t="s">
        <v>156</v>
      </c>
      <c r="T102" s="242" t="s">
        <v>140</v>
      </c>
      <c r="U102" s="235">
        <v>1735.5879999999997</v>
      </c>
      <c r="V102" s="320" t="s">
        <v>35</v>
      </c>
      <c r="W102" s="236" t="str">
        <f>IFERROR(IF(B102="INSUMO",_xlfn.XLOOKUP(S102,Insumos!A:A,Insumos!C:C),""),"Inserir Preço")</f>
        <v/>
      </c>
      <c r="X102" s="235">
        <f t="shared" ca="1" si="36"/>
        <v>1735.5879999999997</v>
      </c>
      <c r="Y102" s="236">
        <f t="shared" ca="1" si="40"/>
        <v>7.0024999999999995</v>
      </c>
      <c r="Z102" s="237">
        <f t="shared" ca="1" si="41"/>
        <v>12153.454969999997</v>
      </c>
      <c r="AA102" s="238"/>
      <c r="AB102" s="233" t="str">
        <f>IF(B102="insumo",_xlfn.XLOOKUP(S102,Insumos!A:A,Insumos!D:D),"")</f>
        <v/>
      </c>
      <c r="AC102" s="239">
        <f t="shared" ca="1" si="42"/>
        <v>1.7435239209811126E-3</v>
      </c>
      <c r="AE102" s="240">
        <f ca="1">IFERROR(IF(OR(Z102="",Z102=0),"",IF(AF102="","",IF(AF102="R$/mês",Z102/OBRA!$D$12,IF(AF102="R$/m²",Z102/OBRA!$D$10,IF(AF102="R$/apto",Orçamento!Z102/OBRA!$D$11,""))))),"")</f>
        <v>6.2542544989527729</v>
      </c>
      <c r="AF102" s="241" t="s">
        <v>154</v>
      </c>
    </row>
    <row r="103" spans="1:32" s="10" customFormat="1" ht="13.15" hidden="1" customHeight="1" outlineLevel="4" x14ac:dyDescent="0.2">
      <c r="A103" s="227"/>
      <c r="B103" s="228" t="s">
        <v>19</v>
      </c>
      <c r="C103" s="229">
        <f t="shared" si="39"/>
        <v>44</v>
      </c>
      <c r="D103" s="227" t="str">
        <f t="shared" si="37"/>
        <v/>
      </c>
      <c r="E103" s="228" t="str">
        <f t="shared" ca="1" si="25"/>
        <v>02.001.002.006</v>
      </c>
      <c r="F103" s="230">
        <f ca="1">IF($B103="UNIDADE CONSTRUTIVA",OFFSET(F103,-1,0)+1,LARGE(F$10:F102,1))</f>
        <v>1</v>
      </c>
      <c r="G103" s="228" t="str">
        <f t="shared" ca="1" si="26"/>
        <v xml:space="preserve">   GERENCIAMENTO TÉCNICO E ADMINISTRATIVO</v>
      </c>
      <c r="H103" s="230">
        <f t="shared" ca="1" si="27"/>
        <v>2</v>
      </c>
      <c r="I103" s="228" t="str">
        <f t="shared" ca="1" si="28"/>
        <v xml:space="preserve">   GERENCIAMENTO ADMINISTRATIVO</v>
      </c>
      <c r="J103" s="230">
        <f t="shared" ca="1" si="29"/>
        <v>1</v>
      </c>
      <c r="K103" s="228" t="str">
        <f t="shared" ca="1" si="30"/>
        <v xml:space="preserve">   SEGURANÇA | MEIO AMBIENTE | SAÚDE</v>
      </c>
      <c r="L103" s="231">
        <f t="shared" ca="1" si="31"/>
        <v>2</v>
      </c>
      <c r="M103" s="228" t="str">
        <f t="shared" ca="1" si="32"/>
        <v xml:space="preserve">   Equipamentos de Proteção</v>
      </c>
      <c r="N103" s="231">
        <f t="shared" ca="1" si="33"/>
        <v>6</v>
      </c>
      <c r="O103" s="228" t="str">
        <f t="shared" ca="1" si="34"/>
        <v>Tela fachadeira</v>
      </c>
      <c r="P103" s="232" t="str">
        <f>IF(S103="","",IF(Orçamento!$B103="INSUMO",S103,""))</f>
        <v>PREGO 17 x 21 COM CABECA</v>
      </c>
      <c r="Q103" s="244" t="str">
        <f t="shared" si="38"/>
        <v/>
      </c>
      <c r="R103" s="234">
        <f t="shared" ca="1" si="35"/>
        <v>1735.5879999999997</v>
      </c>
      <c r="S103" s="233" t="s">
        <v>173</v>
      </c>
      <c r="T103" s="242" t="str">
        <f>_xlfn.XLOOKUP(S103,Insumos!$A$3:$A$371,Insumos!$B$3:$B$371)</f>
        <v>KG</v>
      </c>
      <c r="U103" s="235">
        <f t="shared" ref="U103:U111" ca="1" si="45">IF($B103="insumo",R103,"")</f>
        <v>1735.5879999999997</v>
      </c>
      <c r="V103" s="320">
        <v>0.01</v>
      </c>
      <c r="W103" s="236">
        <f>IFERROR(IF(B103="INSUMO",_xlfn.XLOOKUP(S103,Insumos!A:A,Insumos!C:C),""),"Inserir Preço")</f>
        <v>13</v>
      </c>
      <c r="X103" s="235">
        <f t="shared" ca="1" si="36"/>
        <v>17.355879999999999</v>
      </c>
      <c r="Y103" s="236">
        <f t="shared" si="40"/>
        <v>0.13</v>
      </c>
      <c r="Z103" s="237">
        <f t="shared" ca="1" si="41"/>
        <v>225.62644</v>
      </c>
      <c r="AA103" s="238"/>
      <c r="AB103" s="233" t="str">
        <f>IF(B103="insumo",_xlfn.XLOOKUP(S103,Insumos!A:A,Insumos!D:D),"")</f>
        <v xml:space="preserve"> </v>
      </c>
      <c r="AC103" s="239">
        <f t="shared" ca="1" si="42"/>
        <v>3.2368169900399101E-5</v>
      </c>
      <c r="AE103" s="240">
        <f ca="1">IFERROR(IF(OR(Z103="",Z103=0),"",IF(AF103="","",IF(AF103="R$/mês",Z103/OBRA!$D$12,IF(AF103="R$/m²",Z103/OBRA!$D$10,IF(AF103="R$/apto",Orçamento!Z103/OBRA!$D$11,""))))),"")</f>
        <v>0.11610897320440709</v>
      </c>
      <c r="AF103" s="241" t="s">
        <v>154</v>
      </c>
    </row>
    <row r="104" spans="1:32" s="10" customFormat="1" ht="13.15" hidden="1" customHeight="1" outlineLevel="4" x14ac:dyDescent="0.2">
      <c r="A104" s="227"/>
      <c r="B104" s="228" t="s">
        <v>19</v>
      </c>
      <c r="C104" s="229">
        <f t="shared" si="39"/>
        <v>1</v>
      </c>
      <c r="D104" s="227" t="str">
        <f t="shared" si="37"/>
        <v/>
      </c>
      <c r="E104" s="228" t="str">
        <f t="shared" ca="1" si="25"/>
        <v>02.001.002.006</v>
      </c>
      <c r="F104" s="230">
        <f ca="1">IF($B104="UNIDADE CONSTRUTIVA",OFFSET(F104,-1,0)+1,LARGE(F$10:F103,1))</f>
        <v>1</v>
      </c>
      <c r="G104" s="228" t="str">
        <f t="shared" ca="1" si="26"/>
        <v xml:space="preserve">   GERENCIAMENTO TÉCNICO E ADMINISTRATIVO</v>
      </c>
      <c r="H104" s="230">
        <f t="shared" ca="1" si="27"/>
        <v>2</v>
      </c>
      <c r="I104" s="228" t="str">
        <f t="shared" ca="1" si="28"/>
        <v xml:space="preserve">   GERENCIAMENTO ADMINISTRATIVO</v>
      </c>
      <c r="J104" s="230">
        <f t="shared" ca="1" si="29"/>
        <v>1</v>
      </c>
      <c r="K104" s="228" t="str">
        <f t="shared" ca="1" si="30"/>
        <v xml:space="preserve">   SEGURANÇA | MEIO AMBIENTE | SAÚDE</v>
      </c>
      <c r="L104" s="231">
        <f t="shared" ca="1" si="31"/>
        <v>2</v>
      </c>
      <c r="M104" s="228" t="str">
        <f t="shared" ca="1" si="32"/>
        <v xml:space="preserve">   Equipamentos de Proteção</v>
      </c>
      <c r="N104" s="231">
        <f t="shared" ca="1" si="33"/>
        <v>6</v>
      </c>
      <c r="O104" s="228" t="str">
        <f t="shared" ca="1" si="34"/>
        <v>Tela fachadeira</v>
      </c>
      <c r="P104" s="232" t="str">
        <f>IF(S104="","",IF(Orçamento!$B104="INSUMO",S104,""))</f>
        <v>PONTALETE DE PINUS 2,5 X 10 CM</v>
      </c>
      <c r="Q104" s="244" t="str">
        <f t="shared" si="38"/>
        <v/>
      </c>
      <c r="R104" s="234">
        <f t="shared" ca="1" si="35"/>
        <v>1735.5879999999997</v>
      </c>
      <c r="S104" s="233" t="s">
        <v>193</v>
      </c>
      <c r="T104" s="242" t="str">
        <f>_xlfn.XLOOKUP(S104,Insumos!$A$3:$A$371,Insumos!$B$3:$B$371)</f>
        <v>M3</v>
      </c>
      <c r="U104" s="235">
        <f t="shared" ca="1" si="45"/>
        <v>1735.5879999999997</v>
      </c>
      <c r="V104" s="320">
        <v>3.0249999999999999E-3</v>
      </c>
      <c r="W104" s="236">
        <f>IFERROR(IF(B104="INSUMO",_xlfn.XLOOKUP(S104,Insumos!A:A,Insumos!C:C),""),"Inserir Preço")</f>
        <v>1300</v>
      </c>
      <c r="X104" s="235">
        <f t="shared" ca="1" si="36"/>
        <v>5.2501536999999994</v>
      </c>
      <c r="Y104" s="236">
        <f t="shared" si="40"/>
        <v>3.9325000000000001</v>
      </c>
      <c r="Z104" s="237">
        <f t="shared" ca="1" si="41"/>
        <v>6825.1998099999992</v>
      </c>
      <c r="AA104" s="238"/>
      <c r="AB104" s="233" t="str">
        <f>IF(B104="insumo",_xlfn.XLOOKUP(S104,Insumos!A:A,Insumos!D:D),"")</f>
        <v xml:space="preserve"> </v>
      </c>
      <c r="AC104" s="239">
        <f t="shared" ca="1" si="42"/>
        <v>9.7913713948707265E-4</v>
      </c>
      <c r="AE104" s="240">
        <f ca="1">IFERROR(IF(OR(Z104="",Z104=0),"",IF(AF104="","",IF(AF104="R$/mês",Z104/OBRA!$D$12,IF(AF104="R$/m²",Z104/OBRA!$D$10,IF(AF104="R$/apto",Orçamento!Z104/OBRA!$D$11,""))))),"")</f>
        <v>3.5122964394333143</v>
      </c>
      <c r="AF104" s="241" t="s">
        <v>154</v>
      </c>
    </row>
    <row r="105" spans="1:32" s="10" customFormat="1" ht="13.15" hidden="1" customHeight="1" outlineLevel="4" x14ac:dyDescent="0.2">
      <c r="A105" s="227"/>
      <c r="B105" s="228" t="s">
        <v>19</v>
      </c>
      <c r="C105" s="229">
        <f t="shared" si="39"/>
        <v>1</v>
      </c>
      <c r="D105" s="227" t="str">
        <f t="shared" si="37"/>
        <v/>
      </c>
      <c r="E105" s="228" t="str">
        <f t="shared" ca="1" si="25"/>
        <v>02.001.002.006</v>
      </c>
      <c r="F105" s="230">
        <f ca="1">IF($B105="UNIDADE CONSTRUTIVA",OFFSET(F105,-1,0)+1,LARGE(F$10:F104,1))</f>
        <v>1</v>
      </c>
      <c r="G105" s="228" t="str">
        <f t="shared" ca="1" si="26"/>
        <v xml:space="preserve">   GERENCIAMENTO TÉCNICO E ADMINISTRATIVO</v>
      </c>
      <c r="H105" s="230">
        <f t="shared" ca="1" si="27"/>
        <v>2</v>
      </c>
      <c r="I105" s="228" t="str">
        <f t="shared" ca="1" si="28"/>
        <v xml:space="preserve">   GERENCIAMENTO ADMINISTRATIVO</v>
      </c>
      <c r="J105" s="230">
        <f t="shared" ca="1" si="29"/>
        <v>1</v>
      </c>
      <c r="K105" s="228" t="str">
        <f t="shared" ca="1" si="30"/>
        <v xml:space="preserve">   SEGURANÇA | MEIO AMBIENTE | SAÚDE</v>
      </c>
      <c r="L105" s="231">
        <f t="shared" ca="1" si="31"/>
        <v>2</v>
      </c>
      <c r="M105" s="228" t="str">
        <f t="shared" ca="1" si="32"/>
        <v xml:space="preserve">   Equipamentos de Proteção</v>
      </c>
      <c r="N105" s="231">
        <f t="shared" ca="1" si="33"/>
        <v>6</v>
      </c>
      <c r="O105" s="228" t="str">
        <f t="shared" ca="1" si="34"/>
        <v>Tela fachadeira</v>
      </c>
      <c r="P105" s="232" t="str">
        <f>IF(S105="","",IF(Orçamento!$B105="INSUMO",S105,""))</f>
        <v>TELA FACHADEIRA MOSQUITEIRA</v>
      </c>
      <c r="Q105" s="244" t="str">
        <f t="shared" si="38"/>
        <v/>
      </c>
      <c r="R105" s="234">
        <f t="shared" ca="1" si="35"/>
        <v>1735.5879999999997</v>
      </c>
      <c r="S105" s="233" t="s">
        <v>341</v>
      </c>
      <c r="T105" s="242" t="str">
        <f>_xlfn.XLOOKUP(S105,Insumos!$A$3:$A$371,Insumos!$B$3:$B$371)</f>
        <v>M2</v>
      </c>
      <c r="U105" s="235">
        <f t="shared" ca="1" si="45"/>
        <v>1735.5879999999997</v>
      </c>
      <c r="V105" s="320">
        <v>1.05</v>
      </c>
      <c r="W105" s="236">
        <f>IFERROR(IF(B105="INSUMO",_xlfn.XLOOKUP(S105,Insumos!A:A,Insumos!C:C),""),"Inserir Preço")</f>
        <v>2.4</v>
      </c>
      <c r="X105" s="235">
        <f t="shared" ca="1" si="36"/>
        <v>1822.3673999999999</v>
      </c>
      <c r="Y105" s="236">
        <f t="shared" si="40"/>
        <v>2.52</v>
      </c>
      <c r="Z105" s="237">
        <f t="shared" ca="1" si="41"/>
        <v>4373.6817599999995</v>
      </c>
      <c r="AA105" s="238"/>
      <c r="AB105" s="233" t="str">
        <f>IF(B105="insumo",_xlfn.XLOOKUP(S105,Insumos!A:A,Insumos!D:D),"")</f>
        <v xml:space="preserve"> </v>
      </c>
      <c r="AC105" s="239">
        <f t="shared" ca="1" si="42"/>
        <v>6.2744452422312086E-4</v>
      </c>
      <c r="AE105" s="240">
        <f ca="1">IFERROR(IF(OR(Z105="",Z105=0),"",IF(AF105="","",IF(AF105="R$/mês",Z105/OBRA!$D$12,IF(AF105="R$/m²",Z105/OBRA!$D$10,IF(AF105="R$/apto",Orçamento!Z105/OBRA!$D$11,""))))),"")</f>
        <v>2.2507277882700452</v>
      </c>
      <c r="AF105" s="241" t="s">
        <v>154</v>
      </c>
    </row>
    <row r="106" spans="1:32" s="10" customFormat="1" ht="13.15" hidden="1" customHeight="1" outlineLevel="4" x14ac:dyDescent="0.2">
      <c r="A106" s="227"/>
      <c r="B106" s="228" t="s">
        <v>19</v>
      </c>
      <c r="C106" s="229">
        <f t="shared" si="39"/>
        <v>1</v>
      </c>
      <c r="D106" s="227" t="str">
        <f t="shared" si="37"/>
        <v/>
      </c>
      <c r="E106" s="228" t="str">
        <f t="shared" ca="1" si="25"/>
        <v>02.001.002.006</v>
      </c>
      <c r="F106" s="230">
        <f ca="1">IF($B106="UNIDADE CONSTRUTIVA",OFFSET(F106,-1,0)+1,LARGE(F$10:F105,1))</f>
        <v>1</v>
      </c>
      <c r="G106" s="228" t="str">
        <f t="shared" ca="1" si="26"/>
        <v xml:space="preserve">   GERENCIAMENTO TÉCNICO E ADMINISTRATIVO</v>
      </c>
      <c r="H106" s="230">
        <f t="shared" ca="1" si="27"/>
        <v>2</v>
      </c>
      <c r="I106" s="228" t="str">
        <f t="shared" ca="1" si="28"/>
        <v xml:space="preserve">   GERENCIAMENTO ADMINISTRATIVO</v>
      </c>
      <c r="J106" s="230">
        <f t="shared" ca="1" si="29"/>
        <v>1</v>
      </c>
      <c r="K106" s="228" t="str">
        <f t="shared" ca="1" si="30"/>
        <v xml:space="preserve">   SEGURANÇA | MEIO AMBIENTE | SAÚDE</v>
      </c>
      <c r="L106" s="231">
        <f t="shared" ca="1" si="31"/>
        <v>2</v>
      </c>
      <c r="M106" s="228" t="str">
        <f t="shared" ca="1" si="32"/>
        <v xml:space="preserve">   Equipamentos de Proteção</v>
      </c>
      <c r="N106" s="231">
        <f t="shared" ca="1" si="33"/>
        <v>6</v>
      </c>
      <c r="O106" s="228" t="str">
        <f t="shared" ca="1" si="34"/>
        <v>Tela fachadeira</v>
      </c>
      <c r="P106" s="232" t="str">
        <f>IF(S106="","",IF(Orçamento!$B106="INSUMO",S106,""))</f>
        <v>CAIBRO MADEIRA PINUS 8CM X 8 CM</v>
      </c>
      <c r="Q106" s="244" t="str">
        <f t="shared" si="38"/>
        <v/>
      </c>
      <c r="R106" s="234">
        <f t="shared" ca="1" si="35"/>
        <v>1735.5879999999997</v>
      </c>
      <c r="S106" s="233" t="s">
        <v>386</v>
      </c>
      <c r="T106" s="242" t="str">
        <f>_xlfn.XLOOKUP(S106,Insumos!$A$3:$A$371,Insumos!$B$3:$B$371)</f>
        <v>M3</v>
      </c>
      <c r="U106" s="235">
        <f t="shared" ca="1" si="45"/>
        <v>1735.5879999999997</v>
      </c>
      <c r="V106" s="320">
        <v>4.0000000000000002E-4</v>
      </c>
      <c r="W106" s="236">
        <f>IFERROR(IF(B106="INSUMO",_xlfn.XLOOKUP(S106,Insumos!A:A,Insumos!C:C),""),"Inserir Preço")</f>
        <v>1050</v>
      </c>
      <c r="X106" s="235">
        <f t="shared" ca="1" si="36"/>
        <v>0.69423519999999994</v>
      </c>
      <c r="Y106" s="236">
        <f t="shared" si="40"/>
        <v>0.42000000000000004</v>
      </c>
      <c r="Z106" s="237">
        <f t="shared" ca="1" si="41"/>
        <v>728.94695999999999</v>
      </c>
      <c r="AA106" s="238"/>
      <c r="AB106" s="233" t="str">
        <f>IF(B106="insumo",_xlfn.XLOOKUP(S106,Insumos!A:A,Insumos!D:D),"")</f>
        <v xml:space="preserve"> </v>
      </c>
      <c r="AC106" s="239">
        <f t="shared" ca="1" si="42"/>
        <v>1.0457408737052017E-4</v>
      </c>
      <c r="AE106" s="240">
        <f ca="1">IFERROR(IF(OR(Z106="",Z106=0),"",IF(AF106="","",IF(AF106="R$/mês",Z106/OBRA!$D$12,IF(AF106="R$/m²",Z106/OBRA!$D$10,IF(AF106="R$/apto",Orçamento!Z106/OBRA!$D$11,""))))),"")</f>
        <v>0.37512129804500755</v>
      </c>
      <c r="AF106" s="241" t="s">
        <v>154</v>
      </c>
    </row>
    <row r="107" spans="1:32" s="10" customFormat="1" ht="13.15" hidden="1" customHeight="1" outlineLevel="3" collapsed="1" x14ac:dyDescent="0.2">
      <c r="A107" s="227"/>
      <c r="B107" s="228" t="s">
        <v>3</v>
      </c>
      <c r="C107" s="229" t="str">
        <f t="shared" si="39"/>
        <v/>
      </c>
      <c r="D107" s="227" t="str">
        <f ca="1">IF(B107="Unidade Construtiva",TEXT(F107,"00"),IF(B107="Célula Construtiva",TEXT(H107,"00"),IF(B107="Etapa",CONCATENATE(TEXT(H107,"00"),".",TEXT(J107,"000")),IF(B107="Subetapa",CONCATENATE(TEXT(H107,"00"),".",TEXT(J107,"000"),".",TEXT(L107,"000")),IF(B107="Serviço",CONCATENATE(TEXT(H107,"00"),".",TEXT(J107,"000"),".",TEXT(L107,"000"),".",TEXT(N107,"000")),"")))))</f>
        <v>02.001.003</v>
      </c>
      <c r="E107" s="228" t="str">
        <f ca="1">IF(B107="*","",IFERROR(IF(B107="SERVIÇO",D107,OFFSET(E107,-1,0)),""))</f>
        <v>02.001.002.006</v>
      </c>
      <c r="F107" s="230">
        <f ca="1">IF($B107="UNIDADE CONSTRUTIVA",OFFSET(F107,-1,0)+1,LARGE(F$10:F106,1))</f>
        <v>1</v>
      </c>
      <c r="G107" s="228" t="str">
        <f ca="1">IF(B107="*","",IF(B107="UNIDADE CONSTRUTIVA",S107,OFFSET(G107,-1,0)))</f>
        <v xml:space="preserve">   GERENCIAMENTO TÉCNICO E ADMINISTRATIVO</v>
      </c>
      <c r="H107" s="230">
        <f ca="1">IF(B107="UNIDADE CONSTRUTIVA",0,IF(B107="CÉLULA CONSTRUTIVA",OFFSET(H107,-1,0)+1,OFFSET(H107,-1,0)))</f>
        <v>2</v>
      </c>
      <c r="I107" s="228" t="str">
        <f ca="1">IF(B107="*","",IF(B107="CÉLULA CONSTRUTIVA",S107,OFFSET(I107,-1,0)))</f>
        <v xml:space="preserve">   GERENCIAMENTO ADMINISTRATIVO</v>
      </c>
      <c r="J107" s="230">
        <f ca="1">IF(B107="CÉLULA CONSTRUTIVA",0,IF(B107="ETAPA",OFFSET(J107,-1,0)+1,OFFSET(J107,-1,0)))</f>
        <v>1</v>
      </c>
      <c r="K107" s="228" t="str">
        <f ca="1">IF(B107="*","",IF(B107="ETAPA",S107,OFFSET(K107,-1,0)))</f>
        <v xml:space="preserve">   SEGURANÇA | MEIO AMBIENTE | SAÚDE</v>
      </c>
      <c r="L107" s="231">
        <f ca="1">IF(B107="ETAPA",0,IF(B107="SUBETAPA",OFFSET(L107,-1,0)+1,OFFSET(L107,-1,0)))</f>
        <v>3</v>
      </c>
      <c r="M107" s="228" t="str">
        <f ca="1">IF(B107="*","",IF(B107="SUBETAPA",S107,OFFSET(M107,-1,0)))</f>
        <v xml:space="preserve">   Mão de Obra Operações de Canteiro</v>
      </c>
      <c r="N107" s="231">
        <f ca="1">IF(B107="Subetapa",0,IF(B107="serviço",OFFSET(N107,-1,0)+1,OFFSET(N107,-1,0)))</f>
        <v>0</v>
      </c>
      <c r="O107" s="228" t="str">
        <f ca="1">IF(B107="*","",IF(B107="SERVIÇO",S107,OFFSET(O107,-1,0)))</f>
        <v>Tela fachadeira</v>
      </c>
      <c r="P107" s="232" t="str">
        <f>IF(S107="","",IF(Orçamento!$B107="INSUMO",S107,""))</f>
        <v/>
      </c>
      <c r="Q107" s="244" t="str">
        <f>IF(B107="","",IF(B107="Serviço",S107,""))</f>
        <v/>
      </c>
      <c r="R107" s="234">
        <f ca="1">IF(B107="serviço",U107,OFFSET(R107,-1,0))</f>
        <v>1735.5879999999997</v>
      </c>
      <c r="S107" s="233" t="s">
        <v>1193</v>
      </c>
      <c r="T107" s="242" t="s">
        <v>35</v>
      </c>
      <c r="U107" s="235" t="str">
        <f>IF($B107="insumo",R107,"")</f>
        <v/>
      </c>
      <c r="V107" s="320"/>
      <c r="W107" s="236" t="str">
        <f>IFERROR(IF(B107="INSUMO",_xlfn.XLOOKUP(S107,Insumos!A:A,Insumos!C:C),""),"Inserir Preço")</f>
        <v/>
      </c>
      <c r="X107" s="235" t="str">
        <f ca="1">IF(B107="Complemento do insumo",V107,IF(R107="","",IF(B107="serviço",R107,IF(OR(B107="insumo"),V107*R107,""))))</f>
        <v/>
      </c>
      <c r="Y107" s="236" t="str">
        <f t="shared" si="40"/>
        <v/>
      </c>
      <c r="Z107" s="237">
        <f t="shared" ca="1" si="41"/>
        <v>41400</v>
      </c>
      <c r="AA107" s="238"/>
      <c r="AB107" s="233" t="str">
        <f>IF(B107="insumo",_xlfn.XLOOKUP(S107,Insumos!A:A,Insumos!D:D),"")</f>
        <v/>
      </c>
      <c r="AC107" s="239">
        <f t="shared" ca="1" si="42"/>
        <v>5.9392074522672195E-3</v>
      </c>
      <c r="AE107" s="240">
        <f ca="1">IFERROR(IF(OR(Z107="",Z107=0),"",IF(AF107="","",IF(AF107="R$/mês",Z107/OBRA!$D$12,IF(AF107="R$/m²",Z107/OBRA!$D$10,IF(AF107="R$/apto",Orçamento!Z107/OBRA!$D$11,""))))),"")</f>
        <v>21.304734900140488</v>
      </c>
      <c r="AF107" s="241" t="s">
        <v>154</v>
      </c>
    </row>
    <row r="108" spans="1:32" s="10" customFormat="1" ht="13.15" hidden="1" customHeight="1" outlineLevel="4" x14ac:dyDescent="0.2">
      <c r="A108" s="227"/>
      <c r="B108" s="228" t="s">
        <v>4</v>
      </c>
      <c r="C108" s="229">
        <f t="shared" si="39"/>
        <v>1</v>
      </c>
      <c r="D108" s="227" t="str">
        <f ca="1">IF(B108="Unidade Construtiva",TEXT(F108,"00"),IF(B108="Célula Construtiva",TEXT(H108,"00"),IF(B108="Etapa",CONCATENATE(TEXT(H108,"00"),".",TEXT(J108,"000")),IF(B108="Subetapa",CONCATENATE(TEXT(H108,"00"),".",TEXT(J108,"000"),".",TEXT(L108,"000")),IF(B108="Serviço",CONCATENATE(TEXT(H108,"00"),".",TEXT(J108,"000"),".",TEXT(L108,"000"),".",TEXT(N108,"000")),"")))))</f>
        <v>02.001.003.001</v>
      </c>
      <c r="E108" s="228" t="str">
        <f ca="1">IF(B108="*","",IFERROR(IF(B108="SERVIÇO",D108,OFFSET(E108,-1,0)),""))</f>
        <v>02.001.003.001</v>
      </c>
      <c r="F108" s="230">
        <f ca="1">IF($B108="UNIDADE CONSTRUTIVA",OFFSET(F108,-1,0)+1,LARGE(F$10:F107,1))</f>
        <v>1</v>
      </c>
      <c r="G108" s="228" t="str">
        <f ca="1">IF(B108="*","",IF(B108="UNIDADE CONSTRUTIVA",S108,OFFSET(G108,-1,0)))</f>
        <v xml:space="preserve">   GERENCIAMENTO TÉCNICO E ADMINISTRATIVO</v>
      </c>
      <c r="H108" s="230">
        <f ca="1">IF(B108="UNIDADE CONSTRUTIVA",0,IF(B108="CÉLULA CONSTRUTIVA",OFFSET(H108,-1,0)+1,OFFSET(H108,-1,0)))</f>
        <v>2</v>
      </c>
      <c r="I108" s="228" t="str">
        <f ca="1">IF(B108="*","",IF(B108="CÉLULA CONSTRUTIVA",S108,OFFSET(I108,-1,0)))</f>
        <v xml:space="preserve">   GERENCIAMENTO ADMINISTRATIVO</v>
      </c>
      <c r="J108" s="230">
        <f ca="1">IF(B108="CÉLULA CONSTRUTIVA",0,IF(B108="ETAPA",OFFSET(J108,-1,0)+1,OFFSET(J108,-1,0)))</f>
        <v>1</v>
      </c>
      <c r="K108" s="228" t="str">
        <f ca="1">IF(B108="*","",IF(B108="ETAPA",S108,OFFSET(K108,-1,0)))</f>
        <v xml:space="preserve">   SEGURANÇA | MEIO AMBIENTE | SAÚDE</v>
      </c>
      <c r="L108" s="231">
        <f ca="1">IF(B108="ETAPA",0,IF(B108="SUBETAPA",OFFSET(L108,-1,0)+1,OFFSET(L108,-1,0)))</f>
        <v>3</v>
      </c>
      <c r="M108" s="228" t="str">
        <f ca="1">IF(B108="*","",IF(B108="SUBETAPA",S108,OFFSET(M108,-1,0)))</f>
        <v xml:space="preserve">   Mão de Obra Operações de Canteiro</v>
      </c>
      <c r="N108" s="231">
        <f ca="1">IF(B108="Subetapa",0,IF(B108="serviço",OFFSET(N108,-1,0)+1,OFFSET(N108,-1,0)))</f>
        <v>1</v>
      </c>
      <c r="O108" s="228" t="str">
        <f ca="1">IF(B108="*","",IF(B108="SERVIÇO",S108,OFFSET(O108,-1,0)))</f>
        <v>Mão de Obra Operações de Canteiro</v>
      </c>
      <c r="P108" s="232" t="str">
        <f>IF(S108="","",IF(Orçamento!$B108="INSUMO",S108,""))</f>
        <v/>
      </c>
      <c r="Q108" s="244" t="str">
        <f>IF(B108="","",IF(B108="Serviço",S108,""))</f>
        <v>Mão de Obra Operações de Canteiro</v>
      </c>
      <c r="R108" s="234">
        <f ca="1">IF(B108="serviço",U108,OFFSET(R108,-1,0))</f>
        <v>1</v>
      </c>
      <c r="S108" s="233" t="s">
        <v>1159</v>
      </c>
      <c r="T108" s="242" t="s">
        <v>170</v>
      </c>
      <c r="U108" s="235">
        <v>1</v>
      </c>
      <c r="V108" s="320"/>
      <c r="W108" s="236" t="str">
        <f>IFERROR(IF(B108="INSUMO",_xlfn.XLOOKUP(S108,Insumos!A:A,Insumos!C:C),""),"Inserir Preço")</f>
        <v/>
      </c>
      <c r="X108" s="235">
        <f ca="1">IF(B108="Complemento do insumo",V108,IF(R108="","",IF(B108="serviço",R108,IF(OR(B108="insumo"),V108*R108,""))))</f>
        <v>1</v>
      </c>
      <c r="Y108" s="236">
        <f t="shared" ref="Y108:Y139" ca="1" si="46">IF(B108="insumo",W108*V108,IF(B108="serviço",SUMIFS(Y:Y,B:B,"insumo",E:E,E108,I:I,I108),""))</f>
        <v>41400</v>
      </c>
      <c r="Z108" s="237">
        <f t="shared" ca="1" si="41"/>
        <v>41400</v>
      </c>
      <c r="AA108" s="238"/>
      <c r="AB108" s="233" t="str">
        <f>IF(B108="insumo",_xlfn.XLOOKUP(S108,Insumos!A:A,Insumos!D:D),"")</f>
        <v/>
      </c>
      <c r="AC108" s="239">
        <f t="shared" ca="1" si="42"/>
        <v>5.9392074522672195E-3</v>
      </c>
      <c r="AE108" s="240">
        <f ca="1">IFERROR(IF(OR(Z108="",Z108=0),"",IF(AF108="","",IF(AF108="R$/mês",Z108/OBRA!$D$12,IF(AF108="R$/m²",Z108/OBRA!$D$10,IF(AF108="R$/apto",Orçamento!Z108/OBRA!$D$11,""))))),"")</f>
        <v>21.304734900140488</v>
      </c>
      <c r="AF108" s="241" t="s">
        <v>154</v>
      </c>
    </row>
    <row r="109" spans="1:32" s="10" customFormat="1" ht="13.15" hidden="1" customHeight="1" outlineLevel="4" x14ac:dyDescent="0.2">
      <c r="A109" s="227"/>
      <c r="B109" s="228" t="s">
        <v>19</v>
      </c>
      <c r="C109" s="229">
        <f t="shared" si="39"/>
        <v>1</v>
      </c>
      <c r="D109" s="227" t="str">
        <f>IF(B109="Unidade Construtiva",TEXT(F109,"00"),IF(B109="Célula Construtiva",TEXT(H109,"00"),IF(B109="Etapa",CONCATENATE(TEXT(H109,"00"),".",TEXT(J109,"000")),IF(B109="Subetapa",CONCATENATE(TEXT(H109,"00"),".",TEXT(J109,"000"),".",TEXT(L109,"000")),IF(B109="Serviço",CONCATENATE(TEXT(H109,"00"),".",TEXT(J109,"000"),".",TEXT(L109,"000"),".",TEXT(N109,"000")),"")))))</f>
        <v/>
      </c>
      <c r="E109" s="228" t="str">
        <f ca="1">IF(B109="*","",IFERROR(IF(B109="SERVIÇO",D109,OFFSET(E109,-1,0)),""))</f>
        <v>02.001.003.001</v>
      </c>
      <c r="F109" s="230">
        <f ca="1">IF($B109="UNIDADE CONSTRUTIVA",OFFSET(F109,-1,0)+1,LARGE(F$10:F108,1))</f>
        <v>1</v>
      </c>
      <c r="G109" s="228" t="str">
        <f ca="1">IF(B109="*","",IF(B109="UNIDADE CONSTRUTIVA",S109,OFFSET(G109,-1,0)))</f>
        <v xml:space="preserve">   GERENCIAMENTO TÉCNICO E ADMINISTRATIVO</v>
      </c>
      <c r="H109" s="230">
        <f ca="1">IF(B109="UNIDADE CONSTRUTIVA",0,IF(B109="CÉLULA CONSTRUTIVA",OFFSET(H109,-1,0)+1,OFFSET(H109,-1,0)))</f>
        <v>2</v>
      </c>
      <c r="I109" s="228" t="str">
        <f ca="1">IF(B109="*","",IF(B109="CÉLULA CONSTRUTIVA",S109,OFFSET(I109,-1,0)))</f>
        <v xml:space="preserve">   GERENCIAMENTO ADMINISTRATIVO</v>
      </c>
      <c r="J109" s="230">
        <f ca="1">IF(B109="CÉLULA CONSTRUTIVA",0,IF(B109="ETAPA",OFFSET(J109,-1,0)+1,OFFSET(J109,-1,0)))</f>
        <v>1</v>
      </c>
      <c r="K109" s="228" t="str">
        <f ca="1">IF(B109="*","",IF(B109="ETAPA",S109,OFFSET(K109,-1,0)))</f>
        <v xml:space="preserve">   SEGURANÇA | MEIO AMBIENTE | SAÚDE</v>
      </c>
      <c r="L109" s="231">
        <f ca="1">IF(B109="ETAPA",0,IF(B109="SUBETAPA",OFFSET(L109,-1,0)+1,OFFSET(L109,-1,0)))</f>
        <v>3</v>
      </c>
      <c r="M109" s="228" t="str">
        <f ca="1">IF(B109="*","",IF(B109="SUBETAPA",S109,OFFSET(M109,-1,0)))</f>
        <v xml:space="preserve">   Mão de Obra Operações de Canteiro</v>
      </c>
      <c r="N109" s="231">
        <f ca="1">IF(B109="Subetapa",0,IF(B109="serviço",OFFSET(N109,-1,0)+1,OFFSET(N109,-1,0)))</f>
        <v>1</v>
      </c>
      <c r="O109" s="228" t="str">
        <f ca="1">IF(B109="*","",IF(B109="SERVIÇO",S109,OFFSET(O109,-1,0)))</f>
        <v>Mão de Obra Operações de Canteiro</v>
      </c>
      <c r="P109" s="232" t="str">
        <f>IF(S109="","",IF(Orçamento!$B109="INSUMO",S109,""))</f>
        <v>INSTALACOES DE CANTEIRO</v>
      </c>
      <c r="Q109" s="244" t="str">
        <f>IF(B109="","",IF(B109="Serviço",S109,""))</f>
        <v/>
      </c>
      <c r="R109" s="234">
        <f ca="1">IF(B109="serviço",U109,OFFSET(R109,-1,0))</f>
        <v>1</v>
      </c>
      <c r="S109" s="233" t="s">
        <v>1160</v>
      </c>
      <c r="T109" s="242" t="str">
        <f>_xlfn.XLOOKUP(S109,Insumos!$A$3:$A$371,Insumos!$B$3:$B$371)</f>
        <v>VB</v>
      </c>
      <c r="U109" s="235">
        <f ca="1">IF($B109="insumo",R109,"")</f>
        <v>1</v>
      </c>
      <c r="V109" s="320">
        <v>1</v>
      </c>
      <c r="W109" s="236">
        <f>IFERROR(IF(B109="INSUMO",_xlfn.XLOOKUP(S109,Insumos!A:A,Insumos!C:C),""),"Inserir Preço")</f>
        <v>41400</v>
      </c>
      <c r="X109" s="235">
        <f ca="1">IF(B109="Complemento do insumo",V109,IF(R109="","",IF(B109="serviço",R109,IF(OR(B109="insumo"),V109*R109,""))))</f>
        <v>1</v>
      </c>
      <c r="Y109" s="236">
        <f t="shared" si="46"/>
        <v>41400</v>
      </c>
      <c r="Z109" s="237">
        <f t="shared" ca="1" si="41"/>
        <v>41400</v>
      </c>
      <c r="AA109" s="238"/>
      <c r="AB109" s="233" t="str">
        <f>IF(B109="insumo",_xlfn.XLOOKUP(S109,Insumos!A:A,Insumos!D:D),"")</f>
        <v>Aba Custo Serviços</v>
      </c>
      <c r="AC109" s="239">
        <f t="shared" ca="1" si="42"/>
        <v>5.9392074522672195E-3</v>
      </c>
      <c r="AE109" s="240">
        <f ca="1">IFERROR(IF(OR(Z109="",Z109=0),"",IF(AF109="","",IF(AF109="R$/mês",Z109/OBRA!$D$12,IF(AF109="R$/m²",Z109/OBRA!$D$10,IF(AF109="R$/apto",Orçamento!Z109/OBRA!$D$11,""))))),"")</f>
        <v>21.304734900140488</v>
      </c>
      <c r="AF109" s="241" t="s">
        <v>154</v>
      </c>
    </row>
    <row r="110" spans="1:32" s="10" customFormat="1" ht="13.15" customHeight="1" outlineLevel="2" collapsed="1" x14ac:dyDescent="0.2">
      <c r="A110" s="227"/>
      <c r="B110" s="228" t="s">
        <v>2</v>
      </c>
      <c r="C110" s="229" t="str">
        <f t="shared" si="39"/>
        <v/>
      </c>
      <c r="D110" s="227" t="str">
        <f t="shared" ca="1" si="37"/>
        <v>02.002</v>
      </c>
      <c r="E110" s="228" t="str">
        <f t="shared" ca="1" si="25"/>
        <v>02.001.003.001</v>
      </c>
      <c r="F110" s="230">
        <f ca="1">IF($B110="UNIDADE CONSTRUTIVA",OFFSET(F110,-1,0)+1,LARGE(F$10:F109,1))</f>
        <v>1</v>
      </c>
      <c r="G110" s="228" t="str">
        <f t="shared" ca="1" si="26"/>
        <v xml:space="preserve">   GERENCIAMENTO TÉCNICO E ADMINISTRATIVO</v>
      </c>
      <c r="H110" s="230">
        <f t="shared" ca="1" si="27"/>
        <v>2</v>
      </c>
      <c r="I110" s="228" t="str">
        <f t="shared" ca="1" si="28"/>
        <v xml:space="preserve">   GERENCIAMENTO ADMINISTRATIVO</v>
      </c>
      <c r="J110" s="230">
        <f t="shared" ca="1" si="29"/>
        <v>2</v>
      </c>
      <c r="K110" s="228" t="str">
        <f t="shared" ca="1" si="30"/>
        <v xml:space="preserve">   ADMINISTRAÇÃO | CANTEIRO DE OBRAS</v>
      </c>
      <c r="L110" s="231">
        <f t="shared" ca="1" si="31"/>
        <v>0</v>
      </c>
      <c r="M110" s="228" t="str">
        <f t="shared" ca="1" si="32"/>
        <v xml:space="preserve">   Mão de Obra Operações de Canteiro</v>
      </c>
      <c r="N110" s="231">
        <f t="shared" ca="1" si="33"/>
        <v>1</v>
      </c>
      <c r="O110" s="228" t="str">
        <f t="shared" ca="1" si="34"/>
        <v>Mão de Obra Operações de Canteiro</v>
      </c>
      <c r="P110" s="232" t="str">
        <f>IF(S110="","",IF(Orçamento!$B110="INSUMO",S110,""))</f>
        <v/>
      </c>
      <c r="Q110" s="244" t="str">
        <f t="shared" si="38"/>
        <v/>
      </c>
      <c r="R110" s="234">
        <f t="shared" ca="1" si="35"/>
        <v>1</v>
      </c>
      <c r="S110" s="233" t="s">
        <v>422</v>
      </c>
      <c r="T110" s="242" t="s">
        <v>35</v>
      </c>
      <c r="U110" s="235" t="str">
        <f t="shared" si="45"/>
        <v/>
      </c>
      <c r="V110" s="320" t="s">
        <v>35</v>
      </c>
      <c r="W110" s="236" t="str">
        <f>IFERROR(IF(B110="INSUMO",_xlfn.XLOOKUP(S110,Insumos!A:A,Insumos!C:C),""),"Inserir Preço")</f>
        <v/>
      </c>
      <c r="X110" s="235" t="str">
        <f t="shared" ca="1" si="36"/>
        <v/>
      </c>
      <c r="Y110" s="236" t="str">
        <f t="shared" si="46"/>
        <v/>
      </c>
      <c r="Z110" s="237">
        <f t="shared" ca="1" si="41"/>
        <v>284677.92018609901</v>
      </c>
      <c r="AA110" s="238"/>
      <c r="AB110" s="233" t="str">
        <f>IF(B110="insumo",_xlfn.XLOOKUP(S110,Insumos!A:A,Insumos!D:D),"")</f>
        <v/>
      </c>
      <c r="AC110" s="239">
        <f t="shared" ca="1" si="42"/>
        <v>4.0839643117517199E-2</v>
      </c>
      <c r="AE110" s="240">
        <f ca="1">IFERROR(IF(OR(Z110="",Z110=0),"",IF(AF110="","",IF(AF110="R$/mês",Z110/OBRA!$D$12,IF(AF110="R$/m²",Z110/OBRA!$D$10,IF(AF110="R$/apto",Orçamento!Z110/OBRA!$D$11,""))))),"")</f>
        <v>146.49728554319304</v>
      </c>
      <c r="AF110" s="241" t="s">
        <v>154</v>
      </c>
    </row>
    <row r="111" spans="1:32" s="10" customFormat="1" ht="13.15" hidden="1" customHeight="1" outlineLevel="3" collapsed="1" x14ac:dyDescent="0.2">
      <c r="A111" s="227"/>
      <c r="B111" s="228" t="s">
        <v>3</v>
      </c>
      <c r="C111" s="229" t="str">
        <f t="shared" si="39"/>
        <v/>
      </c>
      <c r="D111" s="227" t="str">
        <f t="shared" ca="1" si="37"/>
        <v>02.002.001</v>
      </c>
      <c r="E111" s="228" t="str">
        <f t="shared" ca="1" si="25"/>
        <v>02.001.003.001</v>
      </c>
      <c r="F111" s="230">
        <f ca="1">IF($B111="UNIDADE CONSTRUTIVA",OFFSET(F111,-1,0)+1,LARGE(F$10:F110,1))</f>
        <v>1</v>
      </c>
      <c r="G111" s="228" t="str">
        <f t="shared" ca="1" si="26"/>
        <v xml:space="preserve">   GERENCIAMENTO TÉCNICO E ADMINISTRATIVO</v>
      </c>
      <c r="H111" s="230">
        <f t="shared" ca="1" si="27"/>
        <v>2</v>
      </c>
      <c r="I111" s="228" t="str">
        <f t="shared" ca="1" si="28"/>
        <v xml:space="preserve">   GERENCIAMENTO ADMINISTRATIVO</v>
      </c>
      <c r="J111" s="230">
        <f t="shared" ca="1" si="29"/>
        <v>2</v>
      </c>
      <c r="K111" s="228" t="str">
        <f t="shared" ca="1" si="30"/>
        <v xml:space="preserve">   ADMINISTRAÇÃO | CANTEIRO DE OBRAS</v>
      </c>
      <c r="L111" s="231">
        <f t="shared" ca="1" si="31"/>
        <v>1</v>
      </c>
      <c r="M111" s="228" t="str">
        <f t="shared" ca="1" si="32"/>
        <v xml:space="preserve">   Equipe de Gestão e Apoio</v>
      </c>
      <c r="N111" s="231">
        <f t="shared" ca="1" si="33"/>
        <v>0</v>
      </c>
      <c r="O111" s="228" t="str">
        <f t="shared" ca="1" si="34"/>
        <v>Mão de Obra Operações de Canteiro</v>
      </c>
      <c r="P111" s="232" t="str">
        <f>IF(S111="","",IF(Orçamento!$B111="INSUMO",S111,""))</f>
        <v/>
      </c>
      <c r="Q111" s="244" t="str">
        <f t="shared" si="38"/>
        <v/>
      </c>
      <c r="R111" s="234">
        <f t="shared" ca="1" si="35"/>
        <v>1</v>
      </c>
      <c r="S111" s="233" t="s">
        <v>423</v>
      </c>
      <c r="T111" s="242" t="s">
        <v>35</v>
      </c>
      <c r="U111" s="235" t="str">
        <f t="shared" si="45"/>
        <v/>
      </c>
      <c r="V111" s="320" t="s">
        <v>35</v>
      </c>
      <c r="W111" s="236" t="str">
        <f>IFERROR(IF(B111="INSUMO",_xlfn.XLOOKUP(S111,Insumos!A:A,Insumos!C:C),""),"Inserir Preço")</f>
        <v/>
      </c>
      <c r="X111" s="235" t="str">
        <f t="shared" ca="1" si="36"/>
        <v/>
      </c>
      <c r="Y111" s="236" t="str">
        <f t="shared" si="46"/>
        <v/>
      </c>
      <c r="Z111" s="237">
        <f t="shared" ca="1" si="41"/>
        <v>112200</v>
      </c>
      <c r="AA111" s="238"/>
      <c r="AB111" s="233" t="str">
        <f>IF(B111="insumo",_xlfn.XLOOKUP(S111,Insumos!A:A,Insumos!D:D),"")</f>
        <v/>
      </c>
      <c r="AC111" s="239">
        <f t="shared" ca="1" si="42"/>
        <v>1.609611295034739E-2</v>
      </c>
      <c r="AE111" s="240">
        <f ca="1">IFERROR(IF(OR(Z111="",Z111=0),"",IF(AF111="","",IF(AF111="R$/mês",Z111/OBRA!$D$12,IF(AF111="R$/m²",Z111/OBRA!$D$10,IF(AF111="R$/apto",Orçamento!Z111/OBRA!$D$11,""))))),"")</f>
        <v>57.738919222119875</v>
      </c>
      <c r="AF111" s="241" t="s">
        <v>154</v>
      </c>
    </row>
    <row r="112" spans="1:32" s="10" customFormat="1" ht="13.15" hidden="1" customHeight="1" outlineLevel="4" x14ac:dyDescent="0.2">
      <c r="A112" s="227"/>
      <c r="B112" s="228" t="s">
        <v>4</v>
      </c>
      <c r="C112" s="229">
        <f t="shared" si="39"/>
        <v>1</v>
      </c>
      <c r="D112" s="227" t="str">
        <f t="shared" ca="1" si="37"/>
        <v>02.002.001.001</v>
      </c>
      <c r="E112" s="228" t="str">
        <f t="shared" ca="1" si="25"/>
        <v>02.002.001.001</v>
      </c>
      <c r="F112" s="230">
        <f ca="1">IF($B112="UNIDADE CONSTRUTIVA",OFFSET(F112,-1,0)+1,LARGE(F$10:F111,1))</f>
        <v>1</v>
      </c>
      <c r="G112" s="228" t="str">
        <f t="shared" ca="1" si="26"/>
        <v xml:space="preserve">   GERENCIAMENTO TÉCNICO E ADMINISTRATIVO</v>
      </c>
      <c r="H112" s="230">
        <f t="shared" ca="1" si="27"/>
        <v>2</v>
      </c>
      <c r="I112" s="228" t="str">
        <f t="shared" ca="1" si="28"/>
        <v xml:space="preserve">   GERENCIAMENTO ADMINISTRATIVO</v>
      </c>
      <c r="J112" s="230">
        <f t="shared" ca="1" si="29"/>
        <v>2</v>
      </c>
      <c r="K112" s="228" t="str">
        <f t="shared" ca="1" si="30"/>
        <v xml:space="preserve">   ADMINISTRAÇÃO | CANTEIRO DE OBRAS</v>
      </c>
      <c r="L112" s="231">
        <f t="shared" ca="1" si="31"/>
        <v>1</v>
      </c>
      <c r="M112" s="228" t="str">
        <f t="shared" ca="1" si="32"/>
        <v xml:space="preserve">   Equipe de Gestão e Apoio</v>
      </c>
      <c r="N112" s="231">
        <f t="shared" ca="1" si="33"/>
        <v>1</v>
      </c>
      <c r="O112" s="228" t="str">
        <f t="shared" ca="1" si="34"/>
        <v>Equipe de Canteiro</v>
      </c>
      <c r="P112" s="232" t="str">
        <f>IF(S112="","",IF(Orçamento!$B112="INSUMO",S112,""))</f>
        <v/>
      </c>
      <c r="Q112" s="244" t="str">
        <f t="shared" si="38"/>
        <v>Equipe de Canteiro</v>
      </c>
      <c r="R112" s="234">
        <f t="shared" ca="1" si="35"/>
        <v>22</v>
      </c>
      <c r="S112" s="233" t="s">
        <v>813</v>
      </c>
      <c r="T112" s="242" t="s">
        <v>260</v>
      </c>
      <c r="U112" s="235">
        <f>$AF$5</f>
        <v>22</v>
      </c>
      <c r="V112" s="320" t="s">
        <v>35</v>
      </c>
      <c r="W112" s="236" t="str">
        <f>IFERROR(IF(B112="INSUMO",_xlfn.XLOOKUP(S112,Insumos!A:A,Insumos!C:C),""),"Inserir Preço")</f>
        <v/>
      </c>
      <c r="X112" s="235">
        <f t="shared" ca="1" si="36"/>
        <v>22</v>
      </c>
      <c r="Y112" s="236">
        <f t="shared" ca="1" si="46"/>
        <v>5100</v>
      </c>
      <c r="Z112" s="237">
        <f t="shared" ca="1" si="41"/>
        <v>112200</v>
      </c>
      <c r="AA112" s="238"/>
      <c r="AB112" s="233" t="str">
        <f>IF(B112="insumo",_xlfn.XLOOKUP(S112,Insumos!A:A,Insumos!D:D),"")</f>
        <v/>
      </c>
      <c r="AC112" s="239">
        <f t="shared" ca="1" si="42"/>
        <v>1.609611295034739E-2</v>
      </c>
      <c r="AE112" s="240">
        <f ca="1">IFERROR(IF(OR(Z112="",Z112=0),"",IF(AF112="","",IF(AF112="R$/mês",Z112/OBRA!$D$12,IF(AF112="R$/m²",Z112/OBRA!$D$10,IF(AF112="R$/apto",Orçamento!Z112/OBRA!$D$11,""))))),"")</f>
        <v>57.738919222119875</v>
      </c>
      <c r="AF112" s="241" t="s">
        <v>154</v>
      </c>
    </row>
    <row r="113" spans="1:34" s="10" customFormat="1" ht="13.15" hidden="1" customHeight="1" outlineLevel="4" x14ac:dyDescent="0.2">
      <c r="A113" s="227"/>
      <c r="B113" s="228" t="s">
        <v>19</v>
      </c>
      <c r="C113" s="229">
        <f t="shared" si="39"/>
        <v>1</v>
      </c>
      <c r="D113" s="227" t="str">
        <f t="shared" si="37"/>
        <v/>
      </c>
      <c r="E113" s="228" t="str">
        <f t="shared" ca="1" si="25"/>
        <v>02.002.001.001</v>
      </c>
      <c r="F113" s="230">
        <f ca="1">IF($B113="UNIDADE CONSTRUTIVA",OFFSET(F113,-1,0)+1,LARGE(F$10:F112,1))</f>
        <v>1</v>
      </c>
      <c r="G113" s="228" t="str">
        <f t="shared" ca="1" si="26"/>
        <v xml:space="preserve">   GERENCIAMENTO TÉCNICO E ADMINISTRATIVO</v>
      </c>
      <c r="H113" s="230">
        <f t="shared" ca="1" si="27"/>
        <v>2</v>
      </c>
      <c r="I113" s="228" t="str">
        <f t="shared" ca="1" si="28"/>
        <v xml:space="preserve">   GERENCIAMENTO ADMINISTRATIVO</v>
      </c>
      <c r="J113" s="230">
        <f t="shared" ca="1" si="29"/>
        <v>2</v>
      </c>
      <c r="K113" s="228" t="str">
        <f t="shared" ca="1" si="30"/>
        <v xml:space="preserve">   ADMINISTRAÇÃO | CANTEIRO DE OBRAS</v>
      </c>
      <c r="L113" s="231">
        <f t="shared" ca="1" si="31"/>
        <v>1</v>
      </c>
      <c r="M113" s="228" t="str">
        <f t="shared" ca="1" si="32"/>
        <v xml:space="preserve">   Equipe de Gestão e Apoio</v>
      </c>
      <c r="N113" s="231">
        <f t="shared" ca="1" si="33"/>
        <v>1</v>
      </c>
      <c r="O113" s="228" t="str">
        <f t="shared" ca="1" si="34"/>
        <v>Equipe de Canteiro</v>
      </c>
      <c r="P113" s="232" t="str">
        <f>IF(S113="","",IF(Orçamento!$B113="INSUMO",S113,""))</f>
        <v>ENGENHEIRO CIVIL</v>
      </c>
      <c r="Q113" s="244" t="str">
        <f t="shared" si="38"/>
        <v/>
      </c>
      <c r="R113" s="234">
        <f t="shared" ca="1" si="35"/>
        <v>22</v>
      </c>
      <c r="S113" s="233" t="s">
        <v>268</v>
      </c>
      <c r="T113" s="242" t="str">
        <f>_xlfn.XLOOKUP(S113,Insumos!$A$3:$A$371,Insumos!$B$3:$B$371)</f>
        <v>MES</v>
      </c>
      <c r="U113" s="235">
        <f ca="1">IF($B113="insumo",R113,"")</f>
        <v>22</v>
      </c>
      <c r="V113" s="320">
        <v>1</v>
      </c>
      <c r="W113" s="236">
        <f>IFERROR(IF(B113="INSUMO",_xlfn.XLOOKUP(S113,Insumos!A:A,Insumos!C:C),""),"Inserir Preço")</f>
        <v>3000</v>
      </c>
      <c r="X113" s="235">
        <f t="shared" ca="1" si="36"/>
        <v>22</v>
      </c>
      <c r="Y113" s="236">
        <f t="shared" si="46"/>
        <v>3000</v>
      </c>
      <c r="Z113" s="237">
        <f t="shared" ca="1" si="41"/>
        <v>66000</v>
      </c>
      <c r="AA113" s="238"/>
      <c r="AB113" s="233" t="str">
        <f>IF(B113="insumo",_xlfn.XLOOKUP(S113,Insumos!A:A,Insumos!D:D),"")</f>
        <v>Recebido Cliente</v>
      </c>
      <c r="AC113" s="239">
        <f t="shared" ca="1" si="42"/>
        <v>9.4683017354984661E-3</v>
      </c>
      <c r="AE113" s="240">
        <f ca="1">IFERROR(IF(OR(Z113="",Z113=0),"",IF(AF113="","",IF(AF113="R$/mês",Z113/OBRA!$D$12,IF(AF113="R$/m²",Z113/OBRA!$D$10,IF(AF113="R$/apto",Orçamento!Z113/OBRA!$D$11,""))))),"")</f>
        <v>33.964070130658747</v>
      </c>
      <c r="AF113" s="241" t="s">
        <v>154</v>
      </c>
    </row>
    <row r="114" spans="1:34" s="10" customFormat="1" ht="13.15" hidden="1" customHeight="1" outlineLevel="4" x14ac:dyDescent="0.2">
      <c r="A114" s="227"/>
      <c r="B114" s="228" t="s">
        <v>19</v>
      </c>
      <c r="C114" s="229">
        <f t="shared" si="39"/>
        <v>1</v>
      </c>
      <c r="D114" s="227" t="str">
        <f>IF(B114="Unidade Construtiva",TEXT(F114,"00"),IF(B114="Célula Construtiva",TEXT(H114,"00"),IF(B114="Etapa",CONCATENATE(TEXT(H114,"00"),".",TEXT(J114,"000")),IF(B114="Subetapa",CONCATENATE(TEXT(H114,"00"),".",TEXT(J114,"000"),".",TEXT(L114,"000")),IF(B114="Serviço",CONCATENATE(TEXT(H114,"00"),".",TEXT(J114,"000"),".",TEXT(L114,"000"),".",TEXT(N114,"000")),"")))))</f>
        <v/>
      </c>
      <c r="E114" s="228" t="str">
        <f ca="1">IF(B114="*","",IFERROR(IF(B114="SERVIÇO",D114,OFFSET(E114,-1,0)),""))</f>
        <v>02.002.001.001</v>
      </c>
      <c r="F114" s="230">
        <f ca="1">IF($B114="UNIDADE CONSTRUTIVA",OFFSET(F114,-1,0)+1,LARGE(F$10:F113,1))</f>
        <v>1</v>
      </c>
      <c r="G114" s="228" t="str">
        <f ca="1">IF(B114="*","",IF(B114="UNIDADE CONSTRUTIVA",S114,OFFSET(G114,-1,0)))</f>
        <v xml:space="preserve">   GERENCIAMENTO TÉCNICO E ADMINISTRATIVO</v>
      </c>
      <c r="H114" s="230">
        <f ca="1">IF(B114="UNIDADE CONSTRUTIVA",0,IF(B114="CÉLULA CONSTRUTIVA",OFFSET(H114,-1,0)+1,OFFSET(H114,-1,0)))</f>
        <v>2</v>
      </c>
      <c r="I114" s="228" t="str">
        <f ca="1">IF(B114="*","",IF(B114="CÉLULA CONSTRUTIVA",S114,OFFSET(I114,-1,0)))</f>
        <v xml:space="preserve">   GERENCIAMENTO ADMINISTRATIVO</v>
      </c>
      <c r="J114" s="230">
        <f ca="1">IF(B114="CÉLULA CONSTRUTIVA",0,IF(B114="ETAPA",OFFSET(J114,-1,0)+1,OFFSET(J114,-1,0)))</f>
        <v>2</v>
      </c>
      <c r="K114" s="228" t="str">
        <f ca="1">IF(B114="*","",IF(B114="ETAPA",S114,OFFSET(K114,-1,0)))</f>
        <v xml:space="preserve">   ADMINISTRAÇÃO | CANTEIRO DE OBRAS</v>
      </c>
      <c r="L114" s="231">
        <f ca="1">IF(B114="ETAPA",0,IF(B114="SUBETAPA",OFFSET(L114,-1,0)+1,OFFSET(L114,-1,0)))</f>
        <v>1</v>
      </c>
      <c r="M114" s="228" t="str">
        <f ca="1">IF(B114="*","",IF(B114="SUBETAPA",S114,OFFSET(M114,-1,0)))</f>
        <v xml:space="preserve">   Equipe de Gestão e Apoio</v>
      </c>
      <c r="N114" s="231">
        <f ca="1">IF(B114="Subetapa",0,IF(B114="serviço",OFFSET(N114,-1,0)+1,OFFSET(N114,-1,0)))</f>
        <v>1</v>
      </c>
      <c r="O114" s="228" t="str">
        <f ca="1">IF(B114="*","",IF(B114="SERVIÇO",S114,OFFSET(O114,-1,0)))</f>
        <v>Equipe de Canteiro</v>
      </c>
      <c r="P114" s="232" t="str">
        <f>IF(S114="","",IF(Orçamento!$B114="INSUMO",S114,""))</f>
        <v>Contador</v>
      </c>
      <c r="Q114" s="244" t="str">
        <f>IF(B114="","",IF(B114="Serviço",S114,""))</f>
        <v/>
      </c>
      <c r="R114" s="234">
        <f t="shared" ca="1" si="35"/>
        <v>22</v>
      </c>
      <c r="S114" s="233" t="s">
        <v>571</v>
      </c>
      <c r="T114" s="242" t="str">
        <f>_xlfn.XLOOKUP(S114,Insumos!$A$3:$A$371,Insumos!$B$3:$B$371)</f>
        <v>MES</v>
      </c>
      <c r="U114" s="235">
        <f ca="1">IF($B114="insumo",R114,"")</f>
        <v>22</v>
      </c>
      <c r="V114" s="320">
        <v>1</v>
      </c>
      <c r="W114" s="236">
        <f>IFERROR(IF(B114="INSUMO",_xlfn.XLOOKUP(S114,Insumos!A:A,Insumos!C:C),""),"Inserir Preço")</f>
        <v>2100</v>
      </c>
      <c r="X114" s="235">
        <f t="shared" ca="1" si="36"/>
        <v>22</v>
      </c>
      <c r="Y114" s="236">
        <f t="shared" si="46"/>
        <v>2100</v>
      </c>
      <c r="Z114" s="237">
        <f t="shared" ca="1" si="41"/>
        <v>46200</v>
      </c>
      <c r="AA114" s="238"/>
      <c r="AB114" s="233" t="str">
        <f>IF(B114="insumo",_xlfn.XLOOKUP(S114,Insumos!A:A,Insumos!D:D),"")</f>
        <v>Recebido Cliente</v>
      </c>
      <c r="AC114" s="239">
        <f t="shared" ca="1" si="42"/>
        <v>6.6278112148489259E-3</v>
      </c>
      <c r="AE114" s="240">
        <f ca="1">IFERROR(IF(OR(Z114="",Z114=0),"",IF(AF114="","",IF(AF114="R$/mês",Z114/OBRA!$D$12,IF(AF114="R$/m²",Z114/OBRA!$D$10,IF(AF114="R$/apto",Orçamento!Z114/OBRA!$D$11,""))))),"")</f>
        <v>23.774849091461125</v>
      </c>
      <c r="AF114" s="241" t="s">
        <v>154</v>
      </c>
    </row>
    <row r="115" spans="1:34" s="10" customFormat="1" ht="13.15" hidden="1" customHeight="1" outlineLevel="3" collapsed="1" x14ac:dyDescent="0.2">
      <c r="A115" s="227"/>
      <c r="B115" s="228" t="s">
        <v>3</v>
      </c>
      <c r="C115" s="229" t="str">
        <f t="shared" si="39"/>
        <v/>
      </c>
      <c r="D115" s="227" t="str">
        <f t="shared" ca="1" si="37"/>
        <v>02.002.002</v>
      </c>
      <c r="E115" s="228" t="str">
        <f t="shared" ref="E115:E153" ca="1" si="47">IF(B115="*","",IFERROR(IF(B115="SERVIÇO",D115,OFFSET(E115,-1,0)),""))</f>
        <v>02.002.001.001</v>
      </c>
      <c r="F115" s="230">
        <f ca="1">IF($B115="UNIDADE CONSTRUTIVA",OFFSET(F115,-1,0)+1,LARGE(F$10:F114,1))</f>
        <v>1</v>
      </c>
      <c r="G115" s="228" t="str">
        <f ca="1">IF(B115="*","",IF(B115="UNIDADE CONSTRUTIVA",S115,OFFSET(G115,-1,0)))</f>
        <v xml:space="preserve">   GERENCIAMENTO TÉCNICO E ADMINISTRATIVO</v>
      </c>
      <c r="H115" s="230">
        <f t="shared" ref="H115:H153" ca="1" si="48">IF(B115="UNIDADE CONSTRUTIVA",0,IF(B115="CÉLULA CONSTRUTIVA",OFFSET(H115,-1,0)+1,OFFSET(H115,-1,0)))</f>
        <v>2</v>
      </c>
      <c r="I115" s="228" t="str">
        <f ca="1">IF(B115="*","",IF(B115="CÉLULA CONSTRUTIVA",S115,OFFSET(I115,-1,0)))</f>
        <v xml:space="preserve">   GERENCIAMENTO ADMINISTRATIVO</v>
      </c>
      <c r="J115" s="230">
        <f t="shared" ref="J115:J153" ca="1" si="49">IF(B115="CÉLULA CONSTRUTIVA",0,IF(B115="ETAPA",OFFSET(J115,-1,0)+1,OFFSET(J115,-1,0)))</f>
        <v>2</v>
      </c>
      <c r="K115" s="228" t="str">
        <f ca="1">IF(B115="*","",IF(B115="ETAPA",S115,OFFSET(K115,-1,0)))</f>
        <v xml:space="preserve">   ADMINISTRAÇÃO | CANTEIRO DE OBRAS</v>
      </c>
      <c r="L115" s="231">
        <f t="shared" ref="L115:L153" ca="1" si="50">IF(B115="ETAPA",0,IF(B115="SUBETAPA",OFFSET(L115,-1,0)+1,OFFSET(L115,-1,0)))</f>
        <v>2</v>
      </c>
      <c r="M115" s="228" t="str">
        <f ca="1">IF(B115="*","",IF(B115="SUBETAPA",S115,OFFSET(M115,-1,0)))</f>
        <v xml:space="preserve">   Operação Inicial do Canteiro</v>
      </c>
      <c r="N115" s="231">
        <f t="shared" ref="N115:N153" ca="1" si="51">IF(B115="Subetapa",0,IF(B115="serviço",OFFSET(N115,-1,0)+1,OFFSET(N115,-1,0)))</f>
        <v>0</v>
      </c>
      <c r="O115" s="228" t="str">
        <f ca="1">IF(B115="*","",IF(B115="SERVIÇO",S115,OFFSET(O115,-1,0)))</f>
        <v>Equipe de Canteiro</v>
      </c>
      <c r="P115" s="232" t="str">
        <f>IF(S115="","",IF(Orçamento!$B115="INSUMO",S115,""))</f>
        <v/>
      </c>
      <c r="Q115" s="244" t="str">
        <f>IF(B115="","",IF(B115="Serviço",S115,""))</f>
        <v/>
      </c>
      <c r="R115" s="234">
        <f ca="1">IF(B115="serviço",U115,OFFSET(R115,-1,0))</f>
        <v>22</v>
      </c>
      <c r="S115" s="233" t="s">
        <v>424</v>
      </c>
      <c r="T115" s="242" t="s">
        <v>35</v>
      </c>
      <c r="U115" s="235" t="str">
        <f>IF($B115="insumo",R115,"")</f>
        <v/>
      </c>
      <c r="V115" s="320" t="s">
        <v>35</v>
      </c>
      <c r="W115" s="236" t="str">
        <f>IFERROR(IF(B115="INSUMO",_xlfn.XLOOKUP(S115,Insumos!A:A,Insumos!C:C),""),"Inserir Preço")</f>
        <v/>
      </c>
      <c r="X115" s="235" t="str">
        <f ca="1">IF(B115="Complemento do insumo",V115,IF(R115="","",IF(B115="serviço",R115,IF(OR(B115="insumo"),V115*R115,""))))</f>
        <v/>
      </c>
      <c r="Y115" s="236" t="str">
        <f t="shared" si="46"/>
        <v/>
      </c>
      <c r="Z115" s="237">
        <f t="shared" ca="1" si="41"/>
        <v>8129.21</v>
      </c>
      <c r="AA115" s="238"/>
      <c r="AB115" s="233" t="str">
        <f>IF(B115="insumo",_xlfn.XLOOKUP(S115,Insumos!A:A,Insumos!D:D),"")</f>
        <v/>
      </c>
      <c r="AC115" s="239">
        <f t="shared" ca="1" si="42"/>
        <v>1.166209290170174E-3</v>
      </c>
      <c r="AE115" s="240">
        <f ca="1">IFERROR(IF(OR(Z115="",Z115=0),"",IF(AF115="","",IF(AF115="R$/mês",Z115/OBRA!$D$12,IF(AF115="R$/m²",Z115/OBRA!$D$10,IF(AF115="R$/apto",Orçamento!Z115/OBRA!$D$11,""))))),"")</f>
        <v>4.1833493719220058</v>
      </c>
      <c r="AF115" s="241" t="s">
        <v>154</v>
      </c>
    </row>
    <row r="116" spans="1:34" s="10" customFormat="1" ht="13.15" hidden="1" customHeight="1" outlineLevel="4" x14ac:dyDescent="0.2">
      <c r="A116" s="227"/>
      <c r="B116" s="228" t="s">
        <v>4</v>
      </c>
      <c r="C116" s="229">
        <f t="shared" si="39"/>
        <v>1</v>
      </c>
      <c r="D116" s="227" t="str">
        <f ca="1">IF(B116="Unidade Construtiva",TEXT(F116,"00"),IF(B116="Célula Construtiva",TEXT(H116,"00"),IF(B116="Etapa",CONCATENATE(TEXT(H116,"00"),".",TEXT(J116,"000")),IF(B116="Subetapa",CONCATENATE(TEXT(H116,"00"),".",TEXT(J116,"000"),".",TEXT(L116,"000")),IF(B116="Serviço",CONCATENATE(TEXT(H116,"00"),".",TEXT(J116,"000"),".",TEXT(L116,"000"),".",TEXT(N116,"000")),"")))))</f>
        <v>02.002.002.001</v>
      </c>
      <c r="E116" s="228" t="str">
        <f ca="1">IF(B116="*","",IFERROR(IF(B116="SERVIÇO",D116,OFFSET(E116,-1,0)),""))</f>
        <v>02.002.002.001</v>
      </c>
      <c r="F116" s="230">
        <f ca="1">IF($B116="UNIDADE CONSTRUTIVA",OFFSET(F116,-1,0)+1,LARGE(F$10:F115,1))</f>
        <v>1</v>
      </c>
      <c r="G116" s="228" t="str">
        <f ca="1">IF(B116="*","",IF(B116="UNIDADE CONSTRUTIVA",S116,OFFSET(G116,-1,0)))</f>
        <v xml:space="preserve">   GERENCIAMENTO TÉCNICO E ADMINISTRATIVO</v>
      </c>
      <c r="H116" s="230">
        <f ca="1">IF(B116="UNIDADE CONSTRUTIVA",0,IF(B116="CÉLULA CONSTRUTIVA",OFFSET(H116,-1,0)+1,OFFSET(H116,-1,0)))</f>
        <v>2</v>
      </c>
      <c r="I116" s="228" t="str">
        <f ca="1">IF(B116="*","",IF(B116="CÉLULA CONSTRUTIVA",S116,OFFSET(I116,-1,0)))</f>
        <v xml:space="preserve">   GERENCIAMENTO ADMINISTRATIVO</v>
      </c>
      <c r="J116" s="230">
        <f ca="1">IF(B116="CÉLULA CONSTRUTIVA",0,IF(B116="ETAPA",OFFSET(J116,-1,0)+1,OFFSET(J116,-1,0)))</f>
        <v>2</v>
      </c>
      <c r="K116" s="228" t="str">
        <f ca="1">IF(B116="*","",IF(B116="ETAPA",S116,OFFSET(K116,-1,0)))</f>
        <v xml:space="preserve">   ADMINISTRAÇÃO | CANTEIRO DE OBRAS</v>
      </c>
      <c r="L116" s="231">
        <f ca="1">IF(B116="ETAPA",0,IF(B116="SUBETAPA",OFFSET(L116,-1,0)+1,OFFSET(L116,-1,0)))</f>
        <v>2</v>
      </c>
      <c r="M116" s="228" t="str">
        <f ca="1">IF(B116="*","",IF(B116="SUBETAPA",S116,OFFSET(M116,-1,0)))</f>
        <v xml:space="preserve">   Operação Inicial do Canteiro</v>
      </c>
      <c r="N116" s="231">
        <f ca="1">IF(B116="Subetapa",0,IF(B116="serviço",OFFSET(N116,-1,0)+1,OFFSET(N116,-1,0)))</f>
        <v>1</v>
      </c>
      <c r="O116" s="228" t="str">
        <f ca="1">IF(B116="*","",IF(B116="SERVIÇO",S116,OFFSET(O116,-1,0)))</f>
        <v>Demolições</v>
      </c>
      <c r="P116" s="232" t="str">
        <f>IF(S116="","",IF(Orçamento!$B116="INSUMO",S116,""))</f>
        <v/>
      </c>
      <c r="Q116" s="244" t="str">
        <f>IF(B116="","",IF(B116="Serviço",S116,""))</f>
        <v>Demolições</v>
      </c>
      <c r="R116" s="234">
        <f ca="1">IF(B116="serviço",U116,OFFSET(R116,-1,0))</f>
        <v>1</v>
      </c>
      <c r="S116" s="233" t="s">
        <v>425</v>
      </c>
      <c r="T116" s="242" t="s">
        <v>170</v>
      </c>
      <c r="U116" s="235">
        <v>1</v>
      </c>
      <c r="V116" s="320" t="s">
        <v>35</v>
      </c>
      <c r="W116" s="236" t="str">
        <f>IFERROR(IF(B116="INSUMO",_xlfn.XLOOKUP(S116,Insumos!A:A,Insumos!C:C),""),"Inserir Preço")</f>
        <v/>
      </c>
      <c r="X116" s="235">
        <f ca="1">IF(B116="Complemento do insumo",V116,IF(R116="","",IF(B116="serviço",R116,IF(OR(B116="insumo"),V116*R116,""))))</f>
        <v>1</v>
      </c>
      <c r="Y116" s="236">
        <f t="shared" ca="1" si="46"/>
        <v>8129.21</v>
      </c>
      <c r="Z116" s="237">
        <f t="shared" ca="1" si="41"/>
        <v>8129.21</v>
      </c>
      <c r="AA116" s="238"/>
      <c r="AB116" s="233" t="str">
        <f>IF(B116="insumo",_xlfn.XLOOKUP(S116,Insumos!A:A,Insumos!D:D),"")</f>
        <v/>
      </c>
      <c r="AC116" s="239">
        <f t="shared" ca="1" si="42"/>
        <v>1.166209290170174E-3</v>
      </c>
      <c r="AE116" s="240">
        <f ca="1">IFERROR(IF(OR(Z116="",Z116=0),"",IF(AF116="","",IF(AF116="R$/mês",Z116/OBRA!$D$12,IF(AF116="R$/m²",Z116/OBRA!$D$10,IF(AF116="R$/apto",Orçamento!Z116/OBRA!$D$11,""))))),"")</f>
        <v>4.1833493719220058</v>
      </c>
      <c r="AF116" s="241" t="s">
        <v>154</v>
      </c>
      <c r="AH116" s="10" t="s">
        <v>1138</v>
      </c>
    </row>
    <row r="117" spans="1:34" s="10" customFormat="1" ht="13.15" hidden="1" customHeight="1" outlineLevel="4" x14ac:dyDescent="0.2">
      <c r="A117" s="227"/>
      <c r="B117" s="228" t="s">
        <v>19</v>
      </c>
      <c r="C117" s="229">
        <f t="shared" si="39"/>
        <v>1</v>
      </c>
      <c r="D117" s="227" t="str">
        <f>IF(B117="Unidade Construtiva",TEXT(F117,"00"),IF(B117="Célula Construtiva",TEXT(H117,"00"),IF(B117="Etapa",CONCATENATE(TEXT(H117,"00"),".",TEXT(J117,"000")),IF(B117="Subetapa",CONCATENATE(TEXT(H117,"00"),".",TEXT(J117,"000"),".",TEXT(L117,"000")),IF(B117="Serviço",CONCATENATE(TEXT(H117,"00"),".",TEXT(J117,"000"),".",TEXT(L117,"000"),".",TEXT(N117,"000")),"")))))</f>
        <v/>
      </c>
      <c r="E117" s="228" t="str">
        <f ca="1">IF(B117="*","",IFERROR(IF(B117="SERVIÇO",D117,OFFSET(E117,-1,0)),""))</f>
        <v>02.002.002.001</v>
      </c>
      <c r="F117" s="230">
        <f ca="1">IF($B117="UNIDADE CONSTRUTIVA",OFFSET(F117,-1,0)+1,LARGE(F$10:F116,1))</f>
        <v>1</v>
      </c>
      <c r="G117" s="228" t="str">
        <f ca="1">IF(B117="*","",IF(B117="UNIDADE CONSTRUTIVA",S117,OFFSET(G117,-1,0)))</f>
        <v xml:space="preserve">   GERENCIAMENTO TÉCNICO E ADMINISTRATIVO</v>
      </c>
      <c r="H117" s="230">
        <f ca="1">IF(B117="UNIDADE CONSTRUTIVA",0,IF(B117="CÉLULA CONSTRUTIVA",OFFSET(H117,-1,0)+1,OFFSET(H117,-1,0)))</f>
        <v>2</v>
      </c>
      <c r="I117" s="228" t="str">
        <f ca="1">IF(B117="*","",IF(B117="CÉLULA CONSTRUTIVA",S117,OFFSET(I117,-1,0)))</f>
        <v xml:space="preserve">   GERENCIAMENTO ADMINISTRATIVO</v>
      </c>
      <c r="J117" s="230">
        <f ca="1">IF(B117="CÉLULA CONSTRUTIVA",0,IF(B117="ETAPA",OFFSET(J117,-1,0)+1,OFFSET(J117,-1,0)))</f>
        <v>2</v>
      </c>
      <c r="K117" s="228" t="str">
        <f ca="1">IF(B117="*","",IF(B117="ETAPA",S117,OFFSET(K117,-1,0)))</f>
        <v xml:space="preserve">   ADMINISTRAÇÃO | CANTEIRO DE OBRAS</v>
      </c>
      <c r="L117" s="231">
        <f ca="1">IF(B117="ETAPA",0,IF(B117="SUBETAPA",OFFSET(L117,-1,0)+1,OFFSET(L117,-1,0)))</f>
        <v>2</v>
      </c>
      <c r="M117" s="228" t="str">
        <f ca="1">IF(B117="*","",IF(B117="SUBETAPA",S117,OFFSET(M117,-1,0)))</f>
        <v xml:space="preserve">   Operação Inicial do Canteiro</v>
      </c>
      <c r="N117" s="231">
        <f ca="1">IF(B117="Subetapa",0,IF(B117="serviço",OFFSET(N117,-1,0)+1,OFFSET(N117,-1,0)))</f>
        <v>1</v>
      </c>
      <c r="O117" s="228" t="str">
        <f ca="1">IF(B117="*","",IF(B117="SERVIÇO",S117,OFFSET(O117,-1,0)))</f>
        <v>Demolições</v>
      </c>
      <c r="P117" s="232" t="str">
        <f>IF(S117="","",IF(Orçamento!$B117="INSUMO",S117,""))</f>
        <v>Demolicao com retirada de entulho ate nivel do piso</v>
      </c>
      <c r="Q117" s="244" t="str">
        <f>IF(B117="","",IF(B117="Serviço",S117,""))</f>
        <v/>
      </c>
      <c r="R117" s="234">
        <f ca="1">IF(B117="serviço",U117,OFFSET(R117,-1,0))</f>
        <v>1</v>
      </c>
      <c r="S117" s="233" t="s">
        <v>335</v>
      </c>
      <c r="T117" s="242" t="str">
        <f>_xlfn.XLOOKUP(S117,Insumos!$A$3:$A$371,Insumos!$B$3:$B$371)</f>
        <v>VB</v>
      </c>
      <c r="U117" s="235">
        <f ca="1">IF($B117="insumo",R117,"")</f>
        <v>1</v>
      </c>
      <c r="V117" s="320">
        <v>1</v>
      </c>
      <c r="W117" s="236">
        <f>IFERROR(IF(B117="INSUMO",_xlfn.XLOOKUP(S117,Insumos!A:A,Insumos!C:C),""),"Inserir Preço")</f>
        <v>8129.21</v>
      </c>
      <c r="X117" s="235">
        <f ca="1">IF(B117="Complemento do insumo",V117,IF(R117="","",IF(B117="serviço",R117,IF(OR(B117="insumo"),V117*R117,""))))</f>
        <v>1</v>
      </c>
      <c r="Y117" s="236">
        <f t="shared" si="46"/>
        <v>8129.21</v>
      </c>
      <c r="Z117" s="237">
        <f t="shared" ca="1" si="41"/>
        <v>8129.21</v>
      </c>
      <c r="AA117" s="238"/>
      <c r="AB117" s="233" t="str">
        <f>IF(B117="insumo",_xlfn.XLOOKUP(S117,Insumos!A:A,Insumos!D:D),"")</f>
        <v>Base de dados</v>
      </c>
      <c r="AC117" s="239">
        <f t="shared" ca="1" si="42"/>
        <v>1.166209290170174E-3</v>
      </c>
      <c r="AE117" s="240">
        <f ca="1">IFERROR(IF(OR(Z117="",Z117=0),"",IF(AF117="","",IF(AF117="R$/mês",Z117/OBRA!$D$12,IF(AF117="R$/m²",Z117/OBRA!$D$10,IF(AF117="R$/apto",Orçamento!Z117/OBRA!$D$11,""))))),"")</f>
        <v>4.1833493719220058</v>
      </c>
      <c r="AF117" s="241" t="s">
        <v>154</v>
      </c>
    </row>
    <row r="118" spans="1:34" s="10" customFormat="1" ht="13.15" hidden="1" customHeight="1" outlineLevel="3" collapsed="1" x14ac:dyDescent="0.2">
      <c r="A118" s="227"/>
      <c r="B118" s="228" t="s">
        <v>3</v>
      </c>
      <c r="C118" s="229" t="str">
        <f t="shared" si="39"/>
        <v/>
      </c>
      <c r="D118" s="227" t="str">
        <f ca="1">IF(B118="Unidade Construtiva",TEXT(F118,"00"),IF(B118="Célula Construtiva",TEXT(H118,"00"),IF(B118="Etapa",CONCATENATE(TEXT(H118,"00"),".",TEXT(J118,"000")),IF(B118="Subetapa",CONCATENATE(TEXT(H118,"00"),".",TEXT(J118,"000"),".",TEXT(L118,"000")),IF(B118="Serviço",CONCATENATE(TEXT(H118,"00"),".",TEXT(J118,"000"),".",TEXT(L118,"000"),".",TEXT(N118,"000")),"")))))</f>
        <v>02.002.003</v>
      </c>
      <c r="E118" s="228" t="str">
        <f t="shared" ca="1" si="47"/>
        <v>02.002.002.001</v>
      </c>
      <c r="F118" s="230">
        <f ca="1">IF($B118="UNIDADE CONSTRUTIVA",OFFSET(F118,-1,0)+1,LARGE(F$10:F117,1))</f>
        <v>1</v>
      </c>
      <c r="G118" s="228" t="str">
        <f ca="1">IF(B118="*","",IF(B118="UNIDADE CONSTRUTIVA",S118,OFFSET(G118,-1,0)))</f>
        <v xml:space="preserve">   GERENCIAMENTO TÉCNICO E ADMINISTRATIVO</v>
      </c>
      <c r="H118" s="230">
        <f t="shared" ca="1" si="48"/>
        <v>2</v>
      </c>
      <c r="I118" s="228" t="str">
        <f ca="1">IF(B118="*","",IF(B118="CÉLULA CONSTRUTIVA",S118,OFFSET(I118,-1,0)))</f>
        <v xml:space="preserve">   GERENCIAMENTO ADMINISTRATIVO</v>
      </c>
      <c r="J118" s="230">
        <f t="shared" ca="1" si="49"/>
        <v>2</v>
      </c>
      <c r="K118" s="228" t="str">
        <f ca="1">IF(B118="*","",IF(B118="ETAPA",S118,OFFSET(K118,-1,0)))</f>
        <v xml:space="preserve">   ADMINISTRAÇÃO | CANTEIRO DE OBRAS</v>
      </c>
      <c r="L118" s="231">
        <f t="shared" ca="1" si="50"/>
        <v>3</v>
      </c>
      <c r="M118" s="228" t="str">
        <f ca="1">IF(B118="*","",IF(B118="SUBETAPA",S118,OFFSET(M118,-1,0)))</f>
        <v xml:space="preserve">   Despesas de Consumo e Manutenção</v>
      </c>
      <c r="N118" s="231">
        <f t="shared" ca="1" si="51"/>
        <v>0</v>
      </c>
      <c r="O118" s="228" t="str">
        <f ca="1">IF(B118="*","",IF(B118="SERVIÇO",S118,OFFSET(O118,-1,0)))</f>
        <v>Demolições</v>
      </c>
      <c r="P118" s="232" t="str">
        <f>IF(S118="","",IF(Orçamento!$B118="INSUMO",S118,""))</f>
        <v/>
      </c>
      <c r="Q118" s="244" t="str">
        <f>IF(B118="","",IF(B118="Serviço",S118,""))</f>
        <v/>
      </c>
      <c r="R118" s="234">
        <f ca="1">IF(B118="serviço",U118,OFFSET(R118,-1,0))</f>
        <v>1</v>
      </c>
      <c r="S118" s="233" t="s">
        <v>426</v>
      </c>
      <c r="T118" s="242" t="s">
        <v>35</v>
      </c>
      <c r="U118" s="235" t="str">
        <f>IF($B118="insumo",R118,"")</f>
        <v/>
      </c>
      <c r="V118" s="320" t="s">
        <v>35</v>
      </c>
      <c r="W118" s="236" t="str">
        <f>IFERROR(IF(B118="INSUMO",_xlfn.XLOOKUP(S118,Insumos!A:A,Insumos!C:C),""),"Inserir Preço")</f>
        <v/>
      </c>
      <c r="X118" s="235" t="str">
        <f ca="1">IF(B118="Complemento do insumo",V118,IF(R118="","",IF(B118="serviço",R118,IF(OR(B118="insumo"),V118*R118,""))))</f>
        <v/>
      </c>
      <c r="Y118" s="236" t="str">
        <f t="shared" si="46"/>
        <v/>
      </c>
      <c r="Z118" s="237">
        <f t="shared" ca="1" si="41"/>
        <v>125088</v>
      </c>
      <c r="AA118" s="238"/>
      <c r="AB118" s="233" t="str">
        <f>IF(B118="insumo",_xlfn.XLOOKUP(S118,Insumos!A:A,Insumos!D:D),"")</f>
        <v/>
      </c>
      <c r="AC118" s="239">
        <f t="shared" ca="1" si="42"/>
        <v>1.7945014052879273E-2</v>
      </c>
      <c r="AE118" s="240">
        <f ca="1">IFERROR(IF(OR(Z118="",Z118=0),"",IF(AF118="","",IF(AF118="R$/mês",Z118/OBRA!$D$12,IF(AF118="R$/m²",Z118/OBRA!$D$10,IF(AF118="R$/apto",Orçamento!Z118/OBRA!$D$11,""))))),"")</f>
        <v>64.371175825815783</v>
      </c>
      <c r="AF118" s="241" t="s">
        <v>154</v>
      </c>
    </row>
    <row r="119" spans="1:34" s="10" customFormat="1" ht="12" hidden="1" customHeight="1" outlineLevel="4" x14ac:dyDescent="0.2">
      <c r="A119" s="227"/>
      <c r="B119" s="228" t="s">
        <v>4</v>
      </c>
      <c r="C119" s="229">
        <f t="shared" si="39"/>
        <v>1</v>
      </c>
      <c r="D119" s="227" t="str">
        <f t="shared" ref="D119:D126" ca="1" si="52">IF(B119="Unidade Construtiva",TEXT(F119,"00"),IF(B119="Célula Construtiva",TEXT(H119,"00"),IF(B119="Etapa",CONCATENATE(TEXT(H119,"00"),".",TEXT(J119,"000")),IF(B119="Subetapa",CONCATENATE(TEXT(H119,"00"),".",TEXT(J119,"000"),".",TEXT(L119,"000")),IF(B119="Serviço",CONCATENATE(TEXT(H119,"00"),".",TEXT(J119,"000"),".",TEXT(L119,"000"),".",TEXT(N119,"000")),"")))))</f>
        <v>02.002.003.001</v>
      </c>
      <c r="E119" s="228" t="str">
        <f t="shared" ref="E119:E126" ca="1" si="53">IF(B119="*","",IFERROR(IF(B119="SERVIÇO",D119,OFFSET(E119,-1,0)),""))</f>
        <v>02.002.003.001</v>
      </c>
      <c r="F119" s="230">
        <f ca="1">IF($B119="UNIDADE CONSTRUTIVA",OFFSET(F119,-1,0)+1,LARGE(F$10:F118,1))</f>
        <v>1</v>
      </c>
      <c r="G119" s="228" t="str">
        <f t="shared" ref="G119:G126" ca="1" si="54">IF(B119="*","",IF(B119="UNIDADE CONSTRUTIVA",S119,OFFSET(G119,-1,0)))</f>
        <v xml:space="preserve">   GERENCIAMENTO TÉCNICO E ADMINISTRATIVO</v>
      </c>
      <c r="H119" s="230">
        <f t="shared" ref="H119:H126" ca="1" si="55">IF(B119="UNIDADE CONSTRUTIVA",0,IF(B119="CÉLULA CONSTRUTIVA",OFFSET(H119,-1,0)+1,OFFSET(H119,-1,0)))</f>
        <v>2</v>
      </c>
      <c r="I119" s="228" t="str">
        <f t="shared" ref="I119:I126" ca="1" si="56">IF(B119="*","",IF(B119="CÉLULA CONSTRUTIVA",S119,OFFSET(I119,-1,0)))</f>
        <v xml:space="preserve">   GERENCIAMENTO ADMINISTRATIVO</v>
      </c>
      <c r="J119" s="230">
        <f t="shared" ref="J119:J126" ca="1" si="57">IF(B119="CÉLULA CONSTRUTIVA",0,IF(B119="ETAPA",OFFSET(J119,-1,0)+1,OFFSET(J119,-1,0)))</f>
        <v>2</v>
      </c>
      <c r="K119" s="228" t="str">
        <f t="shared" ref="K119:K126" ca="1" si="58">IF(B119="*","",IF(B119="ETAPA",S119,OFFSET(K119,-1,0)))</f>
        <v xml:space="preserve">   ADMINISTRAÇÃO | CANTEIRO DE OBRAS</v>
      </c>
      <c r="L119" s="231">
        <f t="shared" ref="L119:L126" ca="1" si="59">IF(B119="ETAPA",0,IF(B119="SUBETAPA",OFFSET(L119,-1,0)+1,OFFSET(L119,-1,0)))</f>
        <v>3</v>
      </c>
      <c r="M119" s="228" t="str">
        <f t="shared" ref="M119:M126" ca="1" si="60">IF(B119="*","",IF(B119="SUBETAPA",S119,OFFSET(M119,-1,0)))</f>
        <v xml:space="preserve">   Despesas de Consumo e Manutenção</v>
      </c>
      <c r="N119" s="231">
        <f t="shared" ref="N119:N126" ca="1" si="61">IF(B119="Subetapa",0,IF(B119="serviço",OFFSET(N119,-1,0)+1,OFFSET(N119,-1,0)))</f>
        <v>1</v>
      </c>
      <c r="O119" s="228" t="str">
        <f t="shared" ref="O119:O126" ca="1" si="62">IF(B119="*","",IF(B119="SERVIÇO",S119,OFFSET(O119,-1,0)))</f>
        <v>Despesas de consumo - Mobiliário de Obra</v>
      </c>
      <c r="P119" s="232" t="str">
        <f>IF(S119="","",IF(Orçamento!$B119="INSUMO",S119,""))</f>
        <v/>
      </c>
      <c r="Q119" s="244" t="str">
        <f t="shared" ref="Q119:Q126" si="63">IF(B119="","",IF(B119="Serviço",S119,""))</f>
        <v>Despesas de consumo - Mobiliário de Obra</v>
      </c>
      <c r="R119" s="234">
        <f t="shared" ref="R119:R140" ca="1" si="64">IF(B119="serviço",U119,OFFSET(R119,-1,0))</f>
        <v>1</v>
      </c>
      <c r="S119" s="233" t="s">
        <v>928</v>
      </c>
      <c r="T119" s="242" t="s">
        <v>170</v>
      </c>
      <c r="U119" s="235">
        <v>1</v>
      </c>
      <c r="V119" s="320" t="s">
        <v>35</v>
      </c>
      <c r="W119" s="236" t="str">
        <f>IFERROR(IF(B119="INSUMO",_xlfn.XLOOKUP(S119,Insumos!A:A,Insumos!C:C),""),"Inserir Preço")</f>
        <v/>
      </c>
      <c r="X119" s="235">
        <f t="shared" ref="X119:X126" ca="1" si="65">IF(B119="Complemento do insumo",V119,IF(R119="","",IF(B119="serviço",R119,IF(OR(B119="insumo"),V119*R119,""))))</f>
        <v>1</v>
      </c>
      <c r="Y119" s="236">
        <f t="shared" ca="1" si="46"/>
        <v>12200</v>
      </c>
      <c r="Z119" s="237">
        <f t="shared" ca="1" si="41"/>
        <v>12200</v>
      </c>
      <c r="AA119" s="238"/>
      <c r="AB119" s="233" t="str">
        <f>IF(B119="insumo",_xlfn.XLOOKUP(S119,Insumos!A:A,Insumos!D:D),"")</f>
        <v/>
      </c>
      <c r="AC119" s="239">
        <f t="shared" ca="1" si="42"/>
        <v>1.7502012298951709E-3</v>
      </c>
      <c r="AE119" s="240">
        <f ca="1">IFERROR(IF(OR(Z119="",Z119=0),"",IF(AF119="","",IF(AF119="R$/mês",Z119/OBRA!$D$12,IF(AF119="R$/m²",Z119/OBRA!$D$10,IF(AF119="R$/apto",Orçamento!Z119/OBRA!$D$11,""))))),"")</f>
        <v>6.2782069029399503</v>
      </c>
      <c r="AF119" s="241" t="s">
        <v>154</v>
      </c>
    </row>
    <row r="120" spans="1:34" s="10" customFormat="1" ht="13.15" hidden="1" customHeight="1" outlineLevel="4" x14ac:dyDescent="0.2">
      <c r="A120" s="227"/>
      <c r="B120" s="228" t="s">
        <v>19</v>
      </c>
      <c r="C120" s="229">
        <f t="shared" si="39"/>
        <v>1</v>
      </c>
      <c r="D120" s="227" t="str">
        <f t="shared" si="52"/>
        <v/>
      </c>
      <c r="E120" s="228" t="str">
        <f t="shared" ca="1" si="53"/>
        <v>02.002.003.001</v>
      </c>
      <c r="F120" s="230">
        <f ca="1">IF($B120="UNIDADE CONSTRUTIVA",OFFSET(F120,-1,0)+1,LARGE(F$10:F119,1))</f>
        <v>1</v>
      </c>
      <c r="G120" s="228" t="str">
        <f t="shared" ca="1" si="54"/>
        <v xml:space="preserve">   GERENCIAMENTO TÉCNICO E ADMINISTRATIVO</v>
      </c>
      <c r="H120" s="230">
        <f t="shared" ca="1" si="55"/>
        <v>2</v>
      </c>
      <c r="I120" s="228" t="str">
        <f t="shared" ca="1" si="56"/>
        <v xml:space="preserve">   GERENCIAMENTO ADMINISTRATIVO</v>
      </c>
      <c r="J120" s="230">
        <f t="shared" ca="1" si="57"/>
        <v>2</v>
      </c>
      <c r="K120" s="228" t="str">
        <f t="shared" ca="1" si="58"/>
        <v xml:space="preserve">   ADMINISTRAÇÃO | CANTEIRO DE OBRAS</v>
      </c>
      <c r="L120" s="231">
        <f t="shared" ca="1" si="59"/>
        <v>3</v>
      </c>
      <c r="M120" s="228" t="str">
        <f t="shared" ca="1" si="60"/>
        <v xml:space="preserve">   Despesas de Consumo e Manutenção</v>
      </c>
      <c r="N120" s="231">
        <f t="shared" ca="1" si="61"/>
        <v>1</v>
      </c>
      <c r="O120" s="228" t="str">
        <f t="shared" ca="1" si="62"/>
        <v>Despesas de consumo - Mobiliário de Obra</v>
      </c>
      <c r="P120" s="232" t="str">
        <f>IF(S120="","",IF(Orçamento!$B120="INSUMO",S120,""))</f>
        <v>MOBILIARIO DE APOIO A OBRA</v>
      </c>
      <c r="Q120" s="244" t="str">
        <f t="shared" si="63"/>
        <v/>
      </c>
      <c r="R120" s="234">
        <f t="shared" ca="1" si="64"/>
        <v>1</v>
      </c>
      <c r="S120" s="233" t="s">
        <v>814</v>
      </c>
      <c r="T120" s="242" t="str">
        <f>_xlfn.XLOOKUP(S120,Insumos!$A$3:$A$371,Insumos!$B$3:$B$371)</f>
        <v>VB</v>
      </c>
      <c r="U120" s="235">
        <f t="shared" ref="U120:U132" ca="1" si="66">IF($B120="insumo",R120,"")</f>
        <v>1</v>
      </c>
      <c r="V120" s="320">
        <v>1</v>
      </c>
      <c r="W120" s="236">
        <f>IFERROR(IF(B120="INSUMO",_xlfn.XLOOKUP(S120,Insumos!A:A,Insumos!C:C),""),"Inserir Preço")</f>
        <v>12200</v>
      </c>
      <c r="X120" s="235">
        <f t="shared" ca="1" si="65"/>
        <v>1</v>
      </c>
      <c r="Y120" s="236">
        <f t="shared" si="46"/>
        <v>12200</v>
      </c>
      <c r="Z120" s="237">
        <f t="shared" ca="1" si="41"/>
        <v>12200</v>
      </c>
      <c r="AA120" s="238"/>
      <c r="AB120" s="233" t="str">
        <f>IF(B120="insumo",_xlfn.XLOOKUP(S120,Insumos!A:A,Insumos!D:D),"")</f>
        <v>Base de dados</v>
      </c>
      <c r="AC120" s="239">
        <f t="shared" ca="1" si="42"/>
        <v>1.7502012298951709E-3</v>
      </c>
      <c r="AE120" s="240">
        <f ca="1">IFERROR(IF(OR(Z120="",Z120=0),"",IF(AF120="","",IF(AF120="R$/mês",Z120/OBRA!$D$12,IF(AF120="R$/m²",Z120/OBRA!$D$10,IF(AF120="R$/apto",Orçamento!Z120/OBRA!$D$11,""))))),"")</f>
        <v>6.2782069029399503</v>
      </c>
      <c r="AF120" s="241" t="s">
        <v>154</v>
      </c>
    </row>
    <row r="121" spans="1:34" s="10" customFormat="1" ht="12" hidden="1" customHeight="1" outlineLevel="4" x14ac:dyDescent="0.2">
      <c r="A121" s="227"/>
      <c r="B121" s="228" t="s">
        <v>4</v>
      </c>
      <c r="C121" s="229">
        <f t="shared" si="39"/>
        <v>1</v>
      </c>
      <c r="D121" s="227" t="str">
        <f t="shared" ca="1" si="52"/>
        <v>02.002.003.002</v>
      </c>
      <c r="E121" s="228" t="str">
        <f t="shared" ca="1" si="53"/>
        <v>02.002.003.002</v>
      </c>
      <c r="F121" s="230">
        <f ca="1">IF($B121="UNIDADE CONSTRUTIVA",OFFSET(F121,-1,0)+1,LARGE(F$10:F120,1))</f>
        <v>1</v>
      </c>
      <c r="G121" s="228" t="str">
        <f t="shared" ca="1" si="54"/>
        <v xml:space="preserve">   GERENCIAMENTO TÉCNICO E ADMINISTRATIVO</v>
      </c>
      <c r="H121" s="230">
        <f t="shared" ca="1" si="55"/>
        <v>2</v>
      </c>
      <c r="I121" s="228" t="str">
        <f t="shared" ca="1" si="56"/>
        <v xml:space="preserve">   GERENCIAMENTO ADMINISTRATIVO</v>
      </c>
      <c r="J121" s="230">
        <f t="shared" ca="1" si="57"/>
        <v>2</v>
      </c>
      <c r="K121" s="228" t="str">
        <f t="shared" ca="1" si="58"/>
        <v xml:space="preserve">   ADMINISTRAÇÃO | CANTEIRO DE OBRAS</v>
      </c>
      <c r="L121" s="231">
        <f t="shared" ca="1" si="59"/>
        <v>3</v>
      </c>
      <c r="M121" s="228" t="str">
        <f t="shared" ca="1" si="60"/>
        <v xml:space="preserve">   Despesas de Consumo e Manutenção</v>
      </c>
      <c r="N121" s="231">
        <f t="shared" ca="1" si="61"/>
        <v>2</v>
      </c>
      <c r="O121" s="228" t="str">
        <f t="shared" ca="1" si="62"/>
        <v>Despesas de consumo - Equipamentos de Escritório</v>
      </c>
      <c r="P121" s="232" t="str">
        <f>IF(S121="","",IF(Orçamento!$B121="INSUMO",S121,""))</f>
        <v/>
      </c>
      <c r="Q121" s="244" t="str">
        <f t="shared" si="63"/>
        <v>Despesas de consumo - Equipamentos de Escritório</v>
      </c>
      <c r="R121" s="234">
        <f t="shared" ca="1" si="64"/>
        <v>1</v>
      </c>
      <c r="S121" s="233" t="s">
        <v>927</v>
      </c>
      <c r="T121" s="242" t="s">
        <v>170</v>
      </c>
      <c r="U121" s="235">
        <v>1</v>
      </c>
      <c r="V121" s="320" t="s">
        <v>35</v>
      </c>
      <c r="W121" s="236" t="str">
        <f>IFERROR(IF(B121="INSUMO",_xlfn.XLOOKUP(S121,Insumos!A:A,Insumos!C:C),""),"Inserir Preço")</f>
        <v/>
      </c>
      <c r="X121" s="235">
        <f t="shared" ca="1" si="65"/>
        <v>1</v>
      </c>
      <c r="Y121" s="236">
        <f t="shared" ca="1" si="46"/>
        <v>27000</v>
      </c>
      <c r="Z121" s="237">
        <f t="shared" ca="1" si="41"/>
        <v>27000</v>
      </c>
      <c r="AA121" s="238"/>
      <c r="AB121" s="233" t="str">
        <f>IF(B121="insumo",_xlfn.XLOOKUP(S121,Insumos!A:A,Insumos!D:D),"")</f>
        <v/>
      </c>
      <c r="AC121" s="239">
        <f t="shared" ca="1" si="42"/>
        <v>3.8733961645220998E-3</v>
      </c>
      <c r="AE121" s="240">
        <f ca="1">IFERROR(IF(OR(Z121="",Z121=0),"",IF(AF121="","",IF(AF121="R$/mês",Z121/OBRA!$D$12,IF(AF121="R$/m²",Z121/OBRA!$D$10,IF(AF121="R$/apto",Orçamento!Z121/OBRA!$D$11,""))))),"")</f>
        <v>13.894392326178579</v>
      </c>
      <c r="AF121" s="241" t="s">
        <v>154</v>
      </c>
    </row>
    <row r="122" spans="1:34" s="10" customFormat="1" ht="13.15" hidden="1" customHeight="1" outlineLevel="4" x14ac:dyDescent="0.2">
      <c r="A122" s="227"/>
      <c r="B122" s="228" t="s">
        <v>19</v>
      </c>
      <c r="C122" s="229">
        <f t="shared" si="39"/>
        <v>1</v>
      </c>
      <c r="D122" s="227" t="str">
        <f t="shared" si="52"/>
        <v/>
      </c>
      <c r="E122" s="228" t="str">
        <f t="shared" ca="1" si="53"/>
        <v>02.002.003.002</v>
      </c>
      <c r="F122" s="230">
        <f ca="1">IF($B122="UNIDADE CONSTRUTIVA",OFFSET(F122,-1,0)+1,LARGE(F$10:F121,1))</f>
        <v>1</v>
      </c>
      <c r="G122" s="228" t="str">
        <f t="shared" ca="1" si="54"/>
        <v xml:space="preserve">   GERENCIAMENTO TÉCNICO E ADMINISTRATIVO</v>
      </c>
      <c r="H122" s="230">
        <f t="shared" ca="1" si="55"/>
        <v>2</v>
      </c>
      <c r="I122" s="228" t="str">
        <f t="shared" ca="1" si="56"/>
        <v xml:space="preserve">   GERENCIAMENTO ADMINISTRATIVO</v>
      </c>
      <c r="J122" s="230">
        <f t="shared" ca="1" si="57"/>
        <v>2</v>
      </c>
      <c r="K122" s="228" t="str">
        <f t="shared" ca="1" si="58"/>
        <v xml:space="preserve">   ADMINISTRAÇÃO | CANTEIRO DE OBRAS</v>
      </c>
      <c r="L122" s="231">
        <f t="shared" ca="1" si="59"/>
        <v>3</v>
      </c>
      <c r="M122" s="228" t="str">
        <f t="shared" ca="1" si="60"/>
        <v xml:space="preserve">   Despesas de Consumo e Manutenção</v>
      </c>
      <c r="N122" s="231">
        <f t="shared" ca="1" si="61"/>
        <v>2</v>
      </c>
      <c r="O122" s="228" t="str">
        <f t="shared" ca="1" si="62"/>
        <v>Despesas de consumo - Equipamentos de Escritório</v>
      </c>
      <c r="P122" s="232" t="str">
        <f>IF(S122="","",IF(Orçamento!$B122="INSUMO",S122,""))</f>
        <v>EQUIPAMENTOS DE ESCRITÓRIO</v>
      </c>
      <c r="Q122" s="244" t="str">
        <f t="shared" si="63"/>
        <v/>
      </c>
      <c r="R122" s="234">
        <f t="shared" ca="1" si="64"/>
        <v>1</v>
      </c>
      <c r="S122" s="233" t="s">
        <v>815</v>
      </c>
      <c r="T122" s="242" t="str">
        <f>_xlfn.XLOOKUP(S122,Insumos!$A$3:$A$371,Insumos!$B$3:$B$371)</f>
        <v>VB</v>
      </c>
      <c r="U122" s="235">
        <f t="shared" ca="1" si="66"/>
        <v>1</v>
      </c>
      <c r="V122" s="320">
        <v>1</v>
      </c>
      <c r="W122" s="236">
        <f>IFERROR(IF(B122="INSUMO",_xlfn.XLOOKUP(S122,Insumos!A:A,Insumos!C:C),""),"Inserir Preço")</f>
        <v>27000</v>
      </c>
      <c r="X122" s="235">
        <f t="shared" ca="1" si="65"/>
        <v>1</v>
      </c>
      <c r="Y122" s="236">
        <f t="shared" si="46"/>
        <v>27000</v>
      </c>
      <c r="Z122" s="237">
        <f t="shared" ca="1" si="41"/>
        <v>27000</v>
      </c>
      <c r="AA122" s="238"/>
      <c r="AB122" s="233" t="str">
        <f>IF(B122="insumo",_xlfn.XLOOKUP(S122,Insumos!A:A,Insumos!D:D),"")</f>
        <v>Base de dados</v>
      </c>
      <c r="AC122" s="239">
        <f t="shared" ca="1" si="42"/>
        <v>3.8733961645220998E-3</v>
      </c>
      <c r="AE122" s="240">
        <f ca="1">IFERROR(IF(OR(Z122="",Z122=0),"",IF(AF122="","",IF(AF122="R$/mês",Z122/OBRA!$D$12,IF(AF122="R$/m²",Z122/OBRA!$D$10,IF(AF122="R$/apto",Orçamento!Z122/OBRA!$D$11,""))))),"")</f>
        <v>13.894392326178579</v>
      </c>
      <c r="AF122" s="241" t="s">
        <v>154</v>
      </c>
    </row>
    <row r="123" spans="1:34" s="10" customFormat="1" ht="12" hidden="1" customHeight="1" outlineLevel="4" x14ac:dyDescent="0.2">
      <c r="A123" s="227"/>
      <c r="B123" s="228" t="s">
        <v>4</v>
      </c>
      <c r="C123" s="229">
        <f t="shared" si="39"/>
        <v>1</v>
      </c>
      <c r="D123" s="227" t="str">
        <f ca="1">IF(B123="Unidade Construtiva",TEXT(F123,"00"),IF(B123="Célula Construtiva",TEXT(H123,"00"),IF(B123="Etapa",CONCATENATE(TEXT(H123,"00"),".",TEXT(J123,"000")),IF(B123="Subetapa",CONCATENATE(TEXT(H123,"00"),".",TEXT(J123,"000"),".",TEXT(L123,"000")),IF(B123="Serviço",CONCATENATE(TEXT(H123,"00"),".",TEXT(J123,"000"),".",TEXT(L123,"000"),".",TEXT(N123,"000")),"")))))</f>
        <v>02.002.003.003</v>
      </c>
      <c r="E123" s="228" t="str">
        <f ca="1">IF(B123="*","",IFERROR(IF(B123="SERVIÇO",D123,OFFSET(E123,-1,0)),""))</f>
        <v>02.002.003.003</v>
      </c>
      <c r="F123" s="230">
        <f ca="1">IF($B123="UNIDADE CONSTRUTIVA",OFFSET(F123,-1,0)+1,LARGE(F$10:F122,1))</f>
        <v>1</v>
      </c>
      <c r="G123" s="228" t="str">
        <f ca="1">IF(B123="*","",IF(B123="UNIDADE CONSTRUTIVA",S123,OFFSET(G123,-1,0)))</f>
        <v xml:space="preserve">   GERENCIAMENTO TÉCNICO E ADMINISTRATIVO</v>
      </c>
      <c r="H123" s="230">
        <f ca="1">IF(B123="UNIDADE CONSTRUTIVA",0,IF(B123="CÉLULA CONSTRUTIVA",OFFSET(H123,-1,0)+1,OFFSET(H123,-1,0)))</f>
        <v>2</v>
      </c>
      <c r="I123" s="228" t="str">
        <f ca="1">IF(B123="*","",IF(B123="CÉLULA CONSTRUTIVA",S123,OFFSET(I123,-1,0)))</f>
        <v xml:space="preserve">   GERENCIAMENTO ADMINISTRATIVO</v>
      </c>
      <c r="J123" s="230">
        <f ca="1">IF(B123="CÉLULA CONSTRUTIVA",0,IF(B123="ETAPA",OFFSET(J123,-1,0)+1,OFFSET(J123,-1,0)))</f>
        <v>2</v>
      </c>
      <c r="K123" s="228" t="str">
        <f ca="1">IF(B123="*","",IF(B123="ETAPA",S123,OFFSET(K123,-1,0)))</f>
        <v xml:space="preserve">   ADMINISTRAÇÃO | CANTEIRO DE OBRAS</v>
      </c>
      <c r="L123" s="231">
        <f ca="1">IF(B123="ETAPA",0,IF(B123="SUBETAPA",OFFSET(L123,-1,0)+1,OFFSET(L123,-1,0)))</f>
        <v>3</v>
      </c>
      <c r="M123" s="228" t="str">
        <f ca="1">IF(B123="*","",IF(B123="SUBETAPA",S123,OFFSET(M123,-1,0)))</f>
        <v xml:space="preserve">   Despesas de Consumo e Manutenção</v>
      </c>
      <c r="N123" s="231">
        <f ca="1">IF(B123="Subetapa",0,IF(B123="serviço",OFFSET(N123,-1,0)+1,OFFSET(N123,-1,0)))</f>
        <v>3</v>
      </c>
      <c r="O123" s="228" t="str">
        <f ca="1">IF(B123="*","",IF(B123="SERVIÇO",S123,OFFSET(O123,-1,0)))</f>
        <v>Despesas de consumo - Cópias</v>
      </c>
      <c r="P123" s="232" t="str">
        <f>IF(S123="","",IF(Orçamento!$B123="INSUMO",S123,""))</f>
        <v/>
      </c>
      <c r="Q123" s="244" t="str">
        <f>IF(B123="","",IF(B123="Serviço",S123,""))</f>
        <v>Despesas de consumo - Cópias</v>
      </c>
      <c r="R123" s="234">
        <f ca="1">IF(B123="serviço",U123,OFFSET(R123,-1,0))</f>
        <v>22</v>
      </c>
      <c r="S123" s="233" t="s">
        <v>929</v>
      </c>
      <c r="T123" s="242" t="s">
        <v>260</v>
      </c>
      <c r="U123" s="235">
        <f>OBRA!$D$12</f>
        <v>22</v>
      </c>
      <c r="V123" s="320" t="s">
        <v>35</v>
      </c>
      <c r="W123" s="236" t="str">
        <f>IFERROR(IF(B123="INSUMO",_xlfn.XLOOKUP(S123,Insumos!A:A,Insumos!C:C),""),"Inserir Preço")</f>
        <v/>
      </c>
      <c r="X123" s="235">
        <f ca="1">IF(B123="Complemento do insumo",V123,IF(R123="","",IF(B123="serviço",R123,IF(OR(B123="insumo"),V123*R123,""))))</f>
        <v>22</v>
      </c>
      <c r="Y123" s="236">
        <f t="shared" ca="1" si="46"/>
        <v>84</v>
      </c>
      <c r="Z123" s="237">
        <f t="shared" ca="1" si="41"/>
        <v>1848</v>
      </c>
      <c r="AA123" s="238"/>
      <c r="AB123" s="233" t="str">
        <f>IF(B123="insumo",_xlfn.XLOOKUP(S123,Insumos!A:A,Insumos!D:D),"")</f>
        <v/>
      </c>
      <c r="AC123" s="239">
        <f t="shared" ca="1" si="42"/>
        <v>2.6511244859395703E-4</v>
      </c>
      <c r="AE123" s="240">
        <f ca="1">IFERROR(IF(OR(Z123="",Z123=0),"",IF(AF123="","",IF(AF123="R$/mês",Z123/OBRA!$D$12,IF(AF123="R$/m²",Z123/OBRA!$D$10,IF(AF123="R$/apto",Orçamento!Z123/OBRA!$D$11,""))))),"")</f>
        <v>0.95099396365844491</v>
      </c>
      <c r="AF123" s="241" t="s">
        <v>154</v>
      </c>
    </row>
    <row r="124" spans="1:34" s="10" customFormat="1" ht="13.15" hidden="1" customHeight="1" outlineLevel="4" x14ac:dyDescent="0.2">
      <c r="A124" s="227"/>
      <c r="B124" s="228" t="s">
        <v>19</v>
      </c>
      <c r="C124" s="229">
        <f t="shared" si="39"/>
        <v>1</v>
      </c>
      <c r="D124" s="227" t="str">
        <f t="shared" si="52"/>
        <v/>
      </c>
      <c r="E124" s="228" t="str">
        <f t="shared" ca="1" si="53"/>
        <v>02.002.003.003</v>
      </c>
      <c r="F124" s="230">
        <f ca="1">IF($B124="UNIDADE CONSTRUTIVA",OFFSET(F124,-1,0)+1,LARGE(F$10:F123,1))</f>
        <v>1</v>
      </c>
      <c r="G124" s="228" t="str">
        <f t="shared" ca="1" si="54"/>
        <v xml:space="preserve">   GERENCIAMENTO TÉCNICO E ADMINISTRATIVO</v>
      </c>
      <c r="H124" s="230">
        <f t="shared" ca="1" si="55"/>
        <v>2</v>
      </c>
      <c r="I124" s="228" t="str">
        <f t="shared" ca="1" si="56"/>
        <v xml:space="preserve">   GERENCIAMENTO ADMINISTRATIVO</v>
      </c>
      <c r="J124" s="230">
        <f t="shared" ca="1" si="57"/>
        <v>2</v>
      </c>
      <c r="K124" s="228" t="str">
        <f t="shared" ca="1" si="58"/>
        <v xml:space="preserve">   ADMINISTRAÇÃO | CANTEIRO DE OBRAS</v>
      </c>
      <c r="L124" s="231">
        <f t="shared" ca="1" si="59"/>
        <v>3</v>
      </c>
      <c r="M124" s="228" t="str">
        <f t="shared" ca="1" si="60"/>
        <v xml:space="preserve">   Despesas de Consumo e Manutenção</v>
      </c>
      <c r="N124" s="231">
        <f t="shared" ca="1" si="61"/>
        <v>3</v>
      </c>
      <c r="O124" s="228" t="str">
        <f t="shared" ca="1" si="62"/>
        <v>Despesas de consumo - Cópias</v>
      </c>
      <c r="P124" s="232" t="str">
        <f>IF(S124="","",IF(Orçamento!$B124="INSUMO",S124,""))</f>
        <v>CÓPIAS E PLOTAGENS</v>
      </c>
      <c r="Q124" s="244" t="str">
        <f t="shared" si="63"/>
        <v/>
      </c>
      <c r="R124" s="234">
        <f t="shared" ca="1" si="64"/>
        <v>22</v>
      </c>
      <c r="S124" s="233" t="s">
        <v>818</v>
      </c>
      <c r="T124" s="242" t="str">
        <f>_xlfn.XLOOKUP(S124,Insumos!$A$3:$A$371,Insumos!$B$3:$B$371)</f>
        <v>MÊS</v>
      </c>
      <c r="U124" s="235">
        <f t="shared" ca="1" si="66"/>
        <v>22</v>
      </c>
      <c r="V124" s="320">
        <v>1</v>
      </c>
      <c r="W124" s="236">
        <f>IFERROR(IF(B124="INSUMO",_xlfn.XLOOKUP(S124,Insumos!A:A,Insumos!C:C),""),"Inserir Preço")</f>
        <v>84</v>
      </c>
      <c r="X124" s="235">
        <f t="shared" ca="1" si="65"/>
        <v>22</v>
      </c>
      <c r="Y124" s="236">
        <f t="shared" si="46"/>
        <v>84</v>
      </c>
      <c r="Z124" s="237">
        <f t="shared" ca="1" si="41"/>
        <v>1848</v>
      </c>
      <c r="AA124" s="238"/>
      <c r="AB124" s="233" t="str">
        <f>IF(B124="insumo",_xlfn.XLOOKUP(S124,Insumos!A:A,Insumos!D:D),"")</f>
        <v>Base de dados</v>
      </c>
      <c r="AC124" s="239">
        <f t="shared" ca="1" si="42"/>
        <v>2.6511244859395703E-4</v>
      </c>
      <c r="AE124" s="240">
        <f ca="1">IFERROR(IF(OR(Z124="",Z124=0),"",IF(AF124="","",IF(AF124="R$/mês",Z124/OBRA!$D$12,IF(AF124="R$/m²",Z124/OBRA!$D$10,IF(AF124="R$/apto",Orçamento!Z124/OBRA!$D$11,""))))),"")</f>
        <v>0.95099396365844491</v>
      </c>
      <c r="AF124" s="241" t="s">
        <v>154</v>
      </c>
    </row>
    <row r="125" spans="1:34" s="10" customFormat="1" ht="12" hidden="1" customHeight="1" outlineLevel="4" x14ac:dyDescent="0.2">
      <c r="A125" s="227"/>
      <c r="B125" s="228" t="s">
        <v>4</v>
      </c>
      <c r="C125" s="229">
        <f t="shared" si="39"/>
        <v>1</v>
      </c>
      <c r="D125" s="227" t="str">
        <f t="shared" ca="1" si="52"/>
        <v>02.002.003.004</v>
      </c>
      <c r="E125" s="228" t="str">
        <f t="shared" ca="1" si="53"/>
        <v>02.002.003.004</v>
      </c>
      <c r="F125" s="230">
        <f ca="1">IF($B125="UNIDADE CONSTRUTIVA",OFFSET(F125,-1,0)+1,LARGE(F$10:F124,1))</f>
        <v>1</v>
      </c>
      <c r="G125" s="228" t="str">
        <f t="shared" ca="1" si="54"/>
        <v xml:space="preserve">   GERENCIAMENTO TÉCNICO E ADMINISTRATIVO</v>
      </c>
      <c r="H125" s="230">
        <f t="shared" ca="1" si="55"/>
        <v>2</v>
      </c>
      <c r="I125" s="228" t="str">
        <f t="shared" ca="1" si="56"/>
        <v xml:space="preserve">   GERENCIAMENTO ADMINISTRATIVO</v>
      </c>
      <c r="J125" s="230">
        <f t="shared" ca="1" si="57"/>
        <v>2</v>
      </c>
      <c r="K125" s="228" t="str">
        <f t="shared" ca="1" si="58"/>
        <v xml:space="preserve">   ADMINISTRAÇÃO | CANTEIRO DE OBRAS</v>
      </c>
      <c r="L125" s="231">
        <f t="shared" ca="1" si="59"/>
        <v>3</v>
      </c>
      <c r="M125" s="228" t="str">
        <f t="shared" ca="1" si="60"/>
        <v xml:space="preserve">   Despesas de Consumo e Manutenção</v>
      </c>
      <c r="N125" s="231">
        <f t="shared" ca="1" si="61"/>
        <v>4</v>
      </c>
      <c r="O125" s="228" t="str">
        <f t="shared" ca="1" si="62"/>
        <v>Despesas de consumo - Gerenciamento Eletronico</v>
      </c>
      <c r="P125" s="232" t="str">
        <f>IF(S125="","",IF(Orçamento!$B125="INSUMO",S125,""))</f>
        <v/>
      </c>
      <c r="Q125" s="244" t="str">
        <f t="shared" si="63"/>
        <v>Despesas de consumo - Gerenciamento Eletronico</v>
      </c>
      <c r="R125" s="234">
        <f t="shared" ca="1" si="64"/>
        <v>22</v>
      </c>
      <c r="S125" s="233" t="s">
        <v>930</v>
      </c>
      <c r="T125" s="242" t="s">
        <v>260</v>
      </c>
      <c r="U125" s="235">
        <f>OBRA!$D$12</f>
        <v>22</v>
      </c>
      <c r="V125" s="320" t="s">
        <v>35</v>
      </c>
      <c r="W125" s="236" t="str">
        <f>IFERROR(IF(B125="INSUMO",_xlfn.XLOOKUP(S125,Insumos!A:A,Insumos!C:C),""),"Inserir Preço")</f>
        <v/>
      </c>
      <c r="X125" s="235">
        <f t="shared" ca="1" si="65"/>
        <v>22</v>
      </c>
      <c r="Y125" s="236">
        <f t="shared" ca="1" si="46"/>
        <v>130</v>
      </c>
      <c r="Z125" s="237">
        <f t="shared" ca="1" si="41"/>
        <v>2860</v>
      </c>
      <c r="AA125" s="238"/>
      <c r="AB125" s="233" t="str">
        <f>IF(B125="insumo",_xlfn.XLOOKUP(S125,Insumos!A:A,Insumos!D:D),"")</f>
        <v/>
      </c>
      <c r="AC125" s="239">
        <f t="shared" ca="1" si="42"/>
        <v>4.1029307520493353E-4</v>
      </c>
      <c r="AE125" s="240">
        <f ca="1">IFERROR(IF(OR(Z125="",Z125=0),"",IF(AF125="","",IF(AF125="R$/mês",Z125/OBRA!$D$12,IF(AF125="R$/m²",Z125/OBRA!$D$10,IF(AF125="R$/apto",Orçamento!Z125/OBRA!$D$11,""))))),"")</f>
        <v>1.4717763723285457</v>
      </c>
      <c r="AF125" s="241" t="s">
        <v>154</v>
      </c>
    </row>
    <row r="126" spans="1:34" s="10" customFormat="1" ht="13.15" hidden="1" customHeight="1" outlineLevel="4" x14ac:dyDescent="0.2">
      <c r="A126" s="227"/>
      <c r="B126" s="228" t="s">
        <v>19</v>
      </c>
      <c r="C126" s="229">
        <f t="shared" si="39"/>
        <v>1</v>
      </c>
      <c r="D126" s="227" t="str">
        <f t="shared" si="52"/>
        <v/>
      </c>
      <c r="E126" s="228" t="str">
        <f t="shared" ca="1" si="53"/>
        <v>02.002.003.004</v>
      </c>
      <c r="F126" s="230">
        <f ca="1">IF($B126="UNIDADE CONSTRUTIVA",OFFSET(F126,-1,0)+1,LARGE(F$10:F125,1))</f>
        <v>1</v>
      </c>
      <c r="G126" s="228" t="str">
        <f t="shared" ca="1" si="54"/>
        <v xml:space="preserve">   GERENCIAMENTO TÉCNICO E ADMINISTRATIVO</v>
      </c>
      <c r="H126" s="230">
        <f t="shared" ca="1" si="55"/>
        <v>2</v>
      </c>
      <c r="I126" s="228" t="str">
        <f t="shared" ca="1" si="56"/>
        <v xml:space="preserve">   GERENCIAMENTO ADMINISTRATIVO</v>
      </c>
      <c r="J126" s="230">
        <f t="shared" ca="1" si="57"/>
        <v>2</v>
      </c>
      <c r="K126" s="228" t="str">
        <f t="shared" ca="1" si="58"/>
        <v xml:space="preserve">   ADMINISTRAÇÃO | CANTEIRO DE OBRAS</v>
      </c>
      <c r="L126" s="231">
        <f t="shared" ca="1" si="59"/>
        <v>3</v>
      </c>
      <c r="M126" s="228" t="str">
        <f t="shared" ca="1" si="60"/>
        <v xml:space="preserve">   Despesas de Consumo e Manutenção</v>
      </c>
      <c r="N126" s="231">
        <f t="shared" ca="1" si="61"/>
        <v>4</v>
      </c>
      <c r="O126" s="228" t="str">
        <f t="shared" ca="1" si="62"/>
        <v>Despesas de consumo - Gerenciamento Eletronico</v>
      </c>
      <c r="P126" s="232" t="str">
        <f>IF(S126="","",IF(Orçamento!$B126="INSUMO",S126,""))</f>
        <v>GERENCIAMENTO ELETRÔNICO</v>
      </c>
      <c r="Q126" s="244" t="str">
        <f t="shared" si="63"/>
        <v/>
      </c>
      <c r="R126" s="234">
        <f t="shared" ca="1" si="64"/>
        <v>22</v>
      </c>
      <c r="S126" s="233" t="s">
        <v>819</v>
      </c>
      <c r="T126" s="242" t="str">
        <f>_xlfn.XLOOKUP(S126,Insumos!$A$3:$A$371,Insumos!$B$3:$B$371)</f>
        <v>MÊS</v>
      </c>
      <c r="U126" s="235">
        <f t="shared" ca="1" si="66"/>
        <v>22</v>
      </c>
      <c r="V126" s="320">
        <v>1</v>
      </c>
      <c r="W126" s="236">
        <f>IFERROR(IF(B126="INSUMO",_xlfn.XLOOKUP(S126,Insumos!A:A,Insumos!C:C),""),"Inserir Preço")</f>
        <v>130</v>
      </c>
      <c r="X126" s="235">
        <f t="shared" ca="1" si="65"/>
        <v>22</v>
      </c>
      <c r="Y126" s="236">
        <f t="shared" si="46"/>
        <v>130</v>
      </c>
      <c r="Z126" s="237">
        <f t="shared" ca="1" si="41"/>
        <v>2860</v>
      </c>
      <c r="AA126" s="238"/>
      <c r="AB126" s="233" t="str">
        <f>IF(B126="insumo",_xlfn.XLOOKUP(S126,Insumos!A:A,Insumos!D:D),"")</f>
        <v>Base de dados</v>
      </c>
      <c r="AC126" s="239">
        <f t="shared" ca="1" si="42"/>
        <v>4.1029307520493353E-4</v>
      </c>
      <c r="AE126" s="240">
        <f ca="1">IFERROR(IF(OR(Z126="",Z126=0),"",IF(AF126="","",IF(AF126="R$/mês",Z126/OBRA!$D$12,IF(AF126="R$/m²",Z126/OBRA!$D$10,IF(AF126="R$/apto",Orçamento!Z126/OBRA!$D$11,""))))),"")</f>
        <v>1.4717763723285457</v>
      </c>
      <c r="AF126" s="241" t="s">
        <v>154</v>
      </c>
    </row>
    <row r="127" spans="1:34" s="10" customFormat="1" ht="12" hidden="1" customHeight="1" outlineLevel="4" x14ac:dyDescent="0.2">
      <c r="A127" s="227"/>
      <c r="B127" s="228" t="s">
        <v>4</v>
      </c>
      <c r="C127" s="229">
        <f t="shared" si="39"/>
        <v>1</v>
      </c>
      <c r="D127" s="227" t="str">
        <f t="shared" ref="D127:D154" ca="1" si="67">IF(B127="Unidade Construtiva",TEXT(F127,"00"),IF(B127="Célula Construtiva",TEXT(H127,"00"),IF(B127="Etapa",CONCATENATE(TEXT(H127,"00"),".",TEXT(J127,"000")),IF(B127="Subetapa",CONCATENATE(TEXT(H127,"00"),".",TEXT(J127,"000"),".",TEXT(L127,"000")),IF(B127="Serviço",CONCATENATE(TEXT(H127,"00"),".",TEXT(J127,"000"),".",TEXT(L127,"000"),".",TEXT(N127,"000")),"")))))</f>
        <v>02.002.003.005</v>
      </c>
      <c r="E127" s="228" t="str">
        <f ca="1">IF(B127="*","",IFERROR(IF(B127="SERVIÇO",D127,OFFSET(E127,-1,0)),""))</f>
        <v>02.002.003.005</v>
      </c>
      <c r="F127" s="230">
        <f ca="1">IF($B127="UNIDADE CONSTRUTIVA",OFFSET(F127,-1,0)+1,LARGE(F$10:F126,1))</f>
        <v>1</v>
      </c>
      <c r="G127" s="228" t="str">
        <f t="shared" ref="G127:G154" ca="1" si="68">IF(B127="*","",IF(B127="UNIDADE CONSTRUTIVA",S127,OFFSET(G127,-1,0)))</f>
        <v xml:space="preserve">   GERENCIAMENTO TÉCNICO E ADMINISTRATIVO</v>
      </c>
      <c r="H127" s="230">
        <f ca="1">IF(B127="UNIDADE CONSTRUTIVA",0,IF(B127="CÉLULA CONSTRUTIVA",OFFSET(H127,-1,0)+1,OFFSET(H127,-1,0)))</f>
        <v>2</v>
      </c>
      <c r="I127" s="228" t="str">
        <f t="shared" ref="I127:I154" ca="1" si="69">IF(B127="*","",IF(B127="CÉLULA CONSTRUTIVA",S127,OFFSET(I127,-1,0)))</f>
        <v xml:space="preserve">   GERENCIAMENTO ADMINISTRATIVO</v>
      </c>
      <c r="J127" s="230">
        <f ca="1">IF(B127="CÉLULA CONSTRUTIVA",0,IF(B127="ETAPA",OFFSET(J127,-1,0)+1,OFFSET(J127,-1,0)))</f>
        <v>2</v>
      </c>
      <c r="K127" s="228" t="str">
        <f t="shared" ref="K127:K154" ca="1" si="70">IF(B127="*","",IF(B127="ETAPA",S127,OFFSET(K127,-1,0)))</f>
        <v xml:space="preserve">   ADMINISTRAÇÃO | CANTEIRO DE OBRAS</v>
      </c>
      <c r="L127" s="231">
        <f ca="1">IF(B127="ETAPA",0,IF(B127="SUBETAPA",OFFSET(L127,-1,0)+1,OFFSET(L127,-1,0)))</f>
        <v>3</v>
      </c>
      <c r="M127" s="228" t="str">
        <f t="shared" ref="M127:M154" ca="1" si="71">IF(B127="*","",IF(B127="SUBETAPA",S127,OFFSET(M127,-1,0)))</f>
        <v xml:space="preserve">   Despesas de Consumo e Manutenção</v>
      </c>
      <c r="N127" s="231">
        <f ca="1">IF(B127="Subetapa",0,IF(B127="serviço",OFFSET(N127,-1,0)+1,OFFSET(N127,-1,0)))</f>
        <v>5</v>
      </c>
      <c r="O127" s="228" t="str">
        <f t="shared" ref="O127:O154" ca="1" si="72">IF(B127="*","",IF(B127="SERVIÇO",S127,OFFSET(O127,-1,0)))</f>
        <v>Despesas de consumo - Água</v>
      </c>
      <c r="P127" s="232" t="str">
        <f>IF(S127="","",IF(Orçamento!$B127="INSUMO",S127,""))</f>
        <v/>
      </c>
      <c r="Q127" s="244" t="str">
        <f t="shared" ref="Q127:Q154" si="73">IF(B127="","",IF(B127="Serviço",S127,""))</f>
        <v>Despesas de consumo - Água</v>
      </c>
      <c r="R127" s="234">
        <f ca="1">IF(B127="serviço",U127,OFFSET(R127,-1,0))</f>
        <v>22</v>
      </c>
      <c r="S127" s="233" t="s">
        <v>926</v>
      </c>
      <c r="T127" s="242" t="s">
        <v>260</v>
      </c>
      <c r="U127" s="235">
        <f>OBRA!$D$12</f>
        <v>22</v>
      </c>
      <c r="V127" s="320" t="s">
        <v>35</v>
      </c>
      <c r="W127" s="236" t="str">
        <f>IFERROR(IF(B127="INSUMO",_xlfn.XLOOKUP(S127,Insumos!A:A,Insumos!C:C),""),"Inserir Preço")</f>
        <v/>
      </c>
      <c r="X127" s="235">
        <f t="shared" ref="X127:X154" ca="1" si="74">IF(B127="Complemento do insumo",V127,IF(R127="","",IF(B127="serviço",R127,IF(OR(B127="insumo"),V127*R127,""))))</f>
        <v>22</v>
      </c>
      <c r="Y127" s="236">
        <f t="shared" ca="1" si="46"/>
        <v>350</v>
      </c>
      <c r="Z127" s="237">
        <f t="shared" ca="1" si="41"/>
        <v>7700</v>
      </c>
      <c r="AA127" s="238"/>
      <c r="AB127" s="233" t="str">
        <f>IF(B127="insumo",_xlfn.XLOOKUP(S127,Insumos!A:A,Insumos!D:D),"")</f>
        <v/>
      </c>
      <c r="AC127" s="239">
        <f t="shared" ca="1" si="42"/>
        <v>1.1046352024748211E-3</v>
      </c>
      <c r="AE127" s="240">
        <f ca="1">IFERROR(IF(OR(Z127="",Z127=0),"",IF(AF127="","",IF(AF127="R$/mês",Z127/OBRA!$D$12,IF(AF127="R$/m²",Z127/OBRA!$D$10,IF(AF127="R$/apto",Orçamento!Z127/OBRA!$D$11,""))))),"")</f>
        <v>3.9624748485768539</v>
      </c>
      <c r="AF127" s="241" t="s">
        <v>154</v>
      </c>
    </row>
    <row r="128" spans="1:34" s="10" customFormat="1" ht="13.15" hidden="1" customHeight="1" outlineLevel="4" x14ac:dyDescent="0.2">
      <c r="A128" s="227"/>
      <c r="B128" s="228" t="s">
        <v>19</v>
      </c>
      <c r="C128" s="229">
        <f t="shared" si="39"/>
        <v>1</v>
      </c>
      <c r="D128" s="227" t="str">
        <f t="shared" si="67"/>
        <v/>
      </c>
      <c r="E128" s="228" t="str">
        <f t="shared" ca="1" si="47"/>
        <v>02.002.003.005</v>
      </c>
      <c r="F128" s="230">
        <f ca="1">IF($B128="UNIDADE CONSTRUTIVA",OFFSET(F128,-1,0)+1,LARGE(F$10:F127,1))</f>
        <v>1</v>
      </c>
      <c r="G128" s="228" t="str">
        <f t="shared" ca="1" si="68"/>
        <v xml:space="preserve">   GERENCIAMENTO TÉCNICO E ADMINISTRATIVO</v>
      </c>
      <c r="H128" s="230">
        <f t="shared" ca="1" si="48"/>
        <v>2</v>
      </c>
      <c r="I128" s="228" t="str">
        <f t="shared" ca="1" si="69"/>
        <v xml:space="preserve">   GERENCIAMENTO ADMINISTRATIVO</v>
      </c>
      <c r="J128" s="230">
        <f t="shared" ca="1" si="49"/>
        <v>2</v>
      </c>
      <c r="K128" s="228" t="str">
        <f t="shared" ca="1" si="70"/>
        <v xml:space="preserve">   ADMINISTRAÇÃO | CANTEIRO DE OBRAS</v>
      </c>
      <c r="L128" s="231">
        <f t="shared" ca="1" si="50"/>
        <v>3</v>
      </c>
      <c r="M128" s="228" t="str">
        <f t="shared" ca="1" si="71"/>
        <v xml:space="preserve">   Despesas de Consumo e Manutenção</v>
      </c>
      <c r="N128" s="231">
        <f t="shared" ca="1" si="51"/>
        <v>5</v>
      </c>
      <c r="O128" s="228" t="str">
        <f t="shared" ca="1" si="72"/>
        <v>Despesas de consumo - Água</v>
      </c>
      <c r="P128" s="232" t="str">
        <f>IF(S128="","",IF(Orçamento!$B128="INSUMO",S128,""))</f>
        <v>DESPESAS DE CONSUMO - AGUA</v>
      </c>
      <c r="Q128" s="244" t="str">
        <f t="shared" si="73"/>
        <v/>
      </c>
      <c r="R128" s="234">
        <f t="shared" ca="1" si="64"/>
        <v>22</v>
      </c>
      <c r="S128" s="233" t="s">
        <v>323</v>
      </c>
      <c r="T128" s="242" t="str">
        <f>_xlfn.XLOOKUP(S128,Insumos!$A$3:$A$371,Insumos!$B$3:$B$371)</f>
        <v>VB</v>
      </c>
      <c r="U128" s="235">
        <f t="shared" ca="1" si="66"/>
        <v>22</v>
      </c>
      <c r="V128" s="320">
        <v>1</v>
      </c>
      <c r="W128" s="236">
        <f>IFERROR(IF(B128="INSUMO",_xlfn.XLOOKUP(S128,Insumos!A:A,Insumos!C:C),""),"Inserir Preço")</f>
        <v>350</v>
      </c>
      <c r="X128" s="235">
        <f t="shared" ca="1" si="74"/>
        <v>22</v>
      </c>
      <c r="Y128" s="236">
        <f t="shared" si="46"/>
        <v>350</v>
      </c>
      <c r="Z128" s="237">
        <f t="shared" ca="1" si="41"/>
        <v>7700</v>
      </c>
      <c r="AA128" s="238"/>
      <c r="AB128" s="233" t="str">
        <f>IF(B128="insumo",_xlfn.XLOOKUP(S128,Insumos!A:A,Insumos!D:D),"")</f>
        <v xml:space="preserve"> </v>
      </c>
      <c r="AC128" s="239">
        <f t="shared" ca="1" si="42"/>
        <v>1.1046352024748211E-3</v>
      </c>
      <c r="AE128" s="240">
        <f ca="1">IFERROR(IF(OR(Z128="",Z128=0),"",IF(AF128="","",IF(AF128="R$/mês",Z128/OBRA!$D$12,IF(AF128="R$/m²",Z128/OBRA!$D$10,IF(AF128="R$/apto",Orçamento!Z128/OBRA!$D$11,""))))),"")</f>
        <v>3.9624748485768539</v>
      </c>
      <c r="AF128" s="241" t="s">
        <v>154</v>
      </c>
    </row>
    <row r="129" spans="1:32" s="10" customFormat="1" ht="12" hidden="1" customHeight="1" outlineLevel="4" x14ac:dyDescent="0.2">
      <c r="A129" s="227"/>
      <c r="B129" s="228" t="s">
        <v>4</v>
      </c>
      <c r="C129" s="229">
        <f t="shared" si="39"/>
        <v>1</v>
      </c>
      <c r="D129" s="227" t="str">
        <f t="shared" ca="1" si="67"/>
        <v>02.002.003.006</v>
      </c>
      <c r="E129" s="228" t="str">
        <f t="shared" ca="1" si="47"/>
        <v>02.002.003.006</v>
      </c>
      <c r="F129" s="230">
        <f ca="1">IF($B129="UNIDADE CONSTRUTIVA",OFFSET(F129,-1,0)+1,LARGE(F$10:F128,1))</f>
        <v>1</v>
      </c>
      <c r="G129" s="228" t="str">
        <f t="shared" ca="1" si="68"/>
        <v xml:space="preserve">   GERENCIAMENTO TÉCNICO E ADMINISTRATIVO</v>
      </c>
      <c r="H129" s="230">
        <f t="shared" ca="1" si="48"/>
        <v>2</v>
      </c>
      <c r="I129" s="228" t="str">
        <f t="shared" ca="1" si="69"/>
        <v xml:space="preserve">   GERENCIAMENTO ADMINISTRATIVO</v>
      </c>
      <c r="J129" s="230">
        <f t="shared" ca="1" si="49"/>
        <v>2</v>
      </c>
      <c r="K129" s="228" t="str">
        <f t="shared" ca="1" si="70"/>
        <v xml:space="preserve">   ADMINISTRAÇÃO | CANTEIRO DE OBRAS</v>
      </c>
      <c r="L129" s="231">
        <f t="shared" ca="1" si="50"/>
        <v>3</v>
      </c>
      <c r="M129" s="228" t="str">
        <f t="shared" ca="1" si="71"/>
        <v xml:space="preserve">   Despesas de Consumo e Manutenção</v>
      </c>
      <c r="N129" s="231">
        <f t="shared" ca="1" si="51"/>
        <v>6</v>
      </c>
      <c r="O129" s="228" t="str">
        <f t="shared" ca="1" si="72"/>
        <v>Despesas de consumo - Energia</v>
      </c>
      <c r="P129" s="232" t="str">
        <f>IF(S129="","",IF(Orçamento!$B129="INSUMO",S129,""))</f>
        <v/>
      </c>
      <c r="Q129" s="244" t="str">
        <f t="shared" si="73"/>
        <v>Despesas de consumo - Energia</v>
      </c>
      <c r="R129" s="234">
        <f t="shared" ca="1" si="64"/>
        <v>22</v>
      </c>
      <c r="S129" s="233" t="s">
        <v>925</v>
      </c>
      <c r="T129" s="242" t="s">
        <v>260</v>
      </c>
      <c r="U129" s="235">
        <f>OBRA!$D$12</f>
        <v>22</v>
      </c>
      <c r="V129" s="320" t="s">
        <v>35</v>
      </c>
      <c r="W129" s="236" t="str">
        <f>IFERROR(IF(B129="INSUMO",_xlfn.XLOOKUP(S129,Insumos!A:A,Insumos!C:C),""),"Inserir Preço")</f>
        <v/>
      </c>
      <c r="X129" s="235">
        <f t="shared" ca="1" si="74"/>
        <v>22</v>
      </c>
      <c r="Y129" s="236">
        <f t="shared" ca="1" si="46"/>
        <v>400</v>
      </c>
      <c r="Z129" s="237">
        <f t="shared" ca="1" si="41"/>
        <v>8800</v>
      </c>
      <c r="AA129" s="238"/>
      <c r="AB129" s="233" t="str">
        <f>IF(B129="insumo",_xlfn.XLOOKUP(S129,Insumos!A:A,Insumos!D:D),"")</f>
        <v/>
      </c>
      <c r="AC129" s="239">
        <f t="shared" ca="1" si="42"/>
        <v>1.2624402313997955E-3</v>
      </c>
      <c r="AE129" s="240">
        <f ca="1">IFERROR(IF(OR(Z129="",Z129=0),"",IF(AF129="","",IF(AF129="R$/mês",Z129/OBRA!$D$12,IF(AF129="R$/m²",Z129/OBRA!$D$10,IF(AF129="R$/apto",Orçamento!Z129/OBRA!$D$11,""))))),"")</f>
        <v>4.5285426840878333</v>
      </c>
      <c r="AF129" s="241" t="s">
        <v>154</v>
      </c>
    </row>
    <row r="130" spans="1:32" s="10" customFormat="1" ht="13.15" hidden="1" customHeight="1" outlineLevel="4" x14ac:dyDescent="0.2">
      <c r="A130" s="227"/>
      <c r="B130" s="228" t="s">
        <v>19</v>
      </c>
      <c r="C130" s="229">
        <f t="shared" si="39"/>
        <v>1</v>
      </c>
      <c r="D130" s="227" t="str">
        <f t="shared" si="67"/>
        <v/>
      </c>
      <c r="E130" s="228" t="str">
        <f t="shared" ca="1" si="47"/>
        <v>02.002.003.006</v>
      </c>
      <c r="F130" s="230">
        <f ca="1">IF($B130="UNIDADE CONSTRUTIVA",OFFSET(F130,-1,0)+1,LARGE(F$10:F129,1))</f>
        <v>1</v>
      </c>
      <c r="G130" s="228" t="str">
        <f t="shared" ca="1" si="68"/>
        <v xml:space="preserve">   GERENCIAMENTO TÉCNICO E ADMINISTRATIVO</v>
      </c>
      <c r="H130" s="230">
        <f t="shared" ca="1" si="48"/>
        <v>2</v>
      </c>
      <c r="I130" s="228" t="str">
        <f t="shared" ca="1" si="69"/>
        <v xml:space="preserve">   GERENCIAMENTO ADMINISTRATIVO</v>
      </c>
      <c r="J130" s="230">
        <f t="shared" ca="1" si="49"/>
        <v>2</v>
      </c>
      <c r="K130" s="228" t="str">
        <f t="shared" ca="1" si="70"/>
        <v xml:space="preserve">   ADMINISTRAÇÃO | CANTEIRO DE OBRAS</v>
      </c>
      <c r="L130" s="231">
        <f t="shared" ca="1" si="50"/>
        <v>3</v>
      </c>
      <c r="M130" s="228" t="str">
        <f t="shared" ca="1" si="71"/>
        <v xml:space="preserve">   Despesas de Consumo e Manutenção</v>
      </c>
      <c r="N130" s="231">
        <f t="shared" ca="1" si="51"/>
        <v>6</v>
      </c>
      <c r="O130" s="228" t="str">
        <f t="shared" ca="1" si="72"/>
        <v>Despesas de consumo - Energia</v>
      </c>
      <c r="P130" s="232" t="str">
        <f>IF(S130="","",IF(Orçamento!$B130="INSUMO",S130,""))</f>
        <v>DESPESAS DE CONSUMO - ENERGIA</v>
      </c>
      <c r="Q130" s="244" t="str">
        <f t="shared" si="73"/>
        <v/>
      </c>
      <c r="R130" s="234">
        <f t="shared" ca="1" si="64"/>
        <v>22</v>
      </c>
      <c r="S130" s="233" t="s">
        <v>304</v>
      </c>
      <c r="T130" s="242" t="str">
        <f>_xlfn.XLOOKUP(S130,Insumos!$A$3:$A$371,Insumos!$B$3:$B$371)</f>
        <v>VB</v>
      </c>
      <c r="U130" s="235">
        <f t="shared" ca="1" si="66"/>
        <v>22</v>
      </c>
      <c r="V130" s="320">
        <v>1</v>
      </c>
      <c r="W130" s="236">
        <f>IFERROR(IF(B130="INSUMO",_xlfn.XLOOKUP(S130,Insumos!A:A,Insumos!C:C),""),"Inserir Preço")</f>
        <v>400</v>
      </c>
      <c r="X130" s="235">
        <f t="shared" ca="1" si="74"/>
        <v>22</v>
      </c>
      <c r="Y130" s="236">
        <f t="shared" si="46"/>
        <v>400</v>
      </c>
      <c r="Z130" s="237">
        <f t="shared" ca="1" si="41"/>
        <v>8800</v>
      </c>
      <c r="AA130" s="238"/>
      <c r="AB130" s="233">
        <f>IF(B130="insumo",_xlfn.XLOOKUP(S130,Insumos!A:A,Insumos!D:D),"")</f>
        <v>0</v>
      </c>
      <c r="AC130" s="239">
        <f t="shared" ca="1" si="42"/>
        <v>1.2624402313997955E-3</v>
      </c>
      <c r="AE130" s="240">
        <f ca="1">IFERROR(IF(OR(Z130="",Z130=0),"",IF(AF130="","",IF(AF130="R$/mês",Z130/OBRA!$D$12,IF(AF130="R$/m²",Z130/OBRA!$D$10,IF(AF130="R$/apto",Orçamento!Z130/OBRA!$D$11,""))))),"")</f>
        <v>4.5285426840878333</v>
      </c>
      <c r="AF130" s="241" t="s">
        <v>154</v>
      </c>
    </row>
    <row r="131" spans="1:32" s="10" customFormat="1" ht="12" hidden="1" customHeight="1" outlineLevel="4" x14ac:dyDescent="0.2">
      <c r="A131" s="227"/>
      <c r="B131" s="228" t="s">
        <v>4</v>
      </c>
      <c r="C131" s="229">
        <f t="shared" si="39"/>
        <v>1</v>
      </c>
      <c r="D131" s="227" t="str">
        <f t="shared" ca="1" si="67"/>
        <v>02.002.003.007</v>
      </c>
      <c r="E131" s="228" t="str">
        <f ca="1">IF(B131="*","",IFERROR(IF(B131="SERVIÇO",D131,OFFSET(E131,-1,0)),""))</f>
        <v>02.002.003.007</v>
      </c>
      <c r="F131" s="230">
        <f ca="1">IF($B131="UNIDADE CONSTRUTIVA",OFFSET(F131,-1,0)+1,LARGE(F$10:F130,1))</f>
        <v>1</v>
      </c>
      <c r="G131" s="228" t="str">
        <f t="shared" ca="1" si="68"/>
        <v xml:space="preserve">   GERENCIAMENTO TÉCNICO E ADMINISTRATIVO</v>
      </c>
      <c r="H131" s="230">
        <f ca="1">IF(B131="UNIDADE CONSTRUTIVA",0,IF(B131="CÉLULA CONSTRUTIVA",OFFSET(H131,-1,0)+1,OFFSET(H131,-1,0)))</f>
        <v>2</v>
      </c>
      <c r="I131" s="228" t="str">
        <f t="shared" ca="1" si="69"/>
        <v xml:space="preserve">   GERENCIAMENTO ADMINISTRATIVO</v>
      </c>
      <c r="J131" s="230">
        <f ca="1">IF(B131="CÉLULA CONSTRUTIVA",0,IF(B131="ETAPA",OFFSET(J131,-1,0)+1,OFFSET(J131,-1,0)))</f>
        <v>2</v>
      </c>
      <c r="K131" s="228" t="str">
        <f t="shared" ca="1" si="70"/>
        <v xml:space="preserve">   ADMINISTRAÇÃO | CANTEIRO DE OBRAS</v>
      </c>
      <c r="L131" s="231">
        <f ca="1">IF(B131="ETAPA",0,IF(B131="SUBETAPA",OFFSET(L131,-1,0)+1,OFFSET(L131,-1,0)))</f>
        <v>3</v>
      </c>
      <c r="M131" s="228" t="str">
        <f t="shared" ca="1" si="71"/>
        <v xml:space="preserve">   Despesas de Consumo e Manutenção</v>
      </c>
      <c r="N131" s="231">
        <f ca="1">IF(B131="Subetapa",0,IF(B131="serviço",OFFSET(N131,-1,0)+1,OFFSET(N131,-1,0)))</f>
        <v>7</v>
      </c>
      <c r="O131" s="228" t="str">
        <f t="shared" ca="1" si="72"/>
        <v>Despesas de consumo - Internet</v>
      </c>
      <c r="P131" s="232" t="str">
        <f>IF(S131="","",IF(Orçamento!$B131="INSUMO",S131,""))</f>
        <v/>
      </c>
      <c r="Q131" s="244" t="str">
        <f t="shared" si="73"/>
        <v>Despesas de consumo - Internet</v>
      </c>
      <c r="R131" s="234">
        <f ca="1">IF(B131="serviço",U131,OFFSET(R131,-1,0))</f>
        <v>22</v>
      </c>
      <c r="S131" s="233" t="s">
        <v>924</v>
      </c>
      <c r="T131" s="242" t="s">
        <v>260</v>
      </c>
      <c r="U131" s="235">
        <f>OBRA!$D$12</f>
        <v>22</v>
      </c>
      <c r="V131" s="320" t="s">
        <v>35</v>
      </c>
      <c r="W131" s="236" t="str">
        <f>IFERROR(IF(B131="INSUMO",_xlfn.XLOOKUP(S131,Insumos!A:A,Insumos!C:C),""),"Inserir Preço")</f>
        <v/>
      </c>
      <c r="X131" s="235">
        <f t="shared" ca="1" si="74"/>
        <v>22</v>
      </c>
      <c r="Y131" s="236">
        <f t="shared" ca="1" si="46"/>
        <v>150</v>
      </c>
      <c r="Z131" s="237">
        <f t="shared" ca="1" si="41"/>
        <v>3300</v>
      </c>
      <c r="AA131" s="238"/>
      <c r="AB131" s="233" t="str">
        <f>IF(B131="insumo",_xlfn.XLOOKUP(S131,Insumos!A:A,Insumos!D:D),"")</f>
        <v/>
      </c>
      <c r="AC131" s="239">
        <f t="shared" ca="1" si="42"/>
        <v>4.7341508677492327E-4</v>
      </c>
      <c r="AE131" s="240">
        <f ca="1">IFERROR(IF(OR(Z131="",Z131=0),"",IF(AF131="","",IF(AF131="R$/mês",Z131/OBRA!$D$12,IF(AF131="R$/m²",Z131/OBRA!$D$10,IF(AF131="R$/apto",Orçamento!Z131/OBRA!$D$11,""))))),"")</f>
        <v>1.6982035065329375</v>
      </c>
      <c r="AF131" s="241" t="s">
        <v>154</v>
      </c>
    </row>
    <row r="132" spans="1:32" s="10" customFormat="1" ht="13.15" hidden="1" customHeight="1" outlineLevel="4" x14ac:dyDescent="0.2">
      <c r="A132" s="227"/>
      <c r="B132" s="228" t="s">
        <v>19</v>
      </c>
      <c r="C132" s="229">
        <f t="shared" si="39"/>
        <v>1</v>
      </c>
      <c r="D132" s="227" t="str">
        <f t="shared" si="67"/>
        <v/>
      </c>
      <c r="E132" s="228" t="str">
        <f t="shared" ca="1" si="47"/>
        <v>02.002.003.007</v>
      </c>
      <c r="F132" s="230">
        <f ca="1">IF($B132="UNIDADE CONSTRUTIVA",OFFSET(F132,-1,0)+1,LARGE(F$10:F131,1))</f>
        <v>1</v>
      </c>
      <c r="G132" s="228" t="str">
        <f t="shared" ca="1" si="68"/>
        <v xml:space="preserve">   GERENCIAMENTO TÉCNICO E ADMINISTRATIVO</v>
      </c>
      <c r="H132" s="230">
        <f t="shared" ca="1" si="48"/>
        <v>2</v>
      </c>
      <c r="I132" s="228" t="str">
        <f t="shared" ca="1" si="69"/>
        <v xml:space="preserve">   GERENCIAMENTO ADMINISTRATIVO</v>
      </c>
      <c r="J132" s="230">
        <f t="shared" ca="1" si="49"/>
        <v>2</v>
      </c>
      <c r="K132" s="228" t="str">
        <f t="shared" ca="1" si="70"/>
        <v xml:space="preserve">   ADMINISTRAÇÃO | CANTEIRO DE OBRAS</v>
      </c>
      <c r="L132" s="231">
        <f t="shared" ca="1" si="50"/>
        <v>3</v>
      </c>
      <c r="M132" s="228" t="str">
        <f t="shared" ca="1" si="71"/>
        <v xml:space="preserve">   Despesas de Consumo e Manutenção</v>
      </c>
      <c r="N132" s="231">
        <f t="shared" ca="1" si="51"/>
        <v>7</v>
      </c>
      <c r="O132" s="228" t="str">
        <f t="shared" ca="1" si="72"/>
        <v>Despesas de consumo - Internet</v>
      </c>
      <c r="P132" s="232" t="str">
        <f>IF(S132="","",IF(Orçamento!$B132="INSUMO",S132,""))</f>
        <v>DESPESAS DE CONSUMO - INTERNET</v>
      </c>
      <c r="Q132" s="244" t="str">
        <f t="shared" si="73"/>
        <v/>
      </c>
      <c r="R132" s="234">
        <f t="shared" ca="1" si="64"/>
        <v>22</v>
      </c>
      <c r="S132" s="233" t="s">
        <v>370</v>
      </c>
      <c r="T132" s="242" t="str">
        <f>_xlfn.XLOOKUP(S132,Insumos!$A$3:$A$371,Insumos!$B$3:$B$371)</f>
        <v>VB</v>
      </c>
      <c r="U132" s="235">
        <f t="shared" ca="1" si="66"/>
        <v>22</v>
      </c>
      <c r="V132" s="320">
        <v>1</v>
      </c>
      <c r="W132" s="236">
        <f>IFERROR(IF(B132="INSUMO",_xlfn.XLOOKUP(S132,Insumos!A:A,Insumos!C:C),""),"Inserir Preço")</f>
        <v>150</v>
      </c>
      <c r="X132" s="235">
        <f t="shared" ca="1" si="74"/>
        <v>22</v>
      </c>
      <c r="Y132" s="236">
        <f t="shared" si="46"/>
        <v>150</v>
      </c>
      <c r="Z132" s="237">
        <f t="shared" ca="1" si="41"/>
        <v>3300</v>
      </c>
      <c r="AA132" s="238"/>
      <c r="AB132" s="233" t="str">
        <f>IF(B132="insumo",_xlfn.XLOOKUP(S132,Insumos!A:A,Insumos!D:D),"")</f>
        <v>Base de dados</v>
      </c>
      <c r="AC132" s="239">
        <f t="shared" ca="1" si="42"/>
        <v>4.7341508677492327E-4</v>
      </c>
      <c r="AE132" s="240">
        <f ca="1">IFERROR(IF(OR(Z132="",Z132=0),"",IF(AF132="","",IF(AF132="R$/mês",Z132/OBRA!$D$12,IF(AF132="R$/m²",Z132/OBRA!$D$10,IF(AF132="R$/apto",Orçamento!Z132/OBRA!$D$11,""))))),"")</f>
        <v>1.6982035065329375</v>
      </c>
      <c r="AF132" s="241" t="s">
        <v>154</v>
      </c>
    </row>
    <row r="133" spans="1:32" s="10" customFormat="1" ht="13.15" hidden="1" customHeight="1" outlineLevel="4" x14ac:dyDescent="0.2">
      <c r="A133" s="227"/>
      <c r="B133" s="228" t="s">
        <v>4</v>
      </c>
      <c r="C133" s="229">
        <f t="shared" si="39"/>
        <v>1</v>
      </c>
      <c r="D133" s="227" t="str">
        <f t="shared" ca="1" si="67"/>
        <v>02.002.003.008</v>
      </c>
      <c r="E133" s="228" t="str">
        <f t="shared" ca="1" si="47"/>
        <v>02.002.003.008</v>
      </c>
      <c r="F133" s="230">
        <f ca="1">IF($B133="UNIDADE CONSTRUTIVA",OFFSET(F133,-1,0)+1,LARGE(F$10:F132,1))</f>
        <v>1</v>
      </c>
      <c r="G133" s="228" t="str">
        <f t="shared" ca="1" si="68"/>
        <v xml:space="preserve">   GERENCIAMENTO TÉCNICO E ADMINISTRATIVO</v>
      </c>
      <c r="H133" s="230">
        <f t="shared" ca="1" si="48"/>
        <v>2</v>
      </c>
      <c r="I133" s="228" t="str">
        <f t="shared" ca="1" si="69"/>
        <v xml:space="preserve">   GERENCIAMENTO ADMINISTRATIVO</v>
      </c>
      <c r="J133" s="230">
        <f t="shared" ca="1" si="49"/>
        <v>2</v>
      </c>
      <c r="K133" s="228" t="str">
        <f t="shared" ca="1" si="70"/>
        <v xml:space="preserve">   ADMINISTRAÇÃO | CANTEIRO DE OBRAS</v>
      </c>
      <c r="L133" s="231">
        <f t="shared" ca="1" si="50"/>
        <v>3</v>
      </c>
      <c r="M133" s="228" t="str">
        <f t="shared" ca="1" si="71"/>
        <v xml:space="preserve">   Despesas de Consumo e Manutenção</v>
      </c>
      <c r="N133" s="231">
        <f t="shared" ca="1" si="51"/>
        <v>8</v>
      </c>
      <c r="O133" s="228" t="str">
        <f t="shared" ca="1" si="72"/>
        <v>Manutenção de Canteiro provisório</v>
      </c>
      <c r="P133" s="232" t="str">
        <f>IF(S133="","",IF(Orçamento!$B133="INSUMO",S133,""))</f>
        <v/>
      </c>
      <c r="Q133" s="244" t="str">
        <f t="shared" si="73"/>
        <v>Manutenção de Canteiro provisório</v>
      </c>
      <c r="R133" s="234">
        <f t="shared" ca="1" si="64"/>
        <v>22</v>
      </c>
      <c r="S133" s="233" t="s">
        <v>811</v>
      </c>
      <c r="T133" s="242" t="s">
        <v>260</v>
      </c>
      <c r="U133" s="235">
        <f>OBRA!$D$12</f>
        <v>22</v>
      </c>
      <c r="V133" s="320" t="s">
        <v>35</v>
      </c>
      <c r="W133" s="236" t="str">
        <f>IFERROR(IF(B133="INSUMO",_xlfn.XLOOKUP(S133,Insumos!A:A,Insumos!C:C),""),"Inserir Preço")</f>
        <v/>
      </c>
      <c r="X133" s="235">
        <f t="shared" ca="1" si="74"/>
        <v>22</v>
      </c>
      <c r="Y133" s="236">
        <f t="shared" ca="1" si="46"/>
        <v>1800</v>
      </c>
      <c r="Z133" s="237">
        <f t="shared" ca="1" si="41"/>
        <v>39600</v>
      </c>
      <c r="AA133" s="238"/>
      <c r="AB133" s="233" t="str">
        <f>IF(B133="insumo",_xlfn.XLOOKUP(S133,Insumos!A:A,Insumos!D:D),"")</f>
        <v/>
      </c>
      <c r="AC133" s="239">
        <f t="shared" ca="1" si="42"/>
        <v>5.6809810412990795E-3</v>
      </c>
      <c r="AE133" s="240">
        <f ca="1">IFERROR(IF(OR(Z133="",Z133=0),"",IF(AF133="","",IF(AF133="R$/mês",Z133/OBRA!$D$12,IF(AF133="R$/m²",Z133/OBRA!$D$10,IF(AF133="R$/apto",Orçamento!Z133/OBRA!$D$11,""))))),"")</f>
        <v>20.378442078395249</v>
      </c>
      <c r="AF133" s="241" t="s">
        <v>154</v>
      </c>
    </row>
    <row r="134" spans="1:32" s="10" customFormat="1" ht="13.15" hidden="1" customHeight="1" outlineLevel="4" x14ac:dyDescent="0.2">
      <c r="A134" s="227"/>
      <c r="B134" s="228" t="s">
        <v>19</v>
      </c>
      <c r="C134" s="229">
        <f t="shared" si="39"/>
        <v>1</v>
      </c>
      <c r="D134" s="227" t="str">
        <f t="shared" si="67"/>
        <v/>
      </c>
      <c r="E134" s="228" t="str">
        <f t="shared" ca="1" si="47"/>
        <v>02.002.003.008</v>
      </c>
      <c r="F134" s="230">
        <f ca="1">IF($B134="UNIDADE CONSTRUTIVA",OFFSET(F134,-1,0)+1,LARGE(F$10:F133,1))</f>
        <v>1</v>
      </c>
      <c r="G134" s="228" t="str">
        <f t="shared" ca="1" si="68"/>
        <v xml:space="preserve">   GERENCIAMENTO TÉCNICO E ADMINISTRATIVO</v>
      </c>
      <c r="H134" s="230">
        <f t="shared" ca="1" si="48"/>
        <v>2</v>
      </c>
      <c r="I134" s="228" t="str">
        <f t="shared" ca="1" si="69"/>
        <v xml:space="preserve">   GERENCIAMENTO ADMINISTRATIVO</v>
      </c>
      <c r="J134" s="230">
        <f t="shared" ca="1" si="49"/>
        <v>2</v>
      </c>
      <c r="K134" s="228" t="str">
        <f t="shared" ca="1" si="70"/>
        <v xml:space="preserve">   ADMINISTRAÇÃO | CANTEIRO DE OBRAS</v>
      </c>
      <c r="L134" s="231">
        <f t="shared" ca="1" si="50"/>
        <v>3</v>
      </c>
      <c r="M134" s="228" t="str">
        <f t="shared" ca="1" si="71"/>
        <v xml:space="preserve">   Despesas de Consumo e Manutenção</v>
      </c>
      <c r="N134" s="231">
        <f t="shared" ca="1" si="51"/>
        <v>8</v>
      </c>
      <c r="O134" s="228" t="str">
        <f t="shared" ca="1" si="72"/>
        <v>Manutenção de Canteiro provisório</v>
      </c>
      <c r="P134" s="232" t="str">
        <f>IF(S134="","",IF(Orçamento!$B134="INSUMO",S134,""))</f>
        <v>MANUTENÇÃO PROVISÓRIA DE CANTEIRO - ELÉTRICA/ HIDROSSANITÁRIA/VIGILÂNCIA/DETETICAÇÃO</v>
      </c>
      <c r="Q134" s="244" t="str">
        <f t="shared" si="73"/>
        <v/>
      </c>
      <c r="R134" s="234">
        <f t="shared" ca="1" si="64"/>
        <v>22</v>
      </c>
      <c r="S134" s="233" t="s">
        <v>812</v>
      </c>
      <c r="T134" s="242" t="str">
        <f>_xlfn.XLOOKUP(S134,Insumos!$A$3:$A$371,Insumos!$B$3:$B$371)</f>
        <v>MES</v>
      </c>
      <c r="U134" s="235">
        <f ca="1">IF($B134="insumo",R134,"")</f>
        <v>22</v>
      </c>
      <c r="V134" s="320">
        <v>0.6</v>
      </c>
      <c r="W134" s="236">
        <f>IFERROR(IF(B134="INSUMO",_xlfn.XLOOKUP(S134,Insumos!A:A,Insumos!C:C),""),"Inserir Preço")</f>
        <v>3000</v>
      </c>
      <c r="X134" s="235">
        <f t="shared" ca="1" si="74"/>
        <v>13.2</v>
      </c>
      <c r="Y134" s="236">
        <f t="shared" si="46"/>
        <v>1800</v>
      </c>
      <c r="Z134" s="237">
        <f t="shared" ca="1" si="41"/>
        <v>39600</v>
      </c>
      <c r="AA134" s="238"/>
      <c r="AB134" s="233" t="str">
        <f>IF(B134="insumo",_xlfn.XLOOKUP(S134,Insumos!A:A,Insumos!D:D),"")</f>
        <v>Base de dados</v>
      </c>
      <c r="AC134" s="239">
        <f t="shared" ca="1" si="42"/>
        <v>5.6809810412990795E-3</v>
      </c>
      <c r="AE134" s="240">
        <f ca="1">IFERROR(IF(OR(Z134="",Z134=0),"",IF(AF134="","",IF(AF134="R$/mês",Z134/OBRA!$D$12,IF(AF134="R$/m²",Z134/OBRA!$D$10,IF(AF134="R$/apto",Orçamento!Z134/OBRA!$D$11,""))))),"")</f>
        <v>20.378442078395249</v>
      </c>
      <c r="AF134" s="241" t="s">
        <v>154</v>
      </c>
    </row>
    <row r="135" spans="1:32" s="10" customFormat="1" ht="13.15" hidden="1" customHeight="1" outlineLevel="4" x14ac:dyDescent="0.2">
      <c r="A135" s="227"/>
      <c r="B135" s="228" t="s">
        <v>4</v>
      </c>
      <c r="C135" s="229">
        <f t="shared" si="39"/>
        <v>1</v>
      </c>
      <c r="D135" s="227" t="str">
        <f t="shared" ca="1" si="67"/>
        <v>02.002.003.009</v>
      </c>
      <c r="E135" s="228" t="str">
        <f ca="1">IF(B135="*","",IFERROR(IF(B135="SERVIÇO",D135,OFFSET(E135,-1,0)),""))</f>
        <v>02.002.003.009</v>
      </c>
      <c r="F135" s="230">
        <f ca="1">IF($B135="UNIDADE CONSTRUTIVA",OFFSET(F135,-1,0)+1,LARGE(F$10:F134,1))</f>
        <v>1</v>
      </c>
      <c r="G135" s="228" t="str">
        <f t="shared" ca="1" si="68"/>
        <v xml:space="preserve">   GERENCIAMENTO TÉCNICO E ADMINISTRATIVO</v>
      </c>
      <c r="H135" s="230">
        <f ca="1">IF(B135="UNIDADE CONSTRUTIVA",0,IF(B135="CÉLULA CONSTRUTIVA",OFFSET(H135,-1,0)+1,OFFSET(H135,-1,0)))</f>
        <v>2</v>
      </c>
      <c r="I135" s="228" t="str">
        <f t="shared" ca="1" si="69"/>
        <v xml:space="preserve">   GERENCIAMENTO ADMINISTRATIVO</v>
      </c>
      <c r="J135" s="230">
        <f ca="1">IF(B135="CÉLULA CONSTRUTIVA",0,IF(B135="ETAPA",OFFSET(J135,-1,0)+1,OFFSET(J135,-1,0)))</f>
        <v>2</v>
      </c>
      <c r="K135" s="228" t="str">
        <f t="shared" ca="1" si="70"/>
        <v xml:space="preserve">   ADMINISTRAÇÃO | CANTEIRO DE OBRAS</v>
      </c>
      <c r="L135" s="231">
        <f ca="1">IF(B135="ETAPA",0,IF(B135="SUBETAPA",OFFSET(L135,-1,0)+1,OFFSET(L135,-1,0)))</f>
        <v>3</v>
      </c>
      <c r="M135" s="228" t="str">
        <f t="shared" ca="1" si="71"/>
        <v xml:space="preserve">   Despesas de Consumo e Manutenção</v>
      </c>
      <c r="N135" s="231">
        <f ca="1">IF(B135="Subetapa",0,IF(B135="serviço",OFFSET(N135,-1,0)+1,OFFSET(N135,-1,0)))</f>
        <v>9</v>
      </c>
      <c r="O135" s="228" t="str">
        <f t="shared" ca="1" si="72"/>
        <v>Locação de caçambas para retirada de entulho</v>
      </c>
      <c r="P135" s="232" t="str">
        <f>IF(S135="","",IF(Orçamento!$B135="INSUMO",S135,""))</f>
        <v/>
      </c>
      <c r="Q135" s="244" t="str">
        <f t="shared" si="73"/>
        <v>Locação de caçambas para retirada de entulho</v>
      </c>
      <c r="R135" s="234">
        <f ca="1">IF(B135="serviço",U135,OFFSET(R135,-1,0))</f>
        <v>22</v>
      </c>
      <c r="S135" s="233" t="s">
        <v>869</v>
      </c>
      <c r="T135" s="242" t="s">
        <v>260</v>
      </c>
      <c r="U135" s="235">
        <f>OBRA!$D$12</f>
        <v>22</v>
      </c>
      <c r="V135" s="320" t="s">
        <v>35</v>
      </c>
      <c r="W135" s="236" t="str">
        <f>IFERROR(IF(B135="INSUMO",_xlfn.XLOOKUP(S135,Insumos!A:A,Insumos!C:C),""),"Inserir Preço")</f>
        <v/>
      </c>
      <c r="X135" s="235">
        <f t="shared" ca="1" si="74"/>
        <v>22</v>
      </c>
      <c r="Y135" s="236">
        <f t="shared" ca="1" si="46"/>
        <v>989.99999999999989</v>
      </c>
      <c r="Z135" s="237">
        <f t="shared" ca="1" si="41"/>
        <v>21779.999999999996</v>
      </c>
      <c r="AA135" s="238" t="s">
        <v>873</v>
      </c>
      <c r="AB135" s="233" t="str">
        <f>IF(B135="insumo",_xlfn.XLOOKUP(S135,Insumos!A:A,Insumos!D:D),"")</f>
        <v/>
      </c>
      <c r="AC135" s="239">
        <f t="shared" ca="1" si="42"/>
        <v>3.124539572714493E-3</v>
      </c>
      <c r="AE135" s="240">
        <f ca="1">IFERROR(IF(OR(Z135="",Z135=0),"",IF(AF135="","",IF(AF135="R$/mês",Z135/OBRA!$D$12,IF(AF135="R$/m²",Z135/OBRA!$D$10,IF(AF135="R$/apto",Orçamento!Z135/OBRA!$D$11,""))))),"")</f>
        <v>11.208143143117384</v>
      </c>
      <c r="AF135" s="241" t="s">
        <v>154</v>
      </c>
    </row>
    <row r="136" spans="1:32" s="10" customFormat="1" ht="13.15" hidden="1" customHeight="1" outlineLevel="4" x14ac:dyDescent="0.2">
      <c r="A136" s="227"/>
      <c r="B136" s="228" t="s">
        <v>19</v>
      </c>
      <c r="C136" s="229">
        <f t="shared" si="39"/>
        <v>1</v>
      </c>
      <c r="D136" s="227" t="str">
        <f t="shared" si="67"/>
        <v/>
      </c>
      <c r="E136" s="228" t="str">
        <f ca="1">IF(B136="*","",IFERROR(IF(B136="SERVIÇO",D136,OFFSET(E136,-1,0)),""))</f>
        <v>02.002.003.009</v>
      </c>
      <c r="F136" s="230">
        <f ca="1">IF($B136="UNIDADE CONSTRUTIVA",OFFSET(F136,-1,0)+1,LARGE(F$10:F135,1))</f>
        <v>1</v>
      </c>
      <c r="G136" s="228" t="str">
        <f t="shared" ca="1" si="68"/>
        <v xml:space="preserve">   GERENCIAMENTO TÉCNICO E ADMINISTRATIVO</v>
      </c>
      <c r="H136" s="230">
        <f ca="1">IF(B136="UNIDADE CONSTRUTIVA",0,IF(B136="CÉLULA CONSTRUTIVA",OFFSET(H136,-1,0)+1,OFFSET(H136,-1,0)))</f>
        <v>2</v>
      </c>
      <c r="I136" s="228" t="str">
        <f t="shared" ca="1" si="69"/>
        <v xml:space="preserve">   GERENCIAMENTO ADMINISTRATIVO</v>
      </c>
      <c r="J136" s="230">
        <f ca="1">IF(B136="CÉLULA CONSTRUTIVA",0,IF(B136="ETAPA",OFFSET(J136,-1,0)+1,OFFSET(J136,-1,0)))</f>
        <v>2</v>
      </c>
      <c r="K136" s="228" t="str">
        <f t="shared" ca="1" si="70"/>
        <v xml:space="preserve">   ADMINISTRAÇÃO | CANTEIRO DE OBRAS</v>
      </c>
      <c r="L136" s="231">
        <f ca="1">IF(B136="ETAPA",0,IF(B136="SUBETAPA",OFFSET(L136,-1,0)+1,OFFSET(L136,-1,0)))</f>
        <v>3</v>
      </c>
      <c r="M136" s="228" t="str">
        <f t="shared" ca="1" si="71"/>
        <v xml:space="preserve">   Despesas de Consumo e Manutenção</v>
      </c>
      <c r="N136" s="231">
        <f ca="1">IF(B136="Subetapa",0,IF(B136="serviço",OFFSET(N136,-1,0)+1,OFFSET(N136,-1,0)))</f>
        <v>9</v>
      </c>
      <c r="O136" s="228" t="str">
        <f t="shared" ca="1" si="72"/>
        <v>Locação de caçambas para retirada de entulho</v>
      </c>
      <c r="P136" s="232" t="str">
        <f>IF(S136="","",IF(Orçamento!$B136="INSUMO",S136,""))</f>
        <v>SERVICO LOCACAO/TRANSPORTE/DESCARTE CACAMBA 5M3 - RESIDUOS CLASSE A</v>
      </c>
      <c r="Q136" s="244" t="str">
        <f t="shared" si="73"/>
        <v/>
      </c>
      <c r="R136" s="234">
        <f ca="1">IF(B136="serviço",U136,OFFSET(R136,-1,0))</f>
        <v>22</v>
      </c>
      <c r="S136" s="233" t="s">
        <v>862</v>
      </c>
      <c r="T136" s="242" t="str">
        <f>_xlfn.XLOOKUP(S136,Insumos!$A$3:$A$371,Insumos!$B$3:$B$371)</f>
        <v>UN</v>
      </c>
      <c r="U136" s="235">
        <f ca="1">IF($B136="insumo",R136,"")</f>
        <v>22</v>
      </c>
      <c r="V136" s="320">
        <f>3*70%</f>
        <v>2.0999999999999996</v>
      </c>
      <c r="W136" s="236">
        <f>IFERROR(IF(B136="INSUMO",_xlfn.XLOOKUP(S136,Insumos!A:A,Insumos!C:C),""),"Inserir Preço")</f>
        <v>300</v>
      </c>
      <c r="X136" s="235">
        <f t="shared" ca="1" si="74"/>
        <v>46.199999999999989</v>
      </c>
      <c r="Y136" s="236">
        <f t="shared" si="46"/>
        <v>629.99999999999989</v>
      </c>
      <c r="Z136" s="237">
        <f t="shared" ca="1" si="41"/>
        <v>13859.999999999996</v>
      </c>
      <c r="AA136" s="238"/>
      <c r="AB136" s="233" t="str">
        <f>IF(B136="insumo",_xlfn.XLOOKUP(S136,Insumos!A:A,Insumos!D:D),"")</f>
        <v>Ceimacon Entulhos</v>
      </c>
      <c r="AC136" s="239">
        <f t="shared" ca="1" si="42"/>
        <v>1.9883433644546774E-3</v>
      </c>
      <c r="AE136" s="240">
        <f ca="1">IFERROR(IF(OR(Z136="",Z136=0),"",IF(AF136="","",IF(AF136="R$/mês",Z136/OBRA!$D$12,IF(AF136="R$/m²",Z136/OBRA!$D$10,IF(AF136="R$/apto",Orçamento!Z136/OBRA!$D$11,""))))),"")</f>
        <v>7.1324547274383354</v>
      </c>
      <c r="AF136" s="241" t="s">
        <v>154</v>
      </c>
    </row>
    <row r="137" spans="1:32" s="10" customFormat="1" ht="13.15" hidden="1" customHeight="1" outlineLevel="4" x14ac:dyDescent="0.2">
      <c r="A137" s="227"/>
      <c r="B137" s="228" t="s">
        <v>19</v>
      </c>
      <c r="C137" s="229">
        <f t="shared" si="39"/>
        <v>1</v>
      </c>
      <c r="D137" s="227" t="str">
        <f t="shared" si="67"/>
        <v/>
      </c>
      <c r="E137" s="228" t="str">
        <f ca="1">IF(B137="*","",IFERROR(IF(B137="SERVIÇO",D137,OFFSET(E137,-1,0)),""))</f>
        <v>02.002.003.009</v>
      </c>
      <c r="F137" s="230">
        <f ca="1">IF($B137="UNIDADE CONSTRUTIVA",OFFSET(F137,-1,0)+1,LARGE(F$10:F136,1))</f>
        <v>1</v>
      </c>
      <c r="G137" s="228" t="str">
        <f t="shared" ca="1" si="68"/>
        <v xml:space="preserve">   GERENCIAMENTO TÉCNICO E ADMINISTRATIVO</v>
      </c>
      <c r="H137" s="230">
        <f ca="1">IF(B137="UNIDADE CONSTRUTIVA",0,IF(B137="CÉLULA CONSTRUTIVA",OFFSET(H137,-1,0)+1,OFFSET(H137,-1,0)))</f>
        <v>2</v>
      </c>
      <c r="I137" s="228" t="str">
        <f t="shared" ca="1" si="69"/>
        <v xml:space="preserve">   GERENCIAMENTO ADMINISTRATIVO</v>
      </c>
      <c r="J137" s="230">
        <f ca="1">IF(B137="CÉLULA CONSTRUTIVA",0,IF(B137="ETAPA",OFFSET(J137,-1,0)+1,OFFSET(J137,-1,0)))</f>
        <v>2</v>
      </c>
      <c r="K137" s="228" t="str">
        <f t="shared" ca="1" si="70"/>
        <v xml:space="preserve">   ADMINISTRAÇÃO | CANTEIRO DE OBRAS</v>
      </c>
      <c r="L137" s="231">
        <f ca="1">IF(B137="ETAPA",0,IF(B137="SUBETAPA",OFFSET(L137,-1,0)+1,OFFSET(L137,-1,0)))</f>
        <v>3</v>
      </c>
      <c r="M137" s="228" t="str">
        <f t="shared" ca="1" si="71"/>
        <v xml:space="preserve">   Despesas de Consumo e Manutenção</v>
      </c>
      <c r="N137" s="231">
        <f ca="1">IF(B137="Subetapa",0,IF(B137="serviço",OFFSET(N137,-1,0)+1,OFFSET(N137,-1,0)))</f>
        <v>9</v>
      </c>
      <c r="O137" s="228" t="str">
        <f t="shared" ca="1" si="72"/>
        <v>Locação de caçambas para retirada de entulho</v>
      </c>
      <c r="P137" s="232" t="str">
        <f>IF(S137="","",IF(Orçamento!$B137="INSUMO",S137,""))</f>
        <v>SERVICO LOCACAO/TRANSPORTE/DESCARTE CACAMBA 5M3 - RESIDUOS CLASSE B</v>
      </c>
      <c r="Q137" s="244" t="str">
        <f t="shared" si="73"/>
        <v/>
      </c>
      <c r="R137" s="234">
        <f ca="1">IF(B137="serviço",U137,OFFSET(R137,-1,0))</f>
        <v>22</v>
      </c>
      <c r="S137" s="233" t="s">
        <v>870</v>
      </c>
      <c r="T137" s="242" t="str">
        <f>_xlfn.XLOOKUP(S137,Insumos!$A$3:$A$371,Insumos!$B$3:$B$371)</f>
        <v>UN</v>
      </c>
      <c r="U137" s="235">
        <f ca="1">IF($B137="insumo",R137,"")</f>
        <v>22</v>
      </c>
      <c r="V137" s="320">
        <f>3*15%</f>
        <v>0.44999999999999996</v>
      </c>
      <c r="W137" s="236">
        <f>IFERROR(IF(B137="INSUMO",_xlfn.XLOOKUP(S137,Insumos!A:A,Insumos!C:C),""),"Inserir Preço")</f>
        <v>350</v>
      </c>
      <c r="X137" s="235">
        <f t="shared" ca="1" si="74"/>
        <v>9.8999999999999986</v>
      </c>
      <c r="Y137" s="236">
        <f t="shared" si="46"/>
        <v>157.49999999999997</v>
      </c>
      <c r="Z137" s="237">
        <f t="shared" ca="1" si="41"/>
        <v>3464.9999999999995</v>
      </c>
      <c r="AA137" s="238"/>
      <c r="AB137" s="233" t="str">
        <f>IF(B137="insumo",_xlfn.XLOOKUP(S137,Insumos!A:A,Insumos!D:D),"")</f>
        <v>Ceimacon Entulhos</v>
      </c>
      <c r="AC137" s="239">
        <f t="shared" ca="1" si="42"/>
        <v>4.9708584111366936E-4</v>
      </c>
      <c r="AE137" s="240">
        <f ca="1">IFERROR(IF(OR(Z137="",Z137=0),"",IF(AF137="","",IF(AF137="R$/mês",Z137/OBRA!$D$12,IF(AF137="R$/m²",Z137/OBRA!$D$10,IF(AF137="R$/apto",Orçamento!Z137/OBRA!$D$11,""))))),"")</f>
        <v>1.7831136818595841</v>
      </c>
      <c r="AF137" s="241" t="s">
        <v>154</v>
      </c>
    </row>
    <row r="138" spans="1:32" s="10" customFormat="1" ht="13.15" hidden="1" customHeight="1" outlineLevel="4" x14ac:dyDescent="0.2">
      <c r="A138" s="227"/>
      <c r="B138" s="228" t="s">
        <v>19</v>
      </c>
      <c r="C138" s="229">
        <f t="shared" si="39"/>
        <v>1</v>
      </c>
      <c r="D138" s="227" t="str">
        <f t="shared" si="67"/>
        <v/>
      </c>
      <c r="E138" s="228" t="str">
        <f ca="1">IF(B138="*","",IFERROR(IF(B138="SERVIÇO",D138,OFFSET(E138,-1,0)),""))</f>
        <v>02.002.003.009</v>
      </c>
      <c r="F138" s="230">
        <f ca="1">IF($B138="UNIDADE CONSTRUTIVA",OFFSET(F138,-1,0)+1,LARGE(F$10:F137,1))</f>
        <v>1</v>
      </c>
      <c r="G138" s="228" t="str">
        <f t="shared" ca="1" si="68"/>
        <v xml:space="preserve">   GERENCIAMENTO TÉCNICO E ADMINISTRATIVO</v>
      </c>
      <c r="H138" s="230">
        <f ca="1">IF(B138="UNIDADE CONSTRUTIVA",0,IF(B138="CÉLULA CONSTRUTIVA",OFFSET(H138,-1,0)+1,OFFSET(H138,-1,0)))</f>
        <v>2</v>
      </c>
      <c r="I138" s="228" t="str">
        <f t="shared" ca="1" si="69"/>
        <v xml:space="preserve">   GERENCIAMENTO ADMINISTRATIVO</v>
      </c>
      <c r="J138" s="230">
        <f ca="1">IF(B138="CÉLULA CONSTRUTIVA",0,IF(B138="ETAPA",OFFSET(J138,-1,0)+1,OFFSET(J138,-1,0)))</f>
        <v>2</v>
      </c>
      <c r="K138" s="228" t="str">
        <f t="shared" ca="1" si="70"/>
        <v xml:space="preserve">   ADMINISTRAÇÃO | CANTEIRO DE OBRAS</v>
      </c>
      <c r="L138" s="231">
        <f ca="1">IF(B138="ETAPA",0,IF(B138="SUBETAPA",OFFSET(L138,-1,0)+1,OFFSET(L138,-1,0)))</f>
        <v>3</v>
      </c>
      <c r="M138" s="228" t="str">
        <f t="shared" ca="1" si="71"/>
        <v xml:space="preserve">   Despesas de Consumo e Manutenção</v>
      </c>
      <c r="N138" s="231">
        <f ca="1">IF(B138="Subetapa",0,IF(B138="serviço",OFFSET(N138,-1,0)+1,OFFSET(N138,-1,0)))</f>
        <v>9</v>
      </c>
      <c r="O138" s="228" t="str">
        <f t="shared" ca="1" si="72"/>
        <v>Locação de caçambas para retirada de entulho</v>
      </c>
      <c r="P138" s="232" t="str">
        <f>IF(S138="","",IF(Orçamento!$B138="INSUMO",S138,""))</f>
        <v>SERVICO LOCACAO/TRANSPORTE/DESCARTE CACAMBA 5M3 - RESIDUOS CLASSE C</v>
      </c>
      <c r="Q138" s="244" t="str">
        <f t="shared" si="73"/>
        <v/>
      </c>
      <c r="R138" s="234">
        <f ca="1">IF(B138="serviço",U138,OFFSET(R138,-1,0))</f>
        <v>22</v>
      </c>
      <c r="S138" s="233" t="s">
        <v>871</v>
      </c>
      <c r="T138" s="242" t="str">
        <f>_xlfn.XLOOKUP(S138,Insumos!$A$3:$A$371,Insumos!$B$3:$B$371)</f>
        <v>UN</v>
      </c>
      <c r="U138" s="235">
        <f ca="1">IF($B138="insumo",R138,"")</f>
        <v>22</v>
      </c>
      <c r="V138" s="320">
        <f>3*10%</f>
        <v>0.30000000000000004</v>
      </c>
      <c r="W138" s="236">
        <f>IFERROR(IF(B138="INSUMO",_xlfn.XLOOKUP(S138,Insumos!A:A,Insumos!C:C),""),"Inserir Preço")</f>
        <v>400</v>
      </c>
      <c r="X138" s="235">
        <f t="shared" ca="1" si="74"/>
        <v>6.6000000000000014</v>
      </c>
      <c r="Y138" s="236">
        <f t="shared" si="46"/>
        <v>120.00000000000001</v>
      </c>
      <c r="Z138" s="237">
        <f t="shared" ca="1" si="41"/>
        <v>2640.0000000000005</v>
      </c>
      <c r="AA138" s="238"/>
      <c r="AB138" s="233" t="str">
        <f>IF(B138="insumo",_xlfn.XLOOKUP(S138,Insumos!A:A,Insumos!D:D),"")</f>
        <v>Ceimacon Entulhos</v>
      </c>
      <c r="AC138" s="239">
        <f t="shared" ca="1" si="42"/>
        <v>3.7873206941993872E-4</v>
      </c>
      <c r="AE138" s="240">
        <f ca="1">IFERROR(IF(OR(Z138="",Z138=0),"",IF(AF138="","",IF(AF138="R$/mês",Z138/OBRA!$D$12,IF(AF138="R$/m²",Z138/OBRA!$D$10,IF(AF138="R$/apto",Orçamento!Z138/OBRA!$D$11,""))))),"")</f>
        <v>1.3585628052263501</v>
      </c>
      <c r="AF138" s="241" t="s">
        <v>154</v>
      </c>
    </row>
    <row r="139" spans="1:32" s="10" customFormat="1" ht="13.15" hidden="1" customHeight="1" outlineLevel="4" x14ac:dyDescent="0.2">
      <c r="A139" s="227"/>
      <c r="B139" s="228" t="s">
        <v>19</v>
      </c>
      <c r="C139" s="229">
        <f t="shared" si="39"/>
        <v>1</v>
      </c>
      <c r="D139" s="227" t="str">
        <f t="shared" si="67"/>
        <v/>
      </c>
      <c r="E139" s="228" t="str">
        <f ca="1">IF(B139="*","",IFERROR(IF(B139="SERVIÇO",D139,OFFSET(E139,-1,0)),""))</f>
        <v>02.002.003.009</v>
      </c>
      <c r="F139" s="230">
        <f ca="1">IF($B139="UNIDADE CONSTRUTIVA",OFFSET(F139,-1,0)+1,LARGE(F$10:F138,1))</f>
        <v>1</v>
      </c>
      <c r="G139" s="228" t="str">
        <f t="shared" ca="1" si="68"/>
        <v xml:space="preserve">   GERENCIAMENTO TÉCNICO E ADMINISTRATIVO</v>
      </c>
      <c r="H139" s="230">
        <f ca="1">IF(B139="UNIDADE CONSTRUTIVA",0,IF(B139="CÉLULA CONSTRUTIVA",OFFSET(H139,-1,0)+1,OFFSET(H139,-1,0)))</f>
        <v>2</v>
      </c>
      <c r="I139" s="228" t="str">
        <f t="shared" ca="1" si="69"/>
        <v xml:space="preserve">   GERENCIAMENTO ADMINISTRATIVO</v>
      </c>
      <c r="J139" s="230">
        <f ca="1">IF(B139="CÉLULA CONSTRUTIVA",0,IF(B139="ETAPA",OFFSET(J139,-1,0)+1,OFFSET(J139,-1,0)))</f>
        <v>2</v>
      </c>
      <c r="K139" s="228" t="str">
        <f t="shared" ca="1" si="70"/>
        <v xml:space="preserve">   ADMINISTRAÇÃO | CANTEIRO DE OBRAS</v>
      </c>
      <c r="L139" s="231">
        <f ca="1">IF(B139="ETAPA",0,IF(B139="SUBETAPA",OFFSET(L139,-1,0)+1,OFFSET(L139,-1,0)))</f>
        <v>3</v>
      </c>
      <c r="M139" s="228" t="str">
        <f t="shared" ca="1" si="71"/>
        <v xml:space="preserve">   Despesas de Consumo e Manutenção</v>
      </c>
      <c r="N139" s="231">
        <f ca="1">IF(B139="Subetapa",0,IF(B139="serviço",OFFSET(N139,-1,0)+1,OFFSET(N139,-1,0)))</f>
        <v>9</v>
      </c>
      <c r="O139" s="228" t="str">
        <f t="shared" ca="1" si="72"/>
        <v>Locação de caçambas para retirada de entulho</v>
      </c>
      <c r="P139" s="232" t="str">
        <f>IF(S139="","",IF(Orçamento!$B139="INSUMO",S139,""))</f>
        <v>SERVICO LOCACAO/TRANSPORTE/DESCARTE CACAMBA 5M3 - RESIDUOS CLASSE D</v>
      </c>
      <c r="Q139" s="244" t="str">
        <f t="shared" si="73"/>
        <v/>
      </c>
      <c r="R139" s="234">
        <f ca="1">IF(B139="serviço",U139,OFFSET(R139,-1,0))</f>
        <v>22</v>
      </c>
      <c r="S139" s="233" t="s">
        <v>872</v>
      </c>
      <c r="T139" s="242" t="str">
        <f>_xlfn.XLOOKUP(S139,Insumos!$A$3:$A$371,Insumos!$B$3:$B$371)</f>
        <v>UN</v>
      </c>
      <c r="U139" s="235">
        <f ca="1">IF($B139="insumo",R139,"")</f>
        <v>22</v>
      </c>
      <c r="V139" s="320">
        <f>3*5%</f>
        <v>0.15000000000000002</v>
      </c>
      <c r="W139" s="236">
        <f>IFERROR(IF(B139="INSUMO",_xlfn.XLOOKUP(S139,Insumos!A:A,Insumos!C:C),""),"Inserir Preço")</f>
        <v>550</v>
      </c>
      <c r="X139" s="235">
        <f t="shared" ca="1" si="74"/>
        <v>3.3000000000000007</v>
      </c>
      <c r="Y139" s="236">
        <f t="shared" si="46"/>
        <v>82.500000000000014</v>
      </c>
      <c r="Z139" s="237">
        <f t="shared" ca="1" si="41"/>
        <v>1815.0000000000005</v>
      </c>
      <c r="AA139" s="238"/>
      <c r="AB139" s="233" t="str">
        <f>IF(B139="insumo",_xlfn.XLOOKUP(S139,Insumos!A:A,Insumos!D:D),"")</f>
        <v>Ceimacon Entulhos</v>
      </c>
      <c r="AC139" s="239">
        <f t="shared" ca="1" si="42"/>
        <v>2.6037829772620786E-4</v>
      </c>
      <c r="AE139" s="240">
        <f ca="1">IFERROR(IF(OR(Z139="",Z139=0),"",IF(AF139="","",IF(AF139="R$/mês",Z139/OBRA!$D$12,IF(AF139="R$/m²",Z139/OBRA!$D$10,IF(AF139="R$/apto",Orçamento!Z139/OBRA!$D$11,""))))),"")</f>
        <v>0.93401192859311577</v>
      </c>
      <c r="AF139" s="241" t="s">
        <v>154</v>
      </c>
    </row>
    <row r="140" spans="1:32" s="10" customFormat="1" ht="13.15" hidden="1" customHeight="1" outlineLevel="3" collapsed="1" x14ac:dyDescent="0.2">
      <c r="A140" s="227"/>
      <c r="B140" s="228" t="s">
        <v>3</v>
      </c>
      <c r="C140" s="229" t="str">
        <f t="shared" ref="C140:C203" si="75">IF(B140="INSUMO",COUNTIFS(B:B,"INSUMO",S:S,S140),IF(B140="SERVIÇO",COUNTIFS(B:B,"SERVIÇO",S:S,S140),""))</f>
        <v/>
      </c>
      <c r="D140" s="227" t="str">
        <f t="shared" ca="1" si="67"/>
        <v>02.002.004</v>
      </c>
      <c r="E140" s="228" t="str">
        <f t="shared" ca="1" si="47"/>
        <v>02.002.003.009</v>
      </c>
      <c r="F140" s="230">
        <f ca="1">IF($B140="UNIDADE CONSTRUTIVA",OFFSET(F140,-1,0)+1,LARGE(F$10:F139,1))</f>
        <v>1</v>
      </c>
      <c r="G140" s="228" t="str">
        <f t="shared" ca="1" si="68"/>
        <v xml:space="preserve">   GERENCIAMENTO TÉCNICO E ADMINISTRATIVO</v>
      </c>
      <c r="H140" s="230">
        <f t="shared" ca="1" si="48"/>
        <v>2</v>
      </c>
      <c r="I140" s="228" t="str">
        <f t="shared" ca="1" si="69"/>
        <v xml:space="preserve">   GERENCIAMENTO ADMINISTRATIVO</v>
      </c>
      <c r="J140" s="230">
        <f t="shared" ca="1" si="49"/>
        <v>2</v>
      </c>
      <c r="K140" s="228" t="str">
        <f t="shared" ca="1" si="70"/>
        <v xml:space="preserve">   ADMINISTRAÇÃO | CANTEIRO DE OBRAS</v>
      </c>
      <c r="L140" s="231">
        <f t="shared" ca="1" si="50"/>
        <v>4</v>
      </c>
      <c r="M140" s="228" t="str">
        <f t="shared" ca="1" si="71"/>
        <v xml:space="preserve">   Instalações Provisórias</v>
      </c>
      <c r="N140" s="231">
        <f t="shared" ca="1" si="51"/>
        <v>0</v>
      </c>
      <c r="O140" s="228" t="str">
        <f t="shared" ca="1" si="72"/>
        <v>Locação de caçambas para retirada de entulho</v>
      </c>
      <c r="P140" s="232" t="str">
        <f>IF(S140="","",IF(Orçamento!$B140="INSUMO",S140,""))</f>
        <v/>
      </c>
      <c r="Q140" s="244" t="str">
        <f t="shared" si="73"/>
        <v/>
      </c>
      <c r="R140" s="234">
        <f t="shared" ca="1" si="64"/>
        <v>22</v>
      </c>
      <c r="S140" s="233" t="s">
        <v>427</v>
      </c>
      <c r="T140" s="242" t="s">
        <v>35</v>
      </c>
      <c r="U140" s="235" t="str">
        <f>IF($B140="insumo",R140,"")</f>
        <v/>
      </c>
      <c r="V140" s="320" t="s">
        <v>35</v>
      </c>
      <c r="W140" s="236" t="str">
        <f>IFERROR(IF(B140="INSUMO",_xlfn.XLOOKUP(S140,Insumos!A:A,Insumos!C:C),""),"Inserir Preço")</f>
        <v/>
      </c>
      <c r="X140" s="235" t="str">
        <f t="shared" ca="1" si="74"/>
        <v/>
      </c>
      <c r="Y140" s="236" t="str">
        <f t="shared" ref="Y140:Y166" si="76">IF(B140="insumo",W140*V140,IF(B140="serviço",SUMIFS(Y:Y,B:B,"insumo",E:E,E140,I:I,I140),""))</f>
        <v/>
      </c>
      <c r="Z140" s="237">
        <f t="shared" ref="Z140:Z203" ca="1" si="77">IFERROR(IF(B140="Unidade Construtiva",SUMIFS(Z:Z,B:B,"Célula Construtiva",G:G,G140),IF(B140="célula construtiva",SUMIFS(Z:Z,B:B,"Insumo",I:I,I140,G:G,G140),IF(B140="ETAPA",SUMIFS(Z:Z,B:B,"Insumo",K:K,K140,I:I,I140,G:G,G140),IF(B140="subetapa",SUMIFS(Z:Z,M:M,M140,B:B,"insumo",K:K,K140,I:I,I140,G:G,G140),IF(B140="complemento do insumo",V140*W140,IF(B140="INSUMO",R140*V140*W140,X140*Y140)))))),"")</f>
        <v>39260.710186099037</v>
      </c>
      <c r="AA140" s="238"/>
      <c r="AB140" s="233" t="str">
        <f>IF(B140="insumo",_xlfn.XLOOKUP(S140,Insumos!A:A,Insumos!D:D),"")</f>
        <v/>
      </c>
      <c r="AC140" s="239">
        <f t="shared" ref="AC140:AC203" ca="1" si="78">IFERROR(IF(B140="","",Z140/SUMIF(B:B,"INSUMO",Z:Z)),0)</f>
        <v>5.6323068241203606E-3</v>
      </c>
      <c r="AE140" s="240">
        <f ca="1">IFERROR(IF(OR(Z140="",Z140=0),"",IF(AF140="","",IF(AF140="R$/mês",Z140/OBRA!$D$12,IF(AF140="R$/m²",Z140/OBRA!$D$10,IF(AF140="R$/apto",Orçamento!Z140/OBRA!$D$11,""))))),"")</f>
        <v>20.203841123335394</v>
      </c>
      <c r="AF140" s="241" t="s">
        <v>154</v>
      </c>
    </row>
    <row r="141" spans="1:32" s="10" customFormat="1" ht="13.15" hidden="1" customHeight="1" outlineLevel="4" x14ac:dyDescent="0.2">
      <c r="A141" s="227"/>
      <c r="B141" s="228" t="s">
        <v>4</v>
      </c>
      <c r="C141" s="229">
        <f t="shared" si="75"/>
        <v>1</v>
      </c>
      <c r="D141" s="227" t="str">
        <f t="shared" ca="1" si="67"/>
        <v>02.002.004.001</v>
      </c>
      <c r="E141" s="228" t="str">
        <f t="shared" ca="1" si="47"/>
        <v>02.002.004.001</v>
      </c>
      <c r="F141" s="230">
        <f ca="1">IF($B141="UNIDADE CONSTRUTIVA",OFFSET(F141,-1,0)+1,LARGE(F$10:F140,1))</f>
        <v>1</v>
      </c>
      <c r="G141" s="228" t="str">
        <f t="shared" ca="1" si="68"/>
        <v xml:space="preserve">   GERENCIAMENTO TÉCNICO E ADMINISTRATIVO</v>
      </c>
      <c r="H141" s="230">
        <f t="shared" ca="1" si="48"/>
        <v>2</v>
      </c>
      <c r="I141" s="228" t="str">
        <f t="shared" ca="1" si="69"/>
        <v xml:space="preserve">   GERENCIAMENTO ADMINISTRATIVO</v>
      </c>
      <c r="J141" s="230">
        <f t="shared" ca="1" si="49"/>
        <v>2</v>
      </c>
      <c r="K141" s="228" t="str">
        <f t="shared" ca="1" si="70"/>
        <v xml:space="preserve">   ADMINISTRAÇÃO | CANTEIRO DE OBRAS</v>
      </c>
      <c r="L141" s="231">
        <f t="shared" ca="1" si="50"/>
        <v>4</v>
      </c>
      <c r="M141" s="228" t="str">
        <f t="shared" ca="1" si="71"/>
        <v xml:space="preserve">   Instalações Provisórias</v>
      </c>
      <c r="N141" s="231">
        <f t="shared" ca="1" si="51"/>
        <v>1</v>
      </c>
      <c r="O141" s="228" t="str">
        <f t="shared" ca="1" si="72"/>
        <v>Instalacoes provisorias de rede de água</v>
      </c>
      <c r="P141" s="232" t="str">
        <f>IF(S141="","",IF(Orçamento!$B141="INSUMO",S141,""))</f>
        <v/>
      </c>
      <c r="Q141" s="244" t="str">
        <f t="shared" si="73"/>
        <v>Instalacoes provisorias de rede de água</v>
      </c>
      <c r="R141" s="234">
        <f t="shared" ref="R141:R172" ca="1" si="79">IF(B141="serviço",U141,OFFSET(R141,-1,0))</f>
        <v>1</v>
      </c>
      <c r="S141" s="233" t="s">
        <v>428</v>
      </c>
      <c r="T141" s="242" t="s">
        <v>170</v>
      </c>
      <c r="U141" s="235">
        <v>1</v>
      </c>
      <c r="V141" s="320" t="s">
        <v>35</v>
      </c>
      <c r="W141" s="236" t="str">
        <f>IFERROR(IF(B141="INSUMO",_xlfn.XLOOKUP(S141,Insumos!A:A,Insumos!C:C),""),"Inserir Preço")</f>
        <v/>
      </c>
      <c r="X141" s="235">
        <f t="shared" ca="1" si="74"/>
        <v>1</v>
      </c>
      <c r="Y141" s="236">
        <f t="shared" ca="1" si="76"/>
        <v>2332.5602176638477</v>
      </c>
      <c r="Z141" s="237">
        <f t="shared" ca="1" si="77"/>
        <v>2332.5602176638477</v>
      </c>
      <c r="AA141" s="238"/>
      <c r="AB141" s="233" t="str">
        <f>IF(B141="insumo",_xlfn.XLOOKUP(S141,Insumos!A:A,Insumos!D:D),"")</f>
        <v/>
      </c>
      <c r="AC141" s="239">
        <f t="shared" ca="1" si="78"/>
        <v>3.3462702965244374E-4</v>
      </c>
      <c r="AE141" s="240">
        <f ca="1">IFERROR(IF(OR(Z141="",Z141=0),"",IF(AF141="","",IF(AF141="R$/mês",Z141/OBRA!$D$12,IF(AF141="R$/m²",Z141/OBRA!$D$10,IF(AF141="R$/apto",Orçamento!Z141/OBRA!$D$11,""))))),"")</f>
        <v>1.2003521032836297</v>
      </c>
      <c r="AF141" s="241" t="s">
        <v>154</v>
      </c>
    </row>
    <row r="142" spans="1:32" s="10" customFormat="1" ht="13.15" hidden="1" customHeight="1" outlineLevel="4" x14ac:dyDescent="0.2">
      <c r="A142" s="227"/>
      <c r="B142" s="228" t="s">
        <v>19</v>
      </c>
      <c r="C142" s="229">
        <f t="shared" si="75"/>
        <v>1</v>
      </c>
      <c r="D142" s="227" t="str">
        <f t="shared" si="67"/>
        <v/>
      </c>
      <c r="E142" s="228" t="str">
        <f t="shared" ca="1" si="47"/>
        <v>02.002.004.001</v>
      </c>
      <c r="F142" s="230">
        <f ca="1">IF($B142="UNIDADE CONSTRUTIVA",OFFSET(F142,-1,0)+1,LARGE(F$10:F141,1))</f>
        <v>1</v>
      </c>
      <c r="G142" s="228" t="str">
        <f t="shared" ca="1" si="68"/>
        <v xml:space="preserve">   GERENCIAMENTO TÉCNICO E ADMINISTRATIVO</v>
      </c>
      <c r="H142" s="230">
        <f t="shared" ca="1" si="48"/>
        <v>2</v>
      </c>
      <c r="I142" s="228" t="str">
        <f t="shared" ca="1" si="69"/>
        <v xml:space="preserve">   GERENCIAMENTO ADMINISTRATIVO</v>
      </c>
      <c r="J142" s="230">
        <f t="shared" ca="1" si="49"/>
        <v>2</v>
      </c>
      <c r="K142" s="228" t="str">
        <f t="shared" ca="1" si="70"/>
        <v xml:space="preserve">   ADMINISTRAÇÃO | CANTEIRO DE OBRAS</v>
      </c>
      <c r="L142" s="231">
        <f t="shared" ca="1" si="50"/>
        <v>4</v>
      </c>
      <c r="M142" s="228" t="str">
        <f t="shared" ca="1" si="71"/>
        <v xml:space="preserve">   Instalações Provisórias</v>
      </c>
      <c r="N142" s="231">
        <f t="shared" ca="1" si="51"/>
        <v>1</v>
      </c>
      <c r="O142" s="228" t="str">
        <f t="shared" ca="1" si="72"/>
        <v>Instalacoes provisorias de rede de água</v>
      </c>
      <c r="P142" s="232" t="str">
        <f>IF(S142="","",IF(Orçamento!$B142="INSUMO",S142,""))</f>
        <v>INSTALACOES PROVISORIAS REDE DE AGUA</v>
      </c>
      <c r="Q142" s="244" t="str">
        <f t="shared" si="73"/>
        <v/>
      </c>
      <c r="R142" s="234">
        <f t="shared" ca="1" si="79"/>
        <v>1</v>
      </c>
      <c r="S142" s="233" t="s">
        <v>350</v>
      </c>
      <c r="T142" s="242" t="str">
        <f>_xlfn.XLOOKUP(S142,Insumos!$A$3:$A$371,Insumos!$B$3:$B$371)</f>
        <v>VB</v>
      </c>
      <c r="U142" s="235">
        <f ca="1">IF($B142="insumo",R142,"")</f>
        <v>1</v>
      </c>
      <c r="V142" s="320">
        <v>1</v>
      </c>
      <c r="W142" s="236">
        <f>IFERROR(IF(B142="INSUMO",_xlfn.XLOOKUP(S142,Insumos!A:A,Insumos!C:C),""),"Inserir Preço")</f>
        <v>2332.5602176638477</v>
      </c>
      <c r="X142" s="235">
        <f t="shared" ca="1" si="74"/>
        <v>1</v>
      </c>
      <c r="Y142" s="236">
        <f t="shared" si="76"/>
        <v>2332.5602176638477</v>
      </c>
      <c r="Z142" s="237">
        <f t="shared" ca="1" si="77"/>
        <v>2332.5602176638477</v>
      </c>
      <c r="AA142" s="238"/>
      <c r="AB142" s="233" t="str">
        <f>IF(B142="insumo",_xlfn.XLOOKUP(S142,Insumos!A:A,Insumos!D:D),"")</f>
        <v>Base de dados</v>
      </c>
      <c r="AC142" s="239">
        <f t="shared" ca="1" si="78"/>
        <v>3.3462702965244374E-4</v>
      </c>
      <c r="AE142" s="240">
        <f ca="1">IFERROR(IF(OR(Z142="",Z142=0),"",IF(AF142="","",IF(AF142="R$/mês",Z142/OBRA!$D$12,IF(AF142="R$/m²",Z142/OBRA!$D$10,IF(AF142="R$/apto",Orçamento!Z142/OBRA!$D$11,""))))),"")</f>
        <v>1.2003521032836297</v>
      </c>
      <c r="AF142" s="241" t="s">
        <v>154</v>
      </c>
    </row>
    <row r="143" spans="1:32" s="10" customFormat="1" ht="13.15" hidden="1" customHeight="1" outlineLevel="4" x14ac:dyDescent="0.2">
      <c r="A143" s="227"/>
      <c r="B143" s="228" t="s">
        <v>4</v>
      </c>
      <c r="C143" s="229">
        <f t="shared" si="75"/>
        <v>1</v>
      </c>
      <c r="D143" s="227" t="str">
        <f t="shared" ca="1" si="67"/>
        <v>02.002.004.002</v>
      </c>
      <c r="E143" s="228" t="str">
        <f t="shared" ca="1" si="47"/>
        <v>02.002.004.002</v>
      </c>
      <c r="F143" s="230">
        <f ca="1">IF($B143="UNIDADE CONSTRUTIVA",OFFSET(F143,-1,0)+1,LARGE(F$10:F142,1))</f>
        <v>1</v>
      </c>
      <c r="G143" s="228" t="str">
        <f t="shared" ca="1" si="68"/>
        <v xml:space="preserve">   GERENCIAMENTO TÉCNICO E ADMINISTRATIVO</v>
      </c>
      <c r="H143" s="230">
        <f t="shared" ca="1" si="48"/>
        <v>2</v>
      </c>
      <c r="I143" s="228" t="str">
        <f t="shared" ca="1" si="69"/>
        <v xml:space="preserve">   GERENCIAMENTO ADMINISTRATIVO</v>
      </c>
      <c r="J143" s="230">
        <f t="shared" ca="1" si="49"/>
        <v>2</v>
      </c>
      <c r="K143" s="228" t="str">
        <f t="shared" ca="1" si="70"/>
        <v xml:space="preserve">   ADMINISTRAÇÃO | CANTEIRO DE OBRAS</v>
      </c>
      <c r="L143" s="231">
        <f t="shared" ca="1" si="50"/>
        <v>4</v>
      </c>
      <c r="M143" s="228" t="str">
        <f t="shared" ca="1" si="71"/>
        <v xml:space="preserve">   Instalações Provisórias</v>
      </c>
      <c r="N143" s="231">
        <f t="shared" ca="1" si="51"/>
        <v>2</v>
      </c>
      <c r="O143" s="228" t="str">
        <f t="shared" ca="1" si="72"/>
        <v>Instalacoes provisorias de rede elétrica</v>
      </c>
      <c r="P143" s="232" t="str">
        <f>IF(S143="","",IF(Orçamento!$B143="INSUMO",S143,""))</f>
        <v/>
      </c>
      <c r="Q143" s="244" t="str">
        <f t="shared" si="73"/>
        <v>Instalacoes provisorias de rede elétrica</v>
      </c>
      <c r="R143" s="234">
        <f t="shared" ca="1" si="79"/>
        <v>1</v>
      </c>
      <c r="S143" s="233" t="s">
        <v>429</v>
      </c>
      <c r="T143" s="242" t="s">
        <v>170</v>
      </c>
      <c r="U143" s="235">
        <v>1</v>
      </c>
      <c r="V143" s="320" t="s">
        <v>35</v>
      </c>
      <c r="W143" s="236" t="str">
        <f>IFERROR(IF(B143="INSUMO",_xlfn.XLOOKUP(S143,Insumos!A:A,Insumos!C:C),""),"Inserir Preço")</f>
        <v/>
      </c>
      <c r="X143" s="235">
        <f t="shared" ca="1" si="74"/>
        <v>1</v>
      </c>
      <c r="Y143" s="236">
        <f t="shared" ca="1" si="76"/>
        <v>2043.1499684351852</v>
      </c>
      <c r="Z143" s="237">
        <f t="shared" ca="1" si="77"/>
        <v>2043.1499684351852</v>
      </c>
      <c r="AA143" s="238"/>
      <c r="AB143" s="233" t="str">
        <f>IF(B143="insumo",_xlfn.XLOOKUP(S143,Insumos!A:A,Insumos!D:D),"")</f>
        <v/>
      </c>
      <c r="AC143" s="239">
        <f t="shared" ca="1" si="78"/>
        <v>2.9310849078815907E-4</v>
      </c>
      <c r="AE143" s="240">
        <f ca="1">IFERROR(IF(OR(Z143="",Z143=0),"",IF(AF143="","",IF(AF143="R$/mês",Z143/OBRA!$D$12,IF(AF143="R$/m²",Z143/OBRA!$D$10,IF(AF143="R$/apto",Orçamento!Z143/OBRA!$D$11,""))))),"")</f>
        <v>1.051419527505846</v>
      </c>
      <c r="AF143" s="241" t="s">
        <v>154</v>
      </c>
    </row>
    <row r="144" spans="1:32" s="10" customFormat="1" ht="13.15" hidden="1" customHeight="1" outlineLevel="4" x14ac:dyDescent="0.2">
      <c r="A144" s="227"/>
      <c r="B144" s="228" t="s">
        <v>19</v>
      </c>
      <c r="C144" s="229">
        <f t="shared" si="75"/>
        <v>1</v>
      </c>
      <c r="D144" s="227" t="str">
        <f t="shared" si="67"/>
        <v/>
      </c>
      <c r="E144" s="228" t="str">
        <f t="shared" ca="1" si="47"/>
        <v>02.002.004.002</v>
      </c>
      <c r="F144" s="230">
        <f ca="1">IF($B144="UNIDADE CONSTRUTIVA",OFFSET(F144,-1,0)+1,LARGE(F$10:F143,1))</f>
        <v>1</v>
      </c>
      <c r="G144" s="228" t="str">
        <f t="shared" ca="1" si="68"/>
        <v xml:space="preserve">   GERENCIAMENTO TÉCNICO E ADMINISTRATIVO</v>
      </c>
      <c r="H144" s="230">
        <f t="shared" ca="1" si="48"/>
        <v>2</v>
      </c>
      <c r="I144" s="228" t="str">
        <f t="shared" ca="1" si="69"/>
        <v xml:space="preserve">   GERENCIAMENTO ADMINISTRATIVO</v>
      </c>
      <c r="J144" s="230">
        <f t="shared" ca="1" si="49"/>
        <v>2</v>
      </c>
      <c r="K144" s="228" t="str">
        <f t="shared" ca="1" si="70"/>
        <v xml:space="preserve">   ADMINISTRAÇÃO | CANTEIRO DE OBRAS</v>
      </c>
      <c r="L144" s="231">
        <f t="shared" ca="1" si="50"/>
        <v>4</v>
      </c>
      <c r="M144" s="228" t="str">
        <f t="shared" ca="1" si="71"/>
        <v xml:space="preserve">   Instalações Provisórias</v>
      </c>
      <c r="N144" s="231">
        <f t="shared" ca="1" si="51"/>
        <v>2</v>
      </c>
      <c r="O144" s="228" t="str">
        <f t="shared" ca="1" si="72"/>
        <v>Instalacoes provisorias de rede elétrica</v>
      </c>
      <c r="P144" s="232" t="str">
        <f>IF(S144="","",IF(Orçamento!$B144="INSUMO",S144,""))</f>
        <v>INSTALACOES PROVISORIAS REDE ELETRICA</v>
      </c>
      <c r="Q144" s="244" t="str">
        <f t="shared" si="73"/>
        <v/>
      </c>
      <c r="R144" s="234">
        <f t="shared" ca="1" si="79"/>
        <v>1</v>
      </c>
      <c r="S144" s="233" t="s">
        <v>354</v>
      </c>
      <c r="T144" s="242" t="str">
        <f>_xlfn.XLOOKUP(S144,Insumos!$A$3:$A$371,Insumos!$B$3:$B$371)</f>
        <v>VB</v>
      </c>
      <c r="U144" s="235">
        <f ca="1">IF($B144="insumo",R144,"")</f>
        <v>1</v>
      </c>
      <c r="V144" s="320">
        <v>1</v>
      </c>
      <c r="W144" s="236">
        <f>IFERROR(IF(B144="INSUMO",_xlfn.XLOOKUP(S144,Insumos!A:A,Insumos!C:C),""),"Inserir Preço")</f>
        <v>2043.1499684351852</v>
      </c>
      <c r="X144" s="235">
        <f t="shared" ca="1" si="74"/>
        <v>1</v>
      </c>
      <c r="Y144" s="236">
        <f t="shared" si="76"/>
        <v>2043.1499684351852</v>
      </c>
      <c r="Z144" s="237">
        <f t="shared" ca="1" si="77"/>
        <v>2043.1499684351852</v>
      </c>
      <c r="AA144" s="238"/>
      <c r="AB144" s="233" t="str">
        <f>IF(B144="insumo",_xlfn.XLOOKUP(S144,Insumos!A:A,Insumos!D:D),"")</f>
        <v>Base de dados</v>
      </c>
      <c r="AC144" s="239">
        <f t="shared" ca="1" si="78"/>
        <v>2.9310849078815907E-4</v>
      </c>
      <c r="AE144" s="240">
        <f ca="1">IFERROR(IF(OR(Z144="",Z144=0),"",IF(AF144="","",IF(AF144="R$/mês",Z144/OBRA!$D$12,IF(AF144="R$/m²",Z144/OBRA!$D$10,IF(AF144="R$/apto",Orçamento!Z144/OBRA!$D$11,""))))),"")</f>
        <v>1.051419527505846</v>
      </c>
      <c r="AF144" s="241" t="s">
        <v>154</v>
      </c>
    </row>
    <row r="145" spans="1:32" s="10" customFormat="1" ht="13.15" hidden="1" customHeight="1" outlineLevel="4" x14ac:dyDescent="0.2">
      <c r="A145" s="227"/>
      <c r="B145" s="228" t="s">
        <v>4</v>
      </c>
      <c r="C145" s="229">
        <f t="shared" si="75"/>
        <v>1</v>
      </c>
      <c r="D145" s="227" t="str">
        <f t="shared" ca="1" si="67"/>
        <v>02.002.004.003</v>
      </c>
      <c r="E145" s="228" t="str">
        <f t="shared" ca="1" si="47"/>
        <v>02.002.004.003</v>
      </c>
      <c r="F145" s="230">
        <f ca="1">IF($B145="UNIDADE CONSTRUTIVA",OFFSET(F145,-1,0)+1,LARGE(F$10:F144,1))</f>
        <v>1</v>
      </c>
      <c r="G145" s="228" t="str">
        <f t="shared" ca="1" si="68"/>
        <v xml:space="preserve">   GERENCIAMENTO TÉCNICO E ADMINISTRATIVO</v>
      </c>
      <c r="H145" s="230">
        <f t="shared" ca="1" si="48"/>
        <v>2</v>
      </c>
      <c r="I145" s="228" t="str">
        <f t="shared" ca="1" si="69"/>
        <v xml:space="preserve">   GERENCIAMENTO ADMINISTRATIVO</v>
      </c>
      <c r="J145" s="230">
        <f t="shared" ca="1" si="49"/>
        <v>2</v>
      </c>
      <c r="K145" s="228" t="str">
        <f t="shared" ca="1" si="70"/>
        <v xml:space="preserve">   ADMINISTRAÇÃO | CANTEIRO DE OBRAS</v>
      </c>
      <c r="L145" s="231">
        <f t="shared" ca="1" si="50"/>
        <v>4</v>
      </c>
      <c r="M145" s="228" t="str">
        <f t="shared" ca="1" si="71"/>
        <v xml:space="preserve">   Instalações Provisórias</v>
      </c>
      <c r="N145" s="231">
        <f t="shared" ca="1" si="51"/>
        <v>3</v>
      </c>
      <c r="O145" s="228" t="str">
        <f t="shared" ca="1" si="72"/>
        <v>Instalacoes provisorias de canteiro - Baias, Almoxarifado e Escritório</v>
      </c>
      <c r="P145" s="232" t="str">
        <f>IF(S145="","",IF(Orçamento!$B145="INSUMO",S145,""))</f>
        <v/>
      </c>
      <c r="Q145" s="244" t="str">
        <f t="shared" si="73"/>
        <v>Instalacoes provisorias de canteiro - Baias, Almoxarifado e Escritório</v>
      </c>
      <c r="R145" s="234">
        <f t="shared" ca="1" si="79"/>
        <v>1</v>
      </c>
      <c r="S145" s="233" t="s">
        <v>598</v>
      </c>
      <c r="T145" s="242" t="s">
        <v>170</v>
      </c>
      <c r="U145" s="235">
        <v>1</v>
      </c>
      <c r="V145" s="320" t="s">
        <v>35</v>
      </c>
      <c r="W145" s="236" t="str">
        <f>IFERROR(IF(B145="INSUMO",_xlfn.XLOOKUP(S145,Insumos!A:A,Insumos!C:C),""),"Inserir Preço")</f>
        <v/>
      </c>
      <c r="X145" s="235">
        <f t="shared" ca="1" si="74"/>
        <v>1</v>
      </c>
      <c r="Y145" s="236">
        <f t="shared" ca="1" si="76"/>
        <v>26970</v>
      </c>
      <c r="Z145" s="237">
        <f t="shared" ca="1" si="77"/>
        <v>26970</v>
      </c>
      <c r="AA145" s="238"/>
      <c r="AB145" s="233" t="str">
        <f>IF(B145="insumo",_xlfn.XLOOKUP(S145,Insumos!A:A,Insumos!D:D),"")</f>
        <v/>
      </c>
      <c r="AC145" s="239">
        <f t="shared" ca="1" si="78"/>
        <v>3.8690923910059639E-3</v>
      </c>
      <c r="AE145" s="240">
        <f ca="1">IFERROR(IF(OR(Z145="",Z145=0),"",IF(AF145="","",IF(AF145="R$/mês",Z145/OBRA!$D$12,IF(AF145="R$/m²",Z145/OBRA!$D$10,IF(AF145="R$/apto",Orçamento!Z145/OBRA!$D$11,""))))),"")</f>
        <v>13.878954112482825</v>
      </c>
      <c r="AF145" s="241" t="s">
        <v>154</v>
      </c>
    </row>
    <row r="146" spans="1:32" s="10" customFormat="1" ht="13.15" hidden="1" customHeight="1" outlineLevel="4" x14ac:dyDescent="0.2">
      <c r="A146" s="227"/>
      <c r="B146" s="228" t="s">
        <v>19</v>
      </c>
      <c r="C146" s="229">
        <f t="shared" si="75"/>
        <v>1</v>
      </c>
      <c r="D146" s="227" t="str">
        <f t="shared" si="67"/>
        <v/>
      </c>
      <c r="E146" s="228" t="str">
        <f ca="1">IF(B146="*","",IFERROR(IF(B146="SERVIÇO",D146,OFFSET(E146,-1,0)),""))</f>
        <v>02.002.004.003</v>
      </c>
      <c r="F146" s="230">
        <f ca="1">IF($B146="UNIDADE CONSTRUTIVA",OFFSET(F146,-1,0)+1,LARGE(F$10:F145,1))</f>
        <v>1</v>
      </c>
      <c r="G146" s="228" t="str">
        <f t="shared" ca="1" si="68"/>
        <v xml:space="preserve">   GERENCIAMENTO TÉCNICO E ADMINISTRATIVO</v>
      </c>
      <c r="H146" s="230">
        <f ca="1">IF(B146="UNIDADE CONSTRUTIVA",0,IF(B146="CÉLULA CONSTRUTIVA",OFFSET(H146,-1,0)+1,OFFSET(H146,-1,0)))</f>
        <v>2</v>
      </c>
      <c r="I146" s="228" t="str">
        <f t="shared" ca="1" si="69"/>
        <v xml:space="preserve">   GERENCIAMENTO ADMINISTRATIVO</v>
      </c>
      <c r="J146" s="230">
        <f ca="1">IF(B146="CÉLULA CONSTRUTIVA",0,IF(B146="ETAPA",OFFSET(J146,-1,0)+1,OFFSET(J146,-1,0)))</f>
        <v>2</v>
      </c>
      <c r="K146" s="228" t="str">
        <f t="shared" ca="1" si="70"/>
        <v xml:space="preserve">   ADMINISTRAÇÃO | CANTEIRO DE OBRAS</v>
      </c>
      <c r="L146" s="231">
        <f ca="1">IF(B146="ETAPA",0,IF(B146="SUBETAPA",OFFSET(L146,-1,0)+1,OFFSET(L146,-1,0)))</f>
        <v>4</v>
      </c>
      <c r="M146" s="228" t="str">
        <f t="shared" ca="1" si="71"/>
        <v xml:space="preserve">   Instalações Provisórias</v>
      </c>
      <c r="N146" s="231">
        <f ca="1">IF(B146="Subetapa",0,IF(B146="serviço",OFFSET(N146,-1,0)+1,OFFSET(N146,-1,0)))</f>
        <v>3</v>
      </c>
      <c r="O146" s="228" t="str">
        <f t="shared" ca="1" si="72"/>
        <v>Instalacoes provisorias de canteiro - Baias, Almoxarifado e Escritório</v>
      </c>
      <c r="P146" s="232" t="str">
        <f>IF(S146="","",IF(Orçamento!$B146="INSUMO",S146,""))</f>
        <v>INSTALACOES PROVISORIAS DE CANTEIRO</v>
      </c>
      <c r="Q146" s="244" t="str">
        <f t="shared" si="73"/>
        <v/>
      </c>
      <c r="R146" s="234">
        <f t="shared" ca="1" si="79"/>
        <v>1</v>
      </c>
      <c r="S146" s="233" t="s">
        <v>315</v>
      </c>
      <c r="T146" s="242" t="str">
        <f>_xlfn.XLOOKUP(S146,Insumos!$A$3:$A$371,Insumos!$B$3:$B$371)</f>
        <v>VB</v>
      </c>
      <c r="U146" s="235">
        <f ca="1">IF($B146="insumo",R146,"")</f>
        <v>1</v>
      </c>
      <c r="V146" s="320">
        <v>1</v>
      </c>
      <c r="W146" s="236">
        <f>IFERROR(IF(B146="INSUMO",_xlfn.XLOOKUP(S146,Insumos!A:A,Insumos!C:C),""),"Inserir Preço")</f>
        <v>26970</v>
      </c>
      <c r="X146" s="235">
        <f t="shared" ca="1" si="74"/>
        <v>1</v>
      </c>
      <c r="Y146" s="236">
        <f t="shared" si="76"/>
        <v>26970</v>
      </c>
      <c r="Z146" s="237">
        <f t="shared" ca="1" si="77"/>
        <v>26970</v>
      </c>
      <c r="AA146" s="238"/>
      <c r="AB146" s="233" t="str">
        <f>IF(B146="insumo",_xlfn.XLOOKUP(S146,Insumos!A:A,Insumos!D:D),"")</f>
        <v>Base de dados</v>
      </c>
      <c r="AC146" s="239">
        <f t="shared" ca="1" si="78"/>
        <v>3.8690923910059639E-3</v>
      </c>
      <c r="AE146" s="240">
        <f ca="1">IFERROR(IF(OR(Z146="",Z146=0),"",IF(AF146="","",IF(AF146="R$/mês",Z146/OBRA!$D$12,IF(AF146="R$/m²",Z146/OBRA!$D$10,IF(AF146="R$/apto",Orçamento!Z146/OBRA!$D$11,""))))),"")</f>
        <v>13.878954112482825</v>
      </c>
      <c r="AF146" s="241" t="s">
        <v>154</v>
      </c>
    </row>
    <row r="147" spans="1:32" s="10" customFormat="1" ht="13.15" hidden="1" customHeight="1" outlineLevel="4" x14ac:dyDescent="0.2">
      <c r="A147" s="227"/>
      <c r="B147" s="228" t="s">
        <v>4</v>
      </c>
      <c r="C147" s="229">
        <f t="shared" si="75"/>
        <v>1</v>
      </c>
      <c r="D147" s="227" t="str">
        <f t="shared" ca="1" si="67"/>
        <v>02.002.004.004</v>
      </c>
      <c r="E147" s="228" t="str">
        <f ca="1">IF(B147="*","",IFERROR(IF(B147="SERVIÇO",D147,OFFSET(E147,-1,0)),""))</f>
        <v>02.002.004.004</v>
      </c>
      <c r="F147" s="230">
        <f ca="1">IF($B147="UNIDADE CONSTRUTIVA",OFFSET(F147,-1,0)+1,LARGE(F$10:F146,1))</f>
        <v>1</v>
      </c>
      <c r="G147" s="228" t="str">
        <f t="shared" ca="1" si="68"/>
        <v xml:space="preserve">   GERENCIAMENTO TÉCNICO E ADMINISTRATIVO</v>
      </c>
      <c r="H147" s="230">
        <f ca="1">IF(B147="UNIDADE CONSTRUTIVA",0,IF(B147="CÉLULA CONSTRUTIVA",OFFSET(H147,-1,0)+1,OFFSET(H147,-1,0)))</f>
        <v>2</v>
      </c>
      <c r="I147" s="228" t="str">
        <f t="shared" ca="1" si="69"/>
        <v xml:space="preserve">   GERENCIAMENTO ADMINISTRATIVO</v>
      </c>
      <c r="J147" s="230">
        <f ca="1">IF(B147="CÉLULA CONSTRUTIVA",0,IF(B147="ETAPA",OFFSET(J147,-1,0)+1,OFFSET(J147,-1,0)))</f>
        <v>2</v>
      </c>
      <c r="K147" s="228" t="str">
        <f t="shared" ca="1" si="70"/>
        <v xml:space="preserve">   ADMINISTRAÇÃO | CANTEIRO DE OBRAS</v>
      </c>
      <c r="L147" s="231">
        <f ca="1">IF(B147="ETAPA",0,IF(B147="SUBETAPA",OFFSET(L147,-1,0)+1,OFFSET(L147,-1,0)))</f>
        <v>4</v>
      </c>
      <c r="M147" s="228" t="str">
        <f t="shared" ca="1" si="71"/>
        <v xml:space="preserve">   Instalações Provisórias</v>
      </c>
      <c r="N147" s="231">
        <f ca="1">IF(B147="Subetapa",0,IF(B147="serviço",OFFSET(N147,-1,0)+1,OFFSET(N147,-1,0)))</f>
        <v>4</v>
      </c>
      <c r="O147" s="228" t="str">
        <f t="shared" ca="1" si="72"/>
        <v xml:space="preserve">Locacao de banheiro quimico </v>
      </c>
      <c r="P147" s="232" t="str">
        <f>IF(S147="","",IF(Orçamento!$B147="INSUMO",S147,""))</f>
        <v/>
      </c>
      <c r="Q147" s="244" t="str">
        <f t="shared" si="73"/>
        <v xml:space="preserve">Locacao de banheiro quimico </v>
      </c>
      <c r="R147" s="234">
        <f t="shared" ca="1" si="79"/>
        <v>7</v>
      </c>
      <c r="S147" s="233" t="s">
        <v>1218</v>
      </c>
      <c r="T147" s="242" t="s">
        <v>260</v>
      </c>
      <c r="U147" s="235">
        <v>7</v>
      </c>
      <c r="V147" s="320" t="s">
        <v>35</v>
      </c>
      <c r="W147" s="236" t="str">
        <f>IFERROR(IF(B147="INSUMO",_xlfn.XLOOKUP(S147,Insumos!A:A,Insumos!C:C),""),"Inserir Preço")</f>
        <v/>
      </c>
      <c r="X147" s="235">
        <f t="shared" ca="1" si="74"/>
        <v>7</v>
      </c>
      <c r="Y147" s="236">
        <f t="shared" ca="1" si="76"/>
        <v>900</v>
      </c>
      <c r="Z147" s="237">
        <f t="shared" ca="1" si="77"/>
        <v>6300</v>
      </c>
      <c r="AA147" s="238"/>
      <c r="AB147" s="233" t="str">
        <f>IF(B147="insumo",_xlfn.XLOOKUP(S147,Insumos!A:A,Insumos!D:D),"")</f>
        <v/>
      </c>
      <c r="AC147" s="239">
        <f t="shared" ca="1" si="78"/>
        <v>9.0379243838848995E-4</v>
      </c>
      <c r="AE147" s="240">
        <f ca="1">IFERROR(IF(OR(Z147="",Z147=0),"",IF(AF147="","",IF(AF147="R$/mês",Z147/OBRA!$D$12,IF(AF147="R$/m²",Z147/OBRA!$D$10,IF(AF147="R$/apto",Orçamento!Z147/OBRA!$D$11,""))))),"")</f>
        <v>3.242024876108335</v>
      </c>
      <c r="AF147" s="241" t="s">
        <v>154</v>
      </c>
    </row>
    <row r="148" spans="1:32" s="10" customFormat="1" ht="13.15" hidden="1" customHeight="1" outlineLevel="4" x14ac:dyDescent="0.2">
      <c r="A148" s="227"/>
      <c r="B148" s="228" t="s">
        <v>19</v>
      </c>
      <c r="C148" s="229">
        <f t="shared" si="75"/>
        <v>1</v>
      </c>
      <c r="D148" s="227" t="str">
        <f t="shared" si="67"/>
        <v/>
      </c>
      <c r="E148" s="228" t="str">
        <f ca="1">IF(B148="*","",IFERROR(IF(B148="SERVIÇO",D148,OFFSET(E148,-1,0)),""))</f>
        <v>02.002.004.004</v>
      </c>
      <c r="F148" s="230">
        <f ca="1">IF($B148="UNIDADE CONSTRUTIVA",OFFSET(F148,-1,0)+1,LARGE(F$10:F147,1))</f>
        <v>1</v>
      </c>
      <c r="G148" s="228" t="str">
        <f t="shared" ca="1" si="68"/>
        <v xml:space="preserve">   GERENCIAMENTO TÉCNICO E ADMINISTRATIVO</v>
      </c>
      <c r="H148" s="230">
        <f ca="1">IF(B148="UNIDADE CONSTRUTIVA",0,IF(B148="CÉLULA CONSTRUTIVA",OFFSET(H148,-1,0)+1,OFFSET(H148,-1,0)))</f>
        <v>2</v>
      </c>
      <c r="I148" s="228" t="str">
        <f t="shared" ca="1" si="69"/>
        <v xml:space="preserve">   GERENCIAMENTO ADMINISTRATIVO</v>
      </c>
      <c r="J148" s="230">
        <f ca="1">IF(B148="CÉLULA CONSTRUTIVA",0,IF(B148="ETAPA",OFFSET(J148,-1,0)+1,OFFSET(J148,-1,0)))</f>
        <v>2</v>
      </c>
      <c r="K148" s="228" t="str">
        <f t="shared" ca="1" si="70"/>
        <v xml:space="preserve">   ADMINISTRAÇÃO | CANTEIRO DE OBRAS</v>
      </c>
      <c r="L148" s="231">
        <f ca="1">IF(B148="ETAPA",0,IF(B148="SUBETAPA",OFFSET(L148,-1,0)+1,OFFSET(L148,-1,0)))</f>
        <v>4</v>
      </c>
      <c r="M148" s="228" t="str">
        <f t="shared" ca="1" si="71"/>
        <v xml:space="preserve">   Instalações Provisórias</v>
      </c>
      <c r="N148" s="231">
        <f ca="1">IF(B148="Subetapa",0,IF(B148="serviço",OFFSET(N148,-1,0)+1,OFFSET(N148,-1,0)))</f>
        <v>4</v>
      </c>
      <c r="O148" s="228" t="str">
        <f t="shared" ca="1" si="72"/>
        <v xml:space="preserve">Locacao de banheiro quimico </v>
      </c>
      <c r="P148" s="232" t="str">
        <f>IF(S148="","",IF(Orçamento!$B148="INSUMO",S148,""))</f>
        <v>LOCACAO DE BANHEIRO QUIMICO</v>
      </c>
      <c r="Q148" s="244" t="str">
        <f t="shared" si="73"/>
        <v/>
      </c>
      <c r="R148" s="234">
        <f t="shared" ca="1" si="79"/>
        <v>7</v>
      </c>
      <c r="S148" s="233" t="s">
        <v>331</v>
      </c>
      <c r="T148" s="242" t="str">
        <f>_xlfn.XLOOKUP(S148,Insumos!$A$3:$A$371,Insumos!$B$3:$B$371)</f>
        <v>MES</v>
      </c>
      <c r="U148" s="235">
        <f ca="1">IF($B148="insumo",R148,"")</f>
        <v>7</v>
      </c>
      <c r="V148" s="320">
        <v>1</v>
      </c>
      <c r="W148" s="236">
        <f>IFERROR(IF(B148="INSUMO",_xlfn.XLOOKUP(S148,Insumos!A:A,Insumos!C:C),""),"Inserir Preço")</f>
        <v>900</v>
      </c>
      <c r="X148" s="235">
        <f t="shared" ca="1" si="74"/>
        <v>7</v>
      </c>
      <c r="Y148" s="236">
        <f t="shared" si="76"/>
        <v>900</v>
      </c>
      <c r="Z148" s="237">
        <f t="shared" ca="1" si="77"/>
        <v>6300</v>
      </c>
      <c r="AA148" s="238"/>
      <c r="AB148" s="233" t="str">
        <f>IF(B148="insumo",_xlfn.XLOOKUP(S148,Insumos!A:A,Insumos!D:D),"")</f>
        <v>Recebido Cliente</v>
      </c>
      <c r="AC148" s="239">
        <f t="shared" ca="1" si="78"/>
        <v>9.0379243838848995E-4</v>
      </c>
      <c r="AE148" s="240">
        <f ca="1">IFERROR(IF(OR(Z148="",Z148=0),"",IF(AF148="","",IF(AF148="R$/mês",Z148/OBRA!$D$12,IF(AF148="R$/m²",Z148/OBRA!$D$10,IF(AF148="R$/apto",Orçamento!Z148/OBRA!$D$11,""))))),"")</f>
        <v>3.242024876108335</v>
      </c>
      <c r="AF148" s="241" t="s">
        <v>154</v>
      </c>
    </row>
    <row r="149" spans="1:32" s="10" customFormat="1" ht="13.15" hidden="1" customHeight="1" outlineLevel="4" x14ac:dyDescent="0.2">
      <c r="A149" s="227"/>
      <c r="B149" s="228" t="s">
        <v>4</v>
      </c>
      <c r="C149" s="229">
        <f t="shared" si="75"/>
        <v>1</v>
      </c>
      <c r="D149" s="227" t="str">
        <f t="shared" ca="1" si="67"/>
        <v>02.002.004.005</v>
      </c>
      <c r="E149" s="228" t="str">
        <f t="shared" ca="1" si="47"/>
        <v>02.002.004.005</v>
      </c>
      <c r="F149" s="230">
        <f ca="1">IF($B149="UNIDADE CONSTRUTIVA",OFFSET(F149,-1,0)+1,LARGE(F$10:F148,1))</f>
        <v>1</v>
      </c>
      <c r="G149" s="228" t="str">
        <f t="shared" ca="1" si="68"/>
        <v xml:space="preserve">   GERENCIAMENTO TÉCNICO E ADMINISTRATIVO</v>
      </c>
      <c r="H149" s="230">
        <f t="shared" ca="1" si="48"/>
        <v>2</v>
      </c>
      <c r="I149" s="228" t="str">
        <f t="shared" ca="1" si="69"/>
        <v xml:space="preserve">   GERENCIAMENTO ADMINISTRATIVO</v>
      </c>
      <c r="J149" s="230">
        <f t="shared" ca="1" si="49"/>
        <v>2</v>
      </c>
      <c r="K149" s="228" t="str">
        <f t="shared" ca="1" si="70"/>
        <v xml:space="preserve">   ADMINISTRAÇÃO | CANTEIRO DE OBRAS</v>
      </c>
      <c r="L149" s="231">
        <f t="shared" ca="1" si="50"/>
        <v>4</v>
      </c>
      <c r="M149" s="228" t="str">
        <f t="shared" ca="1" si="71"/>
        <v xml:space="preserve">   Instalações Provisórias</v>
      </c>
      <c r="N149" s="231">
        <f t="shared" ca="1" si="51"/>
        <v>5</v>
      </c>
      <c r="O149" s="228" t="str">
        <f t="shared" ca="1" si="72"/>
        <v>Tapume em telha metalica</v>
      </c>
      <c r="P149" s="232" t="str">
        <f>IF(S149="","",IF(Orçamento!$B149="INSUMO",S149,""))</f>
        <v/>
      </c>
      <c r="Q149" s="244" t="str">
        <f t="shared" si="73"/>
        <v>Tapume em telha metalica</v>
      </c>
      <c r="R149" s="234">
        <f t="shared" ca="1" si="79"/>
        <v>1</v>
      </c>
      <c r="S149" s="233" t="s">
        <v>430</v>
      </c>
      <c r="T149" s="242" t="s">
        <v>140</v>
      </c>
      <c r="U149" s="235">
        <v>1</v>
      </c>
      <c r="V149" s="320" t="s">
        <v>35</v>
      </c>
      <c r="W149" s="236" t="str">
        <f>IFERROR(IF(B149="INSUMO",_xlfn.XLOOKUP(S149,Insumos!A:A,Insumos!C:C),""),"Inserir Preço")</f>
        <v/>
      </c>
      <c r="X149" s="235">
        <f t="shared" ca="1" si="74"/>
        <v>1</v>
      </c>
      <c r="Y149" s="236">
        <f t="shared" ca="1" si="76"/>
        <v>1615</v>
      </c>
      <c r="Z149" s="237">
        <f t="shared" ca="1" si="77"/>
        <v>1615</v>
      </c>
      <c r="AA149" s="238"/>
      <c r="AB149" s="233" t="str">
        <f>IF(B149="insumo",_xlfn.XLOOKUP(S149,Insumos!A:A,Insumos!D:D),"")</f>
        <v/>
      </c>
      <c r="AC149" s="239">
        <f t="shared" ca="1" si="78"/>
        <v>2.3168647428530338E-4</v>
      </c>
      <c r="AE149" s="240">
        <f ca="1">IFERROR(IF(OR(Z149="",Z149=0),"",IF(AF149="","",IF(AF149="R$/mês",Z149/OBRA!$D$12,IF(AF149="R$/m²",Z149/OBRA!$D$10,IF(AF149="R$/apto",Orçamento!Z149/OBRA!$D$11,""))))),"")</f>
        <v>0.8310905039547557</v>
      </c>
      <c r="AF149" s="241" t="s">
        <v>154</v>
      </c>
    </row>
    <row r="150" spans="1:32" s="10" customFormat="1" ht="13.15" hidden="1" customHeight="1" outlineLevel="4" x14ac:dyDescent="0.2">
      <c r="A150" s="227"/>
      <c r="B150" s="228" t="s">
        <v>19</v>
      </c>
      <c r="C150" s="229">
        <f t="shared" si="75"/>
        <v>1</v>
      </c>
      <c r="D150" s="227" t="str">
        <f t="shared" si="67"/>
        <v/>
      </c>
      <c r="E150" s="228" t="str">
        <f t="shared" ca="1" si="47"/>
        <v>02.002.004.005</v>
      </c>
      <c r="F150" s="230">
        <f ca="1">IF($B150="UNIDADE CONSTRUTIVA",OFFSET(F150,-1,0)+1,LARGE(F$10:F149,1))</f>
        <v>1</v>
      </c>
      <c r="G150" s="228" t="str">
        <f t="shared" ca="1" si="68"/>
        <v xml:space="preserve">   GERENCIAMENTO TÉCNICO E ADMINISTRATIVO</v>
      </c>
      <c r="H150" s="230">
        <f t="shared" ca="1" si="48"/>
        <v>2</v>
      </c>
      <c r="I150" s="228" t="str">
        <f t="shared" ca="1" si="69"/>
        <v xml:space="preserve">   GERENCIAMENTO ADMINISTRATIVO</v>
      </c>
      <c r="J150" s="230">
        <f t="shared" ca="1" si="49"/>
        <v>2</v>
      </c>
      <c r="K150" s="228" t="str">
        <f t="shared" ca="1" si="70"/>
        <v xml:space="preserve">   ADMINISTRAÇÃO | CANTEIRO DE OBRAS</v>
      </c>
      <c r="L150" s="231">
        <f t="shared" ca="1" si="50"/>
        <v>4</v>
      </c>
      <c r="M150" s="228" t="str">
        <f t="shared" ca="1" si="71"/>
        <v xml:space="preserve">   Instalações Provisórias</v>
      </c>
      <c r="N150" s="231">
        <f t="shared" ca="1" si="51"/>
        <v>5</v>
      </c>
      <c r="O150" s="228" t="str">
        <f t="shared" ca="1" si="72"/>
        <v>Tapume em telha metalica</v>
      </c>
      <c r="P150" s="232" t="str">
        <f>IF(S150="","",IF(Orçamento!$B150="INSUMO",S150,""))</f>
        <v>VERBA PARA TAPUME</v>
      </c>
      <c r="Q150" s="244" t="str">
        <f t="shared" si="73"/>
        <v/>
      </c>
      <c r="R150" s="234">
        <f t="shared" ca="1" si="79"/>
        <v>1</v>
      </c>
      <c r="S150" s="233" t="s">
        <v>1199</v>
      </c>
      <c r="T150" s="242" t="str">
        <f>_xlfn.XLOOKUP(S150,Insumos!$A$3:$A$371,Insumos!$B$3:$B$371)</f>
        <v>VB</v>
      </c>
      <c r="U150" s="235">
        <f t="shared" ref="U150:U152" ca="1" si="80">IF($B150="insumo",R150,"")</f>
        <v>1</v>
      </c>
      <c r="V150" s="320">
        <v>1</v>
      </c>
      <c r="W150" s="236">
        <f>IFERROR(IF(B150="INSUMO",_xlfn.XLOOKUP(S150,Insumos!A:A,Insumos!C:C),""),"Inserir Preço")</f>
        <v>1615</v>
      </c>
      <c r="X150" s="235">
        <f t="shared" ca="1" si="74"/>
        <v>1</v>
      </c>
      <c r="Y150" s="236">
        <f t="shared" si="76"/>
        <v>1615</v>
      </c>
      <c r="Z150" s="237">
        <f t="shared" ca="1" si="77"/>
        <v>1615</v>
      </c>
      <c r="AA150" s="238"/>
      <c r="AB150" s="233" t="str">
        <f>IF(B150="insumo",_xlfn.XLOOKUP(S150,Insumos!A:A,Insumos!D:D),"")</f>
        <v>Balancete</v>
      </c>
      <c r="AC150" s="239">
        <f t="shared" ca="1" si="78"/>
        <v>2.3168647428530338E-4</v>
      </c>
      <c r="AE150" s="240">
        <f ca="1">IFERROR(IF(OR(Z150="",Z150=0),"",IF(AF150="","",IF(AF150="R$/mês",Z150/OBRA!$D$12,IF(AF150="R$/m²",Z150/OBRA!$D$10,IF(AF150="R$/apto",Orçamento!Z150/OBRA!$D$11,""))))),"")</f>
        <v>0.8310905039547557</v>
      </c>
      <c r="AF150" s="241" t="s">
        <v>154</v>
      </c>
    </row>
    <row r="151" spans="1:32" s="10" customFormat="1" ht="13.15" customHeight="1" outlineLevel="2" collapsed="1" x14ac:dyDescent="0.2">
      <c r="A151" s="227"/>
      <c r="B151" s="228" t="s">
        <v>2</v>
      </c>
      <c r="C151" s="229" t="str">
        <f t="shared" si="75"/>
        <v/>
      </c>
      <c r="D151" s="227" t="str">
        <f t="shared" ca="1" si="67"/>
        <v>02.003</v>
      </c>
      <c r="E151" s="228" t="str">
        <f t="shared" ca="1" si="47"/>
        <v>02.002.004.005</v>
      </c>
      <c r="F151" s="230">
        <f ca="1">IF($B151="UNIDADE CONSTRUTIVA",OFFSET(F151,-1,0)+1,LARGE(F$10:F150,1))</f>
        <v>1</v>
      </c>
      <c r="G151" s="228" t="str">
        <f t="shared" ca="1" si="68"/>
        <v xml:space="preserve">   GERENCIAMENTO TÉCNICO E ADMINISTRATIVO</v>
      </c>
      <c r="H151" s="230">
        <f t="shared" ca="1" si="48"/>
        <v>2</v>
      </c>
      <c r="I151" s="228" t="str">
        <f t="shared" ca="1" si="69"/>
        <v xml:space="preserve">   GERENCIAMENTO ADMINISTRATIVO</v>
      </c>
      <c r="J151" s="230">
        <f t="shared" ca="1" si="49"/>
        <v>3</v>
      </c>
      <c r="K151" s="228" t="str">
        <f t="shared" ca="1" si="70"/>
        <v xml:space="preserve">   EQUIPAMENTOS</v>
      </c>
      <c r="L151" s="231">
        <f t="shared" ca="1" si="50"/>
        <v>0</v>
      </c>
      <c r="M151" s="228" t="str">
        <f t="shared" ca="1" si="71"/>
        <v xml:space="preserve">   Instalações Provisórias</v>
      </c>
      <c r="N151" s="231">
        <f t="shared" ca="1" si="51"/>
        <v>5</v>
      </c>
      <c r="O151" s="228" t="str">
        <f t="shared" ca="1" si="72"/>
        <v>Tapume em telha metalica</v>
      </c>
      <c r="P151" s="232" t="str">
        <f>IF(S151="","",IF(Orçamento!$B151="INSUMO",S151,""))</f>
        <v/>
      </c>
      <c r="Q151" s="244" t="str">
        <f t="shared" si="73"/>
        <v/>
      </c>
      <c r="R151" s="234">
        <f t="shared" ca="1" si="79"/>
        <v>1</v>
      </c>
      <c r="S151" s="233" t="s">
        <v>431</v>
      </c>
      <c r="T151" s="242" t="s">
        <v>35</v>
      </c>
      <c r="U151" s="235" t="str">
        <f t="shared" si="80"/>
        <v/>
      </c>
      <c r="V151" s="320" t="s">
        <v>35</v>
      </c>
      <c r="W151" s="236" t="str">
        <f>IFERROR(IF(B151="INSUMO",_xlfn.XLOOKUP(S151,Insumos!A:A,Insumos!C:C),""),"Inserir Preço")</f>
        <v/>
      </c>
      <c r="X151" s="235" t="str">
        <f t="shared" ca="1" si="74"/>
        <v/>
      </c>
      <c r="Y151" s="236" t="str">
        <f t="shared" si="76"/>
        <v/>
      </c>
      <c r="Z151" s="237">
        <f t="shared" ca="1" si="77"/>
        <v>148287.5372019363</v>
      </c>
      <c r="AA151" s="238"/>
      <c r="AB151" s="233" t="str">
        <f>IF(B151="insumo",_xlfn.XLOOKUP(S151,Insumos!A:A,Insumos!D:D),"")</f>
        <v/>
      </c>
      <c r="AC151" s="239">
        <f t="shared" ca="1" si="78"/>
        <v>2.1273199179422528E-2</v>
      </c>
      <c r="AE151" s="240">
        <f ca="1">IFERROR(IF(OR(Z151="",Z151=0),"",IF(AF151="","",IF(AF151="R$/mês",Z151/OBRA!$D$12,IF(AF151="R$/m²",Z151/OBRA!$D$10,IF(AF151="R$/apto",Orçamento!Z151/OBRA!$D$11,""))))),"")</f>
        <v>76.309822924685335</v>
      </c>
      <c r="AF151" s="241" t="s">
        <v>154</v>
      </c>
    </row>
    <row r="152" spans="1:32" s="10" customFormat="1" ht="13.15" hidden="1" customHeight="1" outlineLevel="3" collapsed="1" x14ac:dyDescent="0.2">
      <c r="A152" s="227"/>
      <c r="B152" s="228" t="s">
        <v>3</v>
      </c>
      <c r="C152" s="229" t="str">
        <f t="shared" si="75"/>
        <v/>
      </c>
      <c r="D152" s="227" t="str">
        <f t="shared" ca="1" si="67"/>
        <v>02.003.001</v>
      </c>
      <c r="E152" s="228" t="str">
        <f t="shared" ca="1" si="47"/>
        <v>02.002.004.005</v>
      </c>
      <c r="F152" s="230">
        <f ca="1">IF($B152="UNIDADE CONSTRUTIVA",OFFSET(F152,-1,0)+1,LARGE(F$10:F151,1))</f>
        <v>1</v>
      </c>
      <c r="G152" s="228" t="str">
        <f t="shared" ca="1" si="68"/>
        <v xml:space="preserve">   GERENCIAMENTO TÉCNICO E ADMINISTRATIVO</v>
      </c>
      <c r="H152" s="230">
        <f t="shared" ca="1" si="48"/>
        <v>2</v>
      </c>
      <c r="I152" s="228" t="str">
        <f t="shared" ca="1" si="69"/>
        <v xml:space="preserve">   GERENCIAMENTO ADMINISTRATIVO</v>
      </c>
      <c r="J152" s="230">
        <f t="shared" ca="1" si="49"/>
        <v>3</v>
      </c>
      <c r="K152" s="228" t="str">
        <f t="shared" ca="1" si="70"/>
        <v xml:space="preserve">   EQUIPAMENTOS</v>
      </c>
      <c r="L152" s="231">
        <f t="shared" ca="1" si="50"/>
        <v>1</v>
      </c>
      <c r="M152" s="228" t="str">
        <f t="shared" ca="1" si="71"/>
        <v xml:space="preserve">   Equipamentos de Carga e Transporte</v>
      </c>
      <c r="N152" s="231">
        <f t="shared" ca="1" si="51"/>
        <v>0</v>
      </c>
      <c r="O152" s="228" t="str">
        <f t="shared" ca="1" si="72"/>
        <v>Tapume em telha metalica</v>
      </c>
      <c r="P152" s="232" t="str">
        <f>IF(S152="","",IF(Orçamento!$B152="INSUMO",S152,""))</f>
        <v/>
      </c>
      <c r="Q152" s="244" t="str">
        <f t="shared" si="73"/>
        <v/>
      </c>
      <c r="R152" s="234">
        <f t="shared" ca="1" si="79"/>
        <v>1</v>
      </c>
      <c r="S152" s="233" t="s">
        <v>432</v>
      </c>
      <c r="T152" s="242" t="s">
        <v>35</v>
      </c>
      <c r="U152" s="235" t="str">
        <f t="shared" si="80"/>
        <v/>
      </c>
      <c r="V152" s="320" t="s">
        <v>35</v>
      </c>
      <c r="W152" s="236" t="str">
        <f>IFERROR(IF(B152="INSUMO",_xlfn.XLOOKUP(S152,Insumos!A:A,Insumos!C:C),""),"Inserir Preço")</f>
        <v/>
      </c>
      <c r="X152" s="235" t="str">
        <f t="shared" ca="1" si="74"/>
        <v/>
      </c>
      <c r="Y152" s="236" t="str">
        <f t="shared" si="76"/>
        <v/>
      </c>
      <c r="Z152" s="237">
        <f t="shared" ca="1" si="77"/>
        <v>124971.5372019363</v>
      </c>
      <c r="AA152" s="238"/>
      <c r="AB152" s="233" t="str">
        <f>IF(B152="insumo",_xlfn.XLOOKUP(S152,Insumos!A:A,Insumos!D:D),"")</f>
        <v/>
      </c>
      <c r="AC152" s="239">
        <f t="shared" ca="1" si="78"/>
        <v>1.7928306402681886E-2</v>
      </c>
      <c r="AE152" s="240">
        <f ca="1">IFERROR(IF(OR(Z152="",Z152=0),"",IF(AF152="","",IF(AF152="R$/mês",Z152/OBRA!$D$12,IF(AF152="R$/m²",Z152/OBRA!$D$10,IF(AF152="R$/apto",Orçamento!Z152/OBRA!$D$11,""))))),"")</f>
        <v>64.311243240345348</v>
      </c>
      <c r="AF152" s="241" t="s">
        <v>154</v>
      </c>
    </row>
    <row r="153" spans="1:32" s="10" customFormat="1" ht="13.15" hidden="1" customHeight="1" outlineLevel="4" x14ac:dyDescent="0.2">
      <c r="A153" s="227"/>
      <c r="B153" s="228" t="s">
        <v>4</v>
      </c>
      <c r="C153" s="229">
        <f t="shared" si="75"/>
        <v>1</v>
      </c>
      <c r="D153" s="227" t="str">
        <f t="shared" ca="1" si="67"/>
        <v>02.003.001.001</v>
      </c>
      <c r="E153" s="228" t="str">
        <f t="shared" ca="1" si="47"/>
        <v>02.003.001.001</v>
      </c>
      <c r="F153" s="230">
        <f ca="1">IF($B153="UNIDADE CONSTRUTIVA",OFFSET(F153,-1,0)+1,LARGE(F$10:F152,1))</f>
        <v>1</v>
      </c>
      <c r="G153" s="228" t="str">
        <f t="shared" ca="1" si="68"/>
        <v xml:space="preserve">   GERENCIAMENTO TÉCNICO E ADMINISTRATIVO</v>
      </c>
      <c r="H153" s="230">
        <f t="shared" ca="1" si="48"/>
        <v>2</v>
      </c>
      <c r="I153" s="228" t="str">
        <f t="shared" ca="1" si="69"/>
        <v xml:space="preserve">   GERENCIAMENTO ADMINISTRATIVO</v>
      </c>
      <c r="J153" s="230">
        <f t="shared" ca="1" si="49"/>
        <v>3</v>
      </c>
      <c r="K153" s="228" t="str">
        <f t="shared" ca="1" si="70"/>
        <v xml:space="preserve">   EQUIPAMENTOS</v>
      </c>
      <c r="L153" s="231">
        <f t="shared" ca="1" si="50"/>
        <v>1</v>
      </c>
      <c r="M153" s="228" t="str">
        <f t="shared" ca="1" si="71"/>
        <v xml:space="preserve">   Equipamentos de Carga e Transporte</v>
      </c>
      <c r="N153" s="231">
        <f t="shared" ca="1" si="51"/>
        <v>1</v>
      </c>
      <c r="O153" s="228" t="str">
        <f t="shared" ca="1" si="72"/>
        <v>Locacao Equipamentos - Andaime</v>
      </c>
      <c r="P153" s="232" t="str">
        <f>IF(S153="","",IF(Orçamento!$B153="INSUMO",S153,""))</f>
        <v/>
      </c>
      <c r="Q153" s="244" t="str">
        <f t="shared" si="73"/>
        <v>Locacao Equipamentos - Andaime</v>
      </c>
      <c r="R153" s="234">
        <f t="shared" ca="1" si="79"/>
        <v>6</v>
      </c>
      <c r="S153" s="233" t="s">
        <v>920</v>
      </c>
      <c r="T153" s="242" t="s">
        <v>260</v>
      </c>
      <c r="U153" s="235">
        <v>6</v>
      </c>
      <c r="V153" s="320" t="s">
        <v>35</v>
      </c>
      <c r="W153" s="236" t="str">
        <f>IFERROR(IF(B153="INSUMO",_xlfn.XLOOKUP(S153,Insumos!A:A,Insumos!C:C),""),"Inserir Preço")</f>
        <v/>
      </c>
      <c r="X153" s="235">
        <f t="shared" ca="1" si="74"/>
        <v>6</v>
      </c>
      <c r="Y153" s="236">
        <f t="shared" ca="1" si="76"/>
        <v>1500</v>
      </c>
      <c r="Z153" s="237">
        <f t="shared" ca="1" si="77"/>
        <v>9000</v>
      </c>
      <c r="AA153" s="238"/>
      <c r="AB153" s="233" t="str">
        <f>IF(B153="insumo",_xlfn.XLOOKUP(S153,Insumos!A:A,Insumos!D:D),"")</f>
        <v/>
      </c>
      <c r="AC153" s="239">
        <f t="shared" ca="1" si="78"/>
        <v>1.2911320548406999E-3</v>
      </c>
      <c r="AE153" s="240">
        <f ca="1">IFERROR(IF(OR(Z153="",Z153=0),"",IF(AF153="","",IF(AF153="R$/mês",Z153/OBRA!$D$12,IF(AF153="R$/m²",Z153/OBRA!$D$10,IF(AF153="R$/apto",Orçamento!Z153/OBRA!$D$11,""))))),"")</f>
        <v>4.6314641087261927</v>
      </c>
      <c r="AF153" s="241" t="s">
        <v>154</v>
      </c>
    </row>
    <row r="154" spans="1:32" s="10" customFormat="1" ht="13.15" hidden="1" customHeight="1" outlineLevel="4" x14ac:dyDescent="0.2">
      <c r="A154" s="227"/>
      <c r="B154" s="228" t="s">
        <v>19</v>
      </c>
      <c r="C154" s="229">
        <f t="shared" si="75"/>
        <v>1</v>
      </c>
      <c r="D154" s="227" t="str">
        <f t="shared" si="67"/>
        <v/>
      </c>
      <c r="E154" s="228" t="str">
        <f t="shared" ref="E154:E165" ca="1" si="81">IF(B154="*","",IFERROR(IF(B154="SERVIÇO",D154,OFFSET(E154,-1,0)),""))</f>
        <v>02.003.001.001</v>
      </c>
      <c r="F154" s="230">
        <f ca="1">IF($B154="UNIDADE CONSTRUTIVA",OFFSET(F154,-1,0)+1,LARGE(F$10:F153,1))</f>
        <v>1</v>
      </c>
      <c r="G154" s="228" t="str">
        <f t="shared" ca="1" si="68"/>
        <v xml:space="preserve">   GERENCIAMENTO TÉCNICO E ADMINISTRATIVO</v>
      </c>
      <c r="H154" s="230">
        <f t="shared" ref="H154:H165" ca="1" si="82">IF(B154="UNIDADE CONSTRUTIVA",0,IF(B154="CÉLULA CONSTRUTIVA",OFFSET(H154,-1,0)+1,OFFSET(H154,-1,0)))</f>
        <v>2</v>
      </c>
      <c r="I154" s="228" t="str">
        <f t="shared" ca="1" si="69"/>
        <v xml:space="preserve">   GERENCIAMENTO ADMINISTRATIVO</v>
      </c>
      <c r="J154" s="230">
        <f t="shared" ref="J154:J165" ca="1" si="83">IF(B154="CÉLULA CONSTRUTIVA",0,IF(B154="ETAPA",OFFSET(J154,-1,0)+1,OFFSET(J154,-1,0)))</f>
        <v>3</v>
      </c>
      <c r="K154" s="228" t="str">
        <f t="shared" ca="1" si="70"/>
        <v xml:space="preserve">   EQUIPAMENTOS</v>
      </c>
      <c r="L154" s="231">
        <f t="shared" ref="L154:L165" ca="1" si="84">IF(B154="ETAPA",0,IF(B154="SUBETAPA",OFFSET(L154,-1,0)+1,OFFSET(L154,-1,0)))</f>
        <v>1</v>
      </c>
      <c r="M154" s="228" t="str">
        <f t="shared" ca="1" si="71"/>
        <v xml:space="preserve">   Equipamentos de Carga e Transporte</v>
      </c>
      <c r="N154" s="231">
        <f t="shared" ref="N154:N165" ca="1" si="85">IF(B154="Subetapa",0,IF(B154="serviço",OFFSET(N154,-1,0)+1,OFFSET(N154,-1,0)))</f>
        <v>1</v>
      </c>
      <c r="O154" s="228" t="str">
        <f t="shared" ca="1" si="72"/>
        <v>Locacao Equipamentos - Andaime</v>
      </c>
      <c r="P154" s="232" t="str">
        <f>IF(S154="","",IF(Orçamento!$B154="INSUMO",S154,""))</f>
        <v>Locação Andaime Suspenso Manual</v>
      </c>
      <c r="Q154" s="244" t="str">
        <f t="shared" si="73"/>
        <v/>
      </c>
      <c r="R154" s="234">
        <f t="shared" ref="R154:R165" ca="1" si="86">IF(B154="serviço",U154,OFFSET(R154,-1,0))</f>
        <v>6</v>
      </c>
      <c r="S154" s="233" t="s">
        <v>867</v>
      </c>
      <c r="T154" s="242" t="str">
        <f>_xlfn.XLOOKUP(S154,Insumos!$A$3:$A$371,Insumos!$B$3:$B$371)</f>
        <v>MES</v>
      </c>
      <c r="U154" s="235">
        <f ca="1">IF($B154="insumo",R154,"")</f>
        <v>6</v>
      </c>
      <c r="V154" s="320">
        <v>1</v>
      </c>
      <c r="W154" s="236">
        <f>IFERROR(IF(B154="INSUMO",_xlfn.XLOOKUP(S154,Insumos!A:A,Insumos!C:C),""),"Inserir Preço")</f>
        <v>1500</v>
      </c>
      <c r="X154" s="235">
        <f t="shared" ca="1" si="74"/>
        <v>6</v>
      </c>
      <c r="Y154" s="236">
        <f t="shared" si="76"/>
        <v>1500</v>
      </c>
      <c r="Z154" s="237">
        <f t="shared" ca="1" si="77"/>
        <v>9000</v>
      </c>
      <c r="AA154" s="238"/>
      <c r="AB154" s="233" t="str">
        <f>IF(B154="insumo",_xlfn.XLOOKUP(S154,Insumos!A:A,Insumos!D:D),"")</f>
        <v>Estimativa</v>
      </c>
      <c r="AC154" s="239">
        <f t="shared" ca="1" si="78"/>
        <v>1.2911320548406999E-3</v>
      </c>
      <c r="AE154" s="240">
        <f ca="1">IFERROR(IF(OR(Z154="",Z154=0),"",IF(AF154="","",IF(AF154="R$/mês",Z154/OBRA!$D$12,IF(AF154="R$/m²",Z154/OBRA!$D$10,IF(AF154="R$/apto",Orçamento!Z154/OBRA!$D$11,""))))),"")</f>
        <v>4.6314641087261927</v>
      </c>
      <c r="AF154" s="241" t="s">
        <v>154</v>
      </c>
    </row>
    <row r="155" spans="1:32" s="10" customFormat="1" ht="13.15" hidden="1" customHeight="1" outlineLevel="4" x14ac:dyDescent="0.2">
      <c r="A155" s="227"/>
      <c r="B155" s="228" t="s">
        <v>4</v>
      </c>
      <c r="C155" s="229">
        <f t="shared" si="75"/>
        <v>1</v>
      </c>
      <c r="D155" s="227" t="str">
        <f t="shared" ref="D155:D172" ca="1" si="87">IF(B155="Unidade Construtiva",TEXT(F155,"00"),IF(B155="Célula Construtiva",TEXT(H155,"00"),IF(B155="Etapa",CONCATENATE(TEXT(H155,"00"),".",TEXT(J155,"000")),IF(B155="Subetapa",CONCATENATE(TEXT(H155,"00"),".",TEXT(J155,"000"),".",TEXT(L155,"000")),IF(B155="Serviço",CONCATENATE(TEXT(H155,"00"),".",TEXT(J155,"000"),".",TEXT(L155,"000"),".",TEXT(N155,"000")),"")))))</f>
        <v>02.003.001.002</v>
      </c>
      <c r="E155" s="228" t="str">
        <f t="shared" ca="1" si="81"/>
        <v>02.003.001.002</v>
      </c>
      <c r="F155" s="230">
        <f ca="1">IF($B155="UNIDADE CONSTRUTIVA",OFFSET(F155,-1,0)+1,LARGE(F$10:F154,1))</f>
        <v>1</v>
      </c>
      <c r="G155" s="228" t="str">
        <f t="shared" ref="G155:G172" ca="1" si="88">IF(B155="*","",IF(B155="UNIDADE CONSTRUTIVA",S155,OFFSET(G155,-1,0)))</f>
        <v xml:space="preserve">   GERENCIAMENTO TÉCNICO E ADMINISTRATIVO</v>
      </c>
      <c r="H155" s="230">
        <f t="shared" ca="1" si="82"/>
        <v>2</v>
      </c>
      <c r="I155" s="228" t="str">
        <f t="shared" ref="I155:I172" ca="1" si="89">IF(B155="*","",IF(B155="CÉLULA CONSTRUTIVA",S155,OFFSET(I155,-1,0)))</f>
        <v xml:space="preserve">   GERENCIAMENTO ADMINISTRATIVO</v>
      </c>
      <c r="J155" s="230">
        <f t="shared" ca="1" si="83"/>
        <v>3</v>
      </c>
      <c r="K155" s="228" t="str">
        <f t="shared" ref="K155:K172" ca="1" si="90">IF(B155="*","",IF(B155="ETAPA",S155,OFFSET(K155,-1,0)))</f>
        <v xml:space="preserve">   EQUIPAMENTOS</v>
      </c>
      <c r="L155" s="231">
        <f t="shared" ca="1" si="84"/>
        <v>1</v>
      </c>
      <c r="M155" s="228" t="str">
        <f t="shared" ref="M155:M172" ca="1" si="91">IF(B155="*","",IF(B155="SUBETAPA",S155,OFFSET(M155,-1,0)))</f>
        <v xml:space="preserve">   Equipamentos de Carga e Transporte</v>
      </c>
      <c r="N155" s="231">
        <f t="shared" ca="1" si="85"/>
        <v>2</v>
      </c>
      <c r="O155" s="228" t="str">
        <f t="shared" ref="O155:O172" ca="1" si="92">IF(B155="*","",IF(B155="SERVIÇO",S155,OFFSET(O155,-1,0)))</f>
        <v>Locacao Equipamentos - Balancim</v>
      </c>
      <c r="P155" s="232" t="str">
        <f>IF(S155="","",IF(Orçamento!$B155="INSUMO",S155,""))</f>
        <v/>
      </c>
      <c r="Q155" s="244" t="str">
        <f t="shared" ref="Q155:Q172" si="93">IF(B155="","",IF(B155="Serviço",S155,""))</f>
        <v>Locacao Equipamentos - Balancim</v>
      </c>
      <c r="R155" s="234">
        <f t="shared" ca="1" si="86"/>
        <v>6</v>
      </c>
      <c r="S155" s="233" t="s">
        <v>921</v>
      </c>
      <c r="T155" s="242" t="s">
        <v>260</v>
      </c>
      <c r="U155" s="235">
        <v>6</v>
      </c>
      <c r="V155" s="320" t="s">
        <v>35</v>
      </c>
      <c r="W155" s="236" t="str">
        <f>IFERROR(IF(B155="INSUMO",_xlfn.XLOOKUP(S155,Insumos!A:A,Insumos!C:C),""),"Inserir Preço")</f>
        <v/>
      </c>
      <c r="X155" s="235">
        <f t="shared" ref="X155:X172" ca="1" si="94">IF(B155="Complemento do insumo",V155,IF(R155="","",IF(B155="serviço",R155,IF(OR(B155="insumo"),V155*R155,""))))</f>
        <v>6</v>
      </c>
      <c r="Y155" s="236">
        <f t="shared" ca="1" si="76"/>
        <v>6800</v>
      </c>
      <c r="Z155" s="237">
        <f t="shared" ca="1" si="77"/>
        <v>40800</v>
      </c>
      <c r="AA155" s="238"/>
      <c r="AB155" s="233" t="str">
        <f>IF(B155="insumo",_xlfn.XLOOKUP(S155,Insumos!A:A,Insumos!D:D),"")</f>
        <v/>
      </c>
      <c r="AC155" s="239">
        <f t="shared" ca="1" si="78"/>
        <v>5.8531319819445059E-3</v>
      </c>
      <c r="AE155" s="240">
        <f ca="1">IFERROR(IF(OR(Z155="",Z155=0),"",IF(AF155="","",IF(AF155="R$/mês",Z155/OBRA!$D$12,IF(AF155="R$/m²",Z155/OBRA!$D$10,IF(AF155="R$/apto",Orçamento!Z155/OBRA!$D$11,""))))),"")</f>
        <v>20.995970626225407</v>
      </c>
      <c r="AF155" s="241" t="s">
        <v>154</v>
      </c>
    </row>
    <row r="156" spans="1:32" s="10" customFormat="1" ht="13.15" hidden="1" customHeight="1" outlineLevel="4" x14ac:dyDescent="0.2">
      <c r="A156" s="227"/>
      <c r="B156" s="228" t="s">
        <v>19</v>
      </c>
      <c r="C156" s="229">
        <f t="shared" si="75"/>
        <v>1</v>
      </c>
      <c r="D156" s="227" t="str">
        <f t="shared" si="87"/>
        <v/>
      </c>
      <c r="E156" s="228" t="str">
        <f t="shared" ca="1" si="81"/>
        <v>02.003.001.002</v>
      </c>
      <c r="F156" s="230">
        <f ca="1">IF($B156="UNIDADE CONSTRUTIVA",OFFSET(F156,-1,0)+1,LARGE(F$10:F155,1))</f>
        <v>1</v>
      </c>
      <c r="G156" s="228" t="str">
        <f t="shared" ca="1" si="88"/>
        <v xml:space="preserve">   GERENCIAMENTO TÉCNICO E ADMINISTRATIVO</v>
      </c>
      <c r="H156" s="230">
        <f t="shared" ca="1" si="82"/>
        <v>2</v>
      </c>
      <c r="I156" s="228" t="str">
        <f t="shared" ca="1" si="89"/>
        <v xml:space="preserve">   GERENCIAMENTO ADMINISTRATIVO</v>
      </c>
      <c r="J156" s="230">
        <f t="shared" ca="1" si="83"/>
        <v>3</v>
      </c>
      <c r="K156" s="228" t="str">
        <f t="shared" ca="1" si="90"/>
        <v xml:space="preserve">   EQUIPAMENTOS</v>
      </c>
      <c r="L156" s="231">
        <f t="shared" ca="1" si="84"/>
        <v>1</v>
      </c>
      <c r="M156" s="228" t="str">
        <f t="shared" ca="1" si="91"/>
        <v xml:space="preserve">   Equipamentos de Carga e Transporte</v>
      </c>
      <c r="N156" s="231">
        <f t="shared" ca="1" si="85"/>
        <v>2</v>
      </c>
      <c r="O156" s="228" t="str">
        <f t="shared" ca="1" si="92"/>
        <v>Locacao Equipamentos - Balancim</v>
      </c>
      <c r="P156" s="232" t="str">
        <f>IF(S156="","",IF(Orçamento!$B156="INSUMO",S156,""))</f>
        <v>Locação Balancim manual</v>
      </c>
      <c r="Q156" s="244" t="str">
        <f t="shared" si="93"/>
        <v/>
      </c>
      <c r="R156" s="234">
        <f t="shared" ca="1" si="86"/>
        <v>6</v>
      </c>
      <c r="S156" s="233" t="s">
        <v>309</v>
      </c>
      <c r="T156" s="242" t="str">
        <f>_xlfn.XLOOKUP(S156,Insumos!$A$3:$A$371,Insumos!$B$3:$B$371)</f>
        <v>VB</v>
      </c>
      <c r="U156" s="235">
        <f ca="1">IF($B156="insumo",R156,"")</f>
        <v>6</v>
      </c>
      <c r="V156" s="320">
        <v>2</v>
      </c>
      <c r="W156" s="236">
        <f>IFERROR(IF(B156="INSUMO",_xlfn.XLOOKUP(S156,Insumos!A:A,Insumos!C:C),""),"Inserir Preço")</f>
        <v>2500</v>
      </c>
      <c r="X156" s="235">
        <f t="shared" ca="1" si="94"/>
        <v>12</v>
      </c>
      <c r="Y156" s="236">
        <f t="shared" si="76"/>
        <v>5000</v>
      </c>
      <c r="Z156" s="237">
        <f t="shared" ca="1" si="77"/>
        <v>30000</v>
      </c>
      <c r="AA156" s="238"/>
      <c r="AB156" s="233" t="str">
        <f>IF(B156="insumo",_xlfn.XLOOKUP(S156,Insumos!A:A,Insumos!D:D),"")</f>
        <v>Estimativa</v>
      </c>
      <c r="AC156" s="239">
        <f t="shared" ca="1" si="78"/>
        <v>4.3037735161356666E-3</v>
      </c>
      <c r="AE156" s="240">
        <f ca="1">IFERROR(IF(OR(Z156="",Z156=0),"",IF(AF156="","",IF(AF156="R$/mês",Z156/OBRA!$D$12,IF(AF156="R$/m²",Z156/OBRA!$D$10,IF(AF156="R$/apto",Orçamento!Z156/OBRA!$D$11,""))))),"")</f>
        <v>15.438213695753976</v>
      </c>
      <c r="AF156" s="241" t="s">
        <v>154</v>
      </c>
    </row>
    <row r="157" spans="1:32" s="10" customFormat="1" ht="13.15" hidden="1" customHeight="1" outlineLevel="4" x14ac:dyDescent="0.2">
      <c r="A157" s="227"/>
      <c r="B157" s="228" t="s">
        <v>19</v>
      </c>
      <c r="C157" s="229">
        <f t="shared" si="75"/>
        <v>1</v>
      </c>
      <c r="D157" s="227" t="str">
        <f t="shared" si="87"/>
        <v/>
      </c>
      <c r="E157" s="228" t="str">
        <f t="shared" ca="1" si="81"/>
        <v>02.003.001.002</v>
      </c>
      <c r="F157" s="230">
        <f ca="1">IF($B157="UNIDADE CONSTRUTIVA",OFFSET(F157,-1,0)+1,LARGE(F$10:F156,1))</f>
        <v>1</v>
      </c>
      <c r="G157" s="228" t="str">
        <f t="shared" ca="1" si="88"/>
        <v xml:space="preserve">   GERENCIAMENTO TÉCNICO E ADMINISTRATIVO</v>
      </c>
      <c r="H157" s="230">
        <f t="shared" ca="1" si="82"/>
        <v>2</v>
      </c>
      <c r="I157" s="228" t="str">
        <f t="shared" ca="1" si="89"/>
        <v xml:space="preserve">   GERENCIAMENTO ADMINISTRATIVO</v>
      </c>
      <c r="J157" s="230">
        <f t="shared" ca="1" si="83"/>
        <v>3</v>
      </c>
      <c r="K157" s="228" t="str">
        <f t="shared" ca="1" si="90"/>
        <v xml:space="preserve">   EQUIPAMENTOS</v>
      </c>
      <c r="L157" s="231">
        <f t="shared" ca="1" si="84"/>
        <v>1</v>
      </c>
      <c r="M157" s="228" t="str">
        <f t="shared" ca="1" si="91"/>
        <v xml:space="preserve">   Equipamentos de Carga e Transporte</v>
      </c>
      <c r="N157" s="231">
        <f t="shared" ca="1" si="85"/>
        <v>2</v>
      </c>
      <c r="O157" s="228" t="str">
        <f t="shared" ca="1" si="92"/>
        <v>Locacao Equipamentos - Balancim</v>
      </c>
      <c r="P157" s="232" t="str">
        <f>IF(S157="","",IF(Orçamento!$B157="INSUMO",S157,""))</f>
        <v>Montagem e desmontagem de Balancim</v>
      </c>
      <c r="Q157" s="244" t="str">
        <f t="shared" si="93"/>
        <v/>
      </c>
      <c r="R157" s="234">
        <f t="shared" ca="1" si="86"/>
        <v>6</v>
      </c>
      <c r="S157" s="233" t="s">
        <v>931</v>
      </c>
      <c r="T157" s="242" t="str">
        <f>_xlfn.XLOOKUP(S157,Insumos!$A$3:$A$371,Insumos!$B$3:$B$371)</f>
        <v>VB</v>
      </c>
      <c r="U157" s="235">
        <f ca="1">IF($B157="insumo",R157,"")</f>
        <v>6</v>
      </c>
      <c r="V157" s="320">
        <f>ROUNDUP((64/6*2)/U155,0)</f>
        <v>4</v>
      </c>
      <c r="W157" s="236">
        <f>IFERROR(IF(B157="INSUMO",_xlfn.XLOOKUP(S157,Insumos!A:A,Insumos!C:C),""),"Inserir Preço")</f>
        <v>450</v>
      </c>
      <c r="X157" s="235">
        <f t="shared" ca="1" si="94"/>
        <v>24</v>
      </c>
      <c r="Y157" s="236">
        <f t="shared" si="76"/>
        <v>1800</v>
      </c>
      <c r="Z157" s="237">
        <f t="shared" ca="1" si="77"/>
        <v>10800</v>
      </c>
      <c r="AA157" s="238"/>
      <c r="AB157" s="233" t="str">
        <f>IF(B157="insumo",_xlfn.XLOOKUP(S157,Insumos!A:A,Insumos!D:D),"")</f>
        <v>Estimativa</v>
      </c>
      <c r="AC157" s="239">
        <f t="shared" ca="1" si="78"/>
        <v>1.5493584658088399E-3</v>
      </c>
      <c r="AE157" s="240">
        <f ca="1">IFERROR(IF(OR(Z157="",Z157=0),"",IF(AF157="","",IF(AF157="R$/mês",Z157/OBRA!$D$12,IF(AF157="R$/m²",Z157/OBRA!$D$10,IF(AF157="R$/apto",Orçamento!Z157/OBRA!$D$11,""))))),"")</f>
        <v>5.5577569304714318</v>
      </c>
      <c r="AF157" s="241" t="s">
        <v>154</v>
      </c>
    </row>
    <row r="158" spans="1:32" s="10" customFormat="1" ht="13.15" hidden="1" customHeight="1" outlineLevel="4" x14ac:dyDescent="0.2">
      <c r="A158" s="227"/>
      <c r="B158" s="228" t="s">
        <v>4</v>
      </c>
      <c r="C158" s="229">
        <f t="shared" si="75"/>
        <v>1</v>
      </c>
      <c r="D158" s="227" t="str">
        <f t="shared" ca="1" si="87"/>
        <v>02.003.001.003</v>
      </c>
      <c r="E158" s="228" t="str">
        <f t="shared" ca="1" si="81"/>
        <v>02.003.001.003</v>
      </c>
      <c r="F158" s="230">
        <f ca="1">IF($B158="UNIDADE CONSTRUTIVA",OFFSET(F158,-1,0)+1,LARGE(F$10:F157,1))</f>
        <v>1</v>
      </c>
      <c r="G158" s="228" t="str">
        <f t="shared" ca="1" si="88"/>
        <v xml:space="preserve">   GERENCIAMENTO TÉCNICO E ADMINISTRATIVO</v>
      </c>
      <c r="H158" s="230">
        <f t="shared" ca="1" si="82"/>
        <v>2</v>
      </c>
      <c r="I158" s="228" t="str">
        <f t="shared" ca="1" si="89"/>
        <v xml:space="preserve">   GERENCIAMENTO ADMINISTRATIVO</v>
      </c>
      <c r="J158" s="230">
        <f t="shared" ca="1" si="83"/>
        <v>3</v>
      </c>
      <c r="K158" s="228" t="str">
        <f t="shared" ca="1" si="90"/>
        <v xml:space="preserve">   EQUIPAMENTOS</v>
      </c>
      <c r="L158" s="231">
        <f t="shared" ca="1" si="84"/>
        <v>1</v>
      </c>
      <c r="M158" s="228" t="str">
        <f t="shared" ca="1" si="91"/>
        <v xml:space="preserve">   Equipamentos de Carga e Transporte</v>
      </c>
      <c r="N158" s="231">
        <f t="shared" ca="1" si="85"/>
        <v>3</v>
      </c>
      <c r="O158" s="228" t="str">
        <f t="shared" ca="1" si="92"/>
        <v>Aquisição Equipamentos - Mini Grua 500g</v>
      </c>
      <c r="P158" s="232" t="str">
        <f>IF(S158="","",IF(Orçamento!$B158="INSUMO",S158,""))</f>
        <v/>
      </c>
      <c r="Q158" s="244" t="str">
        <f t="shared" si="93"/>
        <v>Aquisição Equipamentos - Mini Grua 500g</v>
      </c>
      <c r="R158" s="234">
        <f t="shared" ca="1" si="86"/>
        <v>1</v>
      </c>
      <c r="S158" s="233" t="s">
        <v>1191</v>
      </c>
      <c r="T158" s="242" t="s">
        <v>170</v>
      </c>
      <c r="U158" s="235">
        <v>1</v>
      </c>
      <c r="V158" s="320" t="s">
        <v>35</v>
      </c>
      <c r="W158" s="236" t="str">
        <f>IFERROR(IF(B158="INSUMO",_xlfn.XLOOKUP(S158,Insumos!A:A,Insumos!C:C),""),"Inserir Preço")</f>
        <v/>
      </c>
      <c r="X158" s="235">
        <f t="shared" ca="1" si="94"/>
        <v>1</v>
      </c>
      <c r="Y158" s="236">
        <f t="shared" ca="1" si="76"/>
        <v>56000</v>
      </c>
      <c r="Z158" s="237">
        <f t="shared" ca="1" si="77"/>
        <v>56000</v>
      </c>
      <c r="AA158" s="238"/>
      <c r="AB158" s="233" t="str">
        <f>IF(B158="insumo",_xlfn.XLOOKUP(S158,Insumos!A:A,Insumos!D:D),"")</f>
        <v/>
      </c>
      <c r="AC158" s="239">
        <f t="shared" ca="1" si="78"/>
        <v>8.0337105634532436E-3</v>
      </c>
      <c r="AE158" s="240">
        <f ca="1">IFERROR(IF(OR(Z158="",Z158=0),"",IF(AF158="","",IF(AF158="R$/mês",Z158/OBRA!$D$12,IF(AF158="R$/m²",Z158/OBRA!$D$10,IF(AF158="R$/apto",Orçamento!Z158/OBRA!$D$11,""))))),"")</f>
        <v>28.817998898740758</v>
      </c>
      <c r="AF158" s="241" t="s">
        <v>154</v>
      </c>
    </row>
    <row r="159" spans="1:32" s="10" customFormat="1" ht="13.15" hidden="1" customHeight="1" outlineLevel="4" x14ac:dyDescent="0.2">
      <c r="A159" s="227"/>
      <c r="B159" s="228" t="s">
        <v>19</v>
      </c>
      <c r="C159" s="229">
        <f t="shared" si="75"/>
        <v>1</v>
      </c>
      <c r="D159" s="227" t="str">
        <f t="shared" si="87"/>
        <v/>
      </c>
      <c r="E159" s="228" t="str">
        <f t="shared" ca="1" si="81"/>
        <v>02.003.001.003</v>
      </c>
      <c r="F159" s="230">
        <f ca="1">IF($B159="UNIDADE CONSTRUTIVA",OFFSET(F159,-1,0)+1,LARGE(F$10:F158,1))</f>
        <v>1</v>
      </c>
      <c r="G159" s="228" t="str">
        <f t="shared" ca="1" si="88"/>
        <v xml:space="preserve">   GERENCIAMENTO TÉCNICO E ADMINISTRATIVO</v>
      </c>
      <c r="H159" s="230">
        <f t="shared" ca="1" si="82"/>
        <v>2</v>
      </c>
      <c r="I159" s="228" t="str">
        <f t="shared" ca="1" si="89"/>
        <v xml:space="preserve">   GERENCIAMENTO ADMINISTRATIVO</v>
      </c>
      <c r="J159" s="230">
        <f t="shared" ca="1" si="83"/>
        <v>3</v>
      </c>
      <c r="K159" s="228" t="str">
        <f t="shared" ca="1" si="90"/>
        <v xml:space="preserve">   EQUIPAMENTOS</v>
      </c>
      <c r="L159" s="231">
        <f t="shared" ca="1" si="84"/>
        <v>1</v>
      </c>
      <c r="M159" s="228" t="str">
        <f t="shared" ca="1" si="91"/>
        <v xml:space="preserve">   Equipamentos de Carga e Transporte</v>
      </c>
      <c r="N159" s="231">
        <f t="shared" ca="1" si="85"/>
        <v>3</v>
      </c>
      <c r="O159" s="228" t="str">
        <f t="shared" ca="1" si="92"/>
        <v>Aquisição Equipamentos - Mini Grua 500g</v>
      </c>
      <c r="P159" s="232" t="str">
        <f>IF(S159="","",IF(Orçamento!$B159="INSUMO",S159,""))</f>
        <v>Mini Grua 500kg</v>
      </c>
      <c r="Q159" s="244" t="str">
        <f t="shared" si="93"/>
        <v/>
      </c>
      <c r="R159" s="234">
        <f t="shared" ca="1" si="86"/>
        <v>1</v>
      </c>
      <c r="S159" s="233" t="s">
        <v>1192</v>
      </c>
      <c r="T159" s="242" t="str">
        <f>_xlfn.XLOOKUP(S159,Insumos!$A$3:$A$371,Insumos!$B$3:$B$371)</f>
        <v>VB</v>
      </c>
      <c r="U159" s="235">
        <f ca="1">IF($B159="insumo",R159,"")</f>
        <v>1</v>
      </c>
      <c r="V159" s="320">
        <v>1</v>
      </c>
      <c r="W159" s="236">
        <f>IFERROR(IF(B159="INSUMO",_xlfn.XLOOKUP(S159,Insumos!A:A,Insumos!C:C),""),"Inserir Preço")</f>
        <v>56000</v>
      </c>
      <c r="X159" s="235">
        <f t="shared" ca="1" si="94"/>
        <v>1</v>
      </c>
      <c r="Y159" s="236">
        <f t="shared" si="76"/>
        <v>56000</v>
      </c>
      <c r="Z159" s="237">
        <f t="shared" ca="1" si="77"/>
        <v>56000</v>
      </c>
      <c r="AA159" s="238"/>
      <c r="AB159" s="233" t="str">
        <f>IF(B159="insumo",_xlfn.XLOOKUP(S159,Insumos!A:A,Insumos!D:D),"")</f>
        <v>Estimativa</v>
      </c>
      <c r="AC159" s="239">
        <f t="shared" ca="1" si="78"/>
        <v>8.0337105634532436E-3</v>
      </c>
      <c r="AE159" s="240">
        <f ca="1">IFERROR(IF(OR(Z159="",Z159=0),"",IF(AF159="","",IF(AF159="R$/mês",Z159/OBRA!$D$12,IF(AF159="R$/m²",Z159/OBRA!$D$10,IF(AF159="R$/apto",Orçamento!Z159/OBRA!$D$11,""))))),"")</f>
        <v>28.817998898740758</v>
      </c>
      <c r="AF159" s="241" t="s">
        <v>154</v>
      </c>
    </row>
    <row r="160" spans="1:32" s="10" customFormat="1" ht="13.15" hidden="1" customHeight="1" outlineLevel="4" x14ac:dyDescent="0.2">
      <c r="A160" s="227"/>
      <c r="B160" s="228" t="s">
        <v>4</v>
      </c>
      <c r="C160" s="229">
        <f t="shared" si="75"/>
        <v>1</v>
      </c>
      <c r="D160" s="227" t="str">
        <f t="shared" ca="1" si="87"/>
        <v>02.003.001.004</v>
      </c>
      <c r="E160" s="228" t="str">
        <f t="shared" ca="1" si="81"/>
        <v>02.003.001.004</v>
      </c>
      <c r="F160" s="230">
        <f ca="1">IF($B160="UNIDADE CONSTRUTIVA",OFFSET(F160,-1,0)+1,LARGE(F$10:F159,1))</f>
        <v>1</v>
      </c>
      <c r="G160" s="228" t="str">
        <f t="shared" ca="1" si="88"/>
        <v xml:space="preserve">   GERENCIAMENTO TÉCNICO E ADMINISTRATIVO</v>
      </c>
      <c r="H160" s="230">
        <f t="shared" ca="1" si="82"/>
        <v>2</v>
      </c>
      <c r="I160" s="228" t="str">
        <f t="shared" ca="1" si="89"/>
        <v xml:space="preserve">   GERENCIAMENTO ADMINISTRATIVO</v>
      </c>
      <c r="J160" s="230">
        <f t="shared" ca="1" si="83"/>
        <v>3</v>
      </c>
      <c r="K160" s="228" t="str">
        <f t="shared" ca="1" si="90"/>
        <v xml:space="preserve">   EQUIPAMENTOS</v>
      </c>
      <c r="L160" s="231">
        <f t="shared" ca="1" si="84"/>
        <v>1</v>
      </c>
      <c r="M160" s="228" t="str">
        <f t="shared" ca="1" si="91"/>
        <v xml:space="preserve">   Equipamentos de Carga e Transporte</v>
      </c>
      <c r="N160" s="231">
        <f t="shared" ca="1" si="85"/>
        <v>4</v>
      </c>
      <c r="O160" s="228" t="str">
        <f t="shared" ca="1" si="92"/>
        <v>Montagem e Desmontagem - Mini Grua</v>
      </c>
      <c r="P160" s="232" t="str">
        <f>IF(S160="","",IF(Orçamento!$B160="INSUMO",S160,""))</f>
        <v/>
      </c>
      <c r="Q160" s="244" t="str">
        <f t="shared" si="93"/>
        <v>Montagem e Desmontagem - Mini Grua</v>
      </c>
      <c r="R160" s="234">
        <f t="shared" ca="1" si="86"/>
        <v>1</v>
      </c>
      <c r="S160" s="233" t="s">
        <v>939</v>
      </c>
      <c r="T160" s="242" t="s">
        <v>170</v>
      </c>
      <c r="U160" s="235">
        <v>1</v>
      </c>
      <c r="V160" s="320" t="s">
        <v>35</v>
      </c>
      <c r="W160" s="236" t="str">
        <f>IFERROR(IF(B160="INSUMO",_xlfn.XLOOKUP(S160,Insumos!A:A,Insumos!C:C),""),"Inserir Preço")</f>
        <v/>
      </c>
      <c r="X160" s="235">
        <f t="shared" ca="1" si="94"/>
        <v>1</v>
      </c>
      <c r="Y160" s="236">
        <f t="shared" ca="1" si="76"/>
        <v>7000</v>
      </c>
      <c r="Z160" s="237">
        <f t="shared" ca="1" si="77"/>
        <v>7000</v>
      </c>
      <c r="AA160" s="238"/>
      <c r="AB160" s="233" t="str">
        <f>IF(B160="insumo",_xlfn.XLOOKUP(S160,Insumos!A:A,Insumos!D:D),"")</f>
        <v/>
      </c>
      <c r="AC160" s="239">
        <f t="shared" ca="1" si="78"/>
        <v>1.0042138204316554E-3</v>
      </c>
      <c r="AE160" s="240">
        <f ca="1">IFERROR(IF(OR(Z160="",Z160=0),"",IF(AF160="","",IF(AF160="R$/mês",Z160/OBRA!$D$12,IF(AF160="R$/m²",Z160/OBRA!$D$10,IF(AF160="R$/apto",Orçamento!Z160/OBRA!$D$11,""))))),"")</f>
        <v>3.6022498623425947</v>
      </c>
      <c r="AF160" s="241" t="s">
        <v>154</v>
      </c>
    </row>
    <row r="161" spans="1:35" s="10" customFormat="1" ht="13.15" hidden="1" customHeight="1" outlineLevel="4" x14ac:dyDescent="0.2">
      <c r="A161" s="227"/>
      <c r="B161" s="228" t="s">
        <v>19</v>
      </c>
      <c r="C161" s="229">
        <f t="shared" si="75"/>
        <v>1</v>
      </c>
      <c r="D161" s="227" t="str">
        <f t="shared" si="87"/>
        <v/>
      </c>
      <c r="E161" s="228" t="str">
        <f t="shared" ca="1" si="81"/>
        <v>02.003.001.004</v>
      </c>
      <c r="F161" s="230">
        <f ca="1">IF($B161="UNIDADE CONSTRUTIVA",OFFSET(F161,-1,0)+1,LARGE(F$10:F160,1))</f>
        <v>1</v>
      </c>
      <c r="G161" s="228" t="str">
        <f t="shared" ca="1" si="88"/>
        <v xml:space="preserve">   GERENCIAMENTO TÉCNICO E ADMINISTRATIVO</v>
      </c>
      <c r="H161" s="230">
        <f t="shared" ca="1" si="82"/>
        <v>2</v>
      </c>
      <c r="I161" s="228" t="str">
        <f t="shared" ca="1" si="89"/>
        <v xml:space="preserve">   GERENCIAMENTO ADMINISTRATIVO</v>
      </c>
      <c r="J161" s="230">
        <f t="shared" ca="1" si="83"/>
        <v>3</v>
      </c>
      <c r="K161" s="228" t="str">
        <f t="shared" ca="1" si="90"/>
        <v xml:space="preserve">   EQUIPAMENTOS</v>
      </c>
      <c r="L161" s="231">
        <f t="shared" ca="1" si="84"/>
        <v>1</v>
      </c>
      <c r="M161" s="228" t="str">
        <f t="shared" ca="1" si="91"/>
        <v xml:space="preserve">   Equipamentos de Carga e Transporte</v>
      </c>
      <c r="N161" s="231">
        <f t="shared" ca="1" si="85"/>
        <v>4</v>
      </c>
      <c r="O161" s="228" t="str">
        <f t="shared" ca="1" si="92"/>
        <v>Montagem e Desmontagem - Mini Grua</v>
      </c>
      <c r="P161" s="232" t="str">
        <f>IF(S161="","",IF(Orçamento!$B161="INSUMO",S161,""))</f>
        <v>Montagem e Desmontagem de Mini-grua</v>
      </c>
      <c r="Q161" s="244" t="str">
        <f t="shared" si="93"/>
        <v/>
      </c>
      <c r="R161" s="234">
        <f t="shared" ca="1" si="86"/>
        <v>1</v>
      </c>
      <c r="S161" s="233" t="s">
        <v>936</v>
      </c>
      <c r="T161" s="242" t="str">
        <f>_xlfn.XLOOKUP(S161,Insumos!$A$3:$A$371,Insumos!$B$3:$B$371)</f>
        <v>VB</v>
      </c>
      <c r="U161" s="235">
        <f ca="1">IF($B161="insumo",R161,"")</f>
        <v>1</v>
      </c>
      <c r="V161" s="320">
        <v>1</v>
      </c>
      <c r="W161" s="236">
        <f>IFERROR(IF(B161="INSUMO",_xlfn.XLOOKUP(S161,Insumos!A:A,Insumos!C:C),""),"Inserir Preço")</f>
        <v>7000</v>
      </c>
      <c r="X161" s="235">
        <f t="shared" ca="1" si="94"/>
        <v>1</v>
      </c>
      <c r="Y161" s="236">
        <f t="shared" si="76"/>
        <v>7000</v>
      </c>
      <c r="Z161" s="237">
        <f t="shared" ca="1" si="77"/>
        <v>7000</v>
      </c>
      <c r="AA161" s="238"/>
      <c r="AB161" s="233" t="str">
        <f>IF(B161="insumo",_xlfn.XLOOKUP(S161,Insumos!A:A,Insumos!D:D),"")</f>
        <v>Estimativa</v>
      </c>
      <c r="AC161" s="239">
        <f t="shared" ca="1" si="78"/>
        <v>1.0042138204316554E-3</v>
      </c>
      <c r="AE161" s="240">
        <f ca="1">IFERROR(IF(OR(Z161="",Z161=0),"",IF(AF161="","",IF(AF161="R$/mês",Z161/OBRA!$D$12,IF(AF161="R$/m²",Z161/OBRA!$D$10,IF(AF161="R$/apto",Orçamento!Z161/OBRA!$D$11,""))))),"")</f>
        <v>3.6022498623425947</v>
      </c>
      <c r="AF161" s="241" t="s">
        <v>154</v>
      </c>
    </row>
    <row r="162" spans="1:35" s="10" customFormat="1" ht="13.15" hidden="1" customHeight="1" outlineLevel="4" x14ac:dyDescent="0.2">
      <c r="A162" s="227"/>
      <c r="B162" s="228" t="s">
        <v>4</v>
      </c>
      <c r="C162" s="229">
        <f t="shared" si="75"/>
        <v>1</v>
      </c>
      <c r="D162" s="227" t="str">
        <f t="shared" ca="1" si="87"/>
        <v>02.003.001.005</v>
      </c>
      <c r="E162" s="228" t="str">
        <f t="shared" ca="1" si="81"/>
        <v>02.003.001.005</v>
      </c>
      <c r="F162" s="230">
        <f ca="1">IF($B162="UNIDADE CONSTRUTIVA",OFFSET(F162,-1,0)+1,LARGE(F$10:F161,1))</f>
        <v>1</v>
      </c>
      <c r="G162" s="228" t="str">
        <f t="shared" ca="1" si="88"/>
        <v xml:space="preserve">   GERENCIAMENTO TÉCNICO E ADMINISTRATIVO</v>
      </c>
      <c r="H162" s="230">
        <f t="shared" ca="1" si="82"/>
        <v>2</v>
      </c>
      <c r="I162" s="228" t="str">
        <f t="shared" ca="1" si="89"/>
        <v xml:space="preserve">   GERENCIAMENTO ADMINISTRATIVO</v>
      </c>
      <c r="J162" s="230">
        <f t="shared" ca="1" si="83"/>
        <v>3</v>
      </c>
      <c r="K162" s="228" t="str">
        <f t="shared" ca="1" si="90"/>
        <v xml:space="preserve">   EQUIPAMENTOS</v>
      </c>
      <c r="L162" s="231">
        <f t="shared" ca="1" si="84"/>
        <v>1</v>
      </c>
      <c r="M162" s="228" t="str">
        <f t="shared" ca="1" si="91"/>
        <v xml:space="preserve">   Equipamentos de Carga e Transporte</v>
      </c>
      <c r="N162" s="231">
        <f t="shared" ca="1" si="85"/>
        <v>5</v>
      </c>
      <c r="O162" s="228" t="str">
        <f t="shared" ca="1" si="92"/>
        <v>Mobilização e desmobilização - Mini-grua</v>
      </c>
      <c r="P162" s="232" t="str">
        <f>IF(S162="","",IF(Orçamento!$B162="INSUMO",S162,""))</f>
        <v/>
      </c>
      <c r="Q162" s="244" t="str">
        <f t="shared" si="93"/>
        <v>Mobilização e desmobilização - Mini-grua</v>
      </c>
      <c r="R162" s="234">
        <f t="shared" ca="1" si="86"/>
        <v>1</v>
      </c>
      <c r="S162" s="233" t="s">
        <v>940</v>
      </c>
      <c r="T162" s="242" t="s">
        <v>170</v>
      </c>
      <c r="U162" s="235">
        <v>1</v>
      </c>
      <c r="V162" s="320" t="s">
        <v>35</v>
      </c>
      <c r="W162" s="236" t="str">
        <f>IFERROR(IF(B162="INSUMO",_xlfn.XLOOKUP(S162,Insumos!A:A,Insumos!C:C),""),"Inserir Preço")</f>
        <v/>
      </c>
      <c r="X162" s="235">
        <f t="shared" ca="1" si="94"/>
        <v>1</v>
      </c>
      <c r="Y162" s="236">
        <f t="shared" ca="1" si="76"/>
        <v>9756</v>
      </c>
      <c r="Z162" s="237">
        <f t="shared" ca="1" si="77"/>
        <v>9756</v>
      </c>
      <c r="AA162" s="238"/>
      <c r="AB162" s="233" t="str">
        <f>IF(B162="insumo",_xlfn.XLOOKUP(S162,Insumos!A:A,Insumos!D:D),"")</f>
        <v/>
      </c>
      <c r="AC162" s="239">
        <f t="shared" ca="1" si="78"/>
        <v>1.3995871474473188E-3</v>
      </c>
      <c r="AE162" s="240">
        <f ca="1">IFERROR(IF(OR(Z162="",Z162=0),"",IF(AF162="","",IF(AF162="R$/mês",Z162/OBRA!$D$12,IF(AF162="R$/m²",Z162/OBRA!$D$10,IF(AF162="R$/apto",Orçamento!Z162/OBRA!$D$11,""))))),"")</f>
        <v>5.0205070938591936</v>
      </c>
      <c r="AF162" s="241" t="s">
        <v>154</v>
      </c>
    </row>
    <row r="163" spans="1:35" s="10" customFormat="1" ht="13.15" hidden="1" customHeight="1" outlineLevel="4" x14ac:dyDescent="0.2">
      <c r="A163" s="227"/>
      <c r="B163" s="228" t="s">
        <v>19</v>
      </c>
      <c r="C163" s="229">
        <f t="shared" si="75"/>
        <v>1</v>
      </c>
      <c r="D163" s="227" t="str">
        <f t="shared" si="87"/>
        <v/>
      </c>
      <c r="E163" s="228" t="str">
        <f t="shared" ca="1" si="81"/>
        <v>02.003.001.005</v>
      </c>
      <c r="F163" s="230">
        <f ca="1">IF($B163="UNIDADE CONSTRUTIVA",OFFSET(F163,-1,0)+1,LARGE(F$10:F162,1))</f>
        <v>1</v>
      </c>
      <c r="G163" s="228" t="str">
        <f t="shared" ca="1" si="88"/>
        <v xml:space="preserve">   GERENCIAMENTO TÉCNICO E ADMINISTRATIVO</v>
      </c>
      <c r="H163" s="230">
        <f t="shared" ca="1" si="82"/>
        <v>2</v>
      </c>
      <c r="I163" s="228" t="str">
        <f t="shared" ca="1" si="89"/>
        <v xml:space="preserve">   GERENCIAMENTO ADMINISTRATIVO</v>
      </c>
      <c r="J163" s="230">
        <f t="shared" ca="1" si="83"/>
        <v>3</v>
      </c>
      <c r="K163" s="228" t="str">
        <f t="shared" ca="1" si="90"/>
        <v xml:space="preserve">   EQUIPAMENTOS</v>
      </c>
      <c r="L163" s="231">
        <f t="shared" ca="1" si="84"/>
        <v>1</v>
      </c>
      <c r="M163" s="228" t="str">
        <f t="shared" ca="1" si="91"/>
        <v xml:space="preserve">   Equipamentos de Carga e Transporte</v>
      </c>
      <c r="N163" s="231">
        <f t="shared" ca="1" si="85"/>
        <v>5</v>
      </c>
      <c r="O163" s="228" t="str">
        <f t="shared" ca="1" si="92"/>
        <v>Mobilização e desmobilização - Mini-grua</v>
      </c>
      <c r="P163" s="232" t="str">
        <f>IF(S163="","",IF(Orçamento!$B163="INSUMO",S163,""))</f>
        <v>Mobilização e desmobilização de Mini-grua</v>
      </c>
      <c r="Q163" s="244" t="str">
        <f t="shared" si="93"/>
        <v/>
      </c>
      <c r="R163" s="234">
        <f t="shared" ca="1" si="86"/>
        <v>1</v>
      </c>
      <c r="S163" s="233" t="s">
        <v>937</v>
      </c>
      <c r="T163" s="242" t="str">
        <f>_xlfn.XLOOKUP(S163,Insumos!$A$3:$A$371,Insumos!$B$3:$B$371)</f>
        <v>VB</v>
      </c>
      <c r="U163" s="235">
        <f ca="1">IF($B163="insumo",R163,"")</f>
        <v>1</v>
      </c>
      <c r="V163" s="320">
        <v>1</v>
      </c>
      <c r="W163" s="236">
        <f>IFERROR(IF(B163="INSUMO",_xlfn.XLOOKUP(S163,Insumos!A:A,Insumos!C:C),""),"Inserir Preço")</f>
        <v>9756</v>
      </c>
      <c r="X163" s="235">
        <f t="shared" ca="1" si="94"/>
        <v>1</v>
      </c>
      <c r="Y163" s="236">
        <f t="shared" si="76"/>
        <v>9756</v>
      </c>
      <c r="Z163" s="237">
        <f t="shared" ca="1" si="77"/>
        <v>9756</v>
      </c>
      <c r="AA163" s="238"/>
      <c r="AB163" s="233" t="str">
        <f>IF(B163="insumo",_xlfn.XLOOKUP(S163,Insumos!A:A,Insumos!D:D),"")</f>
        <v>Estimativa</v>
      </c>
      <c r="AC163" s="239">
        <f t="shared" ca="1" si="78"/>
        <v>1.3995871474473188E-3</v>
      </c>
      <c r="AE163" s="240">
        <f ca="1">IFERROR(IF(OR(Z163="",Z163=0),"",IF(AF163="","",IF(AF163="R$/mês",Z163/OBRA!$D$12,IF(AF163="R$/m²",Z163/OBRA!$D$10,IF(AF163="R$/apto",Orçamento!Z163/OBRA!$D$11,""))))),"")</f>
        <v>5.0205070938591936</v>
      </c>
      <c r="AF163" s="241" t="s">
        <v>154</v>
      </c>
    </row>
    <row r="164" spans="1:35" s="10" customFormat="1" ht="13.15" hidden="1" customHeight="1" outlineLevel="4" x14ac:dyDescent="0.2">
      <c r="A164" s="227"/>
      <c r="B164" s="228" t="s">
        <v>4</v>
      </c>
      <c r="C164" s="229">
        <f t="shared" si="75"/>
        <v>1</v>
      </c>
      <c r="D164" s="227" t="str">
        <f t="shared" ca="1" si="87"/>
        <v>02.003.001.006</v>
      </c>
      <c r="E164" s="228" t="str">
        <f t="shared" ca="1" si="81"/>
        <v>02.003.001.006</v>
      </c>
      <c r="F164" s="230">
        <f ca="1">IF($B164="UNIDADE CONSTRUTIVA",OFFSET(F164,-1,0)+1,LARGE(F$10:F163,1))</f>
        <v>1</v>
      </c>
      <c r="G164" s="228" t="str">
        <f t="shared" ca="1" si="88"/>
        <v xml:space="preserve">   GERENCIAMENTO TÉCNICO E ADMINISTRATIVO</v>
      </c>
      <c r="H164" s="230">
        <f t="shared" ca="1" si="82"/>
        <v>2</v>
      </c>
      <c r="I164" s="228" t="str">
        <f t="shared" ca="1" si="89"/>
        <v xml:space="preserve">   GERENCIAMENTO ADMINISTRATIVO</v>
      </c>
      <c r="J164" s="230">
        <f t="shared" ca="1" si="83"/>
        <v>3</v>
      </c>
      <c r="K164" s="228" t="str">
        <f t="shared" ca="1" si="90"/>
        <v xml:space="preserve">   EQUIPAMENTOS</v>
      </c>
      <c r="L164" s="231">
        <f t="shared" ca="1" si="84"/>
        <v>1</v>
      </c>
      <c r="M164" s="228" t="str">
        <f t="shared" ca="1" si="91"/>
        <v xml:space="preserve">   Equipamentos de Carga e Transporte</v>
      </c>
      <c r="N164" s="231">
        <f t="shared" ca="1" si="85"/>
        <v>6</v>
      </c>
      <c r="O164" s="228" t="str">
        <f t="shared" ca="1" si="92"/>
        <v>Manutencao para Equipamentos proprios - Mini Grua</v>
      </c>
      <c r="P164" s="232" t="str">
        <f>IF(S164="","",IF(Orçamento!$B164="INSUMO",S164,""))</f>
        <v/>
      </c>
      <c r="Q164" s="244" t="str">
        <f t="shared" si="93"/>
        <v>Manutencao para Equipamentos proprios - Mini Grua</v>
      </c>
      <c r="R164" s="234">
        <f t="shared" ca="1" si="86"/>
        <v>8</v>
      </c>
      <c r="S164" s="233" t="s">
        <v>938</v>
      </c>
      <c r="T164" s="242" t="s">
        <v>260</v>
      </c>
      <c r="U164" s="235">
        <f>ROUNDUP(OBRA!$D$12/3,0)</f>
        <v>8</v>
      </c>
      <c r="V164" s="320" t="s">
        <v>35</v>
      </c>
      <c r="W164" s="236" t="str">
        <f>IFERROR(IF(B164="INSUMO",_xlfn.XLOOKUP(S164,Insumos!A:A,Insumos!C:C),""),"Inserir Preço")</f>
        <v/>
      </c>
      <c r="X164" s="235">
        <f t="shared" ca="1" si="94"/>
        <v>8</v>
      </c>
      <c r="Y164" s="236">
        <f t="shared" ca="1" si="76"/>
        <v>301.94215024203669</v>
      </c>
      <c r="Z164" s="237">
        <f t="shared" ca="1" si="77"/>
        <v>2415.5372019362935</v>
      </c>
      <c r="AA164" s="238"/>
      <c r="AB164" s="233" t="str">
        <f>IF(B164="insumo",_xlfn.XLOOKUP(S164,Insumos!A:A,Insumos!D:D),"")</f>
        <v/>
      </c>
      <c r="AC164" s="239">
        <f t="shared" ca="1" si="78"/>
        <v>3.4653083456446236E-4</v>
      </c>
      <c r="AE164" s="240">
        <f ca="1">IFERROR(IF(OR(Z164="",Z164=0),"",IF(AF164="","",IF(AF164="R$/mês",Z164/OBRA!$D$12,IF(AF164="R$/m²",Z164/OBRA!$D$10,IF(AF164="R$/apto",Orçamento!Z164/OBRA!$D$11,""))))),"")</f>
        <v>1.2430526504512043</v>
      </c>
      <c r="AF164" s="241" t="s">
        <v>154</v>
      </c>
    </row>
    <row r="165" spans="1:35" s="10" customFormat="1" ht="13.15" hidden="1" customHeight="1" outlineLevel="4" x14ac:dyDescent="0.2">
      <c r="A165" s="227"/>
      <c r="B165" s="228" t="s">
        <v>19</v>
      </c>
      <c r="C165" s="229">
        <f t="shared" si="75"/>
        <v>1</v>
      </c>
      <c r="D165" s="227" t="str">
        <f t="shared" si="87"/>
        <v/>
      </c>
      <c r="E165" s="228" t="str">
        <f t="shared" ca="1" si="81"/>
        <v>02.003.001.006</v>
      </c>
      <c r="F165" s="230">
        <f ca="1">IF($B165="UNIDADE CONSTRUTIVA",OFFSET(F165,-1,0)+1,LARGE(F$10:F164,1))</f>
        <v>1</v>
      </c>
      <c r="G165" s="228" t="str">
        <f t="shared" ca="1" si="88"/>
        <v xml:space="preserve">   GERENCIAMENTO TÉCNICO E ADMINISTRATIVO</v>
      </c>
      <c r="H165" s="230">
        <f t="shared" ca="1" si="82"/>
        <v>2</v>
      </c>
      <c r="I165" s="228" t="str">
        <f t="shared" ca="1" si="89"/>
        <v xml:space="preserve">   GERENCIAMENTO ADMINISTRATIVO</v>
      </c>
      <c r="J165" s="230">
        <f t="shared" ca="1" si="83"/>
        <v>3</v>
      </c>
      <c r="K165" s="228" t="str">
        <f t="shared" ca="1" si="90"/>
        <v xml:space="preserve">   EQUIPAMENTOS</v>
      </c>
      <c r="L165" s="231">
        <f t="shared" ca="1" si="84"/>
        <v>1</v>
      </c>
      <c r="M165" s="228" t="str">
        <f t="shared" ca="1" si="91"/>
        <v xml:space="preserve">   Equipamentos de Carga e Transporte</v>
      </c>
      <c r="N165" s="231">
        <f t="shared" ca="1" si="85"/>
        <v>6</v>
      </c>
      <c r="O165" s="228" t="str">
        <f t="shared" ca="1" si="92"/>
        <v>Manutencao para Equipamentos proprios - Mini Grua</v>
      </c>
      <c r="P165" s="232" t="str">
        <f>IF(S165="","",IF(Orçamento!$B165="INSUMO",S165,""))</f>
        <v>Manutenção periódica Mini Grua</v>
      </c>
      <c r="Q165" s="244" t="str">
        <f t="shared" si="93"/>
        <v/>
      </c>
      <c r="R165" s="234">
        <f t="shared" ca="1" si="86"/>
        <v>8</v>
      </c>
      <c r="S165" s="233" t="s">
        <v>934</v>
      </c>
      <c r="T165" s="242" t="str">
        <f>_xlfn.XLOOKUP(S165,Insumos!$A$3:$A$371,Insumos!$B$3:$B$371)</f>
        <v>VB</v>
      </c>
      <c r="U165" s="235">
        <f ca="1">IF($B165="insumo",R165,"")</f>
        <v>8</v>
      </c>
      <c r="V165" s="320">
        <v>1</v>
      </c>
      <c r="W165" s="236">
        <f>IFERROR(IF(B165="INSUMO",_xlfn.XLOOKUP(S165,Insumos!A:A,Insumos!C:C),""),"Inserir Preço")</f>
        <v>301.94215024203669</v>
      </c>
      <c r="X165" s="235">
        <f t="shared" ca="1" si="94"/>
        <v>8</v>
      </c>
      <c r="Y165" s="236">
        <f t="shared" si="76"/>
        <v>301.94215024203669</v>
      </c>
      <c r="Z165" s="237">
        <f t="shared" ca="1" si="77"/>
        <v>2415.5372019362935</v>
      </c>
      <c r="AA165" s="238"/>
      <c r="AB165" s="233" t="str">
        <f>IF(B165="insumo",_xlfn.XLOOKUP(S165,Insumos!A:A,Insumos!D:D),"")</f>
        <v>Estimativa</v>
      </c>
      <c r="AC165" s="239">
        <f t="shared" ca="1" si="78"/>
        <v>3.4653083456446236E-4</v>
      </c>
      <c r="AE165" s="240">
        <f ca="1">IFERROR(IF(OR(Z165="",Z165=0),"",IF(AF165="","",IF(AF165="R$/mês",Z165/OBRA!$D$12,IF(AF165="R$/m²",Z165/OBRA!$D$10,IF(AF165="R$/apto",Orçamento!Z165/OBRA!$D$11,""))))),"")</f>
        <v>1.2430526504512043</v>
      </c>
      <c r="AF165" s="241" t="s">
        <v>154</v>
      </c>
    </row>
    <row r="166" spans="1:35" s="10" customFormat="1" ht="13.15" hidden="1" customHeight="1" outlineLevel="3" collapsed="1" x14ac:dyDescent="0.2">
      <c r="A166" s="227"/>
      <c r="B166" s="228" t="s">
        <v>3</v>
      </c>
      <c r="C166" s="229" t="str">
        <f t="shared" si="75"/>
        <v/>
      </c>
      <c r="D166" s="227" t="str">
        <f t="shared" ca="1" si="87"/>
        <v>02.003.002</v>
      </c>
      <c r="E166" s="228" t="str">
        <f t="shared" ref="E166:E180" ca="1" si="95">IF(B166="*","",IFERROR(IF(B166="SERVIÇO",D166,OFFSET(E166,-1,0)),""))</f>
        <v>02.003.001.006</v>
      </c>
      <c r="F166" s="230">
        <f ca="1">IF($B166="UNIDADE CONSTRUTIVA",OFFSET(F166,-1,0)+1,LARGE(F$10:F165,1))</f>
        <v>1</v>
      </c>
      <c r="G166" s="228" t="str">
        <f t="shared" ca="1" si="88"/>
        <v xml:space="preserve">   GERENCIAMENTO TÉCNICO E ADMINISTRATIVO</v>
      </c>
      <c r="H166" s="230">
        <f t="shared" ref="H166:H180" ca="1" si="96">IF(B166="UNIDADE CONSTRUTIVA",0,IF(B166="CÉLULA CONSTRUTIVA",OFFSET(H166,-1,0)+1,OFFSET(H166,-1,0)))</f>
        <v>2</v>
      </c>
      <c r="I166" s="228" t="str">
        <f t="shared" ca="1" si="89"/>
        <v xml:space="preserve">   GERENCIAMENTO ADMINISTRATIVO</v>
      </c>
      <c r="J166" s="230">
        <f t="shared" ref="J166:J180" ca="1" si="97">IF(B166="CÉLULA CONSTRUTIVA",0,IF(B166="ETAPA",OFFSET(J166,-1,0)+1,OFFSET(J166,-1,0)))</f>
        <v>3</v>
      </c>
      <c r="K166" s="228" t="str">
        <f t="shared" ca="1" si="90"/>
        <v xml:space="preserve">   EQUIPAMENTOS</v>
      </c>
      <c r="L166" s="231">
        <f t="shared" ref="L166:L180" ca="1" si="98">IF(B166="ETAPA",0,IF(B166="SUBETAPA",OFFSET(L166,-1,0)+1,OFFSET(L166,-1,0)))</f>
        <v>2</v>
      </c>
      <c r="M166" s="228" t="str">
        <f t="shared" ca="1" si="91"/>
        <v xml:space="preserve">   Equipamentos de Obra</v>
      </c>
      <c r="N166" s="231">
        <f t="shared" ref="N166:N180" ca="1" si="99">IF(B166="Subetapa",0,IF(B166="serviço",OFFSET(N166,-1,0)+1,OFFSET(N166,-1,0)))</f>
        <v>0</v>
      </c>
      <c r="O166" s="228" t="str">
        <f t="shared" ca="1" si="92"/>
        <v>Manutencao para Equipamentos proprios - Mini Grua</v>
      </c>
      <c r="P166" s="232" t="str">
        <f>IF(S166="","",IF(Orçamento!$B166="INSUMO",S166,""))</f>
        <v/>
      </c>
      <c r="Q166" s="244" t="str">
        <f t="shared" si="93"/>
        <v/>
      </c>
      <c r="R166" s="234">
        <f t="shared" ca="1" si="79"/>
        <v>8</v>
      </c>
      <c r="S166" s="233" t="s">
        <v>433</v>
      </c>
      <c r="T166" s="242" t="s">
        <v>35</v>
      </c>
      <c r="U166" s="235" t="str">
        <f>IF($B166="insumo",R166,"")</f>
        <v/>
      </c>
      <c r="V166" s="320" t="s">
        <v>35</v>
      </c>
      <c r="W166" s="236" t="str">
        <f>IFERROR(IF(B166="INSUMO",_xlfn.XLOOKUP(S166,Insumos!A:A,Insumos!C:C),""),"Inserir Preço")</f>
        <v/>
      </c>
      <c r="X166" s="235" t="str">
        <f t="shared" ca="1" si="94"/>
        <v/>
      </c>
      <c r="Y166" s="236" t="str">
        <f t="shared" si="76"/>
        <v/>
      </c>
      <c r="Z166" s="237">
        <f t="shared" ca="1" si="77"/>
        <v>23316</v>
      </c>
      <c r="AA166" s="238"/>
      <c r="AB166" s="233" t="str">
        <f>IF(B166="insumo",_xlfn.XLOOKUP(S166,Insumos!A:A,Insumos!D:D),"")</f>
        <v/>
      </c>
      <c r="AC166" s="239">
        <f t="shared" ca="1" si="78"/>
        <v>3.34489277674064E-3</v>
      </c>
      <c r="AE166" s="240">
        <f ca="1">IFERROR(IF(OR(Z166="",Z166=0),"",IF(AF166="","",IF(AF166="R$/mês",Z166/OBRA!$D$12,IF(AF166="R$/m²",Z166/OBRA!$D$10,IF(AF166="R$/apto",Orçamento!Z166/OBRA!$D$11,""))))),"")</f>
        <v>11.99857968433999</v>
      </c>
      <c r="AF166" s="241" t="s">
        <v>154</v>
      </c>
    </row>
    <row r="167" spans="1:35" s="10" customFormat="1" ht="13.15" hidden="1" customHeight="1" outlineLevel="4" x14ac:dyDescent="0.2">
      <c r="A167" s="227"/>
      <c r="B167" s="228" t="s">
        <v>4</v>
      </c>
      <c r="C167" s="229">
        <f t="shared" si="75"/>
        <v>1</v>
      </c>
      <c r="D167" s="227" t="str">
        <f t="shared" ca="1" si="87"/>
        <v>02.003.002.001</v>
      </c>
      <c r="E167" s="228" t="str">
        <f t="shared" ca="1" si="95"/>
        <v>02.003.002.001</v>
      </c>
      <c r="F167" s="230">
        <f ca="1">IF($B167="UNIDADE CONSTRUTIVA",OFFSET(F167,-1,0)+1,LARGE(F$10:F166,1))</f>
        <v>1</v>
      </c>
      <c r="G167" s="228" t="str">
        <f t="shared" ca="1" si="88"/>
        <v xml:space="preserve">   GERENCIAMENTO TÉCNICO E ADMINISTRATIVO</v>
      </c>
      <c r="H167" s="230">
        <f t="shared" ca="1" si="96"/>
        <v>2</v>
      </c>
      <c r="I167" s="228" t="str">
        <f t="shared" ca="1" si="89"/>
        <v xml:space="preserve">   GERENCIAMENTO ADMINISTRATIVO</v>
      </c>
      <c r="J167" s="230">
        <f t="shared" ca="1" si="97"/>
        <v>3</v>
      </c>
      <c r="K167" s="228" t="str">
        <f t="shared" ca="1" si="90"/>
        <v xml:space="preserve">   EQUIPAMENTOS</v>
      </c>
      <c r="L167" s="231">
        <f t="shared" ca="1" si="98"/>
        <v>2</v>
      </c>
      <c r="M167" s="228" t="str">
        <f t="shared" ca="1" si="91"/>
        <v xml:space="preserve">   Equipamentos de Obra</v>
      </c>
      <c r="N167" s="231">
        <f t="shared" ca="1" si="99"/>
        <v>1</v>
      </c>
      <c r="O167" s="228" t="str">
        <f t="shared" ca="1" si="92"/>
        <v>Equipamentos, Ferramentas e acessorios de Apoio ao Canteiro de Obra</v>
      </c>
      <c r="P167" s="232" t="str">
        <f>IF(S167="","",IF(Orçamento!$B167="INSUMO",S167,""))</f>
        <v/>
      </c>
      <c r="Q167" s="244" t="str">
        <f t="shared" si="93"/>
        <v>Equipamentos, Ferramentas e acessorios de Apoio ao Canteiro de Obra</v>
      </c>
      <c r="R167" s="234">
        <f t="shared" ca="1" si="79"/>
        <v>22</v>
      </c>
      <c r="S167" s="233" t="s">
        <v>868</v>
      </c>
      <c r="T167" s="242" t="s">
        <v>260</v>
      </c>
      <c r="U167" s="235">
        <f>OBRA!$D$12</f>
        <v>22</v>
      </c>
      <c r="V167" s="320" t="s">
        <v>35</v>
      </c>
      <c r="W167" s="236" t="str">
        <f>IFERROR(IF(B167="INSUMO",_xlfn.XLOOKUP(S167,Insumos!A:A,Insumos!C:C),""),"Inserir Preço")</f>
        <v/>
      </c>
      <c r="X167" s="235">
        <f t="shared" ca="1" si="94"/>
        <v>22</v>
      </c>
      <c r="Y167" s="236">
        <f ca="1">(IF(B167="insumo",W167*V167,IF(B167="serviço",SUMIFS(Y:Y,B:B,"insumo",E:E,E167,I:I,I167),"")))</f>
        <v>981.81818181818187</v>
      </c>
      <c r="Z167" s="237">
        <f t="shared" ca="1" si="77"/>
        <v>21600</v>
      </c>
      <c r="AA167" s="238"/>
      <c r="AB167" s="233" t="str">
        <f>IF(B167="insumo",_xlfn.XLOOKUP(S167,Insumos!A:A,Insumos!D:D),"")</f>
        <v/>
      </c>
      <c r="AC167" s="239">
        <f t="shared" ca="1" si="78"/>
        <v>3.0987169316176798E-3</v>
      </c>
      <c r="AE167" s="240">
        <f ca="1">IFERROR(IF(OR(Z167="",Z167=0),"",IF(AF167="","",IF(AF167="R$/mês",Z167/OBRA!$D$12,IF(AF167="R$/m²",Z167/OBRA!$D$10,IF(AF167="R$/apto",Orçamento!Z167/OBRA!$D$11,""))))),"")</f>
        <v>11.115513860942864</v>
      </c>
      <c r="AF167" s="241" t="s">
        <v>154</v>
      </c>
    </row>
    <row r="168" spans="1:35" s="10" customFormat="1" ht="13.15" hidden="1" customHeight="1" outlineLevel="4" x14ac:dyDescent="0.2">
      <c r="A168" s="227"/>
      <c r="B168" s="228" t="s">
        <v>19</v>
      </c>
      <c r="C168" s="229">
        <f t="shared" si="75"/>
        <v>1</v>
      </c>
      <c r="D168" s="227" t="str">
        <f t="shared" si="87"/>
        <v/>
      </c>
      <c r="E168" s="228" t="str">
        <f t="shared" ca="1" si="95"/>
        <v>02.003.002.001</v>
      </c>
      <c r="F168" s="230">
        <f ca="1">IF($B168="UNIDADE CONSTRUTIVA",OFFSET(F168,-1,0)+1,LARGE(F$10:F167,1))</f>
        <v>1</v>
      </c>
      <c r="G168" s="228" t="str">
        <f t="shared" ca="1" si="88"/>
        <v xml:space="preserve">   GERENCIAMENTO TÉCNICO E ADMINISTRATIVO</v>
      </c>
      <c r="H168" s="230">
        <f t="shared" ca="1" si="96"/>
        <v>2</v>
      </c>
      <c r="I168" s="228" t="str">
        <f t="shared" ca="1" si="89"/>
        <v xml:space="preserve">   GERENCIAMENTO ADMINISTRATIVO</v>
      </c>
      <c r="J168" s="230">
        <f t="shared" ca="1" si="97"/>
        <v>3</v>
      </c>
      <c r="K168" s="228" t="str">
        <f t="shared" ca="1" si="90"/>
        <v xml:space="preserve">   EQUIPAMENTOS</v>
      </c>
      <c r="L168" s="231">
        <f t="shared" ca="1" si="98"/>
        <v>2</v>
      </c>
      <c r="M168" s="228" t="str">
        <f t="shared" ca="1" si="91"/>
        <v xml:space="preserve">   Equipamentos de Obra</v>
      </c>
      <c r="N168" s="231">
        <f t="shared" ca="1" si="99"/>
        <v>1</v>
      </c>
      <c r="O168" s="228" t="str">
        <f t="shared" ca="1" si="92"/>
        <v>Equipamentos, Ferramentas e acessorios de Apoio ao Canteiro de Obra</v>
      </c>
      <c r="P168" s="232" t="str">
        <f>IF(S168="","",IF(Orçamento!$B168="INSUMO",S168,""))</f>
        <v>FERRAMENTAS E EQUIPAMENTOS APOIO</v>
      </c>
      <c r="Q168" s="244" t="str">
        <f t="shared" si="93"/>
        <v/>
      </c>
      <c r="R168" s="234">
        <f t="shared" ca="1" si="79"/>
        <v>22</v>
      </c>
      <c r="S168" s="233" t="s">
        <v>909</v>
      </c>
      <c r="T168" s="242" t="str">
        <f>_xlfn.XLOOKUP(S168,Insumos!$A$3:$A$371,Insumos!$B$3:$B$371)</f>
        <v>VB</v>
      </c>
      <c r="U168" s="235">
        <f ca="1">IF($B168="insumo",R168,"")</f>
        <v>22</v>
      </c>
      <c r="V168" s="320">
        <v>1</v>
      </c>
      <c r="W168" s="236">
        <f>IFERROR(IF(B168="INSUMO",_xlfn.XLOOKUP(S168,Insumos!A:A,Insumos!C:C),""),"Inserir Preço")</f>
        <v>981.81818181818187</v>
      </c>
      <c r="X168" s="235">
        <f t="shared" ca="1" si="94"/>
        <v>22</v>
      </c>
      <c r="Y168" s="236">
        <f t="shared" ref="Y168:Y231" si="100">IF(B168="insumo",W168*V168,IF(B168="serviço",SUMIFS(Y:Y,B:B,"insumo",E:E,E168,I:I,I168),""))</f>
        <v>981.81818181818187</v>
      </c>
      <c r="Z168" s="237">
        <f t="shared" ca="1" si="77"/>
        <v>21600</v>
      </c>
      <c r="AA168" s="238"/>
      <c r="AB168" s="233" t="str">
        <f>IF(B168="insumo",_xlfn.XLOOKUP(S168,Insumos!A:A,Insumos!D:D),"")</f>
        <v>Estimativa</v>
      </c>
      <c r="AC168" s="239">
        <f t="shared" ca="1" si="78"/>
        <v>3.0987169316176798E-3</v>
      </c>
      <c r="AE168" s="240">
        <f ca="1">IFERROR(IF(OR(Z168="",Z168=0),"",IF(AF168="","",IF(AF168="R$/mês",Z168/OBRA!$D$12,IF(AF168="R$/m²",Z168/OBRA!$D$10,IF(AF168="R$/apto",Orçamento!Z168/OBRA!$D$11,""))))),"")</f>
        <v>11.115513860942864</v>
      </c>
      <c r="AF168" s="241" t="s">
        <v>154</v>
      </c>
    </row>
    <row r="169" spans="1:35" s="10" customFormat="1" ht="13.15" hidden="1" customHeight="1" outlineLevel="4" x14ac:dyDescent="0.2">
      <c r="A169" s="227"/>
      <c r="B169" s="228" t="s">
        <v>4</v>
      </c>
      <c r="C169" s="229">
        <f t="shared" si="75"/>
        <v>1</v>
      </c>
      <c r="D169" s="227" t="str">
        <f t="shared" ca="1" si="87"/>
        <v>02.003.002.002</v>
      </c>
      <c r="E169" s="228" t="str">
        <f ca="1">IF(B169="*","",IFERROR(IF(B169="SERVIÇO",D169,OFFSET(E169,-1,0)),""))</f>
        <v>02.003.002.002</v>
      </c>
      <c r="F169" s="230">
        <f ca="1">IF($B169="UNIDADE CONSTRUTIVA",OFFSET(F169,-1,0)+1,LARGE(F$10:F168,1))</f>
        <v>1</v>
      </c>
      <c r="G169" s="228" t="str">
        <f t="shared" ca="1" si="88"/>
        <v xml:space="preserve">   GERENCIAMENTO TÉCNICO E ADMINISTRATIVO</v>
      </c>
      <c r="H169" s="230">
        <f ca="1">IF(B169="UNIDADE CONSTRUTIVA",0,IF(B169="CÉLULA CONSTRUTIVA",OFFSET(H169,-1,0)+1,OFFSET(H169,-1,0)))</f>
        <v>2</v>
      </c>
      <c r="I169" s="228" t="str">
        <f t="shared" ca="1" si="89"/>
        <v xml:space="preserve">   GERENCIAMENTO ADMINISTRATIVO</v>
      </c>
      <c r="J169" s="230">
        <f ca="1">IF(B169="CÉLULA CONSTRUTIVA",0,IF(B169="ETAPA",OFFSET(J169,-1,0)+1,OFFSET(J169,-1,0)))</f>
        <v>3</v>
      </c>
      <c r="K169" s="228" t="str">
        <f t="shared" ca="1" si="90"/>
        <v xml:space="preserve">   EQUIPAMENTOS</v>
      </c>
      <c r="L169" s="231">
        <f ca="1">IF(B169="ETAPA",0,IF(B169="SUBETAPA",OFFSET(L169,-1,0)+1,OFFSET(L169,-1,0)))</f>
        <v>2</v>
      </c>
      <c r="M169" s="228" t="str">
        <f t="shared" ca="1" si="91"/>
        <v xml:space="preserve">   Equipamentos de Obra</v>
      </c>
      <c r="N169" s="231">
        <f ca="1">IF(B169="Subetapa",0,IF(B169="serviço",OFFSET(N169,-1,0)+1,OFFSET(N169,-1,0)))</f>
        <v>2</v>
      </c>
      <c r="O169" s="228" t="str">
        <f t="shared" ca="1" si="92"/>
        <v>Manutencao para Veículos proprios</v>
      </c>
      <c r="P169" s="232" t="str">
        <f>IF(S169="","",IF(Orçamento!$B169="INSUMO",S169,""))</f>
        <v/>
      </c>
      <c r="Q169" s="244" t="str">
        <f t="shared" si="93"/>
        <v>Manutencao para Veículos proprios</v>
      </c>
      <c r="R169" s="234">
        <f ca="1">IF(B169="serviço",U169,OFFSET(R169,-1,0))</f>
        <v>22</v>
      </c>
      <c r="S169" s="233" t="s">
        <v>932</v>
      </c>
      <c r="T169" s="242" t="s">
        <v>260</v>
      </c>
      <c r="U169" s="235">
        <f>OBRA!$D$12</f>
        <v>22</v>
      </c>
      <c r="V169" s="320" t="s">
        <v>35</v>
      </c>
      <c r="W169" s="236" t="str">
        <f>IFERROR(IF(B169="INSUMO",_xlfn.XLOOKUP(S169,Insumos!A:A,Insumos!C:C),""),"Inserir Preço")</f>
        <v/>
      </c>
      <c r="X169" s="235">
        <f t="shared" ca="1" si="94"/>
        <v>22</v>
      </c>
      <c r="Y169" s="236">
        <f t="shared" ca="1" si="100"/>
        <v>78</v>
      </c>
      <c r="Z169" s="237">
        <f t="shared" ca="1" si="77"/>
        <v>1716</v>
      </c>
      <c r="AA169" s="238"/>
      <c r="AB169" s="233" t="str">
        <f>IF(B169="insumo",_xlfn.XLOOKUP(S169,Insumos!A:A,Insumos!D:D),"")</f>
        <v/>
      </c>
      <c r="AC169" s="239">
        <f t="shared" ca="1" si="78"/>
        <v>2.4617584512296012E-4</v>
      </c>
      <c r="AE169" s="240">
        <f ca="1">IFERROR(IF(OR(Z169="",Z169=0),"",IF(AF169="","",IF(AF169="R$/mês",Z169/OBRA!$D$12,IF(AF169="R$/m²",Z169/OBRA!$D$10,IF(AF169="R$/apto",Orçamento!Z169/OBRA!$D$11,""))))),"")</f>
        <v>0.88306582339712747</v>
      </c>
      <c r="AF169" s="241" t="s">
        <v>154</v>
      </c>
    </row>
    <row r="170" spans="1:35" s="10" customFormat="1" ht="13.15" hidden="1" customHeight="1" outlineLevel="4" x14ac:dyDescent="0.2">
      <c r="A170" s="227"/>
      <c r="B170" s="228" t="s">
        <v>19</v>
      </c>
      <c r="C170" s="229">
        <f t="shared" si="75"/>
        <v>1</v>
      </c>
      <c r="D170" s="227" t="str">
        <f t="shared" si="87"/>
        <v/>
      </c>
      <c r="E170" s="228" t="str">
        <f ca="1">IF(B170="*","",IFERROR(IF(B170="SERVIÇO",D170,OFFSET(E170,-1,0)),""))</f>
        <v>02.003.002.002</v>
      </c>
      <c r="F170" s="230">
        <f ca="1">IF($B170="UNIDADE CONSTRUTIVA",OFFSET(F170,-1,0)+1,LARGE(F$10:F169,1))</f>
        <v>1</v>
      </c>
      <c r="G170" s="228" t="str">
        <f t="shared" ca="1" si="88"/>
        <v xml:space="preserve">   GERENCIAMENTO TÉCNICO E ADMINISTRATIVO</v>
      </c>
      <c r="H170" s="230">
        <f ca="1">IF(B170="UNIDADE CONSTRUTIVA",0,IF(B170="CÉLULA CONSTRUTIVA",OFFSET(H170,-1,0)+1,OFFSET(H170,-1,0)))</f>
        <v>2</v>
      </c>
      <c r="I170" s="228" t="str">
        <f t="shared" ca="1" si="89"/>
        <v xml:space="preserve">   GERENCIAMENTO ADMINISTRATIVO</v>
      </c>
      <c r="J170" s="230">
        <f ca="1">IF(B170="CÉLULA CONSTRUTIVA",0,IF(B170="ETAPA",OFFSET(J170,-1,0)+1,OFFSET(J170,-1,0)))</f>
        <v>3</v>
      </c>
      <c r="K170" s="228" t="str">
        <f t="shared" ca="1" si="90"/>
        <v xml:space="preserve">   EQUIPAMENTOS</v>
      </c>
      <c r="L170" s="231">
        <f ca="1">IF(B170="ETAPA",0,IF(B170="SUBETAPA",OFFSET(L170,-1,0)+1,OFFSET(L170,-1,0)))</f>
        <v>2</v>
      </c>
      <c r="M170" s="228" t="str">
        <f t="shared" ca="1" si="91"/>
        <v xml:space="preserve">   Equipamentos de Obra</v>
      </c>
      <c r="N170" s="231">
        <f ca="1">IF(B170="Subetapa",0,IF(B170="serviço",OFFSET(N170,-1,0)+1,OFFSET(N170,-1,0)))</f>
        <v>2</v>
      </c>
      <c r="O170" s="228" t="str">
        <f t="shared" ca="1" si="92"/>
        <v>Manutencao para Veículos proprios</v>
      </c>
      <c r="P170" s="232" t="str">
        <f>IF(S170="","",IF(Orçamento!$B170="INSUMO",S170,""))</f>
        <v>MANUTENCAO PARA VEICULOS PROPRIOS</v>
      </c>
      <c r="Q170" s="244" t="str">
        <f t="shared" si="93"/>
        <v/>
      </c>
      <c r="R170" s="234">
        <f ca="1">IF(B170="serviço",U170,OFFSET(R170,-1,0))</f>
        <v>22</v>
      </c>
      <c r="S170" s="233" t="s">
        <v>933</v>
      </c>
      <c r="T170" s="242" t="str">
        <f>_xlfn.XLOOKUP(S170,Insumos!$A$3:$A$371,Insumos!$B$3:$B$371)</f>
        <v>VB</v>
      </c>
      <c r="U170" s="235">
        <f ca="1">IF($B170="insumo",R170,"")</f>
        <v>22</v>
      </c>
      <c r="V170" s="320">
        <v>1</v>
      </c>
      <c r="W170" s="236">
        <f>IFERROR(IF(B170="INSUMO",_xlfn.XLOOKUP(S170,Insumos!A:A,Insumos!C:C),""),"Inserir Preço")</f>
        <v>78</v>
      </c>
      <c r="X170" s="235">
        <f t="shared" ca="1" si="94"/>
        <v>22</v>
      </c>
      <c r="Y170" s="236">
        <f t="shared" si="100"/>
        <v>78</v>
      </c>
      <c r="Z170" s="237">
        <f t="shared" ca="1" si="77"/>
        <v>1716</v>
      </c>
      <c r="AA170" s="238"/>
      <c r="AB170" s="233" t="str">
        <f>IF(B170="insumo",_xlfn.XLOOKUP(S170,Insumos!A:A,Insumos!D:D),"")</f>
        <v xml:space="preserve"> </v>
      </c>
      <c r="AC170" s="239">
        <f t="shared" ca="1" si="78"/>
        <v>2.4617584512296012E-4</v>
      </c>
      <c r="AE170" s="240">
        <f ca="1">IFERROR(IF(OR(Z170="",Z170=0),"",IF(AF170="","",IF(AF170="R$/mês",Z170/OBRA!$D$12,IF(AF170="R$/m²",Z170/OBRA!$D$10,IF(AF170="R$/apto",Orçamento!Z170/OBRA!$D$11,""))))),"")</f>
        <v>0.88306582339712747</v>
      </c>
      <c r="AF170" s="241" t="s">
        <v>154</v>
      </c>
    </row>
    <row r="171" spans="1:35" s="10" customFormat="1" ht="13.15" customHeight="1" x14ac:dyDescent="0.2">
      <c r="A171" s="227"/>
      <c r="B171" s="228" t="s">
        <v>22</v>
      </c>
      <c r="C171" s="229" t="str">
        <f t="shared" si="75"/>
        <v/>
      </c>
      <c r="D171" s="227" t="str">
        <f t="shared" ca="1" si="87"/>
        <v>02</v>
      </c>
      <c r="E171" s="228" t="str">
        <f t="shared" ref="E171:E172" ca="1" si="101">IF(B171="*","",IFERROR(IF(B171="SERVIÇO",D171,OFFSET(E171,-1,0)),""))</f>
        <v>02.003.002.002</v>
      </c>
      <c r="F171" s="230">
        <f ca="1">IF($B171="UNIDADE CONSTRUTIVA",OFFSET(F171,-1,0)+1,LARGE(F$10:F170,1))</f>
        <v>2</v>
      </c>
      <c r="G171" s="228" t="str">
        <f t="shared" ca="1" si="88"/>
        <v xml:space="preserve">   GERENCIAMENTO EXECUTIVO</v>
      </c>
      <c r="H171" s="230">
        <f t="shared" ref="H171:H172" ca="1" si="102">IF(B171="UNIDADE CONSTRUTIVA",0,IF(B171="CÉLULA CONSTRUTIVA",OFFSET(H171,-1,0)+1,OFFSET(H171,-1,0)))</f>
        <v>0</v>
      </c>
      <c r="I171" s="228" t="str">
        <f t="shared" ca="1" si="89"/>
        <v xml:space="preserve">   GERENCIAMENTO ADMINISTRATIVO</v>
      </c>
      <c r="J171" s="230">
        <f t="shared" ref="J171:J172" ca="1" si="103">IF(B171="CÉLULA CONSTRUTIVA",0,IF(B171="ETAPA",OFFSET(J171,-1,0)+1,OFFSET(J171,-1,0)))</f>
        <v>3</v>
      </c>
      <c r="K171" s="228" t="str">
        <f t="shared" ca="1" si="90"/>
        <v xml:space="preserve">   EQUIPAMENTOS</v>
      </c>
      <c r="L171" s="231">
        <f t="shared" ref="L171:L172" ca="1" si="104">IF(B171="ETAPA",0,IF(B171="SUBETAPA",OFFSET(L171,-1,0)+1,OFFSET(L171,-1,0)))</f>
        <v>2</v>
      </c>
      <c r="M171" s="228" t="str">
        <f t="shared" ca="1" si="91"/>
        <v xml:space="preserve">   Equipamentos de Obra</v>
      </c>
      <c r="N171" s="231">
        <f t="shared" ref="N171:N172" ca="1" si="105">IF(B171="Subetapa",0,IF(B171="serviço",OFFSET(N171,-1,0)+1,OFFSET(N171,-1,0)))</f>
        <v>2</v>
      </c>
      <c r="O171" s="228" t="str">
        <f t="shared" ca="1" si="92"/>
        <v>Manutencao para Veículos proprios</v>
      </c>
      <c r="P171" s="232" t="str">
        <f>IF(S171="","",IF(Orçamento!$B171="INSUMO",S171,""))</f>
        <v/>
      </c>
      <c r="Q171" s="244" t="str">
        <f t="shared" si="93"/>
        <v/>
      </c>
      <c r="R171" s="234">
        <f t="shared" ca="1" si="79"/>
        <v>22</v>
      </c>
      <c r="S171" s="233" t="s">
        <v>541</v>
      </c>
      <c r="T171" s="242"/>
      <c r="U171" s="235" t="str">
        <f>IF($B171="insumo",R171,"")</f>
        <v/>
      </c>
      <c r="V171" s="320"/>
      <c r="W171" s="236" t="str">
        <f>IFERROR(IF(B171="INSUMO",_xlfn.XLOOKUP(S171,Insumos!A:A,Insumos!C:C),""),"Inserir Preço")</f>
        <v/>
      </c>
      <c r="X171" s="235" t="str">
        <f t="shared" ca="1" si="94"/>
        <v/>
      </c>
      <c r="Y171" s="236" t="str">
        <f t="shared" si="100"/>
        <v/>
      </c>
      <c r="Z171" s="237">
        <f t="shared" ca="1" si="77"/>
        <v>6242224.661428743</v>
      </c>
      <c r="AA171" s="238"/>
      <c r="AB171" s="233" t="str">
        <f>IF(B171="insumo",_xlfn.XLOOKUP(S171,Insumos!A:A,Insumos!D:D),"")</f>
        <v/>
      </c>
      <c r="AC171" s="239">
        <f t="shared" ca="1" si="78"/>
        <v>0.89550403932086498</v>
      </c>
      <c r="AE171" s="240">
        <f ca="1">IFERROR(IF(OR(Z171="",Z171=0),"",IF(AF171="","",IF(AF171="R$/mês",Z171/OBRA!$D$12,IF(AF171="R$/m²",Z171/OBRA!$D$10,IF(AF171="R$/apto",Orçamento!Z171/OBRA!$D$11,""))))),"")</f>
        <v>3212.2932753347482</v>
      </c>
      <c r="AF171" s="241" t="s">
        <v>154</v>
      </c>
    </row>
    <row r="172" spans="1:35" s="10" customFormat="1" ht="13.15" customHeight="1" outlineLevel="1" x14ac:dyDescent="0.2">
      <c r="A172" s="227"/>
      <c r="B172" s="228" t="s">
        <v>1</v>
      </c>
      <c r="C172" s="229" t="str">
        <f t="shared" si="75"/>
        <v/>
      </c>
      <c r="D172" s="227" t="str">
        <f t="shared" ca="1" si="87"/>
        <v>01</v>
      </c>
      <c r="E172" s="228" t="str">
        <f t="shared" ca="1" si="101"/>
        <v>02.003.002.002</v>
      </c>
      <c r="F172" s="230">
        <f ca="1">IF($B172="UNIDADE CONSTRUTIVA",OFFSET(F172,-1,0)+1,LARGE(F$10:F171,1))</f>
        <v>2</v>
      </c>
      <c r="G172" s="228" t="str">
        <f t="shared" ca="1" si="88"/>
        <v xml:space="preserve">   GERENCIAMENTO EXECUTIVO</v>
      </c>
      <c r="H172" s="230">
        <f t="shared" ca="1" si="102"/>
        <v>1</v>
      </c>
      <c r="I172" s="228" t="str">
        <f t="shared" ca="1" si="89"/>
        <v xml:space="preserve">   MOVIMENTAÇÃO DE TERRA</v>
      </c>
      <c r="J172" s="230">
        <f t="shared" ca="1" si="103"/>
        <v>0</v>
      </c>
      <c r="K172" s="228" t="str">
        <f t="shared" ca="1" si="90"/>
        <v xml:space="preserve">   EQUIPAMENTOS</v>
      </c>
      <c r="L172" s="231">
        <f t="shared" ca="1" si="104"/>
        <v>2</v>
      </c>
      <c r="M172" s="228" t="str">
        <f t="shared" ca="1" si="91"/>
        <v xml:space="preserve">   Equipamentos de Obra</v>
      </c>
      <c r="N172" s="231">
        <f t="shared" ca="1" si="105"/>
        <v>2</v>
      </c>
      <c r="O172" s="228" t="str">
        <f t="shared" ca="1" si="92"/>
        <v>Manutencao para Veículos proprios</v>
      </c>
      <c r="P172" s="232" t="str">
        <f>IF(S172="","",IF(Orçamento!$B172="INSUMO",S172,""))</f>
        <v/>
      </c>
      <c r="Q172" s="244" t="str">
        <f t="shared" si="93"/>
        <v/>
      </c>
      <c r="R172" s="234">
        <f t="shared" ca="1" si="79"/>
        <v>22</v>
      </c>
      <c r="S172" s="342" t="s">
        <v>943</v>
      </c>
      <c r="T172" s="242" t="s">
        <v>35</v>
      </c>
      <c r="U172" s="235" t="str">
        <f>IF($B172="insumo",R172,"")</f>
        <v/>
      </c>
      <c r="V172" s="320" t="s">
        <v>35</v>
      </c>
      <c r="W172" s="236" t="str">
        <f>IFERROR(IF(B172="INSUMO",_xlfn.XLOOKUP(S172,Insumos!A:A,Insumos!C:C),""),"Inserir Preço")</f>
        <v/>
      </c>
      <c r="X172" s="235" t="str">
        <f t="shared" ca="1" si="94"/>
        <v/>
      </c>
      <c r="Y172" s="236" t="str">
        <f t="shared" si="100"/>
        <v/>
      </c>
      <c r="Z172" s="237">
        <f t="shared" ca="1" si="77"/>
        <v>145568.64503694739</v>
      </c>
      <c r="AA172" s="238"/>
      <c r="AB172" s="233" t="str">
        <f>IF(B172="insumo",_xlfn.XLOOKUP(S172,Insumos!A:A,Insumos!D:D),"")</f>
        <v/>
      </c>
      <c r="AC172" s="239">
        <f t="shared" ca="1" si="78"/>
        <v>2.0883149309658927E-2</v>
      </c>
      <c r="AE172" s="240">
        <f ca="1">IFERROR(IF(OR(Z172="",Z172=0),"",IF(AF172="","",IF(AF172="R$/mês",Z172/OBRA!$D$12,IF(AF172="R$/m²",Z172/OBRA!$D$10,IF(AF172="R$/apto",Orçamento!Z172/OBRA!$D$11,""))))),"")</f>
        <v>74.91066164939167</v>
      </c>
      <c r="AF172" s="241" t="s">
        <v>154</v>
      </c>
    </row>
    <row r="173" spans="1:35" s="10" customFormat="1" ht="13.15" customHeight="1" outlineLevel="2" collapsed="1" x14ac:dyDescent="0.2">
      <c r="A173" s="227"/>
      <c r="B173" s="228" t="s">
        <v>2</v>
      </c>
      <c r="C173" s="229" t="str">
        <f t="shared" si="75"/>
        <v/>
      </c>
      <c r="D173" s="227" t="str">
        <f t="shared" ref="D173:D181" ca="1" si="106">IF(B173="Unidade Construtiva",TEXT(F173,"00"),IF(B173="Célula Construtiva",TEXT(H173,"00"),IF(B173="Etapa",CONCATENATE(TEXT(H173,"00"),".",TEXT(J173,"000")),IF(B173="Subetapa",CONCATENATE(TEXT(H173,"00"),".",TEXT(J173,"000"),".",TEXT(L173,"000")),IF(B173="Serviço",CONCATENATE(TEXT(H173,"00"),".",TEXT(J173,"000"),".",TEXT(L173,"000"),".",TEXT(N173,"000")),"")))))</f>
        <v>01.001</v>
      </c>
      <c r="E173" s="228" t="str">
        <f t="shared" ca="1" si="95"/>
        <v>02.003.002.002</v>
      </c>
      <c r="F173" s="230">
        <f ca="1">IF($B173="UNIDADE CONSTRUTIVA",OFFSET(F173,-1,0)+1,LARGE(F$10:F172,1))</f>
        <v>2</v>
      </c>
      <c r="G173" s="228" t="str">
        <f t="shared" ref="G173:G185" ca="1" si="107">IF(B173="*","",IF(B173="UNIDADE CONSTRUTIVA",S173,OFFSET(G173,-1,0)))</f>
        <v xml:space="preserve">   GERENCIAMENTO EXECUTIVO</v>
      </c>
      <c r="H173" s="230">
        <f t="shared" ca="1" si="96"/>
        <v>1</v>
      </c>
      <c r="I173" s="228" t="str">
        <f t="shared" ref="I173:I185" ca="1" si="108">IF(B173="*","",IF(B173="CÉLULA CONSTRUTIVA",S173,OFFSET(I173,-1,0)))</f>
        <v xml:space="preserve">   MOVIMENTAÇÃO DE TERRA</v>
      </c>
      <c r="J173" s="230">
        <f t="shared" ca="1" si="97"/>
        <v>1</v>
      </c>
      <c r="K173" s="228" t="str">
        <f t="shared" ref="K173:K185" ca="1" si="109">IF(B173="*","",IF(B173="ETAPA",S173,OFFSET(K173,-1,0)))</f>
        <v xml:space="preserve">   MOVIMENTAÇÃO DE TERRA</v>
      </c>
      <c r="L173" s="231">
        <f t="shared" ca="1" si="98"/>
        <v>0</v>
      </c>
      <c r="M173" s="228" t="str">
        <f t="shared" ref="M173:M185" ca="1" si="110">IF(B173="*","",IF(B173="SUBETAPA",S173,OFFSET(M173,-1,0)))</f>
        <v xml:space="preserve">   Equipamentos de Obra</v>
      </c>
      <c r="N173" s="231">
        <f t="shared" ca="1" si="99"/>
        <v>2</v>
      </c>
      <c r="O173" s="228" t="str">
        <f t="shared" ref="O173:O185" ca="1" si="111">IF(B173="*","",IF(B173="SERVIÇO",S173,OFFSET(O173,-1,0)))</f>
        <v>Manutencao para Veículos proprios</v>
      </c>
      <c r="P173" s="232" t="str">
        <f>IF(S173="","",IF(Orçamento!$B173="INSUMO",S173,""))</f>
        <v/>
      </c>
      <c r="Q173" s="244" t="str">
        <f t="shared" ref="Q173:Q181" si="112">IF(B173="","",IF(B173="Serviço",S173,""))</f>
        <v/>
      </c>
      <c r="R173" s="234">
        <f t="shared" ref="R173:R181" ca="1" si="113">IF(B173="serviço",U173,OFFSET(R173,-1,0))</f>
        <v>22</v>
      </c>
      <c r="S173" s="233" t="s">
        <v>943</v>
      </c>
      <c r="T173" s="242" t="s">
        <v>35</v>
      </c>
      <c r="U173" s="235" t="str">
        <f>IF($B173="insumo",R173,"")</f>
        <v/>
      </c>
      <c r="V173" s="320"/>
      <c r="W173" s="236" t="str">
        <f>IFERROR(IF(B173="INSUMO",_xlfn.XLOOKUP(S173,Insumos!A:A,Insumos!C:C),""),"Inserir Preço")</f>
        <v/>
      </c>
      <c r="X173" s="235" t="str">
        <f t="shared" ref="X173:X181" ca="1" si="114">IF(B173="Complemento do insumo",V173,IF(R173="","",IF(B173="serviço",R173,IF(OR(B173="insumo"),V173*R173,""))))</f>
        <v/>
      </c>
      <c r="Y173" s="236" t="str">
        <f t="shared" si="100"/>
        <v/>
      </c>
      <c r="Z173" s="237">
        <f t="shared" ca="1" si="77"/>
        <v>145568.64503694739</v>
      </c>
      <c r="AA173" s="238"/>
      <c r="AB173" s="233" t="str">
        <f>IF(B173="insumo",_xlfn.XLOOKUP(S173,Insumos!A:A,Insumos!D:D),"")</f>
        <v/>
      </c>
      <c r="AC173" s="239">
        <f t="shared" ca="1" si="78"/>
        <v>2.0883149309658927E-2</v>
      </c>
      <c r="AE173" s="240">
        <f ca="1">IFERROR(IF(OR(Z173="",Z173=0),"",IF(AF173="","",IF(AF173="R$/mês",Z173/OBRA!$D$12,IF(AF173="R$/m²",Z173/OBRA!$D$10,IF(AF173="R$/apto",Orçamento!Z173/OBRA!$D$11,""))))),"")</f>
        <v>74.91066164939167</v>
      </c>
      <c r="AF173" s="241" t="s">
        <v>154</v>
      </c>
    </row>
    <row r="174" spans="1:35" s="10" customFormat="1" ht="13.15" hidden="1" customHeight="1" outlineLevel="3" collapsed="1" x14ac:dyDescent="0.2">
      <c r="A174" s="227"/>
      <c r="B174" s="228" t="s">
        <v>3</v>
      </c>
      <c r="C174" s="229" t="str">
        <f t="shared" si="75"/>
        <v/>
      </c>
      <c r="D174" s="227" t="str">
        <f t="shared" ca="1" si="106"/>
        <v>01.001.001</v>
      </c>
      <c r="E174" s="228" t="str">
        <f t="shared" ca="1" si="95"/>
        <v>02.003.002.002</v>
      </c>
      <c r="F174" s="230">
        <f ca="1">IF($B174="UNIDADE CONSTRUTIVA",OFFSET(F174,-1,0)+1,LARGE(F$10:F173,1))</f>
        <v>2</v>
      </c>
      <c r="G174" s="228" t="str">
        <f t="shared" ca="1" si="107"/>
        <v xml:space="preserve">   GERENCIAMENTO EXECUTIVO</v>
      </c>
      <c r="H174" s="230">
        <f t="shared" ca="1" si="96"/>
        <v>1</v>
      </c>
      <c r="I174" s="228" t="str">
        <f t="shared" ca="1" si="108"/>
        <v xml:space="preserve">   MOVIMENTAÇÃO DE TERRA</v>
      </c>
      <c r="J174" s="230">
        <f t="shared" ca="1" si="97"/>
        <v>1</v>
      </c>
      <c r="K174" s="228" t="str">
        <f t="shared" ca="1" si="109"/>
        <v xml:space="preserve">   MOVIMENTAÇÃO DE TERRA</v>
      </c>
      <c r="L174" s="231">
        <f t="shared" ca="1" si="98"/>
        <v>1</v>
      </c>
      <c r="M174" s="228" t="str">
        <f t="shared" ca="1" si="110"/>
        <v xml:space="preserve">   Corte e aterro</v>
      </c>
      <c r="N174" s="231">
        <f t="shared" ca="1" si="99"/>
        <v>0</v>
      </c>
      <c r="O174" s="228" t="str">
        <f t="shared" ca="1" si="111"/>
        <v>Manutencao para Veículos proprios</v>
      </c>
      <c r="P174" s="232" t="str">
        <f>IF(S174="","",IF(Orçamento!$B174="INSUMO",S174,""))</f>
        <v/>
      </c>
      <c r="Q174" s="244" t="str">
        <f t="shared" si="112"/>
        <v/>
      </c>
      <c r="R174" s="234">
        <f t="shared" ca="1" si="113"/>
        <v>22</v>
      </c>
      <c r="S174" s="233" t="s">
        <v>946</v>
      </c>
      <c r="T174" s="242" t="s">
        <v>35</v>
      </c>
      <c r="U174" s="235" t="str">
        <f>IF($B174="insumo",R174,"")</f>
        <v/>
      </c>
      <c r="V174" s="320" t="s">
        <v>35</v>
      </c>
      <c r="W174" s="236" t="str">
        <f>IFERROR(IF(B174="INSUMO",_xlfn.XLOOKUP(S174,Insumos!A:A,Insumos!C:C),""),"Inserir Preço")</f>
        <v/>
      </c>
      <c r="X174" s="235" t="str">
        <f t="shared" ca="1" si="114"/>
        <v/>
      </c>
      <c r="Y174" s="236" t="str">
        <f t="shared" si="100"/>
        <v/>
      </c>
      <c r="Z174" s="237">
        <f t="shared" ca="1" si="77"/>
        <v>135260</v>
      </c>
      <c r="AA174" s="238"/>
      <c r="AB174" s="233" t="str">
        <f>IF(B174="insumo",_xlfn.XLOOKUP(S174,Insumos!A:A,Insumos!D:D),"")</f>
        <v/>
      </c>
      <c r="AC174" s="239">
        <f t="shared" ca="1" si="78"/>
        <v>1.9404280193083673E-2</v>
      </c>
      <c r="AE174" s="240">
        <f ca="1">IFERROR(IF(OR(Z174="",Z174=0),"",IF(AF174="","",IF(AF174="R$/mês",Z174/OBRA!$D$12,IF(AF174="R$/m²",Z174/OBRA!$D$10,IF(AF174="R$/apto",Orçamento!Z174/OBRA!$D$11,""))))),"")</f>
        <v>69.605759482922764</v>
      </c>
      <c r="AF174" s="241" t="s">
        <v>154</v>
      </c>
      <c r="AI174" s="338"/>
    </row>
    <row r="175" spans="1:35" s="10" customFormat="1" ht="13.15" hidden="1" customHeight="1" outlineLevel="4" x14ac:dyDescent="0.2">
      <c r="A175" s="227"/>
      <c r="B175" s="228" t="s">
        <v>4</v>
      </c>
      <c r="C175" s="229">
        <f t="shared" si="75"/>
        <v>1</v>
      </c>
      <c r="D175" s="227" t="str">
        <f ca="1">IF(B175="Unidade Construtiva",TEXT(F175,"00"),IF(B175="Célula Construtiva",TEXT(H175,"00"),IF(B175="Etapa",CONCATENATE(TEXT(H175,"00"),".",TEXT(J175,"000")),IF(B175="Subetapa",CONCATENATE(TEXT(H175,"00"),".",TEXT(J175,"000"),".",TEXT(L175,"000")),IF(B175="Serviço",CONCATENATE(TEXT(H175,"00"),".",TEXT(J175,"000"),".",TEXT(L175,"000"),".",TEXT(N175,"000")),"")))))</f>
        <v>01.001.001.001</v>
      </c>
      <c r="E175" s="228" t="str">
        <f ca="1">IF(B175="*","",IFERROR(IF(B175="SERVIÇO",D175,OFFSET(E175,-1,0)),""))</f>
        <v>01.001.001.001</v>
      </c>
      <c r="F175" s="230">
        <f ca="1">IF($B175="UNIDADE CONSTRUTIVA",OFFSET(F175,-1,0)+1,LARGE(F$10:F174,1))</f>
        <v>2</v>
      </c>
      <c r="G175" s="228" t="str">
        <f ca="1">IF(B175="*","",IF(B175="UNIDADE CONSTRUTIVA",S175,OFFSET(G175,-1,0)))</f>
        <v xml:space="preserve">   GERENCIAMENTO EXECUTIVO</v>
      </c>
      <c r="H175" s="230">
        <f ca="1">IF(B175="UNIDADE CONSTRUTIVA",0,IF(B175="CÉLULA CONSTRUTIVA",OFFSET(H175,-1,0)+1,OFFSET(H175,-1,0)))</f>
        <v>1</v>
      </c>
      <c r="I175" s="228" t="str">
        <f ca="1">IF(B175="*","",IF(B175="CÉLULA CONSTRUTIVA",S175,OFFSET(I175,-1,0)))</f>
        <v xml:space="preserve">   MOVIMENTAÇÃO DE TERRA</v>
      </c>
      <c r="J175" s="230">
        <f ca="1">IF(B175="CÉLULA CONSTRUTIVA",0,IF(B175="ETAPA",OFFSET(J175,-1,0)+1,OFFSET(J175,-1,0)))</f>
        <v>1</v>
      </c>
      <c r="K175" s="228" t="str">
        <f ca="1">IF(B175="*","",IF(B175="ETAPA",S175,OFFSET(K175,-1,0)))</f>
        <v xml:space="preserve">   MOVIMENTAÇÃO DE TERRA</v>
      </c>
      <c r="L175" s="231">
        <f ca="1">IF(B175="ETAPA",0,IF(B175="SUBETAPA",OFFSET(L175,-1,0)+1,OFFSET(L175,-1,0)))</f>
        <v>1</v>
      </c>
      <c r="M175" s="228" t="str">
        <f ca="1">IF(B175="*","",IF(B175="SUBETAPA",S175,OFFSET(M175,-1,0)))</f>
        <v xml:space="preserve">   Corte e aterro</v>
      </c>
      <c r="N175" s="231">
        <f ca="1">IF(B175="Subetapa",0,IF(B175="serviço",OFFSET(N175,-1,0)+1,OFFSET(N175,-1,0)))</f>
        <v>1</v>
      </c>
      <c r="O175" s="228" t="str">
        <f ca="1">IF(B175="*","",IF(B175="SERVIÇO",S175,OFFSET(O175,-1,0)))</f>
        <v>Empreiteiro de Terraplenagem / Escavação e Carga Mecanizada em Corte - Desaterro</v>
      </c>
      <c r="P175" s="232" t="str">
        <f>IF(S175="","",IF(Orçamento!$B175="INSUMO",S175,""))</f>
        <v/>
      </c>
      <c r="Q175" s="244" t="str">
        <f>IF(B175="","",IF(B175="Serviço",S175,""))</f>
        <v>Empreiteiro de Terraplenagem / Escavação e Carga Mecanizada em Corte - Desaterro</v>
      </c>
      <c r="R175" s="234">
        <f ca="1">IF(B175="serviço",U175,OFFSET(R175,-1,0))</f>
        <v>1</v>
      </c>
      <c r="S175" s="233" t="s">
        <v>875</v>
      </c>
      <c r="T175" s="242" t="s">
        <v>170</v>
      </c>
      <c r="U175" s="235">
        <v>1</v>
      </c>
      <c r="V175" s="320" t="s">
        <v>35</v>
      </c>
      <c r="W175" s="236"/>
      <c r="X175" s="235">
        <f ca="1">IF(B175="Complemento do insumo",V175,IF(R175="","",IF(B175="serviço",R175,IF(OR(B175="insumo"),V175*R175,""))))</f>
        <v>1</v>
      </c>
      <c r="Y175" s="236">
        <f t="shared" ca="1" si="100"/>
        <v>135260</v>
      </c>
      <c r="Z175" s="237">
        <f t="shared" ca="1" si="77"/>
        <v>135260</v>
      </c>
      <c r="AA175" s="238"/>
      <c r="AB175" s="233" t="str">
        <f>IF(B175="insumo",_xlfn.XLOOKUP(S175,Insumos!A:A,Insumos!D:D),"")</f>
        <v/>
      </c>
      <c r="AC175" s="239">
        <f t="shared" ca="1" si="78"/>
        <v>1.9404280193083673E-2</v>
      </c>
      <c r="AE175" s="240">
        <f ca="1">IFERROR(IF(OR(Z175="",Z175=0),"",IF(AF175="","",IF(AF175="R$/mês",Z175/OBRA!$D$12,IF(AF175="R$/m²",Z175/OBRA!$D$10,IF(AF175="R$/apto",Orçamento!Z175/OBRA!$D$11,""))))),"")</f>
        <v>69.605759482922764</v>
      </c>
      <c r="AF175" s="241" t="s">
        <v>154</v>
      </c>
      <c r="AI175" s="339"/>
    </row>
    <row r="176" spans="1:35" s="10" customFormat="1" ht="13.15" hidden="1" customHeight="1" outlineLevel="4" x14ac:dyDescent="0.2">
      <c r="A176" s="227"/>
      <c r="B176" s="228" t="s">
        <v>19</v>
      </c>
      <c r="C176" s="229">
        <f t="shared" si="75"/>
        <v>1</v>
      </c>
      <c r="D176" s="227" t="str">
        <f>IF(B176="Unidade Construtiva",TEXT(F176,"00"),IF(B176="Célula Construtiva",TEXT(H176,"00"),IF(B176="Etapa",CONCATENATE(TEXT(H176,"00"),".",TEXT(J176,"000")),IF(B176="Subetapa",CONCATENATE(TEXT(H176,"00"),".",TEXT(J176,"000"),".",TEXT(L176,"000")),IF(B176="Serviço",CONCATENATE(TEXT(H176,"00"),".",TEXT(J176,"000"),".",TEXT(L176,"000"),".",TEXT(N176,"000")),"")))))</f>
        <v/>
      </c>
      <c r="E176" s="228" t="str">
        <f ca="1">IF(B176="*","",IFERROR(IF(B176="SERVIÇO",D176,OFFSET(E176,-1,0)),""))</f>
        <v>01.001.001.001</v>
      </c>
      <c r="F176" s="230">
        <f ca="1">IF($B176="UNIDADE CONSTRUTIVA",OFFSET(F176,-1,0)+1,LARGE(F$10:F175,1))</f>
        <v>2</v>
      </c>
      <c r="G176" s="228" t="str">
        <f ca="1">IF(B176="*","",IF(B176="UNIDADE CONSTRUTIVA",S176,OFFSET(G176,-1,0)))</f>
        <v xml:space="preserve">   GERENCIAMENTO EXECUTIVO</v>
      </c>
      <c r="H176" s="230">
        <f ca="1">IF(B176="UNIDADE CONSTRUTIVA",0,IF(B176="CÉLULA CONSTRUTIVA",OFFSET(H176,-1,0)+1,OFFSET(H176,-1,0)))</f>
        <v>1</v>
      </c>
      <c r="I176" s="228" t="str">
        <f ca="1">IF(B176="*","",IF(B176="CÉLULA CONSTRUTIVA",S176,OFFSET(I176,-1,0)))</f>
        <v xml:space="preserve">   MOVIMENTAÇÃO DE TERRA</v>
      </c>
      <c r="J176" s="230">
        <f ca="1">IF(B176="CÉLULA CONSTRUTIVA",0,IF(B176="ETAPA",OFFSET(J176,-1,0)+1,OFFSET(J176,-1,0)))</f>
        <v>1</v>
      </c>
      <c r="K176" s="228" t="str">
        <f ca="1">IF(B176="*","",IF(B176="ETAPA",S176,OFFSET(K176,-1,0)))</f>
        <v xml:space="preserve">   MOVIMENTAÇÃO DE TERRA</v>
      </c>
      <c r="L176" s="231">
        <f ca="1">IF(B176="ETAPA",0,IF(B176="SUBETAPA",OFFSET(L176,-1,0)+1,OFFSET(L176,-1,0)))</f>
        <v>1</v>
      </c>
      <c r="M176" s="228" t="str">
        <f ca="1">IF(B176="*","",IF(B176="SUBETAPA",S176,OFFSET(M176,-1,0)))</f>
        <v xml:space="preserve">   Corte e aterro</v>
      </c>
      <c r="N176" s="231">
        <f ca="1">IF(B176="Subetapa",0,IF(B176="serviço",OFFSET(N176,-1,0)+1,OFFSET(N176,-1,0)))</f>
        <v>1</v>
      </c>
      <c r="O176" s="228" t="str">
        <f ca="1">IF(B176="*","",IF(B176="SERVIÇO",S176,OFFSET(O176,-1,0)))</f>
        <v>Empreiteiro de Terraplenagem / Escavação e Carga Mecanizada em Corte - Desaterro</v>
      </c>
      <c r="P176" s="232" t="str">
        <f>IF(S176="","",IF(Orçamento!$B176="INSUMO",S176,""))</f>
        <v xml:space="preserve">SERVICO LIMPEZA ESCAVAÇÃO E BOTA FORA </v>
      </c>
      <c r="Q176" s="244" t="str">
        <f>IF(B176="","",IF(B176="Serviço",S176,""))</f>
        <v/>
      </c>
      <c r="R176" s="234">
        <f ca="1">IF(B176="serviço",U176,OFFSET(R176,-1,0))</f>
        <v>1</v>
      </c>
      <c r="S176" s="233" t="s">
        <v>1196</v>
      </c>
      <c r="T176" s="242" t="str">
        <f>_xlfn.XLOOKUP(S176,Insumos!$A$3:$A$371,Insumos!$B$3:$B$371)</f>
        <v>VB</v>
      </c>
      <c r="U176" s="235">
        <f ca="1">IF($B176="insumo",R176,"")</f>
        <v>1</v>
      </c>
      <c r="V176" s="320">
        <v>1</v>
      </c>
      <c r="W176" s="236">
        <f>IFERROR(IF(B176="INSUMO",_xlfn.XLOOKUP(S176,Insumos!A:A,Insumos!C:C),""),"Inserir Preço")</f>
        <v>135260</v>
      </c>
      <c r="X176" s="235">
        <f ca="1">IF(B176="Complemento do insumo",V176,IF(R176="","",IF(B176="serviço",R176,IF(OR(B176="insumo"),V176*R176,""))))</f>
        <v>1</v>
      </c>
      <c r="Y176" s="236">
        <f t="shared" si="100"/>
        <v>135260</v>
      </c>
      <c r="Z176" s="237">
        <f t="shared" ca="1" si="77"/>
        <v>135260</v>
      </c>
      <c r="AA176" s="238"/>
      <c r="AB176" s="233" t="str">
        <f>IF(B176="insumo",_xlfn.XLOOKUP(S176,Insumos!A:A,Insumos!D:D),"")</f>
        <v>Balancete</v>
      </c>
      <c r="AC176" s="239">
        <f t="shared" ca="1" si="78"/>
        <v>1.9404280193083673E-2</v>
      </c>
      <c r="AE176" s="240">
        <f ca="1">IFERROR(IF(OR(Z176="",Z176=0),"",IF(AF176="","",IF(AF176="R$/mês",Z176/OBRA!$D$12,IF(AF176="R$/m²",Z176/OBRA!$D$10,IF(AF176="R$/apto",Orçamento!Z176/OBRA!$D$11,""))))),"")</f>
        <v>69.605759482922764</v>
      </c>
      <c r="AF176" s="241" t="s">
        <v>154</v>
      </c>
    </row>
    <row r="177" spans="1:35" s="10" customFormat="1" ht="13.15" hidden="1" customHeight="1" outlineLevel="3" collapsed="1" x14ac:dyDescent="0.2">
      <c r="A177" s="227"/>
      <c r="B177" s="228" t="s">
        <v>3</v>
      </c>
      <c r="C177" s="229" t="str">
        <f t="shared" si="75"/>
        <v/>
      </c>
      <c r="D177" s="227" t="str">
        <f ca="1">IF(B177="Unidade Construtiva",TEXT(F177,"00"),IF(B177="Célula Construtiva",TEXT(H177,"00"),IF(B177="Etapa",CONCATENATE(TEXT(H177,"00"),".",TEXT(J177,"000")),IF(B177="Subetapa",CONCATENATE(TEXT(H177,"00"),".",TEXT(J177,"000"),".",TEXT(L177,"000")),IF(B177="Serviço",CONCATENATE(TEXT(H177,"00"),".",TEXT(J177,"000"),".",TEXT(L177,"000"),".",TEXT(N177,"000")),"")))))</f>
        <v>01.001.002</v>
      </c>
      <c r="E177" s="228" t="str">
        <f ca="1">IF(B177="*","",IFERROR(IF(B177="SERVIÇO",D177,OFFSET(E177,-1,0)),""))</f>
        <v>01.001.001.001</v>
      </c>
      <c r="F177" s="230">
        <f ca="1">IF($B177="UNIDADE CONSTRUTIVA",OFFSET(F177,-1,0)+1,LARGE(F$10:F176,1))</f>
        <v>2</v>
      </c>
      <c r="G177" s="228" t="str">
        <f ca="1">IF(B177="*","",IF(B177="UNIDADE CONSTRUTIVA",S177,OFFSET(G177,-1,0)))</f>
        <v xml:space="preserve">   GERENCIAMENTO EXECUTIVO</v>
      </c>
      <c r="H177" s="230">
        <f ca="1">IF(B177="UNIDADE CONSTRUTIVA",0,IF(B177="CÉLULA CONSTRUTIVA",OFFSET(H177,-1,0)+1,OFFSET(H177,-1,0)))</f>
        <v>1</v>
      </c>
      <c r="I177" s="228" t="str">
        <f ca="1">IF(B177="*","",IF(B177="CÉLULA CONSTRUTIVA",S177,OFFSET(I177,-1,0)))</f>
        <v xml:space="preserve">   MOVIMENTAÇÃO DE TERRA</v>
      </c>
      <c r="J177" s="230">
        <f ca="1">IF(B177="CÉLULA CONSTRUTIVA",0,IF(B177="ETAPA",OFFSET(J177,-1,0)+1,OFFSET(J177,-1,0)))</f>
        <v>1</v>
      </c>
      <c r="K177" s="228" t="str">
        <f ca="1">IF(B177="*","",IF(B177="ETAPA",S177,OFFSET(K177,-1,0)))</f>
        <v xml:space="preserve">   MOVIMENTAÇÃO DE TERRA</v>
      </c>
      <c r="L177" s="231">
        <f ca="1">IF(B177="ETAPA",0,IF(B177="SUBETAPA",OFFSET(L177,-1,0)+1,OFFSET(L177,-1,0)))</f>
        <v>2</v>
      </c>
      <c r="M177" s="228" t="str">
        <f ca="1">IF(B177="*","",IF(B177="SUBETAPA",S177,OFFSET(M177,-1,0)))</f>
        <v xml:space="preserve">   Escavação e Reaterro de Valas</v>
      </c>
      <c r="N177" s="231">
        <f ca="1">IF(B177="Subetapa",0,IF(B177="serviço",OFFSET(N177,-1,0)+1,OFFSET(N177,-1,0)))</f>
        <v>0</v>
      </c>
      <c r="O177" s="228" t="str">
        <f ca="1">IF(B177="*","",IF(B177="SERVIÇO",S177,OFFSET(O177,-1,0)))</f>
        <v>Empreiteiro de Terraplenagem / Escavação e Carga Mecanizada em Corte - Desaterro</v>
      </c>
      <c r="P177" s="232" t="str">
        <f>IF(S177="","",IF(Orçamento!$B177="INSUMO",S177,""))</f>
        <v/>
      </c>
      <c r="Q177" s="244" t="str">
        <f>IF(B177="","",IF(B177="Serviço",S177,""))</f>
        <v/>
      </c>
      <c r="R177" s="234">
        <f ca="1">IF(B177="serviço",U177,OFFSET(R177,-1,0))</f>
        <v>1</v>
      </c>
      <c r="S177" s="233" t="s">
        <v>947</v>
      </c>
      <c r="T177" s="242" t="s">
        <v>35</v>
      </c>
      <c r="U177" s="235" t="str">
        <f>IF($B177="insumo",R177,"")</f>
        <v/>
      </c>
      <c r="V177" s="320" t="s">
        <v>35</v>
      </c>
      <c r="W177" s="236" t="str">
        <f>IFERROR(IF(B177="INSUMO",_xlfn.XLOOKUP(S177,Insumos!A:A,Insumos!C:C),""),"Inserir Preço")</f>
        <v/>
      </c>
      <c r="X177" s="235" t="str">
        <f ca="1">IF(B177="Complemento do insumo",V177,IF(R177="","",IF(B177="serviço",R177,IF(OR(B177="insumo"),V177*R177,""))))</f>
        <v/>
      </c>
      <c r="Y177" s="236" t="str">
        <f t="shared" si="100"/>
        <v/>
      </c>
      <c r="Z177" s="237">
        <f t="shared" ca="1" si="77"/>
        <v>372.65127694738072</v>
      </c>
      <c r="AA177" s="238"/>
      <c r="AB177" s="233" t="str">
        <f>IF(B177="insumo",_xlfn.XLOOKUP(S177,Insumos!A:A,Insumos!D:D),"")</f>
        <v/>
      </c>
      <c r="AC177" s="239">
        <f t="shared" ca="1" si="78"/>
        <v>5.346022321600916E-5</v>
      </c>
      <c r="AE177" s="240">
        <f ca="1">IFERROR(IF(OR(Z177="",Z177=0),"",IF(AF177="","",IF(AF177="R$/mês",Z177/OBRA!$D$12,IF(AF177="R$/m²",Z177/OBRA!$D$10,IF(AF177="R$/apto",Orçamento!Z177/OBRA!$D$11,""))))),"")</f>
        <v>0.19176900158364205</v>
      </c>
      <c r="AF177" s="241" t="s">
        <v>154</v>
      </c>
      <c r="AI177" s="338"/>
    </row>
    <row r="178" spans="1:35" s="10" customFormat="1" ht="13.15" hidden="1" customHeight="1" outlineLevel="4" x14ac:dyDescent="0.2">
      <c r="A178" s="227"/>
      <c r="B178" s="228" t="s">
        <v>4</v>
      </c>
      <c r="C178" s="229">
        <f t="shared" si="75"/>
        <v>1</v>
      </c>
      <c r="D178" s="227" t="str">
        <f t="shared" ca="1" si="106"/>
        <v>01.001.002.001</v>
      </c>
      <c r="E178" s="228" t="str">
        <f t="shared" ca="1" si="95"/>
        <v>01.001.002.001</v>
      </c>
      <c r="F178" s="230">
        <f ca="1">IF($B178="UNIDADE CONSTRUTIVA",OFFSET(F178,-1,0)+1,LARGE(F$10:F177,1))</f>
        <v>2</v>
      </c>
      <c r="G178" s="228" t="str">
        <f t="shared" ca="1" si="107"/>
        <v xml:space="preserve">   GERENCIAMENTO EXECUTIVO</v>
      </c>
      <c r="H178" s="230">
        <f t="shared" ca="1" si="96"/>
        <v>1</v>
      </c>
      <c r="I178" s="228" t="str">
        <f t="shared" ca="1" si="108"/>
        <v xml:space="preserve">   MOVIMENTAÇÃO DE TERRA</v>
      </c>
      <c r="J178" s="230">
        <f t="shared" ca="1" si="97"/>
        <v>1</v>
      </c>
      <c r="K178" s="228" t="str">
        <f t="shared" ca="1" si="109"/>
        <v xml:space="preserve">   MOVIMENTAÇÃO DE TERRA</v>
      </c>
      <c r="L178" s="231">
        <f t="shared" ca="1" si="98"/>
        <v>2</v>
      </c>
      <c r="M178" s="228" t="str">
        <f t="shared" ca="1" si="110"/>
        <v xml:space="preserve">   Escavação e Reaterro de Valas</v>
      </c>
      <c r="N178" s="231">
        <f t="shared" ca="1" si="99"/>
        <v>1</v>
      </c>
      <c r="O178" s="228" t="str">
        <f t="shared" ca="1" si="111"/>
        <v>Escavacao mecanizada para Sapatas, com previsao de forma</v>
      </c>
      <c r="P178" s="232" t="str">
        <f>IF(S178="","",IF(Orçamento!$B178="INSUMO",S178,""))</f>
        <v/>
      </c>
      <c r="Q178" s="244" t="str">
        <f t="shared" si="112"/>
        <v>Escavacao mecanizada para Sapatas, com previsao de forma</v>
      </c>
      <c r="R178" s="234">
        <f t="shared" ca="1" si="113"/>
        <v>190.77569999999997</v>
      </c>
      <c r="S178" s="233" t="s">
        <v>1132</v>
      </c>
      <c r="T178" s="242" t="s">
        <v>166</v>
      </c>
      <c r="U178" s="235">
        <v>190.77569999999997</v>
      </c>
      <c r="V178" s="320" t="s">
        <v>35</v>
      </c>
      <c r="W178" s="236" t="str">
        <f>IFERROR(IF(B178="INSUMO",_xlfn.XLOOKUP(S178,Insumos!A:A,Insumos!C:C),""),"Inserir Preço")</f>
        <v/>
      </c>
      <c r="X178" s="235">
        <f t="shared" ca="1" si="114"/>
        <v>190.77569999999997</v>
      </c>
      <c r="Y178" s="236">
        <f t="shared" ca="1" si="100"/>
        <v>1.2</v>
      </c>
      <c r="Z178" s="237">
        <f t="shared" ca="1" si="77"/>
        <v>228.93083999999996</v>
      </c>
      <c r="AA178" s="238"/>
      <c r="AB178" s="233" t="str">
        <f>IF(B178="insumo",_xlfn.XLOOKUP(S178,Insumos!A:A,Insumos!D:D),"")</f>
        <v/>
      </c>
      <c r="AC178" s="239">
        <f t="shared" ca="1" si="78"/>
        <v>3.2842216207289717E-5</v>
      </c>
      <c r="AE178" s="240">
        <f ca="1">IFERROR(IF(OR(Z178="",Z178=0),"",IF(AF178="","",IF(AF178="R$/mês",Z178/OBRA!$D$12,IF(AF178="R$/m²",Z178/OBRA!$D$10,IF(AF178="R$/apto",Orçamento!Z178/OBRA!$D$11,""))))),"")</f>
        <v>0.11780944098228205</v>
      </c>
      <c r="AF178" s="241" t="s">
        <v>154</v>
      </c>
    </row>
    <row r="179" spans="1:35" s="10" customFormat="1" ht="13.15" hidden="1" customHeight="1" outlineLevel="4" x14ac:dyDescent="0.2">
      <c r="A179" s="227"/>
      <c r="B179" s="228" t="s">
        <v>19</v>
      </c>
      <c r="C179" s="229">
        <f t="shared" si="75"/>
        <v>2</v>
      </c>
      <c r="D179" s="227" t="str">
        <f t="shared" si="106"/>
        <v/>
      </c>
      <c r="E179" s="228" t="str">
        <f ca="1">IF(B179="*","",IFERROR(IF(B179="SERVIÇO",D179,OFFSET(E179,-1,0)),""))</f>
        <v>01.001.002.001</v>
      </c>
      <c r="F179" s="230">
        <f ca="1">IF($B179="UNIDADE CONSTRUTIVA",OFFSET(F179,-1,0)+1,LARGE(F$10:F178,1))</f>
        <v>2</v>
      </c>
      <c r="G179" s="228" t="str">
        <f t="shared" ca="1" si="107"/>
        <v xml:space="preserve">   GERENCIAMENTO EXECUTIVO</v>
      </c>
      <c r="H179" s="230">
        <f ca="1">IF(B179="UNIDADE CONSTRUTIVA",0,IF(B179="CÉLULA CONSTRUTIVA",OFFSET(H179,-1,0)+1,OFFSET(H179,-1,0)))</f>
        <v>1</v>
      </c>
      <c r="I179" s="228" t="str">
        <f t="shared" ca="1" si="108"/>
        <v xml:space="preserve">   MOVIMENTAÇÃO DE TERRA</v>
      </c>
      <c r="J179" s="230">
        <f ca="1">IF(B179="CÉLULA CONSTRUTIVA",0,IF(B179="ETAPA",OFFSET(J179,-1,0)+1,OFFSET(J179,-1,0)))</f>
        <v>1</v>
      </c>
      <c r="K179" s="228" t="str">
        <f t="shared" ca="1" si="109"/>
        <v xml:space="preserve">   MOVIMENTAÇÃO DE TERRA</v>
      </c>
      <c r="L179" s="231">
        <f ca="1">IF(B179="ETAPA",0,IF(B179="SUBETAPA",OFFSET(L179,-1,0)+1,OFFSET(L179,-1,0)))</f>
        <v>2</v>
      </c>
      <c r="M179" s="228" t="str">
        <f t="shared" ca="1" si="110"/>
        <v xml:space="preserve">   Escavação e Reaterro de Valas</v>
      </c>
      <c r="N179" s="231">
        <f ca="1">IF(B179="Subetapa",0,IF(B179="serviço",OFFSET(N179,-1,0)+1,OFFSET(N179,-1,0)))</f>
        <v>1</v>
      </c>
      <c r="O179" s="228" t="str">
        <f t="shared" ca="1" si="111"/>
        <v>Escavacao mecanizada para Sapatas, com previsao de forma</v>
      </c>
      <c r="P179" s="232" t="str">
        <f>IF(S179="","",IF(Orçamento!$B179="INSUMO",S179,""))</f>
        <v>RETROESCAVADEIRA SOBRE RODAS COM CARREGADEIRA</v>
      </c>
      <c r="Q179" s="244" t="str">
        <f t="shared" si="112"/>
        <v/>
      </c>
      <c r="R179" s="234">
        <f t="shared" ca="1" si="113"/>
        <v>190.77569999999997</v>
      </c>
      <c r="S179" s="233" t="s">
        <v>168</v>
      </c>
      <c r="T179" s="242" t="str">
        <f>_xlfn.XLOOKUP(S179,Insumos!$A$3:$A$371,Insumos!$B$3:$B$371)</f>
        <v>H</v>
      </c>
      <c r="U179" s="235">
        <f ca="1">IF($B179="insumo",R179,"")</f>
        <v>190.77569999999997</v>
      </c>
      <c r="V179" s="320">
        <v>6.0000000000000001E-3</v>
      </c>
      <c r="W179" s="236">
        <f>IFERROR(IF(B179="INSUMO",_xlfn.XLOOKUP(S179,Insumos!A:A,Insumos!C:C),""),"Inserir Preço")</f>
        <v>200</v>
      </c>
      <c r="X179" s="235">
        <f t="shared" ca="1" si="114"/>
        <v>1.1446542</v>
      </c>
      <c r="Y179" s="236">
        <f t="shared" si="100"/>
        <v>1.2</v>
      </c>
      <c r="Z179" s="237">
        <f t="shared" ca="1" si="77"/>
        <v>228.93083999999999</v>
      </c>
      <c r="AA179" s="238"/>
      <c r="AB179" s="233" t="str">
        <f>IF(B179="insumo",_xlfn.XLOOKUP(S179,Insumos!A:A,Insumos!D:D),"")</f>
        <v xml:space="preserve"> </v>
      </c>
      <c r="AC179" s="239">
        <f t="shared" ca="1" si="78"/>
        <v>3.2842216207289717E-5</v>
      </c>
      <c r="AE179" s="240">
        <f ca="1">IFERROR(IF(OR(Z179="",Z179=0),"",IF(AF179="","",IF(AF179="R$/mês",Z179/OBRA!$D$12,IF(AF179="R$/m²",Z179/OBRA!$D$10,IF(AF179="R$/apto",Orçamento!Z179/OBRA!$D$11,""))))),"")</f>
        <v>0.11780944098228208</v>
      </c>
      <c r="AF179" s="241" t="s">
        <v>154</v>
      </c>
    </row>
    <row r="180" spans="1:35" s="10" customFormat="1" ht="13.15" hidden="1" customHeight="1" outlineLevel="4" x14ac:dyDescent="0.2">
      <c r="A180" s="227"/>
      <c r="B180" s="228" t="s">
        <v>4</v>
      </c>
      <c r="C180" s="229">
        <f t="shared" si="75"/>
        <v>1</v>
      </c>
      <c r="D180" s="227" t="str">
        <f t="shared" ca="1" si="106"/>
        <v>01.001.002.002</v>
      </c>
      <c r="E180" s="228" t="str">
        <f t="shared" ca="1" si="95"/>
        <v>01.001.002.002</v>
      </c>
      <c r="F180" s="230">
        <f ca="1">IF($B180="UNIDADE CONSTRUTIVA",OFFSET(F180,-1,0)+1,LARGE(F$10:F179,1))</f>
        <v>2</v>
      </c>
      <c r="G180" s="228" t="str">
        <f t="shared" ca="1" si="107"/>
        <v xml:space="preserve">   GERENCIAMENTO EXECUTIVO</v>
      </c>
      <c r="H180" s="230">
        <f t="shared" ca="1" si="96"/>
        <v>1</v>
      </c>
      <c r="I180" s="228" t="str">
        <f t="shared" ca="1" si="108"/>
        <v xml:space="preserve">   MOVIMENTAÇÃO DE TERRA</v>
      </c>
      <c r="J180" s="230">
        <f t="shared" ca="1" si="97"/>
        <v>1</v>
      </c>
      <c r="K180" s="228" t="str">
        <f t="shared" ca="1" si="109"/>
        <v xml:space="preserve">   MOVIMENTAÇÃO DE TERRA</v>
      </c>
      <c r="L180" s="231">
        <f t="shared" ca="1" si="98"/>
        <v>2</v>
      </c>
      <c r="M180" s="228" t="str">
        <f t="shared" ca="1" si="110"/>
        <v xml:space="preserve">   Escavação e Reaterro de Valas</v>
      </c>
      <c r="N180" s="231">
        <f t="shared" ca="1" si="99"/>
        <v>2</v>
      </c>
      <c r="O180" s="228" t="str">
        <f t="shared" ca="1" si="111"/>
        <v>Reaterro mecanizado para Sapatas, com retroescavadeira</v>
      </c>
      <c r="P180" s="232" t="str">
        <f>IF(S180="","",IF(Orçamento!$B180="INSUMO",S180,""))</f>
        <v/>
      </c>
      <c r="Q180" s="244" t="str">
        <f t="shared" si="112"/>
        <v>Reaterro mecanizado para Sapatas, com retroescavadeira</v>
      </c>
      <c r="R180" s="234">
        <f t="shared" ca="1" si="113"/>
        <v>119.76703078948395</v>
      </c>
      <c r="S180" s="233" t="s">
        <v>1133</v>
      </c>
      <c r="T180" s="242" t="s">
        <v>166</v>
      </c>
      <c r="U180" s="235">
        <v>119.76703078948395</v>
      </c>
      <c r="V180" s="320" t="s">
        <v>35</v>
      </c>
      <c r="W180" s="236" t="str">
        <f>IFERROR(IF(B180="INSUMO",_xlfn.XLOOKUP(S180,Insumos!A:A,Insumos!C:C),""),"Inserir Preço")</f>
        <v/>
      </c>
      <c r="X180" s="235">
        <f t="shared" ca="1" si="114"/>
        <v>119.76703078948395</v>
      </c>
      <c r="Y180" s="236">
        <f t="shared" ca="1" si="100"/>
        <v>1.2</v>
      </c>
      <c r="Z180" s="237">
        <f t="shared" ca="1" si="77"/>
        <v>143.72043694738073</v>
      </c>
      <c r="AA180" s="238"/>
      <c r="AB180" s="233" t="str">
        <f>IF(B180="insumo",_xlfn.XLOOKUP(S180,Insumos!A:A,Insumos!D:D),"")</f>
        <v/>
      </c>
      <c r="AC180" s="239">
        <f t="shared" ca="1" si="78"/>
        <v>2.0618007008719436E-5</v>
      </c>
      <c r="AE180" s="240">
        <f ca="1">IFERROR(IF(OR(Z180="",Z180=0),"",IF(AF180="","",IF(AF180="R$/mês",Z180/OBRA!$D$12,IF(AF180="R$/m²",Z180/OBRA!$D$10,IF(AF180="R$/apto",Orçamento!Z180/OBRA!$D$11,""))))),"")</f>
        <v>7.3959560601359969E-2</v>
      </c>
      <c r="AF180" s="241" t="s">
        <v>154</v>
      </c>
    </row>
    <row r="181" spans="1:35" s="10" customFormat="1" ht="13.15" hidden="1" customHeight="1" outlineLevel="4" x14ac:dyDescent="0.2">
      <c r="A181" s="227"/>
      <c r="B181" s="228" t="s">
        <v>19</v>
      </c>
      <c r="C181" s="229">
        <f t="shared" si="75"/>
        <v>2</v>
      </c>
      <c r="D181" s="227" t="str">
        <f t="shared" si="106"/>
        <v/>
      </c>
      <c r="E181" s="228" t="str">
        <f t="shared" ref="E181:E186" ca="1" si="115">IF(B181="*","",IFERROR(IF(B181="SERVIÇO",D181,OFFSET(E181,-1,0)),""))</f>
        <v>01.001.002.002</v>
      </c>
      <c r="F181" s="230">
        <f ca="1">IF($B181="UNIDADE CONSTRUTIVA",OFFSET(F181,-1,0)+1,LARGE(F$10:F180,1))</f>
        <v>2</v>
      </c>
      <c r="G181" s="228" t="str">
        <f t="shared" ca="1" si="107"/>
        <v xml:space="preserve">   GERENCIAMENTO EXECUTIVO</v>
      </c>
      <c r="H181" s="230">
        <f t="shared" ref="H181:H186" ca="1" si="116">IF(B181="UNIDADE CONSTRUTIVA",0,IF(B181="CÉLULA CONSTRUTIVA",OFFSET(H181,-1,0)+1,OFFSET(H181,-1,0)))</f>
        <v>1</v>
      </c>
      <c r="I181" s="228" t="str">
        <f t="shared" ca="1" si="108"/>
        <v xml:space="preserve">   MOVIMENTAÇÃO DE TERRA</v>
      </c>
      <c r="J181" s="230">
        <f t="shared" ref="J181:J186" ca="1" si="117">IF(B181="CÉLULA CONSTRUTIVA",0,IF(B181="ETAPA",OFFSET(J181,-1,0)+1,OFFSET(J181,-1,0)))</f>
        <v>1</v>
      </c>
      <c r="K181" s="228" t="str">
        <f t="shared" ca="1" si="109"/>
        <v xml:space="preserve">   MOVIMENTAÇÃO DE TERRA</v>
      </c>
      <c r="L181" s="231">
        <f t="shared" ref="L181:L186" ca="1" si="118">IF(B181="ETAPA",0,IF(B181="SUBETAPA",OFFSET(L181,-1,0)+1,OFFSET(L181,-1,0)))</f>
        <v>2</v>
      </c>
      <c r="M181" s="228" t="str">
        <f t="shared" ca="1" si="110"/>
        <v xml:space="preserve">   Escavação e Reaterro de Valas</v>
      </c>
      <c r="N181" s="231">
        <f t="shared" ref="N181:N186" ca="1" si="119">IF(B181="Subetapa",0,IF(B181="serviço",OFFSET(N181,-1,0)+1,OFFSET(N181,-1,0)))</f>
        <v>2</v>
      </c>
      <c r="O181" s="228" t="str">
        <f t="shared" ca="1" si="111"/>
        <v>Reaterro mecanizado para Sapatas, com retroescavadeira</v>
      </c>
      <c r="P181" s="232" t="str">
        <f>IF(S181="","",IF(Orçamento!$B181="INSUMO",S181,""))</f>
        <v>RETROESCAVADEIRA SOBRE RODAS COM CARREGADEIRA</v>
      </c>
      <c r="Q181" s="244" t="str">
        <f t="shared" si="112"/>
        <v/>
      </c>
      <c r="R181" s="234">
        <f t="shared" ca="1" si="113"/>
        <v>119.76703078948395</v>
      </c>
      <c r="S181" s="233" t="s">
        <v>168</v>
      </c>
      <c r="T181" s="242" t="str">
        <f>_xlfn.XLOOKUP(S181,Insumos!$A$3:$A$371,Insumos!$B$3:$B$371)</f>
        <v>H</v>
      </c>
      <c r="U181" s="235">
        <f ca="1">IF($B181="insumo",R181,"")</f>
        <v>119.76703078948395</v>
      </c>
      <c r="V181" s="320">
        <v>6.0000000000000001E-3</v>
      </c>
      <c r="W181" s="236">
        <f>IFERROR(IF(B181="INSUMO",_xlfn.XLOOKUP(S181,Insumos!A:A,Insumos!C:C),""),"Inserir Preço")</f>
        <v>200</v>
      </c>
      <c r="X181" s="235">
        <f t="shared" ca="1" si="114"/>
        <v>0.71860218473690374</v>
      </c>
      <c r="Y181" s="236">
        <f t="shared" si="100"/>
        <v>1.2</v>
      </c>
      <c r="Z181" s="237">
        <f t="shared" ca="1" si="77"/>
        <v>143.72043694738073</v>
      </c>
      <c r="AA181" s="238"/>
      <c r="AB181" s="233" t="str">
        <f>IF(B181="insumo",_xlfn.XLOOKUP(S181,Insumos!A:A,Insumos!D:D),"")</f>
        <v xml:space="preserve"> </v>
      </c>
      <c r="AC181" s="239">
        <f t="shared" ca="1" si="78"/>
        <v>2.0618007008719436E-5</v>
      </c>
      <c r="AE181" s="240">
        <f ca="1">IFERROR(IF(OR(Z181="",Z181=0),"",IF(AF181="","",IF(AF181="R$/mês",Z181/OBRA!$D$12,IF(AF181="R$/m²",Z181/OBRA!$D$10,IF(AF181="R$/apto",Orçamento!Z181/OBRA!$D$11,""))))),"")</f>
        <v>7.3959560601359969E-2</v>
      </c>
      <c r="AF181" s="241" t="s">
        <v>154</v>
      </c>
      <c r="AH181" s="292"/>
    </row>
    <row r="182" spans="1:35" s="10" customFormat="1" ht="13.15" hidden="1" customHeight="1" outlineLevel="3" collapsed="1" x14ac:dyDescent="0.2">
      <c r="A182" s="227"/>
      <c r="B182" s="228" t="s">
        <v>3</v>
      </c>
      <c r="C182" s="229" t="str">
        <f t="shared" si="75"/>
        <v/>
      </c>
      <c r="D182" s="227" t="str">
        <f ca="1">IF(B182="Unidade Construtiva",TEXT(F182,"00"),IF(B182="Célula Construtiva",TEXT(H182,"00"),IF(B182="Etapa",CONCATENATE(TEXT(H182,"00"),".",TEXT(J182,"000")),IF(B182="Subetapa",CONCATENATE(TEXT(H182,"00"),".",TEXT(J182,"000"),".",TEXT(L182,"000")),IF(B182="Serviço",CONCATENATE(TEXT(H182,"00"),".",TEXT(J182,"000"),".",TEXT(L182,"000"),".",TEXT(N182,"000")),"")))))</f>
        <v>01.001.003</v>
      </c>
      <c r="E182" s="228" t="str">
        <f t="shared" ca="1" si="115"/>
        <v>01.001.002.002</v>
      </c>
      <c r="F182" s="230">
        <f ca="1">IF($B182="UNIDADE CONSTRUTIVA",OFFSET(F182,-1,0)+1,LARGE(F$10:F181,1))</f>
        <v>2</v>
      </c>
      <c r="G182" s="228" t="str">
        <f ca="1">IF(B182="*","",IF(B182="UNIDADE CONSTRUTIVA",S182,OFFSET(G182,-1,0)))</f>
        <v xml:space="preserve">   GERENCIAMENTO EXECUTIVO</v>
      </c>
      <c r="H182" s="230">
        <f t="shared" ca="1" si="116"/>
        <v>1</v>
      </c>
      <c r="I182" s="228" t="str">
        <f ca="1">IF(B182="*","",IF(B182="CÉLULA CONSTRUTIVA",S182,OFFSET(I182,-1,0)))</f>
        <v xml:space="preserve">   MOVIMENTAÇÃO DE TERRA</v>
      </c>
      <c r="J182" s="230">
        <f t="shared" ca="1" si="117"/>
        <v>1</v>
      </c>
      <c r="K182" s="228" t="str">
        <f ca="1">IF(B182="*","",IF(B182="ETAPA",S182,OFFSET(K182,-1,0)))</f>
        <v xml:space="preserve">   MOVIMENTAÇÃO DE TERRA</v>
      </c>
      <c r="L182" s="231">
        <f t="shared" ca="1" si="118"/>
        <v>3</v>
      </c>
      <c r="M182" s="228" t="str">
        <f ca="1">IF(B182="*","",IF(B182="SUBETAPA",S182,OFFSET(M182,-1,0)))</f>
        <v xml:space="preserve">   Lastro de estrutura de concreto</v>
      </c>
      <c r="N182" s="231">
        <f t="shared" ca="1" si="119"/>
        <v>0</v>
      </c>
      <c r="O182" s="228" t="str">
        <f ca="1">IF(B182="*","",IF(B182="SERVIÇO",S182,OFFSET(O182,-1,0)))</f>
        <v>Reaterro mecanizado para Sapatas, com retroescavadeira</v>
      </c>
      <c r="P182" s="232" t="str">
        <f>IF(S182="","",IF(Orçamento!$B182="INSUMO",S182,""))</f>
        <v/>
      </c>
      <c r="Q182" s="244" t="str">
        <f>IF(B182="","",IF(B182="Serviço",S182,""))</f>
        <v/>
      </c>
      <c r="R182" s="234">
        <f ca="1">IF(B182="serviço",U182,OFFSET(R182,-1,0))</f>
        <v>119.76703078948395</v>
      </c>
      <c r="S182" s="233" t="s">
        <v>948</v>
      </c>
      <c r="T182" s="242" t="s">
        <v>35</v>
      </c>
      <c r="U182" s="235" t="str">
        <f>IF($B182="insumo",R182,"")</f>
        <v/>
      </c>
      <c r="V182" s="320" t="s">
        <v>35</v>
      </c>
      <c r="W182" s="236" t="str">
        <f>IFERROR(IF(B182="INSUMO",_xlfn.XLOOKUP(S182,Insumos!A:A,Insumos!C:C),""),"Inserir Preço")</f>
        <v/>
      </c>
      <c r="X182" s="235" t="str">
        <f ca="1">IF(B182="Complemento do insumo",V182,IF(R182="","",IF(B182="serviço",R182,IF(OR(B182="insumo"),V182*R182,""))))</f>
        <v/>
      </c>
      <c r="Y182" s="236" t="str">
        <f t="shared" si="100"/>
        <v/>
      </c>
      <c r="Z182" s="237">
        <f t="shared" ca="1" si="77"/>
        <v>9935.993760000003</v>
      </c>
      <c r="AA182" s="238"/>
      <c r="AB182" s="233" t="str">
        <f>IF(B182="insumo",_xlfn.XLOOKUP(S182,Insumos!A:A,Insumos!D:D),"")</f>
        <v/>
      </c>
      <c r="AC182" s="239">
        <f t="shared" ca="1" si="78"/>
        <v>1.4254088933592418E-3</v>
      </c>
      <c r="AE182" s="240">
        <f ca="1">IFERROR(IF(OR(Z182="",Z182=0),"",IF(AF182="","",IF(AF182="R$/mês",Z182/OBRA!$D$12,IF(AF182="R$/m²",Z182/OBRA!$D$10,IF(AF182="R$/apto",Orçamento!Z182/OBRA!$D$11,""))))),"")</f>
        <v>5.1131331648852703</v>
      </c>
      <c r="AF182" s="241" t="s">
        <v>154</v>
      </c>
      <c r="AI182" s="338"/>
    </row>
    <row r="183" spans="1:35" s="10" customFormat="1" ht="13.15" hidden="1" customHeight="1" outlineLevel="4" x14ac:dyDescent="0.2">
      <c r="A183" s="227"/>
      <c r="B183" s="228" t="s">
        <v>4</v>
      </c>
      <c r="C183" s="229">
        <f t="shared" si="75"/>
        <v>1</v>
      </c>
      <c r="D183" s="227" t="str">
        <f ca="1">IF(B183="Unidade Construtiva",TEXT(F183,"00"),IF(B183="Célula Construtiva",TEXT(H183,"00"),IF(B183="Etapa",CONCATENATE(TEXT(H183,"00"),".",TEXT(J183,"000")),IF(B183="Subetapa",CONCATENATE(TEXT(H183,"00"),".",TEXT(J183,"000"),".",TEXT(L183,"000")),IF(B183="Serviço",CONCATENATE(TEXT(H183,"00"),".",TEXT(J183,"000"),".",TEXT(L183,"000"),".",TEXT(N183,"000")),"")))))</f>
        <v>01.001.003.001</v>
      </c>
      <c r="E183" s="228" t="str">
        <f t="shared" ca="1" si="115"/>
        <v>01.001.003.001</v>
      </c>
      <c r="F183" s="230">
        <f ca="1">IF($B183="UNIDADE CONSTRUTIVA",OFFSET(F183,-1,0)+1,LARGE(F$10:F182,1))</f>
        <v>2</v>
      </c>
      <c r="G183" s="228" t="str">
        <f ca="1">IF(B183="*","",IF(B183="UNIDADE CONSTRUTIVA",S183,OFFSET(G183,-1,0)))</f>
        <v xml:space="preserve">   GERENCIAMENTO EXECUTIVO</v>
      </c>
      <c r="H183" s="230">
        <f t="shared" ca="1" si="116"/>
        <v>1</v>
      </c>
      <c r="I183" s="228" t="str">
        <f ca="1">IF(B183="*","",IF(B183="CÉLULA CONSTRUTIVA",S183,OFFSET(I183,-1,0)))</f>
        <v xml:space="preserve">   MOVIMENTAÇÃO DE TERRA</v>
      </c>
      <c r="J183" s="230">
        <f t="shared" ca="1" si="117"/>
        <v>1</v>
      </c>
      <c r="K183" s="228" t="str">
        <f ca="1">IF(B183="*","",IF(B183="ETAPA",S183,OFFSET(K183,-1,0)))</f>
        <v xml:space="preserve">   MOVIMENTAÇÃO DE TERRA</v>
      </c>
      <c r="L183" s="231">
        <f t="shared" ca="1" si="118"/>
        <v>3</v>
      </c>
      <c r="M183" s="228" t="str">
        <f ca="1">IF(B183="*","",IF(B183="SUBETAPA",S183,OFFSET(M183,-1,0)))</f>
        <v xml:space="preserve">   Lastro de estrutura de concreto</v>
      </c>
      <c r="N183" s="231">
        <f t="shared" ca="1" si="119"/>
        <v>1</v>
      </c>
      <c r="O183" s="228" t="str">
        <f ca="1">IF(B183="*","",IF(B183="SERVIÇO",S183,OFFSET(O183,-1,0)))</f>
        <v>Lastro de concreto magro-aplicado em blocos-espessura 5cm</v>
      </c>
      <c r="P183" s="232" t="str">
        <f>IF(S183="","",IF(Orçamento!$B183="INSUMO",S183,""))</f>
        <v/>
      </c>
      <c r="Q183" s="244" t="str">
        <f>IF(B183="","",IF(B183="Serviço",S183,""))</f>
        <v>Lastro de concreto magro-aplicado em blocos-espessura 5cm</v>
      </c>
      <c r="R183" s="234">
        <f ca="1">IF(B183="serviço",U183,OFFSET(R183,-1,0))</f>
        <v>26.883100000000006</v>
      </c>
      <c r="S183" s="233" t="s">
        <v>181</v>
      </c>
      <c r="T183" s="242" t="s">
        <v>166</v>
      </c>
      <c r="U183" s="235">
        <v>26.883100000000006</v>
      </c>
      <c r="V183" s="320" t="s">
        <v>35</v>
      </c>
      <c r="W183" s="236" t="str">
        <f>IFERROR(IF(B183="INSUMO",_xlfn.XLOOKUP(S183,Insumos!A:A,Insumos!C:C),""),"Inserir Preço")</f>
        <v/>
      </c>
      <c r="X183" s="235">
        <f ca="1">IF(B183="Complemento do insumo",V183,IF(R183="","",IF(B183="serviço",R183,IF(OR(B183="insumo"),V183*R183,""))))</f>
        <v>26.883100000000006</v>
      </c>
      <c r="Y183" s="236">
        <f t="shared" ca="1" si="100"/>
        <v>369.6</v>
      </c>
      <c r="Z183" s="237">
        <f t="shared" ca="1" si="77"/>
        <v>9935.993760000003</v>
      </c>
      <c r="AA183" s="238"/>
      <c r="AB183" s="233" t="str">
        <f>IF(B183="insumo",_xlfn.XLOOKUP(S183,Insumos!A:A,Insumos!D:D),"")</f>
        <v/>
      </c>
      <c r="AC183" s="239">
        <f t="shared" ca="1" si="78"/>
        <v>1.4254088933592418E-3</v>
      </c>
      <c r="AE183" s="240">
        <f ca="1">IFERROR(IF(OR(Z183="",Z183=0),"",IF(AF183="","",IF(AF183="R$/mês",Z183/OBRA!$D$12,IF(AF183="R$/m²",Z183/OBRA!$D$10,IF(AF183="R$/apto",Orçamento!Z183/OBRA!$D$11,""))))),"")</f>
        <v>5.1131331648852703</v>
      </c>
      <c r="AF183" s="241" t="s">
        <v>154</v>
      </c>
    </row>
    <row r="184" spans="1:35" s="10" customFormat="1" ht="13.15" hidden="1" customHeight="1" outlineLevel="4" x14ac:dyDescent="0.2">
      <c r="A184" s="227"/>
      <c r="B184" s="228" t="s">
        <v>19</v>
      </c>
      <c r="C184" s="229">
        <f t="shared" si="75"/>
        <v>1</v>
      </c>
      <c r="D184" s="227" t="str">
        <f>IF(B184="Unidade Construtiva",TEXT(F184,"00"),IF(B184="Célula Construtiva",TEXT(H184,"00"),IF(B184="Etapa",CONCATENATE(TEXT(H184,"00"),".",TEXT(J184,"000")),IF(B184="Subetapa",CONCATENATE(TEXT(H184,"00"),".",TEXT(J184,"000"),".",TEXT(L184,"000")),IF(B184="Serviço",CONCATENATE(TEXT(H184,"00"),".",TEXT(J184,"000"),".",TEXT(L184,"000"),".",TEXT(N184,"000")),"")))))</f>
        <v/>
      </c>
      <c r="E184" s="228" t="str">
        <f t="shared" ca="1" si="115"/>
        <v>01.001.003.001</v>
      </c>
      <c r="F184" s="230">
        <f ca="1">IF($B184="UNIDADE CONSTRUTIVA",OFFSET(F184,-1,0)+1,LARGE(F$10:F183,1))</f>
        <v>2</v>
      </c>
      <c r="G184" s="228" t="str">
        <f ca="1">IF(B184="*","",IF(B184="UNIDADE CONSTRUTIVA",S184,OFFSET(G184,-1,0)))</f>
        <v xml:space="preserve">   GERENCIAMENTO EXECUTIVO</v>
      </c>
      <c r="H184" s="230">
        <f t="shared" ca="1" si="116"/>
        <v>1</v>
      </c>
      <c r="I184" s="228" t="str">
        <f ca="1">IF(B184="*","",IF(B184="CÉLULA CONSTRUTIVA",S184,OFFSET(I184,-1,0)))</f>
        <v xml:space="preserve">   MOVIMENTAÇÃO DE TERRA</v>
      </c>
      <c r="J184" s="230">
        <f t="shared" ca="1" si="117"/>
        <v>1</v>
      </c>
      <c r="K184" s="228" t="str">
        <f ca="1">IF(B184="*","",IF(B184="ETAPA",S184,OFFSET(K184,-1,0)))</f>
        <v xml:space="preserve">   MOVIMENTAÇÃO DE TERRA</v>
      </c>
      <c r="L184" s="231">
        <f t="shared" ca="1" si="118"/>
        <v>3</v>
      </c>
      <c r="M184" s="228" t="str">
        <f ca="1">IF(B184="*","",IF(B184="SUBETAPA",S184,OFFSET(M184,-1,0)))</f>
        <v xml:space="preserve">   Lastro de estrutura de concreto</v>
      </c>
      <c r="N184" s="231">
        <f t="shared" ca="1" si="119"/>
        <v>1</v>
      </c>
      <c r="O184" s="228" t="str">
        <f ca="1">IF(B184="*","",IF(B184="SERVIÇO",S184,OFFSET(O184,-1,0)))</f>
        <v>Lastro de concreto magro-aplicado em blocos-espessura 5cm</v>
      </c>
      <c r="P184" s="232" t="str">
        <f>IF(S184="","",IF(Orçamento!$B184="INSUMO",S184,""))</f>
        <v>CONCRETO MAGRO 150 KG CIM/M3</v>
      </c>
      <c r="Q184" s="244" t="str">
        <f>IF(B184="","",IF(B184="Serviço",S184,""))</f>
        <v/>
      </c>
      <c r="R184" s="234">
        <f ca="1">IF(B184="serviço",U184,OFFSET(R184,-1,0))</f>
        <v>26.883100000000006</v>
      </c>
      <c r="S184" s="233" t="s">
        <v>182</v>
      </c>
      <c r="T184" s="242" t="str">
        <f>_xlfn.XLOOKUP(S184,Insumos!$A$3:$A$371,Insumos!$B$3:$B$371)</f>
        <v>M3</v>
      </c>
      <c r="U184" s="235">
        <f ca="1">IF($B184="insumo",R184,"")</f>
        <v>26.883100000000006</v>
      </c>
      <c r="V184" s="320">
        <v>1.05</v>
      </c>
      <c r="W184" s="236">
        <f>IFERROR(IF(B184="INSUMO",_xlfn.XLOOKUP(S184,Insumos!A:A,Insumos!C:C),""),"Inserir Preço")</f>
        <v>352</v>
      </c>
      <c r="X184" s="235">
        <f ca="1">IF(B184="Complemento do insumo",V184,IF(R184="","",IF(B184="serviço",R184,IF(OR(B184="insumo"),V184*R184,""))))</f>
        <v>28.227255000000007</v>
      </c>
      <c r="Y184" s="236">
        <f t="shared" si="100"/>
        <v>369.6</v>
      </c>
      <c r="Z184" s="237">
        <f t="shared" ca="1" si="77"/>
        <v>9935.993760000003</v>
      </c>
      <c r="AA184" s="238"/>
      <c r="AB184" s="233" t="str">
        <f>IF(B184="insumo",_xlfn.XLOOKUP(S184,Insumos!A:A,Insumos!D:D),"")</f>
        <v xml:space="preserve"> </v>
      </c>
      <c r="AC184" s="239">
        <f t="shared" ca="1" si="78"/>
        <v>1.4254088933592418E-3</v>
      </c>
      <c r="AE184" s="240">
        <f ca="1">IFERROR(IF(OR(Z184="",Z184=0),"",IF(AF184="","",IF(AF184="R$/mês",Z184/OBRA!$D$12,IF(AF184="R$/m²",Z184/OBRA!$D$10,IF(AF184="R$/apto",Orçamento!Z184/OBRA!$D$11,""))))),"")</f>
        <v>5.1131331648852703</v>
      </c>
      <c r="AF184" s="241" t="s">
        <v>154</v>
      </c>
    </row>
    <row r="185" spans="1:35" s="10" customFormat="1" ht="13.15" customHeight="1" outlineLevel="1" x14ac:dyDescent="0.2">
      <c r="A185" s="227"/>
      <c r="B185" s="228" t="s">
        <v>1</v>
      </c>
      <c r="C185" s="229" t="str">
        <f t="shared" si="75"/>
        <v/>
      </c>
      <c r="D185" s="227" t="str">
        <f t="shared" ref="D185:D198" ca="1" si="120">IF(B185="Unidade Construtiva",TEXT(F185,"00"),IF(B185="Célula Construtiva",TEXT(H185,"00"),IF(B185="Etapa",CONCATENATE(TEXT(H185,"00"),".",TEXT(J185,"000")),IF(B185="Subetapa",CONCATENATE(TEXT(H185,"00"),".",TEXT(J185,"000"),".",TEXT(L185,"000")),IF(B185="Serviço",CONCATENATE(TEXT(H185,"00"),".",TEXT(J185,"000"),".",TEXT(L185,"000"),".",TEXT(N185,"000")),"")))))</f>
        <v>02</v>
      </c>
      <c r="E185" s="228" t="str">
        <f t="shared" ca="1" si="115"/>
        <v>01.001.003.001</v>
      </c>
      <c r="F185" s="230">
        <f ca="1">IF($B185="UNIDADE CONSTRUTIVA",OFFSET(F185,-1,0)+1,LARGE(F$10:F184,1))</f>
        <v>2</v>
      </c>
      <c r="G185" s="228" t="str">
        <f t="shared" ca="1" si="107"/>
        <v xml:space="preserve">   GERENCIAMENTO EXECUTIVO</v>
      </c>
      <c r="H185" s="230">
        <f t="shared" ca="1" si="116"/>
        <v>2</v>
      </c>
      <c r="I185" s="228" t="str">
        <f t="shared" ca="1" si="108"/>
        <v xml:space="preserve">   INFRAESTRUTURA</v>
      </c>
      <c r="J185" s="230">
        <f t="shared" ca="1" si="117"/>
        <v>0</v>
      </c>
      <c r="K185" s="228" t="str">
        <f t="shared" ca="1" si="109"/>
        <v xml:space="preserve">   MOVIMENTAÇÃO DE TERRA</v>
      </c>
      <c r="L185" s="231">
        <f t="shared" ca="1" si="118"/>
        <v>3</v>
      </c>
      <c r="M185" s="228" t="str">
        <f t="shared" ca="1" si="110"/>
        <v xml:space="preserve">   Lastro de estrutura de concreto</v>
      </c>
      <c r="N185" s="231">
        <f t="shared" ca="1" si="119"/>
        <v>1</v>
      </c>
      <c r="O185" s="228" t="str">
        <f t="shared" ca="1" si="111"/>
        <v>Lastro de concreto magro-aplicado em blocos-espessura 5cm</v>
      </c>
      <c r="P185" s="232" t="str">
        <f>IF(S185="","",IF(Orçamento!$B185="INSUMO",S185,""))</f>
        <v/>
      </c>
      <c r="Q185" s="244" t="str">
        <f t="shared" ref="Q185:Q198" si="121">IF(B185="","",IF(B185="Serviço",S185,""))</f>
        <v/>
      </c>
      <c r="R185" s="234">
        <f t="shared" ref="R185:R195" ca="1" si="122">IF(B185="serviço",U185,OFFSET(R185,-1,0))</f>
        <v>26.883100000000006</v>
      </c>
      <c r="S185" s="233" t="s">
        <v>543</v>
      </c>
      <c r="T185" s="242" t="s">
        <v>35</v>
      </c>
      <c r="U185" s="235" t="str">
        <f>IF($B185="insumo",R185,"")</f>
        <v/>
      </c>
      <c r="V185" s="320" t="s">
        <v>35</v>
      </c>
      <c r="W185" s="236" t="str">
        <f>IFERROR(IF(B185="INSUMO",_xlfn.XLOOKUP(S185,Insumos!A:A,Insumos!C:C),""),"Inserir Preço")</f>
        <v/>
      </c>
      <c r="X185" s="235" t="str">
        <f t="shared" ref="X185:X198" ca="1" si="123">IF(B185="Complemento do insumo",V185,IF(R185="","",IF(B185="serviço",R185,IF(OR(B185="insumo"),V185*R185,""))))</f>
        <v/>
      </c>
      <c r="Y185" s="236" t="str">
        <f t="shared" si="100"/>
        <v/>
      </c>
      <c r="Z185" s="237">
        <f t="shared" ca="1" si="77"/>
        <v>348459.09126132214</v>
      </c>
      <c r="AA185" s="238"/>
      <c r="AB185" s="233" t="str">
        <f>IF(B185="insumo",_xlfn.XLOOKUP(S185,Insumos!A:A,Insumos!D:D),"")</f>
        <v/>
      </c>
      <c r="AC185" s="239">
        <f t="shared" ca="1" si="78"/>
        <v>4.9989633614239318E-2</v>
      </c>
      <c r="AE185" s="240">
        <f ca="1">IFERROR(IF(OR(Z185="",Z185=0),"",IF(AF185="","",IF(AF185="R$/mês",Z185/OBRA!$D$12,IF(AF185="R$/m²",Z185/OBRA!$D$10,IF(AF185="R$/apto",Orçamento!Z185/OBRA!$D$11,""))))),"")</f>
        <v>179.31953050401762</v>
      </c>
      <c r="AF185" s="241" t="s">
        <v>154</v>
      </c>
    </row>
    <row r="186" spans="1:35" s="10" customFormat="1" ht="13.15" customHeight="1" outlineLevel="2" collapsed="1" x14ac:dyDescent="0.2">
      <c r="A186" s="227"/>
      <c r="B186" s="228" t="s">
        <v>2</v>
      </c>
      <c r="C186" s="229" t="str">
        <f t="shared" si="75"/>
        <v/>
      </c>
      <c r="D186" s="227" t="str">
        <f t="shared" ca="1" si="120"/>
        <v>02.001</v>
      </c>
      <c r="E186" s="228" t="str">
        <f t="shared" ca="1" si="115"/>
        <v>01.001.003.001</v>
      </c>
      <c r="F186" s="230">
        <f ca="1">IF($B186="UNIDADE CONSTRUTIVA",OFFSET(F186,-1,0)+1,LARGE(F$10:F185,1))</f>
        <v>2</v>
      </c>
      <c r="G186" s="228" t="str">
        <f t="shared" ref="G186:G199" ca="1" si="124">IF(B186="*","",IF(B186="UNIDADE CONSTRUTIVA",S186,OFFSET(G186,-1,0)))</f>
        <v xml:space="preserve">   GERENCIAMENTO EXECUTIVO</v>
      </c>
      <c r="H186" s="230">
        <f t="shared" ca="1" si="116"/>
        <v>2</v>
      </c>
      <c r="I186" s="228" t="str">
        <f t="shared" ref="I186:I199" ca="1" si="125">IF(B186="*","",IF(B186="CÉLULA CONSTRUTIVA",S186,OFFSET(I186,-1,0)))</f>
        <v xml:space="preserve">   INFRAESTRUTURA</v>
      </c>
      <c r="J186" s="230">
        <f t="shared" ca="1" si="117"/>
        <v>1</v>
      </c>
      <c r="K186" s="228" t="str">
        <f t="shared" ref="K186:K199" ca="1" si="126">IF(B186="*","",IF(B186="ETAPA",S186,OFFSET(K186,-1,0)))</f>
        <v xml:space="preserve">   FUNDAÇÃO RASA</v>
      </c>
      <c r="L186" s="231">
        <f t="shared" ca="1" si="118"/>
        <v>0</v>
      </c>
      <c r="M186" s="228" t="str">
        <f t="shared" ref="M186:M199" ca="1" si="127">IF(B186="*","",IF(B186="SUBETAPA",S186,OFFSET(M186,-1,0)))</f>
        <v xml:space="preserve">   Lastro de estrutura de concreto</v>
      </c>
      <c r="N186" s="231">
        <f t="shared" ca="1" si="119"/>
        <v>1</v>
      </c>
      <c r="O186" s="228" t="str">
        <f t="shared" ref="O186:O199" ca="1" si="128">IF(B186="*","",IF(B186="SERVIÇO",S186,OFFSET(O186,-1,0)))</f>
        <v>Lastro de concreto magro-aplicado em blocos-espessura 5cm</v>
      </c>
      <c r="P186" s="232" t="str">
        <f>IF(S186="","",IF(Orçamento!$B186="INSUMO",S186,""))</f>
        <v/>
      </c>
      <c r="Q186" s="244" t="str">
        <f t="shared" si="121"/>
        <v/>
      </c>
      <c r="R186" s="234">
        <f t="shared" ca="1" si="122"/>
        <v>26.883100000000006</v>
      </c>
      <c r="S186" s="233" t="s">
        <v>436</v>
      </c>
      <c r="T186" s="242" t="s">
        <v>35</v>
      </c>
      <c r="U186" s="235" t="str">
        <f>IF($B186="insumo",R186,"")</f>
        <v/>
      </c>
      <c r="V186" s="320"/>
      <c r="W186" s="236" t="str">
        <f>IFERROR(IF(B186="INSUMO",_xlfn.XLOOKUP(S186,Insumos!A:A,Insumos!C:C),""),"Inserir Preço")</f>
        <v/>
      </c>
      <c r="X186" s="235" t="str">
        <f t="shared" ca="1" si="123"/>
        <v/>
      </c>
      <c r="Y186" s="236" t="str">
        <f t="shared" si="100"/>
        <v/>
      </c>
      <c r="Z186" s="237">
        <f t="shared" ca="1" si="77"/>
        <v>348459.09126132214</v>
      </c>
      <c r="AA186" s="238"/>
      <c r="AB186" s="233" t="str">
        <f>IF(B186="insumo",_xlfn.XLOOKUP(S186,Insumos!A:A,Insumos!D:D),"")</f>
        <v/>
      </c>
      <c r="AC186" s="239">
        <f t="shared" ca="1" si="78"/>
        <v>4.9989633614239318E-2</v>
      </c>
      <c r="AE186" s="240">
        <f ca="1">IFERROR(IF(OR(Z186="",Z186=0),"",IF(AF186="","",IF(AF186="R$/mês",Z186/OBRA!$D$12,IF(AF186="R$/m²",Z186/OBRA!$D$10,IF(AF186="R$/apto",Orçamento!Z186/OBRA!$D$11,""))))),"")</f>
        <v>179.31953050401762</v>
      </c>
      <c r="AF186" s="241" t="s">
        <v>154</v>
      </c>
    </row>
    <row r="187" spans="1:35" s="10" customFormat="1" ht="13.15" hidden="1" customHeight="1" outlineLevel="3" collapsed="1" x14ac:dyDescent="0.2">
      <c r="A187" s="227"/>
      <c r="B187" s="228" t="s">
        <v>3</v>
      </c>
      <c r="C187" s="229" t="str">
        <f t="shared" si="75"/>
        <v/>
      </c>
      <c r="D187" s="227" t="str">
        <f t="shared" ca="1" si="120"/>
        <v>02.001.001</v>
      </c>
      <c r="E187" s="228" t="str">
        <f t="shared" ref="E187:E192" ca="1" si="129">IF(B187="*","",IFERROR(IF(B187="SERVIÇO",D187,OFFSET(E187,-1,0)),""))</f>
        <v>01.001.003.001</v>
      </c>
      <c r="F187" s="230">
        <f ca="1">IF($B187="UNIDADE CONSTRUTIVA",OFFSET(F187,-1,0)+1,LARGE(F$10:F186,1))</f>
        <v>2</v>
      </c>
      <c r="G187" s="228" t="str">
        <f t="shared" ca="1" si="124"/>
        <v xml:space="preserve">   GERENCIAMENTO EXECUTIVO</v>
      </c>
      <c r="H187" s="230">
        <f t="shared" ref="H187:H192" ca="1" si="130">IF(B187="UNIDADE CONSTRUTIVA",0,IF(B187="CÉLULA CONSTRUTIVA",OFFSET(H187,-1,0)+1,OFFSET(H187,-1,0)))</f>
        <v>2</v>
      </c>
      <c r="I187" s="228" t="str">
        <f t="shared" ca="1" si="125"/>
        <v xml:space="preserve">   INFRAESTRUTURA</v>
      </c>
      <c r="J187" s="230">
        <f t="shared" ref="J187:J192" ca="1" si="131">IF(B187="CÉLULA CONSTRUTIVA",0,IF(B187="ETAPA",OFFSET(J187,-1,0)+1,OFFSET(J187,-1,0)))</f>
        <v>1</v>
      </c>
      <c r="K187" s="228" t="str">
        <f t="shared" ca="1" si="126"/>
        <v xml:space="preserve">   FUNDAÇÃO RASA</v>
      </c>
      <c r="L187" s="231">
        <f t="shared" ref="L187:L192" ca="1" si="132">IF(B187="ETAPA",0,IF(B187="SUBETAPA",OFFSET(L187,-1,0)+1,OFFSET(L187,-1,0)))</f>
        <v>1</v>
      </c>
      <c r="M187" s="228" t="str">
        <f t="shared" ca="1" si="127"/>
        <v xml:space="preserve">   Forma Apropriada</v>
      </c>
      <c r="N187" s="231">
        <f t="shared" ref="N187:N192" ca="1" si="133">IF(B187="Subetapa",0,IF(B187="serviço",OFFSET(N187,-1,0)+1,OFFSET(N187,-1,0)))</f>
        <v>0</v>
      </c>
      <c r="O187" s="228" t="str">
        <f t="shared" ca="1" si="128"/>
        <v>Lastro de concreto magro-aplicado em blocos-espessura 5cm</v>
      </c>
      <c r="P187" s="232" t="str">
        <f>IF(S187="","",IF(Orçamento!$B187="INSUMO",S187,""))</f>
        <v/>
      </c>
      <c r="Q187" s="244" t="str">
        <f t="shared" si="121"/>
        <v/>
      </c>
      <c r="R187" s="234">
        <f t="shared" ca="1" si="122"/>
        <v>26.883100000000006</v>
      </c>
      <c r="S187" s="233" t="s">
        <v>1210</v>
      </c>
      <c r="T187" s="242" t="s">
        <v>35</v>
      </c>
      <c r="U187" s="235" t="str">
        <f>IF($B187="insumo",R187,"")</f>
        <v/>
      </c>
      <c r="V187" s="320" t="s">
        <v>35</v>
      </c>
      <c r="W187" s="236" t="str">
        <f>IFERROR(IF(B187="INSUMO",_xlfn.XLOOKUP(S187,Insumos!A:A,Insumos!C:C),""),"Inserir Preço")</f>
        <v/>
      </c>
      <c r="X187" s="235" t="str">
        <f t="shared" ca="1" si="123"/>
        <v/>
      </c>
      <c r="Y187" s="236" t="str">
        <f t="shared" si="100"/>
        <v/>
      </c>
      <c r="Z187" s="237">
        <f t="shared" ca="1" si="77"/>
        <v>43781.855390624762</v>
      </c>
      <c r="AA187" s="238"/>
      <c r="AB187" s="233" t="str">
        <f>IF(B187="insumo",_xlfn.XLOOKUP(S187,Insumos!A:A,Insumos!D:D),"")</f>
        <v/>
      </c>
      <c r="AC187" s="239">
        <f t="shared" ca="1" si="78"/>
        <v>6.2809063239150798E-3</v>
      </c>
      <c r="AE187" s="240">
        <f ca="1">IFERROR(IF(OR(Z187="",Z187=0),"",IF(AF187="","",IF(AF187="R$/mês",Z187/OBRA!$D$12,IF(AF187="R$/m²",Z187/OBRA!$D$10,IF(AF187="R$/apto",Orçamento!Z187/OBRA!$D$11,""))))),"")</f>
        <v>22.530454650568775</v>
      </c>
      <c r="AF187" s="241" t="s">
        <v>154</v>
      </c>
    </row>
    <row r="188" spans="1:35" s="10" customFormat="1" ht="13.15" hidden="1" customHeight="1" outlineLevel="4" x14ac:dyDescent="0.2">
      <c r="A188" s="227"/>
      <c r="B188" s="228" t="s">
        <v>4</v>
      </c>
      <c r="C188" s="229">
        <f t="shared" si="75"/>
        <v>1</v>
      </c>
      <c r="D188" s="227" t="str">
        <f t="shared" ca="1" si="120"/>
        <v>02.001.001.001</v>
      </c>
      <c r="E188" s="228" t="str">
        <f t="shared" ca="1" si="129"/>
        <v>02.001.001.001</v>
      </c>
      <c r="F188" s="230">
        <f ca="1">IF($B188="UNIDADE CONSTRUTIVA",OFFSET(F188,-1,0)+1,LARGE(F$10:F187,1))</f>
        <v>2</v>
      </c>
      <c r="G188" s="228" t="str">
        <f t="shared" ca="1" si="124"/>
        <v xml:space="preserve">   GERENCIAMENTO EXECUTIVO</v>
      </c>
      <c r="H188" s="230">
        <f t="shared" ca="1" si="130"/>
        <v>2</v>
      </c>
      <c r="I188" s="228" t="str">
        <f t="shared" ca="1" si="125"/>
        <v xml:space="preserve">   INFRAESTRUTURA</v>
      </c>
      <c r="J188" s="230">
        <f t="shared" ca="1" si="131"/>
        <v>1</v>
      </c>
      <c r="K188" s="228" t="str">
        <f t="shared" ca="1" si="126"/>
        <v xml:space="preserve">   FUNDAÇÃO RASA</v>
      </c>
      <c r="L188" s="231">
        <f t="shared" ca="1" si="132"/>
        <v>1</v>
      </c>
      <c r="M188" s="228" t="str">
        <f t="shared" ca="1" si="127"/>
        <v xml:space="preserve">   Forma Apropriada</v>
      </c>
      <c r="N188" s="231">
        <f t="shared" ca="1" si="133"/>
        <v>1</v>
      </c>
      <c r="O188" s="228" t="str">
        <f t="shared" ca="1" si="128"/>
        <v>Forma para Infraestrutura</v>
      </c>
      <c r="P188" s="232" t="str">
        <f>IF(S188="","",IF(Orçamento!$B188="INSUMO",S188,""))</f>
        <v/>
      </c>
      <c r="Q188" s="244" t="str">
        <f t="shared" si="121"/>
        <v>Forma para Infraestrutura</v>
      </c>
      <c r="R188" s="234">
        <f t="shared" ca="1" si="122"/>
        <v>1</v>
      </c>
      <c r="S188" s="233" t="s">
        <v>1209</v>
      </c>
      <c r="T188" s="242" t="s">
        <v>170</v>
      </c>
      <c r="U188" s="235">
        <v>1</v>
      </c>
      <c r="V188" s="320" t="s">
        <v>35</v>
      </c>
      <c r="W188" s="236" t="str">
        <f>IFERROR(IF(B188="INSUMO",_xlfn.XLOOKUP(S188,Insumos!A:A,Insumos!C:C),""),"Inserir Preço")</f>
        <v/>
      </c>
      <c r="X188" s="235">
        <f t="shared" ca="1" si="123"/>
        <v>1</v>
      </c>
      <c r="Y188" s="236">
        <f t="shared" ca="1" si="100"/>
        <v>43781.855390624762</v>
      </c>
      <c r="Z188" s="237">
        <f t="shared" ca="1" si="77"/>
        <v>43781.855390624762</v>
      </c>
      <c r="AA188" s="238"/>
      <c r="AB188" s="233" t="str">
        <f>IF(B188="insumo",_xlfn.XLOOKUP(S188,Insumos!A:A,Insumos!D:D),"")</f>
        <v/>
      </c>
      <c r="AC188" s="239">
        <f t="shared" ca="1" si="78"/>
        <v>6.2809063239150798E-3</v>
      </c>
      <c r="AE188" s="240">
        <f ca="1">IFERROR(IF(OR(Z188="",Z188=0),"",IF(AF188="","",IF(AF188="R$/mês",Z188/OBRA!$D$12,IF(AF188="R$/m²",Z188/OBRA!$D$10,IF(AF188="R$/apto",Orçamento!Z188/OBRA!$D$11,""))))),"")</f>
        <v>22.530454650568775</v>
      </c>
      <c r="AF188" s="241" t="s">
        <v>154</v>
      </c>
    </row>
    <row r="189" spans="1:35" s="10" customFormat="1" ht="13.15" hidden="1" customHeight="1" outlineLevel="4" x14ac:dyDescent="0.2">
      <c r="A189" s="227"/>
      <c r="B189" s="228" t="s">
        <v>19</v>
      </c>
      <c r="C189" s="229">
        <f t="shared" si="75"/>
        <v>1</v>
      </c>
      <c r="D189" s="227" t="str">
        <f t="shared" si="120"/>
        <v/>
      </c>
      <c r="E189" s="228" t="str">
        <f t="shared" ca="1" si="129"/>
        <v>02.001.001.001</v>
      </c>
      <c r="F189" s="230">
        <f ca="1">IF($B189="UNIDADE CONSTRUTIVA",OFFSET(F189,-1,0)+1,LARGE(F$10:F188,1))</f>
        <v>2</v>
      </c>
      <c r="G189" s="228" t="str">
        <f t="shared" ca="1" si="124"/>
        <v xml:space="preserve">   GERENCIAMENTO EXECUTIVO</v>
      </c>
      <c r="H189" s="230">
        <f t="shared" ca="1" si="130"/>
        <v>2</v>
      </c>
      <c r="I189" s="228" t="str">
        <f t="shared" ca="1" si="125"/>
        <v xml:space="preserve">   INFRAESTRUTURA</v>
      </c>
      <c r="J189" s="230">
        <f t="shared" ca="1" si="131"/>
        <v>1</v>
      </c>
      <c r="K189" s="228" t="str">
        <f t="shared" ca="1" si="126"/>
        <v xml:space="preserve">   FUNDAÇÃO RASA</v>
      </c>
      <c r="L189" s="231">
        <f t="shared" ca="1" si="132"/>
        <v>1</v>
      </c>
      <c r="M189" s="228" t="str">
        <f t="shared" ca="1" si="127"/>
        <v xml:space="preserve">   Forma Apropriada</v>
      </c>
      <c r="N189" s="231">
        <f t="shared" ca="1" si="133"/>
        <v>1</v>
      </c>
      <c r="O189" s="228" t="str">
        <f t="shared" ca="1" si="128"/>
        <v>Forma para Infraestrutura</v>
      </c>
      <c r="P189" s="232" t="str">
        <f>IF(S189="","",IF(Orçamento!$B189="INSUMO",S189,""))</f>
        <v>MADEIRA DE FORMA PARA FUNDAÇÃO</v>
      </c>
      <c r="Q189" s="244" t="str">
        <f t="shared" si="121"/>
        <v/>
      </c>
      <c r="R189" s="234">
        <f t="shared" ca="1" si="122"/>
        <v>1</v>
      </c>
      <c r="S189" s="233" t="s">
        <v>1203</v>
      </c>
      <c r="T189" s="242" t="str">
        <f>_xlfn.XLOOKUP(S189,Insumos!$A$3:$A$371,Insumos!$B$3:$B$371)</f>
        <v>VB</v>
      </c>
      <c r="U189" s="235">
        <f t="shared" ref="U189" ca="1" si="134">IF($B189="insumo",R189,"")</f>
        <v>1</v>
      </c>
      <c r="V189" s="320">
        <v>1</v>
      </c>
      <c r="W189" s="236">
        <f>IFERROR(IF(B189="INSUMO",_xlfn.XLOOKUP(S189,Insumos!A:A,Insumos!C:C),""),"Inserir Preço")</f>
        <v>43781.855390624762</v>
      </c>
      <c r="X189" s="235">
        <f t="shared" ca="1" si="123"/>
        <v>1</v>
      </c>
      <c r="Y189" s="236">
        <f t="shared" si="100"/>
        <v>43781.855390624762</v>
      </c>
      <c r="Z189" s="237">
        <f t="shared" ca="1" si="77"/>
        <v>43781.855390624762</v>
      </c>
      <c r="AA189" s="238"/>
      <c r="AB189" s="233" t="str">
        <f>IF(B189="insumo",_xlfn.XLOOKUP(S189,Insumos!A:A,Insumos!D:D),"")</f>
        <v>Balancete</v>
      </c>
      <c r="AC189" s="239">
        <f t="shared" ca="1" si="78"/>
        <v>6.2809063239150798E-3</v>
      </c>
      <c r="AE189" s="240">
        <f ca="1">IFERROR(IF(OR(Z189="",Z189=0),"",IF(AF189="","",IF(AF189="R$/mês",Z189/OBRA!$D$12,IF(AF189="R$/m²",Z189/OBRA!$D$10,IF(AF189="R$/apto",Orçamento!Z189/OBRA!$D$11,""))))),"")</f>
        <v>22.530454650568775</v>
      </c>
      <c r="AF189" s="241" t="s">
        <v>154</v>
      </c>
    </row>
    <row r="190" spans="1:35" s="10" customFormat="1" ht="13.15" hidden="1" customHeight="1" outlineLevel="3" collapsed="1" x14ac:dyDescent="0.2">
      <c r="A190" s="227"/>
      <c r="B190" s="228" t="s">
        <v>3</v>
      </c>
      <c r="C190" s="229" t="str">
        <f t="shared" si="75"/>
        <v/>
      </c>
      <c r="D190" s="227" t="str">
        <f t="shared" ca="1" si="120"/>
        <v>02.001.002</v>
      </c>
      <c r="E190" s="228" t="str">
        <f t="shared" ca="1" si="129"/>
        <v>02.001.001.001</v>
      </c>
      <c r="F190" s="230">
        <f ca="1">IF($B190="UNIDADE CONSTRUTIVA",OFFSET(F190,-1,0)+1,LARGE(F$10:F189,1))</f>
        <v>2</v>
      </c>
      <c r="G190" s="228" t="str">
        <f t="shared" ca="1" si="124"/>
        <v xml:space="preserve">   GERENCIAMENTO EXECUTIVO</v>
      </c>
      <c r="H190" s="230">
        <f t="shared" ca="1" si="130"/>
        <v>2</v>
      </c>
      <c r="I190" s="228" t="str">
        <f t="shared" ca="1" si="125"/>
        <v xml:space="preserve">   INFRAESTRUTURA</v>
      </c>
      <c r="J190" s="230">
        <f t="shared" ca="1" si="131"/>
        <v>1</v>
      </c>
      <c r="K190" s="228" t="str">
        <f t="shared" ca="1" si="126"/>
        <v xml:space="preserve">   FUNDAÇÃO RASA</v>
      </c>
      <c r="L190" s="231">
        <f t="shared" ca="1" si="132"/>
        <v>2</v>
      </c>
      <c r="M190" s="228" t="str">
        <f t="shared" ca="1" si="127"/>
        <v xml:space="preserve">   Armadura Apropriada</v>
      </c>
      <c r="N190" s="231">
        <f t="shared" ca="1" si="133"/>
        <v>0</v>
      </c>
      <c r="O190" s="228" t="str">
        <f t="shared" ca="1" si="128"/>
        <v>Forma para Infraestrutura</v>
      </c>
      <c r="P190" s="232" t="str">
        <f>IF(S190="","",IF(Orçamento!$B190="INSUMO",S190,""))</f>
        <v/>
      </c>
      <c r="Q190" s="244" t="str">
        <f t="shared" si="121"/>
        <v/>
      </c>
      <c r="R190" s="234">
        <f t="shared" ca="1" si="122"/>
        <v>1</v>
      </c>
      <c r="S190" s="233" t="s">
        <v>1211</v>
      </c>
      <c r="T190" s="242" t="s">
        <v>35</v>
      </c>
      <c r="U190" s="235" t="str">
        <f>IF($B190="insumo",R190,"")</f>
        <v/>
      </c>
      <c r="V190" s="320" t="s">
        <v>35</v>
      </c>
      <c r="W190" s="236" t="str">
        <f>IFERROR(IF(B190="INSUMO",_xlfn.XLOOKUP(S190,Insumos!A:A,Insumos!C:C),""),"Inserir Preço")</f>
        <v/>
      </c>
      <c r="X190" s="235" t="str">
        <f t="shared" ca="1" si="123"/>
        <v/>
      </c>
      <c r="Y190" s="236" t="str">
        <f t="shared" si="100"/>
        <v/>
      </c>
      <c r="Z190" s="237">
        <f t="shared" ca="1" si="77"/>
        <v>46260.671085225476</v>
      </c>
      <c r="AA190" s="238"/>
      <c r="AB190" s="233" t="str">
        <f>IF(B190="insumo",_xlfn.XLOOKUP(S190,Insumos!A:A,Insumos!D:D),"")</f>
        <v/>
      </c>
      <c r="AC190" s="239">
        <f t="shared" ca="1" si="78"/>
        <v>6.6365150351752134E-3</v>
      </c>
      <c r="AE190" s="240">
        <f ca="1">IFERROR(IF(OR(Z190="",Z190=0),"",IF(AF190="","",IF(AF190="R$/mês",Z190/OBRA!$D$12,IF(AF190="R$/m²",Z190/OBRA!$D$10,IF(AF190="R$/apto",Orçamento!Z190/OBRA!$D$11,""))))),"")</f>
        <v>23.806070864089932</v>
      </c>
      <c r="AF190" s="241" t="s">
        <v>154</v>
      </c>
    </row>
    <row r="191" spans="1:35" s="10" customFormat="1" ht="13.15" hidden="1" customHeight="1" outlineLevel="4" x14ac:dyDescent="0.2">
      <c r="A191" s="227"/>
      <c r="B191" s="228" t="s">
        <v>4</v>
      </c>
      <c r="C191" s="229">
        <f t="shared" si="75"/>
        <v>1</v>
      </c>
      <c r="D191" s="227" t="str">
        <f t="shared" ca="1" si="120"/>
        <v>02.001.002.001</v>
      </c>
      <c r="E191" s="228" t="str">
        <f t="shared" ca="1" si="129"/>
        <v>02.001.002.001</v>
      </c>
      <c r="F191" s="230">
        <f ca="1">IF($B191="UNIDADE CONSTRUTIVA",OFFSET(F191,-1,0)+1,LARGE(F$10:F190,1))</f>
        <v>2</v>
      </c>
      <c r="G191" s="228" t="str">
        <f t="shared" ca="1" si="124"/>
        <v xml:space="preserve">   GERENCIAMENTO EXECUTIVO</v>
      </c>
      <c r="H191" s="230">
        <f t="shared" ca="1" si="130"/>
        <v>2</v>
      </c>
      <c r="I191" s="228" t="str">
        <f t="shared" ca="1" si="125"/>
        <v xml:space="preserve">   INFRAESTRUTURA</v>
      </c>
      <c r="J191" s="230">
        <f t="shared" ca="1" si="131"/>
        <v>1</v>
      </c>
      <c r="K191" s="228" t="str">
        <f t="shared" ca="1" si="126"/>
        <v xml:space="preserve">   FUNDAÇÃO RASA</v>
      </c>
      <c r="L191" s="231">
        <f t="shared" ca="1" si="132"/>
        <v>2</v>
      </c>
      <c r="M191" s="228" t="str">
        <f t="shared" ca="1" si="127"/>
        <v xml:space="preserve">   Armadura Apropriada</v>
      </c>
      <c r="N191" s="231">
        <f t="shared" ca="1" si="133"/>
        <v>1</v>
      </c>
      <c r="O191" s="228" t="str">
        <f t="shared" ca="1" si="128"/>
        <v>Armacao Média para Infraestrutura</v>
      </c>
      <c r="P191" s="232" t="str">
        <f>IF(S191="","",IF(Orçamento!$B191="INSUMO",S191,""))</f>
        <v/>
      </c>
      <c r="Q191" s="244" t="str">
        <f t="shared" si="121"/>
        <v>Armacao Média para Infraestrutura</v>
      </c>
      <c r="R191" s="234">
        <f t="shared" ca="1" si="122"/>
        <v>1</v>
      </c>
      <c r="S191" s="233" t="s">
        <v>1208</v>
      </c>
      <c r="T191" s="242" t="s">
        <v>170</v>
      </c>
      <c r="U191" s="235">
        <v>1</v>
      </c>
      <c r="V191" s="320" t="s">
        <v>35</v>
      </c>
      <c r="W191" s="236" t="str">
        <f>IFERROR(IF(B191="INSUMO",_xlfn.XLOOKUP(S191,Insumos!A:A,Insumos!C:C),""),"Inserir Preço")</f>
        <v/>
      </c>
      <c r="X191" s="235">
        <f t="shared" ca="1" si="123"/>
        <v>1</v>
      </c>
      <c r="Y191" s="236">
        <f t="shared" ca="1" si="100"/>
        <v>46260.671085225476</v>
      </c>
      <c r="Z191" s="237">
        <f t="shared" ca="1" si="77"/>
        <v>46260.671085225476</v>
      </c>
      <c r="AA191" s="238"/>
      <c r="AB191" s="233" t="str">
        <f>IF(B191="insumo",_xlfn.XLOOKUP(S191,Insumos!A:A,Insumos!D:D),"")</f>
        <v/>
      </c>
      <c r="AC191" s="239">
        <f t="shared" ca="1" si="78"/>
        <v>6.6365150351752134E-3</v>
      </c>
      <c r="AE191" s="240">
        <f ca="1">IFERROR(IF(OR(Z191="",Z191=0),"",IF(AF191="","",IF(AF191="R$/mês",Z191/OBRA!$D$12,IF(AF191="R$/m²",Z191/OBRA!$D$10,IF(AF191="R$/apto",Orçamento!Z191/OBRA!$D$11,""))))),"")</f>
        <v>23.806070864089932</v>
      </c>
      <c r="AF191" s="241" t="s">
        <v>154</v>
      </c>
    </row>
    <row r="192" spans="1:35" s="10" customFormat="1" ht="13.15" hidden="1" customHeight="1" outlineLevel="4" x14ac:dyDescent="0.2">
      <c r="A192" s="227"/>
      <c r="B192" s="228" t="s">
        <v>19</v>
      </c>
      <c r="C192" s="229">
        <f t="shared" si="75"/>
        <v>1</v>
      </c>
      <c r="D192" s="227" t="str">
        <f t="shared" si="120"/>
        <v/>
      </c>
      <c r="E192" s="228" t="str">
        <f t="shared" ca="1" si="129"/>
        <v>02.001.002.001</v>
      </c>
      <c r="F192" s="230">
        <f ca="1">IF($B192="UNIDADE CONSTRUTIVA",OFFSET(F192,-1,0)+1,LARGE(F$10:F191,1))</f>
        <v>2</v>
      </c>
      <c r="G192" s="228" t="str">
        <f t="shared" ca="1" si="124"/>
        <v xml:space="preserve">   GERENCIAMENTO EXECUTIVO</v>
      </c>
      <c r="H192" s="230">
        <f t="shared" ca="1" si="130"/>
        <v>2</v>
      </c>
      <c r="I192" s="228" t="str">
        <f t="shared" ca="1" si="125"/>
        <v xml:space="preserve">   INFRAESTRUTURA</v>
      </c>
      <c r="J192" s="230">
        <f t="shared" ca="1" si="131"/>
        <v>1</v>
      </c>
      <c r="K192" s="228" t="str">
        <f t="shared" ca="1" si="126"/>
        <v xml:space="preserve">   FUNDAÇÃO RASA</v>
      </c>
      <c r="L192" s="231">
        <f t="shared" ca="1" si="132"/>
        <v>2</v>
      </c>
      <c r="M192" s="228" t="str">
        <f t="shared" ca="1" si="127"/>
        <v xml:space="preserve">   Armadura Apropriada</v>
      </c>
      <c r="N192" s="231">
        <f t="shared" ca="1" si="133"/>
        <v>1</v>
      </c>
      <c r="O192" s="228" t="str">
        <f t="shared" ca="1" si="128"/>
        <v>Armacao Média para Infraestrutura</v>
      </c>
      <c r="P192" s="232" t="str">
        <f>IF(S192="","",IF(Orçamento!$B192="INSUMO",S192,""))</f>
        <v>ARMAÇÃO MÉDIA PARA FUNDAÇÃO</v>
      </c>
      <c r="Q192" s="244" t="str">
        <f t="shared" si="121"/>
        <v/>
      </c>
      <c r="R192" s="234">
        <f t="shared" ca="1" si="122"/>
        <v>1</v>
      </c>
      <c r="S192" s="233" t="s">
        <v>1201</v>
      </c>
      <c r="T192" s="242" t="str">
        <f>_xlfn.XLOOKUP(S192,Insumos!$A$3:$A$371,Insumos!$B$3:$B$371)</f>
        <v>VB</v>
      </c>
      <c r="U192" s="235">
        <f ca="1">IF($B192="insumo",R192,"")</f>
        <v>1</v>
      </c>
      <c r="V192" s="320">
        <v>1</v>
      </c>
      <c r="W192" s="236">
        <f>IFERROR(IF(B192="INSUMO",_xlfn.XLOOKUP(S192,Insumos!A:A,Insumos!C:C),""),"Inserir Preço")</f>
        <v>46260.671085225476</v>
      </c>
      <c r="X192" s="235">
        <f t="shared" ca="1" si="123"/>
        <v>1</v>
      </c>
      <c r="Y192" s="236">
        <f t="shared" si="100"/>
        <v>46260.671085225476</v>
      </c>
      <c r="Z192" s="237">
        <f t="shared" ca="1" si="77"/>
        <v>46260.671085225476</v>
      </c>
      <c r="AA192" s="238"/>
      <c r="AB192" s="233" t="str">
        <f>IF(B192="insumo",_xlfn.XLOOKUP(S192,Insumos!A:A,Insumos!D:D),"")</f>
        <v>Balancete</v>
      </c>
      <c r="AC192" s="239">
        <f t="shared" ca="1" si="78"/>
        <v>6.6365150351752134E-3</v>
      </c>
      <c r="AE192" s="240">
        <f ca="1">IFERROR(IF(OR(Z192="",Z192=0),"",IF(AF192="","",IF(AF192="R$/mês",Z192/OBRA!$D$12,IF(AF192="R$/m²",Z192/OBRA!$D$10,IF(AF192="R$/apto",Orçamento!Z192/OBRA!$D$11,""))))),"")</f>
        <v>23.806070864089932</v>
      </c>
      <c r="AF192" s="241" t="s">
        <v>154</v>
      </c>
    </row>
    <row r="193" spans="1:32" s="10" customFormat="1" ht="13.15" hidden="1" customHeight="1" outlineLevel="3" collapsed="1" x14ac:dyDescent="0.2">
      <c r="A193" s="227"/>
      <c r="B193" s="228" t="s">
        <v>3</v>
      </c>
      <c r="C193" s="229" t="str">
        <f t="shared" si="75"/>
        <v/>
      </c>
      <c r="D193" s="227" t="str">
        <f t="shared" ca="1" si="120"/>
        <v>02.001.003</v>
      </c>
      <c r="E193" s="228" t="str">
        <f t="shared" ref="E193:E195" ca="1" si="135">IF(B193="*","",IFERROR(IF(B193="SERVIÇO",D193,OFFSET(E193,-1,0)),""))</f>
        <v>02.001.002.001</v>
      </c>
      <c r="F193" s="230">
        <f ca="1">IF($B193="UNIDADE CONSTRUTIVA",OFFSET(F193,-1,0)+1,LARGE(F$10:F192,1))</f>
        <v>2</v>
      </c>
      <c r="G193" s="228" t="str">
        <f t="shared" ca="1" si="124"/>
        <v xml:space="preserve">   GERENCIAMENTO EXECUTIVO</v>
      </c>
      <c r="H193" s="230">
        <f t="shared" ref="H193:H195" ca="1" si="136">IF(B193="UNIDADE CONSTRUTIVA",0,IF(B193="CÉLULA CONSTRUTIVA",OFFSET(H193,-1,0)+1,OFFSET(H193,-1,0)))</f>
        <v>2</v>
      </c>
      <c r="I193" s="228" t="str">
        <f t="shared" ca="1" si="125"/>
        <v xml:space="preserve">   INFRAESTRUTURA</v>
      </c>
      <c r="J193" s="230">
        <f t="shared" ref="J193:J195" ca="1" si="137">IF(B193="CÉLULA CONSTRUTIVA",0,IF(B193="ETAPA",OFFSET(J193,-1,0)+1,OFFSET(J193,-1,0)))</f>
        <v>1</v>
      </c>
      <c r="K193" s="228" t="str">
        <f t="shared" ca="1" si="126"/>
        <v xml:space="preserve">   FUNDAÇÃO RASA</v>
      </c>
      <c r="L193" s="231">
        <f t="shared" ref="L193:L195" ca="1" si="138">IF(B193="ETAPA",0,IF(B193="SUBETAPA",OFFSET(L193,-1,0)+1,OFFSET(L193,-1,0)))</f>
        <v>3</v>
      </c>
      <c r="M193" s="228" t="str">
        <f t="shared" ca="1" si="127"/>
        <v xml:space="preserve">   Concreto Apropriada</v>
      </c>
      <c r="N193" s="231">
        <f t="shared" ref="N193:N195" ca="1" si="139">IF(B193="Subetapa",0,IF(B193="serviço",OFFSET(N193,-1,0)+1,OFFSET(N193,-1,0)))</f>
        <v>0</v>
      </c>
      <c r="O193" s="228" t="str">
        <f t="shared" ca="1" si="128"/>
        <v>Armacao Média para Infraestrutura</v>
      </c>
      <c r="P193" s="232" t="str">
        <f>IF(S193="","",IF(Orçamento!$B193="INSUMO",S193,""))</f>
        <v/>
      </c>
      <c r="Q193" s="244" t="str">
        <f t="shared" si="121"/>
        <v/>
      </c>
      <c r="R193" s="234">
        <f t="shared" ca="1" si="122"/>
        <v>1</v>
      </c>
      <c r="S193" s="233" t="s">
        <v>1212</v>
      </c>
      <c r="T193" s="242" t="s">
        <v>35</v>
      </c>
      <c r="U193" s="235" t="str">
        <f>IF($B193="insumo",R193,"")</f>
        <v/>
      </c>
      <c r="V193" s="320" t="s">
        <v>35</v>
      </c>
      <c r="W193" s="236" t="str">
        <f>IFERROR(IF(B193="INSUMO",_xlfn.XLOOKUP(S193,Insumos!A:A,Insumos!C:C),""),"Inserir Preço")</f>
        <v/>
      </c>
      <c r="X193" s="235" t="str">
        <f t="shared" ca="1" si="123"/>
        <v/>
      </c>
      <c r="Y193" s="236" t="str">
        <f t="shared" si="100"/>
        <v/>
      </c>
      <c r="Z193" s="237">
        <f t="shared" ca="1" si="77"/>
        <v>75566.564785471885</v>
      </c>
      <c r="AA193" s="238"/>
      <c r="AB193" s="233" t="str">
        <f>IF(B193="insumo",_xlfn.XLOOKUP(S193,Insumos!A:A,Insumos!D:D),"")</f>
        <v/>
      </c>
      <c r="AC193" s="239">
        <f t="shared" ca="1" si="78"/>
        <v>1.0840712674302132E-2</v>
      </c>
      <c r="AE193" s="240">
        <f ca="1">IFERROR(IF(OR(Z193="",Z193=0),"",IF(AF193="","",IF(AF193="R$/mês",Z193/OBRA!$D$12,IF(AF193="R$/m²",Z193/OBRA!$D$10,IF(AF193="R$/apto",Orçamento!Z193/OBRA!$D$11,""))))),"")</f>
        <v>38.887092513738409</v>
      </c>
      <c r="AF193" s="241" t="s">
        <v>154</v>
      </c>
    </row>
    <row r="194" spans="1:32" s="10" customFormat="1" ht="13.15" hidden="1" customHeight="1" outlineLevel="4" x14ac:dyDescent="0.2">
      <c r="A194" s="227"/>
      <c r="B194" s="228" t="s">
        <v>4</v>
      </c>
      <c r="C194" s="229">
        <f t="shared" si="75"/>
        <v>1</v>
      </c>
      <c r="D194" s="227" t="str">
        <f t="shared" ca="1" si="120"/>
        <v>02.001.003.001</v>
      </c>
      <c r="E194" s="228" t="str">
        <f t="shared" ca="1" si="135"/>
        <v>02.001.003.001</v>
      </c>
      <c r="F194" s="230">
        <f ca="1">IF($B194="UNIDADE CONSTRUTIVA",OFFSET(F194,-1,0)+1,LARGE(F$10:F193,1))</f>
        <v>2</v>
      </c>
      <c r="G194" s="228" t="str">
        <f t="shared" ca="1" si="124"/>
        <v xml:space="preserve">   GERENCIAMENTO EXECUTIVO</v>
      </c>
      <c r="H194" s="230">
        <f t="shared" ca="1" si="136"/>
        <v>2</v>
      </c>
      <c r="I194" s="228" t="str">
        <f t="shared" ca="1" si="125"/>
        <v xml:space="preserve">   INFRAESTRUTURA</v>
      </c>
      <c r="J194" s="230">
        <f t="shared" ca="1" si="137"/>
        <v>1</v>
      </c>
      <c r="K194" s="228" t="str">
        <f t="shared" ca="1" si="126"/>
        <v xml:space="preserve">   FUNDAÇÃO RASA</v>
      </c>
      <c r="L194" s="231">
        <f t="shared" ca="1" si="138"/>
        <v>3</v>
      </c>
      <c r="M194" s="228" t="str">
        <f t="shared" ca="1" si="127"/>
        <v xml:space="preserve">   Concreto Apropriada</v>
      </c>
      <c r="N194" s="231">
        <f t="shared" ca="1" si="139"/>
        <v>1</v>
      </c>
      <c r="O194" s="228" t="str">
        <f t="shared" ca="1" si="128"/>
        <v>Concreto usinado Para Infraestrututera</v>
      </c>
      <c r="P194" s="232" t="str">
        <f>IF(S194="","",IF(Orçamento!$B194="INSUMO",S194,""))</f>
        <v/>
      </c>
      <c r="Q194" s="244" t="str">
        <f t="shared" si="121"/>
        <v>Concreto usinado Para Infraestrututera</v>
      </c>
      <c r="R194" s="234">
        <f t="shared" ca="1" si="122"/>
        <v>1</v>
      </c>
      <c r="S194" s="233" t="s">
        <v>1207</v>
      </c>
      <c r="T194" s="242" t="s">
        <v>170</v>
      </c>
      <c r="U194" s="235">
        <v>1</v>
      </c>
      <c r="V194" s="320" t="s">
        <v>35</v>
      </c>
      <c r="W194" s="236" t="str">
        <f>IFERROR(IF(B194="INSUMO",_xlfn.XLOOKUP(S194,Insumos!A:A,Insumos!C:C),""),"Inserir Preço")</f>
        <v/>
      </c>
      <c r="X194" s="235">
        <f t="shared" ca="1" si="123"/>
        <v>1</v>
      </c>
      <c r="Y194" s="236">
        <f t="shared" ca="1" si="100"/>
        <v>75566.564785471885</v>
      </c>
      <c r="Z194" s="237">
        <f t="shared" ca="1" si="77"/>
        <v>75566.564785471885</v>
      </c>
      <c r="AA194" s="238"/>
      <c r="AB194" s="233" t="str">
        <f>IF(B194="insumo",_xlfn.XLOOKUP(S194,Insumos!A:A,Insumos!D:D),"")</f>
        <v/>
      </c>
      <c r="AC194" s="239">
        <f t="shared" ca="1" si="78"/>
        <v>1.0840712674302132E-2</v>
      </c>
      <c r="AE194" s="240">
        <f ca="1">IFERROR(IF(OR(Z194="",Z194=0),"",IF(AF194="","",IF(AF194="R$/mês",Z194/OBRA!$D$12,IF(AF194="R$/m²",Z194/OBRA!$D$10,IF(AF194="R$/apto",Orçamento!Z194/OBRA!$D$11,""))))),"")</f>
        <v>38.887092513738409</v>
      </c>
      <c r="AF194" s="241" t="s">
        <v>154</v>
      </c>
    </row>
    <row r="195" spans="1:32" s="10" customFormat="1" ht="13.15" hidden="1" customHeight="1" outlineLevel="4" x14ac:dyDescent="0.2">
      <c r="A195" s="227"/>
      <c r="B195" s="228" t="s">
        <v>19</v>
      </c>
      <c r="C195" s="229">
        <f t="shared" si="75"/>
        <v>1</v>
      </c>
      <c r="D195" s="227" t="str">
        <f t="shared" si="120"/>
        <v/>
      </c>
      <c r="E195" s="228" t="str">
        <f t="shared" ca="1" si="135"/>
        <v>02.001.003.001</v>
      </c>
      <c r="F195" s="230">
        <f ca="1">IF($B195="UNIDADE CONSTRUTIVA",OFFSET(F195,-1,0)+1,LARGE(F$10:F194,1))</f>
        <v>2</v>
      </c>
      <c r="G195" s="228" t="str">
        <f t="shared" ca="1" si="124"/>
        <v xml:space="preserve">   GERENCIAMENTO EXECUTIVO</v>
      </c>
      <c r="H195" s="230">
        <f t="shared" ca="1" si="136"/>
        <v>2</v>
      </c>
      <c r="I195" s="228" t="str">
        <f t="shared" ca="1" si="125"/>
        <v xml:space="preserve">   INFRAESTRUTURA</v>
      </c>
      <c r="J195" s="230">
        <f t="shared" ca="1" si="137"/>
        <v>1</v>
      </c>
      <c r="K195" s="228" t="str">
        <f t="shared" ca="1" si="126"/>
        <v xml:space="preserve">   FUNDAÇÃO RASA</v>
      </c>
      <c r="L195" s="231">
        <f t="shared" ca="1" si="138"/>
        <v>3</v>
      </c>
      <c r="M195" s="228" t="str">
        <f t="shared" ca="1" si="127"/>
        <v xml:space="preserve">   Concreto Apropriada</v>
      </c>
      <c r="N195" s="231">
        <f t="shared" ca="1" si="139"/>
        <v>1</v>
      </c>
      <c r="O195" s="228" t="str">
        <f t="shared" ca="1" si="128"/>
        <v>Concreto usinado Para Infraestrututera</v>
      </c>
      <c r="P195" s="232" t="str">
        <f>IF(S195="","",IF(Orçamento!$B195="INSUMO",S195,""))</f>
        <v>CONCRETO USINADO PARA FUNDAÇÃO</v>
      </c>
      <c r="Q195" s="244" t="str">
        <f t="shared" si="121"/>
        <v/>
      </c>
      <c r="R195" s="234">
        <f t="shared" ca="1" si="122"/>
        <v>1</v>
      </c>
      <c r="S195" s="233" t="s">
        <v>1205</v>
      </c>
      <c r="T195" s="242" t="str">
        <f>_xlfn.XLOOKUP(S195,Insumos!$A$3:$A$371,Insumos!$B$3:$B$371)</f>
        <v>VB</v>
      </c>
      <c r="U195" s="235">
        <f ca="1">IF($B195="insumo",R195,"")</f>
        <v>1</v>
      </c>
      <c r="V195" s="320">
        <v>1</v>
      </c>
      <c r="W195" s="236">
        <f>IFERROR(IF(B195="INSUMO",_xlfn.XLOOKUP(S195,Insumos!A:A,Insumos!C:C),""),"Inserir Preço")</f>
        <v>75566.564785471885</v>
      </c>
      <c r="X195" s="235">
        <f t="shared" ca="1" si="123"/>
        <v>1</v>
      </c>
      <c r="Y195" s="236">
        <f t="shared" si="100"/>
        <v>75566.564785471885</v>
      </c>
      <c r="Z195" s="237">
        <f t="shared" ca="1" si="77"/>
        <v>75566.564785471885</v>
      </c>
      <c r="AA195" s="238"/>
      <c r="AB195" s="233" t="str">
        <f>IF(B195="insumo",_xlfn.XLOOKUP(S195,Insumos!A:A,Insumos!D:D),"")</f>
        <v>Balancete</v>
      </c>
      <c r="AC195" s="239">
        <f t="shared" ca="1" si="78"/>
        <v>1.0840712674302132E-2</v>
      </c>
      <c r="AE195" s="240">
        <f ca="1">IFERROR(IF(OR(Z195="",Z195=0),"",IF(AF195="","",IF(AF195="R$/mês",Z195/OBRA!$D$12,IF(AF195="R$/m²",Z195/OBRA!$D$10,IF(AF195="R$/apto",Orçamento!Z195/OBRA!$D$11,""))))),"")</f>
        <v>38.887092513738409</v>
      </c>
      <c r="AF195" s="241" t="s">
        <v>154</v>
      </c>
    </row>
    <row r="196" spans="1:32" s="10" customFormat="1" ht="13.15" hidden="1" customHeight="1" outlineLevel="3" collapsed="1" x14ac:dyDescent="0.2">
      <c r="A196" s="227"/>
      <c r="B196" s="228" t="s">
        <v>3</v>
      </c>
      <c r="C196" s="229" t="str">
        <f t="shared" si="75"/>
        <v/>
      </c>
      <c r="D196" s="227" t="str">
        <f t="shared" ca="1" si="120"/>
        <v>02.001.004</v>
      </c>
      <c r="E196" s="228" t="str">
        <f t="shared" ref="E196:E209" ca="1" si="140">IF(B196="*","",IFERROR(IF(B196="SERVIÇO",D196,OFFSET(E196,-1,0)),""))</f>
        <v>02.001.003.001</v>
      </c>
      <c r="F196" s="230">
        <f ca="1">IF($B196="UNIDADE CONSTRUTIVA",OFFSET(F196,-1,0)+1,LARGE(F$10:F195,1))</f>
        <v>2</v>
      </c>
      <c r="G196" s="228" t="str">
        <f t="shared" ca="1" si="124"/>
        <v xml:space="preserve">   GERENCIAMENTO EXECUTIVO</v>
      </c>
      <c r="H196" s="230">
        <f t="shared" ref="H196:H209" ca="1" si="141">IF(B196="UNIDADE CONSTRUTIVA",0,IF(B196="CÉLULA CONSTRUTIVA",OFFSET(H196,-1,0)+1,OFFSET(H196,-1,0)))</f>
        <v>2</v>
      </c>
      <c r="I196" s="228" t="str">
        <f t="shared" ca="1" si="125"/>
        <v xml:space="preserve">   INFRAESTRUTURA</v>
      </c>
      <c r="J196" s="230">
        <f t="shared" ref="J196:J209" ca="1" si="142">IF(B196="CÉLULA CONSTRUTIVA",0,IF(B196="ETAPA",OFFSET(J196,-1,0)+1,OFFSET(J196,-1,0)))</f>
        <v>1</v>
      </c>
      <c r="K196" s="228" t="str">
        <f t="shared" ca="1" si="126"/>
        <v xml:space="preserve">   FUNDAÇÃO RASA</v>
      </c>
      <c r="L196" s="231">
        <f t="shared" ref="L196:L209" ca="1" si="143">IF(B196="ETAPA",0,IF(B196="SUBETAPA",OFFSET(L196,-1,0)+1,OFFSET(L196,-1,0)))</f>
        <v>4</v>
      </c>
      <c r="M196" s="228" t="str">
        <f t="shared" ca="1" si="127"/>
        <v xml:space="preserve">   Mão de Obra</v>
      </c>
      <c r="N196" s="231">
        <f t="shared" ref="N196:N209" ca="1" si="144">IF(B196="Subetapa",0,IF(B196="serviço",OFFSET(N196,-1,0)+1,OFFSET(N196,-1,0)))</f>
        <v>0</v>
      </c>
      <c r="O196" s="228" t="str">
        <f t="shared" ca="1" si="128"/>
        <v>Concreto usinado Para Infraestrututera</v>
      </c>
      <c r="P196" s="232" t="str">
        <f>IF(S196="","",IF(Orçamento!$B196="INSUMO",S196,""))</f>
        <v/>
      </c>
      <c r="Q196" s="244" t="str">
        <f t="shared" si="121"/>
        <v/>
      </c>
      <c r="R196" s="234">
        <f ca="1">IF(B196="serviço",U196,OFFSET(R196,-1,0))</f>
        <v>1</v>
      </c>
      <c r="S196" s="233" t="s">
        <v>438</v>
      </c>
      <c r="T196" s="242" t="s">
        <v>35</v>
      </c>
      <c r="U196" s="235" t="str">
        <f>IF($B196="insumo",R196,"")</f>
        <v/>
      </c>
      <c r="V196" s="320" t="s">
        <v>35</v>
      </c>
      <c r="W196" s="236" t="str">
        <f>IFERROR(IF(B196="INSUMO",_xlfn.XLOOKUP(S196,Insumos!A:A,Insumos!C:C),""),"Inserir Preço")</f>
        <v/>
      </c>
      <c r="X196" s="235" t="str">
        <f t="shared" ca="1" si="123"/>
        <v/>
      </c>
      <c r="Y196" s="236" t="str">
        <f t="shared" si="100"/>
        <v/>
      </c>
      <c r="Z196" s="237">
        <f t="shared" ca="1" si="77"/>
        <v>182850</v>
      </c>
      <c r="AA196" s="238"/>
      <c r="AB196" s="233" t="str">
        <f>IF(B196="insumo",_xlfn.XLOOKUP(S196,Insumos!A:A,Insumos!D:D),"")</f>
        <v/>
      </c>
      <c r="AC196" s="239">
        <f t="shared" ca="1" si="78"/>
        <v>2.6231499580846886E-2</v>
      </c>
      <c r="AE196" s="240">
        <f ca="1">IFERROR(IF(OR(Z196="",Z196=0),"",IF(AF196="","",IF(AF196="R$/mês",Z196/OBRA!$D$12,IF(AF196="R$/m²",Z196/OBRA!$D$10,IF(AF196="R$/apto",Orçamento!Z196/OBRA!$D$11,""))))),"")</f>
        <v>94.09591247562048</v>
      </c>
      <c r="AF196" s="241" t="s">
        <v>154</v>
      </c>
    </row>
    <row r="197" spans="1:32" s="10" customFormat="1" ht="13.15" hidden="1" customHeight="1" outlineLevel="4" x14ac:dyDescent="0.2">
      <c r="A197" s="227"/>
      <c r="B197" s="228" t="s">
        <v>4</v>
      </c>
      <c r="C197" s="229">
        <f t="shared" si="75"/>
        <v>1</v>
      </c>
      <c r="D197" s="227" t="str">
        <f t="shared" ca="1" si="120"/>
        <v>02.001.004.001</v>
      </c>
      <c r="E197" s="228" t="str">
        <f t="shared" ca="1" si="140"/>
        <v>02.001.004.001</v>
      </c>
      <c r="F197" s="230">
        <f ca="1">IF($B197="UNIDADE CONSTRUTIVA",OFFSET(F197,-1,0)+1,LARGE(F$10:F196,1))</f>
        <v>2</v>
      </c>
      <c r="G197" s="228" t="str">
        <f t="shared" ca="1" si="124"/>
        <v xml:space="preserve">   GERENCIAMENTO EXECUTIVO</v>
      </c>
      <c r="H197" s="230">
        <f t="shared" ca="1" si="141"/>
        <v>2</v>
      </c>
      <c r="I197" s="228" t="str">
        <f t="shared" ca="1" si="125"/>
        <v xml:space="preserve">   INFRAESTRUTURA</v>
      </c>
      <c r="J197" s="230">
        <f t="shared" ca="1" si="142"/>
        <v>1</v>
      </c>
      <c r="K197" s="228" t="str">
        <f t="shared" ca="1" si="126"/>
        <v xml:space="preserve">   FUNDAÇÃO RASA</v>
      </c>
      <c r="L197" s="231">
        <f t="shared" ca="1" si="143"/>
        <v>4</v>
      </c>
      <c r="M197" s="228" t="str">
        <f t="shared" ca="1" si="127"/>
        <v xml:space="preserve">   Mão de Obra</v>
      </c>
      <c r="N197" s="231">
        <f t="shared" ca="1" si="144"/>
        <v>1</v>
      </c>
      <c r="O197" s="228" t="str">
        <f t="shared" ca="1" si="128"/>
        <v>Mao de obra - para execucao de infraestrutura</v>
      </c>
      <c r="P197" s="232" t="str">
        <f>IF(S197="","",IF(Orçamento!$B197="INSUMO",S197,""))</f>
        <v/>
      </c>
      <c r="Q197" s="244" t="str">
        <f t="shared" si="121"/>
        <v>Mao de obra - para execucao de infraestrutura</v>
      </c>
      <c r="R197" s="234">
        <f ca="1">IF(B197="serviço",U197,OFFSET(R197,-1,0))</f>
        <v>1</v>
      </c>
      <c r="S197" s="233" t="s">
        <v>1166</v>
      </c>
      <c r="T197" s="242" t="s">
        <v>140</v>
      </c>
      <c r="U197" s="235">
        <f>$U$188</f>
        <v>1</v>
      </c>
      <c r="V197" s="320" t="s">
        <v>35</v>
      </c>
      <c r="W197" s="236" t="str">
        <f>IFERROR(IF(B197="INSUMO",_xlfn.XLOOKUP(S197,Insumos!A:A,Insumos!C:C),""),"Inserir Preço")</f>
        <v/>
      </c>
      <c r="X197" s="235">
        <f t="shared" ca="1" si="123"/>
        <v>1</v>
      </c>
      <c r="Y197" s="236">
        <f t="shared" ca="1" si="100"/>
        <v>182850</v>
      </c>
      <c r="Z197" s="237">
        <f t="shared" ca="1" si="77"/>
        <v>182850</v>
      </c>
      <c r="AA197" s="238"/>
      <c r="AB197" s="233" t="str">
        <f>IF(B197="insumo",_xlfn.XLOOKUP(S197,Insumos!A:A,Insumos!D:D),"")</f>
        <v/>
      </c>
      <c r="AC197" s="239">
        <f t="shared" ca="1" si="78"/>
        <v>2.6231499580846886E-2</v>
      </c>
      <c r="AE197" s="240">
        <f ca="1">IFERROR(IF(OR(Z197="",Z197=0),"",IF(AF197="","",IF(AF197="R$/mês",Z197/OBRA!$D$12,IF(AF197="R$/m²",Z197/OBRA!$D$10,IF(AF197="R$/apto",Orçamento!Z197/OBRA!$D$11,""))))),"")</f>
        <v>94.09591247562048</v>
      </c>
      <c r="AF197" s="241" t="s">
        <v>154</v>
      </c>
    </row>
    <row r="198" spans="1:32" s="10" customFormat="1" ht="13.15" hidden="1" customHeight="1" outlineLevel="4" x14ac:dyDescent="0.2">
      <c r="A198" s="227"/>
      <c r="B198" s="228" t="s">
        <v>19</v>
      </c>
      <c r="C198" s="229">
        <f t="shared" si="75"/>
        <v>1</v>
      </c>
      <c r="D198" s="227" t="str">
        <f t="shared" si="120"/>
        <v/>
      </c>
      <c r="E198" s="228" t="str">
        <f t="shared" ca="1" si="140"/>
        <v>02.001.004.001</v>
      </c>
      <c r="F198" s="230">
        <f ca="1">IF($B198="UNIDADE CONSTRUTIVA",OFFSET(F198,-1,0)+1,LARGE(F$10:F197,1))</f>
        <v>2</v>
      </c>
      <c r="G198" s="228" t="str">
        <f t="shared" ca="1" si="124"/>
        <v xml:space="preserve">   GERENCIAMENTO EXECUTIVO</v>
      </c>
      <c r="H198" s="230">
        <f t="shared" ca="1" si="141"/>
        <v>2</v>
      </c>
      <c r="I198" s="228" t="str">
        <f t="shared" ca="1" si="125"/>
        <v xml:space="preserve">   INFRAESTRUTURA</v>
      </c>
      <c r="J198" s="230">
        <f t="shared" ca="1" si="142"/>
        <v>1</v>
      </c>
      <c r="K198" s="228" t="str">
        <f t="shared" ca="1" si="126"/>
        <v xml:space="preserve">   FUNDAÇÃO RASA</v>
      </c>
      <c r="L198" s="231">
        <f t="shared" ca="1" si="143"/>
        <v>4</v>
      </c>
      <c r="M198" s="228" t="str">
        <f t="shared" ca="1" si="127"/>
        <v xml:space="preserve">   Mão de Obra</v>
      </c>
      <c r="N198" s="231">
        <f t="shared" ca="1" si="144"/>
        <v>1</v>
      </c>
      <c r="O198" s="228" t="str">
        <f t="shared" ca="1" si="128"/>
        <v>Mao de obra - para execucao de infraestrutura</v>
      </c>
      <c r="P198" s="232" t="str">
        <f>IF(S198="","",IF(Orçamento!$B198="INSUMO",S198,""))</f>
        <v>MAO DE OBRA PARA EXECUCAO DE INFRAESTRUTURA</v>
      </c>
      <c r="Q198" s="244" t="str">
        <f t="shared" si="121"/>
        <v/>
      </c>
      <c r="R198" s="234">
        <f ca="1">IF(B198="serviço",U198,OFFSET(R198,-1,0))</f>
        <v>1</v>
      </c>
      <c r="S198" s="233" t="s">
        <v>185</v>
      </c>
      <c r="T198" s="242" t="str">
        <f>_xlfn.XLOOKUP(S198,Insumos!$A$3:$A$371,Insumos!$B$3:$B$371)</f>
        <v>M2</v>
      </c>
      <c r="U198" s="235">
        <f ca="1">IF($B198="insumo",R198,"")</f>
        <v>1</v>
      </c>
      <c r="V198" s="320">
        <v>1</v>
      </c>
      <c r="W198" s="236">
        <f>IFERROR(IF(B198="INSUMO",_xlfn.XLOOKUP(S198,Insumos!A:A,Insumos!C:C),""),"Inserir Preço")</f>
        <v>182850</v>
      </c>
      <c r="X198" s="235">
        <f t="shared" ca="1" si="123"/>
        <v>1</v>
      </c>
      <c r="Y198" s="236">
        <f t="shared" si="100"/>
        <v>182850</v>
      </c>
      <c r="Z198" s="237">
        <f t="shared" ca="1" si="77"/>
        <v>182850</v>
      </c>
      <c r="AA198" s="238"/>
      <c r="AB198" s="233" t="str">
        <f>IF(B198="insumo",_xlfn.XLOOKUP(S198,Insumos!A:A,Insumos!D:D),"")</f>
        <v>Aba Custo Serviços</v>
      </c>
      <c r="AC198" s="239">
        <f t="shared" ca="1" si="78"/>
        <v>2.6231499580846886E-2</v>
      </c>
      <c r="AE198" s="240">
        <f ca="1">IFERROR(IF(OR(Z198="",Z198=0),"",IF(AF198="","",IF(AF198="R$/mês",Z198/OBRA!$D$12,IF(AF198="R$/m²",Z198/OBRA!$D$10,IF(AF198="R$/apto",Orçamento!Z198/OBRA!$D$11,""))))),"")</f>
        <v>94.09591247562048</v>
      </c>
      <c r="AF198" s="241" t="s">
        <v>154</v>
      </c>
    </row>
    <row r="199" spans="1:32" s="10" customFormat="1" ht="13.15" customHeight="1" outlineLevel="1" x14ac:dyDescent="0.2">
      <c r="A199" s="227"/>
      <c r="B199" s="228" t="s">
        <v>1</v>
      </c>
      <c r="C199" s="229" t="str">
        <f t="shared" si="75"/>
        <v/>
      </c>
      <c r="D199" s="227" t="str">
        <f t="shared" ref="D199:D231" ca="1" si="145">IF(B199="Unidade Construtiva",TEXT(F199,"00"),IF(B199="Célula Construtiva",TEXT(H199,"00"),IF(B199="Etapa",CONCATENATE(TEXT(H199,"00"),".",TEXT(J199,"000")),IF(B199="Subetapa",CONCATENATE(TEXT(H199,"00"),".",TEXT(J199,"000"),".",TEXT(L199,"000")),IF(B199="Serviço",CONCATENATE(TEXT(H199,"00"),".",TEXT(J199,"000"),".",TEXT(L199,"000"),".",TEXT(N199,"000")),"")))))</f>
        <v>03</v>
      </c>
      <c r="E199" s="228" t="str">
        <f ca="1">IF(B199="*","",IFERROR(IF(B199="SERVIÇO",D199,OFFSET(E199,-1,0)),""))</f>
        <v>02.001.004.001</v>
      </c>
      <c r="F199" s="230">
        <f ca="1">IF($B199="UNIDADE CONSTRUTIVA",OFFSET(F199,-1,0)+1,LARGE(F$10:F198,1))</f>
        <v>2</v>
      </c>
      <c r="G199" s="228" t="str">
        <f t="shared" ca="1" si="124"/>
        <v xml:space="preserve">   GERENCIAMENTO EXECUTIVO</v>
      </c>
      <c r="H199" s="230">
        <f ca="1">IF(B199="UNIDADE CONSTRUTIVA",0,IF(B199="CÉLULA CONSTRUTIVA",OFFSET(H199,-1,0)+1,OFFSET(H199,-1,0)))</f>
        <v>3</v>
      </c>
      <c r="I199" s="228" t="str">
        <f t="shared" ca="1" si="125"/>
        <v xml:space="preserve">   CONTENÇÕES</v>
      </c>
      <c r="J199" s="230">
        <f ca="1">IF(B199="CÉLULA CONSTRUTIVA",0,IF(B199="ETAPA",OFFSET(J199,-1,0)+1,OFFSET(J199,-1,0)))</f>
        <v>0</v>
      </c>
      <c r="K199" s="228" t="str">
        <f t="shared" ca="1" si="126"/>
        <v xml:space="preserve">   FUNDAÇÃO RASA</v>
      </c>
      <c r="L199" s="231">
        <f ca="1">IF(B199="ETAPA",0,IF(B199="SUBETAPA",OFFSET(L199,-1,0)+1,OFFSET(L199,-1,0)))</f>
        <v>4</v>
      </c>
      <c r="M199" s="228" t="str">
        <f t="shared" ca="1" si="127"/>
        <v xml:space="preserve">   Mão de Obra</v>
      </c>
      <c r="N199" s="231">
        <f ca="1">IF(B199="Subetapa",0,IF(B199="serviço",OFFSET(N199,-1,0)+1,OFFSET(N199,-1,0)))</f>
        <v>1</v>
      </c>
      <c r="O199" s="228" t="str">
        <f t="shared" ca="1" si="128"/>
        <v>Mao de obra - para execucao de infraestrutura</v>
      </c>
      <c r="P199" s="232" t="str">
        <f>IF(S199="","",IF(Orçamento!$B199="INSUMO",S199,""))</f>
        <v/>
      </c>
      <c r="Q199" s="244" t="str">
        <f t="shared" ref="Q199:Q231" si="146">IF(B199="","",IF(B199="Serviço",S199,""))</f>
        <v/>
      </c>
      <c r="R199" s="234">
        <f t="shared" ref="R199:R231" ca="1" si="147">IF(B199="serviço",U199,OFFSET(R199,-1,0))</f>
        <v>1</v>
      </c>
      <c r="S199" s="233" t="s">
        <v>944</v>
      </c>
      <c r="T199" s="242" t="s">
        <v>35</v>
      </c>
      <c r="U199" s="235" t="str">
        <f>IF($B199="insumo",R199,"")</f>
        <v/>
      </c>
      <c r="V199" s="320" t="s">
        <v>35</v>
      </c>
      <c r="W199" s="236" t="str">
        <f>IFERROR(IF(B199="INSUMO",_xlfn.XLOOKUP(S199,Insumos!A:A,Insumos!C:C),""),"Inserir Preço")</f>
        <v/>
      </c>
      <c r="X199" s="235" t="str">
        <f t="shared" ref="X199:X231" ca="1" si="148">IF(B199="Complemento do insumo",V199,IF(R199="","",IF(B199="serviço",R199,IF(OR(B199="insumo"),V199*R199,""))))</f>
        <v/>
      </c>
      <c r="Y199" s="236" t="str">
        <f t="shared" si="100"/>
        <v/>
      </c>
      <c r="Z199" s="237">
        <f t="shared" ca="1" si="77"/>
        <v>153734.23109498306</v>
      </c>
      <c r="AA199" s="238"/>
      <c r="AB199" s="233" t="str">
        <f>IF(B199="insumo",_xlfn.XLOOKUP(S199,Insumos!A:A,Insumos!D:D),"")</f>
        <v/>
      </c>
      <c r="AC199" s="239">
        <f t="shared" ca="1" si="78"/>
        <v>2.2054577077002278E-2</v>
      </c>
      <c r="AE199" s="240">
        <f ca="1">IFERROR(IF(OR(Z199="",Z199=0),"",IF(AF199="","",IF(AF199="R$/mês",Z199/OBRA!$D$12,IF(AF199="R$/m²",Z199/OBRA!$D$10,IF(AF199="R$/apto",Orçamento!Z199/OBRA!$D$11,""))))),"")</f>
        <v>79.11273039989247</v>
      </c>
      <c r="AF199" s="241" t="s">
        <v>154</v>
      </c>
    </row>
    <row r="200" spans="1:32" s="10" customFormat="1" ht="13.15" customHeight="1" outlineLevel="2" collapsed="1" x14ac:dyDescent="0.2">
      <c r="A200" s="227"/>
      <c r="B200" s="228" t="s">
        <v>2</v>
      </c>
      <c r="C200" s="229" t="str">
        <f t="shared" si="75"/>
        <v/>
      </c>
      <c r="D200" s="227" t="str">
        <f t="shared" ca="1" si="145"/>
        <v>03.001</v>
      </c>
      <c r="E200" s="228" t="str">
        <f t="shared" ca="1" si="140"/>
        <v>02.001.004.001</v>
      </c>
      <c r="F200" s="230">
        <f ca="1">IF($B200="UNIDADE CONSTRUTIVA",OFFSET(F200,-1,0)+1,LARGE(F$10:F199,1))</f>
        <v>2</v>
      </c>
      <c r="G200" s="228" t="str">
        <f t="shared" ref="G200:G231" ca="1" si="149">IF(B200="*","",IF(B200="UNIDADE CONSTRUTIVA",S200,OFFSET(G200,-1,0)))</f>
        <v xml:space="preserve">   GERENCIAMENTO EXECUTIVO</v>
      </c>
      <c r="H200" s="230">
        <f t="shared" ca="1" si="141"/>
        <v>3</v>
      </c>
      <c r="I200" s="228" t="str">
        <f t="shared" ref="I200:I231" ca="1" si="150">IF(B200="*","",IF(B200="CÉLULA CONSTRUTIVA",S200,OFFSET(I200,-1,0)))</f>
        <v xml:space="preserve">   CONTENÇÕES</v>
      </c>
      <c r="J200" s="230">
        <f t="shared" ca="1" si="142"/>
        <v>1</v>
      </c>
      <c r="K200" s="228" t="str">
        <f t="shared" ref="K200:K231" ca="1" si="151">IF(B200="*","",IF(B200="ETAPA",S200,OFFSET(K200,-1,0)))</f>
        <v xml:space="preserve">   CONTENÇÃO</v>
      </c>
      <c r="L200" s="231">
        <f t="shared" ca="1" si="143"/>
        <v>0</v>
      </c>
      <c r="M200" s="228" t="str">
        <f t="shared" ref="M200:M231" ca="1" si="152">IF(B200="*","",IF(B200="SUBETAPA",S200,OFFSET(M200,-1,0)))</f>
        <v xml:space="preserve">   Mão de Obra</v>
      </c>
      <c r="N200" s="231">
        <f t="shared" ca="1" si="144"/>
        <v>1</v>
      </c>
      <c r="O200" s="228" t="str">
        <f t="shared" ref="O200:O231" ca="1" si="153">IF(B200="*","",IF(B200="SERVIÇO",S200,OFFSET(O200,-1,0)))</f>
        <v>Mao de obra - para execucao de infraestrutura</v>
      </c>
      <c r="P200" s="232" t="str">
        <f>IF(S200="","",IF(Orçamento!$B200="INSUMO",S200,""))</f>
        <v/>
      </c>
      <c r="Q200" s="244" t="str">
        <f t="shared" si="146"/>
        <v/>
      </c>
      <c r="R200" s="234">
        <f t="shared" ca="1" si="147"/>
        <v>1</v>
      </c>
      <c r="S200" s="233" t="s">
        <v>945</v>
      </c>
      <c r="T200" s="242" t="s">
        <v>35</v>
      </c>
      <c r="U200" s="235" t="str">
        <f>IF($B200="insumo",R200,"")</f>
        <v/>
      </c>
      <c r="V200" s="320"/>
      <c r="W200" s="236" t="str">
        <f>IFERROR(IF(B200="INSUMO",_xlfn.XLOOKUP(S200,Insumos!A:A,Insumos!C:C),""),"Inserir Preço")</f>
        <v/>
      </c>
      <c r="X200" s="235" t="str">
        <f t="shared" ca="1" si="148"/>
        <v/>
      </c>
      <c r="Y200" s="236" t="str">
        <f t="shared" si="100"/>
        <v/>
      </c>
      <c r="Z200" s="237">
        <f t="shared" ca="1" si="77"/>
        <v>153734.23109498306</v>
      </c>
      <c r="AA200" s="238"/>
      <c r="AB200" s="233" t="str">
        <f>IF(B200="insumo",_xlfn.XLOOKUP(S200,Insumos!A:A,Insumos!D:D),"")</f>
        <v/>
      </c>
      <c r="AC200" s="239">
        <f t="shared" ca="1" si="78"/>
        <v>2.2054577077002278E-2</v>
      </c>
      <c r="AE200" s="240">
        <f ca="1">IFERROR(IF(OR(Z200="",Z200=0),"",IF(AF200="","",IF(AF200="R$/mês",Z200/OBRA!$D$12,IF(AF200="R$/m²",Z200/OBRA!$D$10,IF(AF200="R$/apto",Orçamento!Z200/OBRA!$D$11,""))))),"")</f>
        <v>79.11273039989247</v>
      </c>
      <c r="AF200" s="241" t="s">
        <v>154</v>
      </c>
    </row>
    <row r="201" spans="1:32" s="10" customFormat="1" ht="13.15" hidden="1" customHeight="1" outlineLevel="3" collapsed="1" x14ac:dyDescent="0.2">
      <c r="A201" s="227"/>
      <c r="B201" s="228" t="s">
        <v>3</v>
      </c>
      <c r="C201" s="229" t="str">
        <f t="shared" si="75"/>
        <v/>
      </c>
      <c r="D201" s="227" t="str">
        <f t="shared" ca="1" si="145"/>
        <v>03.001.001</v>
      </c>
      <c r="E201" s="228" t="str">
        <f t="shared" ca="1" si="140"/>
        <v>02.001.004.001</v>
      </c>
      <c r="F201" s="230">
        <f ca="1">IF($B201="UNIDADE CONSTRUTIVA",OFFSET(F201,-1,0)+1,LARGE(F$10:F200,1))</f>
        <v>2</v>
      </c>
      <c r="G201" s="228" t="str">
        <f t="shared" ca="1" si="149"/>
        <v xml:space="preserve">   GERENCIAMENTO EXECUTIVO</v>
      </c>
      <c r="H201" s="230">
        <f t="shared" ca="1" si="141"/>
        <v>3</v>
      </c>
      <c r="I201" s="228" t="str">
        <f t="shared" ca="1" si="150"/>
        <v xml:space="preserve">   CONTENÇÕES</v>
      </c>
      <c r="J201" s="230">
        <f t="shared" ca="1" si="142"/>
        <v>1</v>
      </c>
      <c r="K201" s="228" t="str">
        <f t="shared" ca="1" si="151"/>
        <v xml:space="preserve">   CONTENÇÃO</v>
      </c>
      <c r="L201" s="231">
        <f t="shared" ca="1" si="143"/>
        <v>1</v>
      </c>
      <c r="M201" s="228" t="str">
        <f t="shared" ca="1" si="152"/>
        <v xml:space="preserve">   Forma Apropriada</v>
      </c>
      <c r="N201" s="231">
        <f t="shared" ca="1" si="144"/>
        <v>0</v>
      </c>
      <c r="O201" s="228" t="str">
        <f t="shared" ca="1" si="153"/>
        <v>Mao de obra - para execucao de infraestrutura</v>
      </c>
      <c r="P201" s="232" t="str">
        <f>IF(S201="","",IF(Orçamento!$B201="INSUMO",S201,""))</f>
        <v/>
      </c>
      <c r="Q201" s="244" t="str">
        <f t="shared" si="146"/>
        <v/>
      </c>
      <c r="R201" s="234">
        <f t="shared" ca="1" si="147"/>
        <v>1</v>
      </c>
      <c r="S201" s="233" t="s">
        <v>1210</v>
      </c>
      <c r="T201" s="242" t="s">
        <v>35</v>
      </c>
      <c r="U201" s="235" t="str">
        <f>IF($B201="insumo",R201,"")</f>
        <v/>
      </c>
      <c r="V201" s="320" t="s">
        <v>35</v>
      </c>
      <c r="W201" s="236" t="str">
        <f>IFERROR(IF(B201="INSUMO",_xlfn.XLOOKUP(S201,Insumos!A:A,Insumos!C:C),""),"Inserir Preço")</f>
        <v/>
      </c>
      <c r="X201" s="235" t="str">
        <f t="shared" ca="1" si="148"/>
        <v/>
      </c>
      <c r="Y201" s="236" t="str">
        <f t="shared" si="100"/>
        <v/>
      </c>
      <c r="Z201" s="237">
        <f t="shared" ca="1" si="77"/>
        <v>13113.354609375243</v>
      </c>
      <c r="AA201" s="238"/>
      <c r="AB201" s="233" t="str">
        <f>IF(B201="insumo",_xlfn.XLOOKUP(S201,Insumos!A:A,Insumos!D:D),"")</f>
        <v/>
      </c>
      <c r="AC201" s="239">
        <f t="shared" ca="1" si="78"/>
        <v>1.8812302758508246E-3</v>
      </c>
      <c r="AE201" s="240">
        <f ca="1">IFERROR(IF(OR(Z201="",Z201=0),"",IF(AF201="","",IF(AF201="R$/mês",Z201/OBRA!$D$12,IF(AF201="R$/m²",Z201/OBRA!$D$10,IF(AF201="R$/apto",Orçamento!Z201/OBRA!$D$11,""))))),"")</f>
        <v>6.7482256909245137</v>
      </c>
      <c r="AF201" s="241" t="s">
        <v>154</v>
      </c>
    </row>
    <row r="202" spans="1:32" s="10" customFormat="1" ht="13.15" hidden="1" customHeight="1" outlineLevel="4" x14ac:dyDescent="0.2">
      <c r="A202" s="227"/>
      <c r="B202" s="228" t="s">
        <v>4</v>
      </c>
      <c r="C202" s="229">
        <f t="shared" si="75"/>
        <v>1</v>
      </c>
      <c r="D202" s="227" t="str">
        <f t="shared" ref="D202:D209" ca="1" si="154">IF(B202="Unidade Construtiva",TEXT(F202,"00"),IF(B202="Célula Construtiva",TEXT(H202,"00"),IF(B202="Etapa",CONCATENATE(TEXT(H202,"00"),".",TEXT(J202,"000")),IF(B202="Subetapa",CONCATENATE(TEXT(H202,"00"),".",TEXT(J202,"000"),".",TEXT(L202,"000")),IF(B202="Serviço",CONCATENATE(TEXT(H202,"00"),".",TEXT(J202,"000"),".",TEXT(L202,"000"),".",TEXT(N202,"000")),"")))))</f>
        <v>03.001.001.001</v>
      </c>
      <c r="E202" s="228" t="str">
        <f t="shared" ca="1" si="140"/>
        <v>03.001.001.001</v>
      </c>
      <c r="F202" s="230">
        <f ca="1">IF($B202="UNIDADE CONSTRUTIVA",OFFSET(F202,-1,0)+1,LARGE(F$10:F197,1))</f>
        <v>2</v>
      </c>
      <c r="G202" s="228" t="str">
        <f t="shared" ref="G202:G209" ca="1" si="155">IF(B202="*","",IF(B202="UNIDADE CONSTRUTIVA",S202,OFFSET(G202,-1,0)))</f>
        <v xml:space="preserve">   GERENCIAMENTO EXECUTIVO</v>
      </c>
      <c r="H202" s="230">
        <f t="shared" ca="1" si="141"/>
        <v>3</v>
      </c>
      <c r="I202" s="228" t="str">
        <f t="shared" ref="I202:I209" ca="1" si="156">IF(B202="*","",IF(B202="CÉLULA CONSTRUTIVA",S202,OFFSET(I202,-1,0)))</f>
        <v xml:space="preserve">   CONTENÇÕES</v>
      </c>
      <c r="J202" s="230">
        <f t="shared" ca="1" si="142"/>
        <v>1</v>
      </c>
      <c r="K202" s="228" t="str">
        <f t="shared" ref="K202:K209" ca="1" si="157">IF(B202="*","",IF(B202="ETAPA",S202,OFFSET(K202,-1,0)))</f>
        <v xml:space="preserve">   CONTENÇÃO</v>
      </c>
      <c r="L202" s="231">
        <f t="shared" ca="1" si="143"/>
        <v>1</v>
      </c>
      <c r="M202" s="228" t="str">
        <f t="shared" ref="M202:M209" ca="1" si="158">IF(B202="*","",IF(B202="SUBETAPA",S202,OFFSET(M202,-1,0)))</f>
        <v xml:space="preserve">   Forma Apropriada</v>
      </c>
      <c r="N202" s="231">
        <f t="shared" ca="1" si="144"/>
        <v>1</v>
      </c>
      <c r="O202" s="228" t="str">
        <f t="shared" ref="O202:O209" ca="1" si="159">IF(B202="*","",IF(B202="SERVIÇO",S202,OFFSET(O202,-1,0)))</f>
        <v>Forma para Contenção</v>
      </c>
      <c r="P202" s="232" t="str">
        <f>IF(S202="","",IF(Orçamento!$B202="INSUMO",S202,""))</f>
        <v/>
      </c>
      <c r="Q202" s="244" t="str">
        <f t="shared" ref="Q202:Q209" si="160">IF(B202="","",IF(B202="Serviço",S202,""))</f>
        <v>Forma para Contenção</v>
      </c>
      <c r="R202" s="234">
        <f t="shared" ref="R202:R209" ca="1" si="161">IF(B202="serviço",U202,OFFSET(R202,-1,0))</f>
        <v>1</v>
      </c>
      <c r="S202" s="233" t="s">
        <v>1213</v>
      </c>
      <c r="T202" s="242" t="s">
        <v>170</v>
      </c>
      <c r="U202" s="235">
        <v>1</v>
      </c>
      <c r="V202" s="320" t="s">
        <v>35</v>
      </c>
      <c r="W202" s="236" t="str">
        <f>IFERROR(IF(B202="INSUMO",_xlfn.XLOOKUP(S202,Insumos!A:A,Insumos!C:C),""),"Inserir Preço")</f>
        <v/>
      </c>
      <c r="X202" s="235">
        <f t="shared" ref="X202:X209" ca="1" si="162">IF(B202="Complemento do insumo",V202,IF(R202="","",IF(B202="serviço",R202,IF(OR(B202="insumo"),V202*R202,""))))</f>
        <v>1</v>
      </c>
      <c r="Y202" s="236">
        <f t="shared" ca="1" si="100"/>
        <v>13113.354609375243</v>
      </c>
      <c r="Z202" s="237">
        <f t="shared" ca="1" si="77"/>
        <v>13113.354609375243</v>
      </c>
      <c r="AA202" s="238"/>
      <c r="AB202" s="233" t="str">
        <f>IF(B202="insumo",_xlfn.XLOOKUP(S202,Insumos!A:A,Insumos!D:D),"")</f>
        <v/>
      </c>
      <c r="AC202" s="239">
        <f t="shared" ca="1" si="78"/>
        <v>1.8812302758508246E-3</v>
      </c>
      <c r="AE202" s="240">
        <f ca="1">IFERROR(IF(OR(Z202="",Z202=0),"",IF(AF202="","",IF(AF202="R$/mês",Z202/OBRA!$D$12,IF(AF202="R$/m²",Z202/OBRA!$D$10,IF(AF202="R$/apto",Orçamento!Z202/OBRA!$D$11,""))))),"")</f>
        <v>6.7482256909245137</v>
      </c>
      <c r="AF202" s="241" t="s">
        <v>154</v>
      </c>
    </row>
    <row r="203" spans="1:32" s="10" customFormat="1" ht="13.15" hidden="1" customHeight="1" outlineLevel="4" x14ac:dyDescent="0.2">
      <c r="A203" s="227"/>
      <c r="B203" s="228" t="s">
        <v>19</v>
      </c>
      <c r="C203" s="229">
        <f t="shared" si="75"/>
        <v>1</v>
      </c>
      <c r="D203" s="227" t="str">
        <f t="shared" si="154"/>
        <v/>
      </c>
      <c r="E203" s="228" t="str">
        <f t="shared" ca="1" si="140"/>
        <v>03.001.001.001</v>
      </c>
      <c r="F203" s="230">
        <f ca="1">IF($B203="UNIDADE CONSTRUTIVA",OFFSET(F203,-1,0)+1,LARGE(F$10:F202,1))</f>
        <v>2</v>
      </c>
      <c r="G203" s="228" t="str">
        <f t="shared" ca="1" si="155"/>
        <v xml:space="preserve">   GERENCIAMENTO EXECUTIVO</v>
      </c>
      <c r="H203" s="230">
        <f t="shared" ca="1" si="141"/>
        <v>3</v>
      </c>
      <c r="I203" s="228" t="str">
        <f t="shared" ca="1" si="156"/>
        <v xml:space="preserve">   CONTENÇÕES</v>
      </c>
      <c r="J203" s="230">
        <f t="shared" ca="1" si="142"/>
        <v>1</v>
      </c>
      <c r="K203" s="228" t="str">
        <f t="shared" ca="1" si="157"/>
        <v xml:space="preserve">   CONTENÇÃO</v>
      </c>
      <c r="L203" s="231">
        <f t="shared" ca="1" si="143"/>
        <v>1</v>
      </c>
      <c r="M203" s="228" t="str">
        <f t="shared" ca="1" si="158"/>
        <v xml:space="preserve">   Forma Apropriada</v>
      </c>
      <c r="N203" s="231">
        <f t="shared" ca="1" si="144"/>
        <v>1</v>
      </c>
      <c r="O203" s="228" t="str">
        <f t="shared" ca="1" si="159"/>
        <v>Forma para Contenção</v>
      </c>
      <c r="P203" s="232" t="str">
        <f>IF(S203="","",IF(Orçamento!$B203="INSUMO",S203,""))</f>
        <v>MADEIRA DE FORMA PARA CONTENÇÃO</v>
      </c>
      <c r="Q203" s="244" t="str">
        <f t="shared" si="160"/>
        <v/>
      </c>
      <c r="R203" s="234">
        <f t="shared" ca="1" si="161"/>
        <v>1</v>
      </c>
      <c r="S203" s="233" t="s">
        <v>1204</v>
      </c>
      <c r="T203" s="242" t="str">
        <f>_xlfn.XLOOKUP(S203,Insumos!$A$3:$A$371,Insumos!$B$3:$B$371)</f>
        <v>VB</v>
      </c>
      <c r="U203" s="235">
        <f t="shared" ref="U203" ca="1" si="163">IF($B203="insumo",R203,"")</f>
        <v>1</v>
      </c>
      <c r="V203" s="320">
        <v>1</v>
      </c>
      <c r="W203" s="236">
        <f>IFERROR(IF(B203="INSUMO",_xlfn.XLOOKUP(S203,Insumos!A:A,Insumos!C:C),""),"Inserir Preço")</f>
        <v>13113.354609375243</v>
      </c>
      <c r="X203" s="235">
        <f t="shared" ca="1" si="162"/>
        <v>1</v>
      </c>
      <c r="Y203" s="236">
        <f t="shared" si="100"/>
        <v>13113.354609375243</v>
      </c>
      <c r="Z203" s="237">
        <f t="shared" ca="1" si="77"/>
        <v>13113.354609375243</v>
      </c>
      <c r="AA203" s="238"/>
      <c r="AB203" s="233" t="str">
        <f>IF(B203="insumo",_xlfn.XLOOKUP(S203,Insumos!A:A,Insumos!D:D),"")</f>
        <v>Balancete</v>
      </c>
      <c r="AC203" s="239">
        <f t="shared" ca="1" si="78"/>
        <v>1.8812302758508246E-3</v>
      </c>
      <c r="AE203" s="240">
        <f ca="1">IFERROR(IF(OR(Z203="",Z203=0),"",IF(AF203="","",IF(AF203="R$/mês",Z203/OBRA!$D$12,IF(AF203="R$/m²",Z203/OBRA!$D$10,IF(AF203="R$/apto",Orçamento!Z203/OBRA!$D$11,""))))),"")</f>
        <v>6.7482256909245137</v>
      </c>
      <c r="AF203" s="241" t="s">
        <v>154</v>
      </c>
    </row>
    <row r="204" spans="1:32" s="10" customFormat="1" ht="13.15" hidden="1" customHeight="1" outlineLevel="3" collapsed="1" x14ac:dyDescent="0.2">
      <c r="A204" s="227"/>
      <c r="B204" s="228" t="s">
        <v>3</v>
      </c>
      <c r="C204" s="229" t="str">
        <f t="shared" ref="C204:C267" si="164">IF(B204="INSUMO",COUNTIFS(B:B,"INSUMO",S:S,S204),IF(B204="SERVIÇO",COUNTIFS(B:B,"SERVIÇO",S:S,S204),""))</f>
        <v/>
      </c>
      <c r="D204" s="227" t="str">
        <f t="shared" ca="1" si="154"/>
        <v>03.001.002</v>
      </c>
      <c r="E204" s="228" t="str">
        <f t="shared" ca="1" si="140"/>
        <v>03.001.001.001</v>
      </c>
      <c r="F204" s="230">
        <f ca="1">IF($B204="UNIDADE CONSTRUTIVA",OFFSET(F204,-1,0)+1,LARGE(F$10:F203,1))</f>
        <v>2</v>
      </c>
      <c r="G204" s="228" t="str">
        <f t="shared" ca="1" si="155"/>
        <v xml:space="preserve">   GERENCIAMENTO EXECUTIVO</v>
      </c>
      <c r="H204" s="230">
        <f t="shared" ca="1" si="141"/>
        <v>3</v>
      </c>
      <c r="I204" s="228" t="str">
        <f t="shared" ca="1" si="156"/>
        <v xml:space="preserve">   CONTENÇÕES</v>
      </c>
      <c r="J204" s="230">
        <f t="shared" ca="1" si="142"/>
        <v>1</v>
      </c>
      <c r="K204" s="228" t="str">
        <f t="shared" ca="1" si="157"/>
        <v xml:space="preserve">   CONTENÇÃO</v>
      </c>
      <c r="L204" s="231">
        <f t="shared" ca="1" si="143"/>
        <v>2</v>
      </c>
      <c r="M204" s="228" t="str">
        <f t="shared" ca="1" si="158"/>
        <v xml:space="preserve">   Armadura Apropriada</v>
      </c>
      <c r="N204" s="231">
        <f t="shared" ca="1" si="144"/>
        <v>0</v>
      </c>
      <c r="O204" s="228" t="str">
        <f t="shared" ca="1" si="159"/>
        <v>Forma para Contenção</v>
      </c>
      <c r="P204" s="232" t="str">
        <f>IF(S204="","",IF(Orçamento!$B204="INSUMO",S204,""))</f>
        <v/>
      </c>
      <c r="Q204" s="244" t="str">
        <f t="shared" si="160"/>
        <v/>
      </c>
      <c r="R204" s="234">
        <f t="shared" ca="1" si="161"/>
        <v>1</v>
      </c>
      <c r="S204" s="233" t="s">
        <v>1211</v>
      </c>
      <c r="T204" s="242" t="s">
        <v>35</v>
      </c>
      <c r="U204" s="235" t="str">
        <f>IF($B204="insumo",R204,"")</f>
        <v/>
      </c>
      <c r="V204" s="320" t="s">
        <v>35</v>
      </c>
      <c r="W204" s="236" t="str">
        <f>IFERROR(IF(B204="INSUMO",_xlfn.XLOOKUP(S204,Insumos!A:A,Insumos!C:C),""),"Inserir Preço")</f>
        <v/>
      </c>
      <c r="X204" s="235" t="str">
        <f t="shared" ca="1" si="162"/>
        <v/>
      </c>
      <c r="Y204" s="236" t="str">
        <f t="shared" si="100"/>
        <v/>
      </c>
      <c r="Z204" s="237">
        <f t="shared" ref="Z204:Z267" ca="1" si="165">IFERROR(IF(B204="Unidade Construtiva",SUMIFS(Z:Z,B:B,"Célula Construtiva",G:G,G204),IF(B204="célula construtiva",SUMIFS(Z:Z,B:B,"Insumo",I:I,I204,G:G,G204),IF(B204="ETAPA",SUMIFS(Z:Z,B:B,"Insumo",K:K,K204,I:I,I204,G:G,G204),IF(B204="subetapa",SUMIFS(Z:Z,M:M,M204,B:B,"insumo",K:K,K204,I:I,I204,G:G,G204),IF(B204="complemento do insumo",V204*W204,IF(B204="INSUMO",R204*V204*W204,X204*Y204)))))),"")</f>
        <v>13855.798914774519</v>
      </c>
      <c r="AA204" s="238"/>
      <c r="AB204" s="233" t="str">
        <f>IF(B204="insumo",_xlfn.XLOOKUP(S204,Insumos!A:A,Insumos!D:D),"")</f>
        <v/>
      </c>
      <c r="AC204" s="239">
        <f t="shared" ref="AC204:AC267" ca="1" si="166">IFERROR(IF(B204="","",Z204/SUMIF(B:B,"INSUMO",Z:Z)),0)</f>
        <v>1.9877406804769296E-3</v>
      </c>
      <c r="AE204" s="240">
        <f ca="1">IFERROR(IF(OR(Z204="",Z204=0),"",IF(AF204="","",IF(AF204="R$/mês",Z204/OBRA!$D$12,IF(AF204="R$/m²",Z204/OBRA!$D$10,IF(AF204="R$/apto",Orçamento!Z204/OBRA!$D$11,""))))),"")</f>
        <v>7.1302928190561685</v>
      </c>
      <c r="AF204" s="241" t="s">
        <v>154</v>
      </c>
    </row>
    <row r="205" spans="1:32" s="10" customFormat="1" ht="13.15" hidden="1" customHeight="1" outlineLevel="4" x14ac:dyDescent="0.2">
      <c r="A205" s="227"/>
      <c r="B205" s="228" t="s">
        <v>4</v>
      </c>
      <c r="C205" s="229">
        <f t="shared" si="164"/>
        <v>1</v>
      </c>
      <c r="D205" s="227" t="str">
        <f t="shared" ca="1" si="154"/>
        <v>03.001.002.001</v>
      </c>
      <c r="E205" s="228" t="str">
        <f t="shared" ca="1" si="140"/>
        <v>03.001.002.001</v>
      </c>
      <c r="F205" s="230">
        <f ca="1">IF($B205="UNIDADE CONSTRUTIVA",OFFSET(F205,-1,0)+1,LARGE(F$10:F204,1))</f>
        <v>2</v>
      </c>
      <c r="G205" s="228" t="str">
        <f t="shared" ca="1" si="155"/>
        <v xml:space="preserve">   GERENCIAMENTO EXECUTIVO</v>
      </c>
      <c r="H205" s="230">
        <f t="shared" ca="1" si="141"/>
        <v>3</v>
      </c>
      <c r="I205" s="228" t="str">
        <f t="shared" ca="1" si="156"/>
        <v xml:space="preserve">   CONTENÇÕES</v>
      </c>
      <c r="J205" s="230">
        <f t="shared" ca="1" si="142"/>
        <v>1</v>
      </c>
      <c r="K205" s="228" t="str">
        <f t="shared" ca="1" si="157"/>
        <v xml:space="preserve">   CONTENÇÃO</v>
      </c>
      <c r="L205" s="231">
        <f t="shared" ca="1" si="143"/>
        <v>2</v>
      </c>
      <c r="M205" s="228" t="str">
        <f t="shared" ca="1" si="158"/>
        <v xml:space="preserve">   Armadura Apropriada</v>
      </c>
      <c r="N205" s="231">
        <f t="shared" ca="1" si="144"/>
        <v>1</v>
      </c>
      <c r="O205" s="228" t="str">
        <f t="shared" ca="1" si="159"/>
        <v>Armacao Média para Contenção</v>
      </c>
      <c r="P205" s="232" t="str">
        <f>IF(S205="","",IF(Orçamento!$B205="INSUMO",S205,""))</f>
        <v/>
      </c>
      <c r="Q205" s="244" t="str">
        <f t="shared" si="160"/>
        <v>Armacao Média para Contenção</v>
      </c>
      <c r="R205" s="234">
        <f t="shared" ca="1" si="161"/>
        <v>1</v>
      </c>
      <c r="S205" s="233" t="s">
        <v>1214</v>
      </c>
      <c r="T205" s="242" t="s">
        <v>170</v>
      </c>
      <c r="U205" s="235">
        <v>1</v>
      </c>
      <c r="V205" s="320" t="s">
        <v>35</v>
      </c>
      <c r="W205" s="236" t="str">
        <f>IFERROR(IF(B205="INSUMO",_xlfn.XLOOKUP(S205,Insumos!A:A,Insumos!C:C),""),"Inserir Preço")</f>
        <v/>
      </c>
      <c r="X205" s="235">
        <f t="shared" ca="1" si="162"/>
        <v>1</v>
      </c>
      <c r="Y205" s="236">
        <f t="shared" ca="1" si="100"/>
        <v>13855.798914774519</v>
      </c>
      <c r="Z205" s="237">
        <f t="shared" ca="1" si="165"/>
        <v>13855.798914774519</v>
      </c>
      <c r="AA205" s="238"/>
      <c r="AB205" s="233" t="str">
        <f>IF(B205="insumo",_xlfn.XLOOKUP(S205,Insumos!A:A,Insumos!D:D),"")</f>
        <v/>
      </c>
      <c r="AC205" s="239">
        <f t="shared" ca="1" si="166"/>
        <v>1.9877406804769296E-3</v>
      </c>
      <c r="AE205" s="240">
        <f ca="1">IFERROR(IF(OR(Z205="",Z205=0),"",IF(AF205="","",IF(AF205="R$/mês",Z205/OBRA!$D$12,IF(AF205="R$/m²",Z205/OBRA!$D$10,IF(AF205="R$/apto",Orçamento!Z205/OBRA!$D$11,""))))),"")</f>
        <v>7.1302928190561685</v>
      </c>
      <c r="AF205" s="241" t="s">
        <v>154</v>
      </c>
    </row>
    <row r="206" spans="1:32" s="10" customFormat="1" ht="13.15" hidden="1" customHeight="1" outlineLevel="4" x14ac:dyDescent="0.2">
      <c r="A206" s="227"/>
      <c r="B206" s="228" t="s">
        <v>19</v>
      </c>
      <c r="C206" s="229">
        <f t="shared" si="164"/>
        <v>1</v>
      </c>
      <c r="D206" s="227" t="str">
        <f t="shared" si="154"/>
        <v/>
      </c>
      <c r="E206" s="228" t="str">
        <f t="shared" ca="1" si="140"/>
        <v>03.001.002.001</v>
      </c>
      <c r="F206" s="230">
        <f ca="1">IF($B206="UNIDADE CONSTRUTIVA",OFFSET(F206,-1,0)+1,LARGE(F$10:F205,1))</f>
        <v>2</v>
      </c>
      <c r="G206" s="228" t="str">
        <f t="shared" ca="1" si="155"/>
        <v xml:space="preserve">   GERENCIAMENTO EXECUTIVO</v>
      </c>
      <c r="H206" s="230">
        <f t="shared" ca="1" si="141"/>
        <v>3</v>
      </c>
      <c r="I206" s="228" t="str">
        <f t="shared" ca="1" si="156"/>
        <v xml:space="preserve">   CONTENÇÕES</v>
      </c>
      <c r="J206" s="230">
        <f t="shared" ca="1" si="142"/>
        <v>1</v>
      </c>
      <c r="K206" s="228" t="str">
        <f t="shared" ca="1" si="157"/>
        <v xml:space="preserve">   CONTENÇÃO</v>
      </c>
      <c r="L206" s="231">
        <f t="shared" ca="1" si="143"/>
        <v>2</v>
      </c>
      <c r="M206" s="228" t="str">
        <f t="shared" ca="1" si="158"/>
        <v xml:space="preserve">   Armadura Apropriada</v>
      </c>
      <c r="N206" s="231">
        <f t="shared" ca="1" si="144"/>
        <v>1</v>
      </c>
      <c r="O206" s="228" t="str">
        <f t="shared" ca="1" si="159"/>
        <v>Armacao Média para Contenção</v>
      </c>
      <c r="P206" s="232" t="str">
        <f>IF(S206="","",IF(Orçamento!$B206="INSUMO",S206,""))</f>
        <v>ARMAÇÃO MÉDIA PARA CONTENÇÃO</v>
      </c>
      <c r="Q206" s="244" t="str">
        <f t="shared" si="160"/>
        <v/>
      </c>
      <c r="R206" s="234">
        <f t="shared" ca="1" si="161"/>
        <v>1</v>
      </c>
      <c r="S206" s="233" t="s">
        <v>1202</v>
      </c>
      <c r="T206" s="242" t="str">
        <f>_xlfn.XLOOKUP(S206,Insumos!$A$3:$A$371,Insumos!$B$3:$B$371)</f>
        <v>VB</v>
      </c>
      <c r="U206" s="235">
        <f ca="1">IF($B206="insumo",R206,"")</f>
        <v>1</v>
      </c>
      <c r="V206" s="320">
        <v>1</v>
      </c>
      <c r="W206" s="236">
        <f>IFERROR(IF(B206="INSUMO",_xlfn.XLOOKUP(S206,Insumos!A:A,Insumos!C:C),""),"Inserir Preço")</f>
        <v>13855.798914774519</v>
      </c>
      <c r="X206" s="235">
        <f t="shared" ca="1" si="162"/>
        <v>1</v>
      </c>
      <c r="Y206" s="236">
        <f t="shared" si="100"/>
        <v>13855.798914774519</v>
      </c>
      <c r="Z206" s="237">
        <f t="shared" ca="1" si="165"/>
        <v>13855.798914774519</v>
      </c>
      <c r="AA206" s="238"/>
      <c r="AB206" s="233" t="str">
        <f>IF(B206="insumo",_xlfn.XLOOKUP(S206,Insumos!A:A,Insumos!D:D),"")</f>
        <v>Balancete</v>
      </c>
      <c r="AC206" s="239">
        <f t="shared" ca="1" si="166"/>
        <v>1.9877406804769296E-3</v>
      </c>
      <c r="AE206" s="240">
        <f ca="1">IFERROR(IF(OR(Z206="",Z206=0),"",IF(AF206="","",IF(AF206="R$/mês",Z206/OBRA!$D$12,IF(AF206="R$/m²",Z206/OBRA!$D$10,IF(AF206="R$/apto",Orçamento!Z206/OBRA!$D$11,""))))),"")</f>
        <v>7.1302928190561685</v>
      </c>
      <c r="AF206" s="241" t="s">
        <v>154</v>
      </c>
    </row>
    <row r="207" spans="1:32" s="10" customFormat="1" ht="13.15" hidden="1" customHeight="1" outlineLevel="3" collapsed="1" x14ac:dyDescent="0.2">
      <c r="A207" s="227"/>
      <c r="B207" s="228" t="s">
        <v>3</v>
      </c>
      <c r="C207" s="229" t="str">
        <f t="shared" si="164"/>
        <v/>
      </c>
      <c r="D207" s="227" t="str">
        <f t="shared" ca="1" si="154"/>
        <v>03.001.003</v>
      </c>
      <c r="E207" s="228" t="str">
        <f t="shared" ca="1" si="140"/>
        <v>03.001.002.001</v>
      </c>
      <c r="F207" s="230">
        <f ca="1">IF($B207="UNIDADE CONSTRUTIVA",OFFSET(F207,-1,0)+1,LARGE(F$10:F206,1))</f>
        <v>2</v>
      </c>
      <c r="G207" s="228" t="str">
        <f t="shared" ca="1" si="155"/>
        <v xml:space="preserve">   GERENCIAMENTO EXECUTIVO</v>
      </c>
      <c r="H207" s="230">
        <f t="shared" ca="1" si="141"/>
        <v>3</v>
      </c>
      <c r="I207" s="228" t="str">
        <f t="shared" ca="1" si="156"/>
        <v xml:space="preserve">   CONTENÇÕES</v>
      </c>
      <c r="J207" s="230">
        <f t="shared" ca="1" si="142"/>
        <v>1</v>
      </c>
      <c r="K207" s="228" t="str">
        <f t="shared" ca="1" si="157"/>
        <v xml:space="preserve">   CONTENÇÃO</v>
      </c>
      <c r="L207" s="231">
        <f t="shared" ca="1" si="143"/>
        <v>3</v>
      </c>
      <c r="M207" s="228" t="str">
        <f t="shared" ca="1" si="158"/>
        <v xml:space="preserve">   Concreto Apropriada</v>
      </c>
      <c r="N207" s="231">
        <f t="shared" ca="1" si="144"/>
        <v>0</v>
      </c>
      <c r="O207" s="228" t="str">
        <f t="shared" ca="1" si="159"/>
        <v>Armacao Média para Contenção</v>
      </c>
      <c r="P207" s="232" t="str">
        <f>IF(S207="","",IF(Orçamento!$B207="INSUMO",S207,""))</f>
        <v/>
      </c>
      <c r="Q207" s="244" t="str">
        <f t="shared" si="160"/>
        <v/>
      </c>
      <c r="R207" s="234">
        <f t="shared" ca="1" si="161"/>
        <v>1</v>
      </c>
      <c r="S207" s="233" t="s">
        <v>1212</v>
      </c>
      <c r="T207" s="242" t="s">
        <v>35</v>
      </c>
      <c r="U207" s="235" t="str">
        <f>IF($B207="insumo",R207,"")</f>
        <v/>
      </c>
      <c r="V207" s="320" t="s">
        <v>35</v>
      </c>
      <c r="W207" s="236" t="str">
        <f>IFERROR(IF(B207="INSUMO",_xlfn.XLOOKUP(S207,Insumos!A:A,Insumos!C:C),""),"Inserir Preço")</f>
        <v/>
      </c>
      <c r="X207" s="235" t="str">
        <f t="shared" ca="1" si="162"/>
        <v/>
      </c>
      <c r="Y207" s="236" t="str">
        <f t="shared" si="100"/>
        <v/>
      </c>
      <c r="Z207" s="237">
        <f t="shared" ca="1" si="165"/>
        <v>22633.375214528114</v>
      </c>
      <c r="AA207" s="238"/>
      <c r="AB207" s="233" t="str">
        <f>IF(B207="insumo",_xlfn.XLOOKUP(S207,Insumos!A:A,Insumos!D:D),"")</f>
        <v/>
      </c>
      <c r="AC207" s="239">
        <f t="shared" ca="1" si="166"/>
        <v>3.2469640276349167E-3</v>
      </c>
      <c r="AE207" s="240">
        <f ca="1">IFERROR(IF(OR(Z207="",Z207=0),"",IF(AF207="","",IF(AF207="R$/mês",Z207/OBRA!$D$12,IF(AF207="R$/m²",Z207/OBRA!$D$10,IF(AF207="R$/apto",Orçamento!Z207/OBRA!$D$11,""))))),"")</f>
        <v>11.647296107268884</v>
      </c>
      <c r="AF207" s="241" t="s">
        <v>154</v>
      </c>
    </row>
    <row r="208" spans="1:32" s="10" customFormat="1" ht="13.15" hidden="1" customHeight="1" outlineLevel="4" x14ac:dyDescent="0.2">
      <c r="A208" s="227"/>
      <c r="B208" s="228" t="s">
        <v>4</v>
      </c>
      <c r="C208" s="229">
        <f t="shared" si="164"/>
        <v>1</v>
      </c>
      <c r="D208" s="227" t="str">
        <f t="shared" ca="1" si="154"/>
        <v>03.001.003.001</v>
      </c>
      <c r="E208" s="228" t="str">
        <f t="shared" ca="1" si="140"/>
        <v>03.001.003.001</v>
      </c>
      <c r="F208" s="230">
        <f ca="1">IF($B208="UNIDADE CONSTRUTIVA",OFFSET(F208,-1,0)+1,LARGE(F$10:F207,1))</f>
        <v>2</v>
      </c>
      <c r="G208" s="228" t="str">
        <f t="shared" ca="1" si="155"/>
        <v xml:space="preserve">   GERENCIAMENTO EXECUTIVO</v>
      </c>
      <c r="H208" s="230">
        <f t="shared" ca="1" si="141"/>
        <v>3</v>
      </c>
      <c r="I208" s="228" t="str">
        <f t="shared" ca="1" si="156"/>
        <v xml:space="preserve">   CONTENÇÕES</v>
      </c>
      <c r="J208" s="230">
        <f t="shared" ca="1" si="142"/>
        <v>1</v>
      </c>
      <c r="K208" s="228" t="str">
        <f t="shared" ca="1" si="157"/>
        <v xml:space="preserve">   CONTENÇÃO</v>
      </c>
      <c r="L208" s="231">
        <f t="shared" ca="1" si="143"/>
        <v>3</v>
      </c>
      <c r="M208" s="228" t="str">
        <f t="shared" ca="1" si="158"/>
        <v xml:space="preserve">   Concreto Apropriada</v>
      </c>
      <c r="N208" s="231">
        <f t="shared" ca="1" si="144"/>
        <v>1</v>
      </c>
      <c r="O208" s="228" t="str">
        <f t="shared" ca="1" si="159"/>
        <v>Concreto usinado Para Contenção</v>
      </c>
      <c r="P208" s="232" t="str">
        <f>IF(S208="","",IF(Orçamento!$B208="INSUMO",S208,""))</f>
        <v/>
      </c>
      <c r="Q208" s="244" t="str">
        <f t="shared" si="160"/>
        <v>Concreto usinado Para Contenção</v>
      </c>
      <c r="R208" s="234">
        <f t="shared" ca="1" si="161"/>
        <v>1</v>
      </c>
      <c r="S208" s="233" t="s">
        <v>1215</v>
      </c>
      <c r="T208" s="242" t="s">
        <v>170</v>
      </c>
      <c r="U208" s="235">
        <v>1</v>
      </c>
      <c r="V208" s="320" t="s">
        <v>35</v>
      </c>
      <c r="W208" s="236" t="str">
        <f>IFERROR(IF(B208="INSUMO",_xlfn.XLOOKUP(S208,Insumos!A:A,Insumos!C:C),""),"Inserir Preço")</f>
        <v/>
      </c>
      <c r="X208" s="235">
        <f t="shared" ca="1" si="162"/>
        <v>1</v>
      </c>
      <c r="Y208" s="236">
        <f t="shared" ca="1" si="100"/>
        <v>22633.375214528114</v>
      </c>
      <c r="Z208" s="237">
        <f t="shared" ca="1" si="165"/>
        <v>22633.375214528114</v>
      </c>
      <c r="AA208" s="238"/>
      <c r="AB208" s="233" t="str">
        <f>IF(B208="insumo",_xlfn.XLOOKUP(S208,Insumos!A:A,Insumos!D:D),"")</f>
        <v/>
      </c>
      <c r="AC208" s="239">
        <f t="shared" ca="1" si="166"/>
        <v>3.2469640276349167E-3</v>
      </c>
      <c r="AE208" s="240">
        <f ca="1">IFERROR(IF(OR(Z208="",Z208=0),"",IF(AF208="","",IF(AF208="R$/mês",Z208/OBRA!$D$12,IF(AF208="R$/m²",Z208/OBRA!$D$10,IF(AF208="R$/apto",Orçamento!Z208/OBRA!$D$11,""))))),"")</f>
        <v>11.647296107268884</v>
      </c>
      <c r="AF208" s="241" t="s">
        <v>154</v>
      </c>
    </row>
    <row r="209" spans="1:32" s="10" customFormat="1" ht="13.15" hidden="1" customHeight="1" outlineLevel="4" x14ac:dyDescent="0.2">
      <c r="A209" s="227"/>
      <c r="B209" s="228" t="s">
        <v>19</v>
      </c>
      <c r="C209" s="229">
        <f t="shared" si="164"/>
        <v>1</v>
      </c>
      <c r="D209" s="227" t="str">
        <f t="shared" si="154"/>
        <v/>
      </c>
      <c r="E209" s="228" t="str">
        <f t="shared" ca="1" si="140"/>
        <v>03.001.003.001</v>
      </c>
      <c r="F209" s="230">
        <f ca="1">IF($B209="UNIDADE CONSTRUTIVA",OFFSET(F209,-1,0)+1,LARGE(F$10:F208,1))</f>
        <v>2</v>
      </c>
      <c r="G209" s="228" t="str">
        <f t="shared" ca="1" si="155"/>
        <v xml:space="preserve">   GERENCIAMENTO EXECUTIVO</v>
      </c>
      <c r="H209" s="230">
        <f t="shared" ca="1" si="141"/>
        <v>3</v>
      </c>
      <c r="I209" s="228" t="str">
        <f t="shared" ca="1" si="156"/>
        <v xml:space="preserve">   CONTENÇÕES</v>
      </c>
      <c r="J209" s="230">
        <f t="shared" ca="1" si="142"/>
        <v>1</v>
      </c>
      <c r="K209" s="228" t="str">
        <f t="shared" ca="1" si="157"/>
        <v xml:space="preserve">   CONTENÇÃO</v>
      </c>
      <c r="L209" s="231">
        <f t="shared" ca="1" si="143"/>
        <v>3</v>
      </c>
      <c r="M209" s="228" t="str">
        <f t="shared" ca="1" si="158"/>
        <v xml:space="preserve">   Concreto Apropriada</v>
      </c>
      <c r="N209" s="231">
        <f t="shared" ca="1" si="144"/>
        <v>1</v>
      </c>
      <c r="O209" s="228" t="str">
        <f t="shared" ca="1" si="159"/>
        <v>Concreto usinado Para Contenção</v>
      </c>
      <c r="P209" s="232" t="str">
        <f>IF(S209="","",IF(Orçamento!$B209="INSUMO",S209,""))</f>
        <v>CONCRETO USINADO PARA CONTENÇÃO</v>
      </c>
      <c r="Q209" s="244" t="str">
        <f t="shared" si="160"/>
        <v/>
      </c>
      <c r="R209" s="234">
        <f t="shared" ca="1" si="161"/>
        <v>1</v>
      </c>
      <c r="S209" s="233" t="s">
        <v>1206</v>
      </c>
      <c r="T209" s="242" t="str">
        <f>_xlfn.XLOOKUP(S209,Insumos!$A$3:$A$371,Insumos!$B$3:$B$371)</f>
        <v>VB</v>
      </c>
      <c r="U209" s="235">
        <f ca="1">IF($B209="insumo",R209,"")</f>
        <v>1</v>
      </c>
      <c r="V209" s="320">
        <v>1</v>
      </c>
      <c r="W209" s="236">
        <f>IFERROR(IF(B209="INSUMO",_xlfn.XLOOKUP(S209,Insumos!A:A,Insumos!C:C),""),"Inserir Preço")</f>
        <v>22633.375214528114</v>
      </c>
      <c r="X209" s="235">
        <f t="shared" ca="1" si="162"/>
        <v>1</v>
      </c>
      <c r="Y209" s="236">
        <f t="shared" si="100"/>
        <v>22633.375214528114</v>
      </c>
      <c r="Z209" s="237">
        <f t="shared" ca="1" si="165"/>
        <v>22633.375214528114</v>
      </c>
      <c r="AA209" s="238"/>
      <c r="AB209" s="233" t="str">
        <f>IF(B209="insumo",_xlfn.XLOOKUP(S209,Insumos!A:A,Insumos!D:D),"")</f>
        <v>Balancete</v>
      </c>
      <c r="AC209" s="239">
        <f t="shared" ca="1" si="166"/>
        <v>3.2469640276349167E-3</v>
      </c>
      <c r="AE209" s="240">
        <f ca="1">IFERROR(IF(OR(Z209="",Z209=0),"",IF(AF209="","",IF(AF209="R$/mês",Z209/OBRA!$D$12,IF(AF209="R$/m²",Z209/OBRA!$D$10,IF(AF209="R$/apto",Orçamento!Z209/OBRA!$D$11,""))))),"")</f>
        <v>11.647296107268884</v>
      </c>
      <c r="AF209" s="241" t="s">
        <v>154</v>
      </c>
    </row>
    <row r="210" spans="1:32" s="10" customFormat="1" ht="13.15" hidden="1" customHeight="1" outlineLevel="3" collapsed="1" x14ac:dyDescent="0.2">
      <c r="A210" s="227"/>
      <c r="B210" s="228" t="s">
        <v>3</v>
      </c>
      <c r="C210" s="229" t="str">
        <f t="shared" si="164"/>
        <v/>
      </c>
      <c r="D210" s="227" t="str">
        <f t="shared" ref="D210" ca="1" si="167">IF(B210="Unidade Construtiva",TEXT(F210,"00"),IF(B210="Célula Construtiva",TEXT(H210,"00"),IF(B210="Etapa",CONCATENATE(TEXT(H210,"00"),".",TEXT(J210,"000")),IF(B210="Subetapa",CONCATENATE(TEXT(H210,"00"),".",TEXT(J210,"000"),".",TEXT(L210,"000")),IF(B210="Serviço",CONCATENATE(TEXT(H210,"00"),".",TEXT(J210,"000"),".",TEXT(L210,"000"),".",TEXT(N210,"000")),"")))))</f>
        <v>03.001.004</v>
      </c>
      <c r="E210" s="228" t="str">
        <f t="shared" ref="E210" ca="1" si="168">IF(B210="*","",IFERROR(IF(B210="SERVIÇO",D210,OFFSET(E210,-1,0)),""))</f>
        <v>03.001.003.001</v>
      </c>
      <c r="F210" s="230">
        <f ca="1">IF($B210="UNIDADE CONSTRUTIVA",OFFSET(F210,-1,0)+1,LARGE(F$10:F209,1))</f>
        <v>2</v>
      </c>
      <c r="G210" s="228" t="str">
        <f t="shared" ref="G210" ca="1" si="169">IF(B210="*","",IF(B210="UNIDADE CONSTRUTIVA",S210,OFFSET(G210,-1,0)))</f>
        <v xml:space="preserve">   GERENCIAMENTO EXECUTIVO</v>
      </c>
      <c r="H210" s="230">
        <f t="shared" ref="H210" ca="1" si="170">IF(B210="UNIDADE CONSTRUTIVA",0,IF(B210="CÉLULA CONSTRUTIVA",OFFSET(H210,-1,0)+1,OFFSET(H210,-1,0)))</f>
        <v>3</v>
      </c>
      <c r="I210" s="228" t="str">
        <f t="shared" ref="I210" ca="1" si="171">IF(B210="*","",IF(B210="CÉLULA CONSTRUTIVA",S210,OFFSET(I210,-1,0)))</f>
        <v xml:space="preserve">   CONTENÇÕES</v>
      </c>
      <c r="J210" s="230">
        <f t="shared" ref="J210" ca="1" si="172">IF(B210="CÉLULA CONSTRUTIVA",0,IF(B210="ETAPA",OFFSET(J210,-1,0)+1,OFFSET(J210,-1,0)))</f>
        <v>1</v>
      </c>
      <c r="K210" s="228" t="str">
        <f t="shared" ref="K210" ca="1" si="173">IF(B210="*","",IF(B210="ETAPA",S210,OFFSET(K210,-1,0)))</f>
        <v xml:space="preserve">   CONTENÇÃO</v>
      </c>
      <c r="L210" s="231">
        <f t="shared" ref="L210" ca="1" si="174">IF(B210="ETAPA",0,IF(B210="SUBETAPA",OFFSET(L210,-1,0)+1,OFFSET(L210,-1,0)))</f>
        <v>4</v>
      </c>
      <c r="M210" s="228" t="str">
        <f t="shared" ref="M210" ca="1" si="175">IF(B210="*","",IF(B210="SUBETAPA",S210,OFFSET(M210,-1,0)))</f>
        <v xml:space="preserve">   Forma</v>
      </c>
      <c r="N210" s="231">
        <f t="shared" ref="N210" ca="1" si="176">IF(B210="Subetapa",0,IF(B210="serviço",OFFSET(N210,-1,0)+1,OFFSET(N210,-1,0)))</f>
        <v>0</v>
      </c>
      <c r="O210" s="228" t="str">
        <f t="shared" ref="O210" ca="1" si="177">IF(B210="*","",IF(B210="SERVIÇO",S210,OFFSET(O210,-1,0)))</f>
        <v>Concreto usinado Para Contenção</v>
      </c>
      <c r="P210" s="232" t="str">
        <f>IF(S210="","",IF(Orçamento!$B210="INSUMO",S210,""))</f>
        <v/>
      </c>
      <c r="Q210" s="244" t="str">
        <f t="shared" ref="Q210" si="178">IF(B210="","",IF(B210="Serviço",S210,""))</f>
        <v/>
      </c>
      <c r="R210" s="234">
        <f t="shared" ref="R210" ca="1" si="179">IF(B210="serviço",U210,OFFSET(R210,-1,0))</f>
        <v>1</v>
      </c>
      <c r="S210" s="233" t="s">
        <v>437</v>
      </c>
      <c r="T210" s="242" t="s">
        <v>35</v>
      </c>
      <c r="U210" s="235" t="str">
        <f>IF($B210="insumo",R210,"")</f>
        <v/>
      </c>
      <c r="V210" s="320" t="s">
        <v>35</v>
      </c>
      <c r="W210" s="236" t="str">
        <f>IFERROR(IF(B210="INSUMO",_xlfn.XLOOKUP(S210,Insumos!A:A,Insumos!C:C),""),"Inserir Preço")</f>
        <v/>
      </c>
      <c r="X210" s="235" t="str">
        <f t="shared" ref="X210" ca="1" si="180">IF(B210="Complemento do insumo",V210,IF(R210="","",IF(B210="serviço",R210,IF(OR(B210="insumo"),V210*R210,""))))</f>
        <v/>
      </c>
      <c r="Y210" s="236" t="str">
        <f t="shared" si="100"/>
        <v/>
      </c>
      <c r="Z210" s="237">
        <f t="shared" ca="1" si="165"/>
        <v>14700.517367765187</v>
      </c>
      <c r="AA210" s="238"/>
      <c r="AB210" s="233" t="str">
        <f>IF(B210="insumo",_xlfn.XLOOKUP(S210,Insumos!A:A,Insumos!D:D),"")</f>
        <v/>
      </c>
      <c r="AC210" s="239">
        <f t="shared" ca="1" si="166"/>
        <v>2.1089232440293405E-3</v>
      </c>
      <c r="AE210" s="240">
        <f ca="1">IFERROR(IF(OR(Z210="",Z210=0),"",IF(AF210="","",IF(AF210="R$/mês",Z210/OBRA!$D$12,IF(AF210="R$/m²",Z210/OBRA!$D$10,IF(AF210="R$/apto",Orçamento!Z210/OBRA!$D$11,""))))),"")</f>
        <v>7.564990952056724</v>
      </c>
      <c r="AF210" s="241" t="s">
        <v>154</v>
      </c>
    </row>
    <row r="211" spans="1:32" s="10" customFormat="1" ht="13.15" hidden="1" customHeight="1" outlineLevel="4" x14ac:dyDescent="0.2">
      <c r="A211" s="227"/>
      <c r="B211" s="228" t="s">
        <v>4</v>
      </c>
      <c r="C211" s="229">
        <f t="shared" si="164"/>
        <v>1</v>
      </c>
      <c r="D211" s="227" t="str">
        <f t="shared" ca="1" si="145"/>
        <v>03.001.004.001</v>
      </c>
      <c r="E211" s="228" t="str">
        <f t="shared" ref="E211:E223" ca="1" si="181">IF(B211="*","",IFERROR(IF(B211="SERVIÇO",D211,OFFSET(E211,-1,0)),""))</f>
        <v>03.001.004.001</v>
      </c>
      <c r="F211" s="230">
        <f ca="1">IF($B211="UNIDADE CONSTRUTIVA",OFFSET(F211,-1,0)+1,LARGE(F$10:F201,1))</f>
        <v>2</v>
      </c>
      <c r="G211" s="228" t="str">
        <f t="shared" ca="1" si="149"/>
        <v xml:space="preserve">   GERENCIAMENTO EXECUTIVO</v>
      </c>
      <c r="H211" s="230">
        <f t="shared" ref="H211:H223" ca="1" si="182">IF(B211="UNIDADE CONSTRUTIVA",0,IF(B211="CÉLULA CONSTRUTIVA",OFFSET(H211,-1,0)+1,OFFSET(H211,-1,0)))</f>
        <v>3</v>
      </c>
      <c r="I211" s="228" t="str">
        <f t="shared" ca="1" si="150"/>
        <v xml:space="preserve">   CONTENÇÕES</v>
      </c>
      <c r="J211" s="230">
        <f t="shared" ref="J211:J223" ca="1" si="183">IF(B211="CÉLULA CONSTRUTIVA",0,IF(B211="ETAPA",OFFSET(J211,-1,0)+1,OFFSET(J211,-1,0)))</f>
        <v>1</v>
      </c>
      <c r="K211" s="228" t="str">
        <f t="shared" ca="1" si="151"/>
        <v xml:space="preserve">   CONTENÇÃO</v>
      </c>
      <c r="L211" s="231">
        <f t="shared" ref="L211:L223" ca="1" si="184">IF(B211="ETAPA",0,IF(B211="SUBETAPA",OFFSET(L211,-1,0)+1,OFFSET(L211,-1,0)))</f>
        <v>4</v>
      </c>
      <c r="M211" s="228" t="str">
        <f t="shared" ca="1" si="152"/>
        <v xml:space="preserve">   Forma</v>
      </c>
      <c r="N211" s="231">
        <f t="shared" ref="N211:N223" ca="1" si="185">IF(B211="Subetapa",0,IF(B211="serviço",OFFSET(N211,-1,0)+1,OFFSET(N211,-1,0)))</f>
        <v>1</v>
      </c>
      <c r="O211" s="228" t="str">
        <f t="shared" ca="1" si="153"/>
        <v>Fabricacao, montagem e desmontagem de forma para fundacao rasa, em madeira serrada</v>
      </c>
      <c r="P211" s="232" t="str">
        <f>IF(S211="","",IF(Orçamento!$B211="INSUMO",S211,""))</f>
        <v/>
      </c>
      <c r="Q211" s="244" t="str">
        <f t="shared" si="146"/>
        <v>Fabricacao, montagem e desmontagem de forma para fundacao rasa, em madeira serrada</v>
      </c>
      <c r="R211" s="234">
        <f t="shared" ca="1" si="147"/>
        <v>216.99340049999998</v>
      </c>
      <c r="S211" s="233" t="s">
        <v>601</v>
      </c>
      <c r="T211" s="242" t="s">
        <v>140</v>
      </c>
      <c r="U211" s="235">
        <v>216.99340049999998</v>
      </c>
      <c r="V211" s="320" t="s">
        <v>35</v>
      </c>
      <c r="W211" s="236" t="str">
        <f>IFERROR(IF(B211="INSUMO",_xlfn.XLOOKUP(S211,Insumos!A:A,Insumos!C:C),""),"Inserir Preço")</f>
        <v/>
      </c>
      <c r="X211" s="235">
        <f t="shared" ca="1" si="148"/>
        <v>216.99340049999998</v>
      </c>
      <c r="Y211" s="236">
        <f t="shared" ca="1" si="100"/>
        <v>67.746380000000002</v>
      </c>
      <c r="Z211" s="237">
        <f t="shared" ca="1" si="165"/>
        <v>14700.517367765189</v>
      </c>
      <c r="AA211" s="238"/>
      <c r="AB211" s="233" t="str">
        <f>IF(B211="insumo",_xlfn.XLOOKUP(S211,Insumos!A:A,Insumos!D:D),"")</f>
        <v/>
      </c>
      <c r="AC211" s="239">
        <f t="shared" ca="1" si="166"/>
        <v>2.1089232440293405E-3</v>
      </c>
      <c r="AE211" s="240">
        <f ca="1">IFERROR(IF(OR(Z211="",Z211=0),"",IF(AF211="","",IF(AF211="R$/mês",Z211/OBRA!$D$12,IF(AF211="R$/m²",Z211/OBRA!$D$10,IF(AF211="R$/apto",Orçamento!Z211/OBRA!$D$11,""))))),"")</f>
        <v>7.5649909520567249</v>
      </c>
      <c r="AF211" s="241" t="s">
        <v>154</v>
      </c>
    </row>
    <row r="212" spans="1:32" s="10" customFormat="1" ht="13.15" hidden="1" customHeight="1" outlineLevel="4" x14ac:dyDescent="0.2">
      <c r="A212" s="227"/>
      <c r="B212" s="228" t="s">
        <v>19</v>
      </c>
      <c r="C212" s="229">
        <f t="shared" si="164"/>
        <v>29</v>
      </c>
      <c r="D212" s="227" t="str">
        <f t="shared" si="145"/>
        <v/>
      </c>
      <c r="E212" s="228" t="str">
        <f t="shared" ca="1" si="181"/>
        <v>03.001.004.001</v>
      </c>
      <c r="F212" s="230">
        <f ca="1">IF($B212="UNIDADE CONSTRUTIVA",OFFSET(F212,-1,0)+1,LARGE(F$10:F211,1))</f>
        <v>2</v>
      </c>
      <c r="G212" s="228" t="str">
        <f t="shared" ca="1" si="149"/>
        <v xml:space="preserve">   GERENCIAMENTO EXECUTIVO</v>
      </c>
      <c r="H212" s="230">
        <f t="shared" ca="1" si="182"/>
        <v>3</v>
      </c>
      <c r="I212" s="228" t="str">
        <f t="shared" ca="1" si="150"/>
        <v xml:space="preserve">   CONTENÇÕES</v>
      </c>
      <c r="J212" s="230">
        <f t="shared" ca="1" si="183"/>
        <v>1</v>
      </c>
      <c r="K212" s="228" t="str">
        <f t="shared" ca="1" si="151"/>
        <v xml:space="preserve">   CONTENÇÃO</v>
      </c>
      <c r="L212" s="231">
        <f t="shared" ca="1" si="184"/>
        <v>4</v>
      </c>
      <c r="M212" s="228" t="str">
        <f t="shared" ca="1" si="152"/>
        <v xml:space="preserve">   Forma</v>
      </c>
      <c r="N212" s="231">
        <f t="shared" ca="1" si="185"/>
        <v>1</v>
      </c>
      <c r="O212" s="228" t="str">
        <f t="shared" ca="1" si="153"/>
        <v>Fabricacao, montagem e desmontagem de forma para fundacao rasa, em madeira serrada</v>
      </c>
      <c r="P212" s="232" t="str">
        <f>IF(S212="","",IF(Orçamento!$B212="INSUMO",S212,""))</f>
        <v>DESMOLDANTE</v>
      </c>
      <c r="Q212" s="244" t="str">
        <f t="shared" si="146"/>
        <v/>
      </c>
      <c r="R212" s="234">
        <f t="shared" ca="1" si="147"/>
        <v>216.99340049999998</v>
      </c>
      <c r="S212" s="233" t="s">
        <v>171</v>
      </c>
      <c r="T212" s="242" t="str">
        <f>_xlfn.XLOOKUP(S212,Insumos!$A$3:$A$371,Insumos!$B$3:$B$371)</f>
        <v>L</v>
      </c>
      <c r="U212" s="235">
        <f t="shared" ref="U212:U217" ca="1" si="186">IF($B212="insumo",R212,"")</f>
        <v>216.99340049999998</v>
      </c>
      <c r="V212" s="320">
        <v>1.7000000000000001E-2</v>
      </c>
      <c r="W212" s="236">
        <f>IFERROR(IF(B212="INSUMO",_xlfn.XLOOKUP(S212,Insumos!A:A,Insumos!C:C),""),"Inserir Preço")</f>
        <v>6.34</v>
      </c>
      <c r="X212" s="235">
        <f t="shared" ca="1" si="148"/>
        <v>3.6888878085000001</v>
      </c>
      <c r="Y212" s="236">
        <f t="shared" si="100"/>
        <v>0.10778</v>
      </c>
      <c r="Z212" s="237">
        <f t="shared" ca="1" si="165"/>
        <v>23.387548705890001</v>
      </c>
      <c r="AA212" s="238"/>
      <c r="AB212" s="233" t="str">
        <f>IF(B212="insumo",_xlfn.XLOOKUP(S212,Insumos!A:A,Insumos!D:D),"")</f>
        <v xml:space="preserve"> </v>
      </c>
      <c r="AC212" s="239">
        <f t="shared" ca="1" si="166"/>
        <v>3.3551570909247453E-6</v>
      </c>
      <c r="AE212" s="240">
        <f ca="1">IFERROR(IF(OR(Z212="",Z212=0),"",IF(AF212="","",IF(AF212="R$/mês",Z212/OBRA!$D$12,IF(AF212="R$/m²",Z212/OBRA!$D$10,IF(AF212="R$/apto",Orçamento!Z212/OBRA!$D$11,""))))),"")</f>
        <v>1.2035399158046141E-2</v>
      </c>
      <c r="AF212" s="241" t="s">
        <v>154</v>
      </c>
    </row>
    <row r="213" spans="1:32" s="10" customFormat="1" ht="13.15" hidden="1" customHeight="1" outlineLevel="4" x14ac:dyDescent="0.2">
      <c r="A213" s="227"/>
      <c r="B213" s="228" t="s">
        <v>19</v>
      </c>
      <c r="C213" s="229">
        <f t="shared" si="164"/>
        <v>1</v>
      </c>
      <c r="D213" s="227" t="str">
        <f t="shared" si="145"/>
        <v/>
      </c>
      <c r="E213" s="228" t="str">
        <f t="shared" ca="1" si="181"/>
        <v>03.001.004.001</v>
      </c>
      <c r="F213" s="230">
        <f ca="1">IF($B213="UNIDADE CONSTRUTIVA",OFFSET(F213,-1,0)+1,LARGE(F$10:F212,1))</f>
        <v>2</v>
      </c>
      <c r="G213" s="228" t="str">
        <f t="shared" ca="1" si="149"/>
        <v xml:space="preserve">   GERENCIAMENTO EXECUTIVO</v>
      </c>
      <c r="H213" s="230">
        <f t="shared" ca="1" si="182"/>
        <v>3</v>
      </c>
      <c r="I213" s="228" t="str">
        <f t="shared" ca="1" si="150"/>
        <v xml:space="preserve">   CONTENÇÕES</v>
      </c>
      <c r="J213" s="230">
        <f t="shared" ca="1" si="183"/>
        <v>1</v>
      </c>
      <c r="K213" s="228" t="str">
        <f t="shared" ca="1" si="151"/>
        <v xml:space="preserve">   CONTENÇÃO</v>
      </c>
      <c r="L213" s="231">
        <f t="shared" ca="1" si="184"/>
        <v>4</v>
      </c>
      <c r="M213" s="228" t="str">
        <f t="shared" ca="1" si="152"/>
        <v xml:space="preserve">   Forma</v>
      </c>
      <c r="N213" s="231">
        <f t="shared" ca="1" si="185"/>
        <v>1</v>
      </c>
      <c r="O213" s="228" t="str">
        <f t="shared" ca="1" si="153"/>
        <v>Fabricacao, montagem e desmontagem de forma para fundacao rasa, em madeira serrada</v>
      </c>
      <c r="P213" s="232" t="str">
        <f>IF(S213="","",IF(Orçamento!$B213="INSUMO",S213,""))</f>
        <v>PREGO COM CABEÇA 15 X 18</v>
      </c>
      <c r="Q213" s="244" t="str">
        <f t="shared" si="146"/>
        <v/>
      </c>
      <c r="R213" s="234">
        <f t="shared" ca="1" si="147"/>
        <v>216.99340049999998</v>
      </c>
      <c r="S213" s="233" t="s">
        <v>172</v>
      </c>
      <c r="T213" s="242" t="str">
        <f>_xlfn.XLOOKUP(S213,Insumos!$A$3:$A$371,Insumos!$B$3:$B$371)</f>
        <v>KG</v>
      </c>
      <c r="U213" s="235">
        <f t="shared" ca="1" si="186"/>
        <v>216.99340049999998</v>
      </c>
      <c r="V213" s="320">
        <v>2.1999999999999999E-2</v>
      </c>
      <c r="W213" s="236">
        <f>IFERROR(IF(B213="INSUMO",_xlfn.XLOOKUP(S213,Insumos!A:A,Insumos!C:C),""),"Inserir Preço")</f>
        <v>12.8</v>
      </c>
      <c r="X213" s="235">
        <f t="shared" ca="1" si="148"/>
        <v>4.7738548109999996</v>
      </c>
      <c r="Y213" s="236">
        <f t="shared" si="100"/>
        <v>0.28160000000000002</v>
      </c>
      <c r="Z213" s="237">
        <f t="shared" ca="1" si="165"/>
        <v>61.105341580800001</v>
      </c>
      <c r="AA213" s="238"/>
      <c r="AB213" s="233" t="str">
        <f>IF(B213="insumo",_xlfn.XLOOKUP(S213,Insumos!A:A,Insumos!D:D),"")</f>
        <v xml:space="preserve"> </v>
      </c>
      <c r="AC213" s="239">
        <f t="shared" ca="1" si="166"/>
        <v>8.766118359662351E-6</v>
      </c>
      <c r="AE213" s="240">
        <f ca="1">IFERROR(IF(OR(Z213="",Z213=0),"",IF(AF213="","",IF(AF213="R$/mês",Z213/OBRA!$D$12,IF(AF213="R$/m²",Z213/OBRA!$D$10,IF(AF213="R$/apto",Orçamento!Z213/OBRA!$D$11,""))))),"")</f>
        <v>3.1445244042547719E-2</v>
      </c>
      <c r="AF213" s="241" t="s">
        <v>154</v>
      </c>
    </row>
    <row r="214" spans="1:32" s="10" customFormat="1" ht="13.15" hidden="1" customHeight="1" outlineLevel="4" x14ac:dyDescent="0.2">
      <c r="A214" s="227"/>
      <c r="B214" s="228" t="s">
        <v>19</v>
      </c>
      <c r="C214" s="229">
        <f t="shared" si="164"/>
        <v>44</v>
      </c>
      <c r="D214" s="227" t="str">
        <f t="shared" si="145"/>
        <v/>
      </c>
      <c r="E214" s="228" t="str">
        <f t="shared" ca="1" si="181"/>
        <v>03.001.004.001</v>
      </c>
      <c r="F214" s="230">
        <f ca="1">IF($B214="UNIDADE CONSTRUTIVA",OFFSET(F214,-1,0)+1,LARGE(F$10:F213,1))</f>
        <v>2</v>
      </c>
      <c r="G214" s="228" t="str">
        <f t="shared" ca="1" si="149"/>
        <v xml:space="preserve">   GERENCIAMENTO EXECUTIVO</v>
      </c>
      <c r="H214" s="230">
        <f t="shared" ca="1" si="182"/>
        <v>3</v>
      </c>
      <c r="I214" s="228" t="str">
        <f t="shared" ca="1" si="150"/>
        <v xml:space="preserve">   CONTENÇÕES</v>
      </c>
      <c r="J214" s="230">
        <f t="shared" ca="1" si="183"/>
        <v>1</v>
      </c>
      <c r="K214" s="228" t="str">
        <f t="shared" ca="1" si="151"/>
        <v xml:space="preserve">   CONTENÇÃO</v>
      </c>
      <c r="L214" s="231">
        <f t="shared" ca="1" si="184"/>
        <v>4</v>
      </c>
      <c r="M214" s="228" t="str">
        <f t="shared" ca="1" si="152"/>
        <v xml:space="preserve">   Forma</v>
      </c>
      <c r="N214" s="231">
        <f t="shared" ca="1" si="185"/>
        <v>1</v>
      </c>
      <c r="O214" s="228" t="str">
        <f t="shared" ca="1" si="153"/>
        <v>Fabricacao, montagem e desmontagem de forma para fundacao rasa, em madeira serrada</v>
      </c>
      <c r="P214" s="232" t="str">
        <f>IF(S214="","",IF(Orçamento!$B214="INSUMO",S214,""))</f>
        <v>PREGO 17 x 21 COM CABECA</v>
      </c>
      <c r="Q214" s="244" t="str">
        <f t="shared" si="146"/>
        <v/>
      </c>
      <c r="R214" s="234">
        <f t="shared" ca="1" si="147"/>
        <v>216.99340049999998</v>
      </c>
      <c r="S214" s="233" t="s">
        <v>173</v>
      </c>
      <c r="T214" s="242" t="str">
        <f>_xlfn.XLOOKUP(S214,Insumos!$A$3:$A$371,Insumos!$B$3:$B$371)</f>
        <v>KG</v>
      </c>
      <c r="U214" s="235">
        <f t="shared" ca="1" si="186"/>
        <v>216.99340049999998</v>
      </c>
      <c r="V214" s="320">
        <v>4.3999999999999997E-2</v>
      </c>
      <c r="W214" s="236">
        <f>IFERROR(IF(B214="INSUMO",_xlfn.XLOOKUP(S214,Insumos!A:A,Insumos!C:C),""),"Inserir Preço")</f>
        <v>13</v>
      </c>
      <c r="X214" s="235">
        <f t="shared" ca="1" si="148"/>
        <v>9.5477096219999993</v>
      </c>
      <c r="Y214" s="236">
        <f t="shared" si="100"/>
        <v>0.57199999999999995</v>
      </c>
      <c r="Z214" s="237">
        <f t="shared" ca="1" si="165"/>
        <v>124.12022508599999</v>
      </c>
      <c r="AA214" s="238"/>
      <c r="AB214" s="233" t="str">
        <f>IF(B214="insumo",_xlfn.XLOOKUP(S214,Insumos!A:A,Insumos!D:D),"")</f>
        <v xml:space="preserve"> </v>
      </c>
      <c r="AC214" s="239">
        <f t="shared" ca="1" si="166"/>
        <v>1.780617791806415E-5</v>
      </c>
      <c r="AE214" s="240">
        <f ca="1">IFERROR(IF(OR(Z214="",Z214=0),"",IF(AF214="","",IF(AF214="R$/mês",Z214/OBRA!$D$12,IF(AF214="R$/m²",Z214/OBRA!$D$10,IF(AF214="R$/apto",Orçamento!Z214/OBRA!$D$11,""))))),"")</f>
        <v>6.387315196142504E-2</v>
      </c>
      <c r="AF214" s="241" t="s">
        <v>154</v>
      </c>
    </row>
    <row r="215" spans="1:32" s="10" customFormat="1" ht="13.15" hidden="1" customHeight="1" outlineLevel="4" x14ac:dyDescent="0.2">
      <c r="A215" s="227"/>
      <c r="B215" s="228" t="s">
        <v>19</v>
      </c>
      <c r="C215" s="229">
        <f t="shared" si="164"/>
        <v>7</v>
      </c>
      <c r="D215" s="227" t="str">
        <f t="shared" si="145"/>
        <v/>
      </c>
      <c r="E215" s="228" t="str">
        <f t="shared" ca="1" si="181"/>
        <v>03.001.004.001</v>
      </c>
      <c r="F215" s="230">
        <f ca="1">IF($B215="UNIDADE CONSTRUTIVA",OFFSET(F215,-1,0)+1,LARGE(F$10:F214,1))</f>
        <v>2</v>
      </c>
      <c r="G215" s="228" t="str">
        <f t="shared" ca="1" si="149"/>
        <v xml:space="preserve">   GERENCIAMENTO EXECUTIVO</v>
      </c>
      <c r="H215" s="230">
        <f t="shared" ca="1" si="182"/>
        <v>3</v>
      </c>
      <c r="I215" s="228" t="str">
        <f t="shared" ca="1" si="150"/>
        <v xml:space="preserve">   CONTENÇÕES</v>
      </c>
      <c r="J215" s="230">
        <f t="shared" ca="1" si="183"/>
        <v>1</v>
      </c>
      <c r="K215" s="228" t="str">
        <f t="shared" ca="1" si="151"/>
        <v xml:space="preserve">   CONTENÇÃO</v>
      </c>
      <c r="L215" s="231">
        <f t="shared" ca="1" si="184"/>
        <v>4</v>
      </c>
      <c r="M215" s="228" t="str">
        <f t="shared" ca="1" si="152"/>
        <v xml:space="preserve">   Forma</v>
      </c>
      <c r="N215" s="231">
        <f t="shared" ca="1" si="185"/>
        <v>1</v>
      </c>
      <c r="O215" s="228" t="str">
        <f t="shared" ca="1" si="153"/>
        <v>Fabricacao, montagem e desmontagem de forma para fundacao rasa, em madeira serrada</v>
      </c>
      <c r="P215" s="232" t="str">
        <f>IF(S215="","",IF(Orçamento!$B215="INSUMO",S215,""))</f>
        <v>Tabua de pinus 20x2,5x300cm</v>
      </c>
      <c r="Q215" s="244" t="str">
        <f t="shared" si="146"/>
        <v/>
      </c>
      <c r="R215" s="234">
        <f t="shared" ca="1" si="147"/>
        <v>216.99340049999998</v>
      </c>
      <c r="S215" s="233" t="s">
        <v>174</v>
      </c>
      <c r="T215" s="242" t="str">
        <f>_xlfn.XLOOKUP(S215,Insumos!$A$3:$A$371,Insumos!$B$3:$B$371)</f>
        <v>M3</v>
      </c>
      <c r="U215" s="235">
        <f t="shared" ca="1" si="186"/>
        <v>216.99340049999998</v>
      </c>
      <c r="V215" s="320">
        <v>2.9499999999999998E-2</v>
      </c>
      <c r="W215" s="236">
        <f>IFERROR(IF(B215="INSUMO",_xlfn.XLOOKUP(S215,Insumos!A:A,Insumos!C:C),""),"Inserir Preço")</f>
        <v>1410</v>
      </c>
      <c r="X215" s="235">
        <f t="shared" ca="1" si="148"/>
        <v>6.4013053147499992</v>
      </c>
      <c r="Y215" s="236">
        <f t="shared" si="100"/>
        <v>41.594999999999999</v>
      </c>
      <c r="Z215" s="237">
        <f t="shared" ca="1" si="165"/>
        <v>9025.8404937974992</v>
      </c>
      <c r="AA215" s="238"/>
      <c r="AB215" s="233" t="str">
        <f>IF(B215="insumo",_xlfn.XLOOKUP(S215,Insumos!A:A,Insumos!D:D),"")</f>
        <v xml:space="preserve"> </v>
      </c>
      <c r="AC215" s="239">
        <f t="shared" ca="1" si="166"/>
        <v>1.294839109269018E-3</v>
      </c>
      <c r="AE215" s="240">
        <f ca="1">IFERROR(IF(OR(Z215="",Z215=0),"",IF(AF215="","",IF(AF215="R$/mês",Z215/OBRA!$D$12,IF(AF215="R$/m²",Z215/OBRA!$D$10,IF(AF215="R$/apto",Orçamento!Z215/OBRA!$D$11,""))))),"")</f>
        <v>4.6447618109011799</v>
      </c>
      <c r="AF215" s="241" t="s">
        <v>154</v>
      </c>
    </row>
    <row r="216" spans="1:32" s="10" customFormat="1" ht="13.15" hidden="1" customHeight="1" outlineLevel="4" x14ac:dyDescent="0.2">
      <c r="A216" s="227"/>
      <c r="B216" s="228" t="s">
        <v>19</v>
      </c>
      <c r="C216" s="229">
        <f t="shared" si="164"/>
        <v>12</v>
      </c>
      <c r="D216" s="227" t="str">
        <f t="shared" si="145"/>
        <v/>
      </c>
      <c r="E216" s="228" t="str">
        <f t="shared" ca="1" si="181"/>
        <v>03.001.004.001</v>
      </c>
      <c r="F216" s="230">
        <f ca="1">IF($B216="UNIDADE CONSTRUTIVA",OFFSET(F216,-1,0)+1,LARGE(F$10:F215,1))</f>
        <v>2</v>
      </c>
      <c r="G216" s="228" t="str">
        <f t="shared" ca="1" si="149"/>
        <v xml:space="preserve">   GERENCIAMENTO EXECUTIVO</v>
      </c>
      <c r="H216" s="230">
        <f t="shared" ca="1" si="182"/>
        <v>3</v>
      </c>
      <c r="I216" s="228" t="str">
        <f t="shared" ca="1" si="150"/>
        <v xml:space="preserve">   CONTENÇÕES</v>
      </c>
      <c r="J216" s="230">
        <f t="shared" ca="1" si="183"/>
        <v>1</v>
      </c>
      <c r="K216" s="228" t="str">
        <f t="shared" ca="1" si="151"/>
        <v xml:space="preserve">   CONTENÇÃO</v>
      </c>
      <c r="L216" s="231">
        <f t="shared" ca="1" si="184"/>
        <v>4</v>
      </c>
      <c r="M216" s="228" t="str">
        <f t="shared" ca="1" si="152"/>
        <v xml:space="preserve">   Forma</v>
      </c>
      <c r="N216" s="231">
        <f t="shared" ca="1" si="185"/>
        <v>1</v>
      </c>
      <c r="O216" s="228" t="str">
        <f t="shared" ca="1" si="153"/>
        <v>Fabricacao, montagem e desmontagem de forma para fundacao rasa, em madeira serrada</v>
      </c>
      <c r="P216" s="232" t="str">
        <f>IF(S216="","",IF(Orçamento!$B216="INSUMO",S216,""))</f>
        <v>SARRAFO DE MADEIRA 7,0 x 3 M</v>
      </c>
      <c r="Q216" s="244" t="str">
        <f t="shared" si="146"/>
        <v/>
      </c>
      <c r="R216" s="234">
        <f t="shared" ca="1" si="147"/>
        <v>216.99340049999998</v>
      </c>
      <c r="S216" s="233" t="s">
        <v>175</v>
      </c>
      <c r="T216" s="242" t="str">
        <f>_xlfn.XLOOKUP(S216,Insumos!$A$3:$A$371,Insumos!$B$3:$B$371)</f>
        <v>M3</v>
      </c>
      <c r="U216" s="235">
        <f t="shared" ca="1" si="186"/>
        <v>216.99340049999998</v>
      </c>
      <c r="V216" s="320">
        <v>6.4000000000000003E-3</v>
      </c>
      <c r="W216" s="236">
        <f>IFERROR(IF(B216="INSUMO",_xlfn.XLOOKUP(S216,Insumos!A:A,Insumos!C:C),""),"Inserir Preço")</f>
        <v>1300</v>
      </c>
      <c r="X216" s="235">
        <f t="shared" ca="1" si="148"/>
        <v>1.3887577631999999</v>
      </c>
      <c r="Y216" s="236">
        <f t="shared" si="100"/>
        <v>8.32</v>
      </c>
      <c r="Z216" s="237">
        <f t="shared" ca="1" si="165"/>
        <v>1805.3850921599999</v>
      </c>
      <c r="AA216" s="238"/>
      <c r="AB216" s="233" t="str">
        <f>IF(B216="insumo",_xlfn.XLOOKUP(S216,Insumos!A:A,Insumos!D:D),"")</f>
        <v xml:space="preserve"> </v>
      </c>
      <c r="AC216" s="239">
        <f t="shared" ca="1" si="166"/>
        <v>2.5899895153547853E-4</v>
      </c>
      <c r="AE216" s="240">
        <f ca="1">IFERROR(IF(OR(Z216="",Z216=0),"",IF(AF216="","",IF(AF216="R$/mês",Z216/OBRA!$D$12,IF(AF216="R$/m²",Z216/OBRA!$D$10,IF(AF216="R$/apto",Orçamento!Z216/OBRA!$D$11,""))))),"")</f>
        <v>0.92906402852981884</v>
      </c>
      <c r="AF216" s="241" t="s">
        <v>154</v>
      </c>
    </row>
    <row r="217" spans="1:32" s="10" customFormat="1" ht="13.15" hidden="1" customHeight="1" outlineLevel="4" x14ac:dyDescent="0.2">
      <c r="A217" s="227"/>
      <c r="B217" s="228" t="s">
        <v>19</v>
      </c>
      <c r="C217" s="229">
        <f t="shared" si="164"/>
        <v>26</v>
      </c>
      <c r="D217" s="227" t="str">
        <f t="shared" si="145"/>
        <v/>
      </c>
      <c r="E217" s="228" t="str">
        <f t="shared" ca="1" si="181"/>
        <v>03.001.004.001</v>
      </c>
      <c r="F217" s="230">
        <f ca="1">IF($B217="UNIDADE CONSTRUTIVA",OFFSET(F217,-1,0)+1,LARGE(F$10:F216,1))</f>
        <v>2</v>
      </c>
      <c r="G217" s="228" t="str">
        <f t="shared" ca="1" si="149"/>
        <v xml:space="preserve">   GERENCIAMENTO EXECUTIVO</v>
      </c>
      <c r="H217" s="230">
        <f t="shared" ca="1" si="182"/>
        <v>3</v>
      </c>
      <c r="I217" s="228" t="str">
        <f t="shared" ca="1" si="150"/>
        <v xml:space="preserve">   CONTENÇÕES</v>
      </c>
      <c r="J217" s="230">
        <f t="shared" ca="1" si="183"/>
        <v>1</v>
      </c>
      <c r="K217" s="228" t="str">
        <f t="shared" ca="1" si="151"/>
        <v xml:space="preserve">   CONTENÇÃO</v>
      </c>
      <c r="L217" s="231">
        <f t="shared" ca="1" si="184"/>
        <v>4</v>
      </c>
      <c r="M217" s="228" t="str">
        <f t="shared" ca="1" si="152"/>
        <v xml:space="preserve">   Forma</v>
      </c>
      <c r="N217" s="231">
        <f t="shared" ca="1" si="185"/>
        <v>1</v>
      </c>
      <c r="O217" s="228" t="str">
        <f t="shared" ca="1" si="153"/>
        <v>Fabricacao, montagem e desmontagem de forma para fundacao rasa, em madeira serrada</v>
      </c>
      <c r="P217" s="232" t="str">
        <f>IF(S217="","",IF(Orçamento!$B217="INSUMO",S217,""))</f>
        <v>MADEIRA PINUS/SIMILAR - PONTALETE 75X75MM NBR 11700/15696</v>
      </c>
      <c r="Q217" s="244" t="str">
        <f t="shared" si="146"/>
        <v/>
      </c>
      <c r="R217" s="234">
        <f t="shared" ca="1" si="147"/>
        <v>216.99340049999998</v>
      </c>
      <c r="S217" s="233" t="s">
        <v>807</v>
      </c>
      <c r="T217" s="242" t="str">
        <f>_xlfn.XLOOKUP(S217,Insumos!$A$3:$A$371,Insumos!$B$3:$B$371)</f>
        <v>M</v>
      </c>
      <c r="U217" s="235">
        <f t="shared" ca="1" si="186"/>
        <v>216.99340049999998</v>
      </c>
      <c r="V217" s="320">
        <v>2.41</v>
      </c>
      <c r="W217" s="236">
        <f>IFERROR(IF(B217="INSUMO",_xlfn.XLOOKUP(S217,Insumos!A:A,Insumos!C:C),""),"Inserir Preço")</f>
        <v>7</v>
      </c>
      <c r="X217" s="235">
        <f t="shared" ca="1" si="148"/>
        <v>522.95409520499993</v>
      </c>
      <c r="Y217" s="236">
        <f t="shared" si="100"/>
        <v>16.87</v>
      </c>
      <c r="Z217" s="237">
        <f t="shared" ca="1" si="165"/>
        <v>3660.6786664349993</v>
      </c>
      <c r="AA217" s="238"/>
      <c r="AB217" s="233" t="str">
        <f>IF(B217="insumo",_xlfn.XLOOKUP(S217,Insumos!A:A,Insumos!D:D),"")</f>
        <v xml:space="preserve"> </v>
      </c>
      <c r="AC217" s="239">
        <f t="shared" ca="1" si="166"/>
        <v>5.2515772985619257E-4</v>
      </c>
      <c r="AE217" s="240">
        <f ca="1">IFERROR(IF(OR(Z217="",Z217=0),"",IF(AF217="","",IF(AF217="R$/mês",Z217/OBRA!$D$12,IF(AF217="R$/m²",Z217/OBRA!$D$10,IF(AF217="R$/apto",Orçamento!Z217/OBRA!$D$11,""))))),"")</f>
        <v>1.883811317463707</v>
      </c>
      <c r="AF217" s="241" t="s">
        <v>154</v>
      </c>
    </row>
    <row r="218" spans="1:32" s="10" customFormat="1" ht="13.15" hidden="1" customHeight="1" outlineLevel="3" collapsed="1" x14ac:dyDescent="0.2">
      <c r="A218" s="227"/>
      <c r="B218" s="228" t="s">
        <v>3</v>
      </c>
      <c r="C218" s="229" t="str">
        <f t="shared" si="164"/>
        <v/>
      </c>
      <c r="D218" s="227" t="str">
        <f t="shared" ca="1" si="145"/>
        <v>03.001.005</v>
      </c>
      <c r="E218" s="228" t="str">
        <f t="shared" ca="1" si="181"/>
        <v>03.001.004.001</v>
      </c>
      <c r="F218" s="230">
        <f ca="1">IF($B218="UNIDADE CONSTRUTIVA",OFFSET(F218,-1,0)+1,LARGE(F$10:F217,1))</f>
        <v>2</v>
      </c>
      <c r="G218" s="228" t="str">
        <f t="shared" ca="1" si="149"/>
        <v xml:space="preserve">   GERENCIAMENTO EXECUTIVO</v>
      </c>
      <c r="H218" s="230">
        <f t="shared" ca="1" si="182"/>
        <v>3</v>
      </c>
      <c r="I218" s="228" t="str">
        <f t="shared" ca="1" si="150"/>
        <v xml:space="preserve">   CONTENÇÕES</v>
      </c>
      <c r="J218" s="230">
        <f t="shared" ca="1" si="183"/>
        <v>1</v>
      </c>
      <c r="K218" s="228" t="str">
        <f t="shared" ca="1" si="151"/>
        <v xml:space="preserve">   CONTENÇÃO</v>
      </c>
      <c r="L218" s="231">
        <f t="shared" ca="1" si="184"/>
        <v>5</v>
      </c>
      <c r="M218" s="228" t="str">
        <f t="shared" ca="1" si="152"/>
        <v xml:space="preserve">   Armadura</v>
      </c>
      <c r="N218" s="231">
        <f t="shared" ca="1" si="185"/>
        <v>0</v>
      </c>
      <c r="O218" s="228" t="str">
        <f t="shared" ca="1" si="153"/>
        <v>Fabricacao, montagem e desmontagem de forma para fundacao rasa, em madeira serrada</v>
      </c>
      <c r="P218" s="232" t="str">
        <f>IF(S218="","",IF(Orçamento!$B218="INSUMO",S218,""))</f>
        <v/>
      </c>
      <c r="Q218" s="244" t="str">
        <f t="shared" si="146"/>
        <v/>
      </c>
      <c r="R218" s="234">
        <f t="shared" ca="1" si="147"/>
        <v>216.99340049999998</v>
      </c>
      <c r="S218" s="233" t="s">
        <v>434</v>
      </c>
      <c r="T218" s="242" t="s">
        <v>35</v>
      </c>
      <c r="U218" s="235" t="str">
        <f>IF($B218="insumo",R218,"")</f>
        <v/>
      </c>
      <c r="V218" s="320" t="s">
        <v>35</v>
      </c>
      <c r="W218" s="236" t="str">
        <f>IFERROR(IF(B218="INSUMO",_xlfn.XLOOKUP(S218,Insumos!A:A,Insumos!C:C),""),"Inserir Preço")</f>
        <v/>
      </c>
      <c r="X218" s="235" t="str">
        <f t="shared" ca="1" si="148"/>
        <v/>
      </c>
      <c r="Y218" s="236" t="str">
        <f t="shared" si="100"/>
        <v/>
      </c>
      <c r="Z218" s="237">
        <f t="shared" ca="1" si="165"/>
        <v>7529.1092760000001</v>
      </c>
      <c r="AA218" s="238"/>
      <c r="AB218" s="233" t="str">
        <f>IF(B218="insumo",_xlfn.XLOOKUP(S218,Insumos!A:A,Insumos!D:D),"")</f>
        <v/>
      </c>
      <c r="AC218" s="239">
        <f t="shared" ca="1" si="166"/>
        <v>1.0801193700713393E-3</v>
      </c>
      <c r="AE218" s="240">
        <f ca="1">IFERROR(IF(OR(Z218="",Z218=0),"",IF(AF218="","",IF(AF218="R$/mês",Z218/OBRA!$D$12,IF(AF218="R$/m²",Z218/OBRA!$D$10,IF(AF218="R$/apto",Orçamento!Z218/OBRA!$D$11,""))))),"")</f>
        <v>3.8745332647190502</v>
      </c>
      <c r="AF218" s="241" t="s">
        <v>154</v>
      </c>
    </row>
    <row r="219" spans="1:32" s="10" customFormat="1" ht="13.15" hidden="1" customHeight="1" outlineLevel="4" x14ac:dyDescent="0.2">
      <c r="A219" s="227"/>
      <c r="B219" s="228" t="s">
        <v>4</v>
      </c>
      <c r="C219" s="229">
        <f t="shared" si="164"/>
        <v>1</v>
      </c>
      <c r="D219" s="227" t="str">
        <f t="shared" ca="1" si="145"/>
        <v>03.001.005.001</v>
      </c>
      <c r="E219" s="228" t="str">
        <f t="shared" ca="1" si="181"/>
        <v>03.001.005.001</v>
      </c>
      <c r="F219" s="230">
        <f ca="1">IF($B219="UNIDADE CONSTRUTIVA",OFFSET(F219,-1,0)+1,LARGE(F$10:F218,1))</f>
        <v>2</v>
      </c>
      <c r="G219" s="228" t="str">
        <f t="shared" ca="1" si="149"/>
        <v xml:space="preserve">   GERENCIAMENTO EXECUTIVO</v>
      </c>
      <c r="H219" s="230">
        <f t="shared" ca="1" si="182"/>
        <v>3</v>
      </c>
      <c r="I219" s="228" t="str">
        <f t="shared" ca="1" si="150"/>
        <v xml:space="preserve">   CONTENÇÕES</v>
      </c>
      <c r="J219" s="230">
        <f t="shared" ca="1" si="183"/>
        <v>1</v>
      </c>
      <c r="K219" s="228" t="str">
        <f t="shared" ca="1" si="151"/>
        <v xml:space="preserve">   CONTENÇÃO</v>
      </c>
      <c r="L219" s="231">
        <f t="shared" ca="1" si="184"/>
        <v>5</v>
      </c>
      <c r="M219" s="228" t="str">
        <f t="shared" ca="1" si="152"/>
        <v xml:space="preserve">   Armadura</v>
      </c>
      <c r="N219" s="231">
        <f t="shared" ca="1" si="185"/>
        <v>1</v>
      </c>
      <c r="O219" s="228" t="str">
        <f t="shared" ca="1" si="153"/>
        <v>Armacao aco CA-50 ø 6.3mm para Contenções- cortado e dobrado em industria</v>
      </c>
      <c r="P219" s="232" t="str">
        <f>IF(S219="","",IF(Orçamento!$B219="INSUMO",S219,""))</f>
        <v/>
      </c>
      <c r="Q219" s="244" t="str">
        <f t="shared" si="146"/>
        <v>Armacao aco CA-50 ø 6.3mm para Contenções- cortado e dobrado em industria</v>
      </c>
      <c r="R219" s="234">
        <f t="shared" ca="1" si="147"/>
        <v>343.2</v>
      </c>
      <c r="S219" s="233" t="s">
        <v>1134</v>
      </c>
      <c r="T219" s="242" t="s">
        <v>159</v>
      </c>
      <c r="U219" s="235">
        <v>343.2</v>
      </c>
      <c r="V219" s="320" t="s">
        <v>35</v>
      </c>
      <c r="W219" s="236" t="str">
        <f>IFERROR(IF(B219="INSUMO",_xlfn.XLOOKUP(S219,Insumos!A:A,Insumos!C:C),""),"Inserir Preço")</f>
        <v/>
      </c>
      <c r="X219" s="235">
        <f t="shared" ca="1" si="148"/>
        <v>343.2</v>
      </c>
      <c r="Y219" s="236">
        <f t="shared" ca="1" si="100"/>
        <v>6.6564399999999999</v>
      </c>
      <c r="Z219" s="237">
        <f t="shared" ca="1" si="165"/>
        <v>2284.4902079999997</v>
      </c>
      <c r="AA219" s="238"/>
      <c r="AB219" s="233" t="str">
        <f>IF(B219="insumo",_xlfn.XLOOKUP(S219,Insumos!A:A,Insumos!D:D),"")</f>
        <v/>
      </c>
      <c r="AC219" s="239">
        <f t="shared" ca="1" si="166"/>
        <v>3.2773094850205525E-4</v>
      </c>
      <c r="AE219" s="240">
        <f ca="1">IFERROR(IF(OR(Z219="",Z219=0),"",IF(AF219="","",IF(AF219="R$/mês",Z219/OBRA!$D$12,IF(AF219="R$/m²",Z219/OBRA!$D$10,IF(AF219="R$/apto",Orçamento!Z219/OBRA!$D$11,""))))),"")</f>
        <v>1.175614933898715</v>
      </c>
      <c r="AF219" s="241" t="s">
        <v>154</v>
      </c>
    </row>
    <row r="220" spans="1:32" s="10" customFormat="1" ht="13.15" hidden="1" customHeight="1" outlineLevel="4" x14ac:dyDescent="0.2">
      <c r="A220" s="227"/>
      <c r="B220" s="228" t="s">
        <v>19</v>
      </c>
      <c r="C220" s="229">
        <f t="shared" si="164"/>
        <v>6</v>
      </c>
      <c r="D220" s="227" t="str">
        <f t="shared" si="145"/>
        <v/>
      </c>
      <c r="E220" s="228" t="str">
        <f t="shared" ca="1" si="181"/>
        <v>03.001.005.001</v>
      </c>
      <c r="F220" s="230">
        <f ca="1">IF($B220="UNIDADE CONSTRUTIVA",OFFSET(F220,-1,0)+1,LARGE(F$10:F219,1))</f>
        <v>2</v>
      </c>
      <c r="G220" s="228" t="str">
        <f t="shared" ca="1" si="149"/>
        <v xml:space="preserve">   GERENCIAMENTO EXECUTIVO</v>
      </c>
      <c r="H220" s="230">
        <f t="shared" ca="1" si="182"/>
        <v>3</v>
      </c>
      <c r="I220" s="228" t="str">
        <f t="shared" ca="1" si="150"/>
        <v xml:space="preserve">   CONTENÇÕES</v>
      </c>
      <c r="J220" s="230">
        <f t="shared" ca="1" si="183"/>
        <v>1</v>
      </c>
      <c r="K220" s="228" t="str">
        <f t="shared" ca="1" si="151"/>
        <v xml:space="preserve">   CONTENÇÃO</v>
      </c>
      <c r="L220" s="231">
        <f t="shared" ca="1" si="184"/>
        <v>5</v>
      </c>
      <c r="M220" s="228" t="str">
        <f t="shared" ca="1" si="152"/>
        <v xml:space="preserve">   Armadura</v>
      </c>
      <c r="N220" s="231">
        <f t="shared" ca="1" si="185"/>
        <v>1</v>
      </c>
      <c r="O220" s="228" t="str">
        <f t="shared" ca="1" si="153"/>
        <v>Armacao aco CA-50 ø 6.3mm para Contenções- cortado e dobrado em industria</v>
      </c>
      <c r="P220" s="232" t="str">
        <f>IF(S220="","",IF(Orçamento!$B220="INSUMO",S220,""))</f>
        <v>ACO CA-50A 6,30 MM (1/4)</v>
      </c>
      <c r="Q220" s="244" t="str">
        <f t="shared" si="146"/>
        <v/>
      </c>
      <c r="R220" s="234">
        <f t="shared" ca="1" si="147"/>
        <v>343.2</v>
      </c>
      <c r="S220" s="233" t="s">
        <v>160</v>
      </c>
      <c r="T220" s="242" t="str">
        <f>_xlfn.XLOOKUP(S220,Insumos!$A$3:$A$371,Insumos!$B$3:$B$371)</f>
        <v>KG</v>
      </c>
      <c r="U220" s="235">
        <f ca="1">IF($B220="insumo",R220,"")</f>
        <v>343.2</v>
      </c>
      <c r="V220" s="320">
        <v>1.1000000000000001</v>
      </c>
      <c r="W220" s="236">
        <f>IFERROR(IF(B220="INSUMO",_xlfn.XLOOKUP(S220,Insumos!A:A,Insumos!C:C),""),"Inserir Preço")</f>
        <v>5.62</v>
      </c>
      <c r="X220" s="235">
        <f t="shared" ca="1" si="148"/>
        <v>377.52000000000004</v>
      </c>
      <c r="Y220" s="236">
        <f t="shared" si="100"/>
        <v>6.1820000000000004</v>
      </c>
      <c r="Z220" s="237">
        <f t="shared" ca="1" si="165"/>
        <v>2121.6624000000002</v>
      </c>
      <c r="AA220" s="238"/>
      <c r="AB220" s="233" t="str">
        <f>IF(B220="insumo",_xlfn.XLOOKUP(S220,Insumos!A:A,Insumos!D:D),"")</f>
        <v>KNORR</v>
      </c>
      <c r="AC220" s="239">
        <f t="shared" ca="1" si="166"/>
        <v>3.0437181491002792E-4</v>
      </c>
      <c r="AE220" s="240">
        <f ca="1">IFERROR(IF(OR(Z220="",Z220=0),"",IF(AF220="","",IF(AF220="R$/mês",Z220/OBRA!$D$12,IF(AF220="R$/m²",Z220/OBRA!$D$10,IF(AF220="R$/apto",Orçamento!Z220/OBRA!$D$11,""))))),"")</f>
        <v>1.0918225840482085</v>
      </c>
      <c r="AF220" s="241" t="s">
        <v>154</v>
      </c>
    </row>
    <row r="221" spans="1:32" s="10" customFormat="1" ht="13.15" hidden="1" customHeight="1" outlineLevel="4" x14ac:dyDescent="0.2">
      <c r="A221" s="227"/>
      <c r="B221" s="228" t="s">
        <v>19</v>
      </c>
      <c r="C221" s="229">
        <f t="shared" si="164"/>
        <v>42</v>
      </c>
      <c r="D221" s="227" t="str">
        <f t="shared" si="145"/>
        <v/>
      </c>
      <c r="E221" s="228" t="str">
        <f t="shared" ca="1" si="181"/>
        <v>03.001.005.001</v>
      </c>
      <c r="F221" s="230">
        <f ca="1">IF($B221="UNIDADE CONSTRUTIVA",OFFSET(F221,-1,0)+1,LARGE(F$10:F220,1))</f>
        <v>2</v>
      </c>
      <c r="G221" s="228" t="str">
        <f t="shared" ca="1" si="149"/>
        <v xml:space="preserve">   GERENCIAMENTO EXECUTIVO</v>
      </c>
      <c r="H221" s="230">
        <f t="shared" ca="1" si="182"/>
        <v>3</v>
      </c>
      <c r="I221" s="228" t="str">
        <f t="shared" ca="1" si="150"/>
        <v xml:space="preserve">   CONTENÇÕES</v>
      </c>
      <c r="J221" s="230">
        <f t="shared" ca="1" si="183"/>
        <v>1</v>
      </c>
      <c r="K221" s="228" t="str">
        <f t="shared" ca="1" si="151"/>
        <v xml:space="preserve">   CONTENÇÃO</v>
      </c>
      <c r="L221" s="231">
        <f t="shared" ca="1" si="184"/>
        <v>5</v>
      </c>
      <c r="M221" s="228" t="str">
        <f t="shared" ca="1" si="152"/>
        <v xml:space="preserve">   Armadura</v>
      </c>
      <c r="N221" s="231">
        <f t="shared" ca="1" si="185"/>
        <v>1</v>
      </c>
      <c r="O221" s="228" t="str">
        <f t="shared" ca="1" si="153"/>
        <v>Armacao aco CA-50 ø 6.3mm para Contenções- cortado e dobrado em industria</v>
      </c>
      <c r="P221" s="232" t="str">
        <f>IF(S221="","",IF(Orçamento!$B221="INSUMO",S221,""))</f>
        <v>ARAME RECOZIDO 18 BWG, 1,25MM (0,010 KG/M)</v>
      </c>
      <c r="Q221" s="244" t="str">
        <f t="shared" si="146"/>
        <v/>
      </c>
      <c r="R221" s="234">
        <f t="shared" ca="1" si="147"/>
        <v>343.2</v>
      </c>
      <c r="S221" s="233" t="s">
        <v>161</v>
      </c>
      <c r="T221" s="242" t="str">
        <f>_xlfn.XLOOKUP(S221,Insumos!$A$3:$A$371,Insumos!$B$3:$B$371)</f>
        <v>KG</v>
      </c>
      <c r="U221" s="235">
        <f ca="1">IF($B221="insumo",R221,"")</f>
        <v>343.2</v>
      </c>
      <c r="V221" s="320">
        <v>0.02</v>
      </c>
      <c r="W221" s="236">
        <f>IFERROR(IF(B221="INSUMO",_xlfn.XLOOKUP(S221,Insumos!A:A,Insumos!C:C),""),"Inserir Preço")</f>
        <v>13.69</v>
      </c>
      <c r="X221" s="235">
        <f t="shared" ca="1" si="148"/>
        <v>6.8639999999999999</v>
      </c>
      <c r="Y221" s="236">
        <f t="shared" si="100"/>
        <v>0.27379999999999999</v>
      </c>
      <c r="Z221" s="237">
        <f t="shared" ca="1" si="165"/>
        <v>93.968159999999997</v>
      </c>
      <c r="AA221" s="238"/>
      <c r="AB221" s="233" t="str">
        <f>IF(B221="insumo",_xlfn.XLOOKUP(S221,Insumos!A:A,Insumos!D:D),"")</f>
        <v>GERDAU</v>
      </c>
      <c r="AC221" s="239">
        <f t="shared" ca="1" si="166"/>
        <v>1.3480589278933295E-5</v>
      </c>
      <c r="AE221" s="240">
        <f ca="1">IFERROR(IF(OR(Z221="",Z221=0),"",IF(AF221="","",IF(AF221="R$/mês",Z221/OBRA!$D$12,IF(AF221="R$/m²",Z221/OBRA!$D$10,IF(AF221="R$/apto",Orçamento!Z221/OBRA!$D$11,""))))),"")</f>
        <v>4.8356684489226698E-2</v>
      </c>
      <c r="AF221" s="241" t="s">
        <v>154</v>
      </c>
    </row>
    <row r="222" spans="1:32" s="10" customFormat="1" ht="13.15" hidden="1" customHeight="1" outlineLevel="4" x14ac:dyDescent="0.2">
      <c r="A222" s="227"/>
      <c r="B222" s="228" t="s">
        <v>19</v>
      </c>
      <c r="C222" s="229">
        <f t="shared" si="164"/>
        <v>37</v>
      </c>
      <c r="D222" s="227" t="str">
        <f t="shared" si="145"/>
        <v/>
      </c>
      <c r="E222" s="228" t="str">
        <f t="shared" ca="1" si="181"/>
        <v>03.001.005.001</v>
      </c>
      <c r="F222" s="230">
        <f ca="1">IF($B222="UNIDADE CONSTRUTIVA",OFFSET(F222,-1,0)+1,LARGE(F$10:F221,1))</f>
        <v>2</v>
      </c>
      <c r="G222" s="228" t="str">
        <f t="shared" ca="1" si="149"/>
        <v xml:space="preserve">   GERENCIAMENTO EXECUTIVO</v>
      </c>
      <c r="H222" s="230">
        <f t="shared" ca="1" si="182"/>
        <v>3</v>
      </c>
      <c r="I222" s="228" t="str">
        <f t="shared" ca="1" si="150"/>
        <v xml:space="preserve">   CONTENÇÕES</v>
      </c>
      <c r="J222" s="230">
        <f t="shared" ca="1" si="183"/>
        <v>1</v>
      </c>
      <c r="K222" s="228" t="str">
        <f t="shared" ca="1" si="151"/>
        <v xml:space="preserve">   CONTENÇÃO</v>
      </c>
      <c r="L222" s="231">
        <f t="shared" ca="1" si="184"/>
        <v>5</v>
      </c>
      <c r="M222" s="228" t="str">
        <f t="shared" ca="1" si="152"/>
        <v xml:space="preserve">   Armadura</v>
      </c>
      <c r="N222" s="231">
        <f t="shared" ca="1" si="185"/>
        <v>1</v>
      </c>
      <c r="O222" s="228" t="str">
        <f t="shared" ca="1" si="153"/>
        <v>Armacao aco CA-50 ø 6.3mm para Contenções- cortado e dobrado em industria</v>
      </c>
      <c r="P222" s="232" t="str">
        <f>IF(S222="","",IF(Orçamento!$B222="INSUMO",S222,""))</f>
        <v>ESPACADOR CIRCULAR 40MM</v>
      </c>
      <c r="Q222" s="244" t="str">
        <f t="shared" si="146"/>
        <v/>
      </c>
      <c r="R222" s="234">
        <f t="shared" ca="1" si="147"/>
        <v>343.2</v>
      </c>
      <c r="S222" s="233" t="s">
        <v>162</v>
      </c>
      <c r="T222" s="242" t="str">
        <f>_xlfn.XLOOKUP(S222,Insumos!$A$3:$A$371,Insumos!$B$3:$B$371)</f>
        <v>UN</v>
      </c>
      <c r="U222" s="235">
        <f ca="1">IF($B222="insumo",R222,"")</f>
        <v>343.2</v>
      </c>
      <c r="V222" s="320">
        <v>0.26400000000000001</v>
      </c>
      <c r="W222" s="236">
        <f>IFERROR(IF(B222="INSUMO",_xlfn.XLOOKUP(S222,Insumos!A:A,Insumos!C:C),""),"Inserir Preço")</f>
        <v>0.76</v>
      </c>
      <c r="X222" s="235">
        <f t="shared" ca="1" si="148"/>
        <v>90.604799999999997</v>
      </c>
      <c r="Y222" s="236">
        <f t="shared" si="100"/>
        <v>0.20064000000000001</v>
      </c>
      <c r="Z222" s="237">
        <f t="shared" ca="1" si="165"/>
        <v>68.859647999999993</v>
      </c>
      <c r="AA222" s="238"/>
      <c r="AB222" s="233" t="str">
        <f>IF(B222="insumo",_xlfn.XLOOKUP(S222,Insumos!A:A,Insumos!D:D),"")</f>
        <v xml:space="preserve"> </v>
      </c>
      <c r="AC222" s="239">
        <f t="shared" ca="1" si="166"/>
        <v>9.8785443130941423E-6</v>
      </c>
      <c r="AE222" s="240">
        <f ca="1">IFERROR(IF(OR(Z222="",Z222=0),"",IF(AF222="","",IF(AF222="R$/mês",Z222/OBRA!$D$12,IF(AF222="R$/m²",Z222/OBRA!$D$10,IF(AF222="R$/apto",Orçamento!Z222/OBRA!$D$11,""))))),"")</f>
        <v>3.5435665361279928E-2</v>
      </c>
      <c r="AF222" s="241" t="s">
        <v>154</v>
      </c>
    </row>
    <row r="223" spans="1:32" s="10" customFormat="1" ht="13.15" hidden="1" customHeight="1" outlineLevel="4" x14ac:dyDescent="0.2">
      <c r="A223" s="227"/>
      <c r="B223" s="228" t="s">
        <v>4</v>
      </c>
      <c r="C223" s="229">
        <f t="shared" si="164"/>
        <v>1</v>
      </c>
      <c r="D223" s="227" t="str">
        <f t="shared" ca="1" si="145"/>
        <v>03.001.005.002</v>
      </c>
      <c r="E223" s="228" t="str">
        <f t="shared" ca="1" si="181"/>
        <v>03.001.005.002</v>
      </c>
      <c r="F223" s="230">
        <f ca="1">IF($B223="UNIDADE CONSTRUTIVA",OFFSET(F223,-1,0)+1,LARGE(F$10:F222,1))</f>
        <v>2</v>
      </c>
      <c r="G223" s="228" t="str">
        <f t="shared" ca="1" si="149"/>
        <v xml:space="preserve">   GERENCIAMENTO EXECUTIVO</v>
      </c>
      <c r="H223" s="230">
        <f t="shared" ca="1" si="182"/>
        <v>3</v>
      </c>
      <c r="I223" s="228" t="str">
        <f t="shared" ca="1" si="150"/>
        <v xml:space="preserve">   CONTENÇÕES</v>
      </c>
      <c r="J223" s="230">
        <f t="shared" ca="1" si="183"/>
        <v>1</v>
      </c>
      <c r="K223" s="228" t="str">
        <f t="shared" ca="1" si="151"/>
        <v xml:space="preserve">   CONTENÇÃO</v>
      </c>
      <c r="L223" s="231">
        <f t="shared" ca="1" si="184"/>
        <v>5</v>
      </c>
      <c r="M223" s="228" t="str">
        <f t="shared" ca="1" si="152"/>
        <v xml:space="preserve">   Armadura</v>
      </c>
      <c r="N223" s="231">
        <f t="shared" ca="1" si="185"/>
        <v>2</v>
      </c>
      <c r="O223" s="228" t="str">
        <f t="shared" ca="1" si="153"/>
        <v>Armacao aco CA-50 ø 10.0mm para Contenções- cortado e dobrado em industria</v>
      </c>
      <c r="P223" s="232" t="str">
        <f>IF(S223="","",IF(Orçamento!$B223="INSUMO",S223,""))</f>
        <v/>
      </c>
      <c r="Q223" s="244" t="str">
        <f t="shared" si="146"/>
        <v>Armacao aco CA-50 ø 10.0mm para Contenções- cortado e dobrado em industria</v>
      </c>
      <c r="R223" s="234">
        <f t="shared" ca="1" si="147"/>
        <v>795.6</v>
      </c>
      <c r="S223" s="233" t="s">
        <v>1135</v>
      </c>
      <c r="T223" s="242" t="s">
        <v>159</v>
      </c>
      <c r="U223" s="235">
        <v>795.6</v>
      </c>
      <c r="V223" s="320" t="s">
        <v>35</v>
      </c>
      <c r="W223" s="236" t="str">
        <f>IFERROR(IF(B223="INSUMO",_xlfn.XLOOKUP(S223,Insumos!A:A,Insumos!C:C),""),"Inserir Preço")</f>
        <v/>
      </c>
      <c r="X223" s="235">
        <f t="shared" ca="1" si="148"/>
        <v>795.6</v>
      </c>
      <c r="Y223" s="236">
        <f t="shared" ca="1" si="100"/>
        <v>6.5920300000000012</v>
      </c>
      <c r="Z223" s="237">
        <f t="shared" ca="1" si="165"/>
        <v>5244.6190680000009</v>
      </c>
      <c r="AA223" s="238"/>
      <c r="AB223" s="233" t="str">
        <f>IF(B223="insumo",_xlfn.XLOOKUP(S223,Insumos!A:A,Insumos!D:D),"")</f>
        <v/>
      </c>
      <c r="AC223" s="239">
        <f t="shared" ca="1" si="166"/>
        <v>7.5238842156928414E-4</v>
      </c>
      <c r="AE223" s="240">
        <f ca="1">IFERROR(IF(OR(Z223="",Z223=0),"",IF(AF223="","",IF(AF223="R$/mês",Z223/OBRA!$D$12,IF(AF223="R$/m²",Z223/OBRA!$D$10,IF(AF223="R$/apto",Orçamento!Z223/OBRA!$D$11,""))))),"")</f>
        <v>2.6989183308203355</v>
      </c>
      <c r="AF223" s="241" t="s">
        <v>154</v>
      </c>
    </row>
    <row r="224" spans="1:32" s="10" customFormat="1" ht="13.15" hidden="1" customHeight="1" outlineLevel="4" x14ac:dyDescent="0.2">
      <c r="A224" s="227"/>
      <c r="B224" s="228" t="s">
        <v>19</v>
      </c>
      <c r="C224" s="229">
        <f t="shared" si="164"/>
        <v>6</v>
      </c>
      <c r="D224" s="227" t="str">
        <f t="shared" si="145"/>
        <v/>
      </c>
      <c r="E224" s="228" t="str">
        <f t="shared" ref="E224:E233" ca="1" si="187">IF(B224="*","",IFERROR(IF(B224="SERVIÇO",D224,OFFSET(E224,-1,0)),""))</f>
        <v>03.001.005.002</v>
      </c>
      <c r="F224" s="230">
        <f ca="1">IF($B224="UNIDADE CONSTRUTIVA",OFFSET(F224,-1,0)+1,LARGE(F$10:F223,1))</f>
        <v>2</v>
      </c>
      <c r="G224" s="228" t="str">
        <f t="shared" ca="1" si="149"/>
        <v xml:space="preserve">   GERENCIAMENTO EXECUTIVO</v>
      </c>
      <c r="H224" s="230">
        <f t="shared" ref="H224:H233" ca="1" si="188">IF(B224="UNIDADE CONSTRUTIVA",0,IF(B224="CÉLULA CONSTRUTIVA",OFFSET(H224,-1,0)+1,OFFSET(H224,-1,0)))</f>
        <v>3</v>
      </c>
      <c r="I224" s="228" t="str">
        <f t="shared" ca="1" si="150"/>
        <v xml:space="preserve">   CONTENÇÕES</v>
      </c>
      <c r="J224" s="230">
        <f t="shared" ref="J224:J233" ca="1" si="189">IF(B224="CÉLULA CONSTRUTIVA",0,IF(B224="ETAPA",OFFSET(J224,-1,0)+1,OFFSET(J224,-1,0)))</f>
        <v>1</v>
      </c>
      <c r="K224" s="228" t="str">
        <f t="shared" ca="1" si="151"/>
        <v xml:space="preserve">   CONTENÇÃO</v>
      </c>
      <c r="L224" s="231">
        <f t="shared" ref="L224:L233" ca="1" si="190">IF(B224="ETAPA",0,IF(B224="SUBETAPA",OFFSET(L224,-1,0)+1,OFFSET(L224,-1,0)))</f>
        <v>5</v>
      </c>
      <c r="M224" s="228" t="str">
        <f t="shared" ca="1" si="152"/>
        <v xml:space="preserve">   Armadura</v>
      </c>
      <c r="N224" s="231">
        <f t="shared" ref="N224:N233" ca="1" si="191">IF(B224="Subetapa",0,IF(B224="serviço",OFFSET(N224,-1,0)+1,OFFSET(N224,-1,0)))</f>
        <v>2</v>
      </c>
      <c r="O224" s="228" t="str">
        <f t="shared" ca="1" si="153"/>
        <v>Armacao aco CA-50 ø 10.0mm para Contenções- cortado e dobrado em industria</v>
      </c>
      <c r="P224" s="232" t="str">
        <f>IF(S224="","",IF(Orçamento!$B224="INSUMO",S224,""))</f>
        <v>ACO CA-50A 10,00 MM (3/8)</v>
      </c>
      <c r="Q224" s="244" t="str">
        <f t="shared" si="146"/>
        <v/>
      </c>
      <c r="R224" s="234">
        <f t="shared" ca="1" si="147"/>
        <v>795.6</v>
      </c>
      <c r="S224" s="233" t="s">
        <v>177</v>
      </c>
      <c r="T224" s="242" t="str">
        <f>_xlfn.XLOOKUP(S224,Insumos!$A$3:$A$371,Insumos!$B$3:$B$371)</f>
        <v>KG</v>
      </c>
      <c r="U224" s="235">
        <f ca="1">IF($B224="insumo",R224,"")</f>
        <v>795.6</v>
      </c>
      <c r="V224" s="320">
        <v>1.1000000000000001</v>
      </c>
      <c r="W224" s="236">
        <f>IFERROR(IF(B224="INSUMO",_xlfn.XLOOKUP(S224,Insumos!A:A,Insumos!C:C),""),"Inserir Preço")</f>
        <v>5.36</v>
      </c>
      <c r="X224" s="235">
        <f t="shared" ca="1" si="148"/>
        <v>875.16000000000008</v>
      </c>
      <c r="Y224" s="236">
        <f t="shared" si="100"/>
        <v>5.8960000000000008</v>
      </c>
      <c r="Z224" s="237">
        <f t="shared" ca="1" si="165"/>
        <v>4690.8576000000003</v>
      </c>
      <c r="AA224" s="238"/>
      <c r="AB224" s="233" t="str">
        <f>IF(B224="insumo",_xlfn.XLOOKUP(S224,Insumos!A:A,Insumos!D:D),"")</f>
        <v>KNORR</v>
      </c>
      <c r="AC224" s="239">
        <f t="shared" ca="1" si="166"/>
        <v>6.7294629022812376E-4</v>
      </c>
      <c r="AE224" s="240">
        <f ca="1">IFERROR(IF(OR(Z224="",Z224=0),"",IF(AF224="","",IF(AF224="R$/mês",Z224/OBRA!$D$12,IF(AF224="R$/m²",Z224/OBRA!$D$10,IF(AF224="R$/apto",Orçamento!Z224/OBRA!$D$11,""))))),"")</f>
        <v>2.4139487348383879</v>
      </c>
      <c r="AF224" s="241" t="s">
        <v>154</v>
      </c>
    </row>
    <row r="225" spans="1:32" s="10" customFormat="1" ht="13.15" hidden="1" customHeight="1" outlineLevel="4" x14ac:dyDescent="0.2">
      <c r="A225" s="227"/>
      <c r="B225" s="228" t="s">
        <v>19</v>
      </c>
      <c r="C225" s="229">
        <f t="shared" si="164"/>
        <v>42</v>
      </c>
      <c r="D225" s="227" t="str">
        <f t="shared" si="145"/>
        <v/>
      </c>
      <c r="E225" s="228" t="str">
        <f t="shared" ca="1" si="187"/>
        <v>03.001.005.002</v>
      </c>
      <c r="F225" s="230">
        <f ca="1">IF($B225="UNIDADE CONSTRUTIVA",OFFSET(F225,-1,0)+1,LARGE(F$10:F224,1))</f>
        <v>2</v>
      </c>
      <c r="G225" s="228" t="str">
        <f t="shared" ca="1" si="149"/>
        <v xml:space="preserve">   GERENCIAMENTO EXECUTIVO</v>
      </c>
      <c r="H225" s="230">
        <f t="shared" ca="1" si="188"/>
        <v>3</v>
      </c>
      <c r="I225" s="228" t="str">
        <f t="shared" ca="1" si="150"/>
        <v xml:space="preserve">   CONTENÇÕES</v>
      </c>
      <c r="J225" s="230">
        <f t="shared" ca="1" si="189"/>
        <v>1</v>
      </c>
      <c r="K225" s="228" t="str">
        <f t="shared" ca="1" si="151"/>
        <v xml:space="preserve">   CONTENÇÃO</v>
      </c>
      <c r="L225" s="231">
        <f t="shared" ca="1" si="190"/>
        <v>5</v>
      </c>
      <c r="M225" s="228" t="str">
        <f t="shared" ca="1" si="152"/>
        <v xml:space="preserve">   Armadura</v>
      </c>
      <c r="N225" s="231">
        <f t="shared" ca="1" si="191"/>
        <v>2</v>
      </c>
      <c r="O225" s="228" t="str">
        <f t="shared" ca="1" si="153"/>
        <v>Armacao aco CA-50 ø 10.0mm para Contenções- cortado e dobrado em industria</v>
      </c>
      <c r="P225" s="232" t="str">
        <f>IF(S225="","",IF(Orçamento!$B225="INSUMO",S225,""))</f>
        <v>ARAME RECOZIDO 18 BWG, 1,25MM (0,010 KG/M)</v>
      </c>
      <c r="Q225" s="244" t="str">
        <f t="shared" si="146"/>
        <v/>
      </c>
      <c r="R225" s="234">
        <f t="shared" ca="1" si="147"/>
        <v>795.6</v>
      </c>
      <c r="S225" s="233" t="s">
        <v>161</v>
      </c>
      <c r="T225" s="242" t="str">
        <f>_xlfn.XLOOKUP(S225,Insumos!$A$3:$A$371,Insumos!$B$3:$B$371)</f>
        <v>KG</v>
      </c>
      <c r="U225" s="235">
        <f ca="1">IF($B225="insumo",R225,"")</f>
        <v>795.6</v>
      </c>
      <c r="V225" s="320">
        <v>2.5000000000000001E-2</v>
      </c>
      <c r="W225" s="236">
        <f>IFERROR(IF(B225="INSUMO",_xlfn.XLOOKUP(S225,Insumos!A:A,Insumos!C:C),""),"Inserir Preço")</f>
        <v>13.69</v>
      </c>
      <c r="X225" s="235">
        <f t="shared" ca="1" si="148"/>
        <v>19.89</v>
      </c>
      <c r="Y225" s="236">
        <f t="shared" si="100"/>
        <v>0.34225</v>
      </c>
      <c r="Z225" s="237">
        <f t="shared" ca="1" si="165"/>
        <v>272.29410000000001</v>
      </c>
      <c r="AA225" s="238"/>
      <c r="AB225" s="233" t="str">
        <f>IF(B225="insumo",_xlfn.XLOOKUP(S225,Insumos!A:A,Insumos!D:D),"")</f>
        <v>GERDAU</v>
      </c>
      <c r="AC225" s="239">
        <f t="shared" ca="1" si="166"/>
        <v>3.9063071205999893E-5</v>
      </c>
      <c r="AE225" s="240">
        <f ca="1">IFERROR(IF(OR(Z225="",Z225=0),"",IF(AF225="","",IF(AF225="R$/mês",Z225/OBRA!$D$12,IF(AF225="R$/m²",Z225/OBRA!$D$10,IF(AF225="R$/apto",Orçamento!Z225/OBRA!$D$11,""))))),"")</f>
        <v>0.14012448346310011</v>
      </c>
      <c r="AF225" s="241" t="s">
        <v>154</v>
      </c>
    </row>
    <row r="226" spans="1:32" s="10" customFormat="1" ht="13.15" hidden="1" customHeight="1" outlineLevel="4" x14ac:dyDescent="0.2">
      <c r="A226" s="227"/>
      <c r="B226" s="228" t="s">
        <v>19</v>
      </c>
      <c r="C226" s="229">
        <f t="shared" si="164"/>
        <v>37</v>
      </c>
      <c r="D226" s="227" t="str">
        <f t="shared" si="145"/>
        <v/>
      </c>
      <c r="E226" s="228" t="str">
        <f t="shared" ca="1" si="187"/>
        <v>03.001.005.002</v>
      </c>
      <c r="F226" s="230">
        <f ca="1">IF($B226="UNIDADE CONSTRUTIVA",OFFSET(F226,-1,0)+1,LARGE(F$10:F225,1))</f>
        <v>2</v>
      </c>
      <c r="G226" s="228" t="str">
        <f t="shared" ca="1" si="149"/>
        <v xml:space="preserve">   GERENCIAMENTO EXECUTIVO</v>
      </c>
      <c r="H226" s="230">
        <f t="shared" ca="1" si="188"/>
        <v>3</v>
      </c>
      <c r="I226" s="228" t="str">
        <f t="shared" ca="1" si="150"/>
        <v xml:space="preserve">   CONTENÇÕES</v>
      </c>
      <c r="J226" s="230">
        <f t="shared" ca="1" si="189"/>
        <v>1</v>
      </c>
      <c r="K226" s="228" t="str">
        <f t="shared" ca="1" si="151"/>
        <v xml:space="preserve">   CONTENÇÃO</v>
      </c>
      <c r="L226" s="231">
        <f t="shared" ca="1" si="190"/>
        <v>5</v>
      </c>
      <c r="M226" s="228" t="str">
        <f t="shared" ca="1" si="152"/>
        <v xml:space="preserve">   Armadura</v>
      </c>
      <c r="N226" s="231">
        <f t="shared" ca="1" si="191"/>
        <v>2</v>
      </c>
      <c r="O226" s="228" t="str">
        <f t="shared" ca="1" si="153"/>
        <v>Armacao aco CA-50 ø 10.0mm para Contenções- cortado e dobrado em industria</v>
      </c>
      <c r="P226" s="232" t="str">
        <f>IF(S226="","",IF(Orçamento!$B226="INSUMO",S226,""))</f>
        <v>ESPACADOR CIRCULAR 40MM</v>
      </c>
      <c r="Q226" s="244" t="str">
        <f t="shared" si="146"/>
        <v/>
      </c>
      <c r="R226" s="234">
        <f t="shared" ca="1" si="147"/>
        <v>795.6</v>
      </c>
      <c r="S226" s="233" t="s">
        <v>162</v>
      </c>
      <c r="T226" s="242" t="str">
        <f>_xlfn.XLOOKUP(S226,Insumos!$A$3:$A$371,Insumos!$B$3:$B$371)</f>
        <v>UN</v>
      </c>
      <c r="U226" s="235">
        <f ca="1">IF($B226="insumo",R226,"")</f>
        <v>795.6</v>
      </c>
      <c r="V226" s="320">
        <v>0.46550000000000002</v>
      </c>
      <c r="W226" s="236">
        <f>IFERROR(IF(B226="INSUMO",_xlfn.XLOOKUP(S226,Insumos!A:A,Insumos!C:C),""),"Inserir Preço")</f>
        <v>0.76</v>
      </c>
      <c r="X226" s="235">
        <f t="shared" ca="1" si="148"/>
        <v>370.35180000000003</v>
      </c>
      <c r="Y226" s="236">
        <f t="shared" si="100"/>
        <v>0.35378000000000004</v>
      </c>
      <c r="Z226" s="237">
        <f t="shared" ca="1" si="165"/>
        <v>281.46736800000002</v>
      </c>
      <c r="AA226" s="238"/>
      <c r="AB226" s="233" t="str">
        <f>IF(B226="insumo",_xlfn.XLOOKUP(S226,Insumos!A:A,Insumos!D:D),"")</f>
        <v xml:space="preserve"> </v>
      </c>
      <c r="AC226" s="239">
        <f t="shared" ca="1" si="166"/>
        <v>4.0379060135160388E-5</v>
      </c>
      <c r="AE226" s="240">
        <f ca="1">IFERROR(IF(OR(Z226="",Z226=0),"",IF(AF226="","",IF(AF226="R$/mês",Z226/OBRA!$D$12,IF(AF226="R$/m²",Z226/OBRA!$D$10,IF(AF226="R$/apto",Orçamento!Z226/OBRA!$D$11,""))))),"")</f>
        <v>0.14484511251884749</v>
      </c>
      <c r="AF226" s="241" t="s">
        <v>154</v>
      </c>
    </row>
    <row r="227" spans="1:32" s="10" customFormat="1" ht="13.15" hidden="1" customHeight="1" outlineLevel="3" collapsed="1" x14ac:dyDescent="0.2">
      <c r="A227" s="227"/>
      <c r="B227" s="228" t="s">
        <v>3</v>
      </c>
      <c r="C227" s="229" t="str">
        <f t="shared" si="164"/>
        <v/>
      </c>
      <c r="D227" s="227" t="str">
        <f t="shared" ca="1" si="145"/>
        <v>03.001.006</v>
      </c>
      <c r="E227" s="228" t="str">
        <f t="shared" ca="1" si="187"/>
        <v>03.001.005.002</v>
      </c>
      <c r="F227" s="230">
        <f ca="1">IF($B227="UNIDADE CONSTRUTIVA",OFFSET(F227,-1,0)+1,LARGE(F$10:F226,1))</f>
        <v>2</v>
      </c>
      <c r="G227" s="228" t="str">
        <f t="shared" ca="1" si="149"/>
        <v xml:space="preserve">   GERENCIAMENTO EXECUTIVO</v>
      </c>
      <c r="H227" s="230">
        <f t="shared" ca="1" si="188"/>
        <v>3</v>
      </c>
      <c r="I227" s="228" t="str">
        <f t="shared" ca="1" si="150"/>
        <v xml:space="preserve">   CONTENÇÕES</v>
      </c>
      <c r="J227" s="230">
        <f t="shared" ca="1" si="189"/>
        <v>1</v>
      </c>
      <c r="K227" s="228" t="str">
        <f t="shared" ca="1" si="151"/>
        <v xml:space="preserve">   CONTENÇÃO</v>
      </c>
      <c r="L227" s="231">
        <f t="shared" ca="1" si="190"/>
        <v>6</v>
      </c>
      <c r="M227" s="228" t="str">
        <f t="shared" ca="1" si="152"/>
        <v xml:space="preserve">   Concreto</v>
      </c>
      <c r="N227" s="231">
        <f t="shared" ca="1" si="191"/>
        <v>0</v>
      </c>
      <c r="O227" s="228" t="str">
        <f t="shared" ca="1" si="153"/>
        <v>Armacao aco CA-50 ø 10.0mm para Contenções- cortado e dobrado em industria</v>
      </c>
      <c r="P227" s="232" t="str">
        <f>IF(S227="","",IF(Orçamento!$B227="INSUMO",S227,""))</f>
        <v/>
      </c>
      <c r="Q227" s="244" t="str">
        <f t="shared" si="146"/>
        <v/>
      </c>
      <c r="R227" s="234">
        <f t="shared" ca="1" si="147"/>
        <v>795.6</v>
      </c>
      <c r="S227" s="233" t="s">
        <v>435</v>
      </c>
      <c r="T227" s="242" t="s">
        <v>35</v>
      </c>
      <c r="U227" s="235" t="str">
        <f>IF($B227="insumo",R227,"")</f>
        <v/>
      </c>
      <c r="V227" s="320" t="s">
        <v>35</v>
      </c>
      <c r="W227" s="236" t="str">
        <f>IFERROR(IF(B227="INSUMO",_xlfn.XLOOKUP(S227,Insumos!A:A,Insumos!C:C),""),"Inserir Preço")</f>
        <v/>
      </c>
      <c r="X227" s="235" t="str">
        <f t="shared" ca="1" si="148"/>
        <v/>
      </c>
      <c r="Y227" s="236" t="str">
        <f t="shared" si="100"/>
        <v/>
      </c>
      <c r="Z227" s="237">
        <f t="shared" ca="1" si="165"/>
        <v>12902.075712540001</v>
      </c>
      <c r="AA227" s="238"/>
      <c r="AB227" s="233" t="str">
        <f>IF(B227="insumo",_xlfn.XLOOKUP(S227,Insumos!A:A,Insumos!D:D),"")</f>
        <v/>
      </c>
      <c r="AC227" s="239">
        <f t="shared" ca="1" si="166"/>
        <v>1.8509203918268954E-3</v>
      </c>
      <c r="AE227" s="240">
        <f ca="1">IFERROR(IF(OR(Z227="",Z227=0),"",IF(AF227="","",IF(AF227="R$/mês",Z227/OBRA!$D$12,IF(AF227="R$/m²",Z227/OBRA!$D$10,IF(AF227="R$/apto",Orçamento!Z227/OBRA!$D$11,""))))),"")</f>
        <v>6.6395000656329932</v>
      </c>
      <c r="AF227" s="241" t="s">
        <v>154</v>
      </c>
    </row>
    <row r="228" spans="1:32" s="10" customFormat="1" ht="13.15" hidden="1" customHeight="1" outlineLevel="4" x14ac:dyDescent="0.2">
      <c r="A228" s="227"/>
      <c r="B228" s="228" t="s">
        <v>4</v>
      </c>
      <c r="C228" s="229">
        <f t="shared" si="164"/>
        <v>1</v>
      </c>
      <c r="D228" s="227" t="str">
        <f t="shared" ca="1" si="145"/>
        <v>03.001.006.001</v>
      </c>
      <c r="E228" s="228" t="str">
        <f t="shared" ca="1" si="187"/>
        <v>03.001.006.001</v>
      </c>
      <c r="F228" s="230">
        <f ca="1">IF($B228="UNIDADE CONSTRUTIVA",OFFSET(F228,-1,0)+1,LARGE(F$10:F227,1))</f>
        <v>2</v>
      </c>
      <c r="G228" s="228" t="str">
        <f t="shared" ca="1" si="149"/>
        <v xml:space="preserve">   GERENCIAMENTO EXECUTIVO</v>
      </c>
      <c r="H228" s="230">
        <f t="shared" ca="1" si="188"/>
        <v>3</v>
      </c>
      <c r="I228" s="228" t="str">
        <f t="shared" ca="1" si="150"/>
        <v xml:space="preserve">   CONTENÇÕES</v>
      </c>
      <c r="J228" s="230">
        <f t="shared" ca="1" si="189"/>
        <v>1</v>
      </c>
      <c r="K228" s="228" t="str">
        <f t="shared" ca="1" si="151"/>
        <v xml:space="preserve">   CONTENÇÃO</v>
      </c>
      <c r="L228" s="231">
        <f t="shared" ca="1" si="190"/>
        <v>6</v>
      </c>
      <c r="M228" s="228" t="str">
        <f t="shared" ca="1" si="152"/>
        <v xml:space="preserve">   Concreto</v>
      </c>
      <c r="N228" s="231">
        <f t="shared" ca="1" si="191"/>
        <v>1</v>
      </c>
      <c r="O228" s="228" t="str">
        <f t="shared" ca="1" si="153"/>
        <v>Concreto usinado bombeavel para Contenções Fck 35MPa com brita 0 e 1 SLUMP = 12 +/- 2 incluindo servico de bombeamento</v>
      </c>
      <c r="P228" s="232" t="str">
        <f>IF(S228="","",IF(Orçamento!$B228="INSUMO",S228,""))</f>
        <v/>
      </c>
      <c r="Q228" s="244" t="str">
        <f t="shared" si="146"/>
        <v>Concreto usinado bombeavel para Contenções Fck 35MPa com brita 0 e 1 SLUMP = 12 +/- 2 incluindo servico de bombeamento</v>
      </c>
      <c r="R228" s="234">
        <f t="shared" ca="1" si="147"/>
        <v>25.335445679999999</v>
      </c>
      <c r="S228" s="233" t="s">
        <v>1139</v>
      </c>
      <c r="T228" s="242" t="s">
        <v>166</v>
      </c>
      <c r="U228" s="235">
        <v>25.335445679999999</v>
      </c>
      <c r="V228" s="320" t="s">
        <v>35</v>
      </c>
      <c r="W228" s="236" t="str">
        <f>IFERROR(IF(B228="INSUMO",_xlfn.XLOOKUP(S228,Insumos!A:A,Insumos!C:C),""),"Inserir Preço")</f>
        <v/>
      </c>
      <c r="X228" s="235">
        <f t="shared" ca="1" si="148"/>
        <v>25.335445679999999</v>
      </c>
      <c r="Y228" s="236">
        <f t="shared" ca="1" si="100"/>
        <v>509.25</v>
      </c>
      <c r="Z228" s="237">
        <f t="shared" ca="1" si="165"/>
        <v>12902.07571254</v>
      </c>
      <c r="AA228" s="238"/>
      <c r="AB228" s="233" t="str">
        <f>IF(B228="insumo",_xlfn.XLOOKUP(S228,Insumos!A:A,Insumos!D:D),"")</f>
        <v/>
      </c>
      <c r="AC228" s="239">
        <f t="shared" ca="1" si="166"/>
        <v>1.8509203918268952E-3</v>
      </c>
      <c r="AE228" s="240">
        <f ca="1">IFERROR(IF(OR(Z228="",Z228=0),"",IF(AF228="","",IF(AF228="R$/mês",Z228/OBRA!$D$12,IF(AF228="R$/m²",Z228/OBRA!$D$10,IF(AF228="R$/apto",Orçamento!Z228/OBRA!$D$11,""))))),"")</f>
        <v>6.6395000656329923</v>
      </c>
      <c r="AF228" s="241" t="s">
        <v>154</v>
      </c>
    </row>
    <row r="229" spans="1:32" s="10" customFormat="1" ht="13.15" hidden="1" customHeight="1" outlineLevel="4" x14ac:dyDescent="0.2">
      <c r="A229" s="227"/>
      <c r="B229" s="228" t="s">
        <v>19</v>
      </c>
      <c r="C229" s="229">
        <f t="shared" si="164"/>
        <v>6</v>
      </c>
      <c r="D229" s="227" t="str">
        <f t="shared" si="145"/>
        <v/>
      </c>
      <c r="E229" s="228" t="str">
        <f t="shared" ca="1" si="187"/>
        <v>03.001.006.001</v>
      </c>
      <c r="F229" s="230">
        <f ca="1">IF($B229="UNIDADE CONSTRUTIVA",OFFSET(F229,-1,0)+1,LARGE(F$10:F228,1))</f>
        <v>2</v>
      </c>
      <c r="G229" s="228" t="str">
        <f t="shared" ca="1" si="149"/>
        <v xml:space="preserve">   GERENCIAMENTO EXECUTIVO</v>
      </c>
      <c r="H229" s="230">
        <f t="shared" ca="1" si="188"/>
        <v>3</v>
      </c>
      <c r="I229" s="228" t="str">
        <f t="shared" ca="1" si="150"/>
        <v xml:space="preserve">   CONTENÇÕES</v>
      </c>
      <c r="J229" s="230">
        <f t="shared" ca="1" si="189"/>
        <v>1</v>
      </c>
      <c r="K229" s="228" t="str">
        <f t="shared" ca="1" si="151"/>
        <v xml:space="preserve">   CONTENÇÃO</v>
      </c>
      <c r="L229" s="231">
        <f t="shared" ca="1" si="190"/>
        <v>6</v>
      </c>
      <c r="M229" s="228" t="str">
        <f t="shared" ca="1" si="152"/>
        <v xml:space="preserve">   Concreto</v>
      </c>
      <c r="N229" s="231">
        <f t="shared" ca="1" si="191"/>
        <v>1</v>
      </c>
      <c r="O229" s="228" t="str">
        <f t="shared" ca="1" si="153"/>
        <v>Concreto usinado bombeavel para Contenções Fck 35MPa com brita 0 e 1 SLUMP = 12 +/- 2 incluindo servico de bombeamento</v>
      </c>
      <c r="P229" s="232" t="str">
        <f>IF(S229="","",IF(Orçamento!$B229="INSUMO",S229,""))</f>
        <v>BOMBEAMENTO DE CONCRETO USINADO</v>
      </c>
      <c r="Q229" s="244" t="str">
        <f t="shared" si="146"/>
        <v/>
      </c>
      <c r="R229" s="234">
        <f t="shared" ca="1" si="147"/>
        <v>25.335445679999999</v>
      </c>
      <c r="S229" s="233" t="s">
        <v>167</v>
      </c>
      <c r="T229" s="242" t="str">
        <f>_xlfn.XLOOKUP(S229,Insumos!$A$3:$A$371,Insumos!$B$3:$B$371)</f>
        <v>M3</v>
      </c>
      <c r="U229" s="235">
        <f ca="1">IF($B229="insumo",R229,"")</f>
        <v>25.335445679999999</v>
      </c>
      <c r="V229" s="320">
        <v>1.05</v>
      </c>
      <c r="W229" s="236">
        <f>IFERROR(IF(B229="INSUMO",_xlfn.XLOOKUP(S229,Insumos!A:A,Insumos!C:C),""),"Inserir Preço")</f>
        <v>35</v>
      </c>
      <c r="X229" s="235">
        <f t="shared" ca="1" si="148"/>
        <v>26.602217964000001</v>
      </c>
      <c r="Y229" s="236">
        <f t="shared" si="100"/>
        <v>36.75</v>
      </c>
      <c r="Z229" s="237">
        <f t="shared" ca="1" si="165"/>
        <v>931.07762874000002</v>
      </c>
      <c r="AA229" s="238"/>
      <c r="AB229" s="233" t="str">
        <f>IF(B229="insumo",_xlfn.XLOOKUP(S229,Insumos!A:A,Insumos!D:D),"")</f>
        <v>Engemix</v>
      </c>
      <c r="AC229" s="239">
        <f t="shared" ca="1" si="166"/>
        <v>1.3357157466792029E-4</v>
      </c>
      <c r="AE229" s="240">
        <f ca="1">IFERROR(IF(OR(Z229="",Z229=0),"",IF(AF229="","",IF(AF229="R$/mês",Z229/OBRA!$D$12,IF(AF229="R$/m²",Z229/OBRA!$D$10,IF(AF229="R$/apto",Orçamento!Z229/OBRA!$D$11,""))))),"")</f>
        <v>0.47913917999413347</v>
      </c>
      <c r="AF229" s="241" t="s">
        <v>154</v>
      </c>
    </row>
    <row r="230" spans="1:32" s="10" customFormat="1" ht="13.15" hidden="1" customHeight="1" outlineLevel="4" x14ac:dyDescent="0.2">
      <c r="A230" s="227"/>
      <c r="B230" s="228" t="s">
        <v>19</v>
      </c>
      <c r="C230" s="229">
        <f t="shared" si="164"/>
        <v>6</v>
      </c>
      <c r="D230" s="227" t="str">
        <f t="shared" si="145"/>
        <v/>
      </c>
      <c r="E230" s="228" t="str">
        <f t="shared" ca="1" si="187"/>
        <v>03.001.006.001</v>
      </c>
      <c r="F230" s="230">
        <f ca="1">IF($B230="UNIDADE CONSTRUTIVA",OFFSET(F230,-1,0)+1,LARGE(F$10:F229,1))</f>
        <v>2</v>
      </c>
      <c r="G230" s="228" t="str">
        <f t="shared" ca="1" si="149"/>
        <v xml:space="preserve">   GERENCIAMENTO EXECUTIVO</v>
      </c>
      <c r="H230" s="230">
        <f t="shared" ca="1" si="188"/>
        <v>3</v>
      </c>
      <c r="I230" s="228" t="str">
        <f t="shared" ca="1" si="150"/>
        <v xml:space="preserve">   CONTENÇÕES</v>
      </c>
      <c r="J230" s="230">
        <f t="shared" ca="1" si="189"/>
        <v>1</v>
      </c>
      <c r="K230" s="228" t="str">
        <f t="shared" ca="1" si="151"/>
        <v xml:space="preserve">   CONTENÇÃO</v>
      </c>
      <c r="L230" s="231">
        <f t="shared" ca="1" si="190"/>
        <v>6</v>
      </c>
      <c r="M230" s="228" t="str">
        <f t="shared" ca="1" si="152"/>
        <v xml:space="preserve">   Concreto</v>
      </c>
      <c r="N230" s="231">
        <f t="shared" ca="1" si="191"/>
        <v>1</v>
      </c>
      <c r="O230" s="228" t="str">
        <f t="shared" ca="1" si="153"/>
        <v>Concreto usinado bombeavel para Contenções Fck 35MPa com brita 0 e 1 SLUMP = 12 +/- 2 incluindo servico de bombeamento</v>
      </c>
      <c r="P230" s="232" t="str">
        <f>IF(S230="","",IF(Orçamento!$B230="INSUMO",S230,""))</f>
        <v>Concreto 35 MPA, brita 1, slump 12+-2</v>
      </c>
      <c r="Q230" s="244" t="str">
        <f t="shared" si="146"/>
        <v/>
      </c>
      <c r="R230" s="234">
        <f t="shared" ca="1" si="147"/>
        <v>25.335445679999999</v>
      </c>
      <c r="S230" s="233" t="s">
        <v>820</v>
      </c>
      <c r="T230" s="242" t="str">
        <f>_xlfn.XLOOKUP(S230,Insumos!$A$3:$A$371,Insumos!$B$3:$B$371)</f>
        <v>M3</v>
      </c>
      <c r="U230" s="235">
        <f ca="1">IF($B230="insumo",R230,"")</f>
        <v>25.335445679999999</v>
      </c>
      <c r="V230" s="320">
        <v>1.05</v>
      </c>
      <c r="W230" s="236">
        <f>IFERROR(IF(B230="INSUMO",_xlfn.XLOOKUP(S230,Insumos!A:A,Insumos!C:C),""),"Inserir Preço")</f>
        <v>450</v>
      </c>
      <c r="X230" s="235">
        <f t="shared" ca="1" si="148"/>
        <v>26.602217964000001</v>
      </c>
      <c r="Y230" s="236">
        <f t="shared" si="100"/>
        <v>472.5</v>
      </c>
      <c r="Z230" s="237">
        <f t="shared" ca="1" si="165"/>
        <v>11970.998083800001</v>
      </c>
      <c r="AA230" s="238"/>
      <c r="AB230" s="233" t="str">
        <f>IF(B230="insumo",_xlfn.XLOOKUP(S230,Insumos!A:A,Insumos!D:D),"")</f>
        <v>Recebido Cliente</v>
      </c>
      <c r="AC230" s="239">
        <f t="shared" ca="1" si="166"/>
        <v>1.7173488171589751E-3</v>
      </c>
      <c r="AE230" s="240">
        <f ca="1">IFERROR(IF(OR(Z230="",Z230=0),"",IF(AF230="","",IF(AF230="R$/mês",Z230/OBRA!$D$12,IF(AF230="R$/m²",Z230/OBRA!$D$10,IF(AF230="R$/apto",Orçamento!Z230/OBRA!$D$11,""))))),"")</f>
        <v>6.1603608856388599</v>
      </c>
      <c r="AF230" s="241" t="s">
        <v>154</v>
      </c>
    </row>
    <row r="231" spans="1:32" s="10" customFormat="1" ht="13.15" hidden="1" customHeight="1" outlineLevel="3" collapsed="1" x14ac:dyDescent="0.2">
      <c r="A231" s="227"/>
      <c r="B231" s="228" t="s">
        <v>3</v>
      </c>
      <c r="C231" s="229" t="str">
        <f t="shared" si="164"/>
        <v/>
      </c>
      <c r="D231" s="227" t="str">
        <f t="shared" ca="1" si="145"/>
        <v>03.001.007</v>
      </c>
      <c r="E231" s="228" t="str">
        <f t="shared" ca="1" si="187"/>
        <v>03.001.006.001</v>
      </c>
      <c r="F231" s="230">
        <f ca="1">IF($B231="UNIDADE CONSTRUTIVA",OFFSET(F231,-1,0)+1,LARGE(F$10:F230,1))</f>
        <v>2</v>
      </c>
      <c r="G231" s="228" t="str">
        <f t="shared" ca="1" si="149"/>
        <v xml:space="preserve">   GERENCIAMENTO EXECUTIVO</v>
      </c>
      <c r="H231" s="230">
        <f t="shared" ca="1" si="188"/>
        <v>3</v>
      </c>
      <c r="I231" s="228" t="str">
        <f t="shared" ca="1" si="150"/>
        <v xml:space="preserve">   CONTENÇÕES</v>
      </c>
      <c r="J231" s="230">
        <f t="shared" ca="1" si="189"/>
        <v>1</v>
      </c>
      <c r="K231" s="228" t="str">
        <f t="shared" ca="1" si="151"/>
        <v xml:space="preserve">   CONTENÇÃO</v>
      </c>
      <c r="L231" s="231">
        <f t="shared" ca="1" si="190"/>
        <v>7</v>
      </c>
      <c r="M231" s="228" t="str">
        <f t="shared" ca="1" si="152"/>
        <v xml:space="preserve">   Mão de Obra</v>
      </c>
      <c r="N231" s="231">
        <f t="shared" ca="1" si="191"/>
        <v>0</v>
      </c>
      <c r="O231" s="228" t="str">
        <f t="shared" ca="1" si="153"/>
        <v>Concreto usinado bombeavel para Contenções Fck 35MPa com brita 0 e 1 SLUMP = 12 +/- 2 incluindo servico de bombeamento</v>
      </c>
      <c r="P231" s="232" t="str">
        <f>IF(S231="","",IF(Orçamento!$B231="INSUMO",S231,""))</f>
        <v/>
      </c>
      <c r="Q231" s="244" t="str">
        <f t="shared" si="146"/>
        <v/>
      </c>
      <c r="R231" s="234">
        <f t="shared" ca="1" si="147"/>
        <v>25.335445679999999</v>
      </c>
      <c r="S231" s="233" t="s">
        <v>438</v>
      </c>
      <c r="T231" s="242" t="s">
        <v>35</v>
      </c>
      <c r="U231" s="235" t="str">
        <f>IF($B231="insumo",R231,"")</f>
        <v/>
      </c>
      <c r="V231" s="320" t="s">
        <v>35</v>
      </c>
      <c r="W231" s="236" t="str">
        <f>IFERROR(IF(B231="INSUMO",_xlfn.XLOOKUP(S231,Insumos!A:A,Insumos!C:C),""),"Inserir Preço")</f>
        <v/>
      </c>
      <c r="X231" s="235" t="str">
        <f t="shared" ca="1" si="148"/>
        <v/>
      </c>
      <c r="Y231" s="236" t="str">
        <f t="shared" si="100"/>
        <v/>
      </c>
      <c r="Z231" s="237">
        <f t="shared" ca="1" si="165"/>
        <v>69000</v>
      </c>
      <c r="AA231" s="238"/>
      <c r="AB231" s="233" t="str">
        <f>IF(B231="insumo",_xlfn.XLOOKUP(S231,Insumos!A:A,Insumos!D:D),"")</f>
        <v/>
      </c>
      <c r="AC231" s="239">
        <f t="shared" ca="1" si="166"/>
        <v>9.8986790871120316E-3</v>
      </c>
      <c r="AE231" s="240">
        <f ca="1">IFERROR(IF(OR(Z231="",Z231=0),"",IF(AF231="","",IF(AF231="R$/mês",Z231/OBRA!$D$12,IF(AF231="R$/m²",Z231/OBRA!$D$10,IF(AF231="R$/apto",Orçamento!Z231/OBRA!$D$11,""))))),"")</f>
        <v>35.507891500234145</v>
      </c>
      <c r="AF231" s="241" t="s">
        <v>154</v>
      </c>
    </row>
    <row r="232" spans="1:32" s="10" customFormat="1" ht="13.15" hidden="1" customHeight="1" outlineLevel="4" x14ac:dyDescent="0.2">
      <c r="A232" s="227"/>
      <c r="B232" s="228" t="s">
        <v>4</v>
      </c>
      <c r="C232" s="229">
        <f t="shared" si="164"/>
        <v>1</v>
      </c>
      <c r="D232" s="227" t="str">
        <f ca="1">IF(B232="Unidade Construtiva",TEXT(F232,"00"),IF(B232="Célula Construtiva",TEXT(H232,"00"),IF(B232="Etapa",CONCATENATE(TEXT(H232,"00"),".",TEXT(J232,"000")),IF(B232="Subetapa",CONCATENATE(TEXT(H232,"00"),".",TEXT(J232,"000"),".",TEXT(L232,"000")),IF(B232="Serviço",CONCATENATE(TEXT(H232,"00"),".",TEXT(J232,"000"),".",TEXT(L232,"000"),".",TEXT(N232,"000")),"")))))</f>
        <v>03.001.007.001</v>
      </c>
      <c r="E232" s="228" t="str">
        <f t="shared" ca="1" si="187"/>
        <v>03.001.007.001</v>
      </c>
      <c r="F232" s="230">
        <f ca="1">IF($B232="UNIDADE CONSTRUTIVA",OFFSET(F232,-1,0)+1,LARGE(F$10:F231,1))</f>
        <v>2</v>
      </c>
      <c r="G232" s="228" t="str">
        <f ca="1">IF(B232="*","",IF(B232="UNIDADE CONSTRUTIVA",S232,OFFSET(G232,-1,0)))</f>
        <v xml:space="preserve">   GERENCIAMENTO EXECUTIVO</v>
      </c>
      <c r="H232" s="230">
        <f t="shared" ca="1" si="188"/>
        <v>3</v>
      </c>
      <c r="I232" s="228" t="str">
        <f ca="1">IF(B232="*","",IF(B232="CÉLULA CONSTRUTIVA",S232,OFFSET(I232,-1,0)))</f>
        <v xml:space="preserve">   CONTENÇÕES</v>
      </c>
      <c r="J232" s="230">
        <f t="shared" ca="1" si="189"/>
        <v>1</v>
      </c>
      <c r="K232" s="228" t="str">
        <f ca="1">IF(B232="*","",IF(B232="ETAPA",S232,OFFSET(K232,-1,0)))</f>
        <v xml:space="preserve">   CONTENÇÃO</v>
      </c>
      <c r="L232" s="231">
        <f t="shared" ca="1" si="190"/>
        <v>7</v>
      </c>
      <c r="M232" s="228" t="str">
        <f ca="1">IF(B232="*","",IF(B232="SUBETAPA",S232,OFFSET(M232,-1,0)))</f>
        <v xml:space="preserve">   Mão de Obra</v>
      </c>
      <c r="N232" s="231">
        <f t="shared" ca="1" si="191"/>
        <v>1</v>
      </c>
      <c r="O232" s="228" t="str">
        <f ca="1">IF(B232="*","",IF(B232="SERVIÇO",S232,OFFSET(O232,-1,0)))</f>
        <v>Mao de obra - para execucao de Contenção</v>
      </c>
      <c r="P232" s="232" t="str">
        <f>IF(S232="","",IF(Orçamento!$B232="INSUMO",S232,""))</f>
        <v/>
      </c>
      <c r="Q232" s="244" t="str">
        <f>IF(B232="","",IF(B232="Serviço",S232,""))</f>
        <v>Mao de obra - para execucao de Contenção</v>
      </c>
      <c r="R232" s="234">
        <f ca="1">IF(B232="serviço",U232,OFFSET(R232,-1,0))</f>
        <v>216.99340049999998</v>
      </c>
      <c r="S232" s="233" t="s">
        <v>1165</v>
      </c>
      <c r="T232" s="242" t="s">
        <v>140</v>
      </c>
      <c r="U232" s="235">
        <f>$U$211</f>
        <v>216.99340049999998</v>
      </c>
      <c r="V232" s="320" t="s">
        <v>35</v>
      </c>
      <c r="W232" s="236" t="str">
        <f>IFERROR(IF(B232="INSUMO",_xlfn.XLOOKUP(S232,Insumos!A:A,Insumos!C:C),""),"Inserir Preço")</f>
        <v/>
      </c>
      <c r="X232" s="235">
        <f ca="1">IF(B232="Complemento do insumo",V232,IF(R232="","",IF(B232="serviço",R232,IF(OR(B232="insumo"),V232*R232,""))))</f>
        <v>216.99340049999998</v>
      </c>
      <c r="Y232" s="236">
        <f t="shared" ref="Y232:Y295" ca="1" si="192">IF(B232="insumo",W232*V232,IF(B232="serviço",SUMIFS(Y:Y,B:B,"insumo",E:E,E232,I:I,I232),""))</f>
        <v>317.98202084030663</v>
      </c>
      <c r="Z232" s="237">
        <f t="shared" ca="1" si="165"/>
        <v>69000</v>
      </c>
      <c r="AA232" s="238"/>
      <c r="AB232" s="233" t="str">
        <f>IF(B232="insumo",_xlfn.XLOOKUP(S232,Insumos!A:A,Insumos!D:D),"")</f>
        <v/>
      </c>
      <c r="AC232" s="239">
        <f t="shared" ca="1" si="166"/>
        <v>9.8986790871120316E-3</v>
      </c>
      <c r="AE232" s="240">
        <f ca="1">IFERROR(IF(OR(Z232="",Z232=0),"",IF(AF232="","",IF(AF232="R$/mês",Z232/OBRA!$D$12,IF(AF232="R$/m²",Z232/OBRA!$D$10,IF(AF232="R$/apto",Orçamento!Z232/OBRA!$D$11,""))))),"")</f>
        <v>35.507891500234145</v>
      </c>
      <c r="AF232" s="241" t="s">
        <v>154</v>
      </c>
    </row>
    <row r="233" spans="1:32" s="10" customFormat="1" ht="13.15" hidden="1" customHeight="1" outlineLevel="4" x14ac:dyDescent="0.2">
      <c r="A233" s="227"/>
      <c r="B233" s="228" t="s">
        <v>19</v>
      </c>
      <c r="C233" s="229">
        <f t="shared" si="164"/>
        <v>1</v>
      </c>
      <c r="D233" s="227" t="str">
        <f>IF(B233="Unidade Construtiva",TEXT(F233,"00"),IF(B233="Célula Construtiva",TEXT(H233,"00"),IF(B233="Etapa",CONCATENATE(TEXT(H233,"00"),".",TEXT(J233,"000")),IF(B233="Subetapa",CONCATENATE(TEXT(H233,"00"),".",TEXT(J233,"000"),".",TEXT(L233,"000")),IF(B233="Serviço",CONCATENATE(TEXT(H233,"00"),".",TEXT(J233,"000"),".",TEXT(L233,"000"),".",TEXT(N233,"000")),"")))))</f>
        <v/>
      </c>
      <c r="E233" s="228" t="str">
        <f t="shared" ca="1" si="187"/>
        <v>03.001.007.001</v>
      </c>
      <c r="F233" s="230">
        <f ca="1">IF($B233="UNIDADE CONSTRUTIVA",OFFSET(F233,-1,0)+1,LARGE(F$10:F232,1))</f>
        <v>2</v>
      </c>
      <c r="G233" s="228" t="str">
        <f ca="1">IF(B233="*","",IF(B233="UNIDADE CONSTRUTIVA",S233,OFFSET(G233,-1,0)))</f>
        <v xml:space="preserve">   GERENCIAMENTO EXECUTIVO</v>
      </c>
      <c r="H233" s="230">
        <f t="shared" ca="1" si="188"/>
        <v>3</v>
      </c>
      <c r="I233" s="228" t="str">
        <f ca="1">IF(B233="*","",IF(B233="CÉLULA CONSTRUTIVA",S233,OFFSET(I233,-1,0)))</f>
        <v xml:space="preserve">   CONTENÇÕES</v>
      </c>
      <c r="J233" s="230">
        <f t="shared" ca="1" si="189"/>
        <v>1</v>
      </c>
      <c r="K233" s="228" t="str">
        <f ca="1">IF(B233="*","",IF(B233="ETAPA",S233,OFFSET(K233,-1,0)))</f>
        <v xml:space="preserve">   CONTENÇÃO</v>
      </c>
      <c r="L233" s="231">
        <f t="shared" ca="1" si="190"/>
        <v>7</v>
      </c>
      <c r="M233" s="228" t="str">
        <f ca="1">IF(B233="*","",IF(B233="SUBETAPA",S233,OFFSET(M233,-1,0)))</f>
        <v xml:space="preserve">   Mão de Obra</v>
      </c>
      <c r="N233" s="231">
        <f t="shared" ca="1" si="191"/>
        <v>1</v>
      </c>
      <c r="O233" s="228" t="str">
        <f ca="1">IF(B233="*","",IF(B233="SERVIÇO",S233,OFFSET(O233,-1,0)))</f>
        <v>Mao de obra - para execucao de Contenção</v>
      </c>
      <c r="P233" s="232" t="str">
        <f>IF(S233="","",IF(Orçamento!$B233="INSUMO",S233,""))</f>
        <v>MAO DE OBRA PARA EXECUCAO DE CONTENÇÃO</v>
      </c>
      <c r="Q233" s="244" t="str">
        <f>IF(B233="","",IF(B233="Serviço",S233,""))</f>
        <v/>
      </c>
      <c r="R233" s="234">
        <f ca="1">IF(B233="serviço",U233,OFFSET(R233,-1,0))</f>
        <v>216.99340049999998</v>
      </c>
      <c r="S233" s="233" t="s">
        <v>684</v>
      </c>
      <c r="T233" s="242" t="str">
        <f>_xlfn.XLOOKUP(S233,Insumos!$A$3:$A$371,Insumos!$B$3:$B$371)</f>
        <v>M2</v>
      </c>
      <c r="U233" s="235">
        <f ca="1">IF($B233="insumo",R233,"")</f>
        <v>216.99340049999998</v>
      </c>
      <c r="V233" s="320">
        <v>1</v>
      </c>
      <c r="W233" s="236">
        <f>IFERROR(IF(B233="INSUMO",_xlfn.XLOOKUP(S233,Insumos!A:A,Insumos!C:C),""),"Inserir Preço")</f>
        <v>317.98202084030663</v>
      </c>
      <c r="X233" s="235">
        <f ca="1">IF(B233="Complemento do insumo",V233,IF(R233="","",IF(B233="serviço",R233,IF(OR(B233="insumo"),V233*R233,""))))</f>
        <v>216.99340049999998</v>
      </c>
      <c r="Y233" s="236">
        <f t="shared" si="192"/>
        <v>317.98202084030663</v>
      </c>
      <c r="Z233" s="237">
        <f t="shared" ca="1" si="165"/>
        <v>69000</v>
      </c>
      <c r="AA233" s="238"/>
      <c r="AB233" s="233" t="str">
        <f>IF(B233="insumo",_xlfn.XLOOKUP(S233,Insumos!A:A,Insumos!D:D),"")</f>
        <v>Aba Custo Serviços</v>
      </c>
      <c r="AC233" s="239">
        <f t="shared" ca="1" si="166"/>
        <v>9.8986790871120316E-3</v>
      </c>
      <c r="AE233" s="240">
        <f ca="1">IFERROR(IF(OR(Z233="",Z233=0),"",IF(AF233="","",IF(AF233="R$/mês",Z233/OBRA!$D$12,IF(AF233="R$/m²",Z233/OBRA!$D$10,IF(AF233="R$/apto",Orçamento!Z233/OBRA!$D$11,""))))),"")</f>
        <v>35.507891500234145</v>
      </c>
      <c r="AF233" s="241" t="s">
        <v>154</v>
      </c>
    </row>
    <row r="234" spans="1:32" s="10" customFormat="1" ht="13.15" customHeight="1" outlineLevel="1" x14ac:dyDescent="0.2">
      <c r="A234" s="227"/>
      <c r="B234" s="228" t="s">
        <v>1</v>
      </c>
      <c r="C234" s="229" t="str">
        <f t="shared" si="164"/>
        <v/>
      </c>
      <c r="D234" s="227" t="str">
        <f t="shared" ref="D234:D295" ca="1" si="193">IF(B234="Unidade Construtiva",TEXT(F234,"00"),IF(B234="Célula Construtiva",TEXT(H234,"00"),IF(B234="Etapa",CONCATENATE(TEXT(H234,"00"),".",TEXT(J234,"000")),IF(B234="Subetapa",CONCATENATE(TEXT(H234,"00"),".",TEXT(J234,"000"),".",TEXT(L234,"000")),IF(B234="Serviço",CONCATENATE(TEXT(H234,"00"),".",TEXT(J234,"000"),".",TEXT(L234,"000"),".",TEXT(N234,"000")),"")))))</f>
        <v>04</v>
      </c>
      <c r="E234" s="228" t="str">
        <f ca="1">IF(B234="*","",IFERROR(IF(B234="SERVIÇO",D234,OFFSET(E234,-1,0)),""))</f>
        <v>03.001.007.001</v>
      </c>
      <c r="F234" s="230">
        <f ca="1">IF($B234="UNIDADE CONSTRUTIVA",OFFSET(F234,-1,0)+1,LARGE(F$10:F233,1))</f>
        <v>2</v>
      </c>
      <c r="G234" s="228" t="str">
        <f t="shared" ref="G234" ca="1" si="194">IF(B234="*","",IF(B234="UNIDADE CONSTRUTIVA",S234,OFFSET(G234,-1,0)))</f>
        <v xml:space="preserve">   GERENCIAMENTO EXECUTIVO</v>
      </c>
      <c r="H234" s="230">
        <f ca="1">IF(B234="UNIDADE CONSTRUTIVA",0,IF(B234="CÉLULA CONSTRUTIVA",OFFSET(H234,-1,0)+1,OFFSET(H234,-1,0)))</f>
        <v>4</v>
      </c>
      <c r="I234" s="228" t="str">
        <f t="shared" ref="I234" ca="1" si="195">IF(B234="*","",IF(B234="CÉLULA CONSTRUTIVA",S234,OFFSET(I234,-1,0)))</f>
        <v xml:space="preserve">   SUPRAESTRUTURA</v>
      </c>
      <c r="J234" s="230">
        <f ca="1">IF(B234="CÉLULA CONSTRUTIVA",0,IF(B234="ETAPA",OFFSET(J234,-1,0)+1,OFFSET(J234,-1,0)))</f>
        <v>0</v>
      </c>
      <c r="K234" s="228" t="str">
        <f t="shared" ref="K234" ca="1" si="196">IF(B234="*","",IF(B234="ETAPA",S234,OFFSET(K234,-1,0)))</f>
        <v xml:space="preserve">   CONTENÇÃO</v>
      </c>
      <c r="L234" s="231">
        <f ca="1">IF(B234="ETAPA",0,IF(B234="SUBETAPA",OFFSET(L234,-1,0)+1,OFFSET(L234,-1,0)))</f>
        <v>7</v>
      </c>
      <c r="M234" s="228" t="str">
        <f t="shared" ref="M234" ca="1" si="197">IF(B234="*","",IF(B234="SUBETAPA",S234,OFFSET(M234,-1,0)))</f>
        <v xml:space="preserve">   Mão de Obra</v>
      </c>
      <c r="N234" s="231">
        <f ca="1">IF(B234="Subetapa",0,IF(B234="serviço",OFFSET(N234,-1,0)+1,OFFSET(N234,-1,0)))</f>
        <v>1</v>
      </c>
      <c r="O234" s="228" t="str">
        <f t="shared" ref="O234" ca="1" si="198">IF(B234="*","",IF(B234="SERVIÇO",S234,OFFSET(O234,-1,0)))</f>
        <v>Mao de obra - para execucao de Contenção</v>
      </c>
      <c r="P234" s="232" t="str">
        <f>IF(S234="","",IF(Orçamento!$B234="INSUMO",S234,""))</f>
        <v/>
      </c>
      <c r="Q234" s="244" t="str">
        <f t="shared" ref="Q234:Q295" si="199">IF(B234="","",IF(B234="Serviço",S234,""))</f>
        <v/>
      </c>
      <c r="R234" s="234">
        <f t="shared" ref="R234:R291" ca="1" si="200">IF(B234="serviço",U234,OFFSET(R234,-1,0))</f>
        <v>216.99340049999998</v>
      </c>
      <c r="S234" s="233" t="s">
        <v>544</v>
      </c>
      <c r="T234" s="242" t="s">
        <v>35</v>
      </c>
      <c r="U234" s="235" t="str">
        <f>IF($B234="insumo",R234,"")</f>
        <v/>
      </c>
      <c r="V234" s="320" t="s">
        <v>35</v>
      </c>
      <c r="W234" s="236" t="str">
        <f>IFERROR(IF(B234="INSUMO",_xlfn.XLOOKUP(S234,Insumos!A:A,Insumos!C:C),""),"Inserir Preço")</f>
        <v/>
      </c>
      <c r="X234" s="235" t="str">
        <f t="shared" ref="X234:X291" ca="1" si="201">IF(B234="Complemento do insumo",V234,IF(R234="","",IF(B234="serviço",R234,IF(OR(B234="insumo"),V234*R234,""))))</f>
        <v/>
      </c>
      <c r="Y234" s="236" t="str">
        <f t="shared" si="192"/>
        <v/>
      </c>
      <c r="Z234" s="237">
        <f t="shared" ca="1" si="165"/>
        <v>1352590.9531058811</v>
      </c>
      <c r="AA234" s="238"/>
      <c r="AB234" s="233" t="str">
        <f>IF(B234="insumo",_xlfn.XLOOKUP(S234,Insumos!A:A,Insumos!D:D),"")</f>
        <v/>
      </c>
      <c r="AC234" s="239">
        <f t="shared" ca="1" si="166"/>
        <v>0.19404150407139301</v>
      </c>
      <c r="AE234" s="240">
        <f ca="1">IFERROR(IF(OR(Z234="",Z234=0),"",IF(AF234="","",IF(AF234="R$/mês",Z234/OBRA!$D$12,IF(AF234="R$/m²",Z234/OBRA!$D$10,IF(AF234="R$/apto",Orçamento!Z234/OBRA!$D$11,""))))),"")</f>
        <v>696.05293923307124</v>
      </c>
      <c r="AF234" s="241" t="s">
        <v>154</v>
      </c>
    </row>
    <row r="235" spans="1:32" s="10" customFormat="1" ht="13.15" customHeight="1" outlineLevel="2" collapsed="1" x14ac:dyDescent="0.2">
      <c r="A235" s="227"/>
      <c r="B235" s="228" t="s">
        <v>2</v>
      </c>
      <c r="C235" s="229" t="str">
        <f t="shared" si="164"/>
        <v/>
      </c>
      <c r="D235" s="227" t="str">
        <f t="shared" ca="1" si="193"/>
        <v>04.001</v>
      </c>
      <c r="E235" s="228" t="str">
        <f t="shared" ref="E235:E240" ca="1" si="202">IF(B235="*","",IFERROR(IF(B235="SERVIÇO",D235,OFFSET(E235,-1,0)),""))</f>
        <v>03.001.007.001</v>
      </c>
      <c r="F235" s="230">
        <f ca="1">IF($B235="UNIDADE CONSTRUTIVA",OFFSET(F235,-1,0)+1,LARGE(F$10:F234,1))</f>
        <v>2</v>
      </c>
      <c r="G235" s="228" t="str">
        <f t="shared" ref="G235:G291" ca="1" si="203">IF(B235="*","",IF(B235="UNIDADE CONSTRUTIVA",S235,OFFSET(G235,-1,0)))</f>
        <v xml:space="preserve">   GERENCIAMENTO EXECUTIVO</v>
      </c>
      <c r="H235" s="230">
        <f t="shared" ref="H235:H240" ca="1" si="204">IF(B235="UNIDADE CONSTRUTIVA",0,IF(B235="CÉLULA CONSTRUTIVA",OFFSET(H235,-1,0)+1,OFFSET(H235,-1,0)))</f>
        <v>4</v>
      </c>
      <c r="I235" s="228" t="str">
        <f t="shared" ref="I235:I291" ca="1" si="205">IF(B235="*","",IF(B235="CÉLULA CONSTRUTIVA",S235,OFFSET(I235,-1,0)))</f>
        <v xml:space="preserve">   SUPRAESTRUTURA</v>
      </c>
      <c r="J235" s="230">
        <f t="shared" ref="J235:J240" ca="1" si="206">IF(B235="CÉLULA CONSTRUTIVA",0,IF(B235="ETAPA",OFFSET(J235,-1,0)+1,OFFSET(J235,-1,0)))</f>
        <v>1</v>
      </c>
      <c r="K235" s="228" t="str">
        <f t="shared" ref="K235:K291" ca="1" si="207">IF(B235="*","",IF(B235="ETAPA",S235,OFFSET(K235,-1,0)))</f>
        <v xml:space="preserve">   SUPRAESTRUTURA - 1º PAVIMENTO - SUBSOLO</v>
      </c>
      <c r="L235" s="231">
        <f t="shared" ref="L235:L240" ca="1" si="208">IF(B235="ETAPA",0,IF(B235="SUBETAPA",OFFSET(L235,-1,0)+1,OFFSET(L235,-1,0)))</f>
        <v>0</v>
      </c>
      <c r="M235" s="228" t="str">
        <f t="shared" ref="M235:M291" ca="1" si="209">IF(B235="*","",IF(B235="SUBETAPA",S235,OFFSET(M235,-1,0)))</f>
        <v xml:space="preserve">   Mão de Obra</v>
      </c>
      <c r="N235" s="231">
        <f t="shared" ref="N235:N240" ca="1" si="210">IF(B235="Subetapa",0,IF(B235="serviço",OFFSET(N235,-1,0)+1,OFFSET(N235,-1,0)))</f>
        <v>1</v>
      </c>
      <c r="O235" s="228" t="str">
        <f t="shared" ref="O235:O291" ca="1" si="211">IF(B235="*","",IF(B235="SERVIÇO",S235,OFFSET(O235,-1,0)))</f>
        <v>Mao de obra - para execucao de Contenção</v>
      </c>
      <c r="P235" s="232" t="str">
        <f>IF(S235="","",IF(Orçamento!$B235="INSUMO",S235,""))</f>
        <v/>
      </c>
      <c r="Q235" s="244" t="str">
        <f t="shared" si="199"/>
        <v/>
      </c>
      <c r="R235" s="234">
        <f t="shared" ca="1" si="200"/>
        <v>216.99340049999998</v>
      </c>
      <c r="S235" s="233" t="s">
        <v>603</v>
      </c>
      <c r="T235" s="242" t="s">
        <v>35</v>
      </c>
      <c r="U235" s="235" t="str">
        <f>IF($B235="insumo",R235,"")</f>
        <v/>
      </c>
      <c r="V235" s="320" t="s">
        <v>35</v>
      </c>
      <c r="W235" s="236" t="str">
        <f>IFERROR(IF(B235="INSUMO",_xlfn.XLOOKUP(S235,Insumos!A:A,Insumos!C:C),""),"Inserir Preço")</f>
        <v/>
      </c>
      <c r="X235" s="235" t="str">
        <f t="shared" ca="1" si="201"/>
        <v/>
      </c>
      <c r="Y235" s="236" t="str">
        <f t="shared" si="192"/>
        <v/>
      </c>
      <c r="Z235" s="237">
        <f t="shared" ca="1" si="165"/>
        <v>60444.362973942349</v>
      </c>
      <c r="AA235" s="238"/>
      <c r="AB235" s="233" t="str">
        <f>IF(B235="insumo",_xlfn.XLOOKUP(S235,Insumos!A:A,Insumos!D:D),"")</f>
        <v/>
      </c>
      <c r="AC235" s="239">
        <f t="shared" ca="1" si="166"/>
        <v>8.6712949522314772E-3</v>
      </c>
      <c r="AE235" s="240">
        <f ca="1">IFERROR(IF(OR(Z235="",Z235=0),"",IF(AF235="","",IF(AF235="R$/mês",Z235/OBRA!$D$12,IF(AF235="R$/m²",Z235/OBRA!$D$10,IF(AF235="R$/apto",Orçamento!Z235/OBRA!$D$11,""))))),"")</f>
        <v>31.105099743181377</v>
      </c>
      <c r="AF235" s="241" t="s">
        <v>154</v>
      </c>
    </row>
    <row r="236" spans="1:32" s="10" customFormat="1" ht="13.15" hidden="1" customHeight="1" outlineLevel="3" collapsed="1" x14ac:dyDescent="0.2">
      <c r="A236" s="227"/>
      <c r="B236" s="228" t="s">
        <v>3</v>
      </c>
      <c r="C236" s="229" t="str">
        <f t="shared" si="164"/>
        <v/>
      </c>
      <c r="D236" s="227" t="str">
        <f t="shared" ca="1" si="193"/>
        <v>04.001.001</v>
      </c>
      <c r="E236" s="228" t="str">
        <f t="shared" ca="1" si="202"/>
        <v>03.001.007.001</v>
      </c>
      <c r="F236" s="230">
        <f ca="1">IF($B236="UNIDADE CONSTRUTIVA",OFFSET(F236,-1,0)+1,LARGE(F$10:F235,1))</f>
        <v>2</v>
      </c>
      <c r="G236" s="228" t="str">
        <f t="shared" ca="1" si="203"/>
        <v xml:space="preserve">   GERENCIAMENTO EXECUTIVO</v>
      </c>
      <c r="H236" s="230">
        <f t="shared" ca="1" si="204"/>
        <v>4</v>
      </c>
      <c r="I236" s="228" t="str">
        <f t="shared" ca="1" si="205"/>
        <v xml:space="preserve">   SUPRAESTRUTURA</v>
      </c>
      <c r="J236" s="230">
        <f t="shared" ca="1" si="206"/>
        <v>1</v>
      </c>
      <c r="K236" s="228" t="str">
        <f t="shared" ca="1" si="207"/>
        <v xml:space="preserve">   SUPRAESTRUTURA - 1º PAVIMENTO - SUBSOLO</v>
      </c>
      <c r="L236" s="231">
        <f t="shared" ca="1" si="208"/>
        <v>1</v>
      </c>
      <c r="M236" s="228" t="str">
        <f t="shared" ca="1" si="209"/>
        <v xml:space="preserve">   Armadura</v>
      </c>
      <c r="N236" s="231">
        <f t="shared" ca="1" si="210"/>
        <v>0</v>
      </c>
      <c r="O236" s="228" t="str">
        <f t="shared" ca="1" si="211"/>
        <v>Mao de obra - para execucao de Contenção</v>
      </c>
      <c r="P236" s="232" t="str">
        <f>IF(S236="","",IF(Orçamento!$B236="INSUMO",S236,""))</f>
        <v/>
      </c>
      <c r="Q236" s="244" t="str">
        <f t="shared" si="199"/>
        <v/>
      </c>
      <c r="R236" s="234">
        <f t="shared" ca="1" si="200"/>
        <v>216.99340049999998</v>
      </c>
      <c r="S236" s="233" t="s">
        <v>434</v>
      </c>
      <c r="T236" s="242" t="s">
        <v>35</v>
      </c>
      <c r="U236" s="235" t="str">
        <f>IF($B236="insumo",R236,"")</f>
        <v/>
      </c>
      <c r="V236" s="320" t="s">
        <v>35</v>
      </c>
      <c r="W236" s="236" t="str">
        <f>IFERROR(IF(B236="INSUMO",_xlfn.XLOOKUP(S236,Insumos!A:A,Insumos!C:C),""),"Inserir Preço")</f>
        <v/>
      </c>
      <c r="X236" s="235" t="str">
        <f t="shared" ca="1" si="201"/>
        <v/>
      </c>
      <c r="Y236" s="236" t="str">
        <f t="shared" si="192"/>
        <v/>
      </c>
      <c r="Z236" s="237">
        <f t="shared" ca="1" si="165"/>
        <v>7133.5383549241014</v>
      </c>
      <c r="AA236" s="238"/>
      <c r="AB236" s="233" t="str">
        <f>IF(B236="insumo",_xlfn.XLOOKUP(S236,Insumos!A:A,Insumos!D:D),"")</f>
        <v/>
      </c>
      <c r="AC236" s="239">
        <f t="shared" ca="1" si="166"/>
        <v>1.0233711149420111E-3</v>
      </c>
      <c r="AE236" s="240">
        <f ca="1">IFERROR(IF(OR(Z236="",Z236=0),"",IF(AF236="","",IF(AF236="R$/mês",Z236/OBRA!$D$12,IF(AF236="R$/m²",Z236/OBRA!$D$10,IF(AF236="R$/apto",Orçamento!Z236/OBRA!$D$11,""))))),"")</f>
        <v>3.6709696510058518</v>
      </c>
      <c r="AF236" s="241" t="s">
        <v>154</v>
      </c>
    </row>
    <row r="237" spans="1:32" s="10" customFormat="1" ht="13.15" hidden="1" customHeight="1" outlineLevel="4" x14ac:dyDescent="0.2">
      <c r="A237" s="227"/>
      <c r="B237" s="228" t="s">
        <v>4</v>
      </c>
      <c r="C237" s="229">
        <f t="shared" si="164"/>
        <v>5</v>
      </c>
      <c r="D237" s="227" t="str">
        <f t="shared" ca="1" si="193"/>
        <v>04.001.001.001</v>
      </c>
      <c r="E237" s="228" t="str">
        <f t="shared" ca="1" si="202"/>
        <v>04.001.001.001</v>
      </c>
      <c r="F237" s="230">
        <f ca="1">IF($B237="UNIDADE CONSTRUTIVA",OFFSET(F237,-1,0)+1,LARGE(F$10:F236,1))</f>
        <v>2</v>
      </c>
      <c r="G237" s="228" t="str">
        <f t="shared" ca="1" si="203"/>
        <v xml:space="preserve">   GERENCIAMENTO EXECUTIVO</v>
      </c>
      <c r="H237" s="230">
        <f t="shared" ca="1" si="204"/>
        <v>4</v>
      </c>
      <c r="I237" s="228" t="str">
        <f t="shared" ca="1" si="205"/>
        <v xml:space="preserve">   SUPRAESTRUTURA</v>
      </c>
      <c r="J237" s="230">
        <f t="shared" ca="1" si="206"/>
        <v>1</v>
      </c>
      <c r="K237" s="228" t="str">
        <f t="shared" ca="1" si="207"/>
        <v xml:space="preserve">   SUPRAESTRUTURA - 1º PAVIMENTO - SUBSOLO</v>
      </c>
      <c r="L237" s="231">
        <f t="shared" ca="1" si="208"/>
        <v>1</v>
      </c>
      <c r="M237" s="228" t="str">
        <f t="shared" ca="1" si="209"/>
        <v xml:space="preserve">   Armadura</v>
      </c>
      <c r="N237" s="231">
        <f t="shared" ca="1" si="210"/>
        <v>1</v>
      </c>
      <c r="O237" s="228" t="str">
        <f t="shared" ca="1" si="211"/>
        <v>Armacao aco CA-50 ø 6.3mm para supraestrutura corte e dobra em indústria</v>
      </c>
      <c r="P237" s="232" t="str">
        <f>IF(S237="","",IF(Orçamento!$B237="INSUMO",S237,""))</f>
        <v/>
      </c>
      <c r="Q237" s="244" t="str">
        <f t="shared" si="199"/>
        <v>Armacao aco CA-50 ø 6.3mm para supraestrutura corte e dobra em indústria</v>
      </c>
      <c r="R237" s="234">
        <f t="shared" ca="1" si="200"/>
        <v>164.65959999999998</v>
      </c>
      <c r="S237" s="233" t="s">
        <v>186</v>
      </c>
      <c r="T237" s="242" t="s">
        <v>159</v>
      </c>
      <c r="U237" s="235">
        <v>164.65959999999998</v>
      </c>
      <c r="V237" s="320" t="s">
        <v>35</v>
      </c>
      <c r="W237" s="236" t="str">
        <f>IFERROR(IF(B237="INSUMO",_xlfn.XLOOKUP(S237,Insumos!A:A,Insumos!C:C),""),"Inserir Preço")</f>
        <v/>
      </c>
      <c r="X237" s="235">
        <f t="shared" ca="1" si="201"/>
        <v>164.65959999999998</v>
      </c>
      <c r="Y237" s="236">
        <f t="shared" ca="1" si="192"/>
        <v>7.56555</v>
      </c>
      <c r="Z237" s="237">
        <f t="shared" ca="1" si="165"/>
        <v>1245.74043678</v>
      </c>
      <c r="AA237" s="238"/>
      <c r="AB237" s="233" t="str">
        <f>IF(B237="insumo",_xlfn.XLOOKUP(S237,Insumos!A:A,Insumos!D:D),"")</f>
        <v/>
      </c>
      <c r="AC237" s="239">
        <f t="shared" ca="1" si="166"/>
        <v>1.787128233264347E-4</v>
      </c>
      <c r="AE237" s="240">
        <f ca="1">IFERROR(IF(OR(Z237="",Z237=0),"",IF(AF237="","",IF(AF237="R$/mês",Z237/OBRA!$D$12,IF(AF237="R$/m²",Z237/OBRA!$D$10,IF(AF237="R$/apto",Orçamento!Z237/OBRA!$D$11,""))))),"")</f>
        <v>0.64106690241505127</v>
      </c>
      <c r="AF237" s="241" t="s">
        <v>154</v>
      </c>
    </row>
    <row r="238" spans="1:32" s="10" customFormat="1" ht="13.15" hidden="1" customHeight="1" outlineLevel="4" x14ac:dyDescent="0.2">
      <c r="A238" s="227"/>
      <c r="B238" s="228" t="s">
        <v>19</v>
      </c>
      <c r="C238" s="229">
        <f t="shared" si="164"/>
        <v>6</v>
      </c>
      <c r="D238" s="227" t="str">
        <f t="shared" si="193"/>
        <v/>
      </c>
      <c r="E238" s="228" t="str">
        <f t="shared" ca="1" si="202"/>
        <v>04.001.001.001</v>
      </c>
      <c r="F238" s="230">
        <f ca="1">IF($B238="UNIDADE CONSTRUTIVA",OFFSET(F238,-1,0)+1,LARGE(F$10:F237,1))</f>
        <v>2</v>
      </c>
      <c r="G238" s="228" t="str">
        <f t="shared" ca="1" si="203"/>
        <v xml:space="preserve">   GERENCIAMENTO EXECUTIVO</v>
      </c>
      <c r="H238" s="230">
        <f t="shared" ca="1" si="204"/>
        <v>4</v>
      </c>
      <c r="I238" s="228" t="str">
        <f t="shared" ca="1" si="205"/>
        <v xml:space="preserve">   SUPRAESTRUTURA</v>
      </c>
      <c r="J238" s="230">
        <f t="shared" ca="1" si="206"/>
        <v>1</v>
      </c>
      <c r="K238" s="228" t="str">
        <f t="shared" ca="1" si="207"/>
        <v xml:space="preserve">   SUPRAESTRUTURA - 1º PAVIMENTO - SUBSOLO</v>
      </c>
      <c r="L238" s="231">
        <f t="shared" ca="1" si="208"/>
        <v>1</v>
      </c>
      <c r="M238" s="228" t="str">
        <f t="shared" ca="1" si="209"/>
        <v xml:space="preserve">   Armadura</v>
      </c>
      <c r="N238" s="231">
        <f t="shared" ca="1" si="210"/>
        <v>1</v>
      </c>
      <c r="O238" s="228" t="str">
        <f t="shared" ca="1" si="211"/>
        <v>Armacao aco CA-50 ø 6.3mm para supraestrutura corte e dobra em indústria</v>
      </c>
      <c r="P238" s="232" t="str">
        <f>IF(S238="","",IF(Orçamento!$B238="INSUMO",S238,""))</f>
        <v>ACO CA-50A 6,30 MM (1/4)</v>
      </c>
      <c r="Q238" s="244" t="str">
        <f t="shared" si="199"/>
        <v/>
      </c>
      <c r="R238" s="234">
        <f t="shared" ca="1" si="200"/>
        <v>164.65959999999998</v>
      </c>
      <c r="S238" s="233" t="s">
        <v>160</v>
      </c>
      <c r="T238" s="242" t="str">
        <f>_xlfn.XLOOKUP(S238,Insumos!$A$3:$A$371,Insumos!$B$3:$B$371)</f>
        <v>KG</v>
      </c>
      <c r="U238" s="235">
        <f ca="1">IF($B238="insumo",R238,"")</f>
        <v>164.65959999999998</v>
      </c>
      <c r="V238" s="320">
        <v>1.1000000000000001</v>
      </c>
      <c r="W238" s="236">
        <f>IFERROR(IF(B238="INSUMO",_xlfn.XLOOKUP(S238,Insumos!A:A,Insumos!C:C),""),"Inserir Preço")</f>
        <v>5.62</v>
      </c>
      <c r="X238" s="235">
        <f t="shared" ca="1" si="201"/>
        <v>181.12556000000001</v>
      </c>
      <c r="Y238" s="236">
        <f t="shared" si="192"/>
        <v>6.1820000000000004</v>
      </c>
      <c r="Z238" s="237">
        <f t="shared" ca="1" si="165"/>
        <v>1017.9256472000001</v>
      </c>
      <c r="AA238" s="238"/>
      <c r="AB238" s="233" t="str">
        <f>IF(B238="insumo",_xlfn.XLOOKUP(S238,Insumos!A:A,Insumos!D:D),"")</f>
        <v>KNORR</v>
      </c>
      <c r="AC238" s="239">
        <f t="shared" ca="1" si="166"/>
        <v>1.4603071472715394E-4</v>
      </c>
      <c r="AE238" s="240">
        <f ca="1">IFERROR(IF(OR(Z238="",Z238=0),"",IF(AF238="","",IF(AF238="R$/mês",Z238/OBRA!$D$12,IF(AF238="R$/m²",Z238/OBRA!$D$10,IF(AF238="R$/apto",Orçamento!Z238/OBRA!$D$11,""))))),"")</f>
        <v>0.52383178892874238</v>
      </c>
      <c r="AF238" s="241" t="s">
        <v>154</v>
      </c>
    </row>
    <row r="239" spans="1:32" s="10" customFormat="1" ht="13.15" hidden="1" customHeight="1" outlineLevel="4" x14ac:dyDescent="0.2">
      <c r="A239" s="227"/>
      <c r="B239" s="228" t="s">
        <v>19</v>
      </c>
      <c r="C239" s="229">
        <f t="shared" si="164"/>
        <v>42</v>
      </c>
      <c r="D239" s="227" t="str">
        <f t="shared" si="193"/>
        <v/>
      </c>
      <c r="E239" s="228" t="str">
        <f t="shared" ca="1" si="202"/>
        <v>04.001.001.001</v>
      </c>
      <c r="F239" s="230">
        <f ca="1">IF($B239="UNIDADE CONSTRUTIVA",OFFSET(F239,-1,0)+1,LARGE(F$10:F238,1))</f>
        <v>2</v>
      </c>
      <c r="G239" s="228" t="str">
        <f t="shared" ca="1" si="203"/>
        <v xml:space="preserve">   GERENCIAMENTO EXECUTIVO</v>
      </c>
      <c r="H239" s="230">
        <f t="shared" ca="1" si="204"/>
        <v>4</v>
      </c>
      <c r="I239" s="228" t="str">
        <f t="shared" ca="1" si="205"/>
        <v xml:space="preserve">   SUPRAESTRUTURA</v>
      </c>
      <c r="J239" s="230">
        <f t="shared" ca="1" si="206"/>
        <v>1</v>
      </c>
      <c r="K239" s="228" t="str">
        <f t="shared" ca="1" si="207"/>
        <v xml:space="preserve">   SUPRAESTRUTURA - 1º PAVIMENTO - SUBSOLO</v>
      </c>
      <c r="L239" s="231">
        <f t="shared" ca="1" si="208"/>
        <v>1</v>
      </c>
      <c r="M239" s="228" t="str">
        <f t="shared" ca="1" si="209"/>
        <v xml:space="preserve">   Armadura</v>
      </c>
      <c r="N239" s="231">
        <f t="shared" ca="1" si="210"/>
        <v>1</v>
      </c>
      <c r="O239" s="228" t="str">
        <f t="shared" ca="1" si="211"/>
        <v>Armacao aco CA-50 ø 6.3mm para supraestrutura corte e dobra em indústria</v>
      </c>
      <c r="P239" s="232" t="str">
        <f>IF(S239="","",IF(Orçamento!$B239="INSUMO",S239,""))</f>
        <v>ARAME RECOZIDO 18 BWG, 1,25MM (0,010 KG/M)</v>
      </c>
      <c r="Q239" s="244" t="str">
        <f t="shared" si="199"/>
        <v/>
      </c>
      <c r="R239" s="234">
        <f t="shared" ca="1" si="200"/>
        <v>164.65959999999998</v>
      </c>
      <c r="S239" s="233" t="s">
        <v>161</v>
      </c>
      <c r="T239" s="242" t="str">
        <f>_xlfn.XLOOKUP(S239,Insumos!$A$3:$A$371,Insumos!$B$3:$B$371)</f>
        <v>KG</v>
      </c>
      <c r="U239" s="235">
        <f ca="1">IF($B239="insumo",R239,"")</f>
        <v>164.65959999999998</v>
      </c>
      <c r="V239" s="320">
        <v>3.5000000000000003E-2</v>
      </c>
      <c r="W239" s="236">
        <f>IFERROR(IF(B239="INSUMO",_xlfn.XLOOKUP(S239,Insumos!A:A,Insumos!C:C),""),"Inserir Preço")</f>
        <v>13.69</v>
      </c>
      <c r="X239" s="235">
        <f t="shared" ca="1" si="201"/>
        <v>5.7630860000000004</v>
      </c>
      <c r="Y239" s="236">
        <f t="shared" si="192"/>
        <v>0.47915000000000002</v>
      </c>
      <c r="Z239" s="237">
        <f t="shared" ca="1" si="165"/>
        <v>78.896647340000001</v>
      </c>
      <c r="AA239" s="238"/>
      <c r="AB239" s="233" t="str">
        <f>IF(B239="insumo",_xlfn.XLOOKUP(S239,Insumos!A:A,Insumos!D:D),"")</f>
        <v>GERDAU</v>
      </c>
      <c r="AC239" s="239">
        <f t="shared" ca="1" si="166"/>
        <v>1.1318443377792916E-5</v>
      </c>
      <c r="AE239" s="240">
        <f ca="1">IFERROR(IF(OR(Z239="",Z239=0),"",IF(AF239="","",IF(AF239="R$/mês",Z239/OBRA!$D$12,IF(AF239="R$/m²",Z239/OBRA!$D$10,IF(AF239="R$/apto",Orçamento!Z239/OBRA!$D$11,""))))),"")</f>
        <v>4.0600776717115317E-2</v>
      </c>
      <c r="AF239" s="241" t="s">
        <v>154</v>
      </c>
    </row>
    <row r="240" spans="1:32" s="10" customFormat="1" ht="13.15" hidden="1" customHeight="1" outlineLevel="4" x14ac:dyDescent="0.2">
      <c r="A240" s="227"/>
      <c r="B240" s="228" t="s">
        <v>19</v>
      </c>
      <c r="C240" s="229">
        <f t="shared" si="164"/>
        <v>37</v>
      </c>
      <c r="D240" s="227" t="str">
        <f t="shared" si="193"/>
        <v/>
      </c>
      <c r="E240" s="228" t="str">
        <f t="shared" ca="1" si="202"/>
        <v>04.001.001.001</v>
      </c>
      <c r="F240" s="230">
        <f ca="1">IF($B240="UNIDADE CONSTRUTIVA",OFFSET(F240,-1,0)+1,LARGE(F$10:F239,1))</f>
        <v>2</v>
      </c>
      <c r="G240" s="228" t="str">
        <f t="shared" ca="1" si="203"/>
        <v xml:space="preserve">   GERENCIAMENTO EXECUTIVO</v>
      </c>
      <c r="H240" s="230">
        <f t="shared" ca="1" si="204"/>
        <v>4</v>
      </c>
      <c r="I240" s="228" t="str">
        <f t="shared" ca="1" si="205"/>
        <v xml:space="preserve">   SUPRAESTRUTURA</v>
      </c>
      <c r="J240" s="230">
        <f t="shared" ca="1" si="206"/>
        <v>1</v>
      </c>
      <c r="K240" s="228" t="str">
        <f t="shared" ca="1" si="207"/>
        <v xml:space="preserve">   SUPRAESTRUTURA - 1º PAVIMENTO - SUBSOLO</v>
      </c>
      <c r="L240" s="231">
        <f t="shared" ca="1" si="208"/>
        <v>1</v>
      </c>
      <c r="M240" s="228" t="str">
        <f t="shared" ca="1" si="209"/>
        <v xml:space="preserve">   Armadura</v>
      </c>
      <c r="N240" s="231">
        <f t="shared" ca="1" si="210"/>
        <v>1</v>
      </c>
      <c r="O240" s="228" t="str">
        <f t="shared" ca="1" si="211"/>
        <v>Armacao aco CA-50 ø 6.3mm para supraestrutura corte e dobra em indústria</v>
      </c>
      <c r="P240" s="232" t="str">
        <f>IF(S240="","",IF(Orçamento!$B240="INSUMO",S240,""))</f>
        <v>ESPACADOR CIRCULAR 40MM</v>
      </c>
      <c r="Q240" s="244" t="str">
        <f t="shared" si="199"/>
        <v/>
      </c>
      <c r="R240" s="234">
        <f t="shared" ca="1" si="200"/>
        <v>164.65959999999998</v>
      </c>
      <c r="S240" s="233" t="s">
        <v>162</v>
      </c>
      <c r="T240" s="242" t="str">
        <f>_xlfn.XLOOKUP(S240,Insumos!$A$3:$A$371,Insumos!$B$3:$B$371)</f>
        <v>UN</v>
      </c>
      <c r="U240" s="235">
        <f ca="1">IF($B240="insumo",R240,"")</f>
        <v>164.65959999999998</v>
      </c>
      <c r="V240" s="320">
        <v>1.19</v>
      </c>
      <c r="W240" s="236">
        <f>IFERROR(IF(B240="INSUMO",_xlfn.XLOOKUP(S240,Insumos!A:A,Insumos!C:C),""),"Inserir Preço")</f>
        <v>0.76</v>
      </c>
      <c r="X240" s="235">
        <f t="shared" ca="1" si="201"/>
        <v>195.94492399999996</v>
      </c>
      <c r="Y240" s="236">
        <f t="shared" si="192"/>
        <v>0.90439999999999998</v>
      </c>
      <c r="Z240" s="237">
        <f t="shared" ca="1" si="165"/>
        <v>148.91814223999998</v>
      </c>
      <c r="AA240" s="238"/>
      <c r="AB240" s="233" t="str">
        <f>IF(B240="insumo",_xlfn.XLOOKUP(S240,Insumos!A:A,Insumos!D:D),"")</f>
        <v xml:space="preserve"> </v>
      </c>
      <c r="AC240" s="239">
        <f t="shared" ca="1" si="166"/>
        <v>2.1363665221487868E-5</v>
      </c>
      <c r="AE240" s="240">
        <f ca="1">IFERROR(IF(OR(Z240="",Z240=0),"",IF(AF240="","",IF(AF240="R$/mês",Z240/OBRA!$D$12,IF(AF240="R$/m²",Z240/OBRA!$D$10,IF(AF240="R$/apto",Orçamento!Z240/OBRA!$D$11,""))))),"")</f>
        <v>7.6634336769193553E-2</v>
      </c>
      <c r="AF240" s="241" t="s">
        <v>154</v>
      </c>
    </row>
    <row r="241" spans="1:32" s="10" customFormat="1" ht="13.15" hidden="1" customHeight="1" outlineLevel="4" x14ac:dyDescent="0.2">
      <c r="A241" s="227"/>
      <c r="B241" s="228" t="s">
        <v>4</v>
      </c>
      <c r="C241" s="229">
        <f t="shared" si="164"/>
        <v>5</v>
      </c>
      <c r="D241" s="227" t="str">
        <f t="shared" ca="1" si="193"/>
        <v>04.001.001.002</v>
      </c>
      <c r="E241" s="228" t="str">
        <f t="shared" ref="E241:E263" ca="1" si="212">IF(B241="*","",IFERROR(IF(B241="SERVIÇO",D241,OFFSET(E241,-1,0)),""))</f>
        <v>04.001.001.002</v>
      </c>
      <c r="F241" s="230">
        <f ca="1">IF($B241="UNIDADE CONSTRUTIVA",OFFSET(F241,-1,0)+1,LARGE(F$10:F240,1))</f>
        <v>2</v>
      </c>
      <c r="G241" s="228" t="str">
        <f t="shared" ca="1" si="203"/>
        <v xml:space="preserve">   GERENCIAMENTO EXECUTIVO</v>
      </c>
      <c r="H241" s="230">
        <f t="shared" ref="H241:H263" ca="1" si="213">IF(B241="UNIDADE CONSTRUTIVA",0,IF(B241="CÉLULA CONSTRUTIVA",OFFSET(H241,-1,0)+1,OFFSET(H241,-1,0)))</f>
        <v>4</v>
      </c>
      <c r="I241" s="228" t="str">
        <f t="shared" ca="1" si="205"/>
        <v xml:space="preserve">   SUPRAESTRUTURA</v>
      </c>
      <c r="J241" s="230">
        <f t="shared" ref="J241:J263" ca="1" si="214">IF(B241="CÉLULA CONSTRUTIVA",0,IF(B241="ETAPA",OFFSET(J241,-1,0)+1,OFFSET(J241,-1,0)))</f>
        <v>1</v>
      </c>
      <c r="K241" s="228" t="str">
        <f t="shared" ca="1" si="207"/>
        <v xml:space="preserve">   SUPRAESTRUTURA - 1º PAVIMENTO - SUBSOLO</v>
      </c>
      <c r="L241" s="231">
        <f t="shared" ref="L241:L263" ca="1" si="215">IF(B241="ETAPA",0,IF(B241="SUBETAPA",OFFSET(L241,-1,0)+1,OFFSET(L241,-1,0)))</f>
        <v>1</v>
      </c>
      <c r="M241" s="228" t="str">
        <f t="shared" ca="1" si="209"/>
        <v xml:space="preserve">   Armadura</v>
      </c>
      <c r="N241" s="231">
        <f t="shared" ref="N241:N263" ca="1" si="216">IF(B241="Subetapa",0,IF(B241="serviço",OFFSET(N241,-1,0)+1,OFFSET(N241,-1,0)))</f>
        <v>2</v>
      </c>
      <c r="O241" s="228" t="str">
        <f t="shared" ca="1" si="211"/>
        <v>Armacao aco CA-50 ø 8.0mm para supraestrutura corte e dobra em indústria</v>
      </c>
      <c r="P241" s="232" t="str">
        <f>IF(S241="","",IF(Orçamento!$B241="INSUMO",S241,""))</f>
        <v/>
      </c>
      <c r="Q241" s="244" t="str">
        <f t="shared" si="199"/>
        <v>Armacao aco CA-50 ø 8.0mm para supraestrutura corte e dobra em indústria</v>
      </c>
      <c r="R241" s="234">
        <f t="shared" ca="1" si="200"/>
        <v>55.640680000000003</v>
      </c>
      <c r="S241" s="233" t="s">
        <v>187</v>
      </c>
      <c r="T241" s="242" t="s">
        <v>159</v>
      </c>
      <c r="U241" s="235">
        <v>55.640680000000003</v>
      </c>
      <c r="V241" s="320" t="s">
        <v>35</v>
      </c>
      <c r="W241" s="236" t="str">
        <f>IFERROR(IF(B241="INSUMO",_xlfn.XLOOKUP(S241,Insumos!A:A,Insumos!C:C),""),"Inserir Preço")</f>
        <v/>
      </c>
      <c r="X241" s="235">
        <f t="shared" ca="1" si="201"/>
        <v>55.640680000000003</v>
      </c>
      <c r="Y241" s="236">
        <f t="shared" ca="1" si="192"/>
        <v>7.0889300000000004</v>
      </c>
      <c r="Z241" s="237">
        <f t="shared" ca="1" si="165"/>
        <v>394.43288567240006</v>
      </c>
      <c r="AA241" s="238"/>
      <c r="AB241" s="233" t="str">
        <f>IF(B241="insumo",_xlfn.XLOOKUP(S241,Insumos!A:A,Insumos!D:D),"")</f>
        <v/>
      </c>
      <c r="AC241" s="239">
        <f t="shared" ca="1" si="166"/>
        <v>5.6584993574994752E-5</v>
      </c>
      <c r="AE241" s="240">
        <f ca="1">IFERROR(IF(OR(Z241="",Z241=0),"",IF(AF241="","",IF(AF241="R$/mês",Z241/OBRA!$D$12,IF(AF241="R$/m²",Z241/OBRA!$D$10,IF(AF241="R$/apto",Orçamento!Z241/OBRA!$D$11,""))))),"")</f>
        <v>0.20297797258811365</v>
      </c>
      <c r="AF241" s="241" t="s">
        <v>154</v>
      </c>
    </row>
    <row r="242" spans="1:32" s="10" customFormat="1" ht="13.15" hidden="1" customHeight="1" outlineLevel="4" x14ac:dyDescent="0.2">
      <c r="A242" s="227"/>
      <c r="B242" s="228" t="s">
        <v>19</v>
      </c>
      <c r="C242" s="229">
        <f t="shared" si="164"/>
        <v>5</v>
      </c>
      <c r="D242" s="227" t="str">
        <f t="shared" si="193"/>
        <v/>
      </c>
      <c r="E242" s="228" t="str">
        <f t="shared" ca="1" si="212"/>
        <v>04.001.001.002</v>
      </c>
      <c r="F242" s="230">
        <f ca="1">IF($B242="UNIDADE CONSTRUTIVA",OFFSET(F242,-1,0)+1,LARGE(F$10:F241,1))</f>
        <v>2</v>
      </c>
      <c r="G242" s="228" t="str">
        <f t="shared" ca="1" si="203"/>
        <v xml:space="preserve">   GERENCIAMENTO EXECUTIVO</v>
      </c>
      <c r="H242" s="230">
        <f t="shared" ca="1" si="213"/>
        <v>4</v>
      </c>
      <c r="I242" s="228" t="str">
        <f t="shared" ca="1" si="205"/>
        <v xml:space="preserve">   SUPRAESTRUTURA</v>
      </c>
      <c r="J242" s="230">
        <f t="shared" ca="1" si="214"/>
        <v>1</v>
      </c>
      <c r="K242" s="228" t="str">
        <f t="shared" ca="1" si="207"/>
        <v xml:space="preserve">   SUPRAESTRUTURA - 1º PAVIMENTO - SUBSOLO</v>
      </c>
      <c r="L242" s="231">
        <f t="shared" ca="1" si="215"/>
        <v>1</v>
      </c>
      <c r="M242" s="228" t="str">
        <f t="shared" ca="1" si="209"/>
        <v xml:space="preserve">   Armadura</v>
      </c>
      <c r="N242" s="231">
        <f t="shared" ca="1" si="216"/>
        <v>2</v>
      </c>
      <c r="O242" s="228" t="str">
        <f t="shared" ca="1" si="211"/>
        <v>Armacao aco CA-50 ø 8.0mm para supraestrutura corte e dobra em indústria</v>
      </c>
      <c r="P242" s="232" t="str">
        <f>IF(S242="","",IF(Orçamento!$B242="INSUMO",S242,""))</f>
        <v>ACO CA-50A 8,00 MM (5/16)</v>
      </c>
      <c r="Q242" s="244" t="str">
        <f t="shared" si="199"/>
        <v/>
      </c>
      <c r="R242" s="234">
        <f t="shared" ca="1" si="200"/>
        <v>55.640680000000003</v>
      </c>
      <c r="S242" s="233" t="s">
        <v>163</v>
      </c>
      <c r="T242" s="242" t="str">
        <f>_xlfn.XLOOKUP(S242,Insumos!$A$3:$A$371,Insumos!$B$3:$B$371)</f>
        <v>KG</v>
      </c>
      <c r="U242" s="235">
        <f ca="1">IF($B242="insumo",R242,"")</f>
        <v>55.640680000000003</v>
      </c>
      <c r="V242" s="320">
        <v>1.1000000000000001</v>
      </c>
      <c r="W242" s="236">
        <f>IFERROR(IF(B242="INSUMO",_xlfn.XLOOKUP(S242,Insumos!A:A,Insumos!C:C),""),"Inserir Preço")</f>
        <v>5.62</v>
      </c>
      <c r="X242" s="235">
        <f t="shared" ca="1" si="201"/>
        <v>61.204748000000009</v>
      </c>
      <c r="Y242" s="236">
        <f t="shared" si="192"/>
        <v>6.1820000000000004</v>
      </c>
      <c r="Z242" s="237">
        <f t="shared" ca="1" si="165"/>
        <v>343.97068376000004</v>
      </c>
      <c r="AA242" s="238"/>
      <c r="AB242" s="233" t="str">
        <f>IF(B242="insumo",_xlfn.XLOOKUP(S242,Insumos!A:A,Insumos!D:D),"")</f>
        <v>KNORR</v>
      </c>
      <c r="AC242" s="239">
        <f t="shared" ca="1" si="166"/>
        <v>4.9345730636445493E-5</v>
      </c>
      <c r="AE242" s="240">
        <f ca="1">IFERROR(IF(OR(Z242="",Z242=0),"",IF(AF242="","",IF(AF242="R$/mês",Z242/OBRA!$D$12,IF(AF242="R$/m²",Z242/OBRA!$D$10,IF(AF242="R$/apto",Orçamento!Z242/OBRA!$D$11,""))))),"")</f>
        <v>0.17700976403204977</v>
      </c>
      <c r="AF242" s="241" t="s">
        <v>154</v>
      </c>
    </row>
    <row r="243" spans="1:32" s="10" customFormat="1" ht="13.15" hidden="1" customHeight="1" outlineLevel="4" x14ac:dyDescent="0.2">
      <c r="A243" s="227"/>
      <c r="B243" s="228" t="s">
        <v>19</v>
      </c>
      <c r="C243" s="229">
        <f t="shared" si="164"/>
        <v>42</v>
      </c>
      <c r="D243" s="227" t="str">
        <f t="shared" si="193"/>
        <v/>
      </c>
      <c r="E243" s="228" t="str">
        <f t="shared" ca="1" si="212"/>
        <v>04.001.001.002</v>
      </c>
      <c r="F243" s="230">
        <f ca="1">IF($B243="UNIDADE CONSTRUTIVA",OFFSET(F243,-1,0)+1,LARGE(F$10:F242,1))</f>
        <v>2</v>
      </c>
      <c r="G243" s="228" t="str">
        <f t="shared" ca="1" si="203"/>
        <v xml:space="preserve">   GERENCIAMENTO EXECUTIVO</v>
      </c>
      <c r="H243" s="230">
        <f t="shared" ca="1" si="213"/>
        <v>4</v>
      </c>
      <c r="I243" s="228" t="str">
        <f t="shared" ca="1" si="205"/>
        <v xml:space="preserve">   SUPRAESTRUTURA</v>
      </c>
      <c r="J243" s="230">
        <f t="shared" ca="1" si="214"/>
        <v>1</v>
      </c>
      <c r="K243" s="228" t="str">
        <f t="shared" ca="1" si="207"/>
        <v xml:space="preserve">   SUPRAESTRUTURA - 1º PAVIMENTO - SUBSOLO</v>
      </c>
      <c r="L243" s="231">
        <f t="shared" ca="1" si="215"/>
        <v>1</v>
      </c>
      <c r="M243" s="228" t="str">
        <f t="shared" ca="1" si="209"/>
        <v xml:space="preserve">   Armadura</v>
      </c>
      <c r="N243" s="231">
        <f t="shared" ca="1" si="216"/>
        <v>2</v>
      </c>
      <c r="O243" s="228" t="str">
        <f t="shared" ca="1" si="211"/>
        <v>Armacao aco CA-50 ø 8.0mm para supraestrutura corte e dobra em indústria</v>
      </c>
      <c r="P243" s="232" t="str">
        <f>IF(S243="","",IF(Orçamento!$B243="INSUMO",S243,""))</f>
        <v>ARAME RECOZIDO 18 BWG, 1,25MM (0,010 KG/M)</v>
      </c>
      <c r="Q243" s="244" t="str">
        <f t="shared" si="199"/>
        <v/>
      </c>
      <c r="R243" s="234">
        <f t="shared" ca="1" si="200"/>
        <v>55.640680000000003</v>
      </c>
      <c r="S243" s="233" t="s">
        <v>161</v>
      </c>
      <c r="T243" s="242" t="str">
        <f>_xlfn.XLOOKUP(S243,Insumos!$A$3:$A$371,Insumos!$B$3:$B$371)</f>
        <v>KG</v>
      </c>
      <c r="U243" s="235">
        <f ca="1">IF($B243="insumo",R243,"")</f>
        <v>55.640680000000003</v>
      </c>
      <c r="V243" s="320">
        <v>2.5000000000000001E-2</v>
      </c>
      <c r="W243" s="236">
        <f>IFERROR(IF(B243="INSUMO",_xlfn.XLOOKUP(S243,Insumos!A:A,Insumos!C:C),""),"Inserir Preço")</f>
        <v>13.69</v>
      </c>
      <c r="X243" s="235">
        <f t="shared" ca="1" si="201"/>
        <v>1.3910170000000002</v>
      </c>
      <c r="Y243" s="236">
        <f t="shared" si="192"/>
        <v>0.34225</v>
      </c>
      <c r="Z243" s="237">
        <f t="shared" ca="1" si="165"/>
        <v>19.043022730000001</v>
      </c>
      <c r="AA243" s="238"/>
      <c r="AB243" s="233" t="str">
        <f>IF(B243="insumo",_xlfn.XLOOKUP(S243,Insumos!A:A,Insumos!D:D),"")</f>
        <v>GERDAU</v>
      </c>
      <c r="AC243" s="239">
        <f t="shared" ca="1" si="166"/>
        <v>2.7318952297514504E-6</v>
      </c>
      <c r="AE243" s="240">
        <f ca="1">IFERROR(IF(OR(Z243="",Z243=0),"",IF(AF243="","",IF(AF243="R$/mês",Z243/OBRA!$D$12,IF(AF243="R$/m²",Z243/OBRA!$D$10,IF(AF243="R$/apto",Orçamento!Z243/OBRA!$D$11,""))))),"")</f>
        <v>9.7996751439613436E-3</v>
      </c>
      <c r="AF243" s="241" t="s">
        <v>154</v>
      </c>
    </row>
    <row r="244" spans="1:32" s="10" customFormat="1" ht="13.15" hidden="1" customHeight="1" outlineLevel="4" x14ac:dyDescent="0.2">
      <c r="A244" s="227"/>
      <c r="B244" s="228" t="s">
        <v>19</v>
      </c>
      <c r="C244" s="229">
        <f t="shared" si="164"/>
        <v>37</v>
      </c>
      <c r="D244" s="227" t="str">
        <f t="shared" si="193"/>
        <v/>
      </c>
      <c r="E244" s="228" t="str">
        <f t="shared" ca="1" si="212"/>
        <v>04.001.001.002</v>
      </c>
      <c r="F244" s="230">
        <f ca="1">IF($B244="UNIDADE CONSTRUTIVA",OFFSET(F244,-1,0)+1,LARGE(F$10:F243,1))</f>
        <v>2</v>
      </c>
      <c r="G244" s="228" t="str">
        <f t="shared" ca="1" si="203"/>
        <v xml:space="preserve">   GERENCIAMENTO EXECUTIVO</v>
      </c>
      <c r="H244" s="230">
        <f t="shared" ca="1" si="213"/>
        <v>4</v>
      </c>
      <c r="I244" s="228" t="str">
        <f t="shared" ca="1" si="205"/>
        <v xml:space="preserve">   SUPRAESTRUTURA</v>
      </c>
      <c r="J244" s="230">
        <f t="shared" ca="1" si="214"/>
        <v>1</v>
      </c>
      <c r="K244" s="228" t="str">
        <f t="shared" ca="1" si="207"/>
        <v xml:space="preserve">   SUPRAESTRUTURA - 1º PAVIMENTO - SUBSOLO</v>
      </c>
      <c r="L244" s="231">
        <f t="shared" ca="1" si="215"/>
        <v>1</v>
      </c>
      <c r="M244" s="228" t="str">
        <f t="shared" ca="1" si="209"/>
        <v xml:space="preserve">   Armadura</v>
      </c>
      <c r="N244" s="231">
        <f t="shared" ca="1" si="216"/>
        <v>2</v>
      </c>
      <c r="O244" s="228" t="str">
        <f t="shared" ca="1" si="211"/>
        <v>Armacao aco CA-50 ø 8.0mm para supraestrutura corte e dobra em indústria</v>
      </c>
      <c r="P244" s="232" t="str">
        <f>IF(S244="","",IF(Orçamento!$B244="INSUMO",S244,""))</f>
        <v>ESPACADOR CIRCULAR 40MM</v>
      </c>
      <c r="Q244" s="244" t="str">
        <f t="shared" si="199"/>
        <v/>
      </c>
      <c r="R244" s="234">
        <f t="shared" ca="1" si="200"/>
        <v>55.640680000000003</v>
      </c>
      <c r="S244" s="233" t="s">
        <v>162</v>
      </c>
      <c r="T244" s="242" t="str">
        <f>_xlfn.XLOOKUP(S244,Insumos!$A$3:$A$371,Insumos!$B$3:$B$371)</f>
        <v>UN</v>
      </c>
      <c r="U244" s="235">
        <f ca="1">IF($B244="insumo",R244,"")</f>
        <v>55.640680000000003</v>
      </c>
      <c r="V244" s="320">
        <v>0.74299999999999999</v>
      </c>
      <c r="W244" s="236">
        <f>IFERROR(IF(B244="INSUMO",_xlfn.XLOOKUP(S244,Insumos!A:A,Insumos!C:C),""),"Inserir Preço")</f>
        <v>0.76</v>
      </c>
      <c r="X244" s="235">
        <f t="shared" ca="1" si="201"/>
        <v>41.34102524</v>
      </c>
      <c r="Y244" s="236">
        <f t="shared" si="192"/>
        <v>0.56467999999999996</v>
      </c>
      <c r="Z244" s="237">
        <f t="shared" ca="1" si="165"/>
        <v>31.419179182400001</v>
      </c>
      <c r="AA244" s="238"/>
      <c r="AB244" s="233" t="str">
        <f>IF(B244="insumo",_xlfn.XLOOKUP(S244,Insumos!A:A,Insumos!D:D),"")</f>
        <v xml:space="preserve"> </v>
      </c>
      <c r="AC244" s="239">
        <f t="shared" ca="1" si="166"/>
        <v>4.5073677087978064E-6</v>
      </c>
      <c r="AE244" s="240">
        <f ca="1">IFERROR(IF(OR(Z244="",Z244=0),"",IF(AF244="","",IF(AF244="R$/mês",Z244/OBRA!$D$12,IF(AF244="R$/m²",Z244/OBRA!$D$10,IF(AF244="R$/apto",Orçamento!Z244/OBRA!$D$11,""))))),"")</f>
        <v>1.6168533412102531E-2</v>
      </c>
      <c r="AF244" s="241" t="s">
        <v>154</v>
      </c>
    </row>
    <row r="245" spans="1:32" s="10" customFormat="1" ht="13.15" hidden="1" customHeight="1" outlineLevel="4" x14ac:dyDescent="0.2">
      <c r="A245" s="227"/>
      <c r="B245" s="228" t="s">
        <v>4</v>
      </c>
      <c r="C245" s="229">
        <f t="shared" si="164"/>
        <v>5</v>
      </c>
      <c r="D245" s="227" t="str">
        <f t="shared" ca="1" si="193"/>
        <v>04.001.001.003</v>
      </c>
      <c r="E245" s="228" t="str">
        <f t="shared" ca="1" si="212"/>
        <v>04.001.001.003</v>
      </c>
      <c r="F245" s="230">
        <f ca="1">IF($B245="UNIDADE CONSTRUTIVA",OFFSET(F245,-1,0)+1,LARGE(F$10:F244,1))</f>
        <v>2</v>
      </c>
      <c r="G245" s="228" t="str">
        <f t="shared" ca="1" si="203"/>
        <v xml:space="preserve">   GERENCIAMENTO EXECUTIVO</v>
      </c>
      <c r="H245" s="230">
        <f t="shared" ca="1" si="213"/>
        <v>4</v>
      </c>
      <c r="I245" s="228" t="str">
        <f t="shared" ca="1" si="205"/>
        <v xml:space="preserve">   SUPRAESTRUTURA</v>
      </c>
      <c r="J245" s="230">
        <f t="shared" ca="1" si="214"/>
        <v>1</v>
      </c>
      <c r="K245" s="228" t="str">
        <f t="shared" ca="1" si="207"/>
        <v xml:space="preserve">   SUPRAESTRUTURA - 1º PAVIMENTO - SUBSOLO</v>
      </c>
      <c r="L245" s="231">
        <f t="shared" ca="1" si="215"/>
        <v>1</v>
      </c>
      <c r="M245" s="228" t="str">
        <f t="shared" ca="1" si="209"/>
        <v xml:space="preserve">   Armadura</v>
      </c>
      <c r="N245" s="231">
        <f t="shared" ca="1" si="216"/>
        <v>3</v>
      </c>
      <c r="O245" s="228" t="str">
        <f t="shared" ca="1" si="211"/>
        <v>Armacao aco CA-50 ø 10.0mm para supraestrutura corte e dobra em indústria</v>
      </c>
      <c r="P245" s="232" t="str">
        <f>IF(S245="","",IF(Orçamento!$B245="INSUMO",S245,""))</f>
        <v/>
      </c>
      <c r="Q245" s="244" t="str">
        <f t="shared" si="199"/>
        <v>Armacao aco CA-50 ø 10.0mm para supraestrutura corte e dobra em indústria</v>
      </c>
      <c r="R245" s="234">
        <f t="shared" ca="1" si="200"/>
        <v>207.13615999999999</v>
      </c>
      <c r="S245" s="233" t="s">
        <v>188</v>
      </c>
      <c r="T245" s="242" t="s">
        <v>159</v>
      </c>
      <c r="U245" s="235">
        <v>207.13615999999999</v>
      </c>
      <c r="V245" s="320" t="s">
        <v>35</v>
      </c>
      <c r="W245" s="236" t="str">
        <f>IFERROR(IF(B245="INSUMO",_xlfn.XLOOKUP(S245,Insumos!A:A,Insumos!C:C),""),"Inserir Preço")</f>
        <v/>
      </c>
      <c r="X245" s="235">
        <f t="shared" ca="1" si="201"/>
        <v>207.13615999999999</v>
      </c>
      <c r="Y245" s="236">
        <f t="shared" ca="1" si="192"/>
        <v>6.5920300000000012</v>
      </c>
      <c r="Z245" s="237">
        <f t="shared" ca="1" si="165"/>
        <v>1365.4477808048002</v>
      </c>
      <c r="AA245" s="238"/>
      <c r="AB245" s="233" t="str">
        <f>IF(B245="insumo",_xlfn.XLOOKUP(S245,Insumos!A:A,Insumos!D:D),"")</f>
        <v/>
      </c>
      <c r="AC245" s="239">
        <f t="shared" ca="1" si="166"/>
        <v>1.9588593322313058E-4</v>
      </c>
      <c r="AE245" s="240">
        <f ca="1">IFERROR(IF(OR(Z245="",Z245=0),"",IF(AF245="","",IF(AF245="R$/mês",Z245/OBRA!$D$12,IF(AF245="R$/m²",Z245/OBRA!$D$10,IF(AF245="R$/apto",Orçamento!Z245/OBRA!$D$11,""))))),"")</f>
        <v>0.70266915434858468</v>
      </c>
      <c r="AF245" s="241" t="s">
        <v>154</v>
      </c>
    </row>
    <row r="246" spans="1:32" s="10" customFormat="1" ht="13.15" hidden="1" customHeight="1" outlineLevel="4" x14ac:dyDescent="0.2">
      <c r="A246" s="227"/>
      <c r="B246" s="228" t="s">
        <v>19</v>
      </c>
      <c r="C246" s="229">
        <f t="shared" si="164"/>
        <v>6</v>
      </c>
      <c r="D246" s="227" t="str">
        <f t="shared" si="193"/>
        <v/>
      </c>
      <c r="E246" s="228" t="str">
        <f t="shared" ca="1" si="212"/>
        <v>04.001.001.003</v>
      </c>
      <c r="F246" s="230">
        <f ca="1">IF($B246="UNIDADE CONSTRUTIVA",OFFSET(F246,-1,0)+1,LARGE(F$10:F245,1))</f>
        <v>2</v>
      </c>
      <c r="G246" s="228" t="str">
        <f t="shared" ca="1" si="203"/>
        <v xml:space="preserve">   GERENCIAMENTO EXECUTIVO</v>
      </c>
      <c r="H246" s="230">
        <f t="shared" ca="1" si="213"/>
        <v>4</v>
      </c>
      <c r="I246" s="228" t="str">
        <f t="shared" ca="1" si="205"/>
        <v xml:space="preserve">   SUPRAESTRUTURA</v>
      </c>
      <c r="J246" s="230">
        <f t="shared" ca="1" si="214"/>
        <v>1</v>
      </c>
      <c r="K246" s="228" t="str">
        <f t="shared" ca="1" si="207"/>
        <v xml:space="preserve">   SUPRAESTRUTURA - 1º PAVIMENTO - SUBSOLO</v>
      </c>
      <c r="L246" s="231">
        <f t="shared" ca="1" si="215"/>
        <v>1</v>
      </c>
      <c r="M246" s="228" t="str">
        <f t="shared" ca="1" si="209"/>
        <v xml:space="preserve">   Armadura</v>
      </c>
      <c r="N246" s="231">
        <f t="shared" ca="1" si="216"/>
        <v>3</v>
      </c>
      <c r="O246" s="228" t="str">
        <f t="shared" ca="1" si="211"/>
        <v>Armacao aco CA-50 ø 10.0mm para supraestrutura corte e dobra em indústria</v>
      </c>
      <c r="P246" s="232" t="str">
        <f>IF(S246="","",IF(Orçamento!$B246="INSUMO",S246,""))</f>
        <v>ACO CA-50A 10,00 MM (3/8)</v>
      </c>
      <c r="Q246" s="244" t="str">
        <f t="shared" si="199"/>
        <v/>
      </c>
      <c r="R246" s="234">
        <f t="shared" ca="1" si="200"/>
        <v>207.13615999999999</v>
      </c>
      <c r="S246" s="233" t="s">
        <v>177</v>
      </c>
      <c r="T246" s="242" t="str">
        <f>_xlfn.XLOOKUP(S246,Insumos!$A$3:$A$371,Insumos!$B$3:$B$371)</f>
        <v>KG</v>
      </c>
      <c r="U246" s="235">
        <f ca="1">IF($B246="insumo",R246,"")</f>
        <v>207.13615999999999</v>
      </c>
      <c r="V246" s="320">
        <v>1.1000000000000001</v>
      </c>
      <c r="W246" s="236">
        <f>IFERROR(IF(B246="INSUMO",_xlfn.XLOOKUP(S246,Insumos!A:A,Insumos!C:C),""),"Inserir Preço")</f>
        <v>5.36</v>
      </c>
      <c r="X246" s="235">
        <f t="shared" ca="1" si="201"/>
        <v>227.84977600000002</v>
      </c>
      <c r="Y246" s="236">
        <f t="shared" si="192"/>
        <v>5.8960000000000008</v>
      </c>
      <c r="Z246" s="237">
        <f t="shared" ca="1" si="165"/>
        <v>1221.2747993600001</v>
      </c>
      <c r="AA246" s="238"/>
      <c r="AB246" s="233" t="str">
        <f>IF(B246="insumo",_xlfn.XLOOKUP(S246,Insumos!A:A,Insumos!D:D),"")</f>
        <v>KNORR</v>
      </c>
      <c r="AC246" s="239">
        <f t="shared" ca="1" si="166"/>
        <v>1.7520300458031559E-4</v>
      </c>
      <c r="AE246" s="240">
        <f ca="1">IFERROR(IF(OR(Z246="",Z246=0),"",IF(AF246="","",IF(AF246="R$/mês",Z246/OBRA!$D$12,IF(AF246="R$/m²",Z246/OBRA!$D$10,IF(AF246="R$/apto",Orçamento!Z246/OBRA!$D$11,""))))),"")</f>
        <v>0.62847671112529147</v>
      </c>
      <c r="AF246" s="241" t="s">
        <v>154</v>
      </c>
    </row>
    <row r="247" spans="1:32" s="10" customFormat="1" ht="13.15" hidden="1" customHeight="1" outlineLevel="4" x14ac:dyDescent="0.2">
      <c r="A247" s="227"/>
      <c r="B247" s="228" t="s">
        <v>19</v>
      </c>
      <c r="C247" s="229">
        <f t="shared" si="164"/>
        <v>42</v>
      </c>
      <c r="D247" s="227" t="str">
        <f t="shared" si="193"/>
        <v/>
      </c>
      <c r="E247" s="228" t="str">
        <f t="shared" ca="1" si="212"/>
        <v>04.001.001.003</v>
      </c>
      <c r="F247" s="230">
        <f ca="1">IF($B247="UNIDADE CONSTRUTIVA",OFFSET(F247,-1,0)+1,LARGE(F$10:F246,1))</f>
        <v>2</v>
      </c>
      <c r="G247" s="228" t="str">
        <f t="shared" ca="1" si="203"/>
        <v xml:space="preserve">   GERENCIAMENTO EXECUTIVO</v>
      </c>
      <c r="H247" s="230">
        <f t="shared" ca="1" si="213"/>
        <v>4</v>
      </c>
      <c r="I247" s="228" t="str">
        <f t="shared" ca="1" si="205"/>
        <v xml:space="preserve">   SUPRAESTRUTURA</v>
      </c>
      <c r="J247" s="230">
        <f t="shared" ca="1" si="214"/>
        <v>1</v>
      </c>
      <c r="K247" s="228" t="str">
        <f t="shared" ca="1" si="207"/>
        <v xml:space="preserve">   SUPRAESTRUTURA - 1º PAVIMENTO - SUBSOLO</v>
      </c>
      <c r="L247" s="231">
        <f t="shared" ca="1" si="215"/>
        <v>1</v>
      </c>
      <c r="M247" s="228" t="str">
        <f t="shared" ca="1" si="209"/>
        <v xml:space="preserve">   Armadura</v>
      </c>
      <c r="N247" s="231">
        <f t="shared" ca="1" si="216"/>
        <v>3</v>
      </c>
      <c r="O247" s="228" t="str">
        <f t="shared" ca="1" si="211"/>
        <v>Armacao aco CA-50 ø 10.0mm para supraestrutura corte e dobra em indústria</v>
      </c>
      <c r="P247" s="232" t="str">
        <f>IF(S247="","",IF(Orçamento!$B247="INSUMO",S247,""))</f>
        <v>ARAME RECOZIDO 18 BWG, 1,25MM (0,010 KG/M)</v>
      </c>
      <c r="Q247" s="244" t="str">
        <f t="shared" si="199"/>
        <v/>
      </c>
      <c r="R247" s="234">
        <f t="shared" ca="1" si="200"/>
        <v>207.13615999999999</v>
      </c>
      <c r="S247" s="233" t="s">
        <v>161</v>
      </c>
      <c r="T247" s="242" t="str">
        <f>_xlfn.XLOOKUP(S247,Insumos!$A$3:$A$371,Insumos!$B$3:$B$371)</f>
        <v>KG</v>
      </c>
      <c r="U247" s="235">
        <f ca="1">IF($B247="insumo",R247,"")</f>
        <v>207.13615999999999</v>
      </c>
      <c r="V247" s="320">
        <v>2.5000000000000001E-2</v>
      </c>
      <c r="W247" s="236">
        <f>IFERROR(IF(B247="INSUMO",_xlfn.XLOOKUP(S247,Insumos!A:A,Insumos!C:C),""),"Inserir Preço")</f>
        <v>13.69</v>
      </c>
      <c r="X247" s="235">
        <f t="shared" ca="1" si="201"/>
        <v>5.1784040000000005</v>
      </c>
      <c r="Y247" s="236">
        <f t="shared" si="192"/>
        <v>0.34225</v>
      </c>
      <c r="Z247" s="237">
        <f t="shared" ca="1" si="165"/>
        <v>70.892350759999999</v>
      </c>
      <c r="AA247" s="238"/>
      <c r="AB247" s="233" t="str">
        <f>IF(B247="insumo",_xlfn.XLOOKUP(S247,Insumos!A:A,Insumos!D:D),"")</f>
        <v>GERDAU</v>
      </c>
      <c r="AC247" s="239">
        <f t="shared" ca="1" si="166"/>
        <v>1.017015405658294E-5</v>
      </c>
      <c r="AE247" s="240">
        <f ca="1">IFERROR(IF(OR(Z247="",Z247=0),"",IF(AF247="","",IF(AF247="R$/mês",Z247/OBRA!$D$12,IF(AF247="R$/m²",Z247/OBRA!$D$10,IF(AF247="R$/apto",Orçamento!Z247/OBRA!$D$11,""))))),"")</f>
        <v>3.6481708680907561E-2</v>
      </c>
      <c r="AF247" s="241" t="s">
        <v>154</v>
      </c>
    </row>
    <row r="248" spans="1:32" s="10" customFormat="1" ht="13.15" hidden="1" customHeight="1" outlineLevel="4" x14ac:dyDescent="0.2">
      <c r="A248" s="227"/>
      <c r="B248" s="228" t="s">
        <v>19</v>
      </c>
      <c r="C248" s="229">
        <f t="shared" si="164"/>
        <v>37</v>
      </c>
      <c r="D248" s="227" t="str">
        <f t="shared" si="193"/>
        <v/>
      </c>
      <c r="E248" s="228" t="str">
        <f t="shared" ca="1" si="212"/>
        <v>04.001.001.003</v>
      </c>
      <c r="F248" s="230">
        <f ca="1">IF($B248="UNIDADE CONSTRUTIVA",OFFSET(F248,-1,0)+1,LARGE(F$10:F247,1))</f>
        <v>2</v>
      </c>
      <c r="G248" s="228" t="str">
        <f t="shared" ca="1" si="203"/>
        <v xml:space="preserve">   GERENCIAMENTO EXECUTIVO</v>
      </c>
      <c r="H248" s="230">
        <f t="shared" ca="1" si="213"/>
        <v>4</v>
      </c>
      <c r="I248" s="228" t="str">
        <f t="shared" ca="1" si="205"/>
        <v xml:space="preserve">   SUPRAESTRUTURA</v>
      </c>
      <c r="J248" s="230">
        <f t="shared" ca="1" si="214"/>
        <v>1</v>
      </c>
      <c r="K248" s="228" t="str">
        <f t="shared" ca="1" si="207"/>
        <v xml:space="preserve">   SUPRAESTRUTURA - 1º PAVIMENTO - SUBSOLO</v>
      </c>
      <c r="L248" s="231">
        <f t="shared" ca="1" si="215"/>
        <v>1</v>
      </c>
      <c r="M248" s="228" t="str">
        <f t="shared" ca="1" si="209"/>
        <v xml:space="preserve">   Armadura</v>
      </c>
      <c r="N248" s="231">
        <f t="shared" ca="1" si="216"/>
        <v>3</v>
      </c>
      <c r="O248" s="228" t="str">
        <f t="shared" ca="1" si="211"/>
        <v>Armacao aco CA-50 ø 10.0mm para supraestrutura corte e dobra em indústria</v>
      </c>
      <c r="P248" s="232" t="str">
        <f>IF(S248="","",IF(Orçamento!$B248="INSUMO",S248,""))</f>
        <v>ESPACADOR CIRCULAR 40MM</v>
      </c>
      <c r="Q248" s="244" t="str">
        <f t="shared" si="199"/>
        <v/>
      </c>
      <c r="R248" s="234">
        <f t="shared" ca="1" si="200"/>
        <v>207.13615999999999</v>
      </c>
      <c r="S248" s="233" t="s">
        <v>162</v>
      </c>
      <c r="T248" s="242" t="str">
        <f>_xlfn.XLOOKUP(S248,Insumos!$A$3:$A$371,Insumos!$B$3:$B$371)</f>
        <v>UN</v>
      </c>
      <c r="U248" s="235">
        <f ca="1">IF($B248="insumo",R248,"")</f>
        <v>207.13615999999999</v>
      </c>
      <c r="V248" s="320">
        <v>0.46550000000000002</v>
      </c>
      <c r="W248" s="236">
        <f>IFERROR(IF(B248="INSUMO",_xlfn.XLOOKUP(S248,Insumos!A:A,Insumos!C:C),""),"Inserir Preço")</f>
        <v>0.76</v>
      </c>
      <c r="X248" s="235">
        <f t="shared" ca="1" si="201"/>
        <v>96.421882479999994</v>
      </c>
      <c r="Y248" s="236">
        <f t="shared" si="192"/>
        <v>0.35378000000000004</v>
      </c>
      <c r="Z248" s="237">
        <f t="shared" ca="1" si="165"/>
        <v>73.280630684800002</v>
      </c>
      <c r="AA248" s="238"/>
      <c r="AB248" s="233" t="str">
        <f>IF(B248="insumo",_xlfn.XLOOKUP(S248,Insumos!A:A,Insumos!D:D),"")</f>
        <v xml:space="preserve"> </v>
      </c>
      <c r="AC248" s="239">
        <f t="shared" ca="1" si="166"/>
        <v>1.0512774586232031E-5</v>
      </c>
      <c r="AE248" s="240">
        <f ca="1">IFERROR(IF(OR(Z248="",Z248=0),"",IF(AF248="","",IF(AF248="R$/mês",Z248/OBRA!$D$12,IF(AF248="R$/m²",Z248/OBRA!$D$10,IF(AF248="R$/apto",Orçamento!Z248/OBRA!$D$11,""))))),"")</f>
        <v>3.7710734542385618E-2</v>
      </c>
      <c r="AF248" s="241" t="s">
        <v>154</v>
      </c>
    </row>
    <row r="249" spans="1:32" s="10" customFormat="1" ht="13.15" hidden="1" customHeight="1" outlineLevel="4" x14ac:dyDescent="0.2">
      <c r="A249" s="227"/>
      <c r="B249" s="228" t="s">
        <v>4</v>
      </c>
      <c r="C249" s="229">
        <f t="shared" si="164"/>
        <v>5</v>
      </c>
      <c r="D249" s="227" t="str">
        <f t="shared" ca="1" si="193"/>
        <v>04.001.001.004</v>
      </c>
      <c r="E249" s="228" t="str">
        <f t="shared" ca="1" si="212"/>
        <v>04.001.001.004</v>
      </c>
      <c r="F249" s="230">
        <f ca="1">IF($B249="UNIDADE CONSTRUTIVA",OFFSET(F249,-1,0)+1,LARGE(F$10:F248,1))</f>
        <v>2</v>
      </c>
      <c r="G249" s="228" t="str">
        <f t="shared" ca="1" si="203"/>
        <v xml:space="preserve">   GERENCIAMENTO EXECUTIVO</v>
      </c>
      <c r="H249" s="230">
        <f t="shared" ca="1" si="213"/>
        <v>4</v>
      </c>
      <c r="I249" s="228" t="str">
        <f t="shared" ca="1" si="205"/>
        <v xml:space="preserve">   SUPRAESTRUTURA</v>
      </c>
      <c r="J249" s="230">
        <f t="shared" ca="1" si="214"/>
        <v>1</v>
      </c>
      <c r="K249" s="228" t="str">
        <f t="shared" ca="1" si="207"/>
        <v xml:space="preserve">   SUPRAESTRUTURA - 1º PAVIMENTO - SUBSOLO</v>
      </c>
      <c r="L249" s="231">
        <f t="shared" ca="1" si="215"/>
        <v>1</v>
      </c>
      <c r="M249" s="228" t="str">
        <f t="shared" ca="1" si="209"/>
        <v xml:space="preserve">   Armadura</v>
      </c>
      <c r="N249" s="231">
        <f t="shared" ca="1" si="216"/>
        <v>4</v>
      </c>
      <c r="O249" s="228" t="str">
        <f t="shared" ca="1" si="211"/>
        <v>Armacao aco CA-50 ø 12.5mm para supraestrutura corte e dobra em indústria</v>
      </c>
      <c r="P249" s="232" t="str">
        <f>IF(S249="","",IF(Orçamento!$B249="INSUMO",S249,""))</f>
        <v/>
      </c>
      <c r="Q249" s="244" t="str">
        <f t="shared" si="199"/>
        <v>Armacao aco CA-50 ø 12.5mm para supraestrutura corte e dobra em indústria</v>
      </c>
      <c r="R249" s="234">
        <f t="shared" ca="1" si="200"/>
        <v>277.2</v>
      </c>
      <c r="S249" s="233" t="s">
        <v>189</v>
      </c>
      <c r="T249" s="242" t="s">
        <v>159</v>
      </c>
      <c r="U249" s="235">
        <v>277.2</v>
      </c>
      <c r="V249" s="320" t="s">
        <v>35</v>
      </c>
      <c r="W249" s="236" t="str">
        <f>IFERROR(IF(B249="INSUMO",_xlfn.XLOOKUP(S249,Insumos!A:A,Insumos!C:C),""),"Inserir Preço")</f>
        <v/>
      </c>
      <c r="X249" s="235">
        <f t="shared" ca="1" si="201"/>
        <v>277.2</v>
      </c>
      <c r="Y249" s="236">
        <f t="shared" ca="1" si="192"/>
        <v>6.3411700000000009</v>
      </c>
      <c r="Z249" s="237">
        <f t="shared" ca="1" si="165"/>
        <v>1757.7723240000003</v>
      </c>
      <c r="AA249" s="238"/>
      <c r="AB249" s="233" t="str">
        <f>IF(B249="insumo",_xlfn.XLOOKUP(S249,Insumos!A:A,Insumos!D:D),"")</f>
        <v/>
      </c>
      <c r="AC249" s="239">
        <f t="shared" ca="1" si="166"/>
        <v>2.5216846584758142E-4</v>
      </c>
      <c r="AE249" s="240">
        <f ca="1">IFERROR(IF(OR(Z249="",Z249=0),"",IF(AF249="","",IF(AF249="R$/mês",Z249/OBRA!$D$12,IF(AF249="R$/m²",Z249/OBRA!$D$10,IF(AF249="R$/apto",Orçamento!Z249/OBRA!$D$11,""))))),"")</f>
        <v>0.90456215887980329</v>
      </c>
      <c r="AF249" s="241" t="s">
        <v>154</v>
      </c>
    </row>
    <row r="250" spans="1:32" s="10" customFormat="1" ht="13.15" hidden="1" customHeight="1" outlineLevel="4" x14ac:dyDescent="0.2">
      <c r="A250" s="227"/>
      <c r="B250" s="228" t="s">
        <v>19</v>
      </c>
      <c r="C250" s="229">
        <f t="shared" si="164"/>
        <v>5</v>
      </c>
      <c r="D250" s="227" t="str">
        <f t="shared" si="193"/>
        <v/>
      </c>
      <c r="E250" s="228" t="str">
        <f t="shared" ca="1" si="212"/>
        <v>04.001.001.004</v>
      </c>
      <c r="F250" s="230">
        <f ca="1">IF($B250="UNIDADE CONSTRUTIVA",OFFSET(F250,-1,0)+1,LARGE(F$10:F249,1))</f>
        <v>2</v>
      </c>
      <c r="G250" s="228" t="str">
        <f t="shared" ca="1" si="203"/>
        <v xml:space="preserve">   GERENCIAMENTO EXECUTIVO</v>
      </c>
      <c r="H250" s="230">
        <f t="shared" ca="1" si="213"/>
        <v>4</v>
      </c>
      <c r="I250" s="228" t="str">
        <f t="shared" ca="1" si="205"/>
        <v xml:space="preserve">   SUPRAESTRUTURA</v>
      </c>
      <c r="J250" s="230">
        <f t="shared" ca="1" si="214"/>
        <v>1</v>
      </c>
      <c r="K250" s="228" t="str">
        <f t="shared" ca="1" si="207"/>
        <v xml:space="preserve">   SUPRAESTRUTURA - 1º PAVIMENTO - SUBSOLO</v>
      </c>
      <c r="L250" s="231">
        <f t="shared" ca="1" si="215"/>
        <v>1</v>
      </c>
      <c r="M250" s="228" t="str">
        <f t="shared" ca="1" si="209"/>
        <v xml:space="preserve">   Armadura</v>
      </c>
      <c r="N250" s="231">
        <f t="shared" ca="1" si="216"/>
        <v>4</v>
      </c>
      <c r="O250" s="228" t="str">
        <f t="shared" ca="1" si="211"/>
        <v>Armacao aco CA-50 ø 12.5mm para supraestrutura corte e dobra em indústria</v>
      </c>
      <c r="P250" s="232" t="str">
        <f>IF(S250="","",IF(Orçamento!$B250="INSUMO",S250,""))</f>
        <v>ACO CA-50A 12,50 MM (1/2)</v>
      </c>
      <c r="Q250" s="244" t="str">
        <f t="shared" si="199"/>
        <v/>
      </c>
      <c r="R250" s="234">
        <f t="shared" ca="1" si="200"/>
        <v>277.2</v>
      </c>
      <c r="S250" s="233" t="s">
        <v>164</v>
      </c>
      <c r="T250" s="242" t="str">
        <f>_xlfn.XLOOKUP(S250,Insumos!$A$3:$A$371,Insumos!$B$3:$B$371)</f>
        <v>KG</v>
      </c>
      <c r="U250" s="235">
        <f ca="1">IF($B250="insumo",R250,"")</f>
        <v>277.2</v>
      </c>
      <c r="V250" s="320">
        <v>1.1000000000000001</v>
      </c>
      <c r="W250" s="236">
        <f>IFERROR(IF(B250="INSUMO",_xlfn.XLOOKUP(S250,Insumos!A:A,Insumos!C:C),""),"Inserir Preço")</f>
        <v>5.2</v>
      </c>
      <c r="X250" s="235">
        <f t="shared" ca="1" si="201"/>
        <v>304.92</v>
      </c>
      <c r="Y250" s="236">
        <f t="shared" si="192"/>
        <v>5.7200000000000006</v>
      </c>
      <c r="Z250" s="237">
        <f t="shared" ca="1" si="165"/>
        <v>1585.5840000000001</v>
      </c>
      <c r="AA250" s="238"/>
      <c r="AB250" s="233" t="str">
        <f>IF(B250="insumo",_xlfn.XLOOKUP(S250,Insumos!A:A,Insumos!D:D),"")</f>
        <v>KNORR</v>
      </c>
      <c r="AC250" s="239">
        <f t="shared" ca="1" si="166"/>
        <v>2.2746648089361514E-4</v>
      </c>
      <c r="AE250" s="240">
        <f ca="1">IFERROR(IF(OR(Z250="",Z250=0),"",IF(AF250="","",IF(AF250="R$/mês",Z250/OBRA!$D$12,IF(AF250="R$/m²",Z250/OBRA!$D$10,IF(AF250="R$/apto",Orçamento!Z250/OBRA!$D$11,""))))),"")</f>
        <v>0.81595282081894582</v>
      </c>
      <c r="AF250" s="241" t="s">
        <v>154</v>
      </c>
    </row>
    <row r="251" spans="1:32" s="10" customFormat="1" ht="13.15" hidden="1" customHeight="1" outlineLevel="4" x14ac:dyDescent="0.2">
      <c r="A251" s="227"/>
      <c r="B251" s="228" t="s">
        <v>19</v>
      </c>
      <c r="C251" s="229">
        <f t="shared" si="164"/>
        <v>42</v>
      </c>
      <c r="D251" s="227" t="str">
        <f t="shared" si="193"/>
        <v/>
      </c>
      <c r="E251" s="228" t="str">
        <f t="shared" ca="1" si="212"/>
        <v>04.001.001.004</v>
      </c>
      <c r="F251" s="230">
        <f ca="1">IF($B251="UNIDADE CONSTRUTIVA",OFFSET(F251,-1,0)+1,LARGE(F$10:F250,1))</f>
        <v>2</v>
      </c>
      <c r="G251" s="228" t="str">
        <f t="shared" ca="1" si="203"/>
        <v xml:space="preserve">   GERENCIAMENTO EXECUTIVO</v>
      </c>
      <c r="H251" s="230">
        <f t="shared" ca="1" si="213"/>
        <v>4</v>
      </c>
      <c r="I251" s="228" t="str">
        <f t="shared" ca="1" si="205"/>
        <v xml:space="preserve">   SUPRAESTRUTURA</v>
      </c>
      <c r="J251" s="230">
        <f t="shared" ca="1" si="214"/>
        <v>1</v>
      </c>
      <c r="K251" s="228" t="str">
        <f t="shared" ca="1" si="207"/>
        <v xml:space="preserve">   SUPRAESTRUTURA - 1º PAVIMENTO - SUBSOLO</v>
      </c>
      <c r="L251" s="231">
        <f t="shared" ca="1" si="215"/>
        <v>1</v>
      </c>
      <c r="M251" s="228" t="str">
        <f t="shared" ca="1" si="209"/>
        <v xml:space="preserve">   Armadura</v>
      </c>
      <c r="N251" s="231">
        <f t="shared" ca="1" si="216"/>
        <v>4</v>
      </c>
      <c r="O251" s="228" t="str">
        <f t="shared" ca="1" si="211"/>
        <v>Armacao aco CA-50 ø 12.5mm para supraestrutura corte e dobra em indústria</v>
      </c>
      <c r="P251" s="232" t="str">
        <f>IF(S251="","",IF(Orçamento!$B251="INSUMO",S251,""))</f>
        <v>ARAME RECOZIDO 18 BWG, 1,25MM (0,010 KG/M)</v>
      </c>
      <c r="Q251" s="244" t="str">
        <f t="shared" si="199"/>
        <v/>
      </c>
      <c r="R251" s="234">
        <f t="shared" ca="1" si="200"/>
        <v>277.2</v>
      </c>
      <c r="S251" s="233" t="s">
        <v>161</v>
      </c>
      <c r="T251" s="242" t="str">
        <f>_xlfn.XLOOKUP(S251,Insumos!$A$3:$A$371,Insumos!$B$3:$B$371)</f>
        <v>KG</v>
      </c>
      <c r="U251" s="235">
        <f ca="1">IF($B251="insumo",R251,"")</f>
        <v>277.2</v>
      </c>
      <c r="V251" s="320">
        <v>2.5000000000000001E-2</v>
      </c>
      <c r="W251" s="236">
        <f>IFERROR(IF(B251="INSUMO",_xlfn.XLOOKUP(S251,Insumos!A:A,Insumos!C:C),""),"Inserir Preço")</f>
        <v>13.69</v>
      </c>
      <c r="X251" s="235">
        <f t="shared" ca="1" si="201"/>
        <v>6.93</v>
      </c>
      <c r="Y251" s="236">
        <f t="shared" si="192"/>
        <v>0.34225</v>
      </c>
      <c r="Z251" s="237">
        <f t="shared" ca="1" si="165"/>
        <v>94.87169999999999</v>
      </c>
      <c r="AA251" s="238"/>
      <c r="AB251" s="233" t="str">
        <f>IF(B251="insumo",_xlfn.XLOOKUP(S251,Insumos!A:A,Insumos!D:D),"")</f>
        <v>GERDAU</v>
      </c>
      <c r="AC251" s="239">
        <f t="shared" ca="1" si="166"/>
        <v>1.3610210329692268E-5</v>
      </c>
      <c r="AE251" s="240">
        <f ca="1">IFERROR(IF(OR(Z251="",Z251=0),"",IF(AF251="","",IF(AF251="R$/mês",Z251/OBRA!$D$12,IF(AF251="R$/m²",Z251/OBRA!$D$10,IF(AF251="R$/apto",Orçamento!Z251/OBRA!$D$11,""))))),"")</f>
        <v>4.8821652609315411E-2</v>
      </c>
      <c r="AF251" s="241" t="s">
        <v>154</v>
      </c>
    </row>
    <row r="252" spans="1:32" s="10" customFormat="1" ht="13.15" hidden="1" customHeight="1" outlineLevel="4" x14ac:dyDescent="0.2">
      <c r="A252" s="227"/>
      <c r="B252" s="228" t="s">
        <v>19</v>
      </c>
      <c r="C252" s="229">
        <f t="shared" si="164"/>
        <v>37</v>
      </c>
      <c r="D252" s="227" t="str">
        <f t="shared" si="193"/>
        <v/>
      </c>
      <c r="E252" s="228" t="str">
        <f t="shared" ca="1" si="212"/>
        <v>04.001.001.004</v>
      </c>
      <c r="F252" s="230">
        <f ca="1">IF($B252="UNIDADE CONSTRUTIVA",OFFSET(F252,-1,0)+1,LARGE(F$10:F251,1))</f>
        <v>2</v>
      </c>
      <c r="G252" s="228" t="str">
        <f t="shared" ca="1" si="203"/>
        <v xml:space="preserve">   GERENCIAMENTO EXECUTIVO</v>
      </c>
      <c r="H252" s="230">
        <f t="shared" ca="1" si="213"/>
        <v>4</v>
      </c>
      <c r="I252" s="228" t="str">
        <f t="shared" ca="1" si="205"/>
        <v xml:space="preserve">   SUPRAESTRUTURA</v>
      </c>
      <c r="J252" s="230">
        <f t="shared" ca="1" si="214"/>
        <v>1</v>
      </c>
      <c r="K252" s="228" t="str">
        <f t="shared" ca="1" si="207"/>
        <v xml:space="preserve">   SUPRAESTRUTURA - 1º PAVIMENTO - SUBSOLO</v>
      </c>
      <c r="L252" s="231">
        <f t="shared" ca="1" si="215"/>
        <v>1</v>
      </c>
      <c r="M252" s="228" t="str">
        <f t="shared" ca="1" si="209"/>
        <v xml:space="preserve">   Armadura</v>
      </c>
      <c r="N252" s="231">
        <f t="shared" ca="1" si="216"/>
        <v>4</v>
      </c>
      <c r="O252" s="228" t="str">
        <f t="shared" ca="1" si="211"/>
        <v>Armacao aco CA-50 ø 12.5mm para supraestrutura corte e dobra em indústria</v>
      </c>
      <c r="P252" s="232" t="str">
        <f>IF(S252="","",IF(Orçamento!$B252="INSUMO",S252,""))</f>
        <v>ESPACADOR CIRCULAR 40MM</v>
      </c>
      <c r="Q252" s="244" t="str">
        <f t="shared" si="199"/>
        <v/>
      </c>
      <c r="R252" s="234">
        <f t="shared" ca="1" si="200"/>
        <v>277.2</v>
      </c>
      <c r="S252" s="233" t="s">
        <v>162</v>
      </c>
      <c r="T252" s="242" t="str">
        <f>_xlfn.XLOOKUP(S252,Insumos!$A$3:$A$371,Insumos!$B$3:$B$371)</f>
        <v>UN</v>
      </c>
      <c r="U252" s="235">
        <f ca="1">IF($B252="insumo",R252,"")</f>
        <v>277.2</v>
      </c>
      <c r="V252" s="320">
        <v>0.36699999999999999</v>
      </c>
      <c r="W252" s="236">
        <f>IFERROR(IF(B252="INSUMO",_xlfn.XLOOKUP(S252,Insumos!A:A,Insumos!C:C),""),"Inserir Preço")</f>
        <v>0.76</v>
      </c>
      <c r="X252" s="235">
        <f t="shared" ca="1" si="201"/>
        <v>101.7324</v>
      </c>
      <c r="Y252" s="236">
        <f t="shared" si="192"/>
        <v>0.27892</v>
      </c>
      <c r="Z252" s="237">
        <f t="shared" ca="1" si="165"/>
        <v>77.316624000000004</v>
      </c>
      <c r="AA252" s="238"/>
      <c r="AB252" s="233" t="str">
        <f>IF(B252="insumo",_xlfn.XLOOKUP(S252,Insumos!A:A,Insumos!D:D),"")</f>
        <v xml:space="preserve"> </v>
      </c>
      <c r="AC252" s="239">
        <f t="shared" ca="1" si="166"/>
        <v>1.1091774624273975E-5</v>
      </c>
      <c r="AE252" s="240">
        <f ca="1">IFERROR(IF(OR(Z252="",Z252=0),"",IF(AF252="","",IF(AF252="R$/mês",Z252/OBRA!$D$12,IF(AF252="R$/m²",Z252/OBRA!$D$10,IF(AF252="R$/apto",Orçamento!Z252/OBRA!$D$11,""))))),"")</f>
        <v>3.9787685451542022E-2</v>
      </c>
      <c r="AF252" s="241" t="s">
        <v>154</v>
      </c>
    </row>
    <row r="253" spans="1:32" s="10" customFormat="1" ht="13.15" hidden="1" customHeight="1" outlineLevel="4" x14ac:dyDescent="0.2">
      <c r="A253" s="227"/>
      <c r="B253" s="228" t="s">
        <v>4</v>
      </c>
      <c r="C253" s="229">
        <f t="shared" si="164"/>
        <v>5</v>
      </c>
      <c r="D253" s="227" t="str">
        <f t="shared" ca="1" si="193"/>
        <v>04.001.001.005</v>
      </c>
      <c r="E253" s="228" t="str">
        <f t="shared" ca="1" si="212"/>
        <v>04.001.001.005</v>
      </c>
      <c r="F253" s="230">
        <f ca="1">IF($B253="UNIDADE CONSTRUTIVA",OFFSET(F253,-1,0)+1,LARGE(F$10:F252,1))</f>
        <v>2</v>
      </c>
      <c r="G253" s="228" t="str">
        <f t="shared" ca="1" si="203"/>
        <v xml:space="preserve">   GERENCIAMENTO EXECUTIVO</v>
      </c>
      <c r="H253" s="230">
        <f t="shared" ca="1" si="213"/>
        <v>4</v>
      </c>
      <c r="I253" s="228" t="str">
        <f t="shared" ca="1" si="205"/>
        <v xml:space="preserve">   SUPRAESTRUTURA</v>
      </c>
      <c r="J253" s="230">
        <f t="shared" ca="1" si="214"/>
        <v>1</v>
      </c>
      <c r="K253" s="228" t="str">
        <f t="shared" ca="1" si="207"/>
        <v xml:space="preserve">   SUPRAESTRUTURA - 1º PAVIMENTO - SUBSOLO</v>
      </c>
      <c r="L253" s="231">
        <f t="shared" ca="1" si="215"/>
        <v>1</v>
      </c>
      <c r="M253" s="228" t="str">
        <f t="shared" ca="1" si="209"/>
        <v xml:space="preserve">   Armadura</v>
      </c>
      <c r="N253" s="231">
        <f t="shared" ca="1" si="216"/>
        <v>5</v>
      </c>
      <c r="O253" s="228" t="str">
        <f t="shared" ca="1" si="211"/>
        <v>Armacao aco CA-50 ø 16.0mm para supraestrutura corte e dobra em indústria</v>
      </c>
      <c r="P253" s="232" t="str">
        <f>IF(S253="","",IF(Orçamento!$B253="INSUMO",S253,""))</f>
        <v/>
      </c>
      <c r="Q253" s="244" t="str">
        <f t="shared" si="199"/>
        <v>Armacao aco CA-50 ø 16.0mm para supraestrutura corte e dobra em indústria</v>
      </c>
      <c r="R253" s="234">
        <f t="shared" ca="1" si="200"/>
        <v>187.14258999999998</v>
      </c>
      <c r="S253" s="233" t="s">
        <v>190</v>
      </c>
      <c r="T253" s="242" t="s">
        <v>159</v>
      </c>
      <c r="U253" s="235">
        <v>187.14258999999998</v>
      </c>
      <c r="V253" s="320" t="s">
        <v>35</v>
      </c>
      <c r="W253" s="236" t="str">
        <f>IFERROR(IF(B253="INSUMO",_xlfn.XLOOKUP(S253,Insumos!A:A,Insumos!C:C),""),"Inserir Preço")</f>
        <v/>
      </c>
      <c r="X253" s="235">
        <f t="shared" ca="1" si="201"/>
        <v>187.14258999999998</v>
      </c>
      <c r="Y253" s="236">
        <f t="shared" ca="1" si="192"/>
        <v>6.3602700000000008</v>
      </c>
      <c r="Z253" s="237">
        <f t="shared" ca="1" si="165"/>
        <v>1190.2774008993001</v>
      </c>
      <c r="AA253" s="238"/>
      <c r="AB253" s="233" t="str">
        <f>IF(B253="insumo",_xlfn.XLOOKUP(S253,Insumos!A:A,Insumos!D:D),"")</f>
        <v/>
      </c>
      <c r="AC253" s="239">
        <f t="shared" ca="1" si="166"/>
        <v>1.7075614516150677E-4</v>
      </c>
      <c r="AE253" s="240">
        <f ca="1">IFERROR(IF(OR(Z253="",Z253=0),"",IF(AF253="","",IF(AF253="R$/mês",Z253/OBRA!$D$12,IF(AF253="R$/m²",Z253/OBRA!$D$10,IF(AF253="R$/apto",Orçamento!Z253/OBRA!$D$11,""))))),"")</f>
        <v>0.61252522907700069</v>
      </c>
      <c r="AF253" s="241" t="s">
        <v>154</v>
      </c>
    </row>
    <row r="254" spans="1:32" s="10" customFormat="1" ht="13.15" hidden="1" customHeight="1" outlineLevel="4" x14ac:dyDescent="0.2">
      <c r="A254" s="227"/>
      <c r="B254" s="228" t="s">
        <v>19</v>
      </c>
      <c r="C254" s="229">
        <f t="shared" si="164"/>
        <v>6</v>
      </c>
      <c r="D254" s="227" t="str">
        <f t="shared" si="193"/>
        <v/>
      </c>
      <c r="E254" s="228" t="str">
        <f t="shared" ca="1" si="212"/>
        <v>04.001.001.005</v>
      </c>
      <c r="F254" s="230">
        <f ca="1">IF($B254="UNIDADE CONSTRUTIVA",OFFSET(F254,-1,0)+1,LARGE(F$10:F253,1))</f>
        <v>2</v>
      </c>
      <c r="G254" s="228" t="str">
        <f t="shared" ca="1" si="203"/>
        <v xml:space="preserve">   GERENCIAMENTO EXECUTIVO</v>
      </c>
      <c r="H254" s="230">
        <f t="shared" ca="1" si="213"/>
        <v>4</v>
      </c>
      <c r="I254" s="228" t="str">
        <f t="shared" ca="1" si="205"/>
        <v xml:space="preserve">   SUPRAESTRUTURA</v>
      </c>
      <c r="J254" s="230">
        <f t="shared" ca="1" si="214"/>
        <v>1</v>
      </c>
      <c r="K254" s="228" t="str">
        <f t="shared" ca="1" si="207"/>
        <v xml:space="preserve">   SUPRAESTRUTURA - 1º PAVIMENTO - SUBSOLO</v>
      </c>
      <c r="L254" s="231">
        <f t="shared" ca="1" si="215"/>
        <v>1</v>
      </c>
      <c r="M254" s="228" t="str">
        <f t="shared" ca="1" si="209"/>
        <v xml:space="preserve">   Armadura</v>
      </c>
      <c r="N254" s="231">
        <f t="shared" ca="1" si="216"/>
        <v>5</v>
      </c>
      <c r="O254" s="228" t="str">
        <f t="shared" ca="1" si="211"/>
        <v>Armacao aco CA-50 ø 16.0mm para supraestrutura corte e dobra em indústria</v>
      </c>
      <c r="P254" s="232" t="str">
        <f>IF(S254="","",IF(Orçamento!$B254="INSUMO",S254,""))</f>
        <v>ACO CA-50A 16,00 MM (5/8)</v>
      </c>
      <c r="Q254" s="244" t="str">
        <f t="shared" si="199"/>
        <v/>
      </c>
      <c r="R254" s="234">
        <f t="shared" ca="1" si="200"/>
        <v>187.14258999999998</v>
      </c>
      <c r="S254" s="233" t="s">
        <v>178</v>
      </c>
      <c r="T254" s="242" t="str">
        <f>_xlfn.XLOOKUP(S254,Insumos!$A$3:$A$371,Insumos!$B$3:$B$371)</f>
        <v>KG</v>
      </c>
      <c r="U254" s="235">
        <f ca="1">IF($B254="insumo",R254,"")</f>
        <v>187.14258999999998</v>
      </c>
      <c r="V254" s="320">
        <v>1.1000000000000001</v>
      </c>
      <c r="W254" s="236">
        <f>IFERROR(IF(B254="INSUMO",_xlfn.XLOOKUP(S254,Insumos!A:A,Insumos!C:C),""),"Inserir Preço")</f>
        <v>5.2</v>
      </c>
      <c r="X254" s="235">
        <f t="shared" ca="1" si="201"/>
        <v>205.85684900000001</v>
      </c>
      <c r="Y254" s="236">
        <f t="shared" si="192"/>
        <v>5.7200000000000006</v>
      </c>
      <c r="Z254" s="237">
        <f t="shared" ca="1" si="165"/>
        <v>1070.4556148000001</v>
      </c>
      <c r="AA254" s="238"/>
      <c r="AB254" s="233" t="str">
        <f>IF(B254="insumo",_xlfn.XLOOKUP(S254,Insumos!A:A,Insumos!D:D),"")</f>
        <v>KNORR</v>
      </c>
      <c r="AC254" s="239">
        <f t="shared" ca="1" si="166"/>
        <v>1.5356661750583211E-4</v>
      </c>
      <c r="AE254" s="240">
        <f ca="1">IFERROR(IF(OR(Z254="",Z254=0),"",IF(AF254="","",IF(AF254="R$/mês",Z254/OBRA!$D$12,IF(AF254="R$/m²",Z254/OBRA!$D$10,IF(AF254="R$/apto",Orçamento!Z254/OBRA!$D$11,""))))),"")</f>
        <v>0.55086408443673684</v>
      </c>
      <c r="AF254" s="241" t="s">
        <v>154</v>
      </c>
    </row>
    <row r="255" spans="1:32" s="10" customFormat="1" ht="13.15" hidden="1" customHeight="1" outlineLevel="4" x14ac:dyDescent="0.2">
      <c r="A255" s="227"/>
      <c r="B255" s="228" t="s">
        <v>19</v>
      </c>
      <c r="C255" s="229">
        <f t="shared" si="164"/>
        <v>42</v>
      </c>
      <c r="D255" s="227" t="str">
        <f t="shared" si="193"/>
        <v/>
      </c>
      <c r="E255" s="228" t="str">
        <f t="shared" ca="1" si="212"/>
        <v>04.001.001.005</v>
      </c>
      <c r="F255" s="230">
        <f ca="1">IF($B255="UNIDADE CONSTRUTIVA",OFFSET(F255,-1,0)+1,LARGE(F$10:F254,1))</f>
        <v>2</v>
      </c>
      <c r="G255" s="228" t="str">
        <f t="shared" ca="1" si="203"/>
        <v xml:space="preserve">   GERENCIAMENTO EXECUTIVO</v>
      </c>
      <c r="H255" s="230">
        <f t="shared" ca="1" si="213"/>
        <v>4</v>
      </c>
      <c r="I255" s="228" t="str">
        <f t="shared" ca="1" si="205"/>
        <v xml:space="preserve">   SUPRAESTRUTURA</v>
      </c>
      <c r="J255" s="230">
        <f t="shared" ca="1" si="214"/>
        <v>1</v>
      </c>
      <c r="K255" s="228" t="str">
        <f t="shared" ca="1" si="207"/>
        <v xml:space="preserve">   SUPRAESTRUTURA - 1º PAVIMENTO - SUBSOLO</v>
      </c>
      <c r="L255" s="231">
        <f t="shared" ca="1" si="215"/>
        <v>1</v>
      </c>
      <c r="M255" s="228" t="str">
        <f t="shared" ca="1" si="209"/>
        <v xml:space="preserve">   Armadura</v>
      </c>
      <c r="N255" s="231">
        <f t="shared" ca="1" si="216"/>
        <v>5</v>
      </c>
      <c r="O255" s="228" t="str">
        <f t="shared" ca="1" si="211"/>
        <v>Armacao aco CA-50 ø 16.0mm para supraestrutura corte e dobra em indústria</v>
      </c>
      <c r="P255" s="232" t="str">
        <f>IF(S255="","",IF(Orçamento!$B255="INSUMO",S255,""))</f>
        <v>ARAME RECOZIDO 18 BWG, 1,25MM (0,010 KG/M)</v>
      </c>
      <c r="Q255" s="244" t="str">
        <f t="shared" si="199"/>
        <v/>
      </c>
      <c r="R255" s="234">
        <f t="shared" ca="1" si="200"/>
        <v>187.14258999999998</v>
      </c>
      <c r="S255" s="233" t="s">
        <v>161</v>
      </c>
      <c r="T255" s="242" t="str">
        <f>_xlfn.XLOOKUP(S255,Insumos!$A$3:$A$371,Insumos!$B$3:$B$371)</f>
        <v>KG</v>
      </c>
      <c r="U255" s="235">
        <f ca="1">IF($B255="insumo",R255,"")</f>
        <v>187.14258999999998</v>
      </c>
      <c r="V255" s="320">
        <v>3.5000000000000003E-2</v>
      </c>
      <c r="W255" s="236">
        <f>IFERROR(IF(B255="INSUMO",_xlfn.XLOOKUP(S255,Insumos!A:A,Insumos!C:C),""),"Inserir Preço")</f>
        <v>13.69</v>
      </c>
      <c r="X255" s="235">
        <f t="shared" ca="1" si="201"/>
        <v>6.5499906499999998</v>
      </c>
      <c r="Y255" s="236">
        <f t="shared" si="192"/>
        <v>0.47915000000000002</v>
      </c>
      <c r="Z255" s="237">
        <f t="shared" ca="1" si="165"/>
        <v>89.669371998499997</v>
      </c>
      <c r="AA255" s="238"/>
      <c r="AB255" s="233" t="str">
        <f>IF(B255="insumo",_xlfn.XLOOKUP(S255,Insumos!A:A,Insumos!D:D),"")</f>
        <v>GERDAU</v>
      </c>
      <c r="AC255" s="239">
        <f t="shared" ca="1" si="166"/>
        <v>1.2863888947188713E-5</v>
      </c>
      <c r="AE255" s="240">
        <f ca="1">IFERROR(IF(OR(Z255="",Z255=0),"",IF(AF255="","",IF(AF255="R$/mês",Z255/OBRA!$D$12,IF(AF255="R$/m²",Z255/OBRA!$D$10,IF(AF255="R$/apto",Orçamento!Z255/OBRA!$D$11,""))))),"")</f>
        <v>4.6144497562563357E-2</v>
      </c>
      <c r="AF255" s="241" t="s">
        <v>154</v>
      </c>
    </row>
    <row r="256" spans="1:32" s="10" customFormat="1" ht="13.15" hidden="1" customHeight="1" outlineLevel="4" x14ac:dyDescent="0.2">
      <c r="A256" s="227"/>
      <c r="B256" s="228" t="s">
        <v>19</v>
      </c>
      <c r="C256" s="229">
        <f t="shared" si="164"/>
        <v>37</v>
      </c>
      <c r="D256" s="227" t="str">
        <f t="shared" si="193"/>
        <v/>
      </c>
      <c r="E256" s="228" t="str">
        <f t="shared" ca="1" si="212"/>
        <v>04.001.001.005</v>
      </c>
      <c r="F256" s="230">
        <f ca="1">IF($B256="UNIDADE CONSTRUTIVA",OFFSET(F256,-1,0)+1,LARGE(F$10:F255,1))</f>
        <v>2</v>
      </c>
      <c r="G256" s="228" t="str">
        <f t="shared" ca="1" si="203"/>
        <v xml:space="preserve">   GERENCIAMENTO EXECUTIVO</v>
      </c>
      <c r="H256" s="230">
        <f t="shared" ca="1" si="213"/>
        <v>4</v>
      </c>
      <c r="I256" s="228" t="str">
        <f t="shared" ca="1" si="205"/>
        <v xml:space="preserve">   SUPRAESTRUTURA</v>
      </c>
      <c r="J256" s="230">
        <f t="shared" ca="1" si="214"/>
        <v>1</v>
      </c>
      <c r="K256" s="228" t="str">
        <f t="shared" ca="1" si="207"/>
        <v xml:space="preserve">   SUPRAESTRUTURA - 1º PAVIMENTO - SUBSOLO</v>
      </c>
      <c r="L256" s="231">
        <f t="shared" ca="1" si="215"/>
        <v>1</v>
      </c>
      <c r="M256" s="228" t="str">
        <f t="shared" ca="1" si="209"/>
        <v xml:space="preserve">   Armadura</v>
      </c>
      <c r="N256" s="231">
        <f t="shared" ca="1" si="216"/>
        <v>5</v>
      </c>
      <c r="O256" s="228" t="str">
        <f t="shared" ca="1" si="211"/>
        <v>Armacao aco CA-50 ø 16.0mm para supraestrutura corte e dobra em indústria</v>
      </c>
      <c r="P256" s="232" t="str">
        <f>IF(S256="","",IF(Orçamento!$B256="INSUMO",S256,""))</f>
        <v>ESPACADOR CIRCULAR 40MM</v>
      </c>
      <c r="Q256" s="244" t="str">
        <f t="shared" si="199"/>
        <v/>
      </c>
      <c r="R256" s="234">
        <f t="shared" ca="1" si="200"/>
        <v>187.14258999999998</v>
      </c>
      <c r="S256" s="233" t="s">
        <v>162</v>
      </c>
      <c r="T256" s="242" t="str">
        <f>_xlfn.XLOOKUP(S256,Insumos!$A$3:$A$371,Insumos!$B$3:$B$371)</f>
        <v>UN</v>
      </c>
      <c r="U256" s="235">
        <f ca="1">IF($B256="insumo",R256,"")</f>
        <v>187.14258999999998</v>
      </c>
      <c r="V256" s="320">
        <v>0.21199999999999999</v>
      </c>
      <c r="W256" s="236">
        <f>IFERROR(IF(B256="INSUMO",_xlfn.XLOOKUP(S256,Insumos!A:A,Insumos!C:C),""),"Inserir Preço")</f>
        <v>0.76</v>
      </c>
      <c r="X256" s="235">
        <f t="shared" ca="1" si="201"/>
        <v>39.674229079999996</v>
      </c>
      <c r="Y256" s="236">
        <f t="shared" si="192"/>
        <v>0.16111999999999999</v>
      </c>
      <c r="Z256" s="237">
        <f t="shared" ca="1" si="165"/>
        <v>30.152414100799998</v>
      </c>
      <c r="AA256" s="238"/>
      <c r="AB256" s="233" t="str">
        <f>IF(B256="insumo",_xlfn.XLOOKUP(S256,Insumos!A:A,Insumos!D:D),"")</f>
        <v xml:space="preserve"> </v>
      </c>
      <c r="AC256" s="239">
        <f t="shared" ca="1" si="166"/>
        <v>4.3256387084859555E-6</v>
      </c>
      <c r="AE256" s="240">
        <f ca="1">IFERROR(IF(OR(Z256="",Z256=0),"",IF(AF256="","",IF(AF256="R$/mês",Z256/OBRA!$D$12,IF(AF256="R$/m²",Z256/OBRA!$D$10,IF(AF256="R$/apto",Orçamento!Z256/OBRA!$D$11,""))))),"")</f>
        <v>1.5516647077700528E-2</v>
      </c>
      <c r="AF256" s="241" t="s">
        <v>154</v>
      </c>
    </row>
    <row r="257" spans="1:32" s="10" customFormat="1" ht="13.15" hidden="1" customHeight="1" outlineLevel="4" x14ac:dyDescent="0.2">
      <c r="A257" s="227"/>
      <c r="B257" s="228" t="s">
        <v>4</v>
      </c>
      <c r="C257" s="229">
        <f t="shared" si="164"/>
        <v>5</v>
      </c>
      <c r="D257" s="227" t="str">
        <f t="shared" ca="1" si="193"/>
        <v>04.001.001.006</v>
      </c>
      <c r="E257" s="228" t="str">
        <f t="shared" ca="1" si="212"/>
        <v>04.001.001.006</v>
      </c>
      <c r="F257" s="230">
        <f ca="1">IF($B257="UNIDADE CONSTRUTIVA",OFFSET(F257,-1,0)+1,LARGE(F$10:F256,1))</f>
        <v>2</v>
      </c>
      <c r="G257" s="228" t="str">
        <f t="shared" ca="1" si="203"/>
        <v xml:space="preserve">   GERENCIAMENTO EXECUTIVO</v>
      </c>
      <c r="H257" s="230">
        <f t="shared" ca="1" si="213"/>
        <v>4</v>
      </c>
      <c r="I257" s="228" t="str">
        <f t="shared" ca="1" si="205"/>
        <v xml:space="preserve">   SUPRAESTRUTURA</v>
      </c>
      <c r="J257" s="230">
        <f t="shared" ca="1" si="214"/>
        <v>1</v>
      </c>
      <c r="K257" s="228" t="str">
        <f t="shared" ca="1" si="207"/>
        <v xml:space="preserve">   SUPRAESTRUTURA - 1º PAVIMENTO - SUBSOLO</v>
      </c>
      <c r="L257" s="231">
        <f t="shared" ca="1" si="215"/>
        <v>1</v>
      </c>
      <c r="M257" s="228" t="str">
        <f t="shared" ca="1" si="209"/>
        <v xml:space="preserve">   Armadura</v>
      </c>
      <c r="N257" s="231">
        <f t="shared" ca="1" si="216"/>
        <v>6</v>
      </c>
      <c r="O257" s="228" t="str">
        <f t="shared" ca="1" si="211"/>
        <v>Armacao aco CA-50 ø 20.0mm para supraestrutura corte e dobra em indústria</v>
      </c>
      <c r="P257" s="232" t="str">
        <f>IF(S257="","",IF(Orçamento!$B257="INSUMO",S257,""))</f>
        <v/>
      </c>
      <c r="Q257" s="244" t="str">
        <f t="shared" si="199"/>
        <v>Armacao aco CA-50 ø 20.0mm para supraestrutura corte e dobra em indústria</v>
      </c>
      <c r="R257" s="234">
        <f t="shared" ca="1" si="200"/>
        <v>68.034000000000006</v>
      </c>
      <c r="S257" s="233" t="s">
        <v>191</v>
      </c>
      <c r="T257" s="242" t="s">
        <v>159</v>
      </c>
      <c r="U257" s="235">
        <v>68.034000000000006</v>
      </c>
      <c r="V257" s="320" t="s">
        <v>35</v>
      </c>
      <c r="W257" s="236" t="str">
        <f>IFERROR(IF(B257="INSUMO",_xlfn.XLOOKUP(S257,Insumos!A:A,Insumos!C:C),""),"Inserir Preço")</f>
        <v/>
      </c>
      <c r="X257" s="235">
        <f t="shared" ca="1" si="201"/>
        <v>68.034000000000006</v>
      </c>
      <c r="Y257" s="236">
        <f t="shared" ca="1" si="192"/>
        <v>6.148130000000001</v>
      </c>
      <c r="Z257" s="237">
        <f t="shared" ca="1" si="165"/>
        <v>418.28187642000012</v>
      </c>
      <c r="AA257" s="238"/>
      <c r="AB257" s="233" t="str">
        <f>IF(B257="insumo",_xlfn.XLOOKUP(S257,Insumos!A:A,Insumos!D:D),"")</f>
        <v/>
      </c>
      <c r="AC257" s="239">
        <f t="shared" ca="1" si="166"/>
        <v>6.000634873386427E-5</v>
      </c>
      <c r="AE257" s="240">
        <f ca="1">IFERROR(IF(OR(Z257="",Z257=0),"",IF(AF257="","",IF(AF257="R$/mês",Z257/OBRA!$D$12,IF(AF257="R$/m²",Z257/OBRA!$D$10,IF(AF257="R$/apto",Orçamento!Z257/OBRA!$D$11,""))))),"")</f>
        <v>0.21525083310776394</v>
      </c>
      <c r="AF257" s="241" t="s">
        <v>154</v>
      </c>
    </row>
    <row r="258" spans="1:32" s="10" customFormat="1" ht="13.15" hidden="1" customHeight="1" outlineLevel="4" x14ac:dyDescent="0.2">
      <c r="A258" s="227"/>
      <c r="B258" s="228" t="s">
        <v>19</v>
      </c>
      <c r="C258" s="229">
        <f t="shared" si="164"/>
        <v>5</v>
      </c>
      <c r="D258" s="227" t="str">
        <f t="shared" si="193"/>
        <v/>
      </c>
      <c r="E258" s="228" t="str">
        <f t="shared" ca="1" si="212"/>
        <v>04.001.001.006</v>
      </c>
      <c r="F258" s="230">
        <f ca="1">IF($B258="UNIDADE CONSTRUTIVA",OFFSET(F258,-1,0)+1,LARGE(F$10:F257,1))</f>
        <v>2</v>
      </c>
      <c r="G258" s="228" t="str">
        <f t="shared" ca="1" si="203"/>
        <v xml:space="preserve">   GERENCIAMENTO EXECUTIVO</v>
      </c>
      <c r="H258" s="230">
        <f t="shared" ca="1" si="213"/>
        <v>4</v>
      </c>
      <c r="I258" s="228" t="str">
        <f t="shared" ca="1" si="205"/>
        <v xml:space="preserve">   SUPRAESTRUTURA</v>
      </c>
      <c r="J258" s="230">
        <f t="shared" ca="1" si="214"/>
        <v>1</v>
      </c>
      <c r="K258" s="228" t="str">
        <f t="shared" ca="1" si="207"/>
        <v xml:space="preserve">   SUPRAESTRUTURA - 1º PAVIMENTO - SUBSOLO</v>
      </c>
      <c r="L258" s="231">
        <f t="shared" ca="1" si="215"/>
        <v>1</v>
      </c>
      <c r="M258" s="228" t="str">
        <f t="shared" ca="1" si="209"/>
        <v xml:space="preserve">   Armadura</v>
      </c>
      <c r="N258" s="231">
        <f t="shared" ca="1" si="216"/>
        <v>6</v>
      </c>
      <c r="O258" s="228" t="str">
        <f t="shared" ca="1" si="211"/>
        <v>Armacao aco CA-50 ø 20.0mm para supraestrutura corte e dobra em indústria</v>
      </c>
      <c r="P258" s="232" t="str">
        <f>IF(S258="","",IF(Orçamento!$B258="INSUMO",S258,""))</f>
        <v>ACO CA-50A 20,00 MM (3/4)</v>
      </c>
      <c r="Q258" s="244" t="str">
        <f t="shared" si="199"/>
        <v/>
      </c>
      <c r="R258" s="234">
        <f t="shared" ca="1" si="200"/>
        <v>68.034000000000006</v>
      </c>
      <c r="S258" s="233" t="s">
        <v>165</v>
      </c>
      <c r="T258" s="242" t="str">
        <f>_xlfn.XLOOKUP(S258,Insumos!$A$3:$A$371,Insumos!$B$3:$B$371)</f>
        <v>KG</v>
      </c>
      <c r="U258" s="235">
        <f ca="1">IF($B258="insumo",R258,"")</f>
        <v>68.034000000000006</v>
      </c>
      <c r="V258" s="320">
        <v>1.1000000000000001</v>
      </c>
      <c r="W258" s="236">
        <f>IFERROR(IF(B258="INSUMO",_xlfn.XLOOKUP(S258,Insumos!A:A,Insumos!C:C),""),"Inserir Preço")</f>
        <v>5.2</v>
      </c>
      <c r="X258" s="235">
        <f t="shared" ca="1" si="201"/>
        <v>74.837400000000017</v>
      </c>
      <c r="Y258" s="236">
        <f t="shared" si="192"/>
        <v>5.7200000000000006</v>
      </c>
      <c r="Z258" s="237">
        <f t="shared" ca="1" si="165"/>
        <v>389.15448000000009</v>
      </c>
      <c r="AA258" s="238"/>
      <c r="AB258" s="233" t="str">
        <f>IF(B258="insumo",_xlfn.XLOOKUP(S258,Insumos!A:A,Insumos!D:D),"")</f>
        <v>KNORR</v>
      </c>
      <c r="AC258" s="239">
        <f t="shared" ca="1" si="166"/>
        <v>5.5827758156984905E-5</v>
      </c>
      <c r="AE258" s="240">
        <f ca="1">IFERROR(IF(OR(Z258="",Z258=0),"",IF(AF258="","",IF(AF258="R$/mês",Z258/OBRA!$D$12,IF(AF258="R$/m²",Z258/OBRA!$D$10,IF(AF258="R$/apto",Orçamento!Z258/OBRA!$D$11,""))))),"")</f>
        <v>0.20026166743000062</v>
      </c>
      <c r="AF258" s="241" t="s">
        <v>154</v>
      </c>
    </row>
    <row r="259" spans="1:32" s="10" customFormat="1" ht="13.15" hidden="1" customHeight="1" outlineLevel="4" x14ac:dyDescent="0.2">
      <c r="A259" s="227"/>
      <c r="B259" s="228" t="s">
        <v>19</v>
      </c>
      <c r="C259" s="229">
        <f t="shared" si="164"/>
        <v>42</v>
      </c>
      <c r="D259" s="227" t="str">
        <f t="shared" si="193"/>
        <v/>
      </c>
      <c r="E259" s="228" t="str">
        <f t="shared" ca="1" si="212"/>
        <v>04.001.001.006</v>
      </c>
      <c r="F259" s="230">
        <f ca="1">IF($B259="UNIDADE CONSTRUTIVA",OFFSET(F259,-1,0)+1,LARGE(F$10:F258,1))</f>
        <v>2</v>
      </c>
      <c r="G259" s="228" t="str">
        <f t="shared" ca="1" si="203"/>
        <v xml:space="preserve">   GERENCIAMENTO EXECUTIVO</v>
      </c>
      <c r="H259" s="230">
        <f t="shared" ca="1" si="213"/>
        <v>4</v>
      </c>
      <c r="I259" s="228" t="str">
        <f t="shared" ca="1" si="205"/>
        <v xml:space="preserve">   SUPRAESTRUTURA</v>
      </c>
      <c r="J259" s="230">
        <f t="shared" ca="1" si="214"/>
        <v>1</v>
      </c>
      <c r="K259" s="228" t="str">
        <f t="shared" ca="1" si="207"/>
        <v xml:space="preserve">   SUPRAESTRUTURA - 1º PAVIMENTO - SUBSOLO</v>
      </c>
      <c r="L259" s="231">
        <f t="shared" ca="1" si="215"/>
        <v>1</v>
      </c>
      <c r="M259" s="228" t="str">
        <f t="shared" ca="1" si="209"/>
        <v xml:space="preserve">   Armadura</v>
      </c>
      <c r="N259" s="231">
        <f t="shared" ca="1" si="216"/>
        <v>6</v>
      </c>
      <c r="O259" s="228" t="str">
        <f t="shared" ca="1" si="211"/>
        <v>Armacao aco CA-50 ø 20.0mm para supraestrutura corte e dobra em indústria</v>
      </c>
      <c r="P259" s="232" t="str">
        <f>IF(S259="","",IF(Orçamento!$B259="INSUMO",S259,""))</f>
        <v>ARAME RECOZIDO 18 BWG, 1,25MM (0,010 KG/M)</v>
      </c>
      <c r="Q259" s="244" t="str">
        <f t="shared" si="199"/>
        <v/>
      </c>
      <c r="R259" s="234">
        <f t="shared" ca="1" si="200"/>
        <v>68.034000000000006</v>
      </c>
      <c r="S259" s="233" t="s">
        <v>161</v>
      </c>
      <c r="T259" s="242" t="str">
        <f>_xlfn.XLOOKUP(S259,Insumos!$A$3:$A$371,Insumos!$B$3:$B$371)</f>
        <v>KG</v>
      </c>
      <c r="U259" s="235">
        <f ca="1">IF($B259="insumo",R259,"")</f>
        <v>68.034000000000006</v>
      </c>
      <c r="V259" s="320">
        <v>2.5000000000000001E-2</v>
      </c>
      <c r="W259" s="236">
        <f>IFERROR(IF(B259="INSUMO",_xlfn.XLOOKUP(S259,Insumos!A:A,Insumos!C:C),""),"Inserir Preço")</f>
        <v>13.69</v>
      </c>
      <c r="X259" s="235">
        <f t="shared" ca="1" si="201"/>
        <v>1.7008500000000002</v>
      </c>
      <c r="Y259" s="236">
        <f t="shared" si="192"/>
        <v>0.34225</v>
      </c>
      <c r="Z259" s="237">
        <f t="shared" ca="1" si="165"/>
        <v>23.284636500000001</v>
      </c>
      <c r="AA259" s="238"/>
      <c r="AB259" s="233" t="str">
        <f>IF(B259="insumo",_xlfn.XLOOKUP(S259,Insumos!A:A,Insumos!D:D),"")</f>
        <v>GERDAU</v>
      </c>
      <c r="AC259" s="239">
        <f t="shared" ca="1" si="166"/>
        <v>3.3403933967181958E-6</v>
      </c>
      <c r="AE259" s="240">
        <f ca="1">IFERROR(IF(OR(Z259="",Z259=0),"",IF(AF259="","",IF(AF259="R$/mês",Z259/OBRA!$D$12,IF(AF259="R$/m²",Z259/OBRA!$D$10,IF(AF259="R$/apto",Orçamento!Z259/OBRA!$D$11,""))))),"")</f>
        <v>1.1982439803831766E-2</v>
      </c>
      <c r="AF259" s="241" t="s">
        <v>154</v>
      </c>
    </row>
    <row r="260" spans="1:32" s="10" customFormat="1" ht="13.15" hidden="1" customHeight="1" outlineLevel="4" x14ac:dyDescent="0.2">
      <c r="A260" s="227"/>
      <c r="B260" s="228" t="s">
        <v>19</v>
      </c>
      <c r="C260" s="229">
        <f t="shared" si="164"/>
        <v>37</v>
      </c>
      <c r="D260" s="227" t="str">
        <f t="shared" si="193"/>
        <v/>
      </c>
      <c r="E260" s="228" t="str">
        <f t="shared" ca="1" si="212"/>
        <v>04.001.001.006</v>
      </c>
      <c r="F260" s="230">
        <f ca="1">IF($B260="UNIDADE CONSTRUTIVA",OFFSET(F260,-1,0)+1,LARGE(F$10:F259,1))</f>
        <v>2</v>
      </c>
      <c r="G260" s="228" t="str">
        <f t="shared" ca="1" si="203"/>
        <v xml:space="preserve">   GERENCIAMENTO EXECUTIVO</v>
      </c>
      <c r="H260" s="230">
        <f t="shared" ca="1" si="213"/>
        <v>4</v>
      </c>
      <c r="I260" s="228" t="str">
        <f t="shared" ca="1" si="205"/>
        <v xml:space="preserve">   SUPRAESTRUTURA</v>
      </c>
      <c r="J260" s="230">
        <f t="shared" ca="1" si="214"/>
        <v>1</v>
      </c>
      <c r="K260" s="228" t="str">
        <f t="shared" ca="1" si="207"/>
        <v xml:space="preserve">   SUPRAESTRUTURA - 1º PAVIMENTO - SUBSOLO</v>
      </c>
      <c r="L260" s="231">
        <f t="shared" ca="1" si="215"/>
        <v>1</v>
      </c>
      <c r="M260" s="228" t="str">
        <f t="shared" ca="1" si="209"/>
        <v xml:space="preserve">   Armadura</v>
      </c>
      <c r="N260" s="231">
        <f t="shared" ca="1" si="216"/>
        <v>6</v>
      </c>
      <c r="O260" s="228" t="str">
        <f t="shared" ca="1" si="211"/>
        <v>Armacao aco CA-50 ø 20.0mm para supraestrutura corte e dobra em indústria</v>
      </c>
      <c r="P260" s="232" t="str">
        <f>IF(S260="","",IF(Orçamento!$B260="INSUMO",S260,""))</f>
        <v>ESPACADOR CIRCULAR 40MM</v>
      </c>
      <c r="Q260" s="244" t="str">
        <f t="shared" si="199"/>
        <v/>
      </c>
      <c r="R260" s="234">
        <f t="shared" ca="1" si="200"/>
        <v>68.034000000000006</v>
      </c>
      <c r="S260" s="233" t="s">
        <v>162</v>
      </c>
      <c r="T260" s="242" t="str">
        <f>_xlfn.XLOOKUP(S260,Insumos!$A$3:$A$371,Insumos!$B$3:$B$371)</f>
        <v>UN</v>
      </c>
      <c r="U260" s="235">
        <f ca="1">IF($B260="insumo",R260,"")</f>
        <v>68.034000000000006</v>
      </c>
      <c r="V260" s="320">
        <v>0.113</v>
      </c>
      <c r="W260" s="236">
        <f>IFERROR(IF(B260="INSUMO",_xlfn.XLOOKUP(S260,Insumos!A:A,Insumos!C:C),""),"Inserir Preço")</f>
        <v>0.76</v>
      </c>
      <c r="X260" s="235">
        <f t="shared" ca="1" si="201"/>
        <v>7.6878420000000007</v>
      </c>
      <c r="Y260" s="236">
        <f t="shared" si="192"/>
        <v>8.5879999999999998E-2</v>
      </c>
      <c r="Z260" s="237">
        <f t="shared" ca="1" si="165"/>
        <v>5.8427599200000007</v>
      </c>
      <c r="AA260" s="238"/>
      <c r="AB260" s="233" t="str">
        <f>IF(B260="insumo",_xlfn.XLOOKUP(S260,Insumos!A:A,Insumos!D:D),"")</f>
        <v xml:space="preserve"> </v>
      </c>
      <c r="AC260" s="239">
        <f t="shared" ca="1" si="166"/>
        <v>8.3819718016116487E-7</v>
      </c>
      <c r="AE260" s="240">
        <f ca="1">IFERROR(IF(OR(Z260="",Z260=0),"",IF(AF260="","",IF(AF260="R$/mês",Z260/OBRA!$D$12,IF(AF260="R$/m²",Z260/OBRA!$D$10,IF(AF260="R$/apto",Orçamento!Z260/OBRA!$D$11,""))))),"")</f>
        <v>3.0067258739315474E-3</v>
      </c>
      <c r="AF260" s="241" t="s">
        <v>154</v>
      </c>
    </row>
    <row r="261" spans="1:32" s="10" customFormat="1" ht="13.15" hidden="1" customHeight="1" outlineLevel="4" x14ac:dyDescent="0.2">
      <c r="A261" s="227"/>
      <c r="B261" s="228" t="s">
        <v>4</v>
      </c>
      <c r="C261" s="229">
        <f t="shared" si="164"/>
        <v>5</v>
      </c>
      <c r="D261" s="227" t="str">
        <f t="shared" ca="1" si="193"/>
        <v>04.001.001.007</v>
      </c>
      <c r="E261" s="228" t="str">
        <f t="shared" ca="1" si="212"/>
        <v>04.001.001.007</v>
      </c>
      <c r="F261" s="230">
        <f ca="1">IF($B261="UNIDADE CONSTRUTIVA",OFFSET(F261,-1,0)+1,LARGE(F$10:F260,1))</f>
        <v>2</v>
      </c>
      <c r="G261" s="228" t="str">
        <f t="shared" ca="1" si="203"/>
        <v xml:space="preserve">   GERENCIAMENTO EXECUTIVO</v>
      </c>
      <c r="H261" s="230">
        <f t="shared" ca="1" si="213"/>
        <v>4</v>
      </c>
      <c r="I261" s="228" t="str">
        <f t="shared" ca="1" si="205"/>
        <v xml:space="preserve">   SUPRAESTRUTURA</v>
      </c>
      <c r="J261" s="230">
        <f t="shared" ca="1" si="214"/>
        <v>1</v>
      </c>
      <c r="K261" s="228" t="str">
        <f t="shared" ca="1" si="207"/>
        <v xml:space="preserve">   SUPRAESTRUTURA - 1º PAVIMENTO - SUBSOLO</v>
      </c>
      <c r="L261" s="231">
        <f t="shared" ca="1" si="215"/>
        <v>1</v>
      </c>
      <c r="M261" s="228" t="str">
        <f t="shared" ca="1" si="209"/>
        <v xml:space="preserve">   Armadura</v>
      </c>
      <c r="N261" s="231">
        <f t="shared" ca="1" si="216"/>
        <v>7</v>
      </c>
      <c r="O261" s="228" t="str">
        <f t="shared" ca="1" si="211"/>
        <v>Armacao aco CA-50 ø 25.0mm para supraestrutura corte e dobra em indústria</v>
      </c>
      <c r="P261" s="232" t="str">
        <f>IF(S261="","",IF(Orçamento!$B261="INSUMO",S261,""))</f>
        <v/>
      </c>
      <c r="Q261" s="244" t="str">
        <f t="shared" si="199"/>
        <v>Armacao aco CA-50 ø 25.0mm para supraestrutura corte e dobra em indústria</v>
      </c>
      <c r="R261" s="234">
        <f t="shared" ca="1" si="200"/>
        <v>102.12851999999999</v>
      </c>
      <c r="S261" s="233" t="s">
        <v>192</v>
      </c>
      <c r="T261" s="242" t="s">
        <v>159</v>
      </c>
      <c r="U261" s="235">
        <v>102.12851999999999</v>
      </c>
      <c r="V261" s="320" t="s">
        <v>35</v>
      </c>
      <c r="W261" s="236" t="str">
        <f>IFERROR(IF(B261="INSUMO",_xlfn.XLOOKUP(S261,Insumos!A:A,Insumos!C:C),""),"Inserir Preço")</f>
        <v/>
      </c>
      <c r="X261" s="235">
        <f t="shared" ca="1" si="201"/>
        <v>102.12851999999999</v>
      </c>
      <c r="Y261" s="236">
        <f t="shared" ca="1" si="192"/>
        <v>7.4571300000000003</v>
      </c>
      <c r="Z261" s="237">
        <f t="shared" ca="1" si="165"/>
        <v>761.58565034759999</v>
      </c>
      <c r="AA261" s="238"/>
      <c r="AB261" s="233" t="str">
        <f>IF(B261="insumo",_xlfn.XLOOKUP(S261,Insumos!A:A,Insumos!D:D),"")</f>
        <v/>
      </c>
      <c r="AC261" s="239">
        <f t="shared" ca="1" si="166"/>
        <v>1.0925640507449861E-4</v>
      </c>
      <c r="AE261" s="240">
        <f ca="1">IFERROR(IF(OR(Z261="",Z261=0),"",IF(AF261="","",IF(AF261="R$/mês",Z261/OBRA!$D$12,IF(AF261="R$/m²",Z261/OBRA!$D$10,IF(AF261="R$/apto",Orçamento!Z261/OBRA!$D$11,""))))),"")</f>
        <v>0.39191740058953389</v>
      </c>
      <c r="AF261" s="241" t="s">
        <v>154</v>
      </c>
    </row>
    <row r="262" spans="1:32" s="10" customFormat="1" ht="13.15" hidden="1" customHeight="1" outlineLevel="4" x14ac:dyDescent="0.2">
      <c r="A262" s="227"/>
      <c r="B262" s="228" t="s">
        <v>19</v>
      </c>
      <c r="C262" s="229">
        <f t="shared" si="164"/>
        <v>5</v>
      </c>
      <c r="D262" s="227" t="str">
        <f t="shared" si="193"/>
        <v/>
      </c>
      <c r="E262" s="228" t="str">
        <f t="shared" ca="1" si="212"/>
        <v>04.001.001.007</v>
      </c>
      <c r="F262" s="230">
        <f ca="1">IF($B262="UNIDADE CONSTRUTIVA",OFFSET(F262,-1,0)+1,LARGE(F$10:F261,1))</f>
        <v>2</v>
      </c>
      <c r="G262" s="228" t="str">
        <f t="shared" ca="1" si="203"/>
        <v xml:space="preserve">   GERENCIAMENTO EXECUTIVO</v>
      </c>
      <c r="H262" s="230">
        <f t="shared" ca="1" si="213"/>
        <v>4</v>
      </c>
      <c r="I262" s="228" t="str">
        <f t="shared" ca="1" si="205"/>
        <v xml:space="preserve">   SUPRAESTRUTURA</v>
      </c>
      <c r="J262" s="230">
        <f t="shared" ca="1" si="214"/>
        <v>1</v>
      </c>
      <c r="K262" s="228" t="str">
        <f t="shared" ca="1" si="207"/>
        <v xml:space="preserve">   SUPRAESTRUTURA - 1º PAVIMENTO - SUBSOLO</v>
      </c>
      <c r="L262" s="231">
        <f t="shared" ca="1" si="215"/>
        <v>1</v>
      </c>
      <c r="M262" s="228" t="str">
        <f t="shared" ca="1" si="209"/>
        <v xml:space="preserve">   Armadura</v>
      </c>
      <c r="N262" s="231">
        <f t="shared" ca="1" si="216"/>
        <v>7</v>
      </c>
      <c r="O262" s="228" t="str">
        <f t="shared" ca="1" si="211"/>
        <v>Armacao aco CA-50 ø 25.0mm para supraestrutura corte e dobra em indústria</v>
      </c>
      <c r="P262" s="232" t="str">
        <f>IF(S262="","",IF(Orçamento!$B262="INSUMO",S262,""))</f>
        <v>Aco CA-50A 25,00 mm (1)</v>
      </c>
      <c r="Q262" s="244" t="str">
        <f t="shared" si="199"/>
        <v/>
      </c>
      <c r="R262" s="234">
        <f t="shared" ca="1" si="200"/>
        <v>102.12851999999999</v>
      </c>
      <c r="S262" s="233" t="s">
        <v>180</v>
      </c>
      <c r="T262" s="242" t="str">
        <f>_xlfn.XLOOKUP(S262,Insumos!$A$3:$A$371,Insumos!$B$3:$B$371)</f>
        <v>KG</v>
      </c>
      <c r="U262" s="235">
        <f ca="1">IF($B262="insumo",R262,"")</f>
        <v>102.12851999999999</v>
      </c>
      <c r="V262" s="320">
        <v>1.1000000000000001</v>
      </c>
      <c r="W262" s="236">
        <f>IFERROR(IF(B262="INSUMO",_xlfn.XLOOKUP(S262,Insumos!A:A,Insumos!C:C),""),"Inserir Preço")</f>
        <v>6.39</v>
      </c>
      <c r="X262" s="235">
        <f t="shared" ca="1" si="201"/>
        <v>112.34137200000001</v>
      </c>
      <c r="Y262" s="236">
        <f t="shared" si="192"/>
        <v>7.0289999999999999</v>
      </c>
      <c r="Z262" s="237">
        <f t="shared" ca="1" si="165"/>
        <v>717.86136708000004</v>
      </c>
      <c r="AA262" s="238"/>
      <c r="AB262" s="233" t="str">
        <f>IF(B262="insumo",_xlfn.XLOOKUP(S262,Insumos!A:A,Insumos!D:D),"")</f>
        <v>GERDAU</v>
      </c>
      <c r="AC262" s="239">
        <f t="shared" ca="1" si="166"/>
        <v>1.0298375799652827E-4</v>
      </c>
      <c r="AE262" s="240">
        <f ca="1">IFERROR(IF(OR(Z262="",Z262=0),"",IF(AF262="","",IF(AF262="R$/mês",Z262/OBRA!$D$12,IF(AF262="R$/m²",Z262/OBRA!$D$10,IF(AF262="R$/apto",Orçamento!Z262/OBRA!$D$11,""))))),"")</f>
        <v>0.369416572963571</v>
      </c>
      <c r="AF262" s="241" t="s">
        <v>154</v>
      </c>
    </row>
    <row r="263" spans="1:32" s="10" customFormat="1" ht="13.15" hidden="1" customHeight="1" outlineLevel="4" x14ac:dyDescent="0.2">
      <c r="A263" s="227"/>
      <c r="B263" s="228" t="s">
        <v>19</v>
      </c>
      <c r="C263" s="229">
        <f t="shared" si="164"/>
        <v>42</v>
      </c>
      <c r="D263" s="227" t="str">
        <f t="shared" si="193"/>
        <v/>
      </c>
      <c r="E263" s="228" t="str">
        <f t="shared" ca="1" si="212"/>
        <v>04.001.001.007</v>
      </c>
      <c r="F263" s="230">
        <f ca="1">IF($B263="UNIDADE CONSTRUTIVA",OFFSET(F263,-1,0)+1,LARGE(F$10:F262,1))</f>
        <v>2</v>
      </c>
      <c r="G263" s="228" t="str">
        <f t="shared" ca="1" si="203"/>
        <v xml:space="preserve">   GERENCIAMENTO EXECUTIVO</v>
      </c>
      <c r="H263" s="230">
        <f t="shared" ca="1" si="213"/>
        <v>4</v>
      </c>
      <c r="I263" s="228" t="str">
        <f t="shared" ca="1" si="205"/>
        <v xml:space="preserve">   SUPRAESTRUTURA</v>
      </c>
      <c r="J263" s="230">
        <f t="shared" ca="1" si="214"/>
        <v>1</v>
      </c>
      <c r="K263" s="228" t="str">
        <f t="shared" ca="1" si="207"/>
        <v xml:space="preserve">   SUPRAESTRUTURA - 1º PAVIMENTO - SUBSOLO</v>
      </c>
      <c r="L263" s="231">
        <f t="shared" ca="1" si="215"/>
        <v>1</v>
      </c>
      <c r="M263" s="228" t="str">
        <f t="shared" ca="1" si="209"/>
        <v xml:space="preserve">   Armadura</v>
      </c>
      <c r="N263" s="231">
        <f t="shared" ca="1" si="216"/>
        <v>7</v>
      </c>
      <c r="O263" s="228" t="str">
        <f t="shared" ca="1" si="211"/>
        <v>Armacao aco CA-50 ø 25.0mm para supraestrutura corte e dobra em indústria</v>
      </c>
      <c r="P263" s="232" t="str">
        <f>IF(S263="","",IF(Orçamento!$B263="INSUMO",S263,""))</f>
        <v>ARAME RECOZIDO 18 BWG, 1,25MM (0,010 KG/M)</v>
      </c>
      <c r="Q263" s="244" t="str">
        <f t="shared" si="199"/>
        <v/>
      </c>
      <c r="R263" s="234">
        <f t="shared" ca="1" si="200"/>
        <v>102.12851999999999</v>
      </c>
      <c r="S263" s="233" t="s">
        <v>161</v>
      </c>
      <c r="T263" s="242" t="str">
        <f>_xlfn.XLOOKUP(S263,Insumos!$A$3:$A$371,Insumos!$B$3:$B$371)</f>
        <v>KG</v>
      </c>
      <c r="U263" s="235">
        <f ca="1">IF($B263="insumo",R263,"")</f>
        <v>102.12851999999999</v>
      </c>
      <c r="V263" s="320">
        <v>2.5000000000000001E-2</v>
      </c>
      <c r="W263" s="236">
        <f>IFERROR(IF(B263="INSUMO",_xlfn.XLOOKUP(S263,Insumos!A:A,Insumos!C:C),""),"Inserir Preço")</f>
        <v>13.69</v>
      </c>
      <c r="X263" s="235">
        <f t="shared" ca="1" si="201"/>
        <v>2.553213</v>
      </c>
      <c r="Y263" s="236">
        <f t="shared" si="192"/>
        <v>0.34225</v>
      </c>
      <c r="Z263" s="237">
        <f t="shared" ca="1" si="165"/>
        <v>34.953485969999996</v>
      </c>
      <c r="AA263" s="238"/>
      <c r="AB263" s="233" t="str">
        <f>IF(B263="insumo",_xlfn.XLOOKUP(S263,Insumos!A:A,Insumos!D:D),"")</f>
        <v>GERDAU</v>
      </c>
      <c r="AC263" s="239">
        <f t="shared" ca="1" si="166"/>
        <v>5.0143962404768522E-6</v>
      </c>
      <c r="AE263" s="240">
        <f ca="1">IFERROR(IF(OR(Z263="",Z263=0),"",IF(AF263="","",IF(AF263="R$/mês",Z263/OBRA!$D$12,IF(AF263="R$/m²",Z263/OBRA!$D$10,IF(AF263="R$/apto",Orçamento!Z263/OBRA!$D$11,""))))),"")</f>
        <v>1.7987312860546615E-2</v>
      </c>
      <c r="AF263" s="241" t="s">
        <v>154</v>
      </c>
    </row>
    <row r="264" spans="1:32" s="10" customFormat="1" ht="13.15" hidden="1" customHeight="1" outlineLevel="4" x14ac:dyDescent="0.2">
      <c r="A264" s="227"/>
      <c r="B264" s="228" t="s">
        <v>19</v>
      </c>
      <c r="C264" s="229">
        <f t="shared" si="164"/>
        <v>37</v>
      </c>
      <c r="D264" s="227" t="str">
        <f t="shared" si="193"/>
        <v/>
      </c>
      <c r="E264" s="228" t="str">
        <f t="shared" ref="E264:E338" ca="1" si="217">IF(B264="*","",IFERROR(IF(B264="SERVIÇO",D264,OFFSET(E264,-1,0)),""))</f>
        <v>04.001.001.007</v>
      </c>
      <c r="F264" s="230">
        <f ca="1">IF($B264="UNIDADE CONSTRUTIVA",OFFSET(F264,-1,0)+1,LARGE(F$10:F263,1))</f>
        <v>2</v>
      </c>
      <c r="G264" s="228" t="str">
        <f t="shared" ca="1" si="203"/>
        <v xml:space="preserve">   GERENCIAMENTO EXECUTIVO</v>
      </c>
      <c r="H264" s="230">
        <f t="shared" ref="H264:H338" ca="1" si="218">IF(B264="UNIDADE CONSTRUTIVA",0,IF(B264="CÉLULA CONSTRUTIVA",OFFSET(H264,-1,0)+1,OFFSET(H264,-1,0)))</f>
        <v>4</v>
      </c>
      <c r="I264" s="228" t="str">
        <f t="shared" ca="1" si="205"/>
        <v xml:space="preserve">   SUPRAESTRUTURA</v>
      </c>
      <c r="J264" s="230">
        <f t="shared" ref="J264:J338" ca="1" si="219">IF(B264="CÉLULA CONSTRUTIVA",0,IF(B264="ETAPA",OFFSET(J264,-1,0)+1,OFFSET(J264,-1,0)))</f>
        <v>1</v>
      </c>
      <c r="K264" s="228" t="str">
        <f t="shared" ca="1" si="207"/>
        <v xml:space="preserve">   SUPRAESTRUTURA - 1º PAVIMENTO - SUBSOLO</v>
      </c>
      <c r="L264" s="231">
        <f t="shared" ref="L264:L338" ca="1" si="220">IF(B264="ETAPA",0,IF(B264="SUBETAPA",OFFSET(L264,-1,0)+1,OFFSET(L264,-1,0)))</f>
        <v>1</v>
      </c>
      <c r="M264" s="228" t="str">
        <f t="shared" ca="1" si="209"/>
        <v xml:space="preserve">   Armadura</v>
      </c>
      <c r="N264" s="231">
        <f t="shared" ref="N264:N338" ca="1" si="221">IF(B264="Subetapa",0,IF(B264="serviço",OFFSET(N264,-1,0)+1,OFFSET(N264,-1,0)))</f>
        <v>7</v>
      </c>
      <c r="O264" s="228" t="str">
        <f t="shared" ca="1" si="211"/>
        <v>Armacao aco CA-50 ø 25.0mm para supraestrutura corte e dobra em indústria</v>
      </c>
      <c r="P264" s="232" t="str">
        <f>IF(S264="","",IF(Orçamento!$B264="INSUMO",S264,""))</f>
        <v>ESPACADOR CIRCULAR 40MM</v>
      </c>
      <c r="Q264" s="244" t="str">
        <f t="shared" si="199"/>
        <v/>
      </c>
      <c r="R264" s="234">
        <f t="shared" ca="1" si="200"/>
        <v>102.12851999999999</v>
      </c>
      <c r="S264" s="233" t="s">
        <v>162</v>
      </c>
      <c r="T264" s="242" t="str">
        <f>_xlfn.XLOOKUP(S264,Insumos!$A$3:$A$371,Insumos!$B$3:$B$371)</f>
        <v>UN</v>
      </c>
      <c r="U264" s="235">
        <f ca="1">IF($B264="insumo",R264,"")</f>
        <v>102.12851999999999</v>
      </c>
      <c r="V264" s="320">
        <v>0.113</v>
      </c>
      <c r="W264" s="236">
        <f>IFERROR(IF(B264="INSUMO",_xlfn.XLOOKUP(S264,Insumos!A:A,Insumos!C:C),""),"Inserir Preço")</f>
        <v>0.76</v>
      </c>
      <c r="X264" s="235">
        <f t="shared" ca="1" si="201"/>
        <v>11.54052276</v>
      </c>
      <c r="Y264" s="236">
        <f t="shared" si="192"/>
        <v>8.5879999999999998E-2</v>
      </c>
      <c r="Z264" s="237">
        <f t="shared" ca="1" si="165"/>
        <v>8.7707972975999997</v>
      </c>
      <c r="AA264" s="238"/>
      <c r="AB264" s="233" t="str">
        <f>IF(B264="insumo",_xlfn.XLOOKUP(S264,Insumos!A:A,Insumos!D:D),"")</f>
        <v xml:space="preserve"> </v>
      </c>
      <c r="AC264" s="239">
        <f t="shared" ca="1" si="166"/>
        <v>1.2582508374935051E-6</v>
      </c>
      <c r="AE264" s="240">
        <f ca="1">IFERROR(IF(OR(Z264="",Z264=0),"",IF(AF264="","",IF(AF264="R$/mês",Z264/OBRA!$D$12,IF(AF264="R$/m²",Z264/OBRA!$D$10,IF(AF264="R$/apto",Orçamento!Z264/OBRA!$D$11,""))))),"")</f>
        <v>4.5135147654163429E-3</v>
      </c>
      <c r="AF264" s="241" t="s">
        <v>154</v>
      </c>
    </row>
    <row r="265" spans="1:32" s="10" customFormat="1" ht="13.15" hidden="1" customHeight="1" outlineLevel="3" collapsed="1" x14ac:dyDescent="0.2">
      <c r="A265" s="227"/>
      <c r="B265" s="228" t="s">
        <v>3</v>
      </c>
      <c r="C265" s="229" t="str">
        <f t="shared" si="164"/>
        <v/>
      </c>
      <c r="D265" s="227" t="str">
        <f t="shared" ca="1" si="193"/>
        <v>04.001.002</v>
      </c>
      <c r="E265" s="228" t="str">
        <f t="shared" ca="1" si="217"/>
        <v>04.001.001.007</v>
      </c>
      <c r="F265" s="230">
        <f ca="1">IF($B265="UNIDADE CONSTRUTIVA",OFFSET(F265,-1,0)+1,LARGE(F$10:F264,1))</f>
        <v>2</v>
      </c>
      <c r="G265" s="228" t="str">
        <f t="shared" ca="1" si="203"/>
        <v xml:space="preserve">   GERENCIAMENTO EXECUTIVO</v>
      </c>
      <c r="H265" s="230">
        <f t="shared" ca="1" si="218"/>
        <v>4</v>
      </c>
      <c r="I265" s="228" t="str">
        <f t="shared" ca="1" si="205"/>
        <v xml:space="preserve">   SUPRAESTRUTURA</v>
      </c>
      <c r="J265" s="230">
        <f t="shared" ca="1" si="219"/>
        <v>1</v>
      </c>
      <c r="K265" s="228" t="str">
        <f t="shared" ca="1" si="207"/>
        <v xml:space="preserve">   SUPRAESTRUTURA - 1º PAVIMENTO - SUBSOLO</v>
      </c>
      <c r="L265" s="231">
        <f t="shared" ca="1" si="220"/>
        <v>2</v>
      </c>
      <c r="M265" s="228" t="str">
        <f t="shared" ca="1" si="209"/>
        <v xml:space="preserve">   Forma</v>
      </c>
      <c r="N265" s="231">
        <f t="shared" ca="1" si="221"/>
        <v>0</v>
      </c>
      <c r="O265" s="228" t="str">
        <f t="shared" ca="1" si="211"/>
        <v>Armacao aco CA-50 ø 25.0mm para supraestrutura corte e dobra em indústria</v>
      </c>
      <c r="P265" s="232" t="str">
        <f>IF(S265="","",IF(Orçamento!$B265="INSUMO",S265,""))</f>
        <v/>
      </c>
      <c r="Q265" s="244" t="str">
        <f t="shared" si="199"/>
        <v/>
      </c>
      <c r="R265" s="234">
        <f t="shared" ca="1" si="200"/>
        <v>102.12851999999999</v>
      </c>
      <c r="S265" s="233" t="s">
        <v>437</v>
      </c>
      <c r="T265" s="242" t="s">
        <v>35</v>
      </c>
      <c r="U265" s="235" t="str">
        <f>IF($B265="insumo",R265,"")</f>
        <v/>
      </c>
      <c r="V265" s="320" t="s">
        <v>35</v>
      </c>
      <c r="W265" s="236" t="str">
        <f>IFERROR(IF(B265="INSUMO",_xlfn.XLOOKUP(S265,Insumos!A:A,Insumos!C:C),""),"Inserir Preço")</f>
        <v/>
      </c>
      <c r="X265" s="235" t="str">
        <f t="shared" ca="1" si="201"/>
        <v/>
      </c>
      <c r="Y265" s="236" t="str">
        <f t="shared" si="192"/>
        <v/>
      </c>
      <c r="Z265" s="237">
        <f t="shared" ca="1" si="165"/>
        <v>13077.252362782747</v>
      </c>
      <c r="AA265" s="238"/>
      <c r="AB265" s="233" t="str">
        <f>IF(B265="insumo",_xlfn.XLOOKUP(S265,Insumos!A:A,Insumos!D:D),"")</f>
        <v/>
      </c>
      <c r="AC265" s="239">
        <f t="shared" ca="1" si="166"/>
        <v>1.876051079425565E-3</v>
      </c>
      <c r="AE265" s="240">
        <f ca="1">IFERROR(IF(OR(Z265="",Z265=0),"",IF(AF265="","",IF(AF265="R$/mês",Z265/OBRA!$D$12,IF(AF265="R$/m²",Z265/OBRA!$D$10,IF(AF265="R$/apto",Orçamento!Z265/OBRA!$D$11,""))))),"")</f>
        <v>6.7296472176647884</v>
      </c>
      <c r="AF265" s="241" t="s">
        <v>154</v>
      </c>
    </row>
    <row r="266" spans="1:32" s="10" customFormat="1" ht="13.15" hidden="1" customHeight="1" outlineLevel="4" x14ac:dyDescent="0.2">
      <c r="A266" s="227"/>
      <c r="B266" s="228" t="s">
        <v>4</v>
      </c>
      <c r="C266" s="229">
        <f t="shared" si="164"/>
        <v>5</v>
      </c>
      <c r="D266" s="227" t="str">
        <f t="shared" ca="1" si="193"/>
        <v>04.001.002.001</v>
      </c>
      <c r="E266" s="228" t="str">
        <f t="shared" ca="1" si="217"/>
        <v>04.001.002.001</v>
      </c>
      <c r="F266" s="230">
        <f ca="1">IF($B266="UNIDADE CONSTRUTIVA",OFFSET(F266,-1,0)+1,LARGE(F$10:F265,1))</f>
        <v>2</v>
      </c>
      <c r="G266" s="228" t="str">
        <f t="shared" ca="1" si="203"/>
        <v xml:space="preserve">   GERENCIAMENTO EXECUTIVO</v>
      </c>
      <c r="H266" s="230">
        <f t="shared" ca="1" si="218"/>
        <v>4</v>
      </c>
      <c r="I266" s="228" t="str">
        <f t="shared" ca="1" si="205"/>
        <v xml:space="preserve">   SUPRAESTRUTURA</v>
      </c>
      <c r="J266" s="230">
        <f t="shared" ca="1" si="219"/>
        <v>1</v>
      </c>
      <c r="K266" s="228" t="str">
        <f t="shared" ca="1" si="207"/>
        <v xml:space="preserve">   SUPRAESTRUTURA - 1º PAVIMENTO - SUBSOLO</v>
      </c>
      <c r="L266" s="231">
        <f t="shared" ca="1" si="220"/>
        <v>2</v>
      </c>
      <c r="M266" s="228" t="str">
        <f t="shared" ca="1" si="209"/>
        <v xml:space="preserve">   Forma</v>
      </c>
      <c r="N266" s="231">
        <f t="shared" ca="1" si="221"/>
        <v>1</v>
      </c>
      <c r="O266" s="228" t="str">
        <f t="shared" ca="1" si="211"/>
        <v>Fabricação de fôrma para Pilares em chapa de madeira compensada plastificada e=14 mm - 2 jogos</v>
      </c>
      <c r="P266" s="232" t="str">
        <f>IF(S266="","",IF(Orçamento!$B266="INSUMO",S266,""))</f>
        <v/>
      </c>
      <c r="Q266" s="244" t="str">
        <f t="shared" si="199"/>
        <v>Fabricação de fôrma para Pilares em chapa de madeira compensada plastificada e=14 mm - 2 jogos</v>
      </c>
      <c r="R266" s="234">
        <f t="shared" ca="1" si="200"/>
        <v>41.758999999999993</v>
      </c>
      <c r="S266" s="233" t="s">
        <v>950</v>
      </c>
      <c r="T266" s="242" t="s">
        <v>140</v>
      </c>
      <c r="U266" s="235">
        <f>U287</f>
        <v>41.758999999999993</v>
      </c>
      <c r="V266" s="320" t="s">
        <v>35</v>
      </c>
      <c r="W266" s="236" t="str">
        <f>IFERROR(IF(B266="INSUMO",_xlfn.XLOOKUP(S266,Insumos!A:A,Insumos!C:C),""),"Inserir Preço")</f>
        <v/>
      </c>
      <c r="X266" s="235">
        <f t="shared" ca="1" si="201"/>
        <v>41.758999999999993</v>
      </c>
      <c r="Y266" s="236">
        <f t="shared" ca="1" si="192"/>
        <v>108.24439999999998</v>
      </c>
      <c r="Z266" s="237">
        <f t="shared" ca="1" si="165"/>
        <v>4520.1778995999985</v>
      </c>
      <c r="AA266" s="238"/>
      <c r="AB266" s="233" t="str">
        <f>IF(B266="insumo",_xlfn.XLOOKUP(S266,Insumos!A:A,Insumos!D:D),"")</f>
        <v/>
      </c>
      <c r="AC266" s="239">
        <f t="shared" ca="1" si="166"/>
        <v>6.4846073108400725E-4</v>
      </c>
      <c r="AE266" s="240">
        <f ca="1">IFERROR(IF(OR(Z266="",Z266=0),"",IF(AF266="","",IF(AF266="R$/mês",Z266/OBRA!$D$12,IF(AF266="R$/m²",Z266/OBRA!$D$10,IF(AF266="R$/apto",Orçamento!Z266/OBRA!$D$11,""))))),"")</f>
        <v>2.3261157452283046</v>
      </c>
      <c r="AF266" s="241" t="s">
        <v>154</v>
      </c>
    </row>
    <row r="267" spans="1:32" s="10" customFormat="1" ht="13.15" hidden="1" customHeight="1" outlineLevel="4" x14ac:dyDescent="0.2">
      <c r="A267" s="227"/>
      <c r="B267" s="228" t="s">
        <v>19</v>
      </c>
      <c r="C267" s="229">
        <f t="shared" si="164"/>
        <v>21</v>
      </c>
      <c r="D267" s="227" t="str">
        <f t="shared" si="193"/>
        <v/>
      </c>
      <c r="E267" s="228" t="str">
        <f t="shared" ca="1" si="217"/>
        <v>04.001.002.001</v>
      </c>
      <c r="F267" s="230">
        <f ca="1">IF($B267="UNIDADE CONSTRUTIVA",OFFSET(F267,-1,0)+1,LARGE(F$10:F266,1))</f>
        <v>2</v>
      </c>
      <c r="G267" s="228" t="str">
        <f t="shared" ca="1" si="203"/>
        <v xml:space="preserve">   GERENCIAMENTO EXECUTIVO</v>
      </c>
      <c r="H267" s="230">
        <f t="shared" ca="1" si="218"/>
        <v>4</v>
      </c>
      <c r="I267" s="228" t="str">
        <f t="shared" ca="1" si="205"/>
        <v xml:space="preserve">   SUPRAESTRUTURA</v>
      </c>
      <c r="J267" s="230">
        <f t="shared" ca="1" si="219"/>
        <v>1</v>
      </c>
      <c r="K267" s="228" t="str">
        <f t="shared" ca="1" si="207"/>
        <v xml:space="preserve">   SUPRAESTRUTURA - 1º PAVIMENTO - SUBSOLO</v>
      </c>
      <c r="L267" s="231">
        <f t="shared" ca="1" si="220"/>
        <v>2</v>
      </c>
      <c r="M267" s="228" t="str">
        <f t="shared" ca="1" si="209"/>
        <v xml:space="preserve">   Forma</v>
      </c>
      <c r="N267" s="231">
        <f t="shared" ca="1" si="221"/>
        <v>1</v>
      </c>
      <c r="O267" s="228" t="str">
        <f t="shared" ca="1" si="211"/>
        <v>Fabricação de fôrma para Pilares em chapa de madeira compensada plastificada e=14 mm - 2 jogos</v>
      </c>
      <c r="P267" s="232" t="str">
        <f>IF(S267="","",IF(Orçamento!$B267="INSUMO",S267,""))</f>
        <v>COMPENSADO MADEIRA TIPO PLASTIFICADO 2200X1100X14MM NBR 1096</v>
      </c>
      <c r="Q267" s="244" t="str">
        <f t="shared" si="199"/>
        <v/>
      </c>
      <c r="R267" s="234">
        <f t="shared" ca="1" si="200"/>
        <v>41.758999999999993</v>
      </c>
      <c r="S267" s="233" t="s">
        <v>804</v>
      </c>
      <c r="T267" s="242" t="str">
        <f>_xlfn.XLOOKUP(S267,Insumos!$A$3:$A$371,Insumos!$B$3:$B$371)</f>
        <v>CH</v>
      </c>
      <c r="U267" s="235">
        <f ca="1">IF($B267="insumo",R267,"")</f>
        <v>41.758999999999993</v>
      </c>
      <c r="V267" s="320">
        <f>ROUNDUP(1.3/(2.2*1.1),4)</f>
        <v>0.53720000000000001</v>
      </c>
      <c r="W267" s="236">
        <f>IFERROR(IF(B267="INSUMO",_xlfn.XLOOKUP(S267,Insumos!A:A,Insumos!C:C),""),"Inserir Preço")</f>
        <v>132</v>
      </c>
      <c r="X267" s="235">
        <f t="shared" ca="1" si="201"/>
        <v>22.432934799999998</v>
      </c>
      <c r="Y267" s="236">
        <f t="shared" si="192"/>
        <v>70.910399999999996</v>
      </c>
      <c r="Z267" s="237">
        <f t="shared" ca="1" si="165"/>
        <v>2961.1473935999998</v>
      </c>
      <c r="AA267" s="238"/>
      <c r="AB267" s="233" t="str">
        <f>IF(B267="insumo",_xlfn.XLOOKUP(S267,Insumos!A:A,Insumos!D:D),"")</f>
        <v xml:space="preserve"> </v>
      </c>
      <c r="AC267" s="239">
        <f t="shared" ca="1" si="166"/>
        <v>4.2480359099832782E-4</v>
      </c>
      <c r="AE267" s="240">
        <f ca="1">IFERROR(IF(OR(Z267="",Z267=0),"",IF(AF267="","",IF(AF267="R$/mês",Z267/OBRA!$D$12,IF(AF267="R$/m²",Z267/OBRA!$D$10,IF(AF267="R$/apto",Orçamento!Z267/OBRA!$D$11,""))))),"")</f>
        <v>1.5238275415673903</v>
      </c>
      <c r="AF267" s="241" t="s">
        <v>154</v>
      </c>
    </row>
    <row r="268" spans="1:32" s="10" customFormat="1" ht="13.15" hidden="1" customHeight="1" outlineLevel="4" x14ac:dyDescent="0.2">
      <c r="A268" s="227"/>
      <c r="B268" s="228" t="s">
        <v>19</v>
      </c>
      <c r="C268" s="229">
        <f t="shared" ref="C268:C331" si="222">IF(B268="INSUMO",COUNTIFS(B:B,"INSUMO",S:S,S268),IF(B268="SERVIÇO",COUNTIFS(B:B,"SERVIÇO",S:S,S268),""))</f>
        <v>26</v>
      </c>
      <c r="D268" s="227" t="str">
        <f t="shared" si="193"/>
        <v/>
      </c>
      <c r="E268" s="228" t="str">
        <f t="shared" ca="1" si="217"/>
        <v>04.001.002.001</v>
      </c>
      <c r="F268" s="230">
        <f ca="1">IF($B268="UNIDADE CONSTRUTIVA",OFFSET(F268,-1,0)+1,LARGE(F$10:F267,1))</f>
        <v>2</v>
      </c>
      <c r="G268" s="228" t="str">
        <f t="shared" ca="1" si="203"/>
        <v xml:space="preserve">   GERENCIAMENTO EXECUTIVO</v>
      </c>
      <c r="H268" s="230">
        <f t="shared" ca="1" si="218"/>
        <v>4</v>
      </c>
      <c r="I268" s="228" t="str">
        <f t="shared" ca="1" si="205"/>
        <v xml:space="preserve">   SUPRAESTRUTURA</v>
      </c>
      <c r="J268" s="230">
        <f t="shared" ca="1" si="219"/>
        <v>1</v>
      </c>
      <c r="K268" s="228" t="str">
        <f t="shared" ca="1" si="207"/>
        <v xml:space="preserve">   SUPRAESTRUTURA - 1º PAVIMENTO - SUBSOLO</v>
      </c>
      <c r="L268" s="231">
        <f t="shared" ca="1" si="220"/>
        <v>2</v>
      </c>
      <c r="M268" s="228" t="str">
        <f t="shared" ca="1" si="209"/>
        <v xml:space="preserve">   Forma</v>
      </c>
      <c r="N268" s="231">
        <f t="shared" ca="1" si="221"/>
        <v>1</v>
      </c>
      <c r="O268" s="228" t="str">
        <f t="shared" ca="1" si="211"/>
        <v>Fabricação de fôrma para Pilares em chapa de madeira compensada plastificada e=14 mm - 2 jogos</v>
      </c>
      <c r="P268" s="232" t="str">
        <f>IF(S268="","",IF(Orçamento!$B268="INSUMO",S268,""))</f>
        <v>MADEIRA PINUS/SIMILAR - PONTALETE 75X75MM NBR 11700/15696</v>
      </c>
      <c r="Q268" s="244" t="str">
        <f t="shared" si="199"/>
        <v/>
      </c>
      <c r="R268" s="234">
        <f t="shared" ca="1" si="200"/>
        <v>41.758999999999993</v>
      </c>
      <c r="S268" s="233" t="s">
        <v>807</v>
      </c>
      <c r="T268" s="242" t="str">
        <f>_xlfn.XLOOKUP(S268,Insumos!$A$3:$A$371,Insumos!$B$3:$B$371)</f>
        <v>M</v>
      </c>
      <c r="U268" s="235">
        <f ca="1">IF($B268="insumo",R268,"")</f>
        <v>41.758999999999993</v>
      </c>
      <c r="V268" s="320">
        <v>2.3079999999999998</v>
      </c>
      <c r="W268" s="236">
        <f>IFERROR(IF(B268="INSUMO",_xlfn.XLOOKUP(S268,Insumos!A:A,Insumos!C:C),""),"Inserir Preço")</f>
        <v>7</v>
      </c>
      <c r="X268" s="235">
        <f t="shared" ca="1" si="201"/>
        <v>96.379771999999974</v>
      </c>
      <c r="Y268" s="236">
        <f t="shared" si="192"/>
        <v>16.155999999999999</v>
      </c>
      <c r="Z268" s="237">
        <f t="shared" ref="Z268:Z331" ca="1" si="223">IFERROR(IF(B268="Unidade Construtiva",SUMIFS(Z:Z,B:B,"Célula Construtiva",G:G,G268),IF(B268="célula construtiva",SUMIFS(Z:Z,B:B,"Insumo",I:I,I268,G:G,G268),IF(B268="ETAPA",SUMIFS(Z:Z,B:B,"Insumo",K:K,K268,I:I,I268,G:G,G268),IF(B268="subetapa",SUMIFS(Z:Z,M:M,M268,B:B,"insumo",K:K,K268,I:I,I268,G:G,G268),IF(B268="complemento do insumo",V268*W268,IF(B268="INSUMO",R268*V268*W268,X268*Y268)))))),"")</f>
        <v>674.65840399999979</v>
      </c>
      <c r="AA268" s="238"/>
      <c r="AB268" s="233" t="str">
        <f>IF(B268="insumo",_xlfn.XLOOKUP(S268,Insumos!A:A,Insumos!D:D),"")</f>
        <v xml:space="preserve"> </v>
      </c>
      <c r="AC268" s="239">
        <f t="shared" ref="AC268:AC331" ca="1" si="224">IFERROR(IF(B268="","",Z268/SUMIF(B:B,"INSUMO",Z:Z)),0)</f>
        <v>9.678589905245186E-5</v>
      </c>
      <c r="AE268" s="240">
        <f ca="1">IFERROR(IF(OR(Z268="",Z268=0),"",IF(AF268="","",IF(AF268="R$/mês",Z268/OBRA!$D$12,IF(AF268="R$/m²",Z268/OBRA!$D$10,IF(AF268="R$/apto",Orçamento!Z268/OBRA!$D$11,""))))),"")</f>
        <v>0.34718402041961055</v>
      </c>
      <c r="AF268" s="241" t="s">
        <v>154</v>
      </c>
    </row>
    <row r="269" spans="1:32" s="10" customFormat="1" ht="13.15" hidden="1" customHeight="1" outlineLevel="4" x14ac:dyDescent="0.2">
      <c r="A269" s="227"/>
      <c r="B269" s="228" t="s">
        <v>19</v>
      </c>
      <c r="C269" s="229">
        <f t="shared" si="222"/>
        <v>10</v>
      </c>
      <c r="D269" s="227" t="str">
        <f t="shared" ref="D269:D280" si="225">IF(B269="Unidade Construtiva",TEXT(F269,"00"),IF(B269="Célula Construtiva",TEXT(H269,"00"),IF(B269="Etapa",CONCATENATE(TEXT(H269,"00"),".",TEXT(J269,"000")),IF(B269="Subetapa",CONCATENATE(TEXT(H269,"00"),".",TEXT(J269,"000"),".",TEXT(L269,"000")),IF(B269="Serviço",CONCATENATE(TEXT(H269,"00"),".",TEXT(J269,"000"),".",TEXT(L269,"000"),".",TEXT(N269,"000")),"")))))</f>
        <v/>
      </c>
      <c r="E269" s="228" t="str">
        <f t="shared" ref="E269:E280" ca="1" si="226">IF(B269="*","",IFERROR(IF(B269="SERVIÇO",D269,OFFSET(E269,-1,0)),""))</f>
        <v>04.001.002.001</v>
      </c>
      <c r="F269" s="230">
        <f ca="1">IF($B269="UNIDADE CONSTRUTIVA",OFFSET(F269,-1,0)+1,LARGE(F$10:F268,1))</f>
        <v>2</v>
      </c>
      <c r="G269" s="228" t="str">
        <f t="shared" ref="G269:G280" ca="1" si="227">IF(B269="*","",IF(B269="UNIDADE CONSTRUTIVA",S269,OFFSET(G269,-1,0)))</f>
        <v xml:space="preserve">   GERENCIAMENTO EXECUTIVO</v>
      </c>
      <c r="H269" s="230">
        <f t="shared" ref="H269:H280" ca="1" si="228">IF(B269="UNIDADE CONSTRUTIVA",0,IF(B269="CÉLULA CONSTRUTIVA",OFFSET(H269,-1,0)+1,OFFSET(H269,-1,0)))</f>
        <v>4</v>
      </c>
      <c r="I269" s="228" t="str">
        <f t="shared" ref="I269:I280" ca="1" si="229">IF(B269="*","",IF(B269="CÉLULA CONSTRUTIVA",S269,OFFSET(I269,-1,0)))</f>
        <v xml:space="preserve">   SUPRAESTRUTURA</v>
      </c>
      <c r="J269" s="230">
        <f t="shared" ref="J269:J280" ca="1" si="230">IF(B269="CÉLULA CONSTRUTIVA",0,IF(B269="ETAPA",OFFSET(J269,-1,0)+1,OFFSET(J269,-1,0)))</f>
        <v>1</v>
      </c>
      <c r="K269" s="228" t="str">
        <f t="shared" ref="K269:K280" ca="1" si="231">IF(B269="*","",IF(B269="ETAPA",S269,OFFSET(K269,-1,0)))</f>
        <v xml:space="preserve">   SUPRAESTRUTURA - 1º PAVIMENTO - SUBSOLO</v>
      </c>
      <c r="L269" s="231">
        <f t="shared" ref="L269:L280" ca="1" si="232">IF(B269="ETAPA",0,IF(B269="SUBETAPA",OFFSET(L269,-1,0)+1,OFFSET(L269,-1,0)))</f>
        <v>2</v>
      </c>
      <c r="M269" s="228" t="str">
        <f t="shared" ref="M269:M280" ca="1" si="233">IF(B269="*","",IF(B269="SUBETAPA",S269,OFFSET(M269,-1,0)))</f>
        <v xml:space="preserve">   Forma</v>
      </c>
      <c r="N269" s="231">
        <f t="shared" ref="N269:N280" ca="1" si="234">IF(B269="Subetapa",0,IF(B269="serviço",OFFSET(N269,-1,0)+1,OFFSET(N269,-1,0)))</f>
        <v>1</v>
      </c>
      <c r="O269" s="228" t="str">
        <f t="shared" ref="O269:O280" ca="1" si="235">IF(B269="*","",IF(B269="SERVIÇO",S269,OFFSET(O269,-1,0)))</f>
        <v>Fabricação de fôrma para Pilares em chapa de madeira compensada plastificada e=14 mm - 2 jogos</v>
      </c>
      <c r="P269" s="232" t="str">
        <f>IF(S269="","",IF(Orçamento!$B269="INSUMO",S269,""))</f>
        <v>MADEIRA PINUS/SIMILAR - SARRAFO PINUS 50X10MM NBR 11700</v>
      </c>
      <c r="Q269" s="244" t="str">
        <f t="shared" ref="Q269:Q280" si="236">IF(B269="","",IF(B269="Serviço",S269,""))</f>
        <v/>
      </c>
      <c r="R269" s="234">
        <f t="shared" ref="R269:R280" ca="1" si="237">IF(B269="serviço",U269,OFFSET(R269,-1,0))</f>
        <v>41.758999999999993</v>
      </c>
      <c r="S269" s="233" t="s">
        <v>806</v>
      </c>
      <c r="T269" s="242" t="str">
        <f>_xlfn.XLOOKUP(S269,Insumos!$A$3:$A$371,Insumos!$B$3:$B$371)</f>
        <v>M</v>
      </c>
      <c r="U269" s="235">
        <f ca="1">IF($B269="insumo",R269,"")</f>
        <v>41.758999999999993</v>
      </c>
      <c r="V269" s="320">
        <v>9.2370000000000001</v>
      </c>
      <c r="W269" s="236">
        <f>IFERROR(IF(B269="INSUMO",_xlfn.XLOOKUP(S269,Insumos!A:A,Insumos!C:C),""),"Inserir Preço")</f>
        <v>2</v>
      </c>
      <c r="X269" s="235">
        <f t="shared" ca="1" si="201"/>
        <v>385.72788299999996</v>
      </c>
      <c r="Y269" s="236">
        <f t="shared" si="192"/>
        <v>18.474</v>
      </c>
      <c r="Z269" s="237">
        <f t="shared" ca="1" si="223"/>
        <v>771.45576599999993</v>
      </c>
      <c r="AA269" s="238"/>
      <c r="AB269" s="233" t="str">
        <f>IF(B269="insumo",_xlfn.XLOOKUP(S269,Insumos!A:A,Insumos!D:D),"")</f>
        <v>Base de Dados</v>
      </c>
      <c r="AC269" s="239">
        <f t="shared" ca="1" si="224"/>
        <v>1.1067236315269845E-4</v>
      </c>
      <c r="AE269" s="240">
        <f ca="1">IFERROR(IF(OR(Z269="",Z269=0),"",IF(AF269="","",IF(AF269="R$/mês",Z269/OBRA!$D$12,IF(AF269="R$/m²",Z269/OBRA!$D$10,IF(AF269="R$/apto",Orçamento!Z269/OBRA!$D$11,""))))),"")</f>
        <v>0.39699663241098582</v>
      </c>
      <c r="AF269" s="241" t="s">
        <v>154</v>
      </c>
    </row>
    <row r="270" spans="1:32" s="10" customFormat="1" ht="13.15" hidden="1" customHeight="1" outlineLevel="4" x14ac:dyDescent="0.2">
      <c r="A270" s="227"/>
      <c r="B270" s="228" t="s">
        <v>19</v>
      </c>
      <c r="C270" s="229">
        <f t="shared" si="222"/>
        <v>44</v>
      </c>
      <c r="D270" s="227" t="str">
        <f t="shared" si="225"/>
        <v/>
      </c>
      <c r="E270" s="228" t="str">
        <f t="shared" ca="1" si="226"/>
        <v>04.001.002.001</v>
      </c>
      <c r="F270" s="230">
        <f ca="1">IF($B270="UNIDADE CONSTRUTIVA",OFFSET(F270,-1,0)+1,LARGE(F$10:F269,1))</f>
        <v>2</v>
      </c>
      <c r="G270" s="228" t="str">
        <f t="shared" ca="1" si="227"/>
        <v xml:space="preserve">   GERENCIAMENTO EXECUTIVO</v>
      </c>
      <c r="H270" s="230">
        <f t="shared" ca="1" si="228"/>
        <v>4</v>
      </c>
      <c r="I270" s="228" t="str">
        <f t="shared" ca="1" si="229"/>
        <v xml:space="preserve">   SUPRAESTRUTURA</v>
      </c>
      <c r="J270" s="230">
        <f t="shared" ca="1" si="230"/>
        <v>1</v>
      </c>
      <c r="K270" s="228" t="str">
        <f t="shared" ca="1" si="231"/>
        <v xml:space="preserve">   SUPRAESTRUTURA - 1º PAVIMENTO - SUBSOLO</v>
      </c>
      <c r="L270" s="231">
        <f t="shared" ca="1" si="232"/>
        <v>2</v>
      </c>
      <c r="M270" s="228" t="str">
        <f t="shared" ca="1" si="233"/>
        <v xml:space="preserve">   Forma</v>
      </c>
      <c r="N270" s="231">
        <f t="shared" ca="1" si="234"/>
        <v>1</v>
      </c>
      <c r="O270" s="228" t="str">
        <f t="shared" ca="1" si="235"/>
        <v>Fabricação de fôrma para Pilares em chapa de madeira compensada plastificada e=14 mm - 2 jogos</v>
      </c>
      <c r="P270" s="232" t="str">
        <f>IF(S270="","",IF(Orçamento!$B270="INSUMO",S270,""))</f>
        <v>PREGO 17 x 21 COM CABECA</v>
      </c>
      <c r="Q270" s="244" t="str">
        <f t="shared" si="236"/>
        <v/>
      </c>
      <c r="R270" s="234">
        <f t="shared" ca="1" si="237"/>
        <v>41.758999999999993</v>
      </c>
      <c r="S270" s="233" t="s">
        <v>173</v>
      </c>
      <c r="T270" s="242" t="str">
        <f>_xlfn.XLOOKUP(S270,Insumos!$A$3:$A$371,Insumos!$B$3:$B$371)</f>
        <v>KG</v>
      </c>
      <c r="U270" s="235">
        <f ca="1">IF($B270="insumo",R270,"")</f>
        <v>41.758999999999993</v>
      </c>
      <c r="V270" s="320">
        <v>0.20799999999999999</v>
      </c>
      <c r="W270" s="236">
        <f>IFERROR(IF(B270="INSUMO",_xlfn.XLOOKUP(S270,Insumos!A:A,Insumos!C:C),""),"Inserir Preço")</f>
        <v>13</v>
      </c>
      <c r="X270" s="235">
        <f t="shared" ca="1" si="201"/>
        <v>8.685871999999998</v>
      </c>
      <c r="Y270" s="236">
        <f t="shared" si="192"/>
        <v>2.7039999999999997</v>
      </c>
      <c r="Z270" s="237">
        <f t="shared" ca="1" si="223"/>
        <v>112.91633599999997</v>
      </c>
      <c r="AA270" s="238"/>
      <c r="AB270" s="233" t="str">
        <f>IF(B270="insumo",_xlfn.XLOOKUP(S270,Insumos!A:A,Insumos!D:D),"")</f>
        <v xml:space="preserve"> </v>
      </c>
      <c r="AC270" s="239">
        <f t="shared" ca="1" si="224"/>
        <v>1.6198877880529206E-5</v>
      </c>
      <c r="AE270" s="240">
        <f ca="1">IFERROR(IF(OR(Z270="",Z270=0),"",IF(AF270="","",IF(AF270="R$/mês",Z270/OBRA!$D$12,IF(AF270="R$/m²",Z270/OBRA!$D$10,IF(AF270="R$/apto",Orçamento!Z270/OBRA!$D$11,""))))),"")</f>
        <v>5.8107550830318579E-2</v>
      </c>
      <c r="AF270" s="241" t="s">
        <v>154</v>
      </c>
    </row>
    <row r="271" spans="1:32" s="10" customFormat="1" ht="13.15" hidden="1" customHeight="1" outlineLevel="4" x14ac:dyDescent="0.2">
      <c r="A271" s="227"/>
      <c r="B271" s="228" t="s">
        <v>4</v>
      </c>
      <c r="C271" s="229">
        <f t="shared" si="222"/>
        <v>5</v>
      </c>
      <c r="D271" s="227" t="str">
        <f t="shared" ca="1" si="225"/>
        <v>04.001.002.002</v>
      </c>
      <c r="E271" s="228" t="str">
        <f t="shared" ca="1" si="226"/>
        <v>04.001.002.002</v>
      </c>
      <c r="F271" s="230">
        <f ca="1">IF($B271="UNIDADE CONSTRUTIVA",OFFSET(F271,-1,0)+1,LARGE(F$10:F270,1))</f>
        <v>2</v>
      </c>
      <c r="G271" s="228" t="str">
        <f t="shared" ca="1" si="227"/>
        <v xml:space="preserve">   GERENCIAMENTO EXECUTIVO</v>
      </c>
      <c r="H271" s="230">
        <f t="shared" ca="1" si="228"/>
        <v>4</v>
      </c>
      <c r="I271" s="228" t="str">
        <f t="shared" ca="1" si="229"/>
        <v xml:space="preserve">   SUPRAESTRUTURA</v>
      </c>
      <c r="J271" s="230">
        <f t="shared" ca="1" si="230"/>
        <v>1</v>
      </c>
      <c r="K271" s="228" t="str">
        <f t="shared" ca="1" si="231"/>
        <v xml:space="preserve">   SUPRAESTRUTURA - 1º PAVIMENTO - SUBSOLO</v>
      </c>
      <c r="L271" s="231">
        <f t="shared" ca="1" si="232"/>
        <v>2</v>
      </c>
      <c r="M271" s="228" t="str">
        <f t="shared" ca="1" si="233"/>
        <v xml:space="preserve">   Forma</v>
      </c>
      <c r="N271" s="231">
        <f t="shared" ca="1" si="234"/>
        <v>2</v>
      </c>
      <c r="O271" s="228" t="str">
        <f t="shared" ca="1" si="235"/>
        <v>Fabricação de fôrma para vigas em chapa de madeira compensada plastificada e=14 mm - 2 jogos</v>
      </c>
      <c r="P271" s="232" t="str">
        <f>IF(S271="","",IF(Orçamento!$B271="INSUMO",S271,""))</f>
        <v/>
      </c>
      <c r="Q271" s="244" t="str">
        <f t="shared" si="236"/>
        <v>Fabricação de fôrma para vigas em chapa de madeira compensada plastificada e=14 mm - 2 jogos</v>
      </c>
      <c r="R271" s="234">
        <f t="shared" ca="1" si="237"/>
        <v>31.699965000000002</v>
      </c>
      <c r="S271" s="233" t="s">
        <v>952</v>
      </c>
      <c r="T271" s="242" t="s">
        <v>140</v>
      </c>
      <c r="U271" s="235">
        <f>U291</f>
        <v>31.699965000000002</v>
      </c>
      <c r="V271" s="320" t="s">
        <v>35</v>
      </c>
      <c r="W271" s="236" t="str">
        <f>IFERROR(IF(B271="INSUMO",_xlfn.XLOOKUP(S271,Insumos!A:A,Insumos!C:C),""),"Inserir Preço")</f>
        <v/>
      </c>
      <c r="X271" s="235">
        <f t="shared" ref="X271:X280" ca="1" si="238">IF(B271="Complemento do insumo",V271,IF(R271="","",IF(B271="serviço",R271,IF(OR(B271="insumo"),V271*R271,""))))</f>
        <v>31.699965000000002</v>
      </c>
      <c r="Y271" s="236">
        <f t="shared" ca="1" si="192"/>
        <v>88.057400000000001</v>
      </c>
      <c r="Z271" s="237">
        <f t="shared" ca="1" si="223"/>
        <v>2791.4164979910001</v>
      </c>
      <c r="AA271" s="238"/>
      <c r="AB271" s="233" t="str">
        <f>IF(B271="insumo",_xlfn.XLOOKUP(S271,Insumos!A:A,Insumos!D:D),"")</f>
        <v/>
      </c>
      <c r="AC271" s="239">
        <f t="shared" ca="1" si="224"/>
        <v>4.0045414655192783E-4</v>
      </c>
      <c r="AE271" s="240">
        <f ca="1">IFERROR(IF(OR(Z271="",Z271=0),"",IF(AF271="","",IF(AF271="R$/mês",Z271/OBRA!$D$12,IF(AF271="R$/m²",Z271/OBRA!$D$10,IF(AF271="R$/apto",Orçamento!Z271/OBRA!$D$11,""))))),"")</f>
        <v>1.4364828136612753</v>
      </c>
      <c r="AF271" s="241" t="s">
        <v>154</v>
      </c>
    </row>
    <row r="272" spans="1:32" s="10" customFormat="1" ht="13.15" hidden="1" customHeight="1" outlineLevel="4" x14ac:dyDescent="0.2">
      <c r="A272" s="227"/>
      <c r="B272" s="228" t="s">
        <v>19</v>
      </c>
      <c r="C272" s="229">
        <f t="shared" si="222"/>
        <v>21</v>
      </c>
      <c r="D272" s="227" t="str">
        <f t="shared" si="225"/>
        <v/>
      </c>
      <c r="E272" s="228" t="str">
        <f t="shared" ca="1" si="226"/>
        <v>04.001.002.002</v>
      </c>
      <c r="F272" s="230">
        <f ca="1">IF($B272="UNIDADE CONSTRUTIVA",OFFSET(F272,-1,0)+1,LARGE(F$10:F271,1))</f>
        <v>2</v>
      </c>
      <c r="G272" s="228" t="str">
        <f t="shared" ca="1" si="227"/>
        <v xml:space="preserve">   GERENCIAMENTO EXECUTIVO</v>
      </c>
      <c r="H272" s="230">
        <f t="shared" ca="1" si="228"/>
        <v>4</v>
      </c>
      <c r="I272" s="228" t="str">
        <f t="shared" ca="1" si="229"/>
        <v xml:space="preserve">   SUPRAESTRUTURA</v>
      </c>
      <c r="J272" s="230">
        <f t="shared" ca="1" si="230"/>
        <v>1</v>
      </c>
      <c r="K272" s="228" t="str">
        <f t="shared" ca="1" si="231"/>
        <v xml:space="preserve">   SUPRAESTRUTURA - 1º PAVIMENTO - SUBSOLO</v>
      </c>
      <c r="L272" s="231">
        <f t="shared" ca="1" si="232"/>
        <v>2</v>
      </c>
      <c r="M272" s="228" t="str">
        <f t="shared" ca="1" si="233"/>
        <v xml:space="preserve">   Forma</v>
      </c>
      <c r="N272" s="231">
        <f t="shared" ca="1" si="234"/>
        <v>2</v>
      </c>
      <c r="O272" s="228" t="str">
        <f t="shared" ca="1" si="235"/>
        <v>Fabricação de fôrma para vigas em chapa de madeira compensada plastificada e=14 mm - 2 jogos</v>
      </c>
      <c r="P272" s="232" t="str">
        <f>IF(S272="","",IF(Orçamento!$B272="INSUMO",S272,""))</f>
        <v>COMPENSADO MADEIRA TIPO PLASTIFICADO 2200X1100X14MM NBR 1096</v>
      </c>
      <c r="Q272" s="244" t="str">
        <f t="shared" si="236"/>
        <v/>
      </c>
      <c r="R272" s="234">
        <f t="shared" ca="1" si="237"/>
        <v>31.699965000000002</v>
      </c>
      <c r="S272" s="233" t="s">
        <v>804</v>
      </c>
      <c r="T272" s="242" t="str">
        <f>_xlfn.XLOOKUP(S272,Insumos!$A$3:$A$371,Insumos!$B$3:$B$371)</f>
        <v>CH</v>
      </c>
      <c r="U272" s="235">
        <f ca="1">IF($B272="insumo",R272,"")</f>
        <v>31.699965000000002</v>
      </c>
      <c r="V272" s="320">
        <f>ROUNDUP(1.3/(2.2*1.1),4)</f>
        <v>0.53720000000000001</v>
      </c>
      <c r="W272" s="236">
        <f>IFERROR(IF(B272="INSUMO",_xlfn.XLOOKUP(S272,Insumos!A:A,Insumos!C:C),""),"Inserir Preço")</f>
        <v>132</v>
      </c>
      <c r="X272" s="235">
        <f t="shared" ca="1" si="238"/>
        <v>17.029221198000002</v>
      </c>
      <c r="Y272" s="236">
        <f t="shared" si="192"/>
        <v>70.910399999999996</v>
      </c>
      <c r="Z272" s="237">
        <f t="shared" ca="1" si="223"/>
        <v>2247.8571981360001</v>
      </c>
      <c r="AA272" s="238"/>
      <c r="AB272" s="233" t="str">
        <f>IF(B272="insumo",_xlfn.XLOOKUP(S272,Insumos!A:A,Insumos!D:D),"")</f>
        <v xml:space="preserve"> </v>
      </c>
      <c r="AC272" s="239">
        <f t="shared" ca="1" si="224"/>
        <v>3.2247560924642134E-4</v>
      </c>
      <c r="AE272" s="240">
        <f ca="1">IFERROR(IF(OR(Z272="",Z272=0),"",IF(AF272="","",IF(AF272="R$/mês",Z272/OBRA!$D$12,IF(AF272="R$/m²",Z272/OBRA!$D$10,IF(AF272="R$/apto",Orçamento!Z272/OBRA!$D$11,""))))),"")</f>
        <v>1.1567633260787451</v>
      </c>
      <c r="AF272" s="241" t="s">
        <v>154</v>
      </c>
    </row>
    <row r="273" spans="1:32" s="10" customFormat="1" ht="13.15" hidden="1" customHeight="1" outlineLevel="4" x14ac:dyDescent="0.2">
      <c r="A273" s="227"/>
      <c r="B273" s="228" t="s">
        <v>19</v>
      </c>
      <c r="C273" s="229">
        <f t="shared" si="222"/>
        <v>26</v>
      </c>
      <c r="D273" s="227" t="str">
        <f t="shared" si="225"/>
        <v/>
      </c>
      <c r="E273" s="228" t="str">
        <f t="shared" ca="1" si="226"/>
        <v>04.001.002.002</v>
      </c>
      <c r="F273" s="230">
        <f ca="1">IF($B273="UNIDADE CONSTRUTIVA",OFFSET(F273,-1,0)+1,LARGE(F$10:F272,1))</f>
        <v>2</v>
      </c>
      <c r="G273" s="228" t="str">
        <f t="shared" ca="1" si="227"/>
        <v xml:space="preserve">   GERENCIAMENTO EXECUTIVO</v>
      </c>
      <c r="H273" s="230">
        <f t="shared" ca="1" si="228"/>
        <v>4</v>
      </c>
      <c r="I273" s="228" t="str">
        <f t="shared" ca="1" si="229"/>
        <v xml:space="preserve">   SUPRAESTRUTURA</v>
      </c>
      <c r="J273" s="230">
        <f t="shared" ca="1" si="230"/>
        <v>1</v>
      </c>
      <c r="K273" s="228" t="str">
        <f t="shared" ca="1" si="231"/>
        <v xml:space="preserve">   SUPRAESTRUTURA - 1º PAVIMENTO - SUBSOLO</v>
      </c>
      <c r="L273" s="231">
        <f t="shared" ca="1" si="232"/>
        <v>2</v>
      </c>
      <c r="M273" s="228" t="str">
        <f t="shared" ca="1" si="233"/>
        <v xml:space="preserve">   Forma</v>
      </c>
      <c r="N273" s="231">
        <f t="shared" ca="1" si="234"/>
        <v>2</v>
      </c>
      <c r="O273" s="228" t="str">
        <f t="shared" ca="1" si="235"/>
        <v>Fabricação de fôrma para vigas em chapa de madeira compensada plastificada e=14 mm - 2 jogos</v>
      </c>
      <c r="P273" s="232" t="str">
        <f>IF(S273="","",IF(Orçamento!$B273="INSUMO",S273,""))</f>
        <v>MADEIRA PINUS/SIMILAR - PONTALETE 75X75MM NBR 11700/15696</v>
      </c>
      <c r="Q273" s="244" t="str">
        <f t="shared" si="236"/>
        <v/>
      </c>
      <c r="R273" s="234">
        <f t="shared" ca="1" si="237"/>
        <v>31.699965000000002</v>
      </c>
      <c r="S273" s="233" t="s">
        <v>807</v>
      </c>
      <c r="T273" s="242" t="str">
        <f>_xlfn.XLOOKUP(S273,Insumos!$A$3:$A$371,Insumos!$B$3:$B$371)</f>
        <v>M</v>
      </c>
      <c r="U273" s="235">
        <f ca="1">IF($B273="insumo",R273,"")</f>
        <v>31.699965000000002</v>
      </c>
      <c r="V273" s="320">
        <v>0.16800000000000001</v>
      </c>
      <c r="W273" s="236">
        <f>IFERROR(IF(B273="INSUMO",_xlfn.XLOOKUP(S273,Insumos!A:A,Insumos!C:C),""),"Inserir Preço")</f>
        <v>7</v>
      </c>
      <c r="X273" s="235">
        <f t="shared" ca="1" si="238"/>
        <v>5.3255941200000008</v>
      </c>
      <c r="Y273" s="236">
        <f t="shared" si="192"/>
        <v>1.1760000000000002</v>
      </c>
      <c r="Z273" s="237">
        <f t="shared" ca="1" si="223"/>
        <v>37.279158840000008</v>
      </c>
      <c r="AA273" s="238"/>
      <c r="AB273" s="233" t="str">
        <f>IF(B273="insumo",_xlfn.XLOOKUP(S273,Insumos!A:A,Insumos!D:D),"")</f>
        <v xml:space="preserve"> </v>
      </c>
      <c r="AC273" s="239">
        <f t="shared" ca="1" si="224"/>
        <v>5.348035217313561E-6</v>
      </c>
      <c r="AE273" s="240">
        <f ca="1">IFERROR(IF(OR(Z273="",Z273=0),"",IF(AF273="","",IF(AF273="R$/mês",Z273/OBRA!$D$12,IF(AF273="R$/m²",Z273/OBRA!$D$10,IF(AF273="R$/apto",Orçamento!Z273/OBRA!$D$11,""))))),"")</f>
        <v>1.9184120685662536E-2</v>
      </c>
      <c r="AF273" s="241" t="s">
        <v>154</v>
      </c>
    </row>
    <row r="274" spans="1:32" s="10" customFormat="1" ht="13.15" hidden="1" customHeight="1" outlineLevel="4" x14ac:dyDescent="0.2">
      <c r="A274" s="227"/>
      <c r="B274" s="228" t="s">
        <v>19</v>
      </c>
      <c r="C274" s="229">
        <f t="shared" si="222"/>
        <v>10</v>
      </c>
      <c r="D274" s="227" t="str">
        <f t="shared" si="225"/>
        <v/>
      </c>
      <c r="E274" s="228" t="str">
        <f t="shared" ca="1" si="226"/>
        <v>04.001.002.002</v>
      </c>
      <c r="F274" s="230">
        <f ca="1">IF($B274="UNIDADE CONSTRUTIVA",OFFSET(F274,-1,0)+1,LARGE(F$10:F273,1))</f>
        <v>2</v>
      </c>
      <c r="G274" s="228" t="str">
        <f t="shared" ca="1" si="227"/>
        <v xml:space="preserve">   GERENCIAMENTO EXECUTIVO</v>
      </c>
      <c r="H274" s="230">
        <f t="shared" ca="1" si="228"/>
        <v>4</v>
      </c>
      <c r="I274" s="228" t="str">
        <f t="shared" ca="1" si="229"/>
        <v xml:space="preserve">   SUPRAESTRUTURA</v>
      </c>
      <c r="J274" s="230">
        <f t="shared" ca="1" si="230"/>
        <v>1</v>
      </c>
      <c r="K274" s="228" t="str">
        <f t="shared" ca="1" si="231"/>
        <v xml:space="preserve">   SUPRAESTRUTURA - 1º PAVIMENTO - SUBSOLO</v>
      </c>
      <c r="L274" s="231">
        <f t="shared" ca="1" si="232"/>
        <v>2</v>
      </c>
      <c r="M274" s="228" t="str">
        <f t="shared" ca="1" si="233"/>
        <v xml:space="preserve">   Forma</v>
      </c>
      <c r="N274" s="231">
        <f t="shared" ca="1" si="234"/>
        <v>2</v>
      </c>
      <c r="O274" s="228" t="str">
        <f t="shared" ca="1" si="235"/>
        <v>Fabricação de fôrma para vigas em chapa de madeira compensada plastificada e=14 mm - 2 jogos</v>
      </c>
      <c r="P274" s="232" t="str">
        <f>IF(S274="","",IF(Orçamento!$B274="INSUMO",S274,""))</f>
        <v>MADEIRA PINUS/SIMILAR - SARRAFO PINUS 50X10MM NBR 11700</v>
      </c>
      <c r="Q274" s="244" t="str">
        <f t="shared" si="236"/>
        <v/>
      </c>
      <c r="R274" s="234">
        <f t="shared" ca="1" si="237"/>
        <v>31.699965000000002</v>
      </c>
      <c r="S274" s="233" t="s">
        <v>806</v>
      </c>
      <c r="T274" s="242" t="str">
        <f>_xlfn.XLOOKUP(S274,Insumos!$A$3:$A$371,Insumos!$B$3:$B$371)</f>
        <v>M</v>
      </c>
      <c r="U274" s="235">
        <f ca="1">IF($B274="insumo",R274,"")</f>
        <v>31.699965000000002</v>
      </c>
      <c r="V274" s="320">
        <v>6.952</v>
      </c>
      <c r="W274" s="236">
        <f>IFERROR(IF(B274="INSUMO",_xlfn.XLOOKUP(S274,Insumos!A:A,Insumos!C:C),""),"Inserir Preço")</f>
        <v>2</v>
      </c>
      <c r="X274" s="235">
        <f t="shared" ca="1" si="238"/>
        <v>220.37815668000002</v>
      </c>
      <c r="Y274" s="236">
        <f t="shared" si="192"/>
        <v>13.904</v>
      </c>
      <c r="Z274" s="237">
        <f t="shared" ca="1" si="223"/>
        <v>440.75631336000004</v>
      </c>
      <c r="AA274" s="238"/>
      <c r="AB274" s="233" t="str">
        <f>IF(B274="insumo",_xlfn.XLOOKUP(S274,Insumos!A:A,Insumos!D:D),"")</f>
        <v>Base de Dados</v>
      </c>
      <c r="AC274" s="239">
        <f t="shared" ca="1" si="224"/>
        <v>6.3230511616945359E-5</v>
      </c>
      <c r="AE274" s="240">
        <f ca="1">IFERROR(IF(OR(Z274="",Z274=0),"",IF(AF274="","",IF(AF274="R$/mês",Z274/OBRA!$D$12,IF(AF274="R$/m²",Z274/OBRA!$D$10,IF(AF274="R$/apto",Orçamento!Z274/OBRA!$D$11,""))))),"")</f>
        <v>0.22681633844681279</v>
      </c>
      <c r="AF274" s="241" t="s">
        <v>154</v>
      </c>
    </row>
    <row r="275" spans="1:32" s="10" customFormat="1" ht="13.15" hidden="1" customHeight="1" outlineLevel="4" x14ac:dyDescent="0.2">
      <c r="A275" s="227"/>
      <c r="B275" s="228" t="s">
        <v>19</v>
      </c>
      <c r="C275" s="229">
        <f t="shared" si="222"/>
        <v>44</v>
      </c>
      <c r="D275" s="227" t="str">
        <f t="shared" si="225"/>
        <v/>
      </c>
      <c r="E275" s="228" t="str">
        <f t="shared" ca="1" si="226"/>
        <v>04.001.002.002</v>
      </c>
      <c r="F275" s="230">
        <f ca="1">IF($B275="UNIDADE CONSTRUTIVA",OFFSET(F275,-1,0)+1,LARGE(F$10:F274,1))</f>
        <v>2</v>
      </c>
      <c r="G275" s="228" t="str">
        <f t="shared" ca="1" si="227"/>
        <v xml:space="preserve">   GERENCIAMENTO EXECUTIVO</v>
      </c>
      <c r="H275" s="230">
        <f t="shared" ca="1" si="228"/>
        <v>4</v>
      </c>
      <c r="I275" s="228" t="str">
        <f t="shared" ca="1" si="229"/>
        <v xml:space="preserve">   SUPRAESTRUTURA</v>
      </c>
      <c r="J275" s="230">
        <f t="shared" ca="1" si="230"/>
        <v>1</v>
      </c>
      <c r="K275" s="228" t="str">
        <f t="shared" ca="1" si="231"/>
        <v xml:space="preserve">   SUPRAESTRUTURA - 1º PAVIMENTO - SUBSOLO</v>
      </c>
      <c r="L275" s="231">
        <f t="shared" ca="1" si="232"/>
        <v>2</v>
      </c>
      <c r="M275" s="228" t="str">
        <f t="shared" ca="1" si="233"/>
        <v xml:space="preserve">   Forma</v>
      </c>
      <c r="N275" s="231">
        <f t="shared" ca="1" si="234"/>
        <v>2</v>
      </c>
      <c r="O275" s="228" t="str">
        <f t="shared" ca="1" si="235"/>
        <v>Fabricação de fôrma para vigas em chapa de madeira compensada plastificada e=14 mm - 2 jogos</v>
      </c>
      <c r="P275" s="232" t="str">
        <f>IF(S275="","",IF(Orçamento!$B275="INSUMO",S275,""))</f>
        <v>PREGO 17 x 21 COM CABECA</v>
      </c>
      <c r="Q275" s="244" t="str">
        <f t="shared" si="236"/>
        <v/>
      </c>
      <c r="R275" s="234">
        <f t="shared" ca="1" si="237"/>
        <v>31.699965000000002</v>
      </c>
      <c r="S275" s="233" t="s">
        <v>173</v>
      </c>
      <c r="T275" s="242" t="str">
        <f>_xlfn.XLOOKUP(S275,Insumos!$A$3:$A$371,Insumos!$B$3:$B$371)</f>
        <v>KG</v>
      </c>
      <c r="U275" s="235">
        <f ca="1">IF($B275="insumo",R275,"")</f>
        <v>31.699965000000002</v>
      </c>
      <c r="V275" s="320">
        <v>0.159</v>
      </c>
      <c r="W275" s="236">
        <f>IFERROR(IF(B275="INSUMO",_xlfn.XLOOKUP(S275,Insumos!A:A,Insumos!C:C),""),"Inserir Preço")</f>
        <v>13</v>
      </c>
      <c r="X275" s="235">
        <f t="shared" ca="1" si="238"/>
        <v>5.0402944350000007</v>
      </c>
      <c r="Y275" s="236">
        <f t="shared" si="192"/>
        <v>2.0670000000000002</v>
      </c>
      <c r="Z275" s="237">
        <f t="shared" ca="1" si="223"/>
        <v>65.523827655000005</v>
      </c>
      <c r="AA275" s="238"/>
      <c r="AB275" s="233" t="str">
        <f>IF(B275="insumo",_xlfn.XLOOKUP(S275,Insumos!A:A,Insumos!D:D),"")</f>
        <v xml:space="preserve"> </v>
      </c>
      <c r="AC275" s="239">
        <f t="shared" ca="1" si="224"/>
        <v>9.3999904712475586E-6</v>
      </c>
      <c r="AE275" s="240">
        <f ca="1">IFERROR(IF(OR(Z275="",Z275=0),"",IF(AF275="","",IF(AF275="R$/mês",Z275/OBRA!$D$12,IF(AF275="R$/m²",Z275/OBRA!$D$10,IF(AF275="R$/apto",Orçamento!Z275/OBRA!$D$11,""))))),"")</f>
        <v>3.3719028450054811E-2</v>
      </c>
      <c r="AF275" s="241" t="s">
        <v>154</v>
      </c>
    </row>
    <row r="276" spans="1:32" s="10" customFormat="1" ht="13.15" hidden="1" customHeight="1" outlineLevel="4" x14ac:dyDescent="0.2">
      <c r="A276" s="227"/>
      <c r="B276" s="228" t="s">
        <v>4</v>
      </c>
      <c r="C276" s="229">
        <f t="shared" si="222"/>
        <v>5</v>
      </c>
      <c r="D276" s="227" t="str">
        <f t="shared" ca="1" si="225"/>
        <v>04.001.002.003</v>
      </c>
      <c r="E276" s="228" t="str">
        <f t="shared" ca="1" si="226"/>
        <v>04.001.002.003</v>
      </c>
      <c r="F276" s="230">
        <f ca="1">IF($B276="UNIDADE CONSTRUTIVA",OFFSET(F276,-1,0)+1,LARGE(F$10:F275,1))</f>
        <v>2</v>
      </c>
      <c r="G276" s="228" t="str">
        <f t="shared" ca="1" si="227"/>
        <v xml:space="preserve">   GERENCIAMENTO EXECUTIVO</v>
      </c>
      <c r="H276" s="230">
        <f t="shared" ca="1" si="228"/>
        <v>4</v>
      </c>
      <c r="I276" s="228" t="str">
        <f t="shared" ca="1" si="229"/>
        <v xml:space="preserve">   SUPRAESTRUTURA</v>
      </c>
      <c r="J276" s="230">
        <f t="shared" ca="1" si="230"/>
        <v>1</v>
      </c>
      <c r="K276" s="228" t="str">
        <f t="shared" ca="1" si="231"/>
        <v xml:space="preserve">   SUPRAESTRUTURA - 1º PAVIMENTO - SUBSOLO</v>
      </c>
      <c r="L276" s="231">
        <f t="shared" ca="1" si="232"/>
        <v>2</v>
      </c>
      <c r="M276" s="228" t="str">
        <f t="shared" ca="1" si="233"/>
        <v xml:space="preserve">   Forma</v>
      </c>
      <c r="N276" s="231">
        <f t="shared" ca="1" si="234"/>
        <v>3</v>
      </c>
      <c r="O276" s="228" t="str">
        <f t="shared" ca="1" si="235"/>
        <v>Fabricação de fôrma para Escadas em chapa de madeira compensada plastificada e=14 mm - 2 jogos</v>
      </c>
      <c r="P276" s="232" t="str">
        <f>IF(S276="","",IF(Orçamento!$B276="INSUMO",S276,""))</f>
        <v/>
      </c>
      <c r="Q276" s="244" t="str">
        <f t="shared" si="236"/>
        <v>Fabricação de fôrma para Escadas em chapa de madeira compensada plastificada e=14 mm - 2 jogos</v>
      </c>
      <c r="R276" s="234">
        <f t="shared" ca="1" si="237"/>
        <v>29.843699999999998</v>
      </c>
      <c r="S276" s="233" t="s">
        <v>951</v>
      </c>
      <c r="T276" s="242" t="s">
        <v>140</v>
      </c>
      <c r="U276" s="235">
        <f>U296</f>
        <v>29.843699999999998</v>
      </c>
      <c r="V276" s="320" t="s">
        <v>35</v>
      </c>
      <c r="W276" s="236" t="str">
        <f>IFERROR(IF(B276="INSUMO",_xlfn.XLOOKUP(S276,Insumos!A:A,Insumos!C:C),""),"Inserir Preço")</f>
        <v/>
      </c>
      <c r="X276" s="235">
        <f t="shared" ca="1" si="238"/>
        <v>29.843699999999998</v>
      </c>
      <c r="Y276" s="236">
        <f t="shared" ca="1" si="192"/>
        <v>186.96039999999999</v>
      </c>
      <c r="Z276" s="237">
        <f t="shared" ca="1" si="223"/>
        <v>5579.5900894799997</v>
      </c>
      <c r="AA276" s="238"/>
      <c r="AB276" s="233" t="str">
        <f>IF(B276="insumo",_xlfn.XLOOKUP(S276,Insumos!A:A,Insumos!D:D),"")</f>
        <v/>
      </c>
      <c r="AC276" s="239">
        <f t="shared" ca="1" si="224"/>
        <v>8.0044306859990188E-4</v>
      </c>
      <c r="AE276" s="240">
        <f ca="1">IFERROR(IF(OR(Z276="",Z276=0),"",IF(AF276="","",IF(AF276="R$/mês",Z276/OBRA!$D$12,IF(AF276="R$/m²",Z276/OBRA!$D$10,IF(AF276="R$/apto",Orçamento!Z276/OBRA!$D$11,""))))),"")</f>
        <v>2.8712968045367764</v>
      </c>
      <c r="AF276" s="241" t="s">
        <v>154</v>
      </c>
    </row>
    <row r="277" spans="1:32" s="10" customFormat="1" ht="13.15" hidden="1" customHeight="1" outlineLevel="4" x14ac:dyDescent="0.2">
      <c r="A277" s="227"/>
      <c r="B277" s="228" t="s">
        <v>19</v>
      </c>
      <c r="C277" s="229">
        <f t="shared" si="222"/>
        <v>21</v>
      </c>
      <c r="D277" s="227" t="str">
        <f t="shared" si="225"/>
        <v/>
      </c>
      <c r="E277" s="228" t="str">
        <f t="shared" ca="1" si="226"/>
        <v>04.001.002.003</v>
      </c>
      <c r="F277" s="230">
        <f ca="1">IF($B277="UNIDADE CONSTRUTIVA",OFFSET(F277,-1,0)+1,LARGE(F$10:F276,1))</f>
        <v>2</v>
      </c>
      <c r="G277" s="228" t="str">
        <f t="shared" ca="1" si="227"/>
        <v xml:space="preserve">   GERENCIAMENTO EXECUTIVO</v>
      </c>
      <c r="H277" s="230">
        <f t="shared" ca="1" si="228"/>
        <v>4</v>
      </c>
      <c r="I277" s="228" t="str">
        <f t="shared" ca="1" si="229"/>
        <v xml:space="preserve">   SUPRAESTRUTURA</v>
      </c>
      <c r="J277" s="230">
        <f t="shared" ca="1" si="230"/>
        <v>1</v>
      </c>
      <c r="K277" s="228" t="str">
        <f t="shared" ca="1" si="231"/>
        <v xml:space="preserve">   SUPRAESTRUTURA - 1º PAVIMENTO - SUBSOLO</v>
      </c>
      <c r="L277" s="231">
        <f t="shared" ca="1" si="232"/>
        <v>2</v>
      </c>
      <c r="M277" s="228" t="str">
        <f t="shared" ca="1" si="233"/>
        <v xml:space="preserve">   Forma</v>
      </c>
      <c r="N277" s="231">
        <f t="shared" ca="1" si="234"/>
        <v>3</v>
      </c>
      <c r="O277" s="228" t="str">
        <f t="shared" ca="1" si="235"/>
        <v>Fabricação de fôrma para Escadas em chapa de madeira compensada plastificada e=14 mm - 2 jogos</v>
      </c>
      <c r="P277" s="232" t="str">
        <f>IF(S277="","",IF(Orçamento!$B277="INSUMO",S277,""))</f>
        <v>COMPENSADO MADEIRA TIPO PLASTIFICADO 2200X1100X14MM NBR 1096</v>
      </c>
      <c r="Q277" s="244" t="str">
        <f t="shared" si="236"/>
        <v/>
      </c>
      <c r="R277" s="234">
        <f t="shared" ca="1" si="237"/>
        <v>29.843699999999998</v>
      </c>
      <c r="S277" s="233" t="s">
        <v>804</v>
      </c>
      <c r="T277" s="242" t="str">
        <f>_xlfn.XLOOKUP(S277,Insumos!$A$3:$A$371,Insumos!$B$3:$B$371)</f>
        <v>CH</v>
      </c>
      <c r="U277" s="235">
        <f ca="1">IF($B277="insumo",R277,"")</f>
        <v>29.843699999999998</v>
      </c>
      <c r="V277" s="320">
        <f>ROUNDUP(1.3/(2.2*1.1),4)</f>
        <v>0.53720000000000001</v>
      </c>
      <c r="W277" s="236">
        <f>IFERROR(IF(B277="INSUMO",_xlfn.XLOOKUP(S277,Insumos!A:A,Insumos!C:C),""),"Inserir Preço")</f>
        <v>132</v>
      </c>
      <c r="X277" s="235">
        <f t="shared" ca="1" si="238"/>
        <v>16.03203564</v>
      </c>
      <c r="Y277" s="236">
        <f t="shared" si="192"/>
        <v>70.910399999999996</v>
      </c>
      <c r="Z277" s="237">
        <f t="shared" ca="1" si="223"/>
        <v>2116.22870448</v>
      </c>
      <c r="AA277" s="238"/>
      <c r="AB277" s="233" t="str">
        <f>IF(B277="insumo",_xlfn.XLOOKUP(S277,Insumos!A:A,Insumos!D:D),"")</f>
        <v xml:space="preserve"> </v>
      </c>
      <c r="AC277" s="239">
        <f t="shared" ca="1" si="224"/>
        <v>3.035923017475705E-4</v>
      </c>
      <c r="AE277" s="240">
        <f ca="1">IFERROR(IF(OR(Z277="",Z277=0),"",IF(AF277="","",IF(AF277="R$/mês",Z277/OBRA!$D$12,IF(AF277="R$/m²",Z277/OBRA!$D$10,IF(AF277="R$/apto",Orçamento!Z277/OBRA!$D$11,""))))),"")</f>
        <v>1.089026365628361</v>
      </c>
      <c r="AF277" s="241" t="s">
        <v>154</v>
      </c>
    </row>
    <row r="278" spans="1:32" s="10" customFormat="1" ht="13.15" hidden="1" customHeight="1" outlineLevel="4" x14ac:dyDescent="0.2">
      <c r="A278" s="227"/>
      <c r="B278" s="228" t="s">
        <v>19</v>
      </c>
      <c r="C278" s="229">
        <f t="shared" si="222"/>
        <v>26</v>
      </c>
      <c r="D278" s="227" t="str">
        <f t="shared" si="225"/>
        <v/>
      </c>
      <c r="E278" s="228" t="str">
        <f t="shared" ca="1" si="226"/>
        <v>04.001.002.003</v>
      </c>
      <c r="F278" s="230">
        <f ca="1">IF($B278="UNIDADE CONSTRUTIVA",OFFSET(F278,-1,0)+1,LARGE(F$10:F277,1))</f>
        <v>2</v>
      </c>
      <c r="G278" s="228" t="str">
        <f t="shared" ca="1" si="227"/>
        <v xml:space="preserve">   GERENCIAMENTO EXECUTIVO</v>
      </c>
      <c r="H278" s="230">
        <f t="shared" ca="1" si="228"/>
        <v>4</v>
      </c>
      <c r="I278" s="228" t="str">
        <f t="shared" ca="1" si="229"/>
        <v xml:space="preserve">   SUPRAESTRUTURA</v>
      </c>
      <c r="J278" s="230">
        <f t="shared" ca="1" si="230"/>
        <v>1</v>
      </c>
      <c r="K278" s="228" t="str">
        <f t="shared" ca="1" si="231"/>
        <v xml:space="preserve">   SUPRAESTRUTURA - 1º PAVIMENTO - SUBSOLO</v>
      </c>
      <c r="L278" s="231">
        <f t="shared" ca="1" si="232"/>
        <v>2</v>
      </c>
      <c r="M278" s="228" t="str">
        <f t="shared" ca="1" si="233"/>
        <v xml:space="preserve">   Forma</v>
      </c>
      <c r="N278" s="231">
        <f t="shared" ca="1" si="234"/>
        <v>3</v>
      </c>
      <c r="O278" s="228" t="str">
        <f t="shared" ca="1" si="235"/>
        <v>Fabricação de fôrma para Escadas em chapa de madeira compensada plastificada e=14 mm - 2 jogos</v>
      </c>
      <c r="P278" s="232" t="str">
        <f>IF(S278="","",IF(Orçamento!$B278="INSUMO",S278,""))</f>
        <v>MADEIRA PINUS/SIMILAR - PONTALETE 75X75MM NBR 11700/15696</v>
      </c>
      <c r="Q278" s="244" t="str">
        <f t="shared" si="236"/>
        <v/>
      </c>
      <c r="R278" s="234">
        <f t="shared" ca="1" si="237"/>
        <v>29.843699999999998</v>
      </c>
      <c r="S278" s="233" t="s">
        <v>807</v>
      </c>
      <c r="T278" s="242" t="str">
        <f>_xlfn.XLOOKUP(S278,Insumos!$A$3:$A$371,Insumos!$B$3:$B$371)</f>
        <v>M</v>
      </c>
      <c r="U278" s="235">
        <f ca="1">IF($B278="insumo",R278,"")</f>
        <v>29.843699999999998</v>
      </c>
      <c r="V278" s="320">
        <v>13.18</v>
      </c>
      <c r="W278" s="236">
        <f>IFERROR(IF(B278="INSUMO",_xlfn.XLOOKUP(S278,Insumos!A:A,Insumos!C:C),""),"Inserir Preço")</f>
        <v>7</v>
      </c>
      <c r="X278" s="235">
        <f t="shared" ca="1" si="238"/>
        <v>393.33996599999995</v>
      </c>
      <c r="Y278" s="236">
        <f t="shared" si="192"/>
        <v>92.259999999999991</v>
      </c>
      <c r="Z278" s="237">
        <f t="shared" ca="1" si="223"/>
        <v>2753.3797619999996</v>
      </c>
      <c r="AA278" s="238"/>
      <c r="AB278" s="233" t="str">
        <f>IF(B278="insumo",_xlfn.XLOOKUP(S278,Insumos!A:A,Insumos!D:D),"")</f>
        <v xml:space="preserve"> </v>
      </c>
      <c r="AC278" s="239">
        <f t="shared" ca="1" si="224"/>
        <v>3.9499742998531738E-4</v>
      </c>
      <c r="AE278" s="240">
        <f ca="1">IFERROR(IF(OR(Z278="",Z278=0),"",IF(AF278="","",IF(AF278="R$/mês",Z278/OBRA!$D$12,IF(AF278="R$/m²",Z278/OBRA!$D$10,IF(AF278="R$/apto",Orçamento!Z278/OBRA!$D$11,""))))),"")</f>
        <v>1.4169088383773405</v>
      </c>
      <c r="AF278" s="241" t="s">
        <v>154</v>
      </c>
    </row>
    <row r="279" spans="1:32" s="10" customFormat="1" ht="13.15" hidden="1" customHeight="1" outlineLevel="4" x14ac:dyDescent="0.2">
      <c r="A279" s="227"/>
      <c r="B279" s="228" t="s">
        <v>19</v>
      </c>
      <c r="C279" s="229">
        <f t="shared" si="222"/>
        <v>12</v>
      </c>
      <c r="D279" s="227" t="str">
        <f t="shared" si="225"/>
        <v/>
      </c>
      <c r="E279" s="228" t="str">
        <f t="shared" ca="1" si="226"/>
        <v>04.001.002.003</v>
      </c>
      <c r="F279" s="230">
        <f ca="1">IF($B279="UNIDADE CONSTRUTIVA",OFFSET(F279,-1,0)+1,LARGE(F$10:F278,1))</f>
        <v>2</v>
      </c>
      <c r="G279" s="228" t="str">
        <f t="shared" ca="1" si="227"/>
        <v xml:space="preserve">   GERENCIAMENTO EXECUTIVO</v>
      </c>
      <c r="H279" s="230">
        <f t="shared" ca="1" si="228"/>
        <v>4</v>
      </c>
      <c r="I279" s="228" t="str">
        <f t="shared" ca="1" si="229"/>
        <v xml:space="preserve">   SUPRAESTRUTURA</v>
      </c>
      <c r="J279" s="230">
        <f t="shared" ca="1" si="230"/>
        <v>1</v>
      </c>
      <c r="K279" s="228" t="str">
        <f t="shared" ca="1" si="231"/>
        <v xml:space="preserve">   SUPRAESTRUTURA - 1º PAVIMENTO - SUBSOLO</v>
      </c>
      <c r="L279" s="231">
        <f t="shared" ca="1" si="232"/>
        <v>2</v>
      </c>
      <c r="M279" s="228" t="str">
        <f t="shared" ca="1" si="233"/>
        <v xml:space="preserve">   Forma</v>
      </c>
      <c r="N279" s="231">
        <f t="shared" ca="1" si="234"/>
        <v>3</v>
      </c>
      <c r="O279" s="228" t="str">
        <f t="shared" ca="1" si="235"/>
        <v>Fabricação de fôrma para Escadas em chapa de madeira compensada plastificada e=14 mm - 2 jogos</v>
      </c>
      <c r="P279" s="232" t="str">
        <f>IF(S279="","",IF(Orçamento!$B279="INSUMO",S279,""))</f>
        <v>SARRAFO DE MADEIRA 7,0 x 3 M</v>
      </c>
      <c r="Q279" s="244" t="str">
        <f t="shared" si="236"/>
        <v/>
      </c>
      <c r="R279" s="234">
        <f t="shared" ca="1" si="237"/>
        <v>29.843699999999998</v>
      </c>
      <c r="S279" s="233" t="s">
        <v>175</v>
      </c>
      <c r="T279" s="242" t="str">
        <f>_xlfn.XLOOKUP(S279,Insumos!$A$3:$A$371,Insumos!$B$3:$B$371)</f>
        <v>M3</v>
      </c>
      <c r="U279" s="235">
        <f ca="1">IF($B279="insumo",R279,"")</f>
        <v>29.843699999999998</v>
      </c>
      <c r="V279" s="320">
        <v>1.7299999999999999E-2</v>
      </c>
      <c r="W279" s="236">
        <f>IFERROR(IF(B279="INSUMO",_xlfn.XLOOKUP(S279,Insumos!A:A,Insumos!C:C),""),"Inserir Preço")</f>
        <v>1300</v>
      </c>
      <c r="X279" s="235">
        <f t="shared" ca="1" si="238"/>
        <v>0.51629600999999992</v>
      </c>
      <c r="Y279" s="236">
        <f t="shared" si="192"/>
        <v>22.49</v>
      </c>
      <c r="Z279" s="237">
        <f t="shared" ca="1" si="223"/>
        <v>671.18481299999985</v>
      </c>
      <c r="AA279" s="238"/>
      <c r="AB279" s="233" t="str">
        <f>IF(B279="insumo",_xlfn.XLOOKUP(S279,Insumos!A:A,Insumos!D:D),"")</f>
        <v xml:space="preserve"> </v>
      </c>
      <c r="AC279" s="239">
        <f t="shared" ca="1" si="224"/>
        <v>9.6287580754062294E-5</v>
      </c>
      <c r="AE279" s="240">
        <f ca="1">IFERROR(IF(OR(Z279="",Z279=0),"",IF(AF279="","",IF(AF279="R$/mês",Z279/OBRA!$D$12,IF(AF279="R$/m²",Z279/OBRA!$D$10,IF(AF279="R$/apto",Orçamento!Z279/OBRA!$D$11,""))))),"")</f>
        <v>0.34539648574795562</v>
      </c>
      <c r="AF279" s="241" t="s">
        <v>154</v>
      </c>
    </row>
    <row r="280" spans="1:32" s="10" customFormat="1" ht="13.15" hidden="1" customHeight="1" outlineLevel="4" x14ac:dyDescent="0.2">
      <c r="A280" s="227"/>
      <c r="B280" s="228" t="s">
        <v>19</v>
      </c>
      <c r="C280" s="229">
        <f t="shared" si="222"/>
        <v>44</v>
      </c>
      <c r="D280" s="227" t="str">
        <f t="shared" si="225"/>
        <v/>
      </c>
      <c r="E280" s="228" t="str">
        <f t="shared" ca="1" si="226"/>
        <v>04.001.002.003</v>
      </c>
      <c r="F280" s="230">
        <f ca="1">IF($B280="UNIDADE CONSTRUTIVA",OFFSET(F280,-1,0)+1,LARGE(F$10:F279,1))</f>
        <v>2</v>
      </c>
      <c r="G280" s="228" t="str">
        <f t="shared" ca="1" si="227"/>
        <v xml:space="preserve">   GERENCIAMENTO EXECUTIVO</v>
      </c>
      <c r="H280" s="230">
        <f t="shared" ca="1" si="228"/>
        <v>4</v>
      </c>
      <c r="I280" s="228" t="str">
        <f t="shared" ca="1" si="229"/>
        <v xml:space="preserve">   SUPRAESTRUTURA</v>
      </c>
      <c r="J280" s="230">
        <f t="shared" ca="1" si="230"/>
        <v>1</v>
      </c>
      <c r="K280" s="228" t="str">
        <f t="shared" ca="1" si="231"/>
        <v xml:space="preserve">   SUPRAESTRUTURA - 1º PAVIMENTO - SUBSOLO</v>
      </c>
      <c r="L280" s="231">
        <f t="shared" ca="1" si="232"/>
        <v>2</v>
      </c>
      <c r="M280" s="228" t="str">
        <f t="shared" ca="1" si="233"/>
        <v xml:space="preserve">   Forma</v>
      </c>
      <c r="N280" s="231">
        <f t="shared" ca="1" si="234"/>
        <v>3</v>
      </c>
      <c r="O280" s="228" t="str">
        <f t="shared" ca="1" si="235"/>
        <v>Fabricação de fôrma para Escadas em chapa de madeira compensada plastificada e=14 mm - 2 jogos</v>
      </c>
      <c r="P280" s="232" t="str">
        <f>IF(S280="","",IF(Orçamento!$B280="INSUMO",S280,""))</f>
        <v>PREGO 17 x 21 COM CABECA</v>
      </c>
      <c r="Q280" s="244" t="str">
        <f t="shared" si="236"/>
        <v/>
      </c>
      <c r="R280" s="234">
        <f t="shared" ca="1" si="237"/>
        <v>29.843699999999998</v>
      </c>
      <c r="S280" s="233" t="s">
        <v>173</v>
      </c>
      <c r="T280" s="242" t="str">
        <f>_xlfn.XLOOKUP(S280,Insumos!$A$3:$A$371,Insumos!$B$3:$B$371)</f>
        <v>KG</v>
      </c>
      <c r="U280" s="235">
        <f ca="1">IF($B280="insumo",R280,"")</f>
        <v>29.843699999999998</v>
      </c>
      <c r="V280" s="320">
        <v>0.1</v>
      </c>
      <c r="W280" s="236">
        <f>IFERROR(IF(B280="INSUMO",_xlfn.XLOOKUP(S280,Insumos!A:A,Insumos!C:C),""),"Inserir Preço")</f>
        <v>13</v>
      </c>
      <c r="X280" s="235">
        <f t="shared" ca="1" si="238"/>
        <v>2.9843700000000002</v>
      </c>
      <c r="Y280" s="236">
        <f t="shared" si="192"/>
        <v>1.3</v>
      </c>
      <c r="Z280" s="237">
        <f t="shared" ca="1" si="223"/>
        <v>38.796810000000001</v>
      </c>
      <c r="AA280" s="238"/>
      <c r="AB280" s="233" t="str">
        <f>IF(B280="insumo",_xlfn.XLOOKUP(S280,Insumos!A:A,Insumos!D:D),"")</f>
        <v xml:space="preserve"> </v>
      </c>
      <c r="AC280" s="239">
        <f t="shared" ca="1" si="224"/>
        <v>5.565756112951579E-6</v>
      </c>
      <c r="AE280" s="240">
        <f ca="1">IFERROR(IF(OR(Z280="",Z280=0),"",IF(AF280="","",IF(AF280="R$/mês",Z280/OBRA!$D$12,IF(AF280="R$/m²",Z280/OBRA!$D$10,IF(AF280="R$/apto",Orçamento!Z280/OBRA!$D$11,""))))),"")</f>
        <v>1.9965114783118829E-2</v>
      </c>
      <c r="AF280" s="241" t="s">
        <v>154</v>
      </c>
    </row>
    <row r="281" spans="1:32" s="10" customFormat="1" ht="13.15" hidden="1" customHeight="1" outlineLevel="4" x14ac:dyDescent="0.2">
      <c r="A281" s="227"/>
      <c r="B281" s="228" t="s">
        <v>4</v>
      </c>
      <c r="C281" s="229">
        <f t="shared" si="222"/>
        <v>5</v>
      </c>
      <c r="D281" s="227" t="str">
        <f t="shared" ca="1" si="193"/>
        <v>04.001.002.004</v>
      </c>
      <c r="E281" s="228" t="str">
        <f t="shared" ca="1" si="217"/>
        <v>04.001.002.004</v>
      </c>
      <c r="F281" s="230">
        <f ca="1">IF($B281="UNIDADE CONSTRUTIVA",OFFSET(F281,-1,0)+1,LARGE(F$10:F280,1))</f>
        <v>2</v>
      </c>
      <c r="G281" s="228" t="str">
        <f t="shared" ca="1" si="203"/>
        <v xml:space="preserve">   GERENCIAMENTO EXECUTIVO</v>
      </c>
      <c r="H281" s="230">
        <f t="shared" ca="1" si="218"/>
        <v>4</v>
      </c>
      <c r="I281" s="228" t="str">
        <f t="shared" ca="1" si="205"/>
        <v xml:space="preserve">   SUPRAESTRUTURA</v>
      </c>
      <c r="J281" s="230">
        <f t="shared" ca="1" si="219"/>
        <v>1</v>
      </c>
      <c r="K281" s="228" t="str">
        <f t="shared" ca="1" si="207"/>
        <v xml:space="preserve">   SUPRAESTRUTURA - 1º PAVIMENTO - SUBSOLO</v>
      </c>
      <c r="L281" s="231">
        <f t="shared" ca="1" si="220"/>
        <v>2</v>
      </c>
      <c r="M281" s="228" t="str">
        <f t="shared" ca="1" si="209"/>
        <v xml:space="preserve">   Forma</v>
      </c>
      <c r="N281" s="231">
        <f t="shared" ca="1" si="221"/>
        <v>4</v>
      </c>
      <c r="O281" s="228" t="str">
        <f t="shared" ca="1" si="211"/>
        <v>Fabricação de fôrma para laje em chapa de madeira compensada plastificada e=14 mm - 2 jogos</v>
      </c>
      <c r="P281" s="232" t="str">
        <f>IF(S281="","",IF(Orçamento!$B281="INSUMO",S281,""))</f>
        <v/>
      </c>
      <c r="Q281" s="244" t="str">
        <f t="shared" si="199"/>
        <v>Fabricação de fôrma para laje em chapa de madeira compensada plastificada e=14 mm - 2 jogos</v>
      </c>
      <c r="R281" s="234">
        <f t="shared" ca="1" si="200"/>
        <v>0</v>
      </c>
      <c r="S281" s="233" t="s">
        <v>194</v>
      </c>
      <c r="T281" s="242" t="s">
        <v>140</v>
      </c>
      <c r="U281" s="235">
        <f>U284</f>
        <v>0</v>
      </c>
      <c r="V281" s="320"/>
      <c r="W281" s="236" t="str">
        <f>IFERROR(IF(B281="INSUMO",_xlfn.XLOOKUP(S281,Insumos!A:A,Insumos!C:C),""),"Inserir Preço")</f>
        <v/>
      </c>
      <c r="X281" s="235">
        <f t="shared" ca="1" si="201"/>
        <v>0</v>
      </c>
      <c r="Y281" s="236">
        <f t="shared" ca="1" si="192"/>
        <v>59.341799999999999</v>
      </c>
      <c r="Z281" s="237">
        <f t="shared" ca="1" si="223"/>
        <v>0</v>
      </c>
      <c r="AA281" s="238"/>
      <c r="AB281" s="233" t="str">
        <f>IF(B281="insumo",_xlfn.XLOOKUP(S281,Insumos!A:A,Insumos!D:D),"")</f>
        <v/>
      </c>
      <c r="AC281" s="239">
        <f t="shared" ca="1" si="224"/>
        <v>0</v>
      </c>
      <c r="AE281" s="240" t="str">
        <f ca="1">IFERROR(IF(OR(Z281="",Z281=0),"",IF(AF281="","",IF(AF281="R$/mês",Z281/OBRA!$D$12,IF(AF281="R$/m²",Z281/OBRA!$D$10,IF(AF281="R$/apto",Orçamento!Z281/OBRA!$D$11,""))))),"")</f>
        <v/>
      </c>
      <c r="AF281" s="241" t="s">
        <v>154</v>
      </c>
    </row>
    <row r="282" spans="1:32" s="10" customFormat="1" ht="13.15" hidden="1" customHeight="1" outlineLevel="4" x14ac:dyDescent="0.2">
      <c r="A282" s="227"/>
      <c r="B282" s="228" t="s">
        <v>19</v>
      </c>
      <c r="C282" s="229">
        <f t="shared" si="222"/>
        <v>21</v>
      </c>
      <c r="D282" s="227" t="str">
        <f t="shared" si="193"/>
        <v/>
      </c>
      <c r="E282" s="228" t="str">
        <f t="shared" ca="1" si="217"/>
        <v>04.001.002.004</v>
      </c>
      <c r="F282" s="230">
        <f ca="1">IF($B282="UNIDADE CONSTRUTIVA",OFFSET(F282,-1,0)+1,LARGE(F$10:F281,1))</f>
        <v>2</v>
      </c>
      <c r="G282" s="228" t="str">
        <f t="shared" ca="1" si="203"/>
        <v xml:space="preserve">   GERENCIAMENTO EXECUTIVO</v>
      </c>
      <c r="H282" s="230">
        <f t="shared" ca="1" si="218"/>
        <v>4</v>
      </c>
      <c r="I282" s="228" t="str">
        <f t="shared" ca="1" si="205"/>
        <v xml:space="preserve">   SUPRAESTRUTURA</v>
      </c>
      <c r="J282" s="230">
        <f t="shared" ca="1" si="219"/>
        <v>1</v>
      </c>
      <c r="K282" s="228" t="str">
        <f t="shared" ca="1" si="207"/>
        <v xml:space="preserve">   SUPRAESTRUTURA - 1º PAVIMENTO - SUBSOLO</v>
      </c>
      <c r="L282" s="231">
        <f t="shared" ca="1" si="220"/>
        <v>2</v>
      </c>
      <c r="M282" s="228" t="str">
        <f t="shared" ca="1" si="209"/>
        <v xml:space="preserve">   Forma</v>
      </c>
      <c r="N282" s="231">
        <f t="shared" ca="1" si="221"/>
        <v>4</v>
      </c>
      <c r="O282" s="228" t="str">
        <f t="shared" ca="1" si="211"/>
        <v>Fabricação de fôrma para laje em chapa de madeira compensada plastificada e=14 mm - 2 jogos</v>
      </c>
      <c r="P282" s="232" t="str">
        <f>IF(S282="","",IF(Orçamento!$B282="INSUMO",S282,""))</f>
        <v>COMPENSADO MADEIRA TIPO PLASTIFICADO 2200X1100X14MM NBR 1096</v>
      </c>
      <c r="Q282" s="244" t="str">
        <f t="shared" si="199"/>
        <v/>
      </c>
      <c r="R282" s="234">
        <f t="shared" ca="1" si="200"/>
        <v>0</v>
      </c>
      <c r="S282" s="233" t="s">
        <v>804</v>
      </c>
      <c r="T282" s="242" t="str">
        <f>_xlfn.XLOOKUP(S282,Insumos!$A$3:$A$371,Insumos!$B$3:$B$371)</f>
        <v>CH</v>
      </c>
      <c r="U282" s="235">
        <f ca="1">IF($B282="insumo",R282,"")</f>
        <v>0</v>
      </c>
      <c r="V282" s="320">
        <f>ROUNDUP(1.05/(2.2*1.1),4)</f>
        <v>0.43390000000000001</v>
      </c>
      <c r="W282" s="236">
        <f>IFERROR(IF(B282="INSUMO",_xlfn.XLOOKUP(S282,Insumos!A:A,Insumos!C:C),""),"Inserir Preço")</f>
        <v>132</v>
      </c>
      <c r="X282" s="235">
        <f t="shared" ca="1" si="201"/>
        <v>0</v>
      </c>
      <c r="Y282" s="236">
        <f t="shared" si="192"/>
        <v>57.274799999999999</v>
      </c>
      <c r="Z282" s="237">
        <f t="shared" ca="1" si="223"/>
        <v>0</v>
      </c>
      <c r="AA282" s="238"/>
      <c r="AB282" s="233" t="str">
        <f>IF(B282="insumo",_xlfn.XLOOKUP(S282,Insumos!A:A,Insumos!D:D),"")</f>
        <v xml:space="preserve"> </v>
      </c>
      <c r="AC282" s="239">
        <f t="shared" ca="1" si="224"/>
        <v>0</v>
      </c>
      <c r="AE282" s="240" t="str">
        <f ca="1">IFERROR(IF(OR(Z282="",Z282=0),"",IF(AF282="","",IF(AF282="R$/mês",Z282/OBRA!$D$12,IF(AF282="R$/m²",Z282/OBRA!$D$10,IF(AF282="R$/apto",Orçamento!Z282/OBRA!$D$11,""))))),"")</f>
        <v/>
      </c>
      <c r="AF282" s="241" t="s">
        <v>154</v>
      </c>
    </row>
    <row r="283" spans="1:32" s="10" customFormat="1" ht="13.15" hidden="1" customHeight="1" outlineLevel="4" x14ac:dyDescent="0.2">
      <c r="A283" s="227"/>
      <c r="B283" s="228" t="s">
        <v>19</v>
      </c>
      <c r="C283" s="229">
        <f t="shared" si="222"/>
        <v>44</v>
      </c>
      <c r="D283" s="227" t="str">
        <f>IF(B283="Unidade Construtiva",TEXT(F283,"00"),IF(B283="Célula Construtiva",TEXT(H283,"00"),IF(B283="Etapa",CONCATENATE(TEXT(H283,"00"),".",TEXT(J283,"000")),IF(B283="Subetapa",CONCATENATE(TEXT(H283,"00"),".",TEXT(J283,"000"),".",TEXT(L283,"000")),IF(B283="Serviço",CONCATENATE(TEXT(H283,"00"),".",TEXT(J283,"000"),".",TEXT(L283,"000"),".",TEXT(N283,"000")),"")))))</f>
        <v/>
      </c>
      <c r="E283" s="228" t="str">
        <f ca="1">IF(B283="*","",IFERROR(IF(B283="SERVIÇO",D283,OFFSET(E283,-1,0)),""))</f>
        <v>04.001.002.004</v>
      </c>
      <c r="F283" s="230">
        <f ca="1">IF($B283="UNIDADE CONSTRUTIVA",OFFSET(F283,-1,0)+1,LARGE(F$10:F282,1))</f>
        <v>2</v>
      </c>
      <c r="G283" s="228" t="str">
        <f ca="1">IF(B283="*","",IF(B283="UNIDADE CONSTRUTIVA",S283,OFFSET(G283,-1,0)))</f>
        <v xml:space="preserve">   GERENCIAMENTO EXECUTIVO</v>
      </c>
      <c r="H283" s="230">
        <f ca="1">IF(B283="UNIDADE CONSTRUTIVA",0,IF(B283="CÉLULA CONSTRUTIVA",OFFSET(H283,-1,0)+1,OFFSET(H283,-1,0)))</f>
        <v>4</v>
      </c>
      <c r="I283" s="228" t="str">
        <f ca="1">IF(B283="*","",IF(B283="CÉLULA CONSTRUTIVA",S283,OFFSET(I283,-1,0)))</f>
        <v xml:space="preserve">   SUPRAESTRUTURA</v>
      </c>
      <c r="J283" s="230">
        <f ca="1">IF(B283="CÉLULA CONSTRUTIVA",0,IF(B283="ETAPA",OFFSET(J283,-1,0)+1,OFFSET(J283,-1,0)))</f>
        <v>1</v>
      </c>
      <c r="K283" s="228" t="str">
        <f ca="1">IF(B283="*","",IF(B283="ETAPA",S283,OFFSET(K283,-1,0)))</f>
        <v xml:space="preserve">   SUPRAESTRUTURA - 1º PAVIMENTO - SUBSOLO</v>
      </c>
      <c r="L283" s="231">
        <f ca="1">IF(B283="ETAPA",0,IF(B283="SUBETAPA",OFFSET(L283,-1,0)+1,OFFSET(L283,-1,0)))</f>
        <v>2</v>
      </c>
      <c r="M283" s="228" t="str">
        <f ca="1">IF(B283="*","",IF(B283="SUBETAPA",S283,OFFSET(M283,-1,0)))</f>
        <v xml:space="preserve">   Forma</v>
      </c>
      <c r="N283" s="231">
        <f ca="1">IF(B283="Subetapa",0,IF(B283="serviço",OFFSET(N283,-1,0)+1,OFFSET(N283,-1,0)))</f>
        <v>4</v>
      </c>
      <c r="O283" s="228" t="str">
        <f ca="1">IF(B283="*","",IF(B283="SERVIÇO",S283,OFFSET(O283,-1,0)))</f>
        <v>Fabricação de fôrma para laje em chapa de madeira compensada plastificada e=14 mm - 2 jogos</v>
      </c>
      <c r="P283" s="232" t="str">
        <f>IF(S283="","",IF(Orçamento!$B283="INSUMO",S283,""))</f>
        <v>PREGO 17 x 21 COM CABECA</v>
      </c>
      <c r="Q283" s="244" t="str">
        <f>IF(B283="","",IF(B283="Serviço",S283,""))</f>
        <v/>
      </c>
      <c r="R283" s="234">
        <f ca="1">IF(B283="serviço",U283,OFFSET(R283,-1,0))</f>
        <v>0</v>
      </c>
      <c r="S283" s="233" t="s">
        <v>173</v>
      </c>
      <c r="T283" s="242" t="str">
        <f>_xlfn.XLOOKUP(S283,Insumos!$A$3:$A$371,Insumos!$B$3:$B$371)</f>
        <v>KG</v>
      </c>
      <c r="U283" s="235">
        <f ca="1">IF($B283="insumo",R283,"")</f>
        <v>0</v>
      </c>
      <c r="V283" s="320">
        <v>0.159</v>
      </c>
      <c r="W283" s="236">
        <f>IFERROR(IF(B283="INSUMO",_xlfn.XLOOKUP(S283,Insumos!A:A,Insumos!C:C),""),"Inserir Preço")</f>
        <v>13</v>
      </c>
      <c r="X283" s="235">
        <f t="shared" ca="1" si="201"/>
        <v>0</v>
      </c>
      <c r="Y283" s="236">
        <f t="shared" si="192"/>
        <v>2.0670000000000002</v>
      </c>
      <c r="Z283" s="237">
        <f t="shared" ca="1" si="223"/>
        <v>0</v>
      </c>
      <c r="AA283" s="238"/>
      <c r="AB283" s="233" t="str">
        <f>IF(B283="insumo",_xlfn.XLOOKUP(S283,Insumos!A:A,Insumos!D:D),"")</f>
        <v xml:space="preserve"> </v>
      </c>
      <c r="AC283" s="239">
        <f t="shared" ca="1" si="224"/>
        <v>0</v>
      </c>
      <c r="AE283" s="240" t="str">
        <f ca="1">IFERROR(IF(OR(Z283="",Z283=0),"",IF(AF283="","",IF(AF283="R$/mês",Z283/OBRA!$D$12,IF(AF283="R$/m²",Z283/OBRA!$D$10,IF(AF283="R$/apto",Orçamento!Z283/OBRA!$D$11,""))))),"")</f>
        <v/>
      </c>
      <c r="AF283" s="241" t="s">
        <v>154</v>
      </c>
    </row>
    <row r="284" spans="1:32" s="10" customFormat="1" ht="13.15" hidden="1" customHeight="1" outlineLevel="4" x14ac:dyDescent="0.2">
      <c r="A284" s="227"/>
      <c r="B284" s="228" t="s">
        <v>4</v>
      </c>
      <c r="C284" s="229">
        <f t="shared" si="222"/>
        <v>5</v>
      </c>
      <c r="D284" s="227" t="str">
        <f t="shared" ca="1" si="193"/>
        <v>04.001.002.005</v>
      </c>
      <c r="E284" s="228" t="str">
        <f t="shared" ca="1" si="217"/>
        <v>04.001.002.005</v>
      </c>
      <c r="F284" s="230">
        <f ca="1">IF($B284="UNIDADE CONSTRUTIVA",OFFSET(F284,-1,0)+1,LARGE(F$10:F283,1))</f>
        <v>2</v>
      </c>
      <c r="G284" s="228" t="str">
        <f t="shared" ca="1" si="203"/>
        <v xml:space="preserve">   GERENCIAMENTO EXECUTIVO</v>
      </c>
      <c r="H284" s="230">
        <f t="shared" ca="1" si="218"/>
        <v>4</v>
      </c>
      <c r="I284" s="228" t="str">
        <f t="shared" ca="1" si="205"/>
        <v xml:space="preserve">   SUPRAESTRUTURA</v>
      </c>
      <c r="J284" s="230">
        <f t="shared" ca="1" si="219"/>
        <v>1</v>
      </c>
      <c r="K284" s="228" t="str">
        <f t="shared" ca="1" si="207"/>
        <v xml:space="preserve">   SUPRAESTRUTURA - 1º PAVIMENTO - SUBSOLO</v>
      </c>
      <c r="L284" s="231">
        <f t="shared" ca="1" si="220"/>
        <v>2</v>
      </c>
      <c r="M284" s="228" t="str">
        <f t="shared" ca="1" si="209"/>
        <v xml:space="preserve">   Forma</v>
      </c>
      <c r="N284" s="231">
        <f t="shared" ca="1" si="221"/>
        <v>5</v>
      </c>
      <c r="O284" s="228" t="str">
        <f t="shared" ca="1" si="211"/>
        <v>Montagem e desmontagem de fôrma para laje em chapa de madeira compensada plastificada</v>
      </c>
      <c r="P284" s="232" t="str">
        <f>IF(S284="","",IF(Orçamento!$B284="INSUMO",S284,""))</f>
        <v/>
      </c>
      <c r="Q284" s="244" t="str">
        <f t="shared" si="199"/>
        <v>Montagem e desmontagem de fôrma para laje em chapa de madeira compensada plastificada</v>
      </c>
      <c r="R284" s="234">
        <f t="shared" ca="1" si="200"/>
        <v>0</v>
      </c>
      <c r="S284" s="233" t="s">
        <v>195</v>
      </c>
      <c r="T284" s="242" t="s">
        <v>140</v>
      </c>
      <c r="U284" s="235">
        <v>0</v>
      </c>
      <c r="V284" s="320" t="s">
        <v>35</v>
      </c>
      <c r="W284" s="236" t="str">
        <f>IFERROR(IF(B284="INSUMO",_xlfn.XLOOKUP(S284,Insumos!A:A,Insumos!C:C),""),"Inserir Preço")</f>
        <v/>
      </c>
      <c r="X284" s="235">
        <f t="shared" ca="1" si="201"/>
        <v>0</v>
      </c>
      <c r="Y284" s="236">
        <f t="shared" ca="1" si="192"/>
        <v>0.79095000000000004</v>
      </c>
      <c r="Z284" s="237">
        <f t="shared" ca="1" si="223"/>
        <v>0</v>
      </c>
      <c r="AA284" s="238"/>
      <c r="AB284" s="233" t="str">
        <f>IF(B284="insumo",_xlfn.XLOOKUP(S284,Insumos!A:A,Insumos!D:D),"")</f>
        <v/>
      </c>
      <c r="AC284" s="239">
        <f t="shared" ca="1" si="224"/>
        <v>0</v>
      </c>
      <c r="AE284" s="240" t="str">
        <f ca="1">IFERROR(IF(OR(Z284="",Z284=0),"",IF(AF284="","",IF(AF284="R$/mês",Z284/OBRA!$D$12,IF(AF284="R$/m²",Z284/OBRA!$D$10,IF(AF284="R$/apto",Orçamento!Z284/OBRA!$D$11,""))))),"")</f>
        <v/>
      </c>
      <c r="AF284" s="241" t="s">
        <v>154</v>
      </c>
    </row>
    <row r="285" spans="1:32" s="10" customFormat="1" ht="13.15" hidden="1" customHeight="1" outlineLevel="4" x14ac:dyDescent="0.2">
      <c r="A285" s="227"/>
      <c r="B285" s="228" t="s">
        <v>19</v>
      </c>
      <c r="C285" s="229">
        <f t="shared" si="222"/>
        <v>29</v>
      </c>
      <c r="D285" s="227" t="str">
        <f t="shared" si="193"/>
        <v/>
      </c>
      <c r="E285" s="228" t="str">
        <f t="shared" ca="1" si="217"/>
        <v>04.001.002.005</v>
      </c>
      <c r="F285" s="230">
        <f ca="1">IF($B285="UNIDADE CONSTRUTIVA",OFFSET(F285,-1,0)+1,LARGE(F$10:F284,1))</f>
        <v>2</v>
      </c>
      <c r="G285" s="228" t="str">
        <f t="shared" ca="1" si="203"/>
        <v xml:space="preserve">   GERENCIAMENTO EXECUTIVO</v>
      </c>
      <c r="H285" s="230">
        <f t="shared" ca="1" si="218"/>
        <v>4</v>
      </c>
      <c r="I285" s="228" t="str">
        <f t="shared" ca="1" si="205"/>
        <v xml:space="preserve">   SUPRAESTRUTURA</v>
      </c>
      <c r="J285" s="230">
        <f t="shared" ca="1" si="219"/>
        <v>1</v>
      </c>
      <c r="K285" s="228" t="str">
        <f t="shared" ca="1" si="207"/>
        <v xml:space="preserve">   SUPRAESTRUTURA - 1º PAVIMENTO - SUBSOLO</v>
      </c>
      <c r="L285" s="231">
        <f t="shared" ca="1" si="220"/>
        <v>2</v>
      </c>
      <c r="M285" s="228" t="str">
        <f t="shared" ca="1" si="209"/>
        <v xml:space="preserve">   Forma</v>
      </c>
      <c r="N285" s="231">
        <f t="shared" ca="1" si="221"/>
        <v>5</v>
      </c>
      <c r="O285" s="228" t="str">
        <f t="shared" ca="1" si="211"/>
        <v>Montagem e desmontagem de fôrma para laje em chapa de madeira compensada plastificada</v>
      </c>
      <c r="P285" s="232" t="str">
        <f>IF(S285="","",IF(Orçamento!$B285="INSUMO",S285,""))</f>
        <v>DESMOLDANTE</v>
      </c>
      <c r="Q285" s="244" t="str">
        <f t="shared" si="199"/>
        <v/>
      </c>
      <c r="R285" s="234">
        <f t="shared" ca="1" si="200"/>
        <v>0</v>
      </c>
      <c r="S285" s="233" t="s">
        <v>171</v>
      </c>
      <c r="T285" s="242" t="str">
        <f>_xlfn.XLOOKUP(S285,Insumos!$A$3:$A$371,Insumos!$B$3:$B$371)</f>
        <v>L</v>
      </c>
      <c r="U285" s="235">
        <f ca="1">IF($B285="insumo",R285,"")</f>
        <v>0</v>
      </c>
      <c r="V285" s="320">
        <v>0.06</v>
      </c>
      <c r="W285" s="236">
        <f>IFERROR(IF(B285="INSUMO",_xlfn.XLOOKUP(S285,Insumos!A:A,Insumos!C:C),""),"Inserir Preço")</f>
        <v>6.34</v>
      </c>
      <c r="X285" s="235">
        <f t="shared" ca="1" si="201"/>
        <v>0</v>
      </c>
      <c r="Y285" s="236">
        <f t="shared" si="192"/>
        <v>0.38039999999999996</v>
      </c>
      <c r="Z285" s="237">
        <f t="shared" ca="1" si="223"/>
        <v>0</v>
      </c>
      <c r="AA285" s="238"/>
      <c r="AB285" s="233" t="str">
        <f>IF(B285="insumo",_xlfn.XLOOKUP(S285,Insumos!A:A,Insumos!D:D),"")</f>
        <v xml:space="preserve"> </v>
      </c>
      <c r="AC285" s="239">
        <f t="shared" ca="1" si="224"/>
        <v>0</v>
      </c>
      <c r="AE285" s="240" t="str">
        <f ca="1">IFERROR(IF(OR(Z285="",Z285=0),"",IF(AF285="","",IF(AF285="R$/mês",Z285/OBRA!$D$12,IF(AF285="R$/m²",Z285/OBRA!$D$10,IF(AF285="R$/apto",Orçamento!Z285/OBRA!$D$11,""))))),"")</f>
        <v/>
      </c>
      <c r="AF285" s="241" t="s">
        <v>154</v>
      </c>
    </row>
    <row r="286" spans="1:32" s="10" customFormat="1" ht="13.15" hidden="1" customHeight="1" outlineLevel="4" x14ac:dyDescent="0.2">
      <c r="A286" s="227"/>
      <c r="B286" s="228" t="s">
        <v>19</v>
      </c>
      <c r="C286" s="229">
        <f t="shared" si="222"/>
        <v>20</v>
      </c>
      <c r="D286" s="227" t="str">
        <f t="shared" si="193"/>
        <v/>
      </c>
      <c r="E286" s="228" t="str">
        <f t="shared" ca="1" si="217"/>
        <v>04.001.002.005</v>
      </c>
      <c r="F286" s="230">
        <f ca="1">IF($B286="UNIDADE CONSTRUTIVA",OFFSET(F286,-1,0)+1,LARGE(F$10:F285,1))</f>
        <v>2</v>
      </c>
      <c r="G286" s="228" t="str">
        <f t="shared" ca="1" si="203"/>
        <v xml:space="preserve">   GERENCIAMENTO EXECUTIVO</v>
      </c>
      <c r="H286" s="230">
        <f t="shared" ca="1" si="218"/>
        <v>4</v>
      </c>
      <c r="I286" s="228" t="str">
        <f t="shared" ca="1" si="205"/>
        <v xml:space="preserve">   SUPRAESTRUTURA</v>
      </c>
      <c r="J286" s="230">
        <f t="shared" ca="1" si="219"/>
        <v>1</v>
      </c>
      <c r="K286" s="228" t="str">
        <f t="shared" ca="1" si="207"/>
        <v xml:space="preserve">   SUPRAESTRUTURA - 1º PAVIMENTO - SUBSOLO</v>
      </c>
      <c r="L286" s="231">
        <f t="shared" ca="1" si="220"/>
        <v>2</v>
      </c>
      <c r="M286" s="228" t="str">
        <f t="shared" ca="1" si="209"/>
        <v xml:space="preserve">   Forma</v>
      </c>
      <c r="N286" s="231">
        <f t="shared" ca="1" si="221"/>
        <v>5</v>
      </c>
      <c r="O286" s="228" t="str">
        <f t="shared" ca="1" si="211"/>
        <v>Montagem e desmontagem de fôrma para laje em chapa de madeira compensada plastificada</v>
      </c>
      <c r="P286" s="232" t="str">
        <f>IF(S286="","",IF(Orçamento!$B286="INSUMO",S286,""))</f>
        <v>Arame recozido 12 BWG</v>
      </c>
      <c r="Q286" s="244" t="str">
        <f t="shared" si="199"/>
        <v/>
      </c>
      <c r="R286" s="234">
        <f t="shared" ca="1" si="200"/>
        <v>0</v>
      </c>
      <c r="S286" s="233" t="s">
        <v>196</v>
      </c>
      <c r="T286" s="242" t="str">
        <f>_xlfn.XLOOKUP(S286,Insumos!$A$3:$A$371,Insumos!$B$3:$B$371)</f>
        <v>KG</v>
      </c>
      <c r="U286" s="235">
        <f ca="1">IF($B286="insumo",R286,"")</f>
        <v>0</v>
      </c>
      <c r="V286" s="320">
        <v>3.5700000000000003E-2</v>
      </c>
      <c r="W286" s="236">
        <f>IFERROR(IF(B286="INSUMO",_xlfn.XLOOKUP(S286,Insumos!A:A,Insumos!C:C),""),"Inserir Preço")</f>
        <v>11.5</v>
      </c>
      <c r="X286" s="235">
        <f t="shared" ca="1" si="201"/>
        <v>0</v>
      </c>
      <c r="Y286" s="236">
        <f t="shared" si="192"/>
        <v>0.41055000000000003</v>
      </c>
      <c r="Z286" s="237">
        <f t="shared" ca="1" si="223"/>
        <v>0</v>
      </c>
      <c r="AA286" s="238"/>
      <c r="AB286" s="233" t="str">
        <f>IF(B286="insumo",_xlfn.XLOOKUP(S286,Insumos!A:A,Insumos!D:D),"")</f>
        <v>Base de Dados</v>
      </c>
      <c r="AC286" s="239">
        <f t="shared" ca="1" si="224"/>
        <v>0</v>
      </c>
      <c r="AE286" s="240" t="str">
        <f ca="1">IFERROR(IF(OR(Z286="",Z286=0),"",IF(AF286="","",IF(AF286="R$/mês",Z286/OBRA!$D$12,IF(AF286="R$/m²",Z286/OBRA!$D$10,IF(AF286="R$/apto",Orçamento!Z286/OBRA!$D$11,""))))),"")</f>
        <v/>
      </c>
      <c r="AF286" s="241" t="s">
        <v>154</v>
      </c>
    </row>
    <row r="287" spans="1:32" s="10" customFormat="1" ht="13.15" hidden="1" customHeight="1" outlineLevel="4" x14ac:dyDescent="0.2">
      <c r="A287" s="227"/>
      <c r="B287" s="228" t="s">
        <v>4</v>
      </c>
      <c r="C287" s="229">
        <f t="shared" si="222"/>
        <v>5</v>
      </c>
      <c r="D287" s="227" t="str">
        <f t="shared" ca="1" si="193"/>
        <v>04.001.002.006</v>
      </c>
      <c r="E287" s="228" t="str">
        <f t="shared" ca="1" si="217"/>
        <v>04.001.002.006</v>
      </c>
      <c r="F287" s="230">
        <f ca="1">IF($B287="UNIDADE CONSTRUTIVA",OFFSET(F287,-1,0)+1,LARGE(F$10:F286,1))</f>
        <v>2</v>
      </c>
      <c r="G287" s="228" t="str">
        <f t="shared" ca="1" si="203"/>
        <v xml:space="preserve">   GERENCIAMENTO EXECUTIVO</v>
      </c>
      <c r="H287" s="230">
        <f t="shared" ca="1" si="218"/>
        <v>4</v>
      </c>
      <c r="I287" s="228" t="str">
        <f t="shared" ca="1" si="205"/>
        <v xml:space="preserve">   SUPRAESTRUTURA</v>
      </c>
      <c r="J287" s="230">
        <f t="shared" ca="1" si="219"/>
        <v>1</v>
      </c>
      <c r="K287" s="228" t="str">
        <f t="shared" ca="1" si="207"/>
        <v xml:space="preserve">   SUPRAESTRUTURA - 1º PAVIMENTO - SUBSOLO</v>
      </c>
      <c r="L287" s="231">
        <f t="shared" ca="1" si="220"/>
        <v>2</v>
      </c>
      <c r="M287" s="228" t="str">
        <f t="shared" ca="1" si="209"/>
        <v xml:space="preserve">   Forma</v>
      </c>
      <c r="N287" s="231">
        <f t="shared" ca="1" si="221"/>
        <v>6</v>
      </c>
      <c r="O287" s="228" t="str">
        <f t="shared" ca="1" si="211"/>
        <v>Montagem e desmontagem de fôrma para pilares em chapa de madeira compensada plastificada</v>
      </c>
      <c r="P287" s="232" t="str">
        <f>IF(S287="","",IF(Orçamento!$B287="INSUMO",S287,""))</f>
        <v/>
      </c>
      <c r="Q287" s="244" t="str">
        <f t="shared" si="199"/>
        <v>Montagem e desmontagem de fôrma para pilares em chapa de madeira compensada plastificada</v>
      </c>
      <c r="R287" s="234">
        <f t="shared" ca="1" si="200"/>
        <v>41.758999999999993</v>
      </c>
      <c r="S287" s="233" t="s">
        <v>197</v>
      </c>
      <c r="T287" s="242" t="s">
        <v>140</v>
      </c>
      <c r="U287" s="235">
        <v>41.758999999999993</v>
      </c>
      <c r="V287" s="320" t="s">
        <v>35</v>
      </c>
      <c r="W287" s="236" t="str">
        <f>IFERROR(IF(B287="INSUMO",_xlfn.XLOOKUP(S287,Insumos!A:A,Insumos!C:C),""),"Inserir Preço")</f>
        <v/>
      </c>
      <c r="X287" s="235">
        <f t="shared" ca="1" si="201"/>
        <v>41.758999999999993</v>
      </c>
      <c r="Y287" s="236">
        <f t="shared" ca="1" si="192"/>
        <v>1.14195</v>
      </c>
      <c r="Z287" s="237">
        <f t="shared" ca="1" si="223"/>
        <v>47.686690049999996</v>
      </c>
      <c r="AA287" s="238"/>
      <c r="AB287" s="233" t="str">
        <f>IF(B287="insumo",_xlfn.XLOOKUP(S287,Insumos!A:A,Insumos!D:D),"")</f>
        <v/>
      </c>
      <c r="AC287" s="239">
        <f t="shared" ca="1" si="224"/>
        <v>6.8410904569786726E-6</v>
      </c>
      <c r="AE287" s="240">
        <f ca="1">IFERROR(IF(OR(Z287="",Z287=0),"",IF(AF287="","",IF(AF287="R$/mês",Z287/OBRA!$D$12,IF(AF287="R$/m²",Z287/OBRA!$D$10,IF(AF287="R$/apto",Orçamento!Z287/OBRA!$D$11,""))))),"")</f>
        <v>2.4539910381169493E-2</v>
      </c>
      <c r="AF287" s="241" t="s">
        <v>154</v>
      </c>
    </row>
    <row r="288" spans="1:32" s="10" customFormat="1" ht="13.15" hidden="1" customHeight="1" outlineLevel="4" x14ac:dyDescent="0.2">
      <c r="A288" s="227"/>
      <c r="B288" s="228" t="s">
        <v>19</v>
      </c>
      <c r="C288" s="229">
        <f t="shared" si="222"/>
        <v>29</v>
      </c>
      <c r="D288" s="227" t="str">
        <f t="shared" si="193"/>
        <v/>
      </c>
      <c r="E288" s="228" t="str">
        <f t="shared" ca="1" si="217"/>
        <v>04.001.002.006</v>
      </c>
      <c r="F288" s="230">
        <f ca="1">IF($B288="UNIDADE CONSTRUTIVA",OFFSET(F288,-1,0)+1,LARGE(F$10:F287,1))</f>
        <v>2</v>
      </c>
      <c r="G288" s="228" t="str">
        <f t="shared" ca="1" si="203"/>
        <v xml:space="preserve">   GERENCIAMENTO EXECUTIVO</v>
      </c>
      <c r="H288" s="230">
        <f t="shared" ca="1" si="218"/>
        <v>4</v>
      </c>
      <c r="I288" s="228" t="str">
        <f t="shared" ca="1" si="205"/>
        <v xml:space="preserve">   SUPRAESTRUTURA</v>
      </c>
      <c r="J288" s="230">
        <f t="shared" ca="1" si="219"/>
        <v>1</v>
      </c>
      <c r="K288" s="228" t="str">
        <f t="shared" ca="1" si="207"/>
        <v xml:space="preserve">   SUPRAESTRUTURA - 1º PAVIMENTO - SUBSOLO</v>
      </c>
      <c r="L288" s="231">
        <f t="shared" ca="1" si="220"/>
        <v>2</v>
      </c>
      <c r="M288" s="228" t="str">
        <f t="shared" ca="1" si="209"/>
        <v xml:space="preserve">   Forma</v>
      </c>
      <c r="N288" s="231">
        <f t="shared" ca="1" si="221"/>
        <v>6</v>
      </c>
      <c r="O288" s="228" t="str">
        <f t="shared" ca="1" si="211"/>
        <v>Montagem e desmontagem de fôrma para pilares em chapa de madeira compensada plastificada</v>
      </c>
      <c r="P288" s="232" t="str">
        <f>IF(S288="","",IF(Orçamento!$B288="INSUMO",S288,""))</f>
        <v>DESMOLDANTE</v>
      </c>
      <c r="Q288" s="244" t="str">
        <f t="shared" si="199"/>
        <v/>
      </c>
      <c r="R288" s="234">
        <f t="shared" ca="1" si="200"/>
        <v>41.758999999999993</v>
      </c>
      <c r="S288" s="233" t="s">
        <v>171</v>
      </c>
      <c r="T288" s="242" t="str">
        <f>_xlfn.XLOOKUP(S288,Insumos!$A$3:$A$371,Insumos!$B$3:$B$371)</f>
        <v>L</v>
      </c>
      <c r="U288" s="235">
        <f ca="1">IF($B288="insumo",R288,"")</f>
        <v>41.758999999999993</v>
      </c>
      <c r="V288" s="320">
        <v>0.06</v>
      </c>
      <c r="W288" s="236">
        <f>IFERROR(IF(B288="INSUMO",_xlfn.XLOOKUP(S288,Insumos!A:A,Insumos!C:C),""),"Inserir Preço")</f>
        <v>6.34</v>
      </c>
      <c r="X288" s="235">
        <f t="shared" ca="1" si="201"/>
        <v>2.5055399999999994</v>
      </c>
      <c r="Y288" s="236">
        <f t="shared" si="192"/>
        <v>0.38039999999999996</v>
      </c>
      <c r="Z288" s="237">
        <f t="shared" ca="1" si="223"/>
        <v>15.885123599999996</v>
      </c>
      <c r="AA288" s="238"/>
      <c r="AB288" s="233" t="str">
        <f>IF(B288="insumo",_xlfn.XLOOKUP(S288,Insumos!A:A,Insumos!D:D),"")</f>
        <v xml:space="preserve"> </v>
      </c>
      <c r="AC288" s="239">
        <f t="shared" ca="1" si="224"/>
        <v>2.2788658083407211E-6</v>
      </c>
      <c r="AE288" s="240">
        <f ca="1">IFERROR(IF(OR(Z288="",Z288=0),"",IF(AF288="","",IF(AF288="R$/mês",Z288/OBRA!$D$12,IF(AF288="R$/m²",Z288/OBRA!$D$10,IF(AF288="R$/apto",Orçamento!Z288/OBRA!$D$11,""))))),"")</f>
        <v>8.1745977573421547E-3</v>
      </c>
      <c r="AF288" s="241" t="s">
        <v>154</v>
      </c>
    </row>
    <row r="289" spans="1:32" s="10" customFormat="1" ht="13.15" hidden="1" customHeight="1" outlineLevel="4" x14ac:dyDescent="0.2">
      <c r="A289" s="227"/>
      <c r="B289" s="228" t="s">
        <v>19</v>
      </c>
      <c r="C289" s="229">
        <f t="shared" si="222"/>
        <v>44</v>
      </c>
      <c r="D289" s="227" t="str">
        <f t="shared" si="193"/>
        <v/>
      </c>
      <c r="E289" s="228" t="str">
        <f t="shared" ca="1" si="217"/>
        <v>04.001.002.006</v>
      </c>
      <c r="F289" s="230">
        <f ca="1">IF($B289="UNIDADE CONSTRUTIVA",OFFSET(F289,-1,0)+1,LARGE(F$10:F288,1))</f>
        <v>2</v>
      </c>
      <c r="G289" s="228" t="str">
        <f t="shared" ca="1" si="203"/>
        <v xml:space="preserve">   GERENCIAMENTO EXECUTIVO</v>
      </c>
      <c r="H289" s="230">
        <f t="shared" ca="1" si="218"/>
        <v>4</v>
      </c>
      <c r="I289" s="228" t="str">
        <f t="shared" ca="1" si="205"/>
        <v xml:space="preserve">   SUPRAESTRUTURA</v>
      </c>
      <c r="J289" s="230">
        <f t="shared" ca="1" si="219"/>
        <v>1</v>
      </c>
      <c r="K289" s="228" t="str">
        <f t="shared" ca="1" si="207"/>
        <v xml:space="preserve">   SUPRAESTRUTURA - 1º PAVIMENTO - SUBSOLO</v>
      </c>
      <c r="L289" s="231">
        <f t="shared" ca="1" si="220"/>
        <v>2</v>
      </c>
      <c r="M289" s="228" t="str">
        <f t="shared" ca="1" si="209"/>
        <v xml:space="preserve">   Forma</v>
      </c>
      <c r="N289" s="231">
        <f t="shared" ca="1" si="221"/>
        <v>6</v>
      </c>
      <c r="O289" s="228" t="str">
        <f t="shared" ca="1" si="211"/>
        <v>Montagem e desmontagem de fôrma para pilares em chapa de madeira compensada plastificada</v>
      </c>
      <c r="P289" s="232" t="str">
        <f>IF(S289="","",IF(Orçamento!$B289="INSUMO",S289,""))</f>
        <v>PREGO 17 x 21 COM CABECA</v>
      </c>
      <c r="Q289" s="244" t="str">
        <f t="shared" si="199"/>
        <v/>
      </c>
      <c r="R289" s="234">
        <f t="shared" ca="1" si="200"/>
        <v>41.758999999999993</v>
      </c>
      <c r="S289" s="233" t="s">
        <v>173</v>
      </c>
      <c r="T289" s="242" t="str">
        <f>_xlfn.XLOOKUP(S289,Insumos!$A$3:$A$371,Insumos!$B$3:$B$371)</f>
        <v>KG</v>
      </c>
      <c r="U289" s="235">
        <f ca="1">IF($B289="insumo",R289,"")</f>
        <v>41.758999999999993</v>
      </c>
      <c r="V289" s="320">
        <v>2.7E-2</v>
      </c>
      <c r="W289" s="236">
        <f>IFERROR(IF(B289="INSUMO",_xlfn.XLOOKUP(S289,Insumos!A:A,Insumos!C:C),""),"Inserir Preço")</f>
        <v>13</v>
      </c>
      <c r="X289" s="235">
        <f t="shared" ca="1" si="201"/>
        <v>1.1274929999999999</v>
      </c>
      <c r="Y289" s="236">
        <f t="shared" si="192"/>
        <v>0.35099999999999998</v>
      </c>
      <c r="Z289" s="237">
        <f t="shared" ca="1" si="223"/>
        <v>14.657408999999998</v>
      </c>
      <c r="AA289" s="238"/>
      <c r="AB289" s="233" t="str">
        <f>IF(B289="insumo",_xlfn.XLOOKUP(S289,Insumos!A:A,Insumos!D:D),"")</f>
        <v xml:space="preserve"> </v>
      </c>
      <c r="AC289" s="239">
        <f t="shared" ca="1" si="224"/>
        <v>2.1027389556456184E-6</v>
      </c>
      <c r="AE289" s="240">
        <f ca="1">IFERROR(IF(OR(Z289="",Z289=0),"",IF(AF289="","",IF(AF289="R$/mês",Z289/OBRA!$D$12,IF(AF289="R$/m²",Z289/OBRA!$D$10,IF(AF289="R$/apto",Orçamento!Z289/OBRA!$D$11,""))))),"")</f>
        <v>7.542807078935585E-3</v>
      </c>
      <c r="AF289" s="241" t="s">
        <v>154</v>
      </c>
    </row>
    <row r="290" spans="1:32" s="10" customFormat="1" ht="13.15" hidden="1" customHeight="1" outlineLevel="4" x14ac:dyDescent="0.2">
      <c r="A290" s="227"/>
      <c r="B290" s="228" t="s">
        <v>19</v>
      </c>
      <c r="C290" s="229">
        <f t="shared" si="222"/>
        <v>20</v>
      </c>
      <c r="D290" s="227" t="str">
        <f t="shared" si="193"/>
        <v/>
      </c>
      <c r="E290" s="228" t="str">
        <f t="shared" ca="1" si="217"/>
        <v>04.001.002.006</v>
      </c>
      <c r="F290" s="230">
        <f ca="1">IF($B290="UNIDADE CONSTRUTIVA",OFFSET(F290,-1,0)+1,LARGE(F$10:F289,1))</f>
        <v>2</v>
      </c>
      <c r="G290" s="228" t="str">
        <f t="shared" ca="1" si="203"/>
        <v xml:space="preserve">   GERENCIAMENTO EXECUTIVO</v>
      </c>
      <c r="H290" s="230">
        <f t="shared" ca="1" si="218"/>
        <v>4</v>
      </c>
      <c r="I290" s="228" t="str">
        <f t="shared" ca="1" si="205"/>
        <v xml:space="preserve">   SUPRAESTRUTURA</v>
      </c>
      <c r="J290" s="230">
        <f t="shared" ca="1" si="219"/>
        <v>1</v>
      </c>
      <c r="K290" s="228" t="str">
        <f t="shared" ca="1" si="207"/>
        <v xml:space="preserve">   SUPRAESTRUTURA - 1º PAVIMENTO - SUBSOLO</v>
      </c>
      <c r="L290" s="231">
        <f t="shared" ca="1" si="220"/>
        <v>2</v>
      </c>
      <c r="M290" s="228" t="str">
        <f t="shared" ca="1" si="209"/>
        <v xml:space="preserve">   Forma</v>
      </c>
      <c r="N290" s="231">
        <f t="shared" ca="1" si="221"/>
        <v>6</v>
      </c>
      <c r="O290" s="228" t="str">
        <f t="shared" ca="1" si="211"/>
        <v>Montagem e desmontagem de fôrma para pilares em chapa de madeira compensada plastificada</v>
      </c>
      <c r="P290" s="232" t="str">
        <f>IF(S290="","",IF(Orçamento!$B290="INSUMO",S290,""))</f>
        <v>Arame recozido 12 BWG</v>
      </c>
      <c r="Q290" s="244" t="str">
        <f t="shared" si="199"/>
        <v/>
      </c>
      <c r="R290" s="234">
        <f t="shared" ca="1" si="200"/>
        <v>41.758999999999993</v>
      </c>
      <c r="S290" s="233" t="s">
        <v>196</v>
      </c>
      <c r="T290" s="242" t="str">
        <f>_xlfn.XLOOKUP(S290,Insumos!$A$3:$A$371,Insumos!$B$3:$B$371)</f>
        <v>KG</v>
      </c>
      <c r="U290" s="235">
        <f ca="1">IF($B290="insumo",R290,"")</f>
        <v>41.758999999999993</v>
      </c>
      <c r="V290" s="320">
        <v>3.5700000000000003E-2</v>
      </c>
      <c r="W290" s="236">
        <f>IFERROR(IF(B290="INSUMO",_xlfn.XLOOKUP(S290,Insumos!A:A,Insumos!C:C),""),"Inserir Preço")</f>
        <v>11.5</v>
      </c>
      <c r="X290" s="235">
        <f t="shared" ca="1" si="201"/>
        <v>1.4907963</v>
      </c>
      <c r="Y290" s="236">
        <f t="shared" si="192"/>
        <v>0.41055000000000003</v>
      </c>
      <c r="Z290" s="237">
        <f t="shared" ca="1" si="223"/>
        <v>17.144157449999998</v>
      </c>
      <c r="AA290" s="238"/>
      <c r="AB290" s="233" t="str">
        <f>IF(B290="insumo",_xlfn.XLOOKUP(S290,Insumos!A:A,Insumos!D:D),"")</f>
        <v>Base de Dados</v>
      </c>
      <c r="AC290" s="239">
        <f t="shared" ca="1" si="224"/>
        <v>2.4594856929923322E-6</v>
      </c>
      <c r="AE290" s="240">
        <f ca="1">IFERROR(IF(OR(Z290="",Z290=0),"",IF(AF290="","",IF(AF290="R$/mês",Z290/OBRA!$D$12,IF(AF290="R$/m²",Z290/OBRA!$D$10,IF(AF290="R$/apto",Orçamento!Z290/OBRA!$D$11,""))))),"")</f>
        <v>8.8225055448917511E-3</v>
      </c>
      <c r="AF290" s="241" t="s">
        <v>154</v>
      </c>
    </row>
    <row r="291" spans="1:32" s="10" customFormat="1" ht="13.15" hidden="1" customHeight="1" outlineLevel="4" x14ac:dyDescent="0.2">
      <c r="A291" s="227"/>
      <c r="B291" s="228" t="s">
        <v>4</v>
      </c>
      <c r="C291" s="229">
        <f t="shared" si="222"/>
        <v>5</v>
      </c>
      <c r="D291" s="227" t="str">
        <f t="shared" ca="1" si="193"/>
        <v>04.001.002.007</v>
      </c>
      <c r="E291" s="228" t="str">
        <f t="shared" ca="1" si="217"/>
        <v>04.001.002.007</v>
      </c>
      <c r="F291" s="230">
        <f ca="1">IF($B291="UNIDADE CONSTRUTIVA",OFFSET(F291,-1,0)+1,LARGE(F$10:F290,1))</f>
        <v>2</v>
      </c>
      <c r="G291" s="228" t="str">
        <f t="shared" ca="1" si="203"/>
        <v xml:space="preserve">   GERENCIAMENTO EXECUTIVO</v>
      </c>
      <c r="H291" s="230">
        <f t="shared" ca="1" si="218"/>
        <v>4</v>
      </c>
      <c r="I291" s="228" t="str">
        <f t="shared" ca="1" si="205"/>
        <v xml:space="preserve">   SUPRAESTRUTURA</v>
      </c>
      <c r="J291" s="230">
        <f t="shared" ca="1" si="219"/>
        <v>1</v>
      </c>
      <c r="K291" s="228" t="str">
        <f t="shared" ca="1" si="207"/>
        <v xml:space="preserve">   SUPRAESTRUTURA - 1º PAVIMENTO - SUBSOLO</v>
      </c>
      <c r="L291" s="231">
        <f t="shared" ca="1" si="220"/>
        <v>2</v>
      </c>
      <c r="M291" s="228" t="str">
        <f t="shared" ca="1" si="209"/>
        <v xml:space="preserve">   Forma</v>
      </c>
      <c r="N291" s="231">
        <f t="shared" ca="1" si="221"/>
        <v>7</v>
      </c>
      <c r="O291" s="228" t="str">
        <f t="shared" ca="1" si="211"/>
        <v>Montagem e desmontagem de fôrma para vigas em chapa de madeira compensada plastificada</v>
      </c>
      <c r="P291" s="232" t="str">
        <f>IF(S291="","",IF(Orçamento!$B291="INSUMO",S291,""))</f>
        <v/>
      </c>
      <c r="Q291" s="244" t="str">
        <f t="shared" si="199"/>
        <v>Montagem e desmontagem de fôrma para vigas em chapa de madeira compensada plastificada</v>
      </c>
      <c r="R291" s="234">
        <f t="shared" ca="1" si="200"/>
        <v>31.699965000000002</v>
      </c>
      <c r="S291" s="233" t="s">
        <v>198</v>
      </c>
      <c r="T291" s="242" t="s">
        <v>140</v>
      </c>
      <c r="U291" s="235">
        <v>31.699965000000002</v>
      </c>
      <c r="V291" s="320" t="s">
        <v>35</v>
      </c>
      <c r="W291" s="236" t="str">
        <f>IFERROR(IF(B291="INSUMO",_xlfn.XLOOKUP(S291,Insumos!A:A,Insumos!C:C),""),"Inserir Preço")</f>
        <v/>
      </c>
      <c r="X291" s="235">
        <f t="shared" ca="1" si="201"/>
        <v>31.699965000000002</v>
      </c>
      <c r="Y291" s="236">
        <f t="shared" ca="1" si="192"/>
        <v>2.8129500000000003</v>
      </c>
      <c r="Z291" s="237">
        <f t="shared" ca="1" si="223"/>
        <v>89.170416546750019</v>
      </c>
      <c r="AA291" s="238"/>
      <c r="AB291" s="233" t="str">
        <f>IF(B291="insumo",_xlfn.XLOOKUP(S291,Insumos!A:A,Insumos!D:D),"")</f>
        <v/>
      </c>
      <c r="AC291" s="239">
        <f t="shared" ca="1" si="224"/>
        <v>1.2792309238556278E-5</v>
      </c>
      <c r="AE291" s="240">
        <f ca="1">IFERROR(IF(OR(Z291="",Z291=0),"",IF(AF291="","",IF(AF291="R$/mês",Z291/OBRA!$D$12,IF(AF291="R$/m²",Z291/OBRA!$D$10,IF(AF291="R$/apto",Orçamento!Z291/OBRA!$D$11,""))))),"")</f>
        <v>4.5887731532937438E-2</v>
      </c>
      <c r="AF291" s="241" t="s">
        <v>154</v>
      </c>
    </row>
    <row r="292" spans="1:32" s="10" customFormat="1" ht="13.15" hidden="1" customHeight="1" outlineLevel="4" x14ac:dyDescent="0.2">
      <c r="A292" s="227"/>
      <c r="B292" s="228" t="s">
        <v>19</v>
      </c>
      <c r="C292" s="229">
        <f t="shared" si="222"/>
        <v>29</v>
      </c>
      <c r="D292" s="227" t="str">
        <f t="shared" si="193"/>
        <v/>
      </c>
      <c r="E292" s="228" t="str">
        <f t="shared" ca="1" si="217"/>
        <v>04.001.002.007</v>
      </c>
      <c r="F292" s="230">
        <f ca="1">IF($B292="UNIDADE CONSTRUTIVA",OFFSET(F292,-1,0)+1,LARGE(F$10:F291,1))</f>
        <v>2</v>
      </c>
      <c r="G292" s="228" t="str">
        <f t="shared" ref="G292:G361" ca="1" si="239">IF(B292="*","",IF(B292="UNIDADE CONSTRUTIVA",S292,OFFSET(G292,-1,0)))</f>
        <v xml:space="preserve">   GERENCIAMENTO EXECUTIVO</v>
      </c>
      <c r="H292" s="230">
        <f t="shared" ca="1" si="218"/>
        <v>4</v>
      </c>
      <c r="I292" s="228" t="str">
        <f t="shared" ref="I292:I361" ca="1" si="240">IF(B292="*","",IF(B292="CÉLULA CONSTRUTIVA",S292,OFFSET(I292,-1,0)))</f>
        <v xml:space="preserve">   SUPRAESTRUTURA</v>
      </c>
      <c r="J292" s="230">
        <f t="shared" ca="1" si="219"/>
        <v>1</v>
      </c>
      <c r="K292" s="228" t="str">
        <f t="shared" ref="K292:K361" ca="1" si="241">IF(B292="*","",IF(B292="ETAPA",S292,OFFSET(K292,-1,0)))</f>
        <v xml:space="preserve">   SUPRAESTRUTURA - 1º PAVIMENTO - SUBSOLO</v>
      </c>
      <c r="L292" s="231">
        <f t="shared" ca="1" si="220"/>
        <v>2</v>
      </c>
      <c r="M292" s="228" t="str">
        <f t="shared" ref="M292:M361" ca="1" si="242">IF(B292="*","",IF(B292="SUBETAPA",S292,OFFSET(M292,-1,0)))</f>
        <v xml:space="preserve">   Forma</v>
      </c>
      <c r="N292" s="231">
        <f t="shared" ca="1" si="221"/>
        <v>7</v>
      </c>
      <c r="O292" s="228" t="str">
        <f t="shared" ref="O292:O361" ca="1" si="243">IF(B292="*","",IF(B292="SERVIÇO",S292,OFFSET(O292,-1,0)))</f>
        <v>Montagem e desmontagem de fôrma para vigas em chapa de madeira compensada plastificada</v>
      </c>
      <c r="P292" s="232" t="str">
        <f>IF(S292="","",IF(Orçamento!$B292="INSUMO",S292,""))</f>
        <v>DESMOLDANTE</v>
      </c>
      <c r="Q292" s="244" t="str">
        <f t="shared" si="199"/>
        <v/>
      </c>
      <c r="R292" s="234">
        <f t="shared" ref="R292:R361" ca="1" si="244">IF(B292="serviço",U292,OFFSET(R292,-1,0))</f>
        <v>31.699965000000002</v>
      </c>
      <c r="S292" s="233" t="s">
        <v>171</v>
      </c>
      <c r="T292" s="242" t="str">
        <f>_xlfn.XLOOKUP(S292,Insumos!$A$3:$A$371,Insumos!$B$3:$B$371)</f>
        <v>L</v>
      </c>
      <c r="U292" s="235">
        <f ca="1">IF($B292="insumo",R292,"")</f>
        <v>31.699965000000002</v>
      </c>
      <c r="V292" s="320">
        <v>0.06</v>
      </c>
      <c r="W292" s="236">
        <f>IFERROR(IF(B292="INSUMO",_xlfn.XLOOKUP(S292,Insumos!A:A,Insumos!C:C),""),"Inserir Preço")</f>
        <v>6.34</v>
      </c>
      <c r="X292" s="235">
        <f ca="1">IF(B292="Complemento do insumo",V292,IF(R292="","",IF(B292="serviço",R292,IF(OR(B292="insumo"),V292*R292,""))))</f>
        <v>1.9019979</v>
      </c>
      <c r="Y292" s="236">
        <f t="shared" si="192"/>
        <v>0.38039999999999996</v>
      </c>
      <c r="Z292" s="237">
        <f t="shared" ca="1" si="223"/>
        <v>12.058666686</v>
      </c>
      <c r="AA292" s="238"/>
      <c r="AB292" s="233" t="str">
        <f>IF(B292="insumo",_xlfn.XLOOKUP(S292,Insumos!A:A,Insumos!D:D),"")</f>
        <v xml:space="preserve"> </v>
      </c>
      <c r="AC292" s="239">
        <f t="shared" ca="1" si="224"/>
        <v>1.7299256774371414E-6</v>
      </c>
      <c r="AE292" s="240">
        <f ca="1">IFERROR(IF(OR(Z292="",Z292=0),"",IF(AF292="","",IF(AF292="R$/mês",Z292/OBRA!$D$12,IF(AF292="R$/m²",Z292/OBRA!$D$10,IF(AF292="R$/apto",Orçamento!Z292/OBRA!$D$11,""))))),"")</f>
        <v>6.2054757728112475E-3</v>
      </c>
      <c r="AF292" s="241" t="s">
        <v>154</v>
      </c>
    </row>
    <row r="293" spans="1:32" s="10" customFormat="1" ht="13.15" hidden="1" customHeight="1" outlineLevel="4" x14ac:dyDescent="0.2">
      <c r="A293" s="227"/>
      <c r="B293" s="228" t="s">
        <v>19</v>
      </c>
      <c r="C293" s="229">
        <f t="shared" si="222"/>
        <v>44</v>
      </c>
      <c r="D293" s="227" t="str">
        <f t="shared" si="193"/>
        <v/>
      </c>
      <c r="E293" s="228" t="str">
        <f t="shared" ca="1" si="217"/>
        <v>04.001.002.007</v>
      </c>
      <c r="F293" s="230">
        <f ca="1">IF($B293="UNIDADE CONSTRUTIVA",OFFSET(F293,-1,0)+1,LARGE(F$10:F292,1))</f>
        <v>2</v>
      </c>
      <c r="G293" s="228" t="str">
        <f t="shared" ca="1" si="239"/>
        <v xml:space="preserve">   GERENCIAMENTO EXECUTIVO</v>
      </c>
      <c r="H293" s="230">
        <f t="shared" ca="1" si="218"/>
        <v>4</v>
      </c>
      <c r="I293" s="228" t="str">
        <f t="shared" ca="1" si="240"/>
        <v xml:space="preserve">   SUPRAESTRUTURA</v>
      </c>
      <c r="J293" s="230">
        <f t="shared" ca="1" si="219"/>
        <v>1</v>
      </c>
      <c r="K293" s="228" t="str">
        <f t="shared" ca="1" si="241"/>
        <v xml:space="preserve">   SUPRAESTRUTURA - 1º PAVIMENTO - SUBSOLO</v>
      </c>
      <c r="L293" s="231">
        <f t="shared" ca="1" si="220"/>
        <v>2</v>
      </c>
      <c r="M293" s="228" t="str">
        <f t="shared" ca="1" si="242"/>
        <v xml:space="preserve">   Forma</v>
      </c>
      <c r="N293" s="231">
        <f t="shared" ca="1" si="221"/>
        <v>7</v>
      </c>
      <c r="O293" s="228" t="str">
        <f t="shared" ca="1" si="243"/>
        <v>Montagem e desmontagem de fôrma para vigas em chapa de madeira compensada plastificada</v>
      </c>
      <c r="P293" s="232" t="str">
        <f>IF(S293="","",IF(Orçamento!$B293="INSUMO",S293,""))</f>
        <v>PREGO 17 x 21 COM CABECA</v>
      </c>
      <c r="Q293" s="244" t="str">
        <f t="shared" si="199"/>
        <v/>
      </c>
      <c r="R293" s="234">
        <f t="shared" ca="1" si="244"/>
        <v>31.699965000000002</v>
      </c>
      <c r="S293" s="233" t="s">
        <v>173</v>
      </c>
      <c r="T293" s="242" t="str">
        <f>_xlfn.XLOOKUP(S293,Insumos!$A$3:$A$371,Insumos!$B$3:$B$371)</f>
        <v>KG</v>
      </c>
      <c r="U293" s="235">
        <f ca="1">IF($B293="insumo",R293,"")</f>
        <v>31.699965000000002</v>
      </c>
      <c r="V293" s="320">
        <v>0.155</v>
      </c>
      <c r="W293" s="236">
        <f>IFERROR(IF(B293="INSUMO",_xlfn.XLOOKUP(S293,Insumos!A:A,Insumos!C:C),""),"Inserir Preço")</f>
        <v>13</v>
      </c>
      <c r="X293" s="235">
        <f ca="1">IF(B293="Complemento do insumo",V293,IF(R293="","",IF(B293="serviço",R293,IF(OR(B293="insumo"),V293*R293,""))))</f>
        <v>4.9134945750000005</v>
      </c>
      <c r="Y293" s="236">
        <f t="shared" si="192"/>
        <v>2.0150000000000001</v>
      </c>
      <c r="Z293" s="237">
        <f t="shared" ca="1" si="223"/>
        <v>63.875429475000004</v>
      </c>
      <c r="AA293" s="238"/>
      <c r="AB293" s="233" t="str">
        <f>IF(B293="insumo",_xlfn.XLOOKUP(S293,Insumos!A:A,Insumos!D:D),"")</f>
        <v xml:space="preserve"> </v>
      </c>
      <c r="AC293" s="239">
        <f t="shared" ca="1" si="224"/>
        <v>9.1635127235432184E-6</v>
      </c>
      <c r="AE293" s="240">
        <f ca="1">IFERROR(IF(OR(Z293="",Z293=0),"",IF(AF293="","",IF(AF293="R$/mês",Z293/OBRA!$D$12,IF(AF293="R$/m²",Z293/OBRA!$D$10,IF(AF293="R$/apto",Orçamento!Z293/OBRA!$D$11,""))))),"")</f>
        <v>3.287075100477041E-2</v>
      </c>
      <c r="AF293" s="241" t="s">
        <v>154</v>
      </c>
    </row>
    <row r="294" spans="1:32" s="10" customFormat="1" ht="13.15" hidden="1" customHeight="1" outlineLevel="4" x14ac:dyDescent="0.2">
      <c r="A294" s="227"/>
      <c r="B294" s="228" t="s">
        <v>19</v>
      </c>
      <c r="C294" s="229">
        <f t="shared" si="222"/>
        <v>26</v>
      </c>
      <c r="D294" s="227" t="str">
        <f t="shared" si="193"/>
        <v/>
      </c>
      <c r="E294" s="228" t="str">
        <f t="shared" ca="1" si="217"/>
        <v>04.001.002.007</v>
      </c>
      <c r="F294" s="230">
        <f ca="1">IF($B294="UNIDADE CONSTRUTIVA",OFFSET(F294,-1,0)+1,LARGE(F$10:F293,1))</f>
        <v>2</v>
      </c>
      <c r="G294" s="228" t="str">
        <f t="shared" ca="1" si="239"/>
        <v xml:space="preserve">   GERENCIAMENTO EXECUTIVO</v>
      </c>
      <c r="H294" s="230">
        <f t="shared" ca="1" si="218"/>
        <v>4</v>
      </c>
      <c r="I294" s="228" t="str">
        <f t="shared" ca="1" si="240"/>
        <v xml:space="preserve">   SUPRAESTRUTURA</v>
      </c>
      <c r="J294" s="230">
        <f t="shared" ca="1" si="219"/>
        <v>1</v>
      </c>
      <c r="K294" s="228" t="str">
        <f t="shared" ca="1" si="241"/>
        <v xml:space="preserve">   SUPRAESTRUTURA - 1º PAVIMENTO - SUBSOLO</v>
      </c>
      <c r="L294" s="231">
        <f t="shared" ca="1" si="220"/>
        <v>2</v>
      </c>
      <c r="M294" s="228" t="str">
        <f t="shared" ca="1" si="242"/>
        <v xml:space="preserve">   Forma</v>
      </c>
      <c r="N294" s="231">
        <f t="shared" ca="1" si="221"/>
        <v>7</v>
      </c>
      <c r="O294" s="228" t="str">
        <f t="shared" ca="1" si="243"/>
        <v>Montagem e desmontagem de fôrma para vigas em chapa de madeira compensada plastificada</v>
      </c>
      <c r="P294" s="232" t="str">
        <f>IF(S294="","",IF(Orçamento!$B294="INSUMO",S294,""))</f>
        <v>MADEIRA PINUS/SIMILAR - PONTALETE 75X75MM NBR 11700/15696</v>
      </c>
      <c r="Q294" s="244" t="str">
        <f t="shared" si="199"/>
        <v/>
      </c>
      <c r="R294" s="234">
        <f t="shared" ca="1" si="244"/>
        <v>31.699965000000002</v>
      </c>
      <c r="S294" s="233" t="s">
        <v>807</v>
      </c>
      <c r="T294" s="242" t="str">
        <f>_xlfn.XLOOKUP(S294,Insumos!$A$3:$A$371,Insumos!$B$3:$B$371)</f>
        <v>M</v>
      </c>
      <c r="U294" s="235">
        <f ca="1">IF($B294="insumo",R294,"")</f>
        <v>31.699965000000002</v>
      </c>
      <c r="V294" s="320">
        <v>1E-3</v>
      </c>
      <c r="W294" s="236">
        <f>IFERROR(IF(B294="INSUMO",_xlfn.XLOOKUP(S294,Insumos!A:A,Insumos!C:C),""),"Inserir Preço")</f>
        <v>7</v>
      </c>
      <c r="X294" s="235">
        <f ca="1">IF(B294="Complemento do insumo",V294,IF(R294="","",IF(B294="serviço",R294,IF(OR(B294="insumo"),V294*R294,""))))</f>
        <v>3.1699965000000004E-2</v>
      </c>
      <c r="Y294" s="236">
        <f t="shared" si="192"/>
        <v>7.0000000000000001E-3</v>
      </c>
      <c r="Z294" s="237">
        <f t="shared" ca="1" si="223"/>
        <v>0.22189975500000003</v>
      </c>
      <c r="AA294" s="238"/>
      <c r="AB294" s="233" t="str">
        <f>IF(B294="insumo",_xlfn.XLOOKUP(S294,Insumos!A:A,Insumos!D:D),"")</f>
        <v xml:space="preserve"> </v>
      </c>
      <c r="AC294" s="239">
        <f t="shared" ca="1" si="224"/>
        <v>3.183354296019977E-8</v>
      </c>
      <c r="AE294" s="240">
        <f ca="1">IFERROR(IF(OR(Z294="",Z294=0),"",IF(AF294="","",IF(AF294="R$/mês",Z294/OBRA!$D$12,IF(AF294="R$/m²",Z294/OBRA!$D$10,IF(AF294="R$/apto",Orçamento!Z294/OBRA!$D$11,""))))),"")</f>
        <v>1.1419119455751508E-4</v>
      </c>
      <c r="AF294" s="241" t="s">
        <v>154</v>
      </c>
    </row>
    <row r="295" spans="1:32" s="10" customFormat="1" ht="13.15" hidden="1" customHeight="1" outlineLevel="4" x14ac:dyDescent="0.2">
      <c r="A295" s="227"/>
      <c r="B295" s="228" t="s">
        <v>19</v>
      </c>
      <c r="C295" s="229">
        <f t="shared" si="222"/>
        <v>20</v>
      </c>
      <c r="D295" s="227" t="str">
        <f t="shared" si="193"/>
        <v/>
      </c>
      <c r="E295" s="228" t="str">
        <f t="shared" ca="1" si="217"/>
        <v>04.001.002.007</v>
      </c>
      <c r="F295" s="230">
        <f ca="1">IF($B295="UNIDADE CONSTRUTIVA",OFFSET(F295,-1,0)+1,LARGE(F$10:F294,1))</f>
        <v>2</v>
      </c>
      <c r="G295" s="228" t="str">
        <f t="shared" ca="1" si="239"/>
        <v xml:space="preserve">   GERENCIAMENTO EXECUTIVO</v>
      </c>
      <c r="H295" s="230">
        <f t="shared" ca="1" si="218"/>
        <v>4</v>
      </c>
      <c r="I295" s="228" t="str">
        <f t="shared" ca="1" si="240"/>
        <v xml:space="preserve">   SUPRAESTRUTURA</v>
      </c>
      <c r="J295" s="230">
        <f t="shared" ca="1" si="219"/>
        <v>1</v>
      </c>
      <c r="K295" s="228" t="str">
        <f t="shared" ca="1" si="241"/>
        <v xml:space="preserve">   SUPRAESTRUTURA - 1º PAVIMENTO - SUBSOLO</v>
      </c>
      <c r="L295" s="231">
        <f t="shared" ca="1" si="220"/>
        <v>2</v>
      </c>
      <c r="M295" s="228" t="str">
        <f t="shared" ca="1" si="242"/>
        <v xml:space="preserve">   Forma</v>
      </c>
      <c r="N295" s="231">
        <f t="shared" ca="1" si="221"/>
        <v>7</v>
      </c>
      <c r="O295" s="228" t="str">
        <f t="shared" ca="1" si="243"/>
        <v>Montagem e desmontagem de fôrma para vigas em chapa de madeira compensada plastificada</v>
      </c>
      <c r="P295" s="232" t="str">
        <f>IF(S295="","",IF(Orçamento!$B295="INSUMO",S295,""))</f>
        <v>Arame recozido 12 BWG</v>
      </c>
      <c r="Q295" s="244" t="str">
        <f t="shared" si="199"/>
        <v/>
      </c>
      <c r="R295" s="234">
        <f t="shared" ca="1" si="244"/>
        <v>31.699965000000002</v>
      </c>
      <c r="S295" s="233" t="s">
        <v>196</v>
      </c>
      <c r="T295" s="242" t="str">
        <f>_xlfn.XLOOKUP(S295,Insumos!$A$3:$A$371,Insumos!$B$3:$B$371)</f>
        <v>KG</v>
      </c>
      <c r="U295" s="235">
        <f ca="1">IF($B295="insumo",R295,"")</f>
        <v>31.699965000000002</v>
      </c>
      <c r="V295" s="320">
        <v>3.5700000000000003E-2</v>
      </c>
      <c r="W295" s="236">
        <f>IFERROR(IF(B295="INSUMO",_xlfn.XLOOKUP(S295,Insumos!A:A,Insumos!C:C),""),"Inserir Preço")</f>
        <v>11.5</v>
      </c>
      <c r="X295" s="235">
        <f ca="1">IF(B295="Complemento do insumo",V295,IF(R295="","",IF(B295="serviço",R295,IF(OR(B295="insumo"),V295*R295,""))))</f>
        <v>1.1316887505000002</v>
      </c>
      <c r="Y295" s="236">
        <f t="shared" si="192"/>
        <v>0.41055000000000003</v>
      </c>
      <c r="Z295" s="237">
        <f t="shared" ca="1" si="223"/>
        <v>13.014420630750003</v>
      </c>
      <c r="AA295" s="238"/>
      <c r="AB295" s="233" t="str">
        <f>IF(B295="insumo",_xlfn.XLOOKUP(S295,Insumos!A:A,Insumos!D:D),"")</f>
        <v>Base de Dados</v>
      </c>
      <c r="AC295" s="239">
        <f t="shared" ca="1" si="224"/>
        <v>1.8670372946157166E-6</v>
      </c>
      <c r="AE295" s="240">
        <f ca="1">IFERROR(IF(OR(Z295="",Z295=0),"",IF(AF295="","",IF(AF295="R$/mês",Z295/OBRA!$D$12,IF(AF295="R$/m²",Z295/OBRA!$D$10,IF(AF295="R$/apto",Orçamento!Z295/OBRA!$D$11,""))))),"")</f>
        <v>6.6973135607982601E-3</v>
      </c>
      <c r="AF295" s="241" t="s">
        <v>154</v>
      </c>
    </row>
    <row r="296" spans="1:32" s="10" customFormat="1" ht="13.15" hidden="1" customHeight="1" outlineLevel="4" x14ac:dyDescent="0.2">
      <c r="A296" s="227"/>
      <c r="B296" s="228" t="s">
        <v>4</v>
      </c>
      <c r="C296" s="229">
        <f t="shared" si="222"/>
        <v>5</v>
      </c>
      <c r="D296" s="227" t="str">
        <f t="shared" ref="D296:D361" ca="1" si="245">IF(B296="Unidade Construtiva",TEXT(F296,"00"),IF(B296="Célula Construtiva",TEXT(H296,"00"),IF(B296="Etapa",CONCATENATE(TEXT(H296,"00"),".",TEXT(J296,"000")),IF(B296="Subetapa",CONCATENATE(TEXT(H296,"00"),".",TEXT(J296,"000"),".",TEXT(L296,"000")),IF(B296="Serviço",CONCATENATE(TEXT(H296,"00"),".",TEXT(J296,"000"),".",TEXT(L296,"000"),".",TEXT(N296,"000")),"")))))</f>
        <v>04.001.002.008</v>
      </c>
      <c r="E296" s="228" t="str">
        <f t="shared" ca="1" si="217"/>
        <v>04.001.002.008</v>
      </c>
      <c r="F296" s="230">
        <f ca="1">IF($B296="UNIDADE CONSTRUTIVA",OFFSET(F296,-1,0)+1,LARGE(F$10:F295,1))</f>
        <v>2</v>
      </c>
      <c r="G296" s="228" t="str">
        <f t="shared" ca="1" si="239"/>
        <v xml:space="preserve">   GERENCIAMENTO EXECUTIVO</v>
      </c>
      <c r="H296" s="230">
        <f t="shared" ca="1" si="218"/>
        <v>4</v>
      </c>
      <c r="I296" s="228" t="str">
        <f t="shared" ca="1" si="240"/>
        <v xml:space="preserve">   SUPRAESTRUTURA</v>
      </c>
      <c r="J296" s="230">
        <f t="shared" ca="1" si="219"/>
        <v>1</v>
      </c>
      <c r="K296" s="228" t="str">
        <f t="shared" ca="1" si="241"/>
        <v xml:space="preserve">   SUPRAESTRUTURA - 1º PAVIMENTO - SUBSOLO</v>
      </c>
      <c r="L296" s="231">
        <f t="shared" ca="1" si="220"/>
        <v>2</v>
      </c>
      <c r="M296" s="228" t="str">
        <f t="shared" ca="1" si="242"/>
        <v xml:space="preserve">   Forma</v>
      </c>
      <c r="N296" s="231">
        <f t="shared" ca="1" si="221"/>
        <v>8</v>
      </c>
      <c r="O296" s="228" t="str">
        <f t="shared" ca="1" si="243"/>
        <v>Montagem de fôrma para escadarias em chapa de madeira compensada plastificada e=14 mm - 2 jogos</v>
      </c>
      <c r="P296" s="232" t="str">
        <f>IF(S296="","",IF(Orçamento!$B296="INSUMO",S296,""))</f>
        <v/>
      </c>
      <c r="Q296" s="244" t="str">
        <f t="shared" ref="Q296:Q361" si="246">IF(B296="","",IF(B296="Serviço",S296,""))</f>
        <v>Montagem de fôrma para escadarias em chapa de madeira compensada plastificada e=14 mm - 2 jogos</v>
      </c>
      <c r="R296" s="234">
        <f t="shared" ca="1" si="244"/>
        <v>29.843699999999998</v>
      </c>
      <c r="S296" s="233" t="s">
        <v>199</v>
      </c>
      <c r="T296" s="242" t="s">
        <v>140</v>
      </c>
      <c r="U296" s="235">
        <v>29.843699999999998</v>
      </c>
      <c r="V296" s="320" t="s">
        <v>35</v>
      </c>
      <c r="W296" s="236" t="str">
        <f>IFERROR(IF(B296="INSUMO",_xlfn.XLOOKUP(S296,Insumos!A:A,Insumos!C:C),""),"Inserir Preço")</f>
        <v/>
      </c>
      <c r="X296" s="235">
        <f t="shared" ref="X296:X361" ca="1" si="247">IF(B296="Complemento do insumo",V296,IF(R296="","",IF(B296="serviço",R296,IF(OR(B296="insumo"),V296*R296,""))))</f>
        <v>29.843699999999998</v>
      </c>
      <c r="Y296" s="236">
        <f t="shared" ref="Y296:Y359" ca="1" si="248">IF(B296="insumo",W296*V296,IF(B296="serviço",SUMIFS(Y:Y,B:B,"insumo",E:E,E296,I:I,I296),""))</f>
        <v>1.6489499999999999</v>
      </c>
      <c r="Z296" s="237">
        <f t="shared" ca="1" si="223"/>
        <v>49.210769114999998</v>
      </c>
      <c r="AA296" s="238"/>
      <c r="AB296" s="233" t="str">
        <f>IF(B296="insumo",_xlfn.XLOOKUP(S296,Insumos!A:A,Insumos!D:D),"")</f>
        <v/>
      </c>
      <c r="AC296" s="239">
        <f t="shared" ca="1" si="224"/>
        <v>7.0597334941934667E-6</v>
      </c>
      <c r="AE296" s="240">
        <f ca="1">IFERROR(IF(OR(Z296="",Z296=0),"",IF(AF296="","",IF(AF296="R$/mês",Z296/OBRA!$D$12,IF(AF296="R$/m²",Z296/OBRA!$D$10,IF(AF296="R$/apto",Orçamento!Z296/OBRA!$D$11,""))))),"")</f>
        <v>2.5324212324325992E-2</v>
      </c>
      <c r="AF296" s="241" t="s">
        <v>154</v>
      </c>
    </row>
    <row r="297" spans="1:32" s="10" customFormat="1" ht="13.15" hidden="1" customHeight="1" outlineLevel="4" x14ac:dyDescent="0.2">
      <c r="A297" s="227"/>
      <c r="B297" s="228" t="s">
        <v>19</v>
      </c>
      <c r="C297" s="229">
        <f t="shared" si="222"/>
        <v>29</v>
      </c>
      <c r="D297" s="227" t="str">
        <f t="shared" si="245"/>
        <v/>
      </c>
      <c r="E297" s="228" t="str">
        <f t="shared" ca="1" si="217"/>
        <v>04.001.002.008</v>
      </c>
      <c r="F297" s="230">
        <f ca="1">IF($B297="UNIDADE CONSTRUTIVA",OFFSET(F297,-1,0)+1,LARGE(F$10:F296,1))</f>
        <v>2</v>
      </c>
      <c r="G297" s="228" t="str">
        <f t="shared" ca="1" si="239"/>
        <v xml:space="preserve">   GERENCIAMENTO EXECUTIVO</v>
      </c>
      <c r="H297" s="230">
        <f t="shared" ca="1" si="218"/>
        <v>4</v>
      </c>
      <c r="I297" s="228" t="str">
        <f t="shared" ca="1" si="240"/>
        <v xml:space="preserve">   SUPRAESTRUTURA</v>
      </c>
      <c r="J297" s="230">
        <f t="shared" ca="1" si="219"/>
        <v>1</v>
      </c>
      <c r="K297" s="228" t="str">
        <f t="shared" ca="1" si="241"/>
        <v xml:space="preserve">   SUPRAESTRUTURA - 1º PAVIMENTO - SUBSOLO</v>
      </c>
      <c r="L297" s="231">
        <f t="shared" ca="1" si="220"/>
        <v>2</v>
      </c>
      <c r="M297" s="228" t="str">
        <f t="shared" ca="1" si="242"/>
        <v xml:space="preserve">   Forma</v>
      </c>
      <c r="N297" s="231">
        <f t="shared" ca="1" si="221"/>
        <v>8</v>
      </c>
      <c r="O297" s="228" t="str">
        <f t="shared" ca="1" si="243"/>
        <v>Montagem de fôrma para escadarias em chapa de madeira compensada plastificada e=14 mm - 2 jogos</v>
      </c>
      <c r="P297" s="232" t="str">
        <f>IF(S297="","",IF(Orçamento!$B297="INSUMO",S297,""))</f>
        <v>DESMOLDANTE</v>
      </c>
      <c r="Q297" s="244" t="str">
        <f t="shared" si="246"/>
        <v/>
      </c>
      <c r="R297" s="234">
        <f t="shared" ca="1" si="244"/>
        <v>29.843699999999998</v>
      </c>
      <c r="S297" s="233" t="s">
        <v>171</v>
      </c>
      <c r="T297" s="242" t="str">
        <f>_xlfn.XLOOKUP(S297,Insumos!$A$3:$A$371,Insumos!$B$3:$B$371)</f>
        <v>L</v>
      </c>
      <c r="U297" s="235">
        <f ca="1">IF($B297="insumo",R297,"")</f>
        <v>29.843699999999998</v>
      </c>
      <c r="V297" s="320">
        <v>0.06</v>
      </c>
      <c r="W297" s="236">
        <f>IFERROR(IF(B297="INSUMO",_xlfn.XLOOKUP(S297,Insumos!A:A,Insumos!C:C),""),"Inserir Preço")</f>
        <v>6.34</v>
      </c>
      <c r="X297" s="235">
        <f t="shared" ca="1" si="247"/>
        <v>1.7906219999999999</v>
      </c>
      <c r="Y297" s="236">
        <f t="shared" si="248"/>
        <v>0.38039999999999996</v>
      </c>
      <c r="Z297" s="237">
        <f t="shared" ca="1" si="223"/>
        <v>11.35254348</v>
      </c>
      <c r="AA297" s="238"/>
      <c r="AB297" s="233" t="str">
        <f>IF(B297="insumo",_xlfn.XLOOKUP(S297,Insumos!A:A,Insumos!D:D),"")</f>
        <v xml:space="preserve"> </v>
      </c>
      <c r="AC297" s="239">
        <f t="shared" ca="1" si="224"/>
        <v>1.6286258656667543E-6</v>
      </c>
      <c r="AE297" s="240">
        <f ca="1">IFERROR(IF(OR(Z297="",Z297=0),"",IF(AF297="","",IF(AF297="R$/mês",Z297/OBRA!$D$12,IF(AF297="R$/m²",Z297/OBRA!$D$10,IF(AF297="R$/apto",Orçamento!Z297/OBRA!$D$11,""))))),"")</f>
        <v>5.8420997411526166E-3</v>
      </c>
      <c r="AF297" s="241" t="s">
        <v>154</v>
      </c>
    </row>
    <row r="298" spans="1:32" s="10" customFormat="1" ht="13.15" hidden="1" customHeight="1" outlineLevel="4" x14ac:dyDescent="0.2">
      <c r="A298" s="227"/>
      <c r="B298" s="228" t="s">
        <v>19</v>
      </c>
      <c r="C298" s="229">
        <f t="shared" si="222"/>
        <v>44</v>
      </c>
      <c r="D298" s="227" t="str">
        <f t="shared" si="245"/>
        <v/>
      </c>
      <c r="E298" s="228" t="str">
        <f t="shared" ca="1" si="217"/>
        <v>04.001.002.008</v>
      </c>
      <c r="F298" s="230">
        <f ca="1">IF($B298="UNIDADE CONSTRUTIVA",OFFSET(F298,-1,0)+1,LARGE(F$10:F297,1))</f>
        <v>2</v>
      </c>
      <c r="G298" s="228" t="str">
        <f t="shared" ca="1" si="239"/>
        <v xml:space="preserve">   GERENCIAMENTO EXECUTIVO</v>
      </c>
      <c r="H298" s="230">
        <f t="shared" ca="1" si="218"/>
        <v>4</v>
      </c>
      <c r="I298" s="228" t="str">
        <f t="shared" ca="1" si="240"/>
        <v xml:space="preserve">   SUPRAESTRUTURA</v>
      </c>
      <c r="J298" s="230">
        <f t="shared" ca="1" si="219"/>
        <v>1</v>
      </c>
      <c r="K298" s="228" t="str">
        <f t="shared" ca="1" si="241"/>
        <v xml:space="preserve">   SUPRAESTRUTURA - 1º PAVIMENTO - SUBSOLO</v>
      </c>
      <c r="L298" s="231">
        <f t="shared" ca="1" si="220"/>
        <v>2</v>
      </c>
      <c r="M298" s="228" t="str">
        <f t="shared" ca="1" si="242"/>
        <v xml:space="preserve">   Forma</v>
      </c>
      <c r="N298" s="231">
        <f t="shared" ca="1" si="221"/>
        <v>8</v>
      </c>
      <c r="O298" s="228" t="str">
        <f t="shared" ca="1" si="243"/>
        <v>Montagem de fôrma para escadarias em chapa de madeira compensada plastificada e=14 mm - 2 jogos</v>
      </c>
      <c r="P298" s="232" t="str">
        <f>IF(S298="","",IF(Orçamento!$B298="INSUMO",S298,""))</f>
        <v>PREGO 17 x 21 COM CABECA</v>
      </c>
      <c r="Q298" s="244" t="str">
        <f t="shared" si="246"/>
        <v/>
      </c>
      <c r="R298" s="234">
        <f t="shared" ca="1" si="244"/>
        <v>29.843699999999998</v>
      </c>
      <c r="S298" s="233" t="s">
        <v>173</v>
      </c>
      <c r="T298" s="242" t="str">
        <f>_xlfn.XLOOKUP(S298,Insumos!$A$3:$A$371,Insumos!$B$3:$B$371)</f>
        <v>KG</v>
      </c>
      <c r="U298" s="235">
        <f ca="1">IF($B298="insumo",R298,"")</f>
        <v>29.843699999999998</v>
      </c>
      <c r="V298" s="320">
        <v>6.6000000000000003E-2</v>
      </c>
      <c r="W298" s="236">
        <f>IFERROR(IF(B298="INSUMO",_xlfn.XLOOKUP(S298,Insumos!A:A,Insumos!C:C),""),"Inserir Preço")</f>
        <v>13</v>
      </c>
      <c r="X298" s="235">
        <f t="shared" ca="1" si="247"/>
        <v>1.9696841999999999</v>
      </c>
      <c r="Y298" s="236">
        <f t="shared" si="248"/>
        <v>0.8580000000000001</v>
      </c>
      <c r="Z298" s="237">
        <f t="shared" ca="1" si="223"/>
        <v>25.605894599999999</v>
      </c>
      <c r="AA298" s="238"/>
      <c r="AB298" s="233" t="str">
        <f>IF(B298="insumo",_xlfn.XLOOKUP(S298,Insumos!A:A,Insumos!D:D),"")</f>
        <v xml:space="preserve"> </v>
      </c>
      <c r="AC298" s="239">
        <f t="shared" ca="1" si="224"/>
        <v>3.6733990345480421E-6</v>
      </c>
      <c r="AE298" s="240">
        <f ca="1">IFERROR(IF(OR(Z298="",Z298=0),"",IF(AF298="","",IF(AF298="R$/mês",Z298/OBRA!$D$12,IF(AF298="R$/m²",Z298/OBRA!$D$10,IF(AF298="R$/apto",Orçamento!Z298/OBRA!$D$11,""))))),"")</f>
        <v>1.3176975756858425E-2</v>
      </c>
      <c r="AF298" s="241" t="s">
        <v>154</v>
      </c>
    </row>
    <row r="299" spans="1:32" s="10" customFormat="1" ht="13.15" hidden="1" customHeight="1" outlineLevel="4" x14ac:dyDescent="0.2">
      <c r="A299" s="227"/>
      <c r="B299" s="228" t="s">
        <v>19</v>
      </c>
      <c r="C299" s="229">
        <f t="shared" si="222"/>
        <v>20</v>
      </c>
      <c r="D299" s="227" t="str">
        <f t="shared" si="245"/>
        <v/>
      </c>
      <c r="E299" s="228" t="str">
        <f t="shared" ca="1" si="217"/>
        <v>04.001.002.008</v>
      </c>
      <c r="F299" s="230">
        <f ca="1">IF($B299="UNIDADE CONSTRUTIVA",OFFSET(F299,-1,0)+1,LARGE(F$10:F298,1))</f>
        <v>2</v>
      </c>
      <c r="G299" s="228" t="str">
        <f t="shared" ca="1" si="239"/>
        <v xml:space="preserve">   GERENCIAMENTO EXECUTIVO</v>
      </c>
      <c r="H299" s="230">
        <f t="shared" ca="1" si="218"/>
        <v>4</v>
      </c>
      <c r="I299" s="228" t="str">
        <f t="shared" ca="1" si="240"/>
        <v xml:space="preserve">   SUPRAESTRUTURA</v>
      </c>
      <c r="J299" s="230">
        <f t="shared" ca="1" si="219"/>
        <v>1</v>
      </c>
      <c r="K299" s="228" t="str">
        <f t="shared" ca="1" si="241"/>
        <v xml:space="preserve">   SUPRAESTRUTURA - 1º PAVIMENTO - SUBSOLO</v>
      </c>
      <c r="L299" s="231">
        <f t="shared" ca="1" si="220"/>
        <v>2</v>
      </c>
      <c r="M299" s="228" t="str">
        <f t="shared" ca="1" si="242"/>
        <v xml:space="preserve">   Forma</v>
      </c>
      <c r="N299" s="231">
        <f t="shared" ca="1" si="221"/>
        <v>8</v>
      </c>
      <c r="O299" s="228" t="str">
        <f t="shared" ca="1" si="243"/>
        <v>Montagem de fôrma para escadarias em chapa de madeira compensada plastificada e=14 mm - 2 jogos</v>
      </c>
      <c r="P299" s="232" t="str">
        <f>IF(S299="","",IF(Orçamento!$B299="INSUMO",S299,""))</f>
        <v>Arame recozido 12 BWG</v>
      </c>
      <c r="Q299" s="244" t="str">
        <f t="shared" si="246"/>
        <v/>
      </c>
      <c r="R299" s="234">
        <f t="shared" ca="1" si="244"/>
        <v>29.843699999999998</v>
      </c>
      <c r="S299" s="233" t="s">
        <v>196</v>
      </c>
      <c r="T299" s="242" t="str">
        <f>_xlfn.XLOOKUP(S299,Insumos!$A$3:$A$371,Insumos!$B$3:$B$371)</f>
        <v>KG</v>
      </c>
      <c r="U299" s="235">
        <f ca="1">IF($B299="insumo",R299,"")</f>
        <v>29.843699999999998</v>
      </c>
      <c r="V299" s="320">
        <v>3.5700000000000003E-2</v>
      </c>
      <c r="W299" s="236">
        <f>IFERROR(IF(B299="INSUMO",_xlfn.XLOOKUP(S299,Insumos!A:A,Insumos!C:C),""),"Inserir Preço")</f>
        <v>11.5</v>
      </c>
      <c r="X299" s="235">
        <f t="shared" ca="1" si="247"/>
        <v>1.0654200899999999</v>
      </c>
      <c r="Y299" s="236">
        <f t="shared" si="248"/>
        <v>0.41055000000000003</v>
      </c>
      <c r="Z299" s="237">
        <f t="shared" ca="1" si="223"/>
        <v>12.252331034999999</v>
      </c>
      <c r="AA299" s="238"/>
      <c r="AB299" s="233" t="str">
        <f>IF(B299="insumo",_xlfn.XLOOKUP(S299,Insumos!A:A,Insumos!D:D),"")</f>
        <v>Base de Dados</v>
      </c>
      <c r="AC299" s="239">
        <f t="shared" ca="1" si="224"/>
        <v>1.7577085939786698E-6</v>
      </c>
      <c r="AE299" s="240">
        <f ca="1">IFERROR(IF(OR(Z299="",Z299=0),"",IF(AF299="","",IF(AF299="R$/mês",Z299/OBRA!$D$12,IF(AF299="R$/m²",Z299/OBRA!$D$10,IF(AF299="R$/apto",Orçamento!Z299/OBRA!$D$11,""))))),"")</f>
        <v>6.305136826314949E-3</v>
      </c>
      <c r="AF299" s="241" t="s">
        <v>154</v>
      </c>
    </row>
    <row r="300" spans="1:32" s="10" customFormat="1" ht="13.15" hidden="1" customHeight="1" outlineLevel="3" collapsed="1" x14ac:dyDescent="0.2">
      <c r="A300" s="227"/>
      <c r="B300" s="228" t="s">
        <v>3</v>
      </c>
      <c r="C300" s="229" t="str">
        <f t="shared" si="222"/>
        <v/>
      </c>
      <c r="D300" s="227" t="str">
        <f t="shared" ca="1" si="245"/>
        <v>04.001.003</v>
      </c>
      <c r="E300" s="228" t="str">
        <f t="shared" ca="1" si="217"/>
        <v>04.001.002.008</v>
      </c>
      <c r="F300" s="230">
        <f ca="1">IF($B300="UNIDADE CONSTRUTIVA",OFFSET(F300,-1,0)+1,LARGE(F$10:F299,1))</f>
        <v>2</v>
      </c>
      <c r="G300" s="228" t="str">
        <f t="shared" ca="1" si="239"/>
        <v xml:space="preserve">   GERENCIAMENTO EXECUTIVO</v>
      </c>
      <c r="H300" s="230">
        <f t="shared" ca="1" si="218"/>
        <v>4</v>
      </c>
      <c r="I300" s="228" t="str">
        <f t="shared" ca="1" si="240"/>
        <v xml:space="preserve">   SUPRAESTRUTURA</v>
      </c>
      <c r="J300" s="230">
        <f t="shared" ca="1" si="219"/>
        <v>1</v>
      </c>
      <c r="K300" s="228" t="str">
        <f t="shared" ca="1" si="241"/>
        <v xml:space="preserve">   SUPRAESTRUTURA - 1º PAVIMENTO - SUBSOLO</v>
      </c>
      <c r="L300" s="231">
        <f t="shared" ca="1" si="220"/>
        <v>3</v>
      </c>
      <c r="M300" s="228" t="str">
        <f t="shared" ca="1" si="242"/>
        <v xml:space="preserve">   Concreto</v>
      </c>
      <c r="N300" s="231">
        <f t="shared" ca="1" si="221"/>
        <v>0</v>
      </c>
      <c r="O300" s="228" t="str">
        <f t="shared" ca="1" si="243"/>
        <v>Montagem de fôrma para escadarias em chapa de madeira compensada plastificada e=14 mm - 2 jogos</v>
      </c>
      <c r="P300" s="232" t="str">
        <f>IF(S300="","",IF(Orçamento!$B300="INSUMO",S300,""))</f>
        <v/>
      </c>
      <c r="Q300" s="244" t="str">
        <f t="shared" si="246"/>
        <v/>
      </c>
      <c r="R300" s="234">
        <f t="shared" ca="1" si="244"/>
        <v>29.843699999999998</v>
      </c>
      <c r="S300" s="233" t="s">
        <v>435</v>
      </c>
      <c r="T300" s="242" t="s">
        <v>35</v>
      </c>
      <c r="U300" s="235" t="str">
        <f>IF($B300="insumo",R300,"")</f>
        <v/>
      </c>
      <c r="V300" s="320" t="s">
        <v>35</v>
      </c>
      <c r="W300" s="236" t="str">
        <f>IFERROR(IF(B300="INSUMO",_xlfn.XLOOKUP(S300,Insumos!A:A,Insumos!C:C),""),"Inserir Preço")</f>
        <v/>
      </c>
      <c r="X300" s="235" t="str">
        <f t="shared" ca="1" si="247"/>
        <v/>
      </c>
      <c r="Y300" s="236" t="str">
        <f t="shared" si="248"/>
        <v/>
      </c>
      <c r="Z300" s="237">
        <f t="shared" ca="1" si="223"/>
        <v>6248.8055827050002</v>
      </c>
      <c r="AA300" s="238"/>
      <c r="AB300" s="233" t="str">
        <f>IF(B300="insumo",_xlfn.XLOOKUP(S300,Insumos!A:A,Insumos!D:D),"")</f>
        <v/>
      </c>
      <c r="AC300" s="239">
        <f t="shared" ca="1" si="224"/>
        <v>8.9644813247754932E-4</v>
      </c>
      <c r="AE300" s="240">
        <f ca="1">IFERROR(IF(OR(Z300="",Z300=0),"",IF(AF300="","",IF(AF300="R$/mês",Z300/OBRA!$D$12,IF(AF300="R$/m²",Z300/OBRA!$D$10,IF(AF300="R$/apto",Orçamento!Z300/OBRA!$D$11,""))))),"")</f>
        <v>3.2156798643006748</v>
      </c>
      <c r="AF300" s="241" t="s">
        <v>154</v>
      </c>
    </row>
    <row r="301" spans="1:32" s="10" customFormat="1" ht="13.15" hidden="1" customHeight="1" outlineLevel="4" x14ac:dyDescent="0.2">
      <c r="A301" s="227"/>
      <c r="B301" s="228" t="s">
        <v>4</v>
      </c>
      <c r="C301" s="229">
        <f t="shared" si="222"/>
        <v>5</v>
      </c>
      <c r="D301" s="227" t="str">
        <f t="shared" ca="1" si="245"/>
        <v>04.001.003.001</v>
      </c>
      <c r="E301" s="228" t="str">
        <f t="shared" ca="1" si="217"/>
        <v>04.001.003.001</v>
      </c>
      <c r="F301" s="230">
        <f ca="1">IF($B301="UNIDADE CONSTRUTIVA",OFFSET(F301,-1,0)+1,LARGE(F$10:F300,1))</f>
        <v>2</v>
      </c>
      <c r="G301" s="228" t="str">
        <f t="shared" ca="1" si="239"/>
        <v xml:space="preserve">   GERENCIAMENTO EXECUTIVO</v>
      </c>
      <c r="H301" s="230">
        <f t="shared" ca="1" si="218"/>
        <v>4</v>
      </c>
      <c r="I301" s="228" t="str">
        <f t="shared" ca="1" si="240"/>
        <v xml:space="preserve">   SUPRAESTRUTURA</v>
      </c>
      <c r="J301" s="230">
        <f t="shared" ca="1" si="219"/>
        <v>1</v>
      </c>
      <c r="K301" s="228" t="str">
        <f t="shared" ca="1" si="241"/>
        <v xml:space="preserve">   SUPRAESTRUTURA - 1º PAVIMENTO - SUBSOLO</v>
      </c>
      <c r="L301" s="231">
        <f t="shared" ca="1" si="220"/>
        <v>3</v>
      </c>
      <c r="M301" s="228" t="str">
        <f t="shared" ca="1" si="242"/>
        <v xml:space="preserve">   Concreto</v>
      </c>
      <c r="N301" s="231">
        <f t="shared" ca="1" si="221"/>
        <v>1</v>
      </c>
      <c r="O301" s="228" t="str">
        <f t="shared" ca="1" si="243"/>
        <v>Concreto usinado bombeavel para supraestrutura Fck 35MPa com Brita 0 SLUMP = 12 +/- 2 incluindo servico de bombeamento</v>
      </c>
      <c r="P301" s="232" t="str">
        <f>IF(S301="","",IF(Orçamento!$B301="INSUMO",S301,""))</f>
        <v/>
      </c>
      <c r="Q301" s="244" t="str">
        <f t="shared" si="246"/>
        <v>Concreto usinado bombeavel para supraestrutura Fck 35MPa com Brita 0 SLUMP = 12 +/- 2 incluindo servico de bombeamento</v>
      </c>
      <c r="R301" s="234">
        <f t="shared" ca="1" si="244"/>
        <v>12.24650875</v>
      </c>
      <c r="S301" s="233" t="s">
        <v>614</v>
      </c>
      <c r="T301" s="242" t="s">
        <v>166</v>
      </c>
      <c r="U301" s="235">
        <v>12.24650875</v>
      </c>
      <c r="V301" s="320" t="s">
        <v>35</v>
      </c>
      <c r="W301" s="236" t="str">
        <f>IFERROR(IF(B301="INSUMO",_xlfn.XLOOKUP(S301,Insumos!A:A,Insumos!C:C),""),"Inserir Preço")</f>
        <v/>
      </c>
      <c r="X301" s="235">
        <f t="shared" ca="1" si="247"/>
        <v>12.24650875</v>
      </c>
      <c r="Y301" s="236">
        <f t="shared" ca="1" si="248"/>
        <v>510.25200000000001</v>
      </c>
      <c r="Z301" s="237">
        <f t="shared" ca="1" si="223"/>
        <v>6248.8055827050002</v>
      </c>
      <c r="AA301" s="238"/>
      <c r="AB301" s="233" t="str">
        <f>IF(B301="insumo",_xlfn.XLOOKUP(S301,Insumos!A:A,Insumos!D:D),"")</f>
        <v/>
      </c>
      <c r="AC301" s="239">
        <f t="shared" ca="1" si="224"/>
        <v>8.9644813247754932E-4</v>
      </c>
      <c r="AE301" s="240">
        <f ca="1">IFERROR(IF(OR(Z301="",Z301=0),"",IF(AF301="","",IF(AF301="R$/mês",Z301/OBRA!$D$12,IF(AF301="R$/m²",Z301/OBRA!$D$10,IF(AF301="R$/apto",Orçamento!Z301/OBRA!$D$11,""))))),"")</f>
        <v>3.2156798643006748</v>
      </c>
      <c r="AF301" s="241" t="s">
        <v>154</v>
      </c>
    </row>
    <row r="302" spans="1:32" s="10" customFormat="1" ht="13.15" hidden="1" customHeight="1" outlineLevel="4" x14ac:dyDescent="0.2">
      <c r="A302" s="227"/>
      <c r="B302" s="228" t="s">
        <v>19</v>
      </c>
      <c r="C302" s="229">
        <f t="shared" si="222"/>
        <v>5</v>
      </c>
      <c r="D302" s="227" t="str">
        <f t="shared" si="245"/>
        <v/>
      </c>
      <c r="E302" s="228" t="str">
        <f t="shared" ca="1" si="217"/>
        <v>04.001.003.001</v>
      </c>
      <c r="F302" s="230">
        <f ca="1">IF($B302="UNIDADE CONSTRUTIVA",OFFSET(F302,-1,0)+1,LARGE(F$10:F301,1))</f>
        <v>2</v>
      </c>
      <c r="G302" s="228" t="str">
        <f t="shared" ca="1" si="239"/>
        <v xml:space="preserve">   GERENCIAMENTO EXECUTIVO</v>
      </c>
      <c r="H302" s="230">
        <f t="shared" ca="1" si="218"/>
        <v>4</v>
      </c>
      <c r="I302" s="228" t="str">
        <f t="shared" ca="1" si="240"/>
        <v xml:space="preserve">   SUPRAESTRUTURA</v>
      </c>
      <c r="J302" s="230">
        <f t="shared" ca="1" si="219"/>
        <v>1</v>
      </c>
      <c r="K302" s="228" t="str">
        <f t="shared" ca="1" si="241"/>
        <v xml:space="preserve">   SUPRAESTRUTURA - 1º PAVIMENTO - SUBSOLO</v>
      </c>
      <c r="L302" s="231">
        <f t="shared" ca="1" si="220"/>
        <v>3</v>
      </c>
      <c r="M302" s="228" t="str">
        <f t="shared" ca="1" si="242"/>
        <v xml:space="preserve">   Concreto</v>
      </c>
      <c r="N302" s="231">
        <f t="shared" ca="1" si="221"/>
        <v>1</v>
      </c>
      <c r="O302" s="228" t="str">
        <f t="shared" ca="1" si="243"/>
        <v>Concreto usinado bombeavel para supraestrutura Fck 35MPa com Brita 0 SLUMP = 12 +/- 2 incluindo servico de bombeamento</v>
      </c>
      <c r="P302" s="232" t="str">
        <f>IF(S302="","",IF(Orçamento!$B302="INSUMO",S302,""))</f>
        <v>Cimento Portland CP II - E</v>
      </c>
      <c r="Q302" s="244" t="str">
        <f t="shared" si="246"/>
        <v/>
      </c>
      <c r="R302" s="234">
        <f t="shared" ca="1" si="244"/>
        <v>12.24650875</v>
      </c>
      <c r="S302" s="233" t="s">
        <v>201</v>
      </c>
      <c r="T302" s="242" t="str">
        <f>_xlfn.XLOOKUP(S302,Insumos!$A$3:$A$371,Insumos!$B$3:$B$371)</f>
        <v>KG</v>
      </c>
      <c r="U302" s="235">
        <f ca="1">IF($B302="insumo",R302,"")</f>
        <v>12.24650875</v>
      </c>
      <c r="V302" s="320">
        <v>1.67</v>
      </c>
      <c r="W302" s="236">
        <f>IFERROR(IF(B302="INSUMO",_xlfn.XLOOKUP(S302,Insumos!A:A,Insumos!C:C),""),"Inserir Preço")</f>
        <v>0.6</v>
      </c>
      <c r="X302" s="235">
        <f t="shared" ca="1" si="247"/>
        <v>20.451669612499998</v>
      </c>
      <c r="Y302" s="236">
        <f t="shared" si="248"/>
        <v>1.002</v>
      </c>
      <c r="Z302" s="237">
        <f t="shared" ca="1" si="223"/>
        <v>12.271001767499998</v>
      </c>
      <c r="AA302" s="238"/>
      <c r="AB302" s="233" t="str">
        <f>IF(B302="insumo",_xlfn.XLOOKUP(S302,Insumos!A:A,Insumos!D:D),"")</f>
        <v xml:space="preserve"> </v>
      </c>
      <c r="AC302" s="239">
        <f t="shared" ca="1" si="224"/>
        <v>1.7603870807806813E-6</v>
      </c>
      <c r="AE302" s="240">
        <f ca="1">IFERROR(IF(OR(Z302="",Z302=0),"",IF(AF302="","",IF(AF302="R$/mês",Z302/OBRA!$D$12,IF(AF302="R$/m²",Z302/OBRA!$D$10,IF(AF302="R$/apto",Orçamento!Z302/OBRA!$D$11,""))))),"")</f>
        <v>6.3147449182546569E-3</v>
      </c>
      <c r="AF302" s="241" t="s">
        <v>154</v>
      </c>
    </row>
    <row r="303" spans="1:32" s="10" customFormat="1" ht="13.15" hidden="1" customHeight="1" outlineLevel="4" x14ac:dyDescent="0.2">
      <c r="A303" s="227"/>
      <c r="B303" s="228" t="s">
        <v>19</v>
      </c>
      <c r="C303" s="229">
        <f t="shared" si="222"/>
        <v>6</v>
      </c>
      <c r="D303" s="227" t="str">
        <f t="shared" si="245"/>
        <v/>
      </c>
      <c r="E303" s="228" t="str">
        <f t="shared" ca="1" si="217"/>
        <v>04.001.003.001</v>
      </c>
      <c r="F303" s="230">
        <f ca="1">IF($B303="UNIDADE CONSTRUTIVA",OFFSET(F303,-1,0)+1,LARGE(F$10:F302,1))</f>
        <v>2</v>
      </c>
      <c r="G303" s="228" t="str">
        <f t="shared" ca="1" si="239"/>
        <v xml:space="preserve">   GERENCIAMENTO EXECUTIVO</v>
      </c>
      <c r="H303" s="230">
        <f t="shared" ca="1" si="218"/>
        <v>4</v>
      </c>
      <c r="I303" s="228" t="str">
        <f t="shared" ca="1" si="240"/>
        <v xml:space="preserve">   SUPRAESTRUTURA</v>
      </c>
      <c r="J303" s="230">
        <f t="shared" ca="1" si="219"/>
        <v>1</v>
      </c>
      <c r="K303" s="228" t="str">
        <f t="shared" ca="1" si="241"/>
        <v xml:space="preserve">   SUPRAESTRUTURA - 1º PAVIMENTO - SUBSOLO</v>
      </c>
      <c r="L303" s="231">
        <f t="shared" ca="1" si="220"/>
        <v>3</v>
      </c>
      <c r="M303" s="228" t="str">
        <f t="shared" ca="1" si="242"/>
        <v xml:space="preserve">   Concreto</v>
      </c>
      <c r="N303" s="231">
        <f t="shared" ca="1" si="221"/>
        <v>1</v>
      </c>
      <c r="O303" s="228" t="str">
        <f t="shared" ca="1" si="243"/>
        <v>Concreto usinado bombeavel para supraestrutura Fck 35MPa com Brita 0 SLUMP = 12 +/- 2 incluindo servico de bombeamento</v>
      </c>
      <c r="P303" s="232" t="str">
        <f>IF(S303="","",IF(Orçamento!$B303="INSUMO",S303,""))</f>
        <v>BOMBEAMENTO DE CONCRETO USINADO</v>
      </c>
      <c r="Q303" s="244" t="str">
        <f t="shared" si="246"/>
        <v/>
      </c>
      <c r="R303" s="234">
        <f t="shared" ca="1" si="244"/>
        <v>12.24650875</v>
      </c>
      <c r="S303" s="233" t="s">
        <v>167</v>
      </c>
      <c r="T303" s="242" t="str">
        <f>_xlfn.XLOOKUP(S303,Insumos!$A$3:$A$371,Insumos!$B$3:$B$371)</f>
        <v>M3</v>
      </c>
      <c r="U303" s="235">
        <f ca="1">IF($B303="insumo",R303,"")</f>
        <v>12.24650875</v>
      </c>
      <c r="V303" s="320">
        <v>1.05</v>
      </c>
      <c r="W303" s="236">
        <f>IFERROR(IF(B303="INSUMO",_xlfn.XLOOKUP(S303,Insumos!A:A,Insumos!C:C),""),"Inserir Preço")</f>
        <v>35</v>
      </c>
      <c r="X303" s="235">
        <f t="shared" ca="1" si="247"/>
        <v>12.858834187500001</v>
      </c>
      <c r="Y303" s="236">
        <f t="shared" si="248"/>
        <v>36.75</v>
      </c>
      <c r="Z303" s="237">
        <f t="shared" ca="1" si="223"/>
        <v>450.05919656250006</v>
      </c>
      <c r="AA303" s="238"/>
      <c r="AB303" s="233" t="str">
        <f>IF(B303="insumo",_xlfn.XLOOKUP(S303,Insumos!A:A,Insumos!D:D),"")</f>
        <v>Engemix</v>
      </c>
      <c r="AC303" s="239">
        <f t="shared" ca="1" si="224"/>
        <v>6.4565095028632793E-5</v>
      </c>
      <c r="AE303" s="240">
        <f ca="1">IFERROR(IF(OR(Z303="",Z303=0),"",IF(AF303="","",IF(AF303="R$/mês",Z303/OBRA!$D$12,IF(AF303="R$/m²",Z303/OBRA!$D$10,IF(AF303="R$/apto",Orçamento!Z303/OBRA!$D$11,""))))),"")</f>
        <v>0.23160366840904065</v>
      </c>
      <c r="AF303" s="241" t="s">
        <v>154</v>
      </c>
    </row>
    <row r="304" spans="1:32" s="10" customFormat="1" ht="13.15" hidden="1" customHeight="1" outlineLevel="4" x14ac:dyDescent="0.2">
      <c r="A304" s="227"/>
      <c r="B304" s="228" t="s">
        <v>19</v>
      </c>
      <c r="C304" s="229">
        <f t="shared" si="222"/>
        <v>6</v>
      </c>
      <c r="D304" s="227" t="str">
        <f t="shared" si="245"/>
        <v/>
      </c>
      <c r="E304" s="228" t="str">
        <f t="shared" ca="1" si="217"/>
        <v>04.001.003.001</v>
      </c>
      <c r="F304" s="230">
        <f ca="1">IF($B304="UNIDADE CONSTRUTIVA",OFFSET(F304,-1,0)+1,LARGE(F$10:F303,1))</f>
        <v>2</v>
      </c>
      <c r="G304" s="228" t="str">
        <f t="shared" ca="1" si="239"/>
        <v xml:space="preserve">   GERENCIAMENTO EXECUTIVO</v>
      </c>
      <c r="H304" s="230">
        <f t="shared" ca="1" si="218"/>
        <v>4</v>
      </c>
      <c r="I304" s="228" t="str">
        <f t="shared" ca="1" si="240"/>
        <v xml:space="preserve">   SUPRAESTRUTURA</v>
      </c>
      <c r="J304" s="230">
        <f t="shared" ca="1" si="219"/>
        <v>1</v>
      </c>
      <c r="K304" s="228" t="str">
        <f t="shared" ca="1" si="241"/>
        <v xml:space="preserve">   SUPRAESTRUTURA - 1º PAVIMENTO - SUBSOLO</v>
      </c>
      <c r="L304" s="231">
        <f t="shared" ca="1" si="220"/>
        <v>3</v>
      </c>
      <c r="M304" s="228" t="str">
        <f t="shared" ca="1" si="242"/>
        <v xml:space="preserve">   Concreto</v>
      </c>
      <c r="N304" s="231">
        <f t="shared" ca="1" si="221"/>
        <v>1</v>
      </c>
      <c r="O304" s="228" t="str">
        <f t="shared" ca="1" si="243"/>
        <v>Concreto usinado bombeavel para supraestrutura Fck 35MPa com Brita 0 SLUMP = 12 +/- 2 incluindo servico de bombeamento</v>
      </c>
      <c r="P304" s="232" t="str">
        <f>IF(S304="","",IF(Orçamento!$B304="INSUMO",S304,""))</f>
        <v>Concreto 35 MPA, brita 1, slump 12+-2</v>
      </c>
      <c r="Q304" s="244" t="str">
        <f t="shared" si="246"/>
        <v/>
      </c>
      <c r="R304" s="234">
        <f t="shared" ca="1" si="244"/>
        <v>12.24650875</v>
      </c>
      <c r="S304" s="233" t="s">
        <v>820</v>
      </c>
      <c r="T304" s="242" t="str">
        <f>_xlfn.XLOOKUP(S304,Insumos!$A$3:$A$371,Insumos!$B$3:$B$371)</f>
        <v>M3</v>
      </c>
      <c r="U304" s="235">
        <f ca="1">IF($B304="insumo",R304,"")</f>
        <v>12.24650875</v>
      </c>
      <c r="V304" s="320">
        <v>1.05</v>
      </c>
      <c r="W304" s="236">
        <f>IFERROR(IF(B304="INSUMO",_xlfn.XLOOKUP(S304,Insumos!A:A,Insumos!C:C),""),"Inserir Preço")</f>
        <v>450</v>
      </c>
      <c r="X304" s="235">
        <f t="shared" ca="1" si="247"/>
        <v>12.858834187500001</v>
      </c>
      <c r="Y304" s="236">
        <f t="shared" si="248"/>
        <v>472.5</v>
      </c>
      <c r="Z304" s="237">
        <f t="shared" ca="1" si="223"/>
        <v>5786.4753843750004</v>
      </c>
      <c r="AA304" s="238"/>
      <c r="AB304" s="233" t="str">
        <f>IF(B304="insumo",_xlfn.XLOOKUP(S304,Insumos!A:A,Insumos!D:D),"")</f>
        <v>Recebido Cliente</v>
      </c>
      <c r="AC304" s="239">
        <f t="shared" ca="1" si="224"/>
        <v>8.3012265036813584E-4</v>
      </c>
      <c r="AD304" s="376"/>
      <c r="AE304" s="240">
        <f ca="1">IFERROR(IF(OR(Z304="",Z304=0),"",IF(AF304="","",IF(AF304="R$/mês",Z304/OBRA!$D$12,IF(AF304="R$/m²",Z304/OBRA!$D$10,IF(AF304="R$/apto",Orçamento!Z304/OBRA!$D$11,""))))),"")</f>
        <v>2.9777614509733796</v>
      </c>
      <c r="AF304" s="241" t="s">
        <v>154</v>
      </c>
    </row>
    <row r="305" spans="1:32" s="10" customFormat="1" ht="13.15" hidden="1" customHeight="1" outlineLevel="3" collapsed="1" x14ac:dyDescent="0.2">
      <c r="A305" s="227"/>
      <c r="B305" s="228" t="s">
        <v>3</v>
      </c>
      <c r="C305" s="229" t="str">
        <f t="shared" si="222"/>
        <v/>
      </c>
      <c r="D305" s="227" t="str">
        <f t="shared" ca="1" si="245"/>
        <v>04.001.004</v>
      </c>
      <c r="E305" s="228" t="str">
        <f t="shared" ca="1" si="217"/>
        <v>04.001.003.001</v>
      </c>
      <c r="F305" s="230">
        <f ca="1">IF($B305="UNIDADE CONSTRUTIVA",OFFSET(F305,-1,0)+1,LARGE(F$10:F304,1))</f>
        <v>2</v>
      </c>
      <c r="G305" s="228" t="str">
        <f t="shared" ca="1" si="239"/>
        <v xml:space="preserve">   GERENCIAMENTO EXECUTIVO</v>
      </c>
      <c r="H305" s="230">
        <f t="shared" ca="1" si="218"/>
        <v>4</v>
      </c>
      <c r="I305" s="228" t="str">
        <f t="shared" ca="1" si="240"/>
        <v xml:space="preserve">   SUPRAESTRUTURA</v>
      </c>
      <c r="J305" s="230">
        <f t="shared" ca="1" si="219"/>
        <v>1</v>
      </c>
      <c r="K305" s="228" t="str">
        <f t="shared" ca="1" si="241"/>
        <v xml:space="preserve">   SUPRAESTRUTURA - 1º PAVIMENTO - SUBSOLO</v>
      </c>
      <c r="L305" s="231">
        <f t="shared" ca="1" si="220"/>
        <v>4</v>
      </c>
      <c r="M305" s="228" t="str">
        <f t="shared" ca="1" si="242"/>
        <v xml:space="preserve">   Mão de Obra</v>
      </c>
      <c r="N305" s="231">
        <f t="shared" ca="1" si="221"/>
        <v>0</v>
      </c>
      <c r="O305" s="228" t="str">
        <f t="shared" ca="1" si="243"/>
        <v>Concreto usinado bombeavel para supraestrutura Fck 35MPa com Brita 0 SLUMP = 12 +/- 2 incluindo servico de bombeamento</v>
      </c>
      <c r="P305" s="232" t="str">
        <f>IF(S305="","",IF(Orçamento!$B305="INSUMO",S305,""))</f>
        <v/>
      </c>
      <c r="Q305" s="244" t="str">
        <f t="shared" si="246"/>
        <v/>
      </c>
      <c r="R305" s="234">
        <f t="shared" ca="1" si="244"/>
        <v>12.24650875</v>
      </c>
      <c r="S305" s="233" t="s">
        <v>438</v>
      </c>
      <c r="T305" s="242" t="s">
        <v>35</v>
      </c>
      <c r="U305" s="235" t="str">
        <f>IF($B305="insumo",R305,"")</f>
        <v/>
      </c>
      <c r="V305" s="320" t="s">
        <v>35</v>
      </c>
      <c r="W305" s="236" t="str">
        <f>IFERROR(IF(B305="INSUMO",_xlfn.XLOOKUP(S305,Insumos!A:A,Insumos!C:C),""),"Inserir Preço")</f>
        <v/>
      </c>
      <c r="X305" s="235" t="str">
        <f t="shared" ca="1" si="247"/>
        <v/>
      </c>
      <c r="Y305" s="236" t="str">
        <f t="shared" si="248"/>
        <v/>
      </c>
      <c r="Z305" s="237">
        <f t="shared" ca="1" si="223"/>
        <v>33984.766673530496</v>
      </c>
      <c r="AA305" s="238"/>
      <c r="AB305" s="233" t="str">
        <f>IF(B305="insumo",_xlfn.XLOOKUP(S305,Insumos!A:A,Insumos!D:D),"")</f>
        <v/>
      </c>
      <c r="AC305" s="239">
        <f t="shared" ca="1" si="224"/>
        <v>4.8754246253863518E-3</v>
      </c>
      <c r="AE305" s="240">
        <f ca="1">IFERROR(IF(OR(Z305="",Z305=0),"",IF(AF305="","",IF(AF305="R$/mês",Z305/OBRA!$D$12,IF(AF305="R$/m²",Z305/OBRA!$D$10,IF(AF305="R$/apto",Orçamento!Z305/OBRA!$D$11,""))))),"")</f>
        <v>17.488803010210059</v>
      </c>
      <c r="AF305" s="241" t="s">
        <v>154</v>
      </c>
    </row>
    <row r="306" spans="1:32" s="10" customFormat="1" ht="13.15" hidden="1" customHeight="1" outlineLevel="4" x14ac:dyDescent="0.2">
      <c r="A306" s="227"/>
      <c r="B306" s="228" t="s">
        <v>4</v>
      </c>
      <c r="C306" s="229">
        <f t="shared" si="222"/>
        <v>5</v>
      </c>
      <c r="D306" s="227" t="str">
        <f t="shared" ca="1" si="245"/>
        <v>04.001.004.001</v>
      </c>
      <c r="E306" s="228" t="str">
        <f t="shared" ca="1" si="217"/>
        <v>04.001.004.001</v>
      </c>
      <c r="F306" s="230">
        <f ca="1">IF($B306="UNIDADE CONSTRUTIVA",OFFSET(F306,-1,0)+1,LARGE(F$10:F305,1))</f>
        <v>2</v>
      </c>
      <c r="G306" s="228" t="str">
        <f t="shared" ca="1" si="239"/>
        <v xml:space="preserve">   GERENCIAMENTO EXECUTIVO</v>
      </c>
      <c r="H306" s="230">
        <f t="shared" ca="1" si="218"/>
        <v>4</v>
      </c>
      <c r="I306" s="228" t="str">
        <f t="shared" ca="1" si="240"/>
        <v xml:space="preserve">   SUPRAESTRUTURA</v>
      </c>
      <c r="J306" s="230">
        <f t="shared" ca="1" si="219"/>
        <v>1</v>
      </c>
      <c r="K306" s="228" t="str">
        <f t="shared" ca="1" si="241"/>
        <v xml:space="preserve">   SUPRAESTRUTURA - 1º PAVIMENTO - SUBSOLO</v>
      </c>
      <c r="L306" s="231">
        <f t="shared" ca="1" si="220"/>
        <v>4</v>
      </c>
      <c r="M306" s="228" t="str">
        <f t="shared" ca="1" si="242"/>
        <v xml:space="preserve">   Mão de Obra</v>
      </c>
      <c r="N306" s="231">
        <f t="shared" ca="1" si="221"/>
        <v>1</v>
      </c>
      <c r="O306" s="228" t="str">
        <f t="shared" ca="1" si="243"/>
        <v>Mao de obra  - para execucacao de estrutura de concreto armado em supraestrutura</v>
      </c>
      <c r="P306" s="232" t="str">
        <f>IF(S306="","",IF(Orçamento!$B306="INSUMO",S306,""))</f>
        <v/>
      </c>
      <c r="Q306" s="244" t="str">
        <f t="shared" si="246"/>
        <v>Mao de obra  - para execucacao de estrutura de concreto armado em supraestrutura</v>
      </c>
      <c r="R306" s="234">
        <f t="shared" ca="1" si="244"/>
        <v>103.30266499999999</v>
      </c>
      <c r="S306" s="233" t="s">
        <v>1167</v>
      </c>
      <c r="T306" s="242" t="s">
        <v>140</v>
      </c>
      <c r="U306" s="235">
        <f>U276+U271+U266</f>
        <v>103.30266499999999</v>
      </c>
      <c r="V306" s="320" t="s">
        <v>35</v>
      </c>
      <c r="W306" s="236" t="str">
        <f>IFERROR(IF(B306="INSUMO",_xlfn.XLOOKUP(S306,Insumos!A:A,Insumos!C:C),""),"Inserir Preço")</f>
        <v/>
      </c>
      <c r="X306" s="235">
        <f t="shared" ca="1" si="247"/>
        <v>103.30266499999999</v>
      </c>
      <c r="Y306" s="236">
        <f t="shared" ca="1" si="248"/>
        <v>328.98247759174944</v>
      </c>
      <c r="Z306" s="237">
        <f t="shared" ca="1" si="223"/>
        <v>33984.766673530496</v>
      </c>
      <c r="AA306" s="238"/>
      <c r="AB306" s="233" t="str">
        <f>IF(B306="insumo",_xlfn.XLOOKUP(S306,Insumos!A:A,Insumos!D:D),"")</f>
        <v/>
      </c>
      <c r="AC306" s="239">
        <f t="shared" ca="1" si="224"/>
        <v>4.8754246253863518E-3</v>
      </c>
      <c r="AE306" s="240">
        <f ca="1">IFERROR(IF(OR(Z306="",Z306=0),"",IF(AF306="","",IF(AF306="R$/mês",Z306/OBRA!$D$12,IF(AF306="R$/m²",Z306/OBRA!$D$10,IF(AF306="R$/apto",Orçamento!Z306/OBRA!$D$11,""))))),"")</f>
        <v>17.488803010210059</v>
      </c>
      <c r="AF306" s="241" t="s">
        <v>154</v>
      </c>
    </row>
    <row r="307" spans="1:32" s="10" customFormat="1" ht="13.15" hidden="1" customHeight="1" outlineLevel="4" x14ac:dyDescent="0.2">
      <c r="A307" s="227"/>
      <c r="B307" s="228" t="s">
        <v>19</v>
      </c>
      <c r="C307" s="229">
        <f t="shared" si="222"/>
        <v>5</v>
      </c>
      <c r="D307" s="227" t="str">
        <f t="shared" si="245"/>
        <v/>
      </c>
      <c r="E307" s="228" t="str">
        <f t="shared" ca="1" si="217"/>
        <v>04.001.004.001</v>
      </c>
      <c r="F307" s="230">
        <f ca="1">IF($B307="UNIDADE CONSTRUTIVA",OFFSET(F307,-1,0)+1,LARGE(F$10:F306,1))</f>
        <v>2</v>
      </c>
      <c r="G307" s="228" t="str">
        <f t="shared" ca="1" si="239"/>
        <v xml:space="preserve">   GERENCIAMENTO EXECUTIVO</v>
      </c>
      <c r="H307" s="230">
        <f t="shared" ca="1" si="218"/>
        <v>4</v>
      </c>
      <c r="I307" s="228" t="str">
        <f t="shared" ca="1" si="240"/>
        <v xml:space="preserve">   SUPRAESTRUTURA</v>
      </c>
      <c r="J307" s="230">
        <f t="shared" ca="1" si="219"/>
        <v>1</v>
      </c>
      <c r="K307" s="228" t="str">
        <f t="shared" ca="1" si="241"/>
        <v xml:space="preserve">   SUPRAESTRUTURA - 1º PAVIMENTO - SUBSOLO</v>
      </c>
      <c r="L307" s="231">
        <f t="shared" ca="1" si="220"/>
        <v>4</v>
      </c>
      <c r="M307" s="228" t="str">
        <f t="shared" ca="1" si="242"/>
        <v xml:space="preserve">   Mão de Obra</v>
      </c>
      <c r="N307" s="231">
        <f t="shared" ca="1" si="221"/>
        <v>1</v>
      </c>
      <c r="O307" s="228" t="str">
        <f t="shared" ca="1" si="243"/>
        <v>Mao de obra  - para execucacao de estrutura de concreto armado em supraestrutura</v>
      </c>
      <c r="P307" s="232" t="str">
        <f>IF(S307="","",IF(Orçamento!$B307="INSUMO",S307,""))</f>
        <v>MAO DE OBRA PARA EXECUCAO DE SUPRAESTRUTURA EM CONCRETO ARMADO</v>
      </c>
      <c r="Q307" s="244" t="str">
        <f t="shared" si="246"/>
        <v/>
      </c>
      <c r="R307" s="234">
        <f t="shared" ca="1" si="244"/>
        <v>103.30266499999999</v>
      </c>
      <c r="S307" s="233" t="s">
        <v>204</v>
      </c>
      <c r="T307" s="242" t="str">
        <f>_xlfn.XLOOKUP(S307,Insumos!$A$3:$A$371,Insumos!$B$3:$B$371)</f>
        <v>M2</v>
      </c>
      <c r="U307" s="235">
        <f ca="1">IF($B307="insumo",R307,"")</f>
        <v>103.30266499999999</v>
      </c>
      <c r="V307" s="320">
        <v>1</v>
      </c>
      <c r="W307" s="236">
        <f>IFERROR(IF(B307="INSUMO",_xlfn.XLOOKUP(S307,Insumos!A:A,Insumos!C:C),""),"Inserir Preço")</f>
        <v>328.98247759174944</v>
      </c>
      <c r="X307" s="235">
        <f t="shared" ca="1" si="247"/>
        <v>103.30266499999999</v>
      </c>
      <c r="Y307" s="236">
        <f t="shared" si="248"/>
        <v>328.98247759174944</v>
      </c>
      <c r="Z307" s="237">
        <f t="shared" ca="1" si="223"/>
        <v>33984.766673530496</v>
      </c>
      <c r="AA307" s="238"/>
      <c r="AB307" s="233" t="str">
        <f>IF(B307="insumo",_xlfn.XLOOKUP(S307,Insumos!A:A,Insumos!D:D),"")</f>
        <v>Aba Custo Serviços</v>
      </c>
      <c r="AC307" s="239">
        <f t="shared" ca="1" si="224"/>
        <v>4.8754246253863518E-3</v>
      </c>
      <c r="AE307" s="240">
        <f ca="1">IFERROR(IF(OR(Z307="",Z307=0),"",IF(AF307="","",IF(AF307="R$/mês",Z307/OBRA!$D$12,IF(AF307="R$/m²",Z307/OBRA!$D$10,IF(AF307="R$/apto",Orçamento!Z307/OBRA!$D$11,""))))),"")</f>
        <v>17.488803010210059</v>
      </c>
      <c r="AF307" s="241" t="s">
        <v>154</v>
      </c>
    </row>
    <row r="308" spans="1:32" s="10" customFormat="1" ht="13.15" customHeight="1" outlineLevel="2" collapsed="1" x14ac:dyDescent="0.2">
      <c r="A308" s="227"/>
      <c r="B308" s="228" t="s">
        <v>2</v>
      </c>
      <c r="C308" s="229" t="str">
        <f t="shared" si="222"/>
        <v/>
      </c>
      <c r="D308" s="227" t="str">
        <f t="shared" ca="1" si="245"/>
        <v>04.002</v>
      </c>
      <c r="E308" s="228" t="str">
        <f t="shared" ca="1" si="217"/>
        <v>04.001.004.001</v>
      </c>
      <c r="F308" s="230">
        <f ca="1">IF($B308="UNIDADE CONSTRUTIVA",OFFSET(F308,-1,0)+1,LARGE(F$10:F307,1))</f>
        <v>2</v>
      </c>
      <c r="G308" s="228" t="str">
        <f t="shared" ca="1" si="239"/>
        <v xml:space="preserve">   GERENCIAMENTO EXECUTIVO</v>
      </c>
      <c r="H308" s="230">
        <f t="shared" ca="1" si="218"/>
        <v>4</v>
      </c>
      <c r="I308" s="228" t="str">
        <f t="shared" ca="1" si="240"/>
        <v xml:space="preserve">   SUPRAESTRUTURA</v>
      </c>
      <c r="J308" s="230">
        <f t="shared" ca="1" si="219"/>
        <v>2</v>
      </c>
      <c r="K308" s="228" t="str">
        <f t="shared" ca="1" si="241"/>
        <v xml:space="preserve">   SUPRAESTRUTURA - 2º PAVIMENTO - TÉRREO</v>
      </c>
      <c r="L308" s="231">
        <f t="shared" ca="1" si="220"/>
        <v>0</v>
      </c>
      <c r="M308" s="228" t="str">
        <f t="shared" ca="1" si="242"/>
        <v xml:space="preserve">   Mão de Obra</v>
      </c>
      <c r="N308" s="231">
        <f t="shared" ca="1" si="221"/>
        <v>1</v>
      </c>
      <c r="O308" s="228" t="str">
        <f t="shared" ca="1" si="243"/>
        <v>Mao de obra  - para execucacao de estrutura de concreto armado em supraestrutura</v>
      </c>
      <c r="P308" s="232" t="str">
        <f>IF(S308="","",IF(Orçamento!$B308="INSUMO",S308,""))</f>
        <v/>
      </c>
      <c r="Q308" s="244" t="str">
        <f t="shared" si="246"/>
        <v/>
      </c>
      <c r="R308" s="234">
        <f t="shared" ca="1" si="244"/>
        <v>103.30266499999999</v>
      </c>
      <c r="S308" s="233" t="s">
        <v>605</v>
      </c>
      <c r="T308" s="242" t="s">
        <v>35</v>
      </c>
      <c r="U308" s="235" t="str">
        <f>IF($B308="insumo",R308,"")</f>
        <v/>
      </c>
      <c r="V308" s="320" t="s">
        <v>35</v>
      </c>
      <c r="W308" s="236" t="str">
        <f>IFERROR(IF(B308="INSUMO",_xlfn.XLOOKUP(S308,Insumos!A:A,Insumos!C:C),""),"Inserir Preço")</f>
        <v/>
      </c>
      <c r="X308" s="235" t="str">
        <f t="shared" ca="1" si="247"/>
        <v/>
      </c>
      <c r="Y308" s="236" t="str">
        <f t="shared" si="248"/>
        <v/>
      </c>
      <c r="Z308" s="237">
        <f t="shared" ca="1" si="223"/>
        <v>198560.04439225627</v>
      </c>
      <c r="AA308" s="238"/>
      <c r="AB308" s="233" t="str">
        <f>IF(B308="insumo",_xlfn.XLOOKUP(S308,Insumos!A:A,Insumos!D:D),"")</f>
        <v/>
      </c>
      <c r="AC308" s="239">
        <f t="shared" ca="1" si="224"/>
        <v>2.8485248680603825E-2</v>
      </c>
      <c r="AE308" s="240">
        <f ca="1">IFERROR(IF(OR(Z308="",Z308=0),"",IF(AF308="","",IF(AF308="R$/mês",Z308/OBRA!$D$12,IF(AF308="R$/m²",Z308/OBRA!$D$10,IF(AF308="R$/apto",Orçamento!Z308/OBRA!$D$11,""))))),"")</f>
        <v>102.18041322553495</v>
      </c>
      <c r="AF308" s="241" t="s">
        <v>154</v>
      </c>
    </row>
    <row r="309" spans="1:32" s="10" customFormat="1" ht="13.15" hidden="1" customHeight="1" outlineLevel="3" collapsed="1" x14ac:dyDescent="0.2">
      <c r="A309" s="227"/>
      <c r="B309" s="228" t="s">
        <v>3</v>
      </c>
      <c r="C309" s="229" t="str">
        <f t="shared" si="222"/>
        <v/>
      </c>
      <c r="D309" s="227" t="str">
        <f t="shared" ca="1" si="245"/>
        <v>04.002.001</v>
      </c>
      <c r="E309" s="228" t="str">
        <f t="shared" ca="1" si="217"/>
        <v>04.001.004.001</v>
      </c>
      <c r="F309" s="230">
        <f ca="1">IF($B309="UNIDADE CONSTRUTIVA",OFFSET(F309,-1,0)+1,LARGE(F$10:F308,1))</f>
        <v>2</v>
      </c>
      <c r="G309" s="228" t="str">
        <f t="shared" ca="1" si="239"/>
        <v xml:space="preserve">   GERENCIAMENTO EXECUTIVO</v>
      </c>
      <c r="H309" s="230">
        <f t="shared" ca="1" si="218"/>
        <v>4</v>
      </c>
      <c r="I309" s="228" t="str">
        <f t="shared" ca="1" si="240"/>
        <v xml:space="preserve">   SUPRAESTRUTURA</v>
      </c>
      <c r="J309" s="230">
        <f t="shared" ca="1" si="219"/>
        <v>2</v>
      </c>
      <c r="K309" s="228" t="str">
        <f t="shared" ca="1" si="241"/>
        <v xml:space="preserve">   SUPRAESTRUTURA - 2º PAVIMENTO - TÉRREO</v>
      </c>
      <c r="L309" s="231">
        <f t="shared" ca="1" si="220"/>
        <v>1</v>
      </c>
      <c r="M309" s="228" t="str">
        <f t="shared" ca="1" si="242"/>
        <v xml:space="preserve">   Armadura</v>
      </c>
      <c r="N309" s="231">
        <f t="shared" ca="1" si="221"/>
        <v>0</v>
      </c>
      <c r="O309" s="228" t="str">
        <f t="shared" ca="1" si="243"/>
        <v>Mao de obra  - para execucacao de estrutura de concreto armado em supraestrutura</v>
      </c>
      <c r="P309" s="232" t="str">
        <f>IF(S309="","",IF(Orçamento!$B309="INSUMO",S309,""))</f>
        <v/>
      </c>
      <c r="Q309" s="244" t="str">
        <f t="shared" si="246"/>
        <v/>
      </c>
      <c r="R309" s="234">
        <f t="shared" ca="1" si="244"/>
        <v>103.30266499999999</v>
      </c>
      <c r="S309" s="233" t="s">
        <v>434</v>
      </c>
      <c r="T309" s="242" t="s">
        <v>35</v>
      </c>
      <c r="U309" s="235" t="str">
        <f>IF($B309="insumo",R309,"")</f>
        <v/>
      </c>
      <c r="V309" s="320" t="s">
        <v>35</v>
      </c>
      <c r="W309" s="236" t="str">
        <f>IFERROR(IF(B309="INSUMO",_xlfn.XLOOKUP(S309,Insumos!A:A,Insumos!C:C),""),"Inserir Preço")</f>
        <v/>
      </c>
      <c r="X309" s="235" t="str">
        <f t="shared" ca="1" si="247"/>
        <v/>
      </c>
      <c r="Y309" s="236" t="str">
        <f t="shared" si="248"/>
        <v/>
      </c>
      <c r="Z309" s="237">
        <f t="shared" ca="1" si="223"/>
        <v>33985.402209321597</v>
      </c>
      <c r="AA309" s="238"/>
      <c r="AB309" s="233" t="str">
        <f>IF(B309="insumo",_xlfn.XLOOKUP(S309,Insumos!A:A,Insumos!D:D),"")</f>
        <v/>
      </c>
      <c r="AC309" s="239">
        <f t="shared" ca="1" si="224"/>
        <v>4.8755157987898949E-3</v>
      </c>
      <c r="AE309" s="240">
        <f ca="1">IFERROR(IF(OR(Z309="",Z309=0),"",IF(AF309="","",IF(AF309="R$/mês",Z309/OBRA!$D$12,IF(AF309="R$/m²",Z309/OBRA!$D$10,IF(AF309="R$/apto",Orçamento!Z309/OBRA!$D$11,""))))),"")</f>
        <v>17.489130061455203</v>
      </c>
      <c r="AF309" s="241" t="s">
        <v>154</v>
      </c>
    </row>
    <row r="310" spans="1:32" s="10" customFormat="1" ht="13.15" hidden="1" customHeight="1" outlineLevel="4" x14ac:dyDescent="0.2">
      <c r="A310" s="227"/>
      <c r="B310" s="228" t="s">
        <v>4</v>
      </c>
      <c r="C310" s="229">
        <f t="shared" si="222"/>
        <v>3</v>
      </c>
      <c r="D310" s="227" t="str">
        <f t="shared" ca="1" si="245"/>
        <v>04.002.001.001</v>
      </c>
      <c r="E310" s="228" t="str">
        <f t="shared" ca="1" si="217"/>
        <v>04.002.001.001</v>
      </c>
      <c r="F310" s="230">
        <f ca="1">IF($B310="UNIDADE CONSTRUTIVA",OFFSET(F310,-1,0)+1,LARGE(F$10:F309,1))</f>
        <v>2</v>
      </c>
      <c r="G310" s="228" t="str">
        <f t="shared" ca="1" si="239"/>
        <v xml:space="preserve">   GERENCIAMENTO EXECUTIVO</v>
      </c>
      <c r="H310" s="230">
        <f t="shared" ca="1" si="218"/>
        <v>4</v>
      </c>
      <c r="I310" s="228" t="str">
        <f t="shared" ca="1" si="240"/>
        <v xml:space="preserve">   SUPRAESTRUTURA</v>
      </c>
      <c r="J310" s="230">
        <f t="shared" ca="1" si="219"/>
        <v>2</v>
      </c>
      <c r="K310" s="228" t="str">
        <f t="shared" ca="1" si="241"/>
        <v xml:space="preserve">   SUPRAESTRUTURA - 2º PAVIMENTO - TÉRREO</v>
      </c>
      <c r="L310" s="231">
        <f t="shared" ca="1" si="220"/>
        <v>1</v>
      </c>
      <c r="M310" s="228" t="str">
        <f t="shared" ca="1" si="242"/>
        <v xml:space="preserve">   Armadura</v>
      </c>
      <c r="N310" s="231">
        <f t="shared" ca="1" si="221"/>
        <v>1</v>
      </c>
      <c r="O310" s="228" t="str">
        <f t="shared" ca="1" si="243"/>
        <v xml:space="preserve">Ancoragem Para Cordoalha </v>
      </c>
      <c r="P310" s="232" t="str">
        <f>IF(S310="","",IF(Orçamento!$B310="INSUMO",S310,""))</f>
        <v/>
      </c>
      <c r="Q310" s="244" t="str">
        <f t="shared" si="246"/>
        <v xml:space="preserve">Ancoragem Para Cordoalha </v>
      </c>
      <c r="R310" s="234">
        <f t="shared" ca="1" si="244"/>
        <v>32</v>
      </c>
      <c r="S310" s="233" t="s">
        <v>798</v>
      </c>
      <c r="T310" s="242" t="s">
        <v>142</v>
      </c>
      <c r="U310" s="235">
        <v>32</v>
      </c>
      <c r="V310" s="320" t="s">
        <v>35</v>
      </c>
      <c r="W310" s="236" t="str">
        <f>IFERROR(IF(B310="INSUMO",_xlfn.XLOOKUP(S310,Insumos!A:A,Insumos!C:C),""),"Inserir Preço")</f>
        <v/>
      </c>
      <c r="X310" s="235">
        <f t="shared" ca="1" si="247"/>
        <v>32</v>
      </c>
      <c r="Y310" s="236">
        <f t="shared" ca="1" si="248"/>
        <v>84.511399999999995</v>
      </c>
      <c r="Z310" s="237">
        <f t="shared" ca="1" si="223"/>
        <v>2704.3647999999998</v>
      </c>
      <c r="AA310" s="238"/>
      <c r="AB310" s="233" t="str">
        <f>IF(B310="insumo",_xlfn.XLOOKUP(S310,Insumos!A:A,Insumos!D:D),"")</f>
        <v/>
      </c>
      <c r="AC310" s="239">
        <f t="shared" ca="1" si="224"/>
        <v>3.8796578680698425E-4</v>
      </c>
      <c r="AE310" s="240">
        <f ca="1">IFERROR(IF(OR(Z310="",Z310=0),"",IF(AF310="","",IF(AF310="R$/mês",Z310/OBRA!$D$12,IF(AF310="R$/m²",Z310/OBRA!$D$10,IF(AF310="R$/apto",Orçamento!Z310/OBRA!$D$11,""))))),"")</f>
        <v>1.3916853897891655</v>
      </c>
      <c r="AF310" s="241" t="s">
        <v>154</v>
      </c>
    </row>
    <row r="311" spans="1:32" s="10" customFormat="1" ht="13.15" hidden="1" customHeight="1" outlineLevel="4" x14ac:dyDescent="0.2">
      <c r="A311" s="227"/>
      <c r="B311" s="228" t="s">
        <v>19</v>
      </c>
      <c r="C311" s="229">
        <f t="shared" si="222"/>
        <v>3</v>
      </c>
      <c r="D311" s="227" t="str">
        <f t="shared" si="245"/>
        <v/>
      </c>
      <c r="E311" s="228" t="str">
        <f t="shared" ca="1" si="217"/>
        <v>04.002.001.001</v>
      </c>
      <c r="F311" s="230">
        <f ca="1">IF($B311="UNIDADE CONSTRUTIVA",OFFSET(F311,-1,0)+1,LARGE(F$10:F310,1))</f>
        <v>2</v>
      </c>
      <c r="G311" s="228" t="str">
        <f t="shared" ca="1" si="239"/>
        <v xml:space="preserve">   GERENCIAMENTO EXECUTIVO</v>
      </c>
      <c r="H311" s="230">
        <f t="shared" ca="1" si="218"/>
        <v>4</v>
      </c>
      <c r="I311" s="228" t="str">
        <f t="shared" ca="1" si="240"/>
        <v xml:space="preserve">   SUPRAESTRUTURA</v>
      </c>
      <c r="J311" s="230">
        <f t="shared" ca="1" si="219"/>
        <v>2</v>
      </c>
      <c r="K311" s="228" t="str">
        <f t="shared" ca="1" si="241"/>
        <v xml:space="preserve">   SUPRAESTRUTURA - 2º PAVIMENTO - TÉRREO</v>
      </c>
      <c r="L311" s="231">
        <f t="shared" ca="1" si="220"/>
        <v>1</v>
      </c>
      <c r="M311" s="228" t="str">
        <f t="shared" ca="1" si="242"/>
        <v xml:space="preserve">   Armadura</v>
      </c>
      <c r="N311" s="231">
        <f t="shared" ca="1" si="221"/>
        <v>1</v>
      </c>
      <c r="O311" s="228" t="str">
        <f t="shared" ca="1" si="243"/>
        <v xml:space="preserve">Ancoragem Para Cordoalha </v>
      </c>
      <c r="P311" s="232" t="str">
        <f>IF(S311="","",IF(Orçamento!$B311="INSUMO",S311,""))</f>
        <v>Ancoragem base 1/2" - EHX 0063</v>
      </c>
      <c r="Q311" s="244" t="str">
        <f t="shared" si="246"/>
        <v/>
      </c>
      <c r="R311" s="234">
        <f t="shared" ca="1" si="244"/>
        <v>32</v>
      </c>
      <c r="S311" s="233" t="s">
        <v>789</v>
      </c>
      <c r="T311" s="242" t="str">
        <f>_xlfn.XLOOKUP(S311,Insumos!$A$3:$A$371,Insumos!$B$3:$B$371)</f>
        <v>UN</v>
      </c>
      <c r="U311" s="235">
        <f t="shared" ref="U311:U318" ca="1" si="249">IF($B311="insumo",R311,"")</f>
        <v>32</v>
      </c>
      <c r="V311" s="320">
        <v>1</v>
      </c>
      <c r="W311" s="236">
        <f>IFERROR(IF(B311="INSUMO",_xlfn.XLOOKUP(S311,Insumos!A:A,Insumos!C:C),""),"Inserir Preço")</f>
        <v>12.57</v>
      </c>
      <c r="X311" s="235">
        <f t="shared" ca="1" si="247"/>
        <v>32</v>
      </c>
      <c r="Y311" s="236">
        <f t="shared" si="248"/>
        <v>12.57</v>
      </c>
      <c r="Z311" s="237">
        <f t="shared" ca="1" si="223"/>
        <v>402.24</v>
      </c>
      <c r="AA311" s="238"/>
      <c r="AB311" s="233" t="str">
        <f>IF(B311="insumo",_xlfn.XLOOKUP(S311,Insumos!A:A,Insumos!D:D),"")</f>
        <v>EVEHX Engenharia</v>
      </c>
      <c r="AC311" s="239">
        <f t="shared" ca="1" si="224"/>
        <v>5.7704995304347012E-5</v>
      </c>
      <c r="AE311" s="240">
        <f ca="1">IFERROR(IF(OR(Z311="",Z311=0),"",IF(AF311="","",IF(AF311="R$/mês",Z311/OBRA!$D$12,IF(AF311="R$/m²",Z311/OBRA!$D$10,IF(AF311="R$/apto",Orçamento!Z311/OBRA!$D$11,""))))),"")</f>
        <v>0.20699556923266932</v>
      </c>
      <c r="AF311" s="241" t="s">
        <v>154</v>
      </c>
    </row>
    <row r="312" spans="1:32" s="10" customFormat="1" ht="13.15" hidden="1" customHeight="1" outlineLevel="4" x14ac:dyDescent="0.2">
      <c r="A312" s="227"/>
      <c r="B312" s="228" t="s">
        <v>19</v>
      </c>
      <c r="C312" s="229">
        <f t="shared" si="222"/>
        <v>3</v>
      </c>
      <c r="D312" s="227" t="str">
        <f t="shared" si="245"/>
        <v/>
      </c>
      <c r="E312" s="228" t="str">
        <f t="shared" ca="1" si="217"/>
        <v>04.002.001.001</v>
      </c>
      <c r="F312" s="230">
        <f ca="1">IF($B312="UNIDADE CONSTRUTIVA",OFFSET(F312,-1,0)+1,LARGE(F$10:F311,1))</f>
        <v>2</v>
      </c>
      <c r="G312" s="228" t="str">
        <f t="shared" ca="1" si="239"/>
        <v xml:space="preserve">   GERENCIAMENTO EXECUTIVO</v>
      </c>
      <c r="H312" s="230">
        <f t="shared" ca="1" si="218"/>
        <v>4</v>
      </c>
      <c r="I312" s="228" t="str">
        <f t="shared" ca="1" si="240"/>
        <v xml:space="preserve">   SUPRAESTRUTURA</v>
      </c>
      <c r="J312" s="230">
        <f t="shared" ca="1" si="219"/>
        <v>2</v>
      </c>
      <c r="K312" s="228" t="str">
        <f t="shared" ca="1" si="241"/>
        <v xml:space="preserve">   SUPRAESTRUTURA - 2º PAVIMENTO - TÉRREO</v>
      </c>
      <c r="L312" s="231">
        <f t="shared" ca="1" si="220"/>
        <v>1</v>
      </c>
      <c r="M312" s="228" t="str">
        <f t="shared" ca="1" si="242"/>
        <v xml:space="preserve">   Armadura</v>
      </c>
      <c r="N312" s="231">
        <f t="shared" ca="1" si="221"/>
        <v>1</v>
      </c>
      <c r="O312" s="228" t="str">
        <f t="shared" ca="1" si="243"/>
        <v xml:space="preserve">Ancoragem Para Cordoalha </v>
      </c>
      <c r="P312" s="232" t="str">
        <f>IF(S312="","",IF(Orçamento!$B312="INSUMO",S312,""))</f>
        <v>Cunha 1/2" BI Partida - EHX 0036</v>
      </c>
      <c r="Q312" s="244" t="str">
        <f t="shared" si="246"/>
        <v/>
      </c>
      <c r="R312" s="234">
        <f t="shared" ca="1" si="244"/>
        <v>32</v>
      </c>
      <c r="S312" s="233" t="s">
        <v>790</v>
      </c>
      <c r="T312" s="242" t="str">
        <f>_xlfn.XLOOKUP(S312,Insumos!$A$3:$A$371,Insumos!$B$3:$B$371)</f>
        <v>Par</v>
      </c>
      <c r="U312" s="235">
        <f t="shared" ca="1" si="249"/>
        <v>32</v>
      </c>
      <c r="V312" s="320">
        <v>1</v>
      </c>
      <c r="W312" s="236">
        <f>IFERROR(IF(B312="INSUMO",_xlfn.XLOOKUP(S312,Insumos!A:A,Insumos!C:C),""),"Inserir Preço")</f>
        <v>9.18</v>
      </c>
      <c r="X312" s="235">
        <f t="shared" ca="1" si="247"/>
        <v>32</v>
      </c>
      <c r="Y312" s="236">
        <f t="shared" si="248"/>
        <v>9.18</v>
      </c>
      <c r="Z312" s="237">
        <f t="shared" ca="1" si="223"/>
        <v>293.76</v>
      </c>
      <c r="AA312" s="238"/>
      <c r="AB312" s="233" t="str">
        <f>IF(B312="insumo",_xlfn.XLOOKUP(S312,Insumos!A:A,Insumos!D:D),"")</f>
        <v>EVEHX Engenharia</v>
      </c>
      <c r="AC312" s="239">
        <f t="shared" ca="1" si="224"/>
        <v>4.2142550270000441E-5</v>
      </c>
      <c r="AE312" s="240">
        <f ca="1">IFERROR(IF(OR(Z312="",Z312=0),"",IF(AF312="","",IF(AF312="R$/mês",Z312/OBRA!$D$12,IF(AF312="R$/m²",Z312/OBRA!$D$10,IF(AF312="R$/apto",Orçamento!Z312/OBRA!$D$11,""))))),"")</f>
        <v>0.15117098850882293</v>
      </c>
      <c r="AF312" s="241" t="s">
        <v>154</v>
      </c>
    </row>
    <row r="313" spans="1:32" s="10" customFormat="1" ht="13.15" hidden="1" customHeight="1" outlineLevel="4" x14ac:dyDescent="0.2">
      <c r="A313" s="227"/>
      <c r="B313" s="228" t="s">
        <v>19</v>
      </c>
      <c r="C313" s="229">
        <f t="shared" si="222"/>
        <v>3</v>
      </c>
      <c r="D313" s="227" t="str">
        <f t="shared" si="245"/>
        <v/>
      </c>
      <c r="E313" s="228" t="str">
        <f t="shared" ca="1" si="217"/>
        <v>04.002.001.001</v>
      </c>
      <c r="F313" s="230">
        <f ca="1">IF($B313="UNIDADE CONSTRUTIVA",OFFSET(F313,-1,0)+1,LARGE(F$10:F312,1))</f>
        <v>2</v>
      </c>
      <c r="G313" s="228" t="str">
        <f t="shared" ca="1" si="239"/>
        <v xml:space="preserve">   GERENCIAMENTO EXECUTIVO</v>
      </c>
      <c r="H313" s="230">
        <f t="shared" ca="1" si="218"/>
        <v>4</v>
      </c>
      <c r="I313" s="228" t="str">
        <f t="shared" ca="1" si="240"/>
        <v xml:space="preserve">   SUPRAESTRUTURA</v>
      </c>
      <c r="J313" s="230">
        <f t="shared" ca="1" si="219"/>
        <v>2</v>
      </c>
      <c r="K313" s="228" t="str">
        <f t="shared" ca="1" si="241"/>
        <v xml:space="preserve">   SUPRAESTRUTURA - 2º PAVIMENTO - TÉRREO</v>
      </c>
      <c r="L313" s="231">
        <f t="shared" ca="1" si="220"/>
        <v>1</v>
      </c>
      <c r="M313" s="228" t="str">
        <f t="shared" ca="1" si="242"/>
        <v xml:space="preserve">   Armadura</v>
      </c>
      <c r="N313" s="231">
        <f t="shared" ca="1" si="221"/>
        <v>1</v>
      </c>
      <c r="O313" s="228" t="str">
        <f t="shared" ca="1" si="243"/>
        <v xml:space="preserve">Ancoragem Para Cordoalha </v>
      </c>
      <c r="P313" s="232" t="str">
        <f>IF(S313="","",IF(Orçamento!$B313="INSUMO",S313,""))</f>
        <v>Pocket Former 1/2 - EHX 0009</v>
      </c>
      <c r="Q313" s="244" t="str">
        <f t="shared" si="246"/>
        <v/>
      </c>
      <c r="R313" s="234">
        <f t="shared" ca="1" si="244"/>
        <v>32</v>
      </c>
      <c r="S313" s="233" t="s">
        <v>794</v>
      </c>
      <c r="T313" s="242" t="str">
        <f>_xlfn.XLOOKUP(S313,Insumos!$A$3:$A$371,Insumos!$B$3:$B$371)</f>
        <v>UN</v>
      </c>
      <c r="U313" s="235">
        <f t="shared" ca="1" si="249"/>
        <v>32</v>
      </c>
      <c r="V313" s="320">
        <v>0.5</v>
      </c>
      <c r="W313" s="236">
        <f>IFERROR(IF(B313="INSUMO",_xlfn.XLOOKUP(S313,Insumos!A:A,Insumos!C:C),""),"Inserir Preço")</f>
        <v>2.86</v>
      </c>
      <c r="X313" s="235">
        <f t="shared" ca="1" si="247"/>
        <v>16</v>
      </c>
      <c r="Y313" s="236">
        <f t="shared" si="248"/>
        <v>1.43</v>
      </c>
      <c r="Z313" s="237">
        <f t="shared" ca="1" si="223"/>
        <v>45.76</v>
      </c>
      <c r="AA313" s="238"/>
      <c r="AB313" s="233" t="str">
        <f>IF(B313="insumo",_xlfn.XLOOKUP(S313,Insumos!A:A,Insumos!D:D),"")</f>
        <v>EVEHX Engenharia</v>
      </c>
      <c r="AC313" s="239">
        <f t="shared" ca="1" si="224"/>
        <v>6.5646892032789363E-6</v>
      </c>
      <c r="AE313" s="240">
        <f ca="1">IFERROR(IF(OR(Z313="",Z313=0),"",IF(AF313="","",IF(AF313="R$/mês",Z313/OBRA!$D$12,IF(AF313="R$/m²",Z313/OBRA!$D$10,IF(AF313="R$/apto",Orçamento!Z313/OBRA!$D$11,""))))),"")</f>
        <v>2.3548421957256732E-2</v>
      </c>
      <c r="AF313" s="241" t="s">
        <v>154</v>
      </c>
    </row>
    <row r="314" spans="1:32" s="10" customFormat="1" ht="13.15" hidden="1" customHeight="1" outlineLevel="4" x14ac:dyDescent="0.2">
      <c r="A314" s="227"/>
      <c r="B314" s="228" t="s">
        <v>19</v>
      </c>
      <c r="C314" s="229">
        <f t="shared" si="222"/>
        <v>3</v>
      </c>
      <c r="D314" s="227" t="str">
        <f t="shared" si="245"/>
        <v/>
      </c>
      <c r="E314" s="228" t="str">
        <f t="shared" ca="1" si="217"/>
        <v>04.002.001.001</v>
      </c>
      <c r="F314" s="230">
        <f ca="1">IF($B314="UNIDADE CONSTRUTIVA",OFFSET(F314,-1,0)+1,LARGE(F$10:F313,1))</f>
        <v>2</v>
      </c>
      <c r="G314" s="228" t="str">
        <f t="shared" ca="1" si="239"/>
        <v xml:space="preserve">   GERENCIAMENTO EXECUTIVO</v>
      </c>
      <c r="H314" s="230">
        <f t="shared" ca="1" si="218"/>
        <v>4</v>
      </c>
      <c r="I314" s="228" t="str">
        <f t="shared" ca="1" si="240"/>
        <v xml:space="preserve">   SUPRAESTRUTURA</v>
      </c>
      <c r="J314" s="230">
        <f t="shared" ca="1" si="219"/>
        <v>2</v>
      </c>
      <c r="K314" s="228" t="str">
        <f t="shared" ca="1" si="241"/>
        <v xml:space="preserve">   SUPRAESTRUTURA - 2º PAVIMENTO - TÉRREO</v>
      </c>
      <c r="L314" s="231">
        <f t="shared" ca="1" si="220"/>
        <v>1</v>
      </c>
      <c r="M314" s="228" t="str">
        <f t="shared" ca="1" si="242"/>
        <v xml:space="preserve">   Armadura</v>
      </c>
      <c r="N314" s="231">
        <f t="shared" ca="1" si="221"/>
        <v>1</v>
      </c>
      <c r="O314" s="228" t="str">
        <f t="shared" ca="1" si="243"/>
        <v xml:space="preserve">Ancoragem Para Cordoalha </v>
      </c>
      <c r="P314" s="232" t="str">
        <f>IF(S314="","",IF(Orçamento!$B314="INSUMO",S314,""))</f>
        <v>Adaptador Ancor. (AP2)B Chupeta-EHX 0027</v>
      </c>
      <c r="Q314" s="244" t="str">
        <f t="shared" si="246"/>
        <v/>
      </c>
      <c r="R314" s="234">
        <f t="shared" ca="1" si="244"/>
        <v>32</v>
      </c>
      <c r="S314" s="233" t="s">
        <v>791</v>
      </c>
      <c r="T314" s="242" t="str">
        <f>_xlfn.XLOOKUP(S314,Insumos!$A$3:$A$371,Insumos!$B$3:$B$371)</f>
        <v>UN</v>
      </c>
      <c r="U314" s="235">
        <f t="shared" ca="1" si="249"/>
        <v>32</v>
      </c>
      <c r="V314" s="320">
        <v>0.5</v>
      </c>
      <c r="W314" s="236">
        <f>IFERROR(IF(B314="INSUMO",_xlfn.XLOOKUP(S314,Insumos!A:A,Insumos!C:C),""),"Inserir Preço")</f>
        <v>1.43</v>
      </c>
      <c r="X314" s="235">
        <f t="shared" ca="1" si="247"/>
        <v>16</v>
      </c>
      <c r="Y314" s="236">
        <f t="shared" si="248"/>
        <v>0.71499999999999997</v>
      </c>
      <c r="Z314" s="237">
        <f t="shared" ca="1" si="223"/>
        <v>22.88</v>
      </c>
      <c r="AA314" s="238"/>
      <c r="AB314" s="233" t="str">
        <f>IF(B314="insumo",_xlfn.XLOOKUP(S314,Insumos!A:A,Insumos!D:D),"")</f>
        <v>EVEHX Engenharia</v>
      </c>
      <c r="AC314" s="239">
        <f t="shared" ca="1" si="224"/>
        <v>3.2823446016394682E-6</v>
      </c>
      <c r="AE314" s="240">
        <f ca="1">IFERROR(IF(OR(Z314="",Z314=0),"",IF(AF314="","",IF(AF314="R$/mês",Z314/OBRA!$D$12,IF(AF314="R$/m²",Z314/OBRA!$D$10,IF(AF314="R$/apto",Orçamento!Z314/OBRA!$D$11,""))))),"")</f>
        <v>1.1774210978628366E-2</v>
      </c>
      <c r="AF314" s="241" t="s">
        <v>154</v>
      </c>
    </row>
    <row r="315" spans="1:32" s="10" customFormat="1" ht="13.15" hidden="1" customHeight="1" outlineLevel="4" x14ac:dyDescent="0.2">
      <c r="A315" s="227"/>
      <c r="B315" s="228" t="s">
        <v>19</v>
      </c>
      <c r="C315" s="229">
        <f t="shared" si="222"/>
        <v>3</v>
      </c>
      <c r="D315" s="227" t="str">
        <f t="shared" si="245"/>
        <v/>
      </c>
      <c r="E315" s="228" t="str">
        <f t="shared" ca="1" si="217"/>
        <v>04.002.001.001</v>
      </c>
      <c r="F315" s="230">
        <f ca="1">IF($B315="UNIDADE CONSTRUTIVA",OFFSET(F315,-1,0)+1,LARGE(F$10:F314,1))</f>
        <v>2</v>
      </c>
      <c r="G315" s="228" t="str">
        <f t="shared" ca="1" si="239"/>
        <v xml:space="preserve">   GERENCIAMENTO EXECUTIVO</v>
      </c>
      <c r="H315" s="230">
        <f t="shared" ca="1" si="218"/>
        <v>4</v>
      </c>
      <c r="I315" s="228" t="str">
        <f t="shared" ca="1" si="240"/>
        <v xml:space="preserve">   SUPRAESTRUTURA</v>
      </c>
      <c r="J315" s="230">
        <f t="shared" ca="1" si="219"/>
        <v>2</v>
      </c>
      <c r="K315" s="228" t="str">
        <f t="shared" ca="1" si="241"/>
        <v xml:space="preserve">   SUPRAESTRUTURA - 2º PAVIMENTO - TÉRREO</v>
      </c>
      <c r="L315" s="231">
        <f t="shared" ca="1" si="220"/>
        <v>1</v>
      </c>
      <c r="M315" s="228" t="str">
        <f t="shared" ca="1" si="242"/>
        <v xml:space="preserve">   Armadura</v>
      </c>
      <c r="N315" s="231">
        <f t="shared" ca="1" si="221"/>
        <v>1</v>
      </c>
      <c r="O315" s="228" t="str">
        <f t="shared" ca="1" si="243"/>
        <v xml:space="preserve">Ancoragem Para Cordoalha </v>
      </c>
      <c r="P315" s="232" t="str">
        <f>IF(S315="","",IF(Orçamento!$B315="INSUMO",S315,""))</f>
        <v>Pt-Plug Ø12,7 - 3,8cm</v>
      </c>
      <c r="Q315" s="244" t="str">
        <f t="shared" si="246"/>
        <v/>
      </c>
      <c r="R315" s="234">
        <f t="shared" ca="1" si="244"/>
        <v>32</v>
      </c>
      <c r="S315" s="233" t="s">
        <v>795</v>
      </c>
      <c r="T315" s="242" t="str">
        <f>_xlfn.XLOOKUP(S315,Insumos!$A$3:$A$371,Insumos!$B$3:$B$371)</f>
        <v>UN</v>
      </c>
      <c r="U315" s="235">
        <f t="shared" ca="1" si="249"/>
        <v>32</v>
      </c>
      <c r="V315" s="320">
        <v>0.5</v>
      </c>
      <c r="W315" s="236">
        <f>IFERROR(IF(B315="INSUMO",_xlfn.XLOOKUP(S315,Insumos!A:A,Insumos!C:C),""),"Inserir Preço")</f>
        <v>5.17</v>
      </c>
      <c r="X315" s="235">
        <f t="shared" ca="1" si="247"/>
        <v>16</v>
      </c>
      <c r="Y315" s="236">
        <f t="shared" si="248"/>
        <v>2.585</v>
      </c>
      <c r="Z315" s="237">
        <f t="shared" ca="1" si="223"/>
        <v>82.72</v>
      </c>
      <c r="AA315" s="238"/>
      <c r="AB315" s="233" t="str">
        <f>IF(B315="insumo",_xlfn.XLOOKUP(S315,Insumos!A:A,Insumos!D:D),"")</f>
        <v>EVEHX Engenharia</v>
      </c>
      <c r="AC315" s="239">
        <f t="shared" ca="1" si="224"/>
        <v>1.1866938175158077E-5</v>
      </c>
      <c r="AE315" s="240">
        <f ca="1">IFERROR(IF(OR(Z315="",Z315=0),"",IF(AF315="","",IF(AF315="R$/mês",Z315/OBRA!$D$12,IF(AF315="R$/m²",Z315/OBRA!$D$10,IF(AF315="R$/apto",Orçamento!Z315/OBRA!$D$11,""))))),"")</f>
        <v>4.2568301230425633E-2</v>
      </c>
      <c r="AF315" s="241" t="s">
        <v>154</v>
      </c>
    </row>
    <row r="316" spans="1:32" s="10" customFormat="1" ht="13.15" hidden="1" customHeight="1" outlineLevel="4" x14ac:dyDescent="0.2">
      <c r="A316" s="227"/>
      <c r="B316" s="228" t="s">
        <v>19</v>
      </c>
      <c r="C316" s="229">
        <f t="shared" si="222"/>
        <v>3</v>
      </c>
      <c r="D316" s="227" t="str">
        <f t="shared" si="245"/>
        <v/>
      </c>
      <c r="E316" s="228" t="str">
        <f t="shared" ca="1" si="217"/>
        <v>04.002.001.001</v>
      </c>
      <c r="F316" s="230">
        <f ca="1">IF($B316="UNIDADE CONSTRUTIVA",OFFSET(F316,-1,0)+1,LARGE(F$10:F315,1))</f>
        <v>2</v>
      </c>
      <c r="G316" s="228" t="str">
        <f t="shared" ca="1" si="239"/>
        <v xml:space="preserve">   GERENCIAMENTO EXECUTIVO</v>
      </c>
      <c r="H316" s="230">
        <f t="shared" ca="1" si="218"/>
        <v>4</v>
      </c>
      <c r="I316" s="228" t="str">
        <f t="shared" ca="1" si="240"/>
        <v xml:space="preserve">   SUPRAESTRUTURA</v>
      </c>
      <c r="J316" s="230">
        <f t="shared" ca="1" si="219"/>
        <v>2</v>
      </c>
      <c r="K316" s="228" t="str">
        <f t="shared" ca="1" si="241"/>
        <v xml:space="preserve">   SUPRAESTRUTURA - 2º PAVIMENTO - TÉRREO</v>
      </c>
      <c r="L316" s="231">
        <f t="shared" ca="1" si="220"/>
        <v>1</v>
      </c>
      <c r="M316" s="228" t="str">
        <f t="shared" ca="1" si="242"/>
        <v xml:space="preserve">   Armadura</v>
      </c>
      <c r="N316" s="231">
        <f t="shared" ca="1" si="221"/>
        <v>1</v>
      </c>
      <c r="O316" s="228" t="str">
        <f t="shared" ca="1" si="243"/>
        <v xml:space="preserve">Ancoragem Para Cordoalha </v>
      </c>
      <c r="P316" s="232" t="str">
        <f>IF(S316="","",IF(Orçamento!$B316="INSUMO",S316,""))</f>
        <v>Tirante Plast - EHX 0621</v>
      </c>
      <c r="Q316" s="244" t="str">
        <f t="shared" si="246"/>
        <v/>
      </c>
      <c r="R316" s="234">
        <f t="shared" ca="1" si="244"/>
        <v>32</v>
      </c>
      <c r="S316" s="233" t="s">
        <v>792</v>
      </c>
      <c r="T316" s="242" t="str">
        <f>_xlfn.XLOOKUP(S316,Insumos!$A$3:$A$371,Insumos!$B$3:$B$371)</f>
        <v>Par</v>
      </c>
      <c r="U316" s="235">
        <f t="shared" ca="1" si="249"/>
        <v>32</v>
      </c>
      <c r="V316" s="320">
        <v>0.5</v>
      </c>
      <c r="W316" s="236">
        <f>IFERROR(IF(B316="INSUMO",_xlfn.XLOOKUP(S316,Insumos!A:A,Insumos!C:C),""),"Inserir Preço")</f>
        <v>2.31</v>
      </c>
      <c r="X316" s="235">
        <f t="shared" ca="1" si="247"/>
        <v>16</v>
      </c>
      <c r="Y316" s="236">
        <f t="shared" si="248"/>
        <v>1.155</v>
      </c>
      <c r="Z316" s="237">
        <f t="shared" ca="1" si="223"/>
        <v>36.96</v>
      </c>
      <c r="AA316" s="238"/>
      <c r="AB316" s="233" t="str">
        <f>IF(B316="insumo",_xlfn.XLOOKUP(S316,Insumos!A:A,Insumos!D:D),"")</f>
        <v>EVEHX Engenharia</v>
      </c>
      <c r="AC316" s="239">
        <f t="shared" ca="1" si="224"/>
        <v>5.3022489718791411E-6</v>
      </c>
      <c r="AE316" s="240">
        <f ca="1">IFERROR(IF(OR(Z316="",Z316=0),"",IF(AF316="","",IF(AF316="R$/mês",Z316/OBRA!$D$12,IF(AF316="R$/m²",Z316/OBRA!$D$10,IF(AF316="R$/apto",Orçamento!Z316/OBRA!$D$11,""))))),"")</f>
        <v>1.9019879273168901E-2</v>
      </c>
      <c r="AF316" s="241" t="s">
        <v>154</v>
      </c>
    </row>
    <row r="317" spans="1:32" s="10" customFormat="1" ht="13.15" hidden="1" customHeight="1" outlineLevel="4" x14ac:dyDescent="0.2">
      <c r="A317" s="227"/>
      <c r="B317" s="228" t="s">
        <v>19</v>
      </c>
      <c r="C317" s="229">
        <f t="shared" si="222"/>
        <v>3</v>
      </c>
      <c r="D317" s="227" t="str">
        <f>IF(B317="Unidade Construtiva",TEXT(F317,"00"),IF(B317="Célula Construtiva",TEXT(H317,"00"),IF(B317="Etapa",CONCATENATE(TEXT(H317,"00"),".",TEXT(J317,"000")),IF(B317="Subetapa",CONCATENATE(TEXT(H317,"00"),".",TEXT(J317,"000"),".",TEXT(L317,"000")),IF(B317="Serviço",CONCATENATE(TEXT(H317,"00"),".",TEXT(J317,"000"),".",TEXT(L317,"000"),".",TEXT(N317,"000")),"")))))</f>
        <v/>
      </c>
      <c r="E317" s="228" t="str">
        <f ca="1">IF(B317="*","",IFERROR(IF(B317="SERVIÇO",D317,OFFSET(E317,-1,0)),""))</f>
        <v>04.002.001.001</v>
      </c>
      <c r="F317" s="230">
        <f ca="1">IF($B317="UNIDADE CONSTRUTIVA",OFFSET(F317,-1,0)+1,LARGE(F$10:F316,1))</f>
        <v>2</v>
      </c>
      <c r="G317" s="228" t="str">
        <f ca="1">IF(B317="*","",IF(B317="UNIDADE CONSTRUTIVA",S317,OFFSET(G317,-1,0)))</f>
        <v xml:space="preserve">   GERENCIAMENTO EXECUTIVO</v>
      </c>
      <c r="H317" s="230">
        <f ca="1">IF(B317="UNIDADE CONSTRUTIVA",0,IF(B317="CÉLULA CONSTRUTIVA",OFFSET(H317,-1,0)+1,OFFSET(H317,-1,0)))</f>
        <v>4</v>
      </c>
      <c r="I317" s="228" t="str">
        <f ca="1">IF(B317="*","",IF(B317="CÉLULA CONSTRUTIVA",S317,OFFSET(I317,-1,0)))</f>
        <v xml:space="preserve">   SUPRAESTRUTURA</v>
      </c>
      <c r="J317" s="230">
        <f ca="1">IF(B317="CÉLULA CONSTRUTIVA",0,IF(B317="ETAPA",OFFSET(J317,-1,0)+1,OFFSET(J317,-1,0)))</f>
        <v>2</v>
      </c>
      <c r="K317" s="228" t="str">
        <f ca="1">IF(B317="*","",IF(B317="ETAPA",S317,OFFSET(K317,-1,0)))</f>
        <v xml:space="preserve">   SUPRAESTRUTURA - 2º PAVIMENTO - TÉRREO</v>
      </c>
      <c r="L317" s="231">
        <f ca="1">IF(B317="ETAPA",0,IF(B317="SUBETAPA",OFFSET(L317,-1,0)+1,OFFSET(L317,-1,0)))</f>
        <v>1</v>
      </c>
      <c r="M317" s="228" t="str">
        <f ca="1">IF(B317="*","",IF(B317="SUBETAPA",S317,OFFSET(M317,-1,0)))</f>
        <v xml:space="preserve">   Armadura</v>
      </c>
      <c r="N317" s="231">
        <f ca="1">IF(B317="Subetapa",0,IF(B317="serviço",OFFSET(N317,-1,0)+1,OFFSET(N317,-1,0)))</f>
        <v>1</v>
      </c>
      <c r="O317" s="228" t="str">
        <f ca="1">IF(B317="*","",IF(B317="SERVIÇO",S317,OFFSET(O317,-1,0)))</f>
        <v xml:space="preserve">Ancoragem Para Cordoalha </v>
      </c>
      <c r="P317" s="232" t="str">
        <f>IF(S317="","",IF(Orçamento!$B317="INSUMO",S317,""))</f>
        <v>Controle tecnológico da Protensão</v>
      </c>
      <c r="Q317" s="244" t="str">
        <f>IF(B317="","",IF(B317="Serviço",S317,""))</f>
        <v/>
      </c>
      <c r="R317" s="234">
        <f ca="1">IF(B317="serviço",U317,OFFSET(R317,-1,0))</f>
        <v>32</v>
      </c>
      <c r="S317" s="233" t="s">
        <v>796</v>
      </c>
      <c r="T317" s="242" t="str">
        <f>_xlfn.XLOOKUP(S317,Insumos!$A$3:$A$371,Insumos!$B$3:$B$371)</f>
        <v>KG</v>
      </c>
      <c r="U317" s="235">
        <f t="shared" ca="1" si="249"/>
        <v>32</v>
      </c>
      <c r="V317" s="320">
        <f>ROUNDUP(3407/512,2)</f>
        <v>6.66</v>
      </c>
      <c r="W317" s="236">
        <f>IFERROR(IF(B317="INSUMO",_xlfn.XLOOKUP(S317,Insumos!A:A,Insumos!C:C),""),"Inserir Preço")</f>
        <v>7.54</v>
      </c>
      <c r="X317" s="235">
        <f t="shared" ca="1" si="247"/>
        <v>213.12</v>
      </c>
      <c r="Y317" s="236">
        <f t="shared" si="248"/>
        <v>50.2164</v>
      </c>
      <c r="Z317" s="237">
        <f t="shared" ca="1" si="223"/>
        <v>1606.9248</v>
      </c>
      <c r="AA317" s="238"/>
      <c r="AB317" s="233" t="str">
        <f>IF(B317="insumo",_xlfn.XLOOKUP(S317,Insumos!A:A,Insumos!D:D),"")</f>
        <v>EVEHX Engenharia</v>
      </c>
      <c r="AC317" s="239">
        <f t="shared" ca="1" si="224"/>
        <v>2.3052801322205342E-4</v>
      </c>
      <c r="AE317" s="240">
        <f ca="1">IFERROR(IF(OR(Z317="",Z317=0),"",IF(AF317="","",IF(AF317="R$/mês",Z317/OBRA!$D$12,IF(AF317="R$/m²",Z317/OBRA!$D$10,IF(AF317="R$/apto",Orçamento!Z317/OBRA!$D$11,""))))),"")</f>
        <v>0.82693494851355731</v>
      </c>
      <c r="AF317" s="241" t="s">
        <v>154</v>
      </c>
    </row>
    <row r="318" spans="1:32" s="10" customFormat="1" ht="13.15" hidden="1" customHeight="1" outlineLevel="4" x14ac:dyDescent="0.2">
      <c r="A318" s="227"/>
      <c r="B318" s="228" t="s">
        <v>19</v>
      </c>
      <c r="C318" s="229">
        <f t="shared" si="222"/>
        <v>3</v>
      </c>
      <c r="D318" s="227" t="str">
        <f>IF(B318="Unidade Construtiva",TEXT(F318,"00"),IF(B318="Célula Construtiva",TEXT(H318,"00"),IF(B318="Etapa",CONCATENATE(TEXT(H318,"00"),".",TEXT(J318,"000")),IF(B318="Subetapa",CONCATENATE(TEXT(H318,"00"),".",TEXT(J318,"000"),".",TEXT(L318,"000")),IF(B318="Serviço",CONCATENATE(TEXT(H318,"00"),".",TEXT(J318,"000"),".",TEXT(L318,"000"),".",TEXT(N318,"000")),"")))))</f>
        <v/>
      </c>
      <c r="E318" s="228" t="str">
        <f ca="1">IF(B318="*","",IFERROR(IF(B318="SERVIÇO",D318,OFFSET(E318,-1,0)),""))</f>
        <v>04.002.001.001</v>
      </c>
      <c r="F318" s="230">
        <f ca="1">IF($B318="UNIDADE CONSTRUTIVA",OFFSET(F318,-1,0)+1,LARGE(F$10:F317,1))</f>
        <v>2</v>
      </c>
      <c r="G318" s="228" t="str">
        <f ca="1">IF(B318="*","",IF(B318="UNIDADE CONSTRUTIVA",S318,OFFSET(G318,-1,0)))</f>
        <v xml:space="preserve">   GERENCIAMENTO EXECUTIVO</v>
      </c>
      <c r="H318" s="230">
        <f ca="1">IF(B318="UNIDADE CONSTRUTIVA",0,IF(B318="CÉLULA CONSTRUTIVA",OFFSET(H318,-1,0)+1,OFFSET(H318,-1,0)))</f>
        <v>4</v>
      </c>
      <c r="I318" s="228" t="str">
        <f ca="1">IF(B318="*","",IF(B318="CÉLULA CONSTRUTIVA",S318,OFFSET(I318,-1,0)))</f>
        <v xml:space="preserve">   SUPRAESTRUTURA</v>
      </c>
      <c r="J318" s="230">
        <f ca="1">IF(B318="CÉLULA CONSTRUTIVA",0,IF(B318="ETAPA",OFFSET(J318,-1,0)+1,OFFSET(J318,-1,0)))</f>
        <v>2</v>
      </c>
      <c r="K318" s="228" t="str">
        <f ca="1">IF(B318="*","",IF(B318="ETAPA",S318,OFFSET(K318,-1,0)))</f>
        <v xml:space="preserve">   SUPRAESTRUTURA - 2º PAVIMENTO - TÉRREO</v>
      </c>
      <c r="L318" s="231">
        <f ca="1">IF(B318="ETAPA",0,IF(B318="SUBETAPA",OFFSET(L318,-1,0)+1,OFFSET(L318,-1,0)))</f>
        <v>1</v>
      </c>
      <c r="M318" s="228" t="str">
        <f ca="1">IF(B318="*","",IF(B318="SUBETAPA",S318,OFFSET(M318,-1,0)))</f>
        <v xml:space="preserve">   Armadura</v>
      </c>
      <c r="N318" s="231">
        <f ca="1">IF(B318="Subetapa",0,IF(B318="serviço",OFFSET(N318,-1,0)+1,OFFSET(N318,-1,0)))</f>
        <v>1</v>
      </c>
      <c r="O318" s="228" t="str">
        <f ca="1">IF(B318="*","",IF(B318="SERVIÇO",S318,OFFSET(O318,-1,0)))</f>
        <v xml:space="preserve">Ancoragem Para Cordoalha </v>
      </c>
      <c r="P318" s="232" t="str">
        <f>IF(S318="","",IF(Orçamento!$B318="INSUMO",S318,""))</f>
        <v>Acompanhamento e fiscalização na montagem da Protensão, locação de macacohidráulico e maçarico</v>
      </c>
      <c r="Q318" s="244" t="str">
        <f>IF(B318="","",IF(B318="Serviço",S318,""))</f>
        <v/>
      </c>
      <c r="R318" s="234">
        <f ca="1">IF(B318="serviço",U318,OFFSET(R318,-1,0))</f>
        <v>32</v>
      </c>
      <c r="S318" s="233" t="s">
        <v>797</v>
      </c>
      <c r="T318" s="242" t="str">
        <f>_xlfn.XLOOKUP(S318,Insumos!$A$3:$A$371,Insumos!$B$3:$B$371)</f>
        <v>UN</v>
      </c>
      <c r="U318" s="235">
        <f t="shared" ca="1" si="249"/>
        <v>32</v>
      </c>
      <c r="V318" s="320">
        <f>ROUNDUP(3407/512,2)</f>
        <v>6.66</v>
      </c>
      <c r="W318" s="236">
        <f>IFERROR(IF(B318="INSUMO",_xlfn.XLOOKUP(S318,Insumos!A:A,Insumos!C:C),""),"Inserir Preço")</f>
        <v>1</v>
      </c>
      <c r="X318" s="235">
        <f t="shared" ca="1" si="247"/>
        <v>213.12</v>
      </c>
      <c r="Y318" s="236">
        <f t="shared" si="248"/>
        <v>6.66</v>
      </c>
      <c r="Z318" s="237">
        <f t="shared" ca="1" si="223"/>
        <v>213.12</v>
      </c>
      <c r="AA318" s="238"/>
      <c r="AB318" s="233" t="str">
        <f>IF(B318="insumo",_xlfn.XLOOKUP(S318,Insumos!A:A,Insumos!D:D),"")</f>
        <v>EVEHX Engenharia</v>
      </c>
      <c r="AC318" s="239">
        <f t="shared" ca="1" si="224"/>
        <v>3.0574007058627773E-5</v>
      </c>
      <c r="AE318" s="240">
        <f ca="1">IFERROR(IF(OR(Z318="",Z318=0),"",IF(AF318="","",IF(AF318="R$/mês",Z318/OBRA!$D$12,IF(AF318="R$/m²",Z318/OBRA!$D$10,IF(AF318="R$/apto",Orçamento!Z318/OBRA!$D$11,""))))),"")</f>
        <v>0.10967307009463625</v>
      </c>
      <c r="AF318" s="241" t="s">
        <v>154</v>
      </c>
    </row>
    <row r="319" spans="1:32" s="10" customFormat="1" ht="13.15" hidden="1" customHeight="1" outlineLevel="4" x14ac:dyDescent="0.2">
      <c r="A319" s="227"/>
      <c r="B319" s="228" t="s">
        <v>4</v>
      </c>
      <c r="C319" s="229">
        <f t="shared" si="222"/>
        <v>3</v>
      </c>
      <c r="D319" s="227" t="str">
        <f t="shared" ca="1" si="245"/>
        <v>04.002.001.002</v>
      </c>
      <c r="E319" s="228" t="str">
        <f t="shared" ca="1" si="217"/>
        <v>04.002.001.002</v>
      </c>
      <c r="F319" s="230">
        <f ca="1">IF($B319="UNIDADE CONSTRUTIVA",OFFSET(F319,-1,0)+1,LARGE(F$10:F318,1))</f>
        <v>2</v>
      </c>
      <c r="G319" s="228" t="str">
        <f t="shared" ca="1" si="239"/>
        <v xml:space="preserve">   GERENCIAMENTO EXECUTIVO</v>
      </c>
      <c r="H319" s="230">
        <f t="shared" ca="1" si="218"/>
        <v>4</v>
      </c>
      <c r="I319" s="228" t="str">
        <f t="shared" ca="1" si="240"/>
        <v xml:space="preserve">   SUPRAESTRUTURA</v>
      </c>
      <c r="J319" s="230">
        <f t="shared" ca="1" si="219"/>
        <v>2</v>
      </c>
      <c r="K319" s="228" t="str">
        <f t="shared" ca="1" si="241"/>
        <v xml:space="preserve">   SUPRAESTRUTURA - 2º PAVIMENTO - TÉRREO</v>
      </c>
      <c r="L319" s="231">
        <f t="shared" ca="1" si="220"/>
        <v>1</v>
      </c>
      <c r="M319" s="228" t="str">
        <f t="shared" ca="1" si="242"/>
        <v xml:space="preserve">   Armadura</v>
      </c>
      <c r="N319" s="231">
        <f t="shared" ca="1" si="221"/>
        <v>2</v>
      </c>
      <c r="O319" s="228" t="str">
        <f t="shared" ca="1" si="243"/>
        <v>Cordoalha CP-190 RB 12,7</v>
      </c>
      <c r="P319" s="232" t="str">
        <f>IF(S319="","",IF(Orçamento!$B319="INSUMO",S319,""))</f>
        <v/>
      </c>
      <c r="Q319" s="244" t="str">
        <f t="shared" si="246"/>
        <v>Cordoalha CP-190 RB 12,7</v>
      </c>
      <c r="R319" s="234">
        <f t="shared" ca="1" si="244"/>
        <v>484</v>
      </c>
      <c r="S319" s="233" t="s">
        <v>617</v>
      </c>
      <c r="T319" s="242" t="s">
        <v>159</v>
      </c>
      <c r="U319" s="235">
        <v>484</v>
      </c>
      <c r="V319" s="320" t="s">
        <v>35</v>
      </c>
      <c r="W319" s="236" t="str">
        <f>IFERROR(IF(B319="INSUMO",_xlfn.XLOOKUP(S319,Insumos!A:A,Insumos!C:C),""),"Inserir Preço")</f>
        <v/>
      </c>
      <c r="X319" s="235">
        <f t="shared" ca="1" si="247"/>
        <v>484</v>
      </c>
      <c r="Y319" s="236">
        <f t="shared" ca="1" si="248"/>
        <v>11.303809243964421</v>
      </c>
      <c r="Z319" s="237">
        <f t="shared" ca="1" si="223"/>
        <v>5471.04367407878</v>
      </c>
      <c r="AA319" s="238"/>
      <c r="AB319" s="233" t="str">
        <f>IF(B319="insumo",_xlfn.XLOOKUP(S319,Insumos!A:A,Insumos!D:D),"")</f>
        <v/>
      </c>
      <c r="AC319" s="239">
        <f t="shared" ca="1" si="224"/>
        <v>7.8487109567072755E-4</v>
      </c>
      <c r="AE319" s="240">
        <f ca="1">IFERROR(IF(OR(Z319="",Z319=0),"",IF(AF319="","",IF(AF319="R$/mês",Z319/OBRA!$D$12,IF(AF319="R$/m²",Z319/OBRA!$D$10,IF(AF319="R$/apto",Orçamento!Z319/OBRA!$D$11,""))))),"")</f>
        <v>2.8154380459743726</v>
      </c>
      <c r="AF319" s="241" t="s">
        <v>154</v>
      </c>
    </row>
    <row r="320" spans="1:32" s="10" customFormat="1" ht="13.15" hidden="1" customHeight="1" outlineLevel="4" x14ac:dyDescent="0.2">
      <c r="A320" s="227"/>
      <c r="B320" s="228" t="s">
        <v>19</v>
      </c>
      <c r="C320" s="229">
        <f t="shared" si="222"/>
        <v>3</v>
      </c>
      <c r="D320" s="227" t="str">
        <f t="shared" si="245"/>
        <v/>
      </c>
      <c r="E320" s="228" t="str">
        <f t="shared" ca="1" si="217"/>
        <v>04.002.001.002</v>
      </c>
      <c r="F320" s="230">
        <f ca="1">IF($B320="UNIDADE CONSTRUTIVA",OFFSET(F320,-1,0)+1,LARGE(F$10:F319,1))</f>
        <v>2</v>
      </c>
      <c r="G320" s="228" t="str">
        <f t="shared" ca="1" si="239"/>
        <v xml:space="preserve">   GERENCIAMENTO EXECUTIVO</v>
      </c>
      <c r="H320" s="230">
        <f t="shared" ca="1" si="218"/>
        <v>4</v>
      </c>
      <c r="I320" s="228" t="str">
        <f t="shared" ca="1" si="240"/>
        <v xml:space="preserve">   SUPRAESTRUTURA</v>
      </c>
      <c r="J320" s="230">
        <f t="shared" ca="1" si="219"/>
        <v>2</v>
      </c>
      <c r="K320" s="228" t="str">
        <f t="shared" ca="1" si="241"/>
        <v xml:space="preserve">   SUPRAESTRUTURA - 2º PAVIMENTO - TÉRREO</v>
      </c>
      <c r="L320" s="231">
        <f t="shared" ca="1" si="220"/>
        <v>1</v>
      </c>
      <c r="M320" s="228" t="str">
        <f t="shared" ca="1" si="242"/>
        <v xml:space="preserve">   Armadura</v>
      </c>
      <c r="N320" s="231">
        <f t="shared" ca="1" si="221"/>
        <v>2</v>
      </c>
      <c r="O320" s="228" t="str">
        <f t="shared" ca="1" si="243"/>
        <v>Cordoalha CP-190 RB 12,7</v>
      </c>
      <c r="P320" s="232" t="str">
        <f>IF(S320="","",IF(Orçamento!$B320="INSUMO",S320,""))</f>
        <v>CORDOALHA DE AÇO CP190 RB 12,7mm ENGRAXADA</v>
      </c>
      <c r="Q320" s="244" t="str">
        <f t="shared" si="246"/>
        <v/>
      </c>
      <c r="R320" s="234">
        <f t="shared" ca="1" si="244"/>
        <v>484</v>
      </c>
      <c r="S320" s="233" t="s">
        <v>618</v>
      </c>
      <c r="T320" s="242" t="str">
        <f>_xlfn.XLOOKUP(S320,Insumos!$A$3:$A$371,Insumos!$B$3:$B$371)</f>
        <v>KG</v>
      </c>
      <c r="U320" s="235">
        <f ca="1">IF($B320="insumo",R320,"")</f>
        <v>484</v>
      </c>
      <c r="V320" s="320">
        <v>1.19</v>
      </c>
      <c r="W320" s="236">
        <f>IFERROR(IF(B320="INSUMO",_xlfn.XLOOKUP(S320,Insumos!A:A,Insumos!C:C),""),"Inserir Preço")</f>
        <v>9.4989993646759849</v>
      </c>
      <c r="X320" s="235">
        <f t="shared" ca="1" si="247"/>
        <v>575.95999999999992</v>
      </c>
      <c r="Y320" s="236">
        <f t="shared" si="248"/>
        <v>11.303809243964421</v>
      </c>
      <c r="Z320" s="237">
        <f t="shared" ca="1" si="223"/>
        <v>5471.04367407878</v>
      </c>
      <c r="AA320" s="238"/>
      <c r="AB320" s="233" t="str">
        <f>IF(B320="insumo",_xlfn.XLOOKUP(S320,Insumos!A:A,Insumos!D:D),"")</f>
        <v>AWA DISTRIBUIDORA DE MERCADORIA E SERVIÇOS LTDA</v>
      </c>
      <c r="AC320" s="239">
        <f t="shared" ca="1" si="224"/>
        <v>7.8487109567072755E-4</v>
      </c>
      <c r="AE320" s="240">
        <f ca="1">IFERROR(IF(OR(Z320="",Z320=0),"",IF(AF320="","",IF(AF320="R$/mês",Z320/OBRA!$D$12,IF(AF320="R$/m²",Z320/OBRA!$D$10,IF(AF320="R$/apto",Orçamento!Z320/OBRA!$D$11,""))))),"")</f>
        <v>2.8154380459743726</v>
      </c>
      <c r="AF320" s="241" t="s">
        <v>154</v>
      </c>
    </row>
    <row r="321" spans="1:32" s="10" customFormat="1" ht="13.15" hidden="1" customHeight="1" outlineLevel="4" x14ac:dyDescent="0.2">
      <c r="A321" s="227"/>
      <c r="B321" s="228" t="s">
        <v>4</v>
      </c>
      <c r="C321" s="229">
        <f t="shared" si="222"/>
        <v>5</v>
      </c>
      <c r="D321" s="227" t="str">
        <f t="shared" ca="1" si="245"/>
        <v>04.002.001.003</v>
      </c>
      <c r="E321" s="228" t="str">
        <f t="shared" ca="1" si="217"/>
        <v>04.002.001.003</v>
      </c>
      <c r="F321" s="230">
        <f ca="1">IF($B321="UNIDADE CONSTRUTIVA",OFFSET(F321,-1,0)+1,LARGE(F$10:F320,1))</f>
        <v>2</v>
      </c>
      <c r="G321" s="228" t="str">
        <f t="shared" ca="1" si="239"/>
        <v xml:space="preserve">   GERENCIAMENTO EXECUTIVO</v>
      </c>
      <c r="H321" s="230">
        <f t="shared" ca="1" si="218"/>
        <v>4</v>
      </c>
      <c r="I321" s="228" t="str">
        <f t="shared" ca="1" si="240"/>
        <v xml:space="preserve">   SUPRAESTRUTURA</v>
      </c>
      <c r="J321" s="230">
        <f t="shared" ca="1" si="219"/>
        <v>2</v>
      </c>
      <c r="K321" s="228" t="str">
        <f t="shared" ca="1" si="241"/>
        <v xml:space="preserve">   SUPRAESTRUTURA - 2º PAVIMENTO - TÉRREO</v>
      </c>
      <c r="L321" s="231">
        <f t="shared" ca="1" si="220"/>
        <v>1</v>
      </c>
      <c r="M321" s="228" t="str">
        <f t="shared" ca="1" si="242"/>
        <v xml:space="preserve">   Armadura</v>
      </c>
      <c r="N321" s="231">
        <f t="shared" ca="1" si="221"/>
        <v>3</v>
      </c>
      <c r="O321" s="228" t="str">
        <f t="shared" ca="1" si="243"/>
        <v>Armacao aco CA-50 ø 6.3mm para supraestrutura corte e dobra em indústria</v>
      </c>
      <c r="P321" s="232" t="str">
        <f>IF(S321="","",IF(Orçamento!$B321="INSUMO",S321,""))</f>
        <v/>
      </c>
      <c r="Q321" s="244" t="str">
        <f t="shared" si="246"/>
        <v>Armacao aco CA-50 ø 6.3mm para supraestrutura corte e dobra em indústria</v>
      </c>
      <c r="R321" s="234">
        <f t="shared" ca="1" si="244"/>
        <v>380.61839999999995</v>
      </c>
      <c r="S321" s="233" t="s">
        <v>186</v>
      </c>
      <c r="T321" s="242" t="s">
        <v>159</v>
      </c>
      <c r="U321" s="235">
        <v>380.61839999999995</v>
      </c>
      <c r="V321" s="320" t="s">
        <v>35</v>
      </c>
      <c r="W321" s="236" t="str">
        <f>IFERROR(IF(B321="INSUMO",_xlfn.XLOOKUP(S321,Insumos!A:A,Insumos!C:C),""),"Inserir Preço")</f>
        <v/>
      </c>
      <c r="X321" s="235">
        <f t="shared" ca="1" si="247"/>
        <v>380.61839999999995</v>
      </c>
      <c r="Y321" s="236">
        <f t="shared" ca="1" si="248"/>
        <v>7.56555</v>
      </c>
      <c r="Z321" s="237">
        <f t="shared" ca="1" si="223"/>
        <v>2879.5875361199996</v>
      </c>
      <c r="AA321" s="238"/>
      <c r="AB321" s="233" t="str">
        <f>IF(B321="insumo",_xlfn.XLOOKUP(S321,Insumos!A:A,Insumos!D:D),"")</f>
        <v/>
      </c>
      <c r="AC321" s="239">
        <f t="shared" ca="1" si="224"/>
        <v>4.1310308584492037E-4</v>
      </c>
      <c r="AE321" s="240">
        <f ca="1">IFERROR(IF(OR(Z321="",Z321=0),"",IF(AF321="","",IF(AF321="R$/mês",Z321/OBRA!$D$12,IF(AF321="R$/m²",Z321/OBRA!$D$10,IF(AF321="R$/apto",Orçamento!Z321/OBRA!$D$11,""))))),"")</f>
        <v>1.4818562579416743</v>
      </c>
      <c r="AF321" s="241" t="s">
        <v>154</v>
      </c>
    </row>
    <row r="322" spans="1:32" s="10" customFormat="1" ht="13.15" hidden="1" customHeight="1" outlineLevel="4" x14ac:dyDescent="0.2">
      <c r="A322" s="227"/>
      <c r="B322" s="228" t="s">
        <v>19</v>
      </c>
      <c r="C322" s="229">
        <f t="shared" si="222"/>
        <v>6</v>
      </c>
      <c r="D322" s="227" t="str">
        <f t="shared" si="245"/>
        <v/>
      </c>
      <c r="E322" s="228" t="str">
        <f t="shared" ca="1" si="217"/>
        <v>04.002.001.003</v>
      </c>
      <c r="F322" s="230">
        <f ca="1">IF($B322="UNIDADE CONSTRUTIVA",OFFSET(F322,-1,0)+1,LARGE(F$10:F321,1))</f>
        <v>2</v>
      </c>
      <c r="G322" s="228" t="str">
        <f t="shared" ca="1" si="239"/>
        <v xml:space="preserve">   GERENCIAMENTO EXECUTIVO</v>
      </c>
      <c r="H322" s="230">
        <f t="shared" ca="1" si="218"/>
        <v>4</v>
      </c>
      <c r="I322" s="228" t="str">
        <f t="shared" ca="1" si="240"/>
        <v xml:space="preserve">   SUPRAESTRUTURA</v>
      </c>
      <c r="J322" s="230">
        <f t="shared" ca="1" si="219"/>
        <v>2</v>
      </c>
      <c r="K322" s="228" t="str">
        <f t="shared" ca="1" si="241"/>
        <v xml:space="preserve">   SUPRAESTRUTURA - 2º PAVIMENTO - TÉRREO</v>
      </c>
      <c r="L322" s="231">
        <f t="shared" ca="1" si="220"/>
        <v>1</v>
      </c>
      <c r="M322" s="228" t="str">
        <f t="shared" ca="1" si="242"/>
        <v xml:space="preserve">   Armadura</v>
      </c>
      <c r="N322" s="231">
        <f t="shared" ca="1" si="221"/>
        <v>3</v>
      </c>
      <c r="O322" s="228" t="str">
        <f t="shared" ca="1" si="243"/>
        <v>Armacao aco CA-50 ø 6.3mm para supraestrutura corte e dobra em indústria</v>
      </c>
      <c r="P322" s="232" t="str">
        <f>IF(S322="","",IF(Orçamento!$B322="INSUMO",S322,""))</f>
        <v>ACO CA-50A 6,30 MM (1/4)</v>
      </c>
      <c r="Q322" s="244" t="str">
        <f t="shared" si="246"/>
        <v/>
      </c>
      <c r="R322" s="234">
        <f t="shared" ca="1" si="244"/>
        <v>380.61839999999995</v>
      </c>
      <c r="S322" s="233" t="s">
        <v>160</v>
      </c>
      <c r="T322" s="242" t="str">
        <f>_xlfn.XLOOKUP(S322,Insumos!$A$3:$A$371,Insumos!$B$3:$B$371)</f>
        <v>KG</v>
      </c>
      <c r="U322" s="235">
        <f ca="1">IF($B322="insumo",R322,"")</f>
        <v>380.61839999999995</v>
      </c>
      <c r="V322" s="320">
        <v>1.1000000000000001</v>
      </c>
      <c r="W322" s="236">
        <f>IFERROR(IF(B322="INSUMO",_xlfn.XLOOKUP(S322,Insumos!A:A,Insumos!C:C),""),"Inserir Preço")</f>
        <v>5.62</v>
      </c>
      <c r="X322" s="235">
        <f t="shared" ca="1" si="247"/>
        <v>418.68023999999997</v>
      </c>
      <c r="Y322" s="236">
        <f t="shared" si="248"/>
        <v>6.1820000000000004</v>
      </c>
      <c r="Z322" s="237">
        <f t="shared" ca="1" si="223"/>
        <v>2352.9829488</v>
      </c>
      <c r="AA322" s="238"/>
      <c r="AB322" s="233" t="str">
        <f>IF(B322="insumo",_xlfn.XLOOKUP(S322,Insumos!A:A,Insumos!D:D),"")</f>
        <v>KNORR</v>
      </c>
      <c r="AC322" s="239">
        <f t="shared" ca="1" si="224"/>
        <v>3.375568566321415E-4</v>
      </c>
      <c r="AE322" s="240">
        <f ca="1">IFERROR(IF(OR(Z322="",Z322=0),"",IF(AF322="","",IF(AF322="R$/mês",Z322/OBRA!$D$12,IF(AF322="R$/m²",Z322/OBRA!$D$10,IF(AF322="R$/apto",Orçamento!Z322/OBRA!$D$11,""))))),"")</f>
        <v>1.2108617862013247</v>
      </c>
      <c r="AF322" s="241" t="s">
        <v>154</v>
      </c>
    </row>
    <row r="323" spans="1:32" s="10" customFormat="1" ht="13.15" hidden="1" customHeight="1" outlineLevel="4" x14ac:dyDescent="0.2">
      <c r="A323" s="227"/>
      <c r="B323" s="228" t="s">
        <v>19</v>
      </c>
      <c r="C323" s="229">
        <f t="shared" si="222"/>
        <v>42</v>
      </c>
      <c r="D323" s="227" t="str">
        <f t="shared" si="245"/>
        <v/>
      </c>
      <c r="E323" s="228" t="str">
        <f t="shared" ca="1" si="217"/>
        <v>04.002.001.003</v>
      </c>
      <c r="F323" s="230">
        <f ca="1">IF($B323="UNIDADE CONSTRUTIVA",OFFSET(F323,-1,0)+1,LARGE(F$10:F322,1))</f>
        <v>2</v>
      </c>
      <c r="G323" s="228" t="str">
        <f t="shared" ca="1" si="239"/>
        <v xml:space="preserve">   GERENCIAMENTO EXECUTIVO</v>
      </c>
      <c r="H323" s="230">
        <f t="shared" ca="1" si="218"/>
        <v>4</v>
      </c>
      <c r="I323" s="228" t="str">
        <f t="shared" ca="1" si="240"/>
        <v xml:space="preserve">   SUPRAESTRUTURA</v>
      </c>
      <c r="J323" s="230">
        <f t="shared" ca="1" si="219"/>
        <v>2</v>
      </c>
      <c r="K323" s="228" t="str">
        <f t="shared" ca="1" si="241"/>
        <v xml:space="preserve">   SUPRAESTRUTURA - 2º PAVIMENTO - TÉRREO</v>
      </c>
      <c r="L323" s="231">
        <f t="shared" ca="1" si="220"/>
        <v>1</v>
      </c>
      <c r="M323" s="228" t="str">
        <f t="shared" ca="1" si="242"/>
        <v xml:space="preserve">   Armadura</v>
      </c>
      <c r="N323" s="231">
        <f t="shared" ca="1" si="221"/>
        <v>3</v>
      </c>
      <c r="O323" s="228" t="str">
        <f t="shared" ca="1" si="243"/>
        <v>Armacao aco CA-50 ø 6.3mm para supraestrutura corte e dobra em indústria</v>
      </c>
      <c r="P323" s="232" t="str">
        <f>IF(S323="","",IF(Orçamento!$B323="INSUMO",S323,""))</f>
        <v>ARAME RECOZIDO 18 BWG, 1,25MM (0,010 KG/M)</v>
      </c>
      <c r="Q323" s="244" t="str">
        <f t="shared" si="246"/>
        <v/>
      </c>
      <c r="R323" s="234">
        <f t="shared" ca="1" si="244"/>
        <v>380.61839999999995</v>
      </c>
      <c r="S323" s="233" t="s">
        <v>161</v>
      </c>
      <c r="T323" s="242" t="str">
        <f>_xlfn.XLOOKUP(S323,Insumos!$A$3:$A$371,Insumos!$B$3:$B$371)</f>
        <v>KG</v>
      </c>
      <c r="U323" s="235">
        <f ca="1">IF($B323="insumo",R323,"")</f>
        <v>380.61839999999995</v>
      </c>
      <c r="V323" s="320">
        <v>3.5000000000000003E-2</v>
      </c>
      <c r="W323" s="236">
        <f>IFERROR(IF(B323="INSUMO",_xlfn.XLOOKUP(S323,Insumos!A:A,Insumos!C:C),""),"Inserir Preço")</f>
        <v>13.69</v>
      </c>
      <c r="X323" s="235">
        <f t="shared" ca="1" si="247"/>
        <v>13.321643999999999</v>
      </c>
      <c r="Y323" s="236">
        <f t="shared" si="248"/>
        <v>0.47915000000000002</v>
      </c>
      <c r="Z323" s="237">
        <f t="shared" ca="1" si="223"/>
        <v>182.37330635999999</v>
      </c>
      <c r="AA323" s="238"/>
      <c r="AB323" s="233" t="str">
        <f>IF(B323="insumo",_xlfn.XLOOKUP(S323,Insumos!A:A,Insumos!D:D),"")</f>
        <v>GERDAU</v>
      </c>
      <c r="AC323" s="239">
        <f t="shared" ca="1" si="224"/>
        <v>2.6163113532075475E-5</v>
      </c>
      <c r="AE323" s="240">
        <f ca="1">IFERROR(IF(OR(Z323="",Z323=0),"",IF(AF323="","",IF(AF323="R$/mês",Z323/OBRA!$D$12,IF(AF323="R$/m²",Z323/OBRA!$D$10,IF(AF323="R$/apto",Orçamento!Z323/OBRA!$D$11,""))))),"")</f>
        <v>9.3850602532896246E-2</v>
      </c>
      <c r="AF323" s="241" t="s">
        <v>154</v>
      </c>
    </row>
    <row r="324" spans="1:32" s="10" customFormat="1" ht="13.15" hidden="1" customHeight="1" outlineLevel="4" x14ac:dyDescent="0.2">
      <c r="A324" s="227"/>
      <c r="B324" s="228" t="s">
        <v>19</v>
      </c>
      <c r="C324" s="229">
        <f t="shared" si="222"/>
        <v>37</v>
      </c>
      <c r="D324" s="227" t="str">
        <f t="shared" si="245"/>
        <v/>
      </c>
      <c r="E324" s="228" t="str">
        <f t="shared" ca="1" si="217"/>
        <v>04.002.001.003</v>
      </c>
      <c r="F324" s="230">
        <f ca="1">IF($B324="UNIDADE CONSTRUTIVA",OFFSET(F324,-1,0)+1,LARGE(F$10:F323,1))</f>
        <v>2</v>
      </c>
      <c r="G324" s="228" t="str">
        <f t="shared" ca="1" si="239"/>
        <v xml:space="preserve">   GERENCIAMENTO EXECUTIVO</v>
      </c>
      <c r="H324" s="230">
        <f t="shared" ca="1" si="218"/>
        <v>4</v>
      </c>
      <c r="I324" s="228" t="str">
        <f t="shared" ca="1" si="240"/>
        <v xml:space="preserve">   SUPRAESTRUTURA</v>
      </c>
      <c r="J324" s="230">
        <f t="shared" ca="1" si="219"/>
        <v>2</v>
      </c>
      <c r="K324" s="228" t="str">
        <f t="shared" ca="1" si="241"/>
        <v xml:space="preserve">   SUPRAESTRUTURA - 2º PAVIMENTO - TÉRREO</v>
      </c>
      <c r="L324" s="231">
        <f t="shared" ca="1" si="220"/>
        <v>1</v>
      </c>
      <c r="M324" s="228" t="str">
        <f t="shared" ca="1" si="242"/>
        <v xml:space="preserve">   Armadura</v>
      </c>
      <c r="N324" s="231">
        <f t="shared" ca="1" si="221"/>
        <v>3</v>
      </c>
      <c r="O324" s="228" t="str">
        <f t="shared" ca="1" si="243"/>
        <v>Armacao aco CA-50 ø 6.3mm para supraestrutura corte e dobra em indústria</v>
      </c>
      <c r="P324" s="232" t="str">
        <f>IF(S324="","",IF(Orçamento!$B324="INSUMO",S324,""))</f>
        <v>ESPACADOR CIRCULAR 40MM</v>
      </c>
      <c r="Q324" s="244" t="str">
        <f t="shared" si="246"/>
        <v/>
      </c>
      <c r="R324" s="234">
        <f t="shared" ca="1" si="244"/>
        <v>380.61839999999995</v>
      </c>
      <c r="S324" s="233" t="s">
        <v>162</v>
      </c>
      <c r="T324" s="242" t="str">
        <f>_xlfn.XLOOKUP(S324,Insumos!$A$3:$A$371,Insumos!$B$3:$B$371)</f>
        <v>UN</v>
      </c>
      <c r="U324" s="235">
        <f ca="1">IF($B324="insumo",R324,"")</f>
        <v>380.61839999999995</v>
      </c>
      <c r="V324" s="320">
        <v>1.19</v>
      </c>
      <c r="W324" s="236">
        <f>IFERROR(IF(B324="INSUMO",_xlfn.XLOOKUP(S324,Insumos!A:A,Insumos!C:C),""),"Inserir Preço")</f>
        <v>0.76</v>
      </c>
      <c r="X324" s="235">
        <f t="shared" ca="1" si="247"/>
        <v>452.9358959999999</v>
      </c>
      <c r="Y324" s="236">
        <f t="shared" si="248"/>
        <v>0.90439999999999998</v>
      </c>
      <c r="Z324" s="237">
        <f t="shared" ca="1" si="223"/>
        <v>344.23128095999994</v>
      </c>
      <c r="AA324" s="238"/>
      <c r="AB324" s="233" t="str">
        <f>IF(B324="insumo",_xlfn.XLOOKUP(S324,Insumos!A:A,Insumos!D:D),"")</f>
        <v xml:space="preserve"> </v>
      </c>
      <c r="AC324" s="239">
        <f t="shared" ca="1" si="224"/>
        <v>4.9383115680703445E-5</v>
      </c>
      <c r="AE324" s="240">
        <f ca="1">IFERROR(IF(OR(Z324="",Z324=0),"",IF(AF324="","",IF(AF324="R$/mês",Z324/OBRA!$D$12,IF(AF324="R$/m²",Z324/OBRA!$D$10,IF(AF324="R$/apto",Orçamento!Z324/OBRA!$D$11,""))))),"")</f>
        <v>0.17714386920745354</v>
      </c>
      <c r="AF324" s="241" t="s">
        <v>154</v>
      </c>
    </row>
    <row r="325" spans="1:32" s="10" customFormat="1" ht="13.15" hidden="1" customHeight="1" outlineLevel="4" x14ac:dyDescent="0.2">
      <c r="A325" s="227"/>
      <c r="B325" s="228" t="s">
        <v>4</v>
      </c>
      <c r="C325" s="229">
        <f t="shared" si="222"/>
        <v>5</v>
      </c>
      <c r="D325" s="227" t="str">
        <f t="shared" ca="1" si="245"/>
        <v>04.002.001.004</v>
      </c>
      <c r="E325" s="228" t="str">
        <f t="shared" ca="1" si="217"/>
        <v>04.002.001.004</v>
      </c>
      <c r="F325" s="230">
        <f ca="1">IF($B325="UNIDADE CONSTRUTIVA",OFFSET(F325,-1,0)+1,LARGE(F$10:F324,1))</f>
        <v>2</v>
      </c>
      <c r="G325" s="228" t="str">
        <f t="shared" ca="1" si="239"/>
        <v xml:space="preserve">   GERENCIAMENTO EXECUTIVO</v>
      </c>
      <c r="H325" s="230">
        <f t="shared" ca="1" si="218"/>
        <v>4</v>
      </c>
      <c r="I325" s="228" t="str">
        <f t="shared" ca="1" si="240"/>
        <v xml:space="preserve">   SUPRAESTRUTURA</v>
      </c>
      <c r="J325" s="230">
        <f t="shared" ca="1" si="219"/>
        <v>2</v>
      </c>
      <c r="K325" s="228" t="str">
        <f t="shared" ca="1" si="241"/>
        <v xml:space="preserve">   SUPRAESTRUTURA - 2º PAVIMENTO - TÉRREO</v>
      </c>
      <c r="L325" s="231">
        <f t="shared" ca="1" si="220"/>
        <v>1</v>
      </c>
      <c r="M325" s="228" t="str">
        <f t="shared" ca="1" si="242"/>
        <v xml:space="preserve">   Armadura</v>
      </c>
      <c r="N325" s="231">
        <f t="shared" ca="1" si="221"/>
        <v>4</v>
      </c>
      <c r="O325" s="228" t="str">
        <f t="shared" ca="1" si="243"/>
        <v>Armacao aco CA-50 ø 8.0mm para supraestrutura corte e dobra em indústria</v>
      </c>
      <c r="P325" s="232" t="str">
        <f>IF(S325="","",IF(Orçamento!$B325="INSUMO",S325,""))</f>
        <v/>
      </c>
      <c r="Q325" s="244" t="str">
        <f t="shared" si="246"/>
        <v>Armacao aco CA-50 ø 8.0mm para supraestrutura corte e dobra em indústria</v>
      </c>
      <c r="R325" s="234">
        <f t="shared" ca="1" si="244"/>
        <v>458.69980000000004</v>
      </c>
      <c r="S325" s="233" t="s">
        <v>187</v>
      </c>
      <c r="T325" s="242" t="s">
        <v>159</v>
      </c>
      <c r="U325" s="235">
        <v>458.69980000000004</v>
      </c>
      <c r="V325" s="320" t="s">
        <v>35</v>
      </c>
      <c r="W325" s="236" t="str">
        <f>IFERROR(IF(B325="INSUMO",_xlfn.XLOOKUP(S325,Insumos!A:A,Insumos!C:C),""),"Inserir Preço")</f>
        <v/>
      </c>
      <c r="X325" s="235">
        <f t="shared" ca="1" si="247"/>
        <v>458.69980000000004</v>
      </c>
      <c r="Y325" s="236">
        <f t="shared" ca="1" si="248"/>
        <v>7.0889300000000004</v>
      </c>
      <c r="Z325" s="237">
        <f t="shared" ca="1" si="223"/>
        <v>3251.6907732140003</v>
      </c>
      <c r="AA325" s="238"/>
      <c r="AB325" s="233" t="str">
        <f>IF(B325="insumo",_xlfn.XLOOKUP(S325,Insumos!A:A,Insumos!D:D),"")</f>
        <v/>
      </c>
      <c r="AC325" s="239">
        <f t="shared" ca="1" si="224"/>
        <v>4.6648468774737069E-4</v>
      </c>
      <c r="AE325" s="240">
        <f ca="1">IFERROR(IF(OR(Z325="",Z325=0),"",IF(AF325="","",IF(AF325="R$/mês",Z325/OBRA!$D$12,IF(AF325="R$/m²",Z325/OBRA!$D$10,IF(AF325="R$/apto",Orçamento!Z325/OBRA!$D$11,""))))),"")</f>
        <v>1.6733432343129739</v>
      </c>
      <c r="AF325" s="241" t="s">
        <v>154</v>
      </c>
    </row>
    <row r="326" spans="1:32" s="10" customFormat="1" ht="13.15" hidden="1" customHeight="1" outlineLevel="4" x14ac:dyDescent="0.2">
      <c r="A326" s="227"/>
      <c r="B326" s="228" t="s">
        <v>19</v>
      </c>
      <c r="C326" s="229">
        <f t="shared" si="222"/>
        <v>5</v>
      </c>
      <c r="D326" s="227" t="str">
        <f t="shared" si="245"/>
        <v/>
      </c>
      <c r="E326" s="228" t="str">
        <f t="shared" ca="1" si="217"/>
        <v>04.002.001.004</v>
      </c>
      <c r="F326" s="230">
        <f ca="1">IF($B326="UNIDADE CONSTRUTIVA",OFFSET(F326,-1,0)+1,LARGE(F$10:F325,1))</f>
        <v>2</v>
      </c>
      <c r="G326" s="228" t="str">
        <f t="shared" ca="1" si="239"/>
        <v xml:space="preserve">   GERENCIAMENTO EXECUTIVO</v>
      </c>
      <c r="H326" s="230">
        <f t="shared" ca="1" si="218"/>
        <v>4</v>
      </c>
      <c r="I326" s="228" t="str">
        <f t="shared" ca="1" si="240"/>
        <v xml:space="preserve">   SUPRAESTRUTURA</v>
      </c>
      <c r="J326" s="230">
        <f t="shared" ca="1" si="219"/>
        <v>2</v>
      </c>
      <c r="K326" s="228" t="str">
        <f t="shared" ca="1" si="241"/>
        <v xml:space="preserve">   SUPRAESTRUTURA - 2º PAVIMENTO - TÉRREO</v>
      </c>
      <c r="L326" s="231">
        <f t="shared" ca="1" si="220"/>
        <v>1</v>
      </c>
      <c r="M326" s="228" t="str">
        <f t="shared" ca="1" si="242"/>
        <v xml:space="preserve">   Armadura</v>
      </c>
      <c r="N326" s="231">
        <f t="shared" ca="1" si="221"/>
        <v>4</v>
      </c>
      <c r="O326" s="228" t="str">
        <f t="shared" ca="1" si="243"/>
        <v>Armacao aco CA-50 ø 8.0mm para supraestrutura corte e dobra em indústria</v>
      </c>
      <c r="P326" s="232" t="str">
        <f>IF(S326="","",IF(Orçamento!$B326="INSUMO",S326,""))</f>
        <v>ACO CA-50A 8,00 MM (5/16)</v>
      </c>
      <c r="Q326" s="244" t="str">
        <f t="shared" si="246"/>
        <v/>
      </c>
      <c r="R326" s="234">
        <f t="shared" ca="1" si="244"/>
        <v>458.69980000000004</v>
      </c>
      <c r="S326" s="233" t="s">
        <v>163</v>
      </c>
      <c r="T326" s="242" t="str">
        <f>_xlfn.XLOOKUP(S326,Insumos!$A$3:$A$371,Insumos!$B$3:$B$371)</f>
        <v>KG</v>
      </c>
      <c r="U326" s="235">
        <f ca="1">IF($B326="insumo",R326,"")</f>
        <v>458.69980000000004</v>
      </c>
      <c r="V326" s="320">
        <v>1.1000000000000001</v>
      </c>
      <c r="W326" s="236">
        <f>IFERROR(IF(B326="INSUMO",_xlfn.XLOOKUP(S326,Insumos!A:A,Insumos!C:C),""),"Inserir Preço")</f>
        <v>5.62</v>
      </c>
      <c r="X326" s="235">
        <f t="shared" ca="1" si="247"/>
        <v>504.56978000000009</v>
      </c>
      <c r="Y326" s="236">
        <f t="shared" si="248"/>
        <v>6.1820000000000004</v>
      </c>
      <c r="Z326" s="237">
        <f t="shared" ca="1" si="223"/>
        <v>2835.6821636000004</v>
      </c>
      <c r="AA326" s="238"/>
      <c r="AB326" s="233" t="str">
        <f>IF(B326="insumo",_xlfn.XLOOKUP(S326,Insumos!A:A,Insumos!D:D),"")</f>
        <v>KNORR</v>
      </c>
      <c r="AC326" s="239">
        <f t="shared" ca="1" si="224"/>
        <v>4.0680445986266556E-4</v>
      </c>
      <c r="AE326" s="240">
        <f ca="1">IFERROR(IF(OR(Z326="",Z326=0),"",IF(AF326="","",IF(AF326="R$/mês",Z326/OBRA!$D$12,IF(AF326="R$/m²",Z326/OBRA!$D$10,IF(AF326="R$/apto",Orçamento!Z326/OBRA!$D$11,""))))),"")</f>
        <v>1.4592622404964932</v>
      </c>
      <c r="AF326" s="241" t="s">
        <v>154</v>
      </c>
    </row>
    <row r="327" spans="1:32" s="10" customFormat="1" ht="13.15" hidden="1" customHeight="1" outlineLevel="4" x14ac:dyDescent="0.2">
      <c r="A327" s="227"/>
      <c r="B327" s="228" t="s">
        <v>19</v>
      </c>
      <c r="C327" s="229">
        <f t="shared" si="222"/>
        <v>42</v>
      </c>
      <c r="D327" s="227" t="str">
        <f t="shared" si="245"/>
        <v/>
      </c>
      <c r="E327" s="228" t="str">
        <f t="shared" ca="1" si="217"/>
        <v>04.002.001.004</v>
      </c>
      <c r="F327" s="230">
        <f ca="1">IF($B327="UNIDADE CONSTRUTIVA",OFFSET(F327,-1,0)+1,LARGE(F$10:F326,1))</f>
        <v>2</v>
      </c>
      <c r="G327" s="228" t="str">
        <f t="shared" ca="1" si="239"/>
        <v xml:space="preserve">   GERENCIAMENTO EXECUTIVO</v>
      </c>
      <c r="H327" s="230">
        <f t="shared" ca="1" si="218"/>
        <v>4</v>
      </c>
      <c r="I327" s="228" t="str">
        <f t="shared" ca="1" si="240"/>
        <v xml:space="preserve">   SUPRAESTRUTURA</v>
      </c>
      <c r="J327" s="230">
        <f t="shared" ca="1" si="219"/>
        <v>2</v>
      </c>
      <c r="K327" s="228" t="str">
        <f t="shared" ca="1" si="241"/>
        <v xml:space="preserve">   SUPRAESTRUTURA - 2º PAVIMENTO - TÉRREO</v>
      </c>
      <c r="L327" s="231">
        <f t="shared" ca="1" si="220"/>
        <v>1</v>
      </c>
      <c r="M327" s="228" t="str">
        <f t="shared" ca="1" si="242"/>
        <v xml:space="preserve">   Armadura</v>
      </c>
      <c r="N327" s="231">
        <f t="shared" ca="1" si="221"/>
        <v>4</v>
      </c>
      <c r="O327" s="228" t="str">
        <f t="shared" ca="1" si="243"/>
        <v>Armacao aco CA-50 ø 8.0mm para supraestrutura corte e dobra em indústria</v>
      </c>
      <c r="P327" s="232" t="str">
        <f>IF(S327="","",IF(Orçamento!$B327="INSUMO",S327,""))</f>
        <v>ARAME RECOZIDO 18 BWG, 1,25MM (0,010 KG/M)</v>
      </c>
      <c r="Q327" s="244" t="str">
        <f t="shared" si="246"/>
        <v/>
      </c>
      <c r="R327" s="234">
        <f t="shared" ca="1" si="244"/>
        <v>458.69980000000004</v>
      </c>
      <c r="S327" s="233" t="s">
        <v>161</v>
      </c>
      <c r="T327" s="242" t="str">
        <f>_xlfn.XLOOKUP(S327,Insumos!$A$3:$A$371,Insumos!$B$3:$B$371)</f>
        <v>KG</v>
      </c>
      <c r="U327" s="235">
        <f ca="1">IF($B327="insumo",R327,"")</f>
        <v>458.69980000000004</v>
      </c>
      <c r="V327" s="320">
        <v>2.5000000000000001E-2</v>
      </c>
      <c r="W327" s="236">
        <f>IFERROR(IF(B327="INSUMO",_xlfn.XLOOKUP(S327,Insumos!A:A,Insumos!C:C),""),"Inserir Preço")</f>
        <v>13.69</v>
      </c>
      <c r="X327" s="235">
        <f t="shared" ca="1" si="247"/>
        <v>11.467495000000001</v>
      </c>
      <c r="Y327" s="236">
        <f t="shared" si="248"/>
        <v>0.34225</v>
      </c>
      <c r="Z327" s="237">
        <f t="shared" ca="1" si="223"/>
        <v>156.99000655</v>
      </c>
      <c r="AA327" s="238"/>
      <c r="AB327" s="233" t="str">
        <f>IF(B327="insumo",_xlfn.XLOOKUP(S327,Insumos!A:A,Insumos!D:D),"")</f>
        <v>GERDAU</v>
      </c>
      <c r="AC327" s="239">
        <f t="shared" ca="1" si="224"/>
        <v>2.2521647749595159E-5</v>
      </c>
      <c r="AE327" s="240">
        <f ca="1">IFERROR(IF(OR(Z327="",Z327=0),"",IF(AF327="","",IF(AF327="R$/mês",Z327/OBRA!$D$12,IF(AF327="R$/m²",Z327/OBRA!$D$10,IF(AF327="R$/apto",Orçamento!Z327/OBRA!$D$11,""))))),"")</f>
        <v>8.0788175640557222E-2</v>
      </c>
      <c r="AF327" s="241" t="s">
        <v>154</v>
      </c>
    </row>
    <row r="328" spans="1:32" s="10" customFormat="1" ht="13.15" hidden="1" customHeight="1" outlineLevel="4" x14ac:dyDescent="0.2">
      <c r="A328" s="227"/>
      <c r="B328" s="228" t="s">
        <v>19</v>
      </c>
      <c r="C328" s="229">
        <f t="shared" si="222"/>
        <v>37</v>
      </c>
      <c r="D328" s="227" t="str">
        <f t="shared" si="245"/>
        <v/>
      </c>
      <c r="E328" s="228" t="str">
        <f t="shared" ca="1" si="217"/>
        <v>04.002.001.004</v>
      </c>
      <c r="F328" s="230">
        <f ca="1">IF($B328="UNIDADE CONSTRUTIVA",OFFSET(F328,-1,0)+1,LARGE(F$10:F327,1))</f>
        <v>2</v>
      </c>
      <c r="G328" s="228" t="str">
        <f t="shared" ca="1" si="239"/>
        <v xml:space="preserve">   GERENCIAMENTO EXECUTIVO</v>
      </c>
      <c r="H328" s="230">
        <f t="shared" ca="1" si="218"/>
        <v>4</v>
      </c>
      <c r="I328" s="228" t="str">
        <f t="shared" ca="1" si="240"/>
        <v xml:space="preserve">   SUPRAESTRUTURA</v>
      </c>
      <c r="J328" s="230">
        <f t="shared" ca="1" si="219"/>
        <v>2</v>
      </c>
      <c r="K328" s="228" t="str">
        <f t="shared" ca="1" si="241"/>
        <v xml:space="preserve">   SUPRAESTRUTURA - 2º PAVIMENTO - TÉRREO</v>
      </c>
      <c r="L328" s="231">
        <f t="shared" ca="1" si="220"/>
        <v>1</v>
      </c>
      <c r="M328" s="228" t="str">
        <f t="shared" ca="1" si="242"/>
        <v xml:space="preserve">   Armadura</v>
      </c>
      <c r="N328" s="231">
        <f t="shared" ca="1" si="221"/>
        <v>4</v>
      </c>
      <c r="O328" s="228" t="str">
        <f t="shared" ca="1" si="243"/>
        <v>Armacao aco CA-50 ø 8.0mm para supraestrutura corte e dobra em indústria</v>
      </c>
      <c r="P328" s="232" t="str">
        <f>IF(S328="","",IF(Orçamento!$B328="INSUMO",S328,""))</f>
        <v>ESPACADOR CIRCULAR 40MM</v>
      </c>
      <c r="Q328" s="244" t="str">
        <f t="shared" si="246"/>
        <v/>
      </c>
      <c r="R328" s="234">
        <f t="shared" ca="1" si="244"/>
        <v>458.69980000000004</v>
      </c>
      <c r="S328" s="233" t="s">
        <v>162</v>
      </c>
      <c r="T328" s="242" t="str">
        <f>_xlfn.XLOOKUP(S328,Insumos!$A$3:$A$371,Insumos!$B$3:$B$371)</f>
        <v>UN</v>
      </c>
      <c r="U328" s="235">
        <f ca="1">IF($B328="insumo",R328,"")</f>
        <v>458.69980000000004</v>
      </c>
      <c r="V328" s="320">
        <v>0.74299999999999999</v>
      </c>
      <c r="W328" s="236">
        <f>IFERROR(IF(B328="INSUMO",_xlfn.XLOOKUP(S328,Insumos!A:A,Insumos!C:C),""),"Inserir Preço")</f>
        <v>0.76</v>
      </c>
      <c r="X328" s="235">
        <f t="shared" ca="1" si="247"/>
        <v>340.81395140000001</v>
      </c>
      <c r="Y328" s="236">
        <f t="shared" si="248"/>
        <v>0.56467999999999996</v>
      </c>
      <c r="Z328" s="237">
        <f t="shared" ca="1" si="223"/>
        <v>259.01860306399999</v>
      </c>
      <c r="AA328" s="238"/>
      <c r="AB328" s="233" t="str">
        <f>IF(B328="insumo",_xlfn.XLOOKUP(S328,Insumos!A:A,Insumos!D:D),"")</f>
        <v xml:space="preserve"> </v>
      </c>
      <c r="AC328" s="239">
        <f t="shared" ca="1" si="224"/>
        <v>3.7158580135109987E-5</v>
      </c>
      <c r="AE328" s="240">
        <f ca="1">IFERROR(IF(OR(Z328="",Z328=0),"",IF(AF328="","",IF(AF328="R$/mês",Z328/OBRA!$D$12,IF(AF328="R$/m²",Z328/OBRA!$D$10,IF(AF328="R$/apto",Orçamento!Z328/OBRA!$D$11,""))))),"")</f>
        <v>0.13329281817592359</v>
      </c>
      <c r="AF328" s="241" t="s">
        <v>154</v>
      </c>
    </row>
    <row r="329" spans="1:32" s="10" customFormat="1" ht="13.15" hidden="1" customHeight="1" outlineLevel="4" x14ac:dyDescent="0.2">
      <c r="A329" s="227"/>
      <c r="B329" s="228" t="s">
        <v>4</v>
      </c>
      <c r="C329" s="229">
        <f t="shared" si="222"/>
        <v>5</v>
      </c>
      <c r="D329" s="227" t="str">
        <f t="shared" ca="1" si="245"/>
        <v>04.002.001.005</v>
      </c>
      <c r="E329" s="228" t="str">
        <f t="shared" ca="1" si="217"/>
        <v>04.002.001.005</v>
      </c>
      <c r="F329" s="230">
        <f ca="1">IF($B329="UNIDADE CONSTRUTIVA",OFFSET(F329,-1,0)+1,LARGE(F$10:F328,1))</f>
        <v>2</v>
      </c>
      <c r="G329" s="228" t="str">
        <f t="shared" ca="1" si="239"/>
        <v xml:space="preserve">   GERENCIAMENTO EXECUTIVO</v>
      </c>
      <c r="H329" s="230">
        <f t="shared" ca="1" si="218"/>
        <v>4</v>
      </c>
      <c r="I329" s="228" t="str">
        <f t="shared" ca="1" si="240"/>
        <v xml:space="preserve">   SUPRAESTRUTURA</v>
      </c>
      <c r="J329" s="230">
        <f t="shared" ca="1" si="219"/>
        <v>2</v>
      </c>
      <c r="K329" s="228" t="str">
        <f t="shared" ca="1" si="241"/>
        <v xml:space="preserve">   SUPRAESTRUTURA - 2º PAVIMENTO - TÉRREO</v>
      </c>
      <c r="L329" s="231">
        <f t="shared" ca="1" si="220"/>
        <v>1</v>
      </c>
      <c r="M329" s="228" t="str">
        <f t="shared" ca="1" si="242"/>
        <v xml:space="preserve">   Armadura</v>
      </c>
      <c r="N329" s="231">
        <f t="shared" ca="1" si="221"/>
        <v>5</v>
      </c>
      <c r="O329" s="228" t="str">
        <f t="shared" ca="1" si="243"/>
        <v>Armacao aco CA-50 ø 10.0mm para supraestrutura corte e dobra em indústria</v>
      </c>
      <c r="P329" s="232" t="str">
        <f>IF(S329="","",IF(Orçamento!$B329="INSUMO",S329,""))</f>
        <v/>
      </c>
      <c r="Q329" s="244" t="str">
        <f t="shared" si="246"/>
        <v>Armacao aco CA-50 ø 10.0mm para supraestrutura corte e dobra em indústria</v>
      </c>
      <c r="R329" s="234">
        <f t="shared" ca="1" si="244"/>
        <v>743.20896000000005</v>
      </c>
      <c r="S329" s="233" t="s">
        <v>188</v>
      </c>
      <c r="T329" s="242" t="s">
        <v>159</v>
      </c>
      <c r="U329" s="235">
        <v>743.20896000000005</v>
      </c>
      <c r="V329" s="320" t="s">
        <v>35</v>
      </c>
      <c r="W329" s="236" t="str">
        <f>IFERROR(IF(B329="INSUMO",_xlfn.XLOOKUP(S329,Insumos!A:A,Insumos!C:C),""),"Inserir Preço")</f>
        <v/>
      </c>
      <c r="X329" s="235">
        <f t="shared" ca="1" si="247"/>
        <v>743.20896000000005</v>
      </c>
      <c r="Y329" s="236">
        <f t="shared" ca="1" si="248"/>
        <v>6.5920300000000012</v>
      </c>
      <c r="Z329" s="237">
        <f t="shared" ca="1" si="223"/>
        <v>4899.2557605888014</v>
      </c>
      <c r="AA329" s="238"/>
      <c r="AB329" s="233" t="str">
        <f>IF(B329="insumo",_xlfn.XLOOKUP(S329,Insumos!A:A,Insumos!D:D),"")</f>
        <v/>
      </c>
      <c r="AC329" s="239">
        <f t="shared" ca="1" si="224"/>
        <v>7.0284290637323945E-4</v>
      </c>
      <c r="AE329" s="240">
        <f ca="1">IFERROR(IF(OR(Z329="",Z329=0),"",IF(AF329="","",IF(AF329="R$/mês",Z329/OBRA!$D$12,IF(AF329="R$/m²",Z329/OBRA!$D$10,IF(AF329="R$/apto",Orçamento!Z329/OBRA!$D$11,""))))),"")</f>
        <v>2.5211919127374531</v>
      </c>
      <c r="AF329" s="241" t="s">
        <v>154</v>
      </c>
    </row>
    <row r="330" spans="1:32" s="10" customFormat="1" ht="13.15" hidden="1" customHeight="1" outlineLevel="4" x14ac:dyDescent="0.2">
      <c r="A330" s="227"/>
      <c r="B330" s="228" t="s">
        <v>19</v>
      </c>
      <c r="C330" s="229">
        <f t="shared" si="222"/>
        <v>6</v>
      </c>
      <c r="D330" s="227" t="str">
        <f t="shared" si="245"/>
        <v/>
      </c>
      <c r="E330" s="228" t="str">
        <f t="shared" ca="1" si="217"/>
        <v>04.002.001.005</v>
      </c>
      <c r="F330" s="230">
        <f ca="1">IF($B330="UNIDADE CONSTRUTIVA",OFFSET(F330,-1,0)+1,LARGE(F$10:F329,1))</f>
        <v>2</v>
      </c>
      <c r="G330" s="228" t="str">
        <f t="shared" ca="1" si="239"/>
        <v xml:space="preserve">   GERENCIAMENTO EXECUTIVO</v>
      </c>
      <c r="H330" s="230">
        <f t="shared" ca="1" si="218"/>
        <v>4</v>
      </c>
      <c r="I330" s="228" t="str">
        <f t="shared" ca="1" si="240"/>
        <v xml:space="preserve">   SUPRAESTRUTURA</v>
      </c>
      <c r="J330" s="230">
        <f t="shared" ca="1" si="219"/>
        <v>2</v>
      </c>
      <c r="K330" s="228" t="str">
        <f t="shared" ca="1" si="241"/>
        <v xml:space="preserve">   SUPRAESTRUTURA - 2º PAVIMENTO - TÉRREO</v>
      </c>
      <c r="L330" s="231">
        <f t="shared" ca="1" si="220"/>
        <v>1</v>
      </c>
      <c r="M330" s="228" t="str">
        <f t="shared" ca="1" si="242"/>
        <v xml:space="preserve">   Armadura</v>
      </c>
      <c r="N330" s="231">
        <f t="shared" ca="1" si="221"/>
        <v>5</v>
      </c>
      <c r="O330" s="228" t="str">
        <f t="shared" ca="1" si="243"/>
        <v>Armacao aco CA-50 ø 10.0mm para supraestrutura corte e dobra em indústria</v>
      </c>
      <c r="P330" s="232" t="str">
        <f>IF(S330="","",IF(Orçamento!$B330="INSUMO",S330,""))</f>
        <v>ACO CA-50A 10,00 MM (3/8)</v>
      </c>
      <c r="Q330" s="244" t="str">
        <f t="shared" si="246"/>
        <v/>
      </c>
      <c r="R330" s="234">
        <f t="shared" ca="1" si="244"/>
        <v>743.20896000000005</v>
      </c>
      <c r="S330" s="233" t="s">
        <v>177</v>
      </c>
      <c r="T330" s="242" t="str">
        <f>_xlfn.XLOOKUP(S330,Insumos!$A$3:$A$371,Insumos!$B$3:$B$371)</f>
        <v>KG</v>
      </c>
      <c r="U330" s="235">
        <f ca="1">IF($B330="insumo",R330,"")</f>
        <v>743.20896000000005</v>
      </c>
      <c r="V330" s="320">
        <v>1.1000000000000001</v>
      </c>
      <c r="W330" s="236">
        <f>IFERROR(IF(B330="INSUMO",_xlfn.XLOOKUP(S330,Insumos!A:A,Insumos!C:C),""),"Inserir Preço")</f>
        <v>5.36</v>
      </c>
      <c r="X330" s="235">
        <f t="shared" ca="1" si="247"/>
        <v>817.52985600000011</v>
      </c>
      <c r="Y330" s="236">
        <f t="shared" si="248"/>
        <v>5.8960000000000008</v>
      </c>
      <c r="Z330" s="237">
        <f t="shared" ca="1" si="223"/>
        <v>4381.9600281600005</v>
      </c>
      <c r="AA330" s="238"/>
      <c r="AB330" s="233" t="str">
        <f>IF(B330="insumo",_xlfn.XLOOKUP(S330,Insumos!A:A,Insumos!D:D),"")</f>
        <v>KNORR</v>
      </c>
      <c r="AC330" s="239">
        <f t="shared" ca="1" si="224"/>
        <v>6.2863211726533693E-4</v>
      </c>
      <c r="AE330" s="240">
        <f ca="1">IFERROR(IF(OR(Z330="",Z330=0),"",IF(AF330="","",IF(AF330="R$/mês",Z330/OBRA!$D$12,IF(AF330="R$/m²",Z330/OBRA!$D$10,IF(AF330="R$/apto",Orçamento!Z330/OBRA!$D$11,""))))),"")</f>
        <v>2.2549878440328732</v>
      </c>
      <c r="AF330" s="241" t="s">
        <v>154</v>
      </c>
    </row>
    <row r="331" spans="1:32" s="10" customFormat="1" ht="13.15" hidden="1" customHeight="1" outlineLevel="4" x14ac:dyDescent="0.2">
      <c r="A331" s="227"/>
      <c r="B331" s="228" t="s">
        <v>19</v>
      </c>
      <c r="C331" s="229">
        <f t="shared" si="222"/>
        <v>42</v>
      </c>
      <c r="D331" s="227" t="str">
        <f t="shared" si="245"/>
        <v/>
      </c>
      <c r="E331" s="228" t="str">
        <f t="shared" ca="1" si="217"/>
        <v>04.002.001.005</v>
      </c>
      <c r="F331" s="230">
        <f ca="1">IF($B331="UNIDADE CONSTRUTIVA",OFFSET(F331,-1,0)+1,LARGE(F$10:F330,1))</f>
        <v>2</v>
      </c>
      <c r="G331" s="228" t="str">
        <f t="shared" ca="1" si="239"/>
        <v xml:space="preserve">   GERENCIAMENTO EXECUTIVO</v>
      </c>
      <c r="H331" s="230">
        <f t="shared" ca="1" si="218"/>
        <v>4</v>
      </c>
      <c r="I331" s="228" t="str">
        <f t="shared" ca="1" si="240"/>
        <v xml:space="preserve">   SUPRAESTRUTURA</v>
      </c>
      <c r="J331" s="230">
        <f t="shared" ca="1" si="219"/>
        <v>2</v>
      </c>
      <c r="K331" s="228" t="str">
        <f t="shared" ca="1" si="241"/>
        <v xml:space="preserve">   SUPRAESTRUTURA - 2º PAVIMENTO - TÉRREO</v>
      </c>
      <c r="L331" s="231">
        <f t="shared" ca="1" si="220"/>
        <v>1</v>
      </c>
      <c r="M331" s="228" t="str">
        <f t="shared" ca="1" si="242"/>
        <v xml:space="preserve">   Armadura</v>
      </c>
      <c r="N331" s="231">
        <f t="shared" ca="1" si="221"/>
        <v>5</v>
      </c>
      <c r="O331" s="228" t="str">
        <f t="shared" ca="1" si="243"/>
        <v>Armacao aco CA-50 ø 10.0mm para supraestrutura corte e dobra em indústria</v>
      </c>
      <c r="P331" s="232" t="str">
        <f>IF(S331="","",IF(Orçamento!$B331="INSUMO",S331,""))</f>
        <v>ARAME RECOZIDO 18 BWG, 1,25MM (0,010 KG/M)</v>
      </c>
      <c r="Q331" s="244" t="str">
        <f t="shared" si="246"/>
        <v/>
      </c>
      <c r="R331" s="234">
        <f t="shared" ca="1" si="244"/>
        <v>743.20896000000005</v>
      </c>
      <c r="S331" s="233" t="s">
        <v>161</v>
      </c>
      <c r="T331" s="242" t="str">
        <f>_xlfn.XLOOKUP(S331,Insumos!$A$3:$A$371,Insumos!$B$3:$B$371)</f>
        <v>KG</v>
      </c>
      <c r="U331" s="235">
        <f ca="1">IF($B331="insumo",R331,"")</f>
        <v>743.20896000000005</v>
      </c>
      <c r="V331" s="320">
        <v>2.5000000000000001E-2</v>
      </c>
      <c r="W331" s="236">
        <f>IFERROR(IF(B331="INSUMO",_xlfn.XLOOKUP(S331,Insumos!A:A,Insumos!C:C),""),"Inserir Preço")</f>
        <v>13.69</v>
      </c>
      <c r="X331" s="235">
        <f t="shared" ca="1" si="247"/>
        <v>18.580224000000001</v>
      </c>
      <c r="Y331" s="236">
        <f t="shared" si="248"/>
        <v>0.34225</v>
      </c>
      <c r="Z331" s="237">
        <f t="shared" ca="1" si="223"/>
        <v>254.36326656</v>
      </c>
      <c r="AA331" s="238"/>
      <c r="AB331" s="233" t="str">
        <f>IF(B331="insumo",_xlfn.XLOOKUP(S331,Insumos!A:A,Insumos!D:D),"")</f>
        <v>GERDAU</v>
      </c>
      <c r="AC331" s="239">
        <f t="shared" ca="1" si="224"/>
        <v>3.6490729669956162E-5</v>
      </c>
      <c r="AE331" s="240">
        <f ca="1">IFERROR(IF(OR(Z331="",Z331=0),"",IF(AF331="","",IF(AF331="R$/mês",Z331/OBRA!$D$12,IF(AF331="R$/m²",Z331/OBRA!$D$10,IF(AF331="R$/apto",Orçamento!Z331/OBRA!$D$11,""))))),"")</f>
        <v>0.13089714885011039</v>
      </c>
      <c r="AF331" s="241" t="s">
        <v>154</v>
      </c>
    </row>
    <row r="332" spans="1:32" s="10" customFormat="1" ht="13.15" hidden="1" customHeight="1" outlineLevel="4" x14ac:dyDescent="0.2">
      <c r="A332" s="227"/>
      <c r="B332" s="228" t="s">
        <v>19</v>
      </c>
      <c r="C332" s="229">
        <f t="shared" ref="C332:C395" si="250">IF(B332="INSUMO",COUNTIFS(B:B,"INSUMO",S:S,S332),IF(B332="SERVIÇO",COUNTIFS(B:B,"SERVIÇO",S:S,S332),""))</f>
        <v>37</v>
      </c>
      <c r="D332" s="227" t="str">
        <f t="shared" si="245"/>
        <v/>
      </c>
      <c r="E332" s="228" t="str">
        <f t="shared" ca="1" si="217"/>
        <v>04.002.001.005</v>
      </c>
      <c r="F332" s="230">
        <f ca="1">IF($B332="UNIDADE CONSTRUTIVA",OFFSET(F332,-1,0)+1,LARGE(F$10:F331,1))</f>
        <v>2</v>
      </c>
      <c r="G332" s="228" t="str">
        <f t="shared" ca="1" si="239"/>
        <v xml:space="preserve">   GERENCIAMENTO EXECUTIVO</v>
      </c>
      <c r="H332" s="230">
        <f t="shared" ca="1" si="218"/>
        <v>4</v>
      </c>
      <c r="I332" s="228" t="str">
        <f t="shared" ca="1" si="240"/>
        <v xml:space="preserve">   SUPRAESTRUTURA</v>
      </c>
      <c r="J332" s="230">
        <f t="shared" ca="1" si="219"/>
        <v>2</v>
      </c>
      <c r="K332" s="228" t="str">
        <f t="shared" ca="1" si="241"/>
        <v xml:space="preserve">   SUPRAESTRUTURA - 2º PAVIMENTO - TÉRREO</v>
      </c>
      <c r="L332" s="231">
        <f t="shared" ca="1" si="220"/>
        <v>1</v>
      </c>
      <c r="M332" s="228" t="str">
        <f t="shared" ca="1" si="242"/>
        <v xml:space="preserve">   Armadura</v>
      </c>
      <c r="N332" s="231">
        <f t="shared" ca="1" si="221"/>
        <v>5</v>
      </c>
      <c r="O332" s="228" t="str">
        <f t="shared" ca="1" si="243"/>
        <v>Armacao aco CA-50 ø 10.0mm para supraestrutura corte e dobra em indústria</v>
      </c>
      <c r="P332" s="232" t="str">
        <f>IF(S332="","",IF(Orçamento!$B332="INSUMO",S332,""))</f>
        <v>ESPACADOR CIRCULAR 40MM</v>
      </c>
      <c r="Q332" s="244" t="str">
        <f t="shared" si="246"/>
        <v/>
      </c>
      <c r="R332" s="234">
        <f t="shared" ca="1" si="244"/>
        <v>743.20896000000005</v>
      </c>
      <c r="S332" s="233" t="s">
        <v>162</v>
      </c>
      <c r="T332" s="242" t="str">
        <f>_xlfn.XLOOKUP(S332,Insumos!$A$3:$A$371,Insumos!$B$3:$B$371)</f>
        <v>UN</v>
      </c>
      <c r="U332" s="235">
        <f ca="1">IF($B332="insumo",R332,"")</f>
        <v>743.20896000000005</v>
      </c>
      <c r="V332" s="320">
        <v>0.46550000000000002</v>
      </c>
      <c r="W332" s="236">
        <f>IFERROR(IF(B332="INSUMO",_xlfn.XLOOKUP(S332,Insumos!A:A,Insumos!C:C),""),"Inserir Preço")</f>
        <v>0.76</v>
      </c>
      <c r="X332" s="235">
        <f t="shared" ca="1" si="247"/>
        <v>345.96377088000003</v>
      </c>
      <c r="Y332" s="236">
        <f t="shared" si="248"/>
        <v>0.35378000000000004</v>
      </c>
      <c r="Z332" s="237">
        <f t="shared" ref="Z332:Z395" ca="1" si="251">IFERROR(IF(B332="Unidade Construtiva",SUMIFS(Z:Z,B:B,"Célula Construtiva",G:G,G332),IF(B332="célula construtiva",SUMIFS(Z:Z,B:B,"Insumo",I:I,I332,G:G,G332),IF(B332="ETAPA",SUMIFS(Z:Z,B:B,"Insumo",K:K,K332,I:I,I332,G:G,G332),IF(B332="subetapa",SUMIFS(Z:Z,M:M,M332,B:B,"insumo",K:K,K332,I:I,I332,G:G,G332),IF(B332="complemento do insumo",V332*W332,IF(B332="INSUMO",R332*V332*W332,X332*Y332)))))),"")</f>
        <v>262.93246586880002</v>
      </c>
      <c r="AA332" s="238"/>
      <c r="AB332" s="233" t="str">
        <f>IF(B332="insumo",_xlfn.XLOOKUP(S332,Insumos!A:A,Insumos!D:D),"")</f>
        <v xml:space="preserve"> </v>
      </c>
      <c r="AC332" s="239">
        <f t="shared" ref="AC332:AC395" ca="1" si="252">IFERROR(IF(B332="","",Z332/SUMIF(B:B,"INSUMO",Z:Z)),0)</f>
        <v>3.7720059437946215E-5</v>
      </c>
      <c r="AE332" s="240">
        <f ca="1">IFERROR(IF(OR(Z332="",Z332=0),"",IF(AF332="","",IF(AF332="R$/mês",Z332/OBRA!$D$12,IF(AF332="R$/m²",Z332/OBRA!$D$10,IF(AF332="R$/apto",Orçamento!Z332/OBRA!$D$11,""))))),"")</f>
        <v>0.1353069198544691</v>
      </c>
      <c r="AF332" s="241" t="s">
        <v>154</v>
      </c>
    </row>
    <row r="333" spans="1:32" s="10" customFormat="1" ht="13.15" hidden="1" customHeight="1" outlineLevel="4" x14ac:dyDescent="0.2">
      <c r="A333" s="227"/>
      <c r="B333" s="228" t="s">
        <v>4</v>
      </c>
      <c r="C333" s="229">
        <f t="shared" si="250"/>
        <v>5</v>
      </c>
      <c r="D333" s="227" t="str">
        <f t="shared" ca="1" si="245"/>
        <v>04.002.001.006</v>
      </c>
      <c r="E333" s="228" t="str">
        <f t="shared" ca="1" si="217"/>
        <v>04.002.001.006</v>
      </c>
      <c r="F333" s="230">
        <f ca="1">IF($B333="UNIDADE CONSTRUTIVA",OFFSET(F333,-1,0)+1,LARGE(F$10:F332,1))</f>
        <v>2</v>
      </c>
      <c r="G333" s="228" t="str">
        <f t="shared" ca="1" si="239"/>
        <v xml:space="preserve">   GERENCIAMENTO EXECUTIVO</v>
      </c>
      <c r="H333" s="230">
        <f t="shared" ca="1" si="218"/>
        <v>4</v>
      </c>
      <c r="I333" s="228" t="str">
        <f t="shared" ca="1" si="240"/>
        <v xml:space="preserve">   SUPRAESTRUTURA</v>
      </c>
      <c r="J333" s="230">
        <f t="shared" ca="1" si="219"/>
        <v>2</v>
      </c>
      <c r="K333" s="228" t="str">
        <f t="shared" ca="1" si="241"/>
        <v xml:space="preserve">   SUPRAESTRUTURA - 2º PAVIMENTO - TÉRREO</v>
      </c>
      <c r="L333" s="231">
        <f t="shared" ca="1" si="220"/>
        <v>1</v>
      </c>
      <c r="M333" s="228" t="str">
        <f t="shared" ca="1" si="242"/>
        <v xml:space="preserve">   Armadura</v>
      </c>
      <c r="N333" s="231">
        <f t="shared" ca="1" si="221"/>
        <v>6</v>
      </c>
      <c r="O333" s="228" t="str">
        <f t="shared" ca="1" si="243"/>
        <v>Armacao aco CA-50 ø 12.5mm para supraestrutura corte e dobra em indústria</v>
      </c>
      <c r="P333" s="232" t="str">
        <f>IF(S333="","",IF(Orçamento!$B333="INSUMO",S333,""))</f>
        <v/>
      </c>
      <c r="Q333" s="244" t="str">
        <f t="shared" si="246"/>
        <v>Armacao aco CA-50 ø 12.5mm para supraestrutura corte e dobra em indústria</v>
      </c>
      <c r="R333" s="234">
        <f t="shared" ca="1" si="244"/>
        <v>905.46</v>
      </c>
      <c r="S333" s="233" t="s">
        <v>189</v>
      </c>
      <c r="T333" s="242" t="s">
        <v>159</v>
      </c>
      <c r="U333" s="235">
        <v>905.46</v>
      </c>
      <c r="V333" s="320" t="s">
        <v>35</v>
      </c>
      <c r="W333" s="236" t="str">
        <f>IFERROR(IF(B333="INSUMO",_xlfn.XLOOKUP(S333,Insumos!A:A,Insumos!C:C),""),"Inserir Preço")</f>
        <v/>
      </c>
      <c r="X333" s="235">
        <f t="shared" ca="1" si="247"/>
        <v>905.46</v>
      </c>
      <c r="Y333" s="236">
        <f t="shared" ca="1" si="248"/>
        <v>6.3411700000000009</v>
      </c>
      <c r="Z333" s="237">
        <f t="shared" ca="1" si="251"/>
        <v>5741.6757882000011</v>
      </c>
      <c r="AA333" s="238"/>
      <c r="AB333" s="233" t="str">
        <f>IF(B333="insumo",_xlfn.XLOOKUP(S333,Insumos!A:A,Insumos!D:D),"")</f>
        <v/>
      </c>
      <c r="AC333" s="239">
        <f t="shared" ca="1" si="252"/>
        <v>8.2369573984975139E-4</v>
      </c>
      <c r="AE333" s="240">
        <f ca="1">IFERROR(IF(OR(Z333="",Z333=0),"",IF(AF333="","",IF(AF333="R$/mês",Z333/OBRA!$D$12,IF(AF333="R$/m²",Z333/OBRA!$D$10,IF(AF333="R$/apto",Orçamento!Z333/OBRA!$D$11,""))))),"")</f>
        <v>2.954707259665609</v>
      </c>
      <c r="AF333" s="241" t="s">
        <v>154</v>
      </c>
    </row>
    <row r="334" spans="1:32" s="10" customFormat="1" ht="13.15" hidden="1" customHeight="1" outlineLevel="4" x14ac:dyDescent="0.2">
      <c r="A334" s="227"/>
      <c r="B334" s="228" t="s">
        <v>19</v>
      </c>
      <c r="C334" s="229">
        <f t="shared" si="250"/>
        <v>5</v>
      </c>
      <c r="D334" s="227" t="str">
        <f t="shared" si="245"/>
        <v/>
      </c>
      <c r="E334" s="228" t="str">
        <f t="shared" ca="1" si="217"/>
        <v>04.002.001.006</v>
      </c>
      <c r="F334" s="230">
        <f ca="1">IF($B334="UNIDADE CONSTRUTIVA",OFFSET(F334,-1,0)+1,LARGE(F$10:F333,1))</f>
        <v>2</v>
      </c>
      <c r="G334" s="228" t="str">
        <f t="shared" ca="1" si="239"/>
        <v xml:space="preserve">   GERENCIAMENTO EXECUTIVO</v>
      </c>
      <c r="H334" s="230">
        <f t="shared" ca="1" si="218"/>
        <v>4</v>
      </c>
      <c r="I334" s="228" t="str">
        <f t="shared" ca="1" si="240"/>
        <v xml:space="preserve">   SUPRAESTRUTURA</v>
      </c>
      <c r="J334" s="230">
        <f t="shared" ca="1" si="219"/>
        <v>2</v>
      </c>
      <c r="K334" s="228" t="str">
        <f t="shared" ca="1" si="241"/>
        <v xml:space="preserve">   SUPRAESTRUTURA - 2º PAVIMENTO - TÉRREO</v>
      </c>
      <c r="L334" s="231">
        <f t="shared" ca="1" si="220"/>
        <v>1</v>
      </c>
      <c r="M334" s="228" t="str">
        <f t="shared" ca="1" si="242"/>
        <v xml:space="preserve">   Armadura</v>
      </c>
      <c r="N334" s="231">
        <f t="shared" ca="1" si="221"/>
        <v>6</v>
      </c>
      <c r="O334" s="228" t="str">
        <f t="shared" ca="1" si="243"/>
        <v>Armacao aco CA-50 ø 12.5mm para supraestrutura corte e dobra em indústria</v>
      </c>
      <c r="P334" s="232" t="str">
        <f>IF(S334="","",IF(Orçamento!$B334="INSUMO",S334,""))</f>
        <v>ACO CA-50A 12,50 MM (1/2)</v>
      </c>
      <c r="Q334" s="244" t="str">
        <f t="shared" si="246"/>
        <v/>
      </c>
      <c r="R334" s="234">
        <f t="shared" ca="1" si="244"/>
        <v>905.46</v>
      </c>
      <c r="S334" s="233" t="s">
        <v>164</v>
      </c>
      <c r="T334" s="242" t="str">
        <f>_xlfn.XLOOKUP(S334,Insumos!$A$3:$A$371,Insumos!$B$3:$B$371)</f>
        <v>KG</v>
      </c>
      <c r="U334" s="235">
        <f ca="1">IF($B334="insumo",R334,"")</f>
        <v>905.46</v>
      </c>
      <c r="V334" s="320">
        <v>1.1000000000000001</v>
      </c>
      <c r="W334" s="236">
        <f>IFERROR(IF(B334="INSUMO",_xlfn.XLOOKUP(S334,Insumos!A:A,Insumos!C:C),""),"Inserir Preço")</f>
        <v>5.2</v>
      </c>
      <c r="X334" s="235">
        <f t="shared" ca="1" si="247"/>
        <v>996.00600000000009</v>
      </c>
      <c r="Y334" s="236">
        <f t="shared" si="248"/>
        <v>5.7200000000000006</v>
      </c>
      <c r="Z334" s="237">
        <f t="shared" ca="1" si="251"/>
        <v>5179.2312000000002</v>
      </c>
      <c r="AA334" s="238"/>
      <c r="AB334" s="233" t="str">
        <f>IF(B334="insumo",_xlfn.XLOOKUP(S334,Insumos!A:A,Insumos!D:D),"")</f>
        <v>KNORR</v>
      </c>
      <c r="AC334" s="239">
        <f t="shared" ca="1" si="252"/>
        <v>7.4300793575011819E-4</v>
      </c>
      <c r="AE334" s="240">
        <f ca="1">IFERROR(IF(OR(Z334="",Z334=0),"",IF(AF334="","",IF(AF334="R$/mês",Z334/OBRA!$D$12,IF(AF334="R$/m²",Z334/OBRA!$D$10,IF(AF334="R$/apto",Orçamento!Z334/OBRA!$D$11,""))))),"")</f>
        <v>2.6652692681772101</v>
      </c>
      <c r="AF334" s="241" t="s">
        <v>154</v>
      </c>
    </row>
    <row r="335" spans="1:32" s="10" customFormat="1" ht="13.15" hidden="1" customHeight="1" outlineLevel="4" x14ac:dyDescent="0.2">
      <c r="A335" s="227"/>
      <c r="B335" s="228" t="s">
        <v>19</v>
      </c>
      <c r="C335" s="229">
        <f t="shared" si="250"/>
        <v>42</v>
      </c>
      <c r="D335" s="227" t="str">
        <f t="shared" si="245"/>
        <v/>
      </c>
      <c r="E335" s="228" t="str">
        <f t="shared" ca="1" si="217"/>
        <v>04.002.001.006</v>
      </c>
      <c r="F335" s="230">
        <f ca="1">IF($B335="UNIDADE CONSTRUTIVA",OFFSET(F335,-1,0)+1,LARGE(F$10:F334,1))</f>
        <v>2</v>
      </c>
      <c r="G335" s="228" t="str">
        <f t="shared" ca="1" si="239"/>
        <v xml:space="preserve">   GERENCIAMENTO EXECUTIVO</v>
      </c>
      <c r="H335" s="230">
        <f t="shared" ca="1" si="218"/>
        <v>4</v>
      </c>
      <c r="I335" s="228" t="str">
        <f t="shared" ca="1" si="240"/>
        <v xml:space="preserve">   SUPRAESTRUTURA</v>
      </c>
      <c r="J335" s="230">
        <f t="shared" ca="1" si="219"/>
        <v>2</v>
      </c>
      <c r="K335" s="228" t="str">
        <f t="shared" ca="1" si="241"/>
        <v xml:space="preserve">   SUPRAESTRUTURA - 2º PAVIMENTO - TÉRREO</v>
      </c>
      <c r="L335" s="231">
        <f t="shared" ca="1" si="220"/>
        <v>1</v>
      </c>
      <c r="M335" s="228" t="str">
        <f t="shared" ca="1" si="242"/>
        <v xml:space="preserve">   Armadura</v>
      </c>
      <c r="N335" s="231">
        <f t="shared" ca="1" si="221"/>
        <v>6</v>
      </c>
      <c r="O335" s="228" t="str">
        <f t="shared" ca="1" si="243"/>
        <v>Armacao aco CA-50 ø 12.5mm para supraestrutura corte e dobra em indústria</v>
      </c>
      <c r="P335" s="232" t="str">
        <f>IF(S335="","",IF(Orçamento!$B335="INSUMO",S335,""))</f>
        <v>ARAME RECOZIDO 18 BWG, 1,25MM (0,010 KG/M)</v>
      </c>
      <c r="Q335" s="244" t="str">
        <f t="shared" si="246"/>
        <v/>
      </c>
      <c r="R335" s="234">
        <f t="shared" ca="1" si="244"/>
        <v>905.46</v>
      </c>
      <c r="S335" s="233" t="s">
        <v>161</v>
      </c>
      <c r="T335" s="242" t="str">
        <f>_xlfn.XLOOKUP(S335,Insumos!$A$3:$A$371,Insumos!$B$3:$B$371)</f>
        <v>KG</v>
      </c>
      <c r="U335" s="235">
        <f ca="1">IF($B335="insumo",R335,"")</f>
        <v>905.46</v>
      </c>
      <c r="V335" s="320">
        <v>2.5000000000000001E-2</v>
      </c>
      <c r="W335" s="236">
        <f>IFERROR(IF(B335="INSUMO",_xlfn.XLOOKUP(S335,Insumos!A:A,Insumos!C:C),""),"Inserir Preço")</f>
        <v>13.69</v>
      </c>
      <c r="X335" s="235">
        <f t="shared" ca="1" si="247"/>
        <v>22.636500000000002</v>
      </c>
      <c r="Y335" s="236">
        <f t="shared" si="248"/>
        <v>0.34225</v>
      </c>
      <c r="Z335" s="237">
        <f t="shared" ca="1" si="251"/>
        <v>309.893685</v>
      </c>
      <c r="AA335" s="238"/>
      <c r="AB335" s="233" t="str">
        <f>IF(B335="insumo",_xlfn.XLOOKUP(S335,Insumos!A:A,Insumos!D:D),"")</f>
        <v>GERDAU</v>
      </c>
      <c r="AC335" s="239">
        <f t="shared" ca="1" si="252"/>
        <v>4.4457074477356287E-5</v>
      </c>
      <c r="AE335" s="240">
        <f ca="1">IFERROR(IF(OR(Z335="",Z335=0),"",IF(AF335="","",IF(AF335="R$/mês",Z335/OBRA!$D$12,IF(AF335="R$/m²",Z335/OBRA!$D$10,IF(AF335="R$/apto",Orçamento!Z335/OBRA!$D$11,""))))),"")</f>
        <v>0.15947349773315561</v>
      </c>
      <c r="AF335" s="241" t="s">
        <v>154</v>
      </c>
    </row>
    <row r="336" spans="1:32" s="10" customFormat="1" ht="13.15" hidden="1" customHeight="1" outlineLevel="4" x14ac:dyDescent="0.2">
      <c r="A336" s="227"/>
      <c r="B336" s="228" t="s">
        <v>19</v>
      </c>
      <c r="C336" s="229">
        <f t="shared" si="250"/>
        <v>37</v>
      </c>
      <c r="D336" s="227" t="str">
        <f t="shared" si="245"/>
        <v/>
      </c>
      <c r="E336" s="228" t="str">
        <f t="shared" ca="1" si="217"/>
        <v>04.002.001.006</v>
      </c>
      <c r="F336" s="230">
        <f ca="1">IF($B336="UNIDADE CONSTRUTIVA",OFFSET(F336,-1,0)+1,LARGE(F$10:F335,1))</f>
        <v>2</v>
      </c>
      <c r="G336" s="228" t="str">
        <f t="shared" ca="1" si="239"/>
        <v xml:space="preserve">   GERENCIAMENTO EXECUTIVO</v>
      </c>
      <c r="H336" s="230">
        <f t="shared" ca="1" si="218"/>
        <v>4</v>
      </c>
      <c r="I336" s="228" t="str">
        <f t="shared" ca="1" si="240"/>
        <v xml:space="preserve">   SUPRAESTRUTURA</v>
      </c>
      <c r="J336" s="230">
        <f t="shared" ca="1" si="219"/>
        <v>2</v>
      </c>
      <c r="K336" s="228" t="str">
        <f t="shared" ca="1" si="241"/>
        <v xml:space="preserve">   SUPRAESTRUTURA - 2º PAVIMENTO - TÉRREO</v>
      </c>
      <c r="L336" s="231">
        <f t="shared" ca="1" si="220"/>
        <v>1</v>
      </c>
      <c r="M336" s="228" t="str">
        <f t="shared" ca="1" si="242"/>
        <v xml:space="preserve">   Armadura</v>
      </c>
      <c r="N336" s="231">
        <f t="shared" ca="1" si="221"/>
        <v>6</v>
      </c>
      <c r="O336" s="228" t="str">
        <f t="shared" ca="1" si="243"/>
        <v>Armacao aco CA-50 ø 12.5mm para supraestrutura corte e dobra em indústria</v>
      </c>
      <c r="P336" s="232" t="str">
        <f>IF(S336="","",IF(Orçamento!$B336="INSUMO",S336,""))</f>
        <v>ESPACADOR CIRCULAR 40MM</v>
      </c>
      <c r="Q336" s="244" t="str">
        <f t="shared" si="246"/>
        <v/>
      </c>
      <c r="R336" s="234">
        <f t="shared" ca="1" si="244"/>
        <v>905.46</v>
      </c>
      <c r="S336" s="233" t="s">
        <v>162</v>
      </c>
      <c r="T336" s="242" t="str">
        <f>_xlfn.XLOOKUP(S336,Insumos!$A$3:$A$371,Insumos!$B$3:$B$371)</f>
        <v>UN</v>
      </c>
      <c r="U336" s="235">
        <f ca="1">IF($B336="insumo",R336,"")</f>
        <v>905.46</v>
      </c>
      <c r="V336" s="320">
        <v>0.36699999999999999</v>
      </c>
      <c r="W336" s="236">
        <f>IFERROR(IF(B336="INSUMO",_xlfn.XLOOKUP(S336,Insumos!A:A,Insumos!C:C),""),"Inserir Preço")</f>
        <v>0.76</v>
      </c>
      <c r="X336" s="235">
        <f t="shared" ca="1" si="247"/>
        <v>332.30382000000003</v>
      </c>
      <c r="Y336" s="236">
        <f t="shared" si="248"/>
        <v>0.27892</v>
      </c>
      <c r="Z336" s="237">
        <f t="shared" ca="1" si="251"/>
        <v>252.55090320000002</v>
      </c>
      <c r="AA336" s="238"/>
      <c r="AB336" s="233" t="str">
        <f>IF(B336="insumo",_xlfn.XLOOKUP(S336,Insumos!A:A,Insumos!D:D),"")</f>
        <v xml:space="preserve"> </v>
      </c>
      <c r="AC336" s="239">
        <f t="shared" ca="1" si="252"/>
        <v>3.6230729622276744E-5</v>
      </c>
      <c r="AE336" s="240">
        <f ca="1">IFERROR(IF(OR(Z336="",Z336=0),"",IF(AF336="","",IF(AF336="R$/mês",Z336/OBRA!$D$12,IF(AF336="R$/m²",Z336/OBRA!$D$10,IF(AF336="R$/apto",Orçamento!Z336/OBRA!$D$11,""))))),"")</f>
        <v>0.12996449375524258</v>
      </c>
      <c r="AF336" s="241" t="s">
        <v>154</v>
      </c>
    </row>
    <row r="337" spans="1:32" s="10" customFormat="1" ht="13.15" hidden="1" customHeight="1" outlineLevel="4" x14ac:dyDescent="0.2">
      <c r="A337" s="227"/>
      <c r="B337" s="228" t="s">
        <v>4</v>
      </c>
      <c r="C337" s="229">
        <f t="shared" si="250"/>
        <v>5</v>
      </c>
      <c r="D337" s="227" t="str">
        <f t="shared" ca="1" si="245"/>
        <v>04.002.001.007</v>
      </c>
      <c r="E337" s="228" t="str">
        <f t="shared" ca="1" si="217"/>
        <v>04.002.001.007</v>
      </c>
      <c r="F337" s="230">
        <f ca="1">IF($B337="UNIDADE CONSTRUTIVA",OFFSET(F337,-1,0)+1,LARGE(F$10:F336,1))</f>
        <v>2</v>
      </c>
      <c r="G337" s="228" t="str">
        <f t="shared" ca="1" si="239"/>
        <v xml:space="preserve">   GERENCIAMENTO EXECUTIVO</v>
      </c>
      <c r="H337" s="230">
        <f t="shared" ca="1" si="218"/>
        <v>4</v>
      </c>
      <c r="I337" s="228" t="str">
        <f t="shared" ca="1" si="240"/>
        <v xml:space="preserve">   SUPRAESTRUTURA</v>
      </c>
      <c r="J337" s="230">
        <f t="shared" ca="1" si="219"/>
        <v>2</v>
      </c>
      <c r="K337" s="228" t="str">
        <f t="shared" ca="1" si="241"/>
        <v xml:space="preserve">   SUPRAESTRUTURA - 2º PAVIMENTO - TÉRREO</v>
      </c>
      <c r="L337" s="231">
        <f t="shared" ca="1" si="220"/>
        <v>1</v>
      </c>
      <c r="M337" s="228" t="str">
        <f t="shared" ca="1" si="242"/>
        <v xml:space="preserve">   Armadura</v>
      </c>
      <c r="N337" s="231">
        <f t="shared" ca="1" si="221"/>
        <v>7</v>
      </c>
      <c r="O337" s="228" t="str">
        <f t="shared" ca="1" si="243"/>
        <v>Armacao aco CA-50 ø 16.0mm para supraestrutura corte e dobra em indústria</v>
      </c>
      <c r="P337" s="232" t="str">
        <f>IF(S337="","",IF(Orçamento!$B337="INSUMO",S337,""))</f>
        <v/>
      </c>
      <c r="Q337" s="244" t="str">
        <f t="shared" si="246"/>
        <v>Armacao aco CA-50 ø 16.0mm para supraestrutura corte e dobra em indústria</v>
      </c>
      <c r="R337" s="234">
        <f t="shared" ca="1" si="244"/>
        <v>383.44773999999995</v>
      </c>
      <c r="S337" s="233" t="s">
        <v>190</v>
      </c>
      <c r="T337" s="242" t="s">
        <v>159</v>
      </c>
      <c r="U337" s="235">
        <v>383.44773999999995</v>
      </c>
      <c r="V337" s="320" t="s">
        <v>35</v>
      </c>
      <c r="W337" s="236" t="str">
        <f>IFERROR(IF(B337="INSUMO",_xlfn.XLOOKUP(S337,Insumos!A:A,Insumos!C:C),""),"Inserir Preço")</f>
        <v/>
      </c>
      <c r="X337" s="235">
        <f t="shared" ca="1" si="247"/>
        <v>383.44773999999995</v>
      </c>
      <c r="Y337" s="236">
        <f t="shared" ca="1" si="248"/>
        <v>6.3602700000000008</v>
      </c>
      <c r="Z337" s="237">
        <f t="shared" ca="1" si="251"/>
        <v>2438.8311572898001</v>
      </c>
      <c r="AA337" s="238"/>
      <c r="AB337" s="233" t="str">
        <f>IF(B337="insumo",_xlfn.XLOOKUP(S337,Insumos!A:A,Insumos!D:D),"")</f>
        <v/>
      </c>
      <c r="AC337" s="239">
        <f t="shared" ca="1" si="252"/>
        <v>3.4987256483567795E-4</v>
      </c>
      <c r="AE337" s="240">
        <f ca="1">IFERROR(IF(OR(Z337="",Z337=0),"",IF(AF337="","",IF(AF337="R$/mês",Z337/OBRA!$D$12,IF(AF337="R$/m²",Z337/OBRA!$D$10,IF(AF337="R$/apto",Orçamento!Z337/OBRA!$D$11,""))))),"")</f>
        <v>1.2550398858034304</v>
      </c>
      <c r="AF337" s="241" t="s">
        <v>154</v>
      </c>
    </row>
    <row r="338" spans="1:32" s="10" customFormat="1" ht="13.15" hidden="1" customHeight="1" outlineLevel="4" x14ac:dyDescent="0.2">
      <c r="A338" s="227"/>
      <c r="B338" s="228" t="s">
        <v>19</v>
      </c>
      <c r="C338" s="229">
        <f t="shared" si="250"/>
        <v>6</v>
      </c>
      <c r="D338" s="227" t="str">
        <f t="shared" si="245"/>
        <v/>
      </c>
      <c r="E338" s="228" t="str">
        <f t="shared" ca="1" si="217"/>
        <v>04.002.001.007</v>
      </c>
      <c r="F338" s="230">
        <f ca="1">IF($B338="UNIDADE CONSTRUTIVA",OFFSET(F338,-1,0)+1,LARGE(F$10:F337,1))</f>
        <v>2</v>
      </c>
      <c r="G338" s="228" t="str">
        <f t="shared" ca="1" si="239"/>
        <v xml:space="preserve">   GERENCIAMENTO EXECUTIVO</v>
      </c>
      <c r="H338" s="230">
        <f t="shared" ca="1" si="218"/>
        <v>4</v>
      </c>
      <c r="I338" s="228" t="str">
        <f t="shared" ca="1" si="240"/>
        <v xml:space="preserve">   SUPRAESTRUTURA</v>
      </c>
      <c r="J338" s="230">
        <f t="shared" ca="1" si="219"/>
        <v>2</v>
      </c>
      <c r="K338" s="228" t="str">
        <f t="shared" ca="1" si="241"/>
        <v xml:space="preserve">   SUPRAESTRUTURA - 2º PAVIMENTO - TÉRREO</v>
      </c>
      <c r="L338" s="231">
        <f t="shared" ca="1" si="220"/>
        <v>1</v>
      </c>
      <c r="M338" s="228" t="str">
        <f t="shared" ca="1" si="242"/>
        <v xml:space="preserve">   Armadura</v>
      </c>
      <c r="N338" s="231">
        <f t="shared" ca="1" si="221"/>
        <v>7</v>
      </c>
      <c r="O338" s="228" t="str">
        <f t="shared" ca="1" si="243"/>
        <v>Armacao aco CA-50 ø 16.0mm para supraestrutura corte e dobra em indústria</v>
      </c>
      <c r="P338" s="232" t="str">
        <f>IF(S338="","",IF(Orçamento!$B338="INSUMO",S338,""))</f>
        <v>ACO CA-50A 16,00 MM (5/8)</v>
      </c>
      <c r="Q338" s="244" t="str">
        <f t="shared" si="246"/>
        <v/>
      </c>
      <c r="R338" s="234">
        <f t="shared" ca="1" si="244"/>
        <v>383.44773999999995</v>
      </c>
      <c r="S338" s="233" t="s">
        <v>178</v>
      </c>
      <c r="T338" s="242" t="str">
        <f>_xlfn.XLOOKUP(S338,Insumos!$A$3:$A$371,Insumos!$B$3:$B$371)</f>
        <v>KG</v>
      </c>
      <c r="U338" s="235">
        <f ca="1">IF($B338="insumo",R338,"")</f>
        <v>383.44773999999995</v>
      </c>
      <c r="V338" s="320">
        <v>1.1000000000000001</v>
      </c>
      <c r="W338" s="236">
        <f>IFERROR(IF(B338="INSUMO",_xlfn.XLOOKUP(S338,Insumos!A:A,Insumos!C:C),""),"Inserir Preço")</f>
        <v>5.2</v>
      </c>
      <c r="X338" s="235">
        <f t="shared" ca="1" si="247"/>
        <v>421.79251399999998</v>
      </c>
      <c r="Y338" s="236">
        <f t="shared" si="248"/>
        <v>5.7200000000000006</v>
      </c>
      <c r="Z338" s="237">
        <f t="shared" ca="1" si="251"/>
        <v>2193.3210727999999</v>
      </c>
      <c r="AA338" s="238"/>
      <c r="AB338" s="233" t="str">
        <f>IF(B338="insumo",_xlfn.XLOOKUP(S338,Insumos!A:A,Insumos!D:D),"")</f>
        <v>KNORR</v>
      </c>
      <c r="AC338" s="239">
        <f t="shared" ca="1" si="252"/>
        <v>3.1465190484996356E-4</v>
      </c>
      <c r="AE338" s="240">
        <f ca="1">IFERROR(IF(OR(Z338="",Z338=0),"",IF(AF338="","",IF(AF338="R$/mês",Z338/OBRA!$D$12,IF(AF338="R$/m²",Z338/OBRA!$D$10,IF(AF338="R$/apto",Orçamento!Z338/OBRA!$D$11,""))))),"")</f>
        <v>1.1286986475095588</v>
      </c>
      <c r="AF338" s="241" t="s">
        <v>154</v>
      </c>
    </row>
    <row r="339" spans="1:32" s="10" customFormat="1" ht="13.15" hidden="1" customHeight="1" outlineLevel="4" x14ac:dyDescent="0.2">
      <c r="A339" s="227"/>
      <c r="B339" s="228" t="s">
        <v>19</v>
      </c>
      <c r="C339" s="229">
        <f t="shared" si="250"/>
        <v>42</v>
      </c>
      <c r="D339" s="227" t="str">
        <f t="shared" si="245"/>
        <v/>
      </c>
      <c r="E339" s="228" t="str">
        <f t="shared" ref="E339:E361" ca="1" si="253">IF(B339="*","",IFERROR(IF(B339="SERVIÇO",D339,OFFSET(E339,-1,0)),""))</f>
        <v>04.002.001.007</v>
      </c>
      <c r="F339" s="230">
        <f ca="1">IF($B339="UNIDADE CONSTRUTIVA",OFFSET(F339,-1,0)+1,LARGE(F$10:F338,1))</f>
        <v>2</v>
      </c>
      <c r="G339" s="228" t="str">
        <f t="shared" ca="1" si="239"/>
        <v xml:space="preserve">   GERENCIAMENTO EXECUTIVO</v>
      </c>
      <c r="H339" s="230">
        <f t="shared" ref="H339:H361" ca="1" si="254">IF(B339="UNIDADE CONSTRUTIVA",0,IF(B339="CÉLULA CONSTRUTIVA",OFFSET(H339,-1,0)+1,OFFSET(H339,-1,0)))</f>
        <v>4</v>
      </c>
      <c r="I339" s="228" t="str">
        <f t="shared" ca="1" si="240"/>
        <v xml:space="preserve">   SUPRAESTRUTURA</v>
      </c>
      <c r="J339" s="230">
        <f t="shared" ref="J339:J361" ca="1" si="255">IF(B339="CÉLULA CONSTRUTIVA",0,IF(B339="ETAPA",OFFSET(J339,-1,0)+1,OFFSET(J339,-1,0)))</f>
        <v>2</v>
      </c>
      <c r="K339" s="228" t="str">
        <f t="shared" ca="1" si="241"/>
        <v xml:space="preserve">   SUPRAESTRUTURA - 2º PAVIMENTO - TÉRREO</v>
      </c>
      <c r="L339" s="231">
        <f t="shared" ref="L339:L361" ca="1" si="256">IF(B339="ETAPA",0,IF(B339="SUBETAPA",OFFSET(L339,-1,0)+1,OFFSET(L339,-1,0)))</f>
        <v>1</v>
      </c>
      <c r="M339" s="228" t="str">
        <f t="shared" ca="1" si="242"/>
        <v xml:space="preserve">   Armadura</v>
      </c>
      <c r="N339" s="231">
        <f t="shared" ref="N339:N361" ca="1" si="257">IF(B339="Subetapa",0,IF(B339="serviço",OFFSET(N339,-1,0)+1,OFFSET(N339,-1,0)))</f>
        <v>7</v>
      </c>
      <c r="O339" s="228" t="str">
        <f t="shared" ca="1" si="243"/>
        <v>Armacao aco CA-50 ø 16.0mm para supraestrutura corte e dobra em indústria</v>
      </c>
      <c r="P339" s="232" t="str">
        <f>IF(S339="","",IF(Orçamento!$B339="INSUMO",S339,""))</f>
        <v>ARAME RECOZIDO 18 BWG, 1,25MM (0,010 KG/M)</v>
      </c>
      <c r="Q339" s="244" t="str">
        <f t="shared" si="246"/>
        <v/>
      </c>
      <c r="R339" s="234">
        <f t="shared" ca="1" si="244"/>
        <v>383.44773999999995</v>
      </c>
      <c r="S339" s="233" t="s">
        <v>161</v>
      </c>
      <c r="T339" s="242" t="str">
        <f>_xlfn.XLOOKUP(S339,Insumos!$A$3:$A$371,Insumos!$B$3:$B$371)</f>
        <v>KG</v>
      </c>
      <c r="U339" s="235">
        <f ca="1">IF($B339="insumo",R339,"")</f>
        <v>383.44773999999995</v>
      </c>
      <c r="V339" s="320">
        <v>3.5000000000000003E-2</v>
      </c>
      <c r="W339" s="236">
        <f>IFERROR(IF(B339="INSUMO",_xlfn.XLOOKUP(S339,Insumos!A:A,Insumos!C:C),""),"Inserir Preço")</f>
        <v>13.69</v>
      </c>
      <c r="X339" s="235">
        <f t="shared" ca="1" si="247"/>
        <v>13.420670899999999</v>
      </c>
      <c r="Y339" s="236">
        <f t="shared" si="248"/>
        <v>0.47915000000000002</v>
      </c>
      <c r="Z339" s="237">
        <f t="shared" ca="1" si="251"/>
        <v>183.728984621</v>
      </c>
      <c r="AA339" s="238"/>
      <c r="AB339" s="233" t="str">
        <f>IF(B339="insumo",_xlfn.XLOOKUP(S339,Insumos!A:A,Insumos!D:D),"")</f>
        <v>GERDAU</v>
      </c>
      <c r="AC339" s="239">
        <f t="shared" ca="1" si="252"/>
        <v>2.6357597938611898E-5</v>
      </c>
      <c r="AE339" s="240">
        <f ca="1">IFERROR(IF(OR(Z339="",Z339=0),"",IF(AF339="","",IF(AF339="R$/mês",Z339/OBRA!$D$12,IF(AF339="R$/m²",Z339/OBRA!$D$10,IF(AF339="R$/apto",Orçamento!Z339/OBRA!$D$11,""))))),"")</f>
        <v>9.4548244222763131E-2</v>
      </c>
      <c r="AF339" s="241" t="s">
        <v>154</v>
      </c>
    </row>
    <row r="340" spans="1:32" s="10" customFormat="1" ht="13.15" hidden="1" customHeight="1" outlineLevel="4" x14ac:dyDescent="0.2">
      <c r="A340" s="227"/>
      <c r="B340" s="228" t="s">
        <v>19</v>
      </c>
      <c r="C340" s="229">
        <f t="shared" si="250"/>
        <v>37</v>
      </c>
      <c r="D340" s="227" t="str">
        <f t="shared" si="245"/>
        <v/>
      </c>
      <c r="E340" s="228" t="str">
        <f t="shared" ca="1" si="253"/>
        <v>04.002.001.007</v>
      </c>
      <c r="F340" s="230">
        <f ca="1">IF($B340="UNIDADE CONSTRUTIVA",OFFSET(F340,-1,0)+1,LARGE(F$10:F339,1))</f>
        <v>2</v>
      </c>
      <c r="G340" s="228" t="str">
        <f t="shared" ca="1" si="239"/>
        <v xml:space="preserve">   GERENCIAMENTO EXECUTIVO</v>
      </c>
      <c r="H340" s="230">
        <f t="shared" ca="1" si="254"/>
        <v>4</v>
      </c>
      <c r="I340" s="228" t="str">
        <f t="shared" ca="1" si="240"/>
        <v xml:space="preserve">   SUPRAESTRUTURA</v>
      </c>
      <c r="J340" s="230">
        <f t="shared" ca="1" si="255"/>
        <v>2</v>
      </c>
      <c r="K340" s="228" t="str">
        <f t="shared" ca="1" si="241"/>
        <v xml:space="preserve">   SUPRAESTRUTURA - 2º PAVIMENTO - TÉRREO</v>
      </c>
      <c r="L340" s="231">
        <f t="shared" ca="1" si="256"/>
        <v>1</v>
      </c>
      <c r="M340" s="228" t="str">
        <f t="shared" ca="1" si="242"/>
        <v xml:space="preserve">   Armadura</v>
      </c>
      <c r="N340" s="231">
        <f t="shared" ca="1" si="257"/>
        <v>7</v>
      </c>
      <c r="O340" s="228" t="str">
        <f t="shared" ca="1" si="243"/>
        <v>Armacao aco CA-50 ø 16.0mm para supraestrutura corte e dobra em indústria</v>
      </c>
      <c r="P340" s="232" t="str">
        <f>IF(S340="","",IF(Orçamento!$B340="INSUMO",S340,""))</f>
        <v>ESPACADOR CIRCULAR 40MM</v>
      </c>
      <c r="Q340" s="244" t="str">
        <f t="shared" si="246"/>
        <v/>
      </c>
      <c r="R340" s="234">
        <f t="shared" ca="1" si="244"/>
        <v>383.44773999999995</v>
      </c>
      <c r="S340" s="233" t="s">
        <v>162</v>
      </c>
      <c r="T340" s="242" t="str">
        <f>_xlfn.XLOOKUP(S340,Insumos!$A$3:$A$371,Insumos!$B$3:$B$371)</f>
        <v>UN</v>
      </c>
      <c r="U340" s="235">
        <f ca="1">IF($B340="insumo",R340,"")</f>
        <v>383.44773999999995</v>
      </c>
      <c r="V340" s="320">
        <v>0.21199999999999999</v>
      </c>
      <c r="W340" s="236">
        <f>IFERROR(IF(B340="INSUMO",_xlfn.XLOOKUP(S340,Insumos!A:A,Insumos!C:C),""),"Inserir Preço")</f>
        <v>0.76</v>
      </c>
      <c r="X340" s="235">
        <f t="shared" ca="1" si="247"/>
        <v>81.290920879999987</v>
      </c>
      <c r="Y340" s="236">
        <f t="shared" si="248"/>
        <v>0.16111999999999999</v>
      </c>
      <c r="Z340" s="237">
        <f t="shared" ca="1" si="251"/>
        <v>61.781099868799991</v>
      </c>
      <c r="AA340" s="238"/>
      <c r="AB340" s="233" t="str">
        <f>IF(B340="insumo",_xlfn.XLOOKUP(S340,Insumos!A:A,Insumos!D:D),"")</f>
        <v xml:space="preserve"> </v>
      </c>
      <c r="AC340" s="239">
        <f t="shared" ca="1" si="252"/>
        <v>8.8630620471024698E-6</v>
      </c>
      <c r="AE340" s="240">
        <f ca="1">IFERROR(IF(OR(Z340="",Z340=0),"",IF(AF340="","",IF(AF340="R$/mês",Z340/OBRA!$D$12,IF(AF340="R$/m²",Z340/OBRA!$D$10,IF(AF340="R$/apto",Orçamento!Z340/OBRA!$D$11,""))))),"")</f>
        <v>3.1792994071108409E-2</v>
      </c>
      <c r="AF340" s="241" t="s">
        <v>154</v>
      </c>
    </row>
    <row r="341" spans="1:32" s="10" customFormat="1" ht="13.15" hidden="1" customHeight="1" outlineLevel="4" x14ac:dyDescent="0.2">
      <c r="A341" s="227"/>
      <c r="B341" s="228" t="s">
        <v>4</v>
      </c>
      <c r="C341" s="229">
        <f t="shared" si="250"/>
        <v>5</v>
      </c>
      <c r="D341" s="227" t="str">
        <f t="shared" ca="1" si="245"/>
        <v>04.002.001.008</v>
      </c>
      <c r="E341" s="228" t="str">
        <f t="shared" ca="1" si="253"/>
        <v>04.002.001.008</v>
      </c>
      <c r="F341" s="230">
        <f ca="1">IF($B341="UNIDADE CONSTRUTIVA",OFFSET(F341,-1,0)+1,LARGE(F$10:F340,1))</f>
        <v>2</v>
      </c>
      <c r="G341" s="228" t="str">
        <f t="shared" ca="1" si="239"/>
        <v xml:space="preserve">   GERENCIAMENTO EXECUTIVO</v>
      </c>
      <c r="H341" s="230">
        <f t="shared" ca="1" si="254"/>
        <v>4</v>
      </c>
      <c r="I341" s="228" t="str">
        <f t="shared" ca="1" si="240"/>
        <v xml:space="preserve">   SUPRAESTRUTURA</v>
      </c>
      <c r="J341" s="230">
        <f t="shared" ca="1" si="255"/>
        <v>2</v>
      </c>
      <c r="K341" s="228" t="str">
        <f t="shared" ca="1" si="241"/>
        <v xml:space="preserve">   SUPRAESTRUTURA - 2º PAVIMENTO - TÉRREO</v>
      </c>
      <c r="L341" s="231">
        <f t="shared" ca="1" si="256"/>
        <v>1</v>
      </c>
      <c r="M341" s="228" t="str">
        <f t="shared" ca="1" si="242"/>
        <v xml:space="preserve">   Armadura</v>
      </c>
      <c r="N341" s="231">
        <f t="shared" ca="1" si="257"/>
        <v>8</v>
      </c>
      <c r="O341" s="228" t="str">
        <f t="shared" ca="1" si="243"/>
        <v>Armacao aco CA-50 ø 20.0mm para supraestrutura corte e dobra em indústria</v>
      </c>
      <c r="P341" s="232" t="str">
        <f>IF(S341="","",IF(Orçamento!$B341="INSUMO",S341,""))</f>
        <v/>
      </c>
      <c r="Q341" s="244" t="str">
        <f t="shared" si="246"/>
        <v>Armacao aco CA-50 ø 20.0mm para supraestrutura corte e dobra em indústria</v>
      </c>
      <c r="R341" s="234">
        <f t="shared" ca="1" si="244"/>
        <v>255.24809999999999</v>
      </c>
      <c r="S341" s="233" t="s">
        <v>191</v>
      </c>
      <c r="T341" s="242" t="s">
        <v>159</v>
      </c>
      <c r="U341" s="235">
        <v>255.24809999999999</v>
      </c>
      <c r="V341" s="320" t="s">
        <v>35</v>
      </c>
      <c r="W341" s="236" t="str">
        <f>IFERROR(IF(B341="INSUMO",_xlfn.XLOOKUP(S341,Insumos!A:A,Insumos!C:C),""),"Inserir Preço")</f>
        <v/>
      </c>
      <c r="X341" s="235">
        <f t="shared" ca="1" si="247"/>
        <v>255.24809999999999</v>
      </c>
      <c r="Y341" s="236">
        <f t="shared" ca="1" si="248"/>
        <v>6.148130000000001</v>
      </c>
      <c r="Z341" s="237">
        <f t="shared" ca="1" si="251"/>
        <v>1569.2985010530001</v>
      </c>
      <c r="AA341" s="238"/>
      <c r="AB341" s="233" t="str">
        <f>IF(B341="insumo",_xlfn.XLOOKUP(S341,Insumos!A:A,Insumos!D:D),"")</f>
        <v/>
      </c>
      <c r="AC341" s="239">
        <f t="shared" ca="1" si="252"/>
        <v>2.2513017759144335E-4</v>
      </c>
      <c r="AE341" s="240">
        <f ca="1">IFERROR(IF(OR(Z341="",Z341=0),"",IF(AF341="","",IF(AF341="R$/mês",Z341/OBRA!$D$12,IF(AF341="R$/m²",Z341/OBRA!$D$10,IF(AF341="R$/apto",Orçamento!Z341/OBRA!$D$11,""))))),"")</f>
        <v>0.80757218705608713</v>
      </c>
      <c r="AF341" s="241" t="s">
        <v>154</v>
      </c>
    </row>
    <row r="342" spans="1:32" s="10" customFormat="1" ht="13.15" hidden="1" customHeight="1" outlineLevel="4" x14ac:dyDescent="0.2">
      <c r="A342" s="227"/>
      <c r="B342" s="228" t="s">
        <v>19</v>
      </c>
      <c r="C342" s="229">
        <f t="shared" si="250"/>
        <v>5</v>
      </c>
      <c r="D342" s="227" t="str">
        <f t="shared" si="245"/>
        <v/>
      </c>
      <c r="E342" s="228" t="str">
        <f t="shared" ca="1" si="253"/>
        <v>04.002.001.008</v>
      </c>
      <c r="F342" s="230">
        <f ca="1">IF($B342="UNIDADE CONSTRUTIVA",OFFSET(F342,-1,0)+1,LARGE(F$10:F341,1))</f>
        <v>2</v>
      </c>
      <c r="G342" s="228" t="str">
        <f t="shared" ca="1" si="239"/>
        <v xml:space="preserve">   GERENCIAMENTO EXECUTIVO</v>
      </c>
      <c r="H342" s="230">
        <f t="shared" ca="1" si="254"/>
        <v>4</v>
      </c>
      <c r="I342" s="228" t="str">
        <f t="shared" ca="1" si="240"/>
        <v xml:space="preserve">   SUPRAESTRUTURA</v>
      </c>
      <c r="J342" s="230">
        <f t="shared" ca="1" si="255"/>
        <v>2</v>
      </c>
      <c r="K342" s="228" t="str">
        <f t="shared" ca="1" si="241"/>
        <v xml:space="preserve">   SUPRAESTRUTURA - 2º PAVIMENTO - TÉRREO</v>
      </c>
      <c r="L342" s="231">
        <f t="shared" ca="1" si="256"/>
        <v>1</v>
      </c>
      <c r="M342" s="228" t="str">
        <f t="shared" ca="1" si="242"/>
        <v xml:space="preserve">   Armadura</v>
      </c>
      <c r="N342" s="231">
        <f t="shared" ca="1" si="257"/>
        <v>8</v>
      </c>
      <c r="O342" s="228" t="str">
        <f t="shared" ca="1" si="243"/>
        <v>Armacao aco CA-50 ø 20.0mm para supraestrutura corte e dobra em indústria</v>
      </c>
      <c r="P342" s="232" t="str">
        <f>IF(S342="","",IF(Orçamento!$B342="INSUMO",S342,""))</f>
        <v>ACO CA-50A 20,00 MM (3/4)</v>
      </c>
      <c r="Q342" s="244" t="str">
        <f t="shared" si="246"/>
        <v/>
      </c>
      <c r="R342" s="234">
        <f t="shared" ca="1" si="244"/>
        <v>255.24809999999999</v>
      </c>
      <c r="S342" s="233" t="s">
        <v>165</v>
      </c>
      <c r="T342" s="242" t="str">
        <f>_xlfn.XLOOKUP(S342,Insumos!$A$3:$A$371,Insumos!$B$3:$B$371)</f>
        <v>KG</v>
      </c>
      <c r="U342" s="235">
        <f ca="1">IF($B342="insumo",R342,"")</f>
        <v>255.24809999999999</v>
      </c>
      <c r="V342" s="320">
        <v>1.1000000000000001</v>
      </c>
      <c r="W342" s="236">
        <f>IFERROR(IF(B342="INSUMO",_xlfn.XLOOKUP(S342,Insumos!A:A,Insumos!C:C),""),"Inserir Preço")</f>
        <v>5.2</v>
      </c>
      <c r="X342" s="235">
        <f t="shared" ca="1" si="247"/>
        <v>280.77291000000002</v>
      </c>
      <c r="Y342" s="236">
        <f t="shared" si="248"/>
        <v>5.7200000000000006</v>
      </c>
      <c r="Z342" s="237">
        <f t="shared" ca="1" si="251"/>
        <v>1460.0191320000001</v>
      </c>
      <c r="AA342" s="238"/>
      <c r="AB342" s="233" t="str">
        <f>IF(B342="insumo",_xlfn.XLOOKUP(S342,Insumos!A:A,Insumos!D:D),"")</f>
        <v>KNORR</v>
      </c>
      <c r="AC342" s="239">
        <f t="shared" ca="1" si="252"/>
        <v>2.094530557784328E-4</v>
      </c>
      <c r="AE342" s="240">
        <f ca="1">IFERROR(IF(OR(Z342="",Z342=0),"",IF(AF342="","",IF(AF342="R$/mês",Z342/OBRA!$D$12,IF(AF342="R$/m²",Z342/OBRA!$D$10,IF(AF342="R$/apto",Orçamento!Z342/OBRA!$D$11,""))))),"")</f>
        <v>0.75133624532350785</v>
      </c>
      <c r="AF342" s="241" t="s">
        <v>154</v>
      </c>
    </row>
    <row r="343" spans="1:32" s="10" customFormat="1" ht="13.15" hidden="1" customHeight="1" outlineLevel="4" x14ac:dyDescent="0.2">
      <c r="A343" s="227"/>
      <c r="B343" s="228" t="s">
        <v>19</v>
      </c>
      <c r="C343" s="229">
        <f t="shared" si="250"/>
        <v>42</v>
      </c>
      <c r="D343" s="227" t="str">
        <f t="shared" si="245"/>
        <v/>
      </c>
      <c r="E343" s="228" t="str">
        <f t="shared" ca="1" si="253"/>
        <v>04.002.001.008</v>
      </c>
      <c r="F343" s="230">
        <f ca="1">IF($B343="UNIDADE CONSTRUTIVA",OFFSET(F343,-1,0)+1,LARGE(F$10:F342,1))</f>
        <v>2</v>
      </c>
      <c r="G343" s="228" t="str">
        <f t="shared" ca="1" si="239"/>
        <v xml:space="preserve">   GERENCIAMENTO EXECUTIVO</v>
      </c>
      <c r="H343" s="230">
        <f t="shared" ca="1" si="254"/>
        <v>4</v>
      </c>
      <c r="I343" s="228" t="str">
        <f t="shared" ca="1" si="240"/>
        <v xml:space="preserve">   SUPRAESTRUTURA</v>
      </c>
      <c r="J343" s="230">
        <f t="shared" ca="1" si="255"/>
        <v>2</v>
      </c>
      <c r="K343" s="228" t="str">
        <f t="shared" ca="1" si="241"/>
        <v xml:space="preserve">   SUPRAESTRUTURA - 2º PAVIMENTO - TÉRREO</v>
      </c>
      <c r="L343" s="231">
        <f t="shared" ca="1" si="256"/>
        <v>1</v>
      </c>
      <c r="M343" s="228" t="str">
        <f t="shared" ca="1" si="242"/>
        <v xml:space="preserve">   Armadura</v>
      </c>
      <c r="N343" s="231">
        <f t="shared" ca="1" si="257"/>
        <v>8</v>
      </c>
      <c r="O343" s="228" t="str">
        <f t="shared" ca="1" si="243"/>
        <v>Armacao aco CA-50 ø 20.0mm para supraestrutura corte e dobra em indústria</v>
      </c>
      <c r="P343" s="232" t="str">
        <f>IF(S343="","",IF(Orçamento!$B343="INSUMO",S343,""))</f>
        <v>ARAME RECOZIDO 18 BWG, 1,25MM (0,010 KG/M)</v>
      </c>
      <c r="Q343" s="244" t="str">
        <f t="shared" si="246"/>
        <v/>
      </c>
      <c r="R343" s="234">
        <f t="shared" ca="1" si="244"/>
        <v>255.24809999999999</v>
      </c>
      <c r="S343" s="233" t="s">
        <v>161</v>
      </c>
      <c r="T343" s="242" t="str">
        <f>_xlfn.XLOOKUP(S343,Insumos!$A$3:$A$371,Insumos!$B$3:$B$371)</f>
        <v>KG</v>
      </c>
      <c r="U343" s="235">
        <f ca="1">IF($B343="insumo",R343,"")</f>
        <v>255.24809999999999</v>
      </c>
      <c r="V343" s="320">
        <v>2.5000000000000001E-2</v>
      </c>
      <c r="W343" s="236">
        <f>IFERROR(IF(B343="INSUMO",_xlfn.XLOOKUP(S343,Insumos!A:A,Insumos!C:C),""),"Inserir Preço")</f>
        <v>13.69</v>
      </c>
      <c r="X343" s="235">
        <f t="shared" ca="1" si="247"/>
        <v>6.3812025000000006</v>
      </c>
      <c r="Y343" s="236">
        <f t="shared" si="248"/>
        <v>0.34225</v>
      </c>
      <c r="Z343" s="237">
        <f t="shared" ca="1" si="251"/>
        <v>87.358662225000003</v>
      </c>
      <c r="AA343" s="238"/>
      <c r="AB343" s="233" t="str">
        <f>IF(B343="insumo",_xlfn.XLOOKUP(S343,Insumos!A:A,Insumos!D:D),"")</f>
        <v>GERDAU</v>
      </c>
      <c r="AC343" s="239">
        <f t="shared" ca="1" si="252"/>
        <v>1.2532396562966543E-5</v>
      </c>
      <c r="AE343" s="240">
        <f ca="1">IFERROR(IF(OR(Z343="",Z343=0),"",IF(AF343="","",IF(AF343="R$/mês",Z343/OBRA!$D$12,IF(AF343="R$/m²",Z343/OBRA!$D$10,IF(AF343="R$/apto",Orçamento!Z343/OBRA!$D$11,""))))),"")</f>
        <v>4.4955389853491352E-2</v>
      </c>
      <c r="AF343" s="241" t="s">
        <v>154</v>
      </c>
    </row>
    <row r="344" spans="1:32" s="10" customFormat="1" ht="13.15" hidden="1" customHeight="1" outlineLevel="4" x14ac:dyDescent="0.2">
      <c r="A344" s="227"/>
      <c r="B344" s="228" t="s">
        <v>19</v>
      </c>
      <c r="C344" s="229">
        <f t="shared" si="250"/>
        <v>37</v>
      </c>
      <c r="D344" s="227" t="str">
        <f t="shared" si="245"/>
        <v/>
      </c>
      <c r="E344" s="228" t="str">
        <f t="shared" ca="1" si="253"/>
        <v>04.002.001.008</v>
      </c>
      <c r="F344" s="230">
        <f ca="1">IF($B344="UNIDADE CONSTRUTIVA",OFFSET(F344,-1,0)+1,LARGE(F$10:F343,1))</f>
        <v>2</v>
      </c>
      <c r="G344" s="228" t="str">
        <f t="shared" ca="1" si="239"/>
        <v xml:space="preserve">   GERENCIAMENTO EXECUTIVO</v>
      </c>
      <c r="H344" s="230">
        <f t="shared" ca="1" si="254"/>
        <v>4</v>
      </c>
      <c r="I344" s="228" t="str">
        <f t="shared" ca="1" si="240"/>
        <v xml:space="preserve">   SUPRAESTRUTURA</v>
      </c>
      <c r="J344" s="230">
        <f t="shared" ca="1" si="255"/>
        <v>2</v>
      </c>
      <c r="K344" s="228" t="str">
        <f t="shared" ca="1" si="241"/>
        <v xml:space="preserve">   SUPRAESTRUTURA - 2º PAVIMENTO - TÉRREO</v>
      </c>
      <c r="L344" s="231">
        <f t="shared" ca="1" si="256"/>
        <v>1</v>
      </c>
      <c r="M344" s="228" t="str">
        <f t="shared" ca="1" si="242"/>
        <v xml:space="preserve">   Armadura</v>
      </c>
      <c r="N344" s="231">
        <f t="shared" ca="1" si="257"/>
        <v>8</v>
      </c>
      <c r="O344" s="228" t="str">
        <f t="shared" ca="1" si="243"/>
        <v>Armacao aco CA-50 ø 20.0mm para supraestrutura corte e dobra em indústria</v>
      </c>
      <c r="P344" s="232" t="str">
        <f>IF(S344="","",IF(Orçamento!$B344="INSUMO",S344,""))</f>
        <v>ESPACADOR CIRCULAR 40MM</v>
      </c>
      <c r="Q344" s="244" t="str">
        <f t="shared" si="246"/>
        <v/>
      </c>
      <c r="R344" s="234">
        <f t="shared" ca="1" si="244"/>
        <v>255.24809999999999</v>
      </c>
      <c r="S344" s="233" t="s">
        <v>162</v>
      </c>
      <c r="T344" s="242" t="str">
        <f>_xlfn.XLOOKUP(S344,Insumos!$A$3:$A$371,Insumos!$B$3:$B$371)</f>
        <v>UN</v>
      </c>
      <c r="U344" s="235">
        <f ca="1">IF($B344="insumo",R344,"")</f>
        <v>255.24809999999999</v>
      </c>
      <c r="V344" s="320">
        <v>0.113</v>
      </c>
      <c r="W344" s="236">
        <f>IFERROR(IF(B344="INSUMO",_xlfn.XLOOKUP(S344,Insumos!A:A,Insumos!C:C),""),"Inserir Preço")</f>
        <v>0.76</v>
      </c>
      <c r="X344" s="235">
        <f t="shared" ca="1" si="247"/>
        <v>28.8430353</v>
      </c>
      <c r="Y344" s="236">
        <f t="shared" si="248"/>
        <v>8.5879999999999998E-2</v>
      </c>
      <c r="Z344" s="237">
        <f t="shared" ca="1" si="251"/>
        <v>21.920706828</v>
      </c>
      <c r="AA344" s="238"/>
      <c r="AB344" s="233" t="str">
        <f>IF(B344="insumo",_xlfn.XLOOKUP(S344,Insumos!A:A,Insumos!D:D),"")</f>
        <v xml:space="preserve"> </v>
      </c>
      <c r="AC344" s="239">
        <f t="shared" ca="1" si="252"/>
        <v>3.1447252500440225E-6</v>
      </c>
      <c r="AE344" s="240">
        <f ca="1">IFERROR(IF(OR(Z344="",Z344=0),"",IF(AF344="","",IF(AF344="R$/mês",Z344/OBRA!$D$12,IF(AF344="R$/m²",Z344/OBRA!$D$10,IF(AF344="R$/apto",Orçamento!Z344/OBRA!$D$11,""))))),"")</f>
        <v>1.128055187908791E-2</v>
      </c>
      <c r="AF344" s="241" t="s">
        <v>154</v>
      </c>
    </row>
    <row r="345" spans="1:32" s="10" customFormat="1" ht="13.15" hidden="1" customHeight="1" outlineLevel="4" x14ac:dyDescent="0.2">
      <c r="A345" s="227"/>
      <c r="B345" s="228" t="s">
        <v>4</v>
      </c>
      <c r="C345" s="229">
        <f t="shared" si="250"/>
        <v>5</v>
      </c>
      <c r="D345" s="227" t="str">
        <f t="shared" ca="1" si="245"/>
        <v>04.002.001.009</v>
      </c>
      <c r="E345" s="228" t="str">
        <f t="shared" ca="1" si="253"/>
        <v>04.002.001.009</v>
      </c>
      <c r="F345" s="230">
        <f ca="1">IF($B345="UNIDADE CONSTRUTIVA",OFFSET(F345,-1,0)+1,LARGE(F$10:F344,1))</f>
        <v>2</v>
      </c>
      <c r="G345" s="228" t="str">
        <f t="shared" ca="1" si="239"/>
        <v xml:space="preserve">   GERENCIAMENTO EXECUTIVO</v>
      </c>
      <c r="H345" s="230">
        <f t="shared" ca="1" si="254"/>
        <v>4</v>
      </c>
      <c r="I345" s="228" t="str">
        <f t="shared" ca="1" si="240"/>
        <v xml:space="preserve">   SUPRAESTRUTURA</v>
      </c>
      <c r="J345" s="230">
        <f t="shared" ca="1" si="255"/>
        <v>2</v>
      </c>
      <c r="K345" s="228" t="str">
        <f t="shared" ca="1" si="241"/>
        <v xml:space="preserve">   SUPRAESTRUTURA - 2º PAVIMENTO - TÉRREO</v>
      </c>
      <c r="L345" s="231">
        <f t="shared" ca="1" si="256"/>
        <v>1</v>
      </c>
      <c r="M345" s="228" t="str">
        <f t="shared" ca="1" si="242"/>
        <v xml:space="preserve">   Armadura</v>
      </c>
      <c r="N345" s="231">
        <f t="shared" ca="1" si="257"/>
        <v>9</v>
      </c>
      <c r="O345" s="228" t="str">
        <f t="shared" ca="1" si="243"/>
        <v>Armacao aco CA-50 ø 25.0mm para supraestrutura corte e dobra em indústria</v>
      </c>
      <c r="P345" s="232" t="str">
        <f>IF(S345="","",IF(Orçamento!$B345="INSUMO",S345,""))</f>
        <v/>
      </c>
      <c r="Q345" s="244" t="str">
        <f t="shared" si="246"/>
        <v>Armacao aco CA-50 ø 25.0mm para supraestrutura corte e dobra em indústria</v>
      </c>
      <c r="R345" s="234">
        <f t="shared" ca="1" si="244"/>
        <v>132.62843999999998</v>
      </c>
      <c r="S345" s="233" t="s">
        <v>192</v>
      </c>
      <c r="T345" s="242" t="s">
        <v>159</v>
      </c>
      <c r="U345" s="235">
        <v>132.62843999999998</v>
      </c>
      <c r="V345" s="320" t="s">
        <v>35</v>
      </c>
      <c r="W345" s="236" t="str">
        <f>IFERROR(IF(B345="INSUMO",_xlfn.XLOOKUP(S345,Insumos!A:A,Insumos!C:C),""),"Inserir Preço")</f>
        <v/>
      </c>
      <c r="X345" s="235">
        <f t="shared" ca="1" si="247"/>
        <v>132.62843999999998</v>
      </c>
      <c r="Y345" s="236">
        <f t="shared" ca="1" si="248"/>
        <v>7.4571300000000003</v>
      </c>
      <c r="Z345" s="237">
        <f t="shared" ca="1" si="251"/>
        <v>989.02751877719993</v>
      </c>
      <c r="AA345" s="238"/>
      <c r="AB345" s="233" t="str">
        <f>IF(B345="insumo",_xlfn.XLOOKUP(S345,Insumos!A:A,Insumos!D:D),"")</f>
        <v/>
      </c>
      <c r="AC345" s="239">
        <f t="shared" ca="1" si="252"/>
        <v>1.4188501473475613E-4</v>
      </c>
      <c r="AE345" s="240">
        <f ca="1">IFERROR(IF(OR(Z345="",Z345=0),"",IF(AF345="","",IF(AF345="R$/mês",Z345/OBRA!$D$12,IF(AF345="R$/m²",Z345/OBRA!$D$10,IF(AF345="R$/apto",Orçamento!Z345/OBRA!$D$11,""))))),"")</f>
        <v>0.50896060619545802</v>
      </c>
      <c r="AF345" s="241" t="s">
        <v>154</v>
      </c>
    </row>
    <row r="346" spans="1:32" s="10" customFormat="1" ht="13.15" hidden="1" customHeight="1" outlineLevel="4" x14ac:dyDescent="0.2">
      <c r="A346" s="227"/>
      <c r="B346" s="228" t="s">
        <v>19</v>
      </c>
      <c r="C346" s="229">
        <f t="shared" si="250"/>
        <v>5</v>
      </c>
      <c r="D346" s="227" t="str">
        <f t="shared" si="245"/>
        <v/>
      </c>
      <c r="E346" s="228" t="str">
        <f t="shared" ca="1" si="253"/>
        <v>04.002.001.009</v>
      </c>
      <c r="F346" s="230">
        <f ca="1">IF($B346="UNIDADE CONSTRUTIVA",OFFSET(F346,-1,0)+1,LARGE(F$10:F345,1))</f>
        <v>2</v>
      </c>
      <c r="G346" s="228" t="str">
        <f t="shared" ca="1" si="239"/>
        <v xml:space="preserve">   GERENCIAMENTO EXECUTIVO</v>
      </c>
      <c r="H346" s="230">
        <f t="shared" ca="1" si="254"/>
        <v>4</v>
      </c>
      <c r="I346" s="228" t="str">
        <f t="shared" ca="1" si="240"/>
        <v xml:space="preserve">   SUPRAESTRUTURA</v>
      </c>
      <c r="J346" s="230">
        <f t="shared" ca="1" si="255"/>
        <v>2</v>
      </c>
      <c r="K346" s="228" t="str">
        <f t="shared" ca="1" si="241"/>
        <v xml:space="preserve">   SUPRAESTRUTURA - 2º PAVIMENTO - TÉRREO</v>
      </c>
      <c r="L346" s="231">
        <f t="shared" ca="1" si="256"/>
        <v>1</v>
      </c>
      <c r="M346" s="228" t="str">
        <f t="shared" ca="1" si="242"/>
        <v xml:space="preserve">   Armadura</v>
      </c>
      <c r="N346" s="231">
        <f t="shared" ca="1" si="257"/>
        <v>9</v>
      </c>
      <c r="O346" s="228" t="str">
        <f t="shared" ca="1" si="243"/>
        <v>Armacao aco CA-50 ø 25.0mm para supraestrutura corte e dobra em indústria</v>
      </c>
      <c r="P346" s="232" t="str">
        <f>IF(S346="","",IF(Orçamento!$B346="INSUMO",S346,""))</f>
        <v>Aco CA-50A 25,00 mm (1)</v>
      </c>
      <c r="Q346" s="244" t="str">
        <f t="shared" si="246"/>
        <v/>
      </c>
      <c r="R346" s="234">
        <f t="shared" ca="1" si="244"/>
        <v>132.62843999999998</v>
      </c>
      <c r="S346" s="233" t="s">
        <v>180</v>
      </c>
      <c r="T346" s="242" t="str">
        <f>_xlfn.XLOOKUP(S346,Insumos!$A$3:$A$371,Insumos!$B$3:$B$371)</f>
        <v>KG</v>
      </c>
      <c r="U346" s="235">
        <f ca="1">IF($B346="insumo",R346,"")</f>
        <v>132.62843999999998</v>
      </c>
      <c r="V346" s="320">
        <v>1.1000000000000001</v>
      </c>
      <c r="W346" s="236">
        <f>IFERROR(IF(B346="INSUMO",_xlfn.XLOOKUP(S346,Insumos!A:A,Insumos!C:C),""),"Inserir Preço")</f>
        <v>6.39</v>
      </c>
      <c r="X346" s="235">
        <f t="shared" ca="1" si="247"/>
        <v>145.89128399999998</v>
      </c>
      <c r="Y346" s="236">
        <f t="shared" si="248"/>
        <v>7.0289999999999999</v>
      </c>
      <c r="Z346" s="237">
        <f t="shared" ca="1" si="251"/>
        <v>932.24530475999984</v>
      </c>
      <c r="AA346" s="238"/>
      <c r="AB346" s="233" t="str">
        <f>IF(B346="insumo",_xlfn.XLOOKUP(S346,Insumos!A:A,Insumos!D:D),"")</f>
        <v>GERDAU</v>
      </c>
      <c r="AC346" s="239">
        <f t="shared" ca="1" si="252"/>
        <v>1.3373908843893035E-4</v>
      </c>
      <c r="AE346" s="240">
        <f ca="1">IFERROR(IF(OR(Z346="",Z346=0),"",IF(AF346="","",IF(AF346="R$/mês",Z346/OBRA!$D$12,IF(AF346="R$/m²",Z346/OBRA!$D$10,IF(AF346="R$/apto",Orçamento!Z346/OBRA!$D$11,""))))),"")</f>
        <v>0.47974007439160565</v>
      </c>
      <c r="AF346" s="241" t="s">
        <v>154</v>
      </c>
    </row>
    <row r="347" spans="1:32" s="10" customFormat="1" ht="13.15" hidden="1" customHeight="1" outlineLevel="4" x14ac:dyDescent="0.2">
      <c r="A347" s="227"/>
      <c r="B347" s="228" t="s">
        <v>19</v>
      </c>
      <c r="C347" s="229">
        <f t="shared" si="250"/>
        <v>42</v>
      </c>
      <c r="D347" s="227" t="str">
        <f t="shared" si="245"/>
        <v/>
      </c>
      <c r="E347" s="228" t="str">
        <f t="shared" ca="1" si="253"/>
        <v>04.002.001.009</v>
      </c>
      <c r="F347" s="230">
        <f ca="1">IF($B347="UNIDADE CONSTRUTIVA",OFFSET(F347,-1,0)+1,LARGE(F$10:F346,1))</f>
        <v>2</v>
      </c>
      <c r="G347" s="228" t="str">
        <f t="shared" ca="1" si="239"/>
        <v xml:space="preserve">   GERENCIAMENTO EXECUTIVO</v>
      </c>
      <c r="H347" s="230">
        <f t="shared" ca="1" si="254"/>
        <v>4</v>
      </c>
      <c r="I347" s="228" t="str">
        <f t="shared" ca="1" si="240"/>
        <v xml:space="preserve">   SUPRAESTRUTURA</v>
      </c>
      <c r="J347" s="230">
        <f t="shared" ca="1" si="255"/>
        <v>2</v>
      </c>
      <c r="K347" s="228" t="str">
        <f t="shared" ca="1" si="241"/>
        <v xml:space="preserve">   SUPRAESTRUTURA - 2º PAVIMENTO - TÉRREO</v>
      </c>
      <c r="L347" s="231">
        <f t="shared" ca="1" si="256"/>
        <v>1</v>
      </c>
      <c r="M347" s="228" t="str">
        <f t="shared" ca="1" si="242"/>
        <v xml:space="preserve">   Armadura</v>
      </c>
      <c r="N347" s="231">
        <f t="shared" ca="1" si="257"/>
        <v>9</v>
      </c>
      <c r="O347" s="228" t="str">
        <f t="shared" ca="1" si="243"/>
        <v>Armacao aco CA-50 ø 25.0mm para supraestrutura corte e dobra em indústria</v>
      </c>
      <c r="P347" s="232" t="str">
        <f>IF(S347="","",IF(Orçamento!$B347="INSUMO",S347,""))</f>
        <v>ARAME RECOZIDO 18 BWG, 1,25MM (0,010 KG/M)</v>
      </c>
      <c r="Q347" s="244" t="str">
        <f t="shared" si="246"/>
        <v/>
      </c>
      <c r="R347" s="234">
        <f t="shared" ca="1" si="244"/>
        <v>132.62843999999998</v>
      </c>
      <c r="S347" s="233" t="s">
        <v>161</v>
      </c>
      <c r="T347" s="242" t="str">
        <f>_xlfn.XLOOKUP(S347,Insumos!$A$3:$A$371,Insumos!$B$3:$B$371)</f>
        <v>KG</v>
      </c>
      <c r="U347" s="235">
        <f ca="1">IF($B347="insumo",R347,"")</f>
        <v>132.62843999999998</v>
      </c>
      <c r="V347" s="320">
        <v>2.5000000000000001E-2</v>
      </c>
      <c r="W347" s="236">
        <f>IFERROR(IF(B347="INSUMO",_xlfn.XLOOKUP(S347,Insumos!A:A,Insumos!C:C),""),"Inserir Preço")</f>
        <v>13.69</v>
      </c>
      <c r="X347" s="235">
        <f t="shared" ca="1" si="247"/>
        <v>3.3157109999999999</v>
      </c>
      <c r="Y347" s="236">
        <f t="shared" si="248"/>
        <v>0.34225</v>
      </c>
      <c r="Z347" s="237">
        <f t="shared" ca="1" si="251"/>
        <v>45.392083589999999</v>
      </c>
      <c r="AA347" s="238"/>
      <c r="AB347" s="233" t="str">
        <f>IF(B347="insumo",_xlfn.XLOOKUP(S347,Insumos!A:A,Insumos!D:D),"")</f>
        <v>GERDAU</v>
      </c>
      <c r="AC347" s="239">
        <f t="shared" ca="1" si="252"/>
        <v>6.5119082398952793E-6</v>
      </c>
      <c r="AE347" s="240">
        <f ca="1">IFERROR(IF(OR(Z347="",Z347=0),"",IF(AF347="","",IF(AF347="R$/mês",Z347/OBRA!$D$12,IF(AF347="R$/m²",Z347/OBRA!$D$10,IF(AF347="R$/apto",Orçamento!Z347/OBRA!$D$11,""))))),"")</f>
        <v>2.3359089551931576E-2</v>
      </c>
      <c r="AF347" s="241" t="s">
        <v>154</v>
      </c>
    </row>
    <row r="348" spans="1:32" s="10" customFormat="1" ht="13.15" hidden="1" customHeight="1" outlineLevel="4" x14ac:dyDescent="0.2">
      <c r="A348" s="227"/>
      <c r="B348" s="228" t="s">
        <v>19</v>
      </c>
      <c r="C348" s="229">
        <f t="shared" si="250"/>
        <v>37</v>
      </c>
      <c r="D348" s="227" t="str">
        <f t="shared" si="245"/>
        <v/>
      </c>
      <c r="E348" s="228" t="str">
        <f t="shared" ca="1" si="253"/>
        <v>04.002.001.009</v>
      </c>
      <c r="F348" s="230">
        <f ca="1">IF($B348="UNIDADE CONSTRUTIVA",OFFSET(F348,-1,0)+1,LARGE(F$10:F347,1))</f>
        <v>2</v>
      </c>
      <c r="G348" s="228" t="str">
        <f t="shared" ca="1" si="239"/>
        <v xml:space="preserve">   GERENCIAMENTO EXECUTIVO</v>
      </c>
      <c r="H348" s="230">
        <f t="shared" ca="1" si="254"/>
        <v>4</v>
      </c>
      <c r="I348" s="228" t="str">
        <f t="shared" ca="1" si="240"/>
        <v xml:space="preserve">   SUPRAESTRUTURA</v>
      </c>
      <c r="J348" s="230">
        <f t="shared" ca="1" si="255"/>
        <v>2</v>
      </c>
      <c r="K348" s="228" t="str">
        <f t="shared" ca="1" si="241"/>
        <v xml:space="preserve">   SUPRAESTRUTURA - 2º PAVIMENTO - TÉRREO</v>
      </c>
      <c r="L348" s="231">
        <f t="shared" ca="1" si="256"/>
        <v>1</v>
      </c>
      <c r="M348" s="228" t="str">
        <f t="shared" ca="1" si="242"/>
        <v xml:space="preserve">   Armadura</v>
      </c>
      <c r="N348" s="231">
        <f t="shared" ca="1" si="257"/>
        <v>9</v>
      </c>
      <c r="O348" s="228" t="str">
        <f t="shared" ca="1" si="243"/>
        <v>Armacao aco CA-50 ø 25.0mm para supraestrutura corte e dobra em indústria</v>
      </c>
      <c r="P348" s="232" t="str">
        <f>IF(S348="","",IF(Orçamento!$B348="INSUMO",S348,""))</f>
        <v>ESPACADOR CIRCULAR 40MM</v>
      </c>
      <c r="Q348" s="244" t="str">
        <f t="shared" si="246"/>
        <v/>
      </c>
      <c r="R348" s="234">
        <f t="shared" ca="1" si="244"/>
        <v>132.62843999999998</v>
      </c>
      <c r="S348" s="233" t="s">
        <v>162</v>
      </c>
      <c r="T348" s="242" t="str">
        <f>_xlfn.XLOOKUP(S348,Insumos!$A$3:$A$371,Insumos!$B$3:$B$371)</f>
        <v>UN</v>
      </c>
      <c r="U348" s="235">
        <f ca="1">IF($B348="insumo",R348,"")</f>
        <v>132.62843999999998</v>
      </c>
      <c r="V348" s="320">
        <v>0.113</v>
      </c>
      <c r="W348" s="236">
        <f>IFERROR(IF(B348="INSUMO",_xlfn.XLOOKUP(S348,Insumos!A:A,Insumos!C:C),""),"Inserir Preço")</f>
        <v>0.76</v>
      </c>
      <c r="X348" s="235">
        <f t="shared" ca="1" si="247"/>
        <v>14.987013719999998</v>
      </c>
      <c r="Y348" s="236">
        <f t="shared" si="248"/>
        <v>8.5879999999999998E-2</v>
      </c>
      <c r="Z348" s="237">
        <f t="shared" ca="1" si="251"/>
        <v>11.390130427199999</v>
      </c>
      <c r="AA348" s="238"/>
      <c r="AB348" s="233" t="str">
        <f>IF(B348="insumo",_xlfn.XLOOKUP(S348,Insumos!A:A,Insumos!D:D),"")</f>
        <v xml:space="preserve"> </v>
      </c>
      <c r="AC348" s="239">
        <f t="shared" ca="1" si="252"/>
        <v>1.6340180559304794E-6</v>
      </c>
      <c r="AE348" s="240">
        <f ca="1">IFERROR(IF(OR(Z348="",Z348=0),"",IF(AF348="","",IF(AF348="R$/mês",Z348/OBRA!$D$12,IF(AF348="R$/m²",Z348/OBRA!$D$10,IF(AF348="R$/apto",Orçamento!Z348/OBRA!$D$11,""))))),"")</f>
        <v>5.8614422519207704E-3</v>
      </c>
      <c r="AF348" s="241" t="s">
        <v>154</v>
      </c>
    </row>
    <row r="349" spans="1:32" s="10" customFormat="1" ht="13.15" hidden="1" customHeight="1" outlineLevel="4" x14ac:dyDescent="0.2">
      <c r="A349" s="227"/>
      <c r="B349" s="228" t="s">
        <v>4</v>
      </c>
      <c r="C349" s="229">
        <f t="shared" si="250"/>
        <v>3</v>
      </c>
      <c r="D349" s="227" t="str">
        <f t="shared" ca="1" si="245"/>
        <v>04.002.001.010</v>
      </c>
      <c r="E349" s="228" t="str">
        <f t="shared" ca="1" si="253"/>
        <v>04.002.001.010</v>
      </c>
      <c r="F349" s="230">
        <f ca="1">IF($B349="UNIDADE CONSTRUTIVA",OFFSET(F349,-1,0)+1,LARGE(F$10:F348,1))</f>
        <v>2</v>
      </c>
      <c r="G349" s="228" t="str">
        <f t="shared" ca="1" si="239"/>
        <v xml:space="preserve">   GERENCIAMENTO EXECUTIVO</v>
      </c>
      <c r="H349" s="230">
        <f t="shared" ca="1" si="254"/>
        <v>4</v>
      </c>
      <c r="I349" s="228" t="str">
        <f t="shared" ca="1" si="240"/>
        <v xml:space="preserve">   SUPRAESTRUTURA</v>
      </c>
      <c r="J349" s="230">
        <f t="shared" ca="1" si="255"/>
        <v>2</v>
      </c>
      <c r="K349" s="228" t="str">
        <f t="shared" ca="1" si="241"/>
        <v xml:space="preserve">   SUPRAESTRUTURA - 2º PAVIMENTO - TÉRREO</v>
      </c>
      <c r="L349" s="231">
        <f t="shared" ca="1" si="256"/>
        <v>1</v>
      </c>
      <c r="M349" s="228" t="str">
        <f t="shared" ca="1" si="242"/>
        <v xml:space="preserve">   Armadura</v>
      </c>
      <c r="N349" s="231">
        <f t="shared" ca="1" si="257"/>
        <v>10</v>
      </c>
      <c r="O349" s="228" t="str">
        <f t="shared" ca="1" si="243"/>
        <v>Armacao Tela Q61 para supraestrutura</v>
      </c>
      <c r="P349" s="232" t="str">
        <f>IF(S349="","",IF(Orçamento!$B349="INSUMO",S349,""))</f>
        <v/>
      </c>
      <c r="Q349" s="244" t="str">
        <f t="shared" si="246"/>
        <v>Armacao Tela Q61 para supraestrutura</v>
      </c>
      <c r="R349" s="234">
        <f t="shared" ca="1" si="244"/>
        <v>315</v>
      </c>
      <c r="S349" s="233" t="s">
        <v>606</v>
      </c>
      <c r="T349" s="242" t="s">
        <v>159</v>
      </c>
      <c r="U349" s="235">
        <v>315</v>
      </c>
      <c r="V349" s="320" t="s">
        <v>35</v>
      </c>
      <c r="W349" s="236" t="str">
        <f>IFERROR(IF(B349="INSUMO",_xlfn.XLOOKUP(S349,Insumos!A:A,Insumos!C:C),""),"Inserir Preço")</f>
        <v/>
      </c>
      <c r="X349" s="235">
        <f t="shared" ca="1" si="247"/>
        <v>315</v>
      </c>
      <c r="Y349" s="236">
        <f t="shared" ca="1" si="248"/>
        <v>7.0718999999999994</v>
      </c>
      <c r="Z349" s="237">
        <f t="shared" ca="1" si="251"/>
        <v>2227.6484999999998</v>
      </c>
      <c r="AA349" s="238"/>
      <c r="AB349" s="233" t="str">
        <f>IF(B349="insumo",_xlfn.XLOOKUP(S349,Insumos!A:A,Insumos!D:D),"")</f>
        <v/>
      </c>
      <c r="AC349" s="239">
        <f t="shared" ca="1" si="252"/>
        <v>3.1957648725197804E-4</v>
      </c>
      <c r="AE349" s="240">
        <f ca="1">IFERROR(IF(OR(Z349="",Z349=0),"",IF(AF349="","",IF(AF349="R$/mês",Z349/OBRA!$D$12,IF(AF349="R$/m²",Z349/OBRA!$D$10,IF(AF349="R$/apto",Orçamento!Z349/OBRA!$D$11,""))))),"")</f>
        <v>1.1463637860675266</v>
      </c>
      <c r="AF349" s="241" t="s">
        <v>154</v>
      </c>
    </row>
    <row r="350" spans="1:32" s="10" customFormat="1" ht="13.15" hidden="1" customHeight="1" outlineLevel="4" x14ac:dyDescent="0.2">
      <c r="A350" s="227"/>
      <c r="B350" s="228" t="s">
        <v>19</v>
      </c>
      <c r="C350" s="229">
        <f t="shared" si="250"/>
        <v>3</v>
      </c>
      <c r="D350" s="227" t="str">
        <f t="shared" si="245"/>
        <v/>
      </c>
      <c r="E350" s="228" t="str">
        <f t="shared" ca="1" si="253"/>
        <v>04.002.001.010</v>
      </c>
      <c r="F350" s="230">
        <f ca="1">IF($B350="UNIDADE CONSTRUTIVA",OFFSET(F350,-1,0)+1,LARGE(F$10:F349,1))</f>
        <v>2</v>
      </c>
      <c r="G350" s="228" t="str">
        <f t="shared" ca="1" si="239"/>
        <v xml:space="preserve">   GERENCIAMENTO EXECUTIVO</v>
      </c>
      <c r="H350" s="230">
        <f t="shared" ca="1" si="254"/>
        <v>4</v>
      </c>
      <c r="I350" s="228" t="str">
        <f t="shared" ca="1" si="240"/>
        <v xml:space="preserve">   SUPRAESTRUTURA</v>
      </c>
      <c r="J350" s="230">
        <f t="shared" ca="1" si="255"/>
        <v>2</v>
      </c>
      <c r="K350" s="228" t="str">
        <f t="shared" ca="1" si="241"/>
        <v xml:space="preserve">   SUPRAESTRUTURA - 2º PAVIMENTO - TÉRREO</v>
      </c>
      <c r="L350" s="231">
        <f t="shared" ca="1" si="256"/>
        <v>1</v>
      </c>
      <c r="M350" s="228" t="str">
        <f t="shared" ca="1" si="242"/>
        <v xml:space="preserve">   Armadura</v>
      </c>
      <c r="N350" s="231">
        <f t="shared" ca="1" si="257"/>
        <v>10</v>
      </c>
      <c r="O350" s="228" t="str">
        <f t="shared" ca="1" si="243"/>
        <v>Armacao Tela Q61 para supraestrutura</v>
      </c>
      <c r="P350" s="232" t="str">
        <f>IF(S350="","",IF(Orçamento!$B350="INSUMO",S350,""))</f>
        <v>TELA ACO CARBONO CA60 M.150X150MM F.03,4MM 245X600CM Q61 (14,26KG/UN)</v>
      </c>
      <c r="Q350" s="244" t="str">
        <f t="shared" si="246"/>
        <v/>
      </c>
      <c r="R350" s="234">
        <f t="shared" ca="1" si="244"/>
        <v>315</v>
      </c>
      <c r="S350" s="233" t="s">
        <v>609</v>
      </c>
      <c r="T350" s="242" t="str">
        <f>_xlfn.XLOOKUP(S350,Insumos!$A$3:$A$371,Insumos!$B$3:$B$371)</f>
        <v>KG</v>
      </c>
      <c r="U350" s="235">
        <f ca="1">IF($B350="insumo",R350,"")</f>
        <v>315</v>
      </c>
      <c r="V350" s="320">
        <v>1.1000000000000001</v>
      </c>
      <c r="W350" s="236">
        <f>IFERROR(IF(B350="INSUMO",_xlfn.XLOOKUP(S350,Insumos!A:A,Insumos!C:C),""),"Inserir Preço")</f>
        <v>6.1</v>
      </c>
      <c r="X350" s="235">
        <f t="shared" ca="1" si="247"/>
        <v>346.5</v>
      </c>
      <c r="Y350" s="236">
        <f t="shared" si="248"/>
        <v>6.71</v>
      </c>
      <c r="Z350" s="237">
        <f t="shared" ca="1" si="251"/>
        <v>2113.65</v>
      </c>
      <c r="AA350" s="238"/>
      <c r="AB350" s="233" t="str">
        <f>IF(B350="insumo",_xlfn.XLOOKUP(S350,Insumos!A:A,Insumos!D:D),"")</f>
        <v>Base de Dados</v>
      </c>
      <c r="AC350" s="239">
        <f t="shared" ca="1" si="252"/>
        <v>3.0322236307933837E-4</v>
      </c>
      <c r="AE350" s="240">
        <f ca="1">IFERROR(IF(OR(Z350="",Z350=0),"",IF(AF350="","",IF(AF350="R$/mês",Z350/OBRA!$D$12,IF(AF350="R$/m²",Z350/OBRA!$D$10,IF(AF350="R$/apto",Orçamento!Z350/OBRA!$D$11,""))))),"")</f>
        <v>1.0876993459343465</v>
      </c>
      <c r="AF350" s="241" t="s">
        <v>154</v>
      </c>
    </row>
    <row r="351" spans="1:32" s="10" customFormat="1" ht="13.15" hidden="1" customHeight="1" outlineLevel="4" x14ac:dyDescent="0.2">
      <c r="A351" s="227"/>
      <c r="B351" s="228" t="s">
        <v>19</v>
      </c>
      <c r="C351" s="229">
        <f t="shared" si="250"/>
        <v>42</v>
      </c>
      <c r="D351" s="227" t="str">
        <f t="shared" si="245"/>
        <v/>
      </c>
      <c r="E351" s="228" t="str">
        <f t="shared" ca="1" si="253"/>
        <v>04.002.001.010</v>
      </c>
      <c r="F351" s="230">
        <f ca="1">IF($B351="UNIDADE CONSTRUTIVA",OFFSET(F351,-1,0)+1,LARGE(F$10:F350,1))</f>
        <v>2</v>
      </c>
      <c r="G351" s="228" t="str">
        <f t="shared" ca="1" si="239"/>
        <v xml:space="preserve">   GERENCIAMENTO EXECUTIVO</v>
      </c>
      <c r="H351" s="230">
        <f t="shared" ca="1" si="254"/>
        <v>4</v>
      </c>
      <c r="I351" s="228" t="str">
        <f t="shared" ca="1" si="240"/>
        <v xml:space="preserve">   SUPRAESTRUTURA</v>
      </c>
      <c r="J351" s="230">
        <f t="shared" ca="1" si="255"/>
        <v>2</v>
      </c>
      <c r="K351" s="228" t="str">
        <f t="shared" ca="1" si="241"/>
        <v xml:space="preserve">   SUPRAESTRUTURA - 2º PAVIMENTO - TÉRREO</v>
      </c>
      <c r="L351" s="231">
        <f t="shared" ca="1" si="256"/>
        <v>1</v>
      </c>
      <c r="M351" s="228" t="str">
        <f t="shared" ca="1" si="242"/>
        <v xml:space="preserve">   Armadura</v>
      </c>
      <c r="N351" s="231">
        <f t="shared" ca="1" si="257"/>
        <v>10</v>
      </c>
      <c r="O351" s="228" t="str">
        <f t="shared" ca="1" si="243"/>
        <v>Armacao Tela Q61 para supraestrutura</v>
      </c>
      <c r="P351" s="232" t="str">
        <f>IF(S351="","",IF(Orçamento!$B351="INSUMO",S351,""))</f>
        <v>ARAME RECOZIDO 18 BWG, 1,25MM (0,010 KG/M)</v>
      </c>
      <c r="Q351" s="244" t="str">
        <f t="shared" si="246"/>
        <v/>
      </c>
      <c r="R351" s="234">
        <f t="shared" ca="1" si="244"/>
        <v>315</v>
      </c>
      <c r="S351" s="233" t="s">
        <v>161</v>
      </c>
      <c r="T351" s="242" t="str">
        <f>_xlfn.XLOOKUP(S351,Insumos!$A$3:$A$371,Insumos!$B$3:$B$371)</f>
        <v>KG</v>
      </c>
      <c r="U351" s="235">
        <f ca="1">IF($B351="insumo",R351,"")</f>
        <v>315</v>
      </c>
      <c r="V351" s="320">
        <v>0.01</v>
      </c>
      <c r="W351" s="236">
        <f>IFERROR(IF(B351="INSUMO",_xlfn.XLOOKUP(S351,Insumos!A:A,Insumos!C:C),""),"Inserir Preço")</f>
        <v>13.69</v>
      </c>
      <c r="X351" s="235">
        <f t="shared" ca="1" si="247"/>
        <v>3.15</v>
      </c>
      <c r="Y351" s="236">
        <f t="shared" si="248"/>
        <v>0.13689999999999999</v>
      </c>
      <c r="Z351" s="237">
        <f t="shared" ca="1" si="251"/>
        <v>43.1235</v>
      </c>
      <c r="AA351" s="238"/>
      <c r="AB351" s="233" t="str">
        <f>IF(B351="insumo",_xlfn.XLOOKUP(S351,Insumos!A:A,Insumos!D:D),"")</f>
        <v>GERDAU</v>
      </c>
      <c r="AC351" s="239">
        <f t="shared" ca="1" si="252"/>
        <v>6.1864592407692138E-6</v>
      </c>
      <c r="AE351" s="240">
        <f ca="1">IFERROR(IF(OR(Z351="",Z351=0),"",IF(AF351="","",IF(AF351="R$/mês",Z351/OBRA!$D$12,IF(AF351="R$/m²",Z351/OBRA!$D$10,IF(AF351="R$/apto",Orçamento!Z351/OBRA!$D$11,""))))),"")</f>
        <v>2.2191660276961553E-2</v>
      </c>
      <c r="AF351" s="241" t="s">
        <v>154</v>
      </c>
    </row>
    <row r="352" spans="1:32" s="10" customFormat="1" ht="13.15" hidden="1" customHeight="1" outlineLevel="4" x14ac:dyDescent="0.2">
      <c r="A352" s="227"/>
      <c r="B352" s="228" t="s">
        <v>19</v>
      </c>
      <c r="C352" s="229">
        <f t="shared" si="250"/>
        <v>5</v>
      </c>
      <c r="D352" s="227" t="str">
        <f t="shared" si="245"/>
        <v/>
      </c>
      <c r="E352" s="228" t="str">
        <f t="shared" ca="1" si="253"/>
        <v>04.002.001.010</v>
      </c>
      <c r="F352" s="230">
        <f ca="1">IF($B352="UNIDADE CONSTRUTIVA",OFFSET(F352,-1,0)+1,LARGE(F$10:F351,1))</f>
        <v>2</v>
      </c>
      <c r="G352" s="228" t="str">
        <f t="shared" ca="1" si="239"/>
        <v xml:space="preserve">   GERENCIAMENTO EXECUTIVO</v>
      </c>
      <c r="H352" s="230">
        <f t="shared" ca="1" si="254"/>
        <v>4</v>
      </c>
      <c r="I352" s="228" t="str">
        <f t="shared" ca="1" si="240"/>
        <v xml:space="preserve">   SUPRAESTRUTURA</v>
      </c>
      <c r="J352" s="230">
        <f t="shared" ca="1" si="255"/>
        <v>2</v>
      </c>
      <c r="K352" s="228" t="str">
        <f t="shared" ca="1" si="241"/>
        <v xml:space="preserve">   SUPRAESTRUTURA - 2º PAVIMENTO - TÉRREO</v>
      </c>
      <c r="L352" s="231">
        <f t="shared" ca="1" si="256"/>
        <v>1</v>
      </c>
      <c r="M352" s="228" t="str">
        <f t="shared" ca="1" si="242"/>
        <v xml:space="preserve">   Armadura</v>
      </c>
      <c r="N352" s="231">
        <f t="shared" ca="1" si="257"/>
        <v>10</v>
      </c>
      <c r="O352" s="228" t="str">
        <f t="shared" ca="1" si="243"/>
        <v>Armacao Tela Q61 para supraestrutura</v>
      </c>
      <c r="P352" s="232" t="str">
        <f>IF(S352="","",IF(Orçamento!$B352="INSUMO",S352,""))</f>
        <v>ESPACADOR PVC CADEIRINHA HORIZONTAL ETP 25/30 NBR 6118</v>
      </c>
      <c r="Q352" s="244" t="str">
        <f t="shared" si="246"/>
        <v/>
      </c>
      <c r="R352" s="234">
        <f t="shared" ca="1" si="244"/>
        <v>315</v>
      </c>
      <c r="S352" s="233" t="s">
        <v>612</v>
      </c>
      <c r="T352" s="242" t="str">
        <f>_xlfn.XLOOKUP(S352,Insumos!$A$3:$A$371,Insumos!$B$3:$B$371)</f>
        <v>UN</v>
      </c>
      <c r="U352" s="235">
        <f ca="1">IF($B352="insumo",R352,"")</f>
        <v>315</v>
      </c>
      <c r="V352" s="320">
        <v>0.5</v>
      </c>
      <c r="W352" s="236">
        <f>IFERROR(IF(B352="INSUMO",_xlfn.XLOOKUP(S352,Insumos!A:A,Insumos!C:C),""),"Inserir Preço")</f>
        <v>0.45</v>
      </c>
      <c r="X352" s="235">
        <f t="shared" ca="1" si="247"/>
        <v>157.5</v>
      </c>
      <c r="Y352" s="236">
        <f t="shared" si="248"/>
        <v>0.22500000000000001</v>
      </c>
      <c r="Z352" s="237">
        <f t="shared" ca="1" si="251"/>
        <v>70.875</v>
      </c>
      <c r="AA352" s="238"/>
      <c r="AB352" s="233" t="str">
        <f>IF(B352="insumo",_xlfn.XLOOKUP(S352,Insumos!A:A,Insumos!D:D),"")</f>
        <v xml:space="preserve"> </v>
      </c>
      <c r="AC352" s="239">
        <f t="shared" ca="1" si="252"/>
        <v>1.0167664931870511E-5</v>
      </c>
      <c r="AE352" s="240">
        <f ca="1">IFERROR(IF(OR(Z352="",Z352=0),"",IF(AF352="","",IF(AF352="R$/mês",Z352/OBRA!$D$12,IF(AF352="R$/m²",Z352/OBRA!$D$10,IF(AF352="R$/apto",Orçamento!Z352/OBRA!$D$11,""))))),"")</f>
        <v>3.6472779856218766E-2</v>
      </c>
      <c r="AF352" s="241" t="s">
        <v>154</v>
      </c>
    </row>
    <row r="353" spans="1:32" s="10" customFormat="1" ht="13.15" hidden="1" customHeight="1" outlineLevel="4" x14ac:dyDescent="0.2">
      <c r="A353" s="227"/>
      <c r="B353" s="228" t="s">
        <v>4</v>
      </c>
      <c r="C353" s="229">
        <f t="shared" si="250"/>
        <v>1</v>
      </c>
      <c r="D353" s="227" t="str">
        <f t="shared" ca="1" si="245"/>
        <v>04.002.001.011</v>
      </c>
      <c r="E353" s="228" t="str">
        <f t="shared" ca="1" si="253"/>
        <v>04.002.001.011</v>
      </c>
      <c r="F353" s="230">
        <f ca="1">IF($B353="UNIDADE CONSTRUTIVA",OFFSET(F353,-1,0)+1,LARGE(F$10:F352,1))</f>
        <v>2</v>
      </c>
      <c r="G353" s="228" t="str">
        <f t="shared" ca="1" si="239"/>
        <v xml:space="preserve">   GERENCIAMENTO EXECUTIVO</v>
      </c>
      <c r="H353" s="230">
        <f t="shared" ca="1" si="254"/>
        <v>4</v>
      </c>
      <c r="I353" s="228" t="str">
        <f t="shared" ca="1" si="240"/>
        <v xml:space="preserve">   SUPRAESTRUTURA</v>
      </c>
      <c r="J353" s="230">
        <f t="shared" ca="1" si="255"/>
        <v>2</v>
      </c>
      <c r="K353" s="228" t="str">
        <f t="shared" ca="1" si="241"/>
        <v xml:space="preserve">   SUPRAESTRUTURA - 2º PAVIMENTO - TÉRREO</v>
      </c>
      <c r="L353" s="231">
        <f t="shared" ca="1" si="256"/>
        <v>1</v>
      </c>
      <c r="M353" s="228" t="str">
        <f t="shared" ca="1" si="242"/>
        <v xml:space="preserve">   Armadura</v>
      </c>
      <c r="N353" s="231">
        <f t="shared" ca="1" si="257"/>
        <v>11</v>
      </c>
      <c r="O353" s="228" t="str">
        <f t="shared" ca="1" si="243"/>
        <v>Armacao Tela Q196 para supraestrutura</v>
      </c>
      <c r="P353" s="232" t="str">
        <f>IF(S353="","",IF(Orçamento!$B353="INSUMO",S353,""))</f>
        <v/>
      </c>
      <c r="Q353" s="244" t="str">
        <f t="shared" si="246"/>
        <v>Armacao Tela Q196 para supraestrutura</v>
      </c>
      <c r="R353" s="234">
        <f t="shared" ca="1" si="244"/>
        <v>229</v>
      </c>
      <c r="S353" s="233" t="s">
        <v>607</v>
      </c>
      <c r="T353" s="242" t="s">
        <v>159</v>
      </c>
      <c r="U353" s="235">
        <v>229</v>
      </c>
      <c r="V353" s="320" t="s">
        <v>35</v>
      </c>
      <c r="W353" s="236" t="str">
        <f>IFERROR(IF(B353="INSUMO",_xlfn.XLOOKUP(S353,Insumos!A:A,Insumos!C:C),""),"Inserir Preço")</f>
        <v/>
      </c>
      <c r="X353" s="235">
        <f t="shared" ca="1" si="247"/>
        <v>229</v>
      </c>
      <c r="Y353" s="236">
        <f t="shared" ca="1" si="248"/>
        <v>7.0718999999999994</v>
      </c>
      <c r="Z353" s="237">
        <f t="shared" ca="1" si="251"/>
        <v>1619.4650999999999</v>
      </c>
      <c r="AA353" s="238"/>
      <c r="AB353" s="233" t="str">
        <f>IF(B353="insumo",_xlfn.XLOOKUP(S353,Insumos!A:A,Insumos!D:D),"")</f>
        <v/>
      </c>
      <c r="AC353" s="239">
        <f t="shared" ca="1" si="252"/>
        <v>2.3232703358953325E-4</v>
      </c>
      <c r="AE353" s="240">
        <f ca="1">IFERROR(IF(OR(Z353="",Z353=0),"",IF(AF353="","",IF(AF353="R$/mês",Z353/OBRA!$D$12,IF(AF353="R$/m²",Z353/OBRA!$D$10,IF(AF353="R$/apto",Orçamento!Z353/OBRA!$D$11,""))))),"")</f>
        <v>0.83338827622051936</v>
      </c>
      <c r="AF353" s="241" t="s">
        <v>154</v>
      </c>
    </row>
    <row r="354" spans="1:32" s="10" customFormat="1" ht="13.15" hidden="1" customHeight="1" outlineLevel="4" x14ac:dyDescent="0.2">
      <c r="A354" s="227"/>
      <c r="B354" s="228" t="s">
        <v>19</v>
      </c>
      <c r="C354" s="229">
        <f t="shared" si="250"/>
        <v>1</v>
      </c>
      <c r="D354" s="227" t="str">
        <f t="shared" si="245"/>
        <v/>
      </c>
      <c r="E354" s="228" t="str">
        <f t="shared" ca="1" si="253"/>
        <v>04.002.001.011</v>
      </c>
      <c r="F354" s="230">
        <f ca="1">IF($B354="UNIDADE CONSTRUTIVA",OFFSET(F354,-1,0)+1,LARGE(F$10:F353,1))</f>
        <v>2</v>
      </c>
      <c r="G354" s="228" t="str">
        <f t="shared" ca="1" si="239"/>
        <v xml:space="preserve">   GERENCIAMENTO EXECUTIVO</v>
      </c>
      <c r="H354" s="230">
        <f t="shared" ca="1" si="254"/>
        <v>4</v>
      </c>
      <c r="I354" s="228" t="str">
        <f t="shared" ca="1" si="240"/>
        <v xml:space="preserve">   SUPRAESTRUTURA</v>
      </c>
      <c r="J354" s="230">
        <f t="shared" ca="1" si="255"/>
        <v>2</v>
      </c>
      <c r="K354" s="228" t="str">
        <f t="shared" ca="1" si="241"/>
        <v xml:space="preserve">   SUPRAESTRUTURA - 2º PAVIMENTO - TÉRREO</v>
      </c>
      <c r="L354" s="231">
        <f t="shared" ca="1" si="256"/>
        <v>1</v>
      </c>
      <c r="M354" s="228" t="str">
        <f t="shared" ca="1" si="242"/>
        <v xml:space="preserve">   Armadura</v>
      </c>
      <c r="N354" s="231">
        <f t="shared" ca="1" si="257"/>
        <v>11</v>
      </c>
      <c r="O354" s="228" t="str">
        <f t="shared" ca="1" si="243"/>
        <v>Armacao Tela Q196 para supraestrutura</v>
      </c>
      <c r="P354" s="232" t="str">
        <f>IF(S354="","",IF(Orçamento!$B354="INSUMO",S354,""))</f>
        <v>TELA ACO CARBONO CA60 M.100X100MM F.05,0MM 245X600CM Q196 (45,72KG/UN)</v>
      </c>
      <c r="Q354" s="244" t="str">
        <f t="shared" si="246"/>
        <v/>
      </c>
      <c r="R354" s="234">
        <f t="shared" ca="1" si="244"/>
        <v>229</v>
      </c>
      <c r="S354" s="233" t="s">
        <v>610</v>
      </c>
      <c r="T354" s="242" t="str">
        <f>_xlfn.XLOOKUP(S354,Insumos!$A$3:$A$371,Insumos!$B$3:$B$371)</f>
        <v>KG</v>
      </c>
      <c r="U354" s="235">
        <f ca="1">IF($B354="insumo",R354,"")</f>
        <v>229</v>
      </c>
      <c r="V354" s="320">
        <v>1.1000000000000001</v>
      </c>
      <c r="W354" s="236">
        <f>IFERROR(IF(B354="INSUMO",_xlfn.XLOOKUP(S354,Insumos!A:A,Insumos!C:C),""),"Inserir Preço")</f>
        <v>6.1</v>
      </c>
      <c r="X354" s="235">
        <f t="shared" ca="1" si="247"/>
        <v>251.90000000000003</v>
      </c>
      <c r="Y354" s="236">
        <f t="shared" si="248"/>
        <v>6.71</v>
      </c>
      <c r="Z354" s="237">
        <f t="shared" ca="1" si="251"/>
        <v>1536.5900000000001</v>
      </c>
      <c r="AA354" s="238"/>
      <c r="AB354" s="233" t="str">
        <f>IF(B354="insumo",_xlfn.XLOOKUP(S354,Insumos!A:A,Insumos!D:D),"")</f>
        <v>Base de Dados</v>
      </c>
      <c r="AC354" s="239">
        <f t="shared" ca="1" si="252"/>
        <v>2.204378449052968E-4</v>
      </c>
      <c r="AE354" s="240">
        <f ca="1">IFERROR(IF(OR(Z354="",Z354=0),"",IF(AF354="","",IF(AF354="R$/mês",Z354/OBRA!$D$12,IF(AF354="R$/m²",Z354/OBRA!$D$10,IF(AF354="R$/apto",Orçamento!Z354/OBRA!$D$11,""))))),"")</f>
        <v>0.79074015942528686</v>
      </c>
      <c r="AF354" s="241" t="s">
        <v>154</v>
      </c>
    </row>
    <row r="355" spans="1:32" s="10" customFormat="1" ht="13.15" hidden="1" customHeight="1" outlineLevel="4" x14ac:dyDescent="0.2">
      <c r="A355" s="227"/>
      <c r="B355" s="228" t="s">
        <v>19</v>
      </c>
      <c r="C355" s="229">
        <f t="shared" si="250"/>
        <v>42</v>
      </c>
      <c r="D355" s="227" t="str">
        <f t="shared" si="245"/>
        <v/>
      </c>
      <c r="E355" s="228" t="str">
        <f t="shared" ca="1" si="253"/>
        <v>04.002.001.011</v>
      </c>
      <c r="F355" s="230">
        <f ca="1">IF($B355="UNIDADE CONSTRUTIVA",OFFSET(F355,-1,0)+1,LARGE(F$10:F354,1))</f>
        <v>2</v>
      </c>
      <c r="G355" s="228" t="str">
        <f t="shared" ca="1" si="239"/>
        <v xml:space="preserve">   GERENCIAMENTO EXECUTIVO</v>
      </c>
      <c r="H355" s="230">
        <f t="shared" ca="1" si="254"/>
        <v>4</v>
      </c>
      <c r="I355" s="228" t="str">
        <f t="shared" ca="1" si="240"/>
        <v xml:space="preserve">   SUPRAESTRUTURA</v>
      </c>
      <c r="J355" s="230">
        <f t="shared" ca="1" si="255"/>
        <v>2</v>
      </c>
      <c r="K355" s="228" t="str">
        <f t="shared" ca="1" si="241"/>
        <v xml:space="preserve">   SUPRAESTRUTURA - 2º PAVIMENTO - TÉRREO</v>
      </c>
      <c r="L355" s="231">
        <f t="shared" ca="1" si="256"/>
        <v>1</v>
      </c>
      <c r="M355" s="228" t="str">
        <f t="shared" ca="1" si="242"/>
        <v xml:space="preserve">   Armadura</v>
      </c>
      <c r="N355" s="231">
        <f t="shared" ca="1" si="257"/>
        <v>11</v>
      </c>
      <c r="O355" s="228" t="str">
        <f t="shared" ca="1" si="243"/>
        <v>Armacao Tela Q196 para supraestrutura</v>
      </c>
      <c r="P355" s="232" t="str">
        <f>IF(S355="","",IF(Orçamento!$B355="INSUMO",S355,""))</f>
        <v>ARAME RECOZIDO 18 BWG, 1,25MM (0,010 KG/M)</v>
      </c>
      <c r="Q355" s="244" t="str">
        <f t="shared" si="246"/>
        <v/>
      </c>
      <c r="R355" s="234">
        <f t="shared" ca="1" si="244"/>
        <v>229</v>
      </c>
      <c r="S355" s="233" t="s">
        <v>161</v>
      </c>
      <c r="T355" s="242" t="str">
        <f>_xlfn.XLOOKUP(S355,Insumos!$A$3:$A$371,Insumos!$B$3:$B$371)</f>
        <v>KG</v>
      </c>
      <c r="U355" s="235">
        <f ca="1">IF($B355="insumo",R355,"")</f>
        <v>229</v>
      </c>
      <c r="V355" s="320">
        <v>0.01</v>
      </c>
      <c r="W355" s="236">
        <f>IFERROR(IF(B355="INSUMO",_xlfn.XLOOKUP(S355,Insumos!A:A,Insumos!C:C),""),"Inserir Preço")</f>
        <v>13.69</v>
      </c>
      <c r="X355" s="235">
        <f t="shared" ca="1" si="247"/>
        <v>2.29</v>
      </c>
      <c r="Y355" s="236">
        <f t="shared" si="248"/>
        <v>0.13689999999999999</v>
      </c>
      <c r="Z355" s="237">
        <f t="shared" ca="1" si="251"/>
        <v>31.350099999999998</v>
      </c>
      <c r="AA355" s="238"/>
      <c r="AB355" s="233" t="str">
        <f>IF(B355="insumo",_xlfn.XLOOKUP(S355,Insumos!A:A,Insumos!D:D),"")</f>
        <v>GERDAU</v>
      </c>
      <c r="AC355" s="239">
        <f t="shared" ca="1" si="252"/>
        <v>4.4974576702734914E-6</v>
      </c>
      <c r="AE355" s="240">
        <f ca="1">IFERROR(IF(OR(Z355="",Z355=0),"",IF(AF355="","",IF(AF355="R$/mês",Z355/OBRA!$D$12,IF(AF355="R$/m²",Z355/OBRA!$D$10,IF(AF355="R$/apto",Orçamento!Z355/OBRA!$D$11,""))))),"")</f>
        <v>1.6132984772775222E-2</v>
      </c>
      <c r="AF355" s="241" t="s">
        <v>154</v>
      </c>
    </row>
    <row r="356" spans="1:32" s="10" customFormat="1" ht="13.15" hidden="1" customHeight="1" outlineLevel="4" x14ac:dyDescent="0.2">
      <c r="A356" s="227"/>
      <c r="B356" s="228" t="s">
        <v>19</v>
      </c>
      <c r="C356" s="229">
        <f t="shared" si="250"/>
        <v>5</v>
      </c>
      <c r="D356" s="227" t="str">
        <f t="shared" si="245"/>
        <v/>
      </c>
      <c r="E356" s="228" t="str">
        <f t="shared" ca="1" si="253"/>
        <v>04.002.001.011</v>
      </c>
      <c r="F356" s="230">
        <f ca="1">IF($B356="UNIDADE CONSTRUTIVA",OFFSET(F356,-1,0)+1,LARGE(F$10:F355,1))</f>
        <v>2</v>
      </c>
      <c r="G356" s="228" t="str">
        <f t="shared" ca="1" si="239"/>
        <v xml:space="preserve">   GERENCIAMENTO EXECUTIVO</v>
      </c>
      <c r="H356" s="230">
        <f t="shared" ca="1" si="254"/>
        <v>4</v>
      </c>
      <c r="I356" s="228" t="str">
        <f t="shared" ca="1" si="240"/>
        <v xml:space="preserve">   SUPRAESTRUTURA</v>
      </c>
      <c r="J356" s="230">
        <f t="shared" ca="1" si="255"/>
        <v>2</v>
      </c>
      <c r="K356" s="228" t="str">
        <f t="shared" ca="1" si="241"/>
        <v xml:space="preserve">   SUPRAESTRUTURA - 2º PAVIMENTO - TÉRREO</v>
      </c>
      <c r="L356" s="231">
        <f t="shared" ca="1" si="256"/>
        <v>1</v>
      </c>
      <c r="M356" s="228" t="str">
        <f t="shared" ca="1" si="242"/>
        <v xml:space="preserve">   Armadura</v>
      </c>
      <c r="N356" s="231">
        <f t="shared" ca="1" si="257"/>
        <v>11</v>
      </c>
      <c r="O356" s="228" t="str">
        <f t="shared" ca="1" si="243"/>
        <v>Armacao Tela Q196 para supraestrutura</v>
      </c>
      <c r="P356" s="232" t="str">
        <f>IF(S356="","",IF(Orçamento!$B356="INSUMO",S356,""))</f>
        <v>ESPACADOR PVC CADEIRINHA HORIZONTAL ETP 25/30 NBR 6118</v>
      </c>
      <c r="Q356" s="244" t="str">
        <f t="shared" si="246"/>
        <v/>
      </c>
      <c r="R356" s="234">
        <f t="shared" ca="1" si="244"/>
        <v>229</v>
      </c>
      <c r="S356" s="233" t="s">
        <v>612</v>
      </c>
      <c r="T356" s="242" t="str">
        <f>_xlfn.XLOOKUP(S356,Insumos!$A$3:$A$371,Insumos!$B$3:$B$371)</f>
        <v>UN</v>
      </c>
      <c r="U356" s="235">
        <f ca="1">IF($B356="insumo",R356,"")</f>
        <v>229</v>
      </c>
      <c r="V356" s="320">
        <v>0.5</v>
      </c>
      <c r="W356" s="236">
        <f>IFERROR(IF(B356="INSUMO",_xlfn.XLOOKUP(S356,Insumos!A:A,Insumos!C:C),""),"Inserir Preço")</f>
        <v>0.45</v>
      </c>
      <c r="X356" s="235">
        <f t="shared" ca="1" si="247"/>
        <v>114.5</v>
      </c>
      <c r="Y356" s="236">
        <f t="shared" si="248"/>
        <v>0.22500000000000001</v>
      </c>
      <c r="Z356" s="237">
        <f t="shared" ca="1" si="251"/>
        <v>51.524999999999999</v>
      </c>
      <c r="AA356" s="238"/>
      <c r="AB356" s="233" t="str">
        <f>IF(B356="insumo",_xlfn.XLOOKUP(S356,Insumos!A:A,Insumos!D:D),"")</f>
        <v xml:space="preserve"> </v>
      </c>
      <c r="AC356" s="239">
        <f t="shared" ca="1" si="252"/>
        <v>7.3917310139630066E-6</v>
      </c>
      <c r="AE356" s="240">
        <f ca="1">IFERROR(IF(OR(Z356="",Z356=0),"",IF(AF356="","",IF(AF356="R$/mês",Z356/OBRA!$D$12,IF(AF356="R$/m²",Z356/OBRA!$D$10,IF(AF356="R$/apto",Orçamento!Z356/OBRA!$D$11,""))))),"")</f>
        <v>2.6515132022457453E-2</v>
      </c>
      <c r="AF356" s="241" t="s">
        <v>154</v>
      </c>
    </row>
    <row r="357" spans="1:32" s="10" customFormat="1" ht="13.15" hidden="1" customHeight="1" outlineLevel="4" x14ac:dyDescent="0.2">
      <c r="A357" s="227"/>
      <c r="B357" s="228" t="s">
        <v>4</v>
      </c>
      <c r="C357" s="229">
        <f t="shared" si="250"/>
        <v>1</v>
      </c>
      <c r="D357" s="227" t="str">
        <f t="shared" ca="1" si="245"/>
        <v>04.002.001.012</v>
      </c>
      <c r="E357" s="228" t="str">
        <f t="shared" ca="1" si="253"/>
        <v>04.002.001.012</v>
      </c>
      <c r="F357" s="230">
        <f ca="1">IF($B357="UNIDADE CONSTRUTIVA",OFFSET(F357,-1,0)+1,LARGE(F$10:F356,1))</f>
        <v>2</v>
      </c>
      <c r="G357" s="228" t="str">
        <f t="shared" ca="1" si="239"/>
        <v xml:space="preserve">   GERENCIAMENTO EXECUTIVO</v>
      </c>
      <c r="H357" s="230">
        <f t="shared" ca="1" si="254"/>
        <v>4</v>
      </c>
      <c r="I357" s="228" t="str">
        <f t="shared" ca="1" si="240"/>
        <v xml:space="preserve">   SUPRAESTRUTURA</v>
      </c>
      <c r="J357" s="230">
        <f t="shared" ca="1" si="255"/>
        <v>2</v>
      </c>
      <c r="K357" s="228" t="str">
        <f t="shared" ca="1" si="241"/>
        <v xml:space="preserve">   SUPRAESTRUTURA - 2º PAVIMENTO - TÉRREO</v>
      </c>
      <c r="L357" s="231">
        <f t="shared" ca="1" si="256"/>
        <v>1</v>
      </c>
      <c r="M357" s="228" t="str">
        <f t="shared" ca="1" si="242"/>
        <v xml:space="preserve">   Armadura</v>
      </c>
      <c r="N357" s="231">
        <f t="shared" ca="1" si="257"/>
        <v>12</v>
      </c>
      <c r="O357" s="228" t="str">
        <f t="shared" ca="1" si="243"/>
        <v>Armacao Tela Q246 para supraestrutura</v>
      </c>
      <c r="P357" s="232" t="str">
        <f>IF(S357="","",IF(Orçamento!$B357="INSUMO",S357,""))</f>
        <v/>
      </c>
      <c r="Q357" s="244" t="str">
        <f t="shared" si="246"/>
        <v>Armacao Tela Q246 para supraestrutura</v>
      </c>
      <c r="R357" s="234">
        <f t="shared" ca="1" si="244"/>
        <v>19</v>
      </c>
      <c r="S357" s="233" t="s">
        <v>608</v>
      </c>
      <c r="T357" s="242" t="s">
        <v>159</v>
      </c>
      <c r="U357" s="235">
        <v>19</v>
      </c>
      <c r="V357" s="320" t="s">
        <v>35</v>
      </c>
      <c r="W357" s="236" t="str">
        <f>IFERROR(IF(B357="INSUMO",_xlfn.XLOOKUP(S357,Insumos!A:A,Insumos!C:C),""),"Inserir Preço")</f>
        <v/>
      </c>
      <c r="X357" s="235">
        <f t="shared" ca="1" si="247"/>
        <v>19</v>
      </c>
      <c r="Y357" s="236">
        <f t="shared" ca="1" si="248"/>
        <v>10.184900000000001</v>
      </c>
      <c r="Z357" s="237">
        <f t="shared" ca="1" si="251"/>
        <v>193.51310000000001</v>
      </c>
      <c r="AA357" s="238"/>
      <c r="AB357" s="233" t="str">
        <f>IF(B357="insumo",_xlfn.XLOOKUP(S357,Insumos!A:A,Insumos!D:D),"")</f>
        <v/>
      </c>
      <c r="AC357" s="239">
        <f t="shared" ca="1" si="252"/>
        <v>2.7761218493510428E-5</v>
      </c>
      <c r="AE357" s="240">
        <f ca="1">IFERROR(IF(OR(Z357="",Z357=0),"",IF(AF357="","",IF(AF357="R$/mês",Z357/OBRA!$D$12,IF(AF357="R$/m²",Z357/OBRA!$D$10,IF(AF357="R$/apto",Orçamento!Z357/OBRA!$D$11,""))))),"")</f>
        <v>9.9583219690926969E-2</v>
      </c>
      <c r="AF357" s="241" t="s">
        <v>154</v>
      </c>
    </row>
    <row r="358" spans="1:32" s="10" customFormat="1" ht="13.15" hidden="1" customHeight="1" outlineLevel="4" x14ac:dyDescent="0.2">
      <c r="A358" s="227"/>
      <c r="B358" s="228" t="s">
        <v>19</v>
      </c>
      <c r="C358" s="229">
        <f t="shared" si="250"/>
        <v>1</v>
      </c>
      <c r="D358" s="227" t="str">
        <f t="shared" si="245"/>
        <v/>
      </c>
      <c r="E358" s="228" t="str">
        <f t="shared" ca="1" si="253"/>
        <v>04.002.001.012</v>
      </c>
      <c r="F358" s="230">
        <f ca="1">IF($B358="UNIDADE CONSTRUTIVA",OFFSET(F358,-1,0)+1,LARGE(F$10:F357,1))</f>
        <v>2</v>
      </c>
      <c r="G358" s="228" t="str">
        <f t="shared" ca="1" si="239"/>
        <v xml:space="preserve">   GERENCIAMENTO EXECUTIVO</v>
      </c>
      <c r="H358" s="230">
        <f t="shared" ca="1" si="254"/>
        <v>4</v>
      </c>
      <c r="I358" s="228" t="str">
        <f t="shared" ca="1" si="240"/>
        <v xml:space="preserve">   SUPRAESTRUTURA</v>
      </c>
      <c r="J358" s="230">
        <f t="shared" ca="1" si="255"/>
        <v>2</v>
      </c>
      <c r="K358" s="228" t="str">
        <f t="shared" ca="1" si="241"/>
        <v xml:space="preserve">   SUPRAESTRUTURA - 2º PAVIMENTO - TÉRREO</v>
      </c>
      <c r="L358" s="231">
        <f t="shared" ca="1" si="256"/>
        <v>1</v>
      </c>
      <c r="M358" s="228" t="str">
        <f t="shared" ca="1" si="242"/>
        <v xml:space="preserve">   Armadura</v>
      </c>
      <c r="N358" s="231">
        <f t="shared" ca="1" si="257"/>
        <v>12</v>
      </c>
      <c r="O358" s="228" t="str">
        <f t="shared" ca="1" si="243"/>
        <v>Armacao Tela Q246 para supraestrutura</v>
      </c>
      <c r="P358" s="232" t="str">
        <f>IF(S358="","",IF(Orçamento!$B358="INSUMO",S358,""))</f>
        <v>TELA ACO CARBONO CA60 M.100X100MM F.05,6MM 245X600CM Q246 (57,5KG/UN)</v>
      </c>
      <c r="Q358" s="244" t="str">
        <f t="shared" si="246"/>
        <v/>
      </c>
      <c r="R358" s="234">
        <f t="shared" ca="1" si="244"/>
        <v>19</v>
      </c>
      <c r="S358" s="233" t="s">
        <v>611</v>
      </c>
      <c r="T358" s="242" t="str">
        <f>_xlfn.XLOOKUP(S358,Insumos!$A$3:$A$371,Insumos!$B$3:$B$371)</f>
        <v>KG</v>
      </c>
      <c r="U358" s="235">
        <f ca="1">IF($B358="insumo",R358,"")</f>
        <v>19</v>
      </c>
      <c r="V358" s="320">
        <v>1.1000000000000001</v>
      </c>
      <c r="W358" s="236">
        <f>IFERROR(IF(B358="INSUMO",_xlfn.XLOOKUP(S358,Insumos!A:A,Insumos!C:C),""),"Inserir Preço")</f>
        <v>8.93</v>
      </c>
      <c r="X358" s="235">
        <f t="shared" ca="1" si="247"/>
        <v>20.900000000000002</v>
      </c>
      <c r="Y358" s="236">
        <f t="shared" si="248"/>
        <v>9.8230000000000004</v>
      </c>
      <c r="Z358" s="237">
        <f t="shared" ca="1" si="251"/>
        <v>186.637</v>
      </c>
      <c r="AA358" s="238"/>
      <c r="AB358" s="233" t="str">
        <f>IF(B358="insumo",_xlfn.XLOOKUP(S358,Insumos!A:A,Insumos!D:D),"")</f>
        <v>Base de Dados</v>
      </c>
      <c r="AC358" s="239">
        <f t="shared" ca="1" si="252"/>
        <v>2.6774779257700412E-5</v>
      </c>
      <c r="AE358" s="240">
        <f ca="1">IFERROR(IF(OR(Z358="",Z358=0),"",IF(AF358="","",IF(AF358="R$/mês",Z358/OBRA!$D$12,IF(AF358="R$/m²",Z358/OBRA!$D$10,IF(AF358="R$/apto",Orçamento!Z358/OBRA!$D$11,""))))),"")</f>
        <v>9.6044729651147825E-2</v>
      </c>
      <c r="AF358" s="241" t="s">
        <v>154</v>
      </c>
    </row>
    <row r="359" spans="1:32" s="10" customFormat="1" ht="13.15" hidden="1" customHeight="1" outlineLevel="4" x14ac:dyDescent="0.2">
      <c r="A359" s="227"/>
      <c r="B359" s="228" t="s">
        <v>19</v>
      </c>
      <c r="C359" s="229">
        <f t="shared" si="250"/>
        <v>42</v>
      </c>
      <c r="D359" s="227" t="str">
        <f t="shared" si="245"/>
        <v/>
      </c>
      <c r="E359" s="228" t="str">
        <f t="shared" ca="1" si="253"/>
        <v>04.002.001.012</v>
      </c>
      <c r="F359" s="230">
        <f ca="1">IF($B359="UNIDADE CONSTRUTIVA",OFFSET(F359,-1,0)+1,LARGE(F$10:F358,1))</f>
        <v>2</v>
      </c>
      <c r="G359" s="228" t="str">
        <f t="shared" ca="1" si="239"/>
        <v xml:space="preserve">   GERENCIAMENTO EXECUTIVO</v>
      </c>
      <c r="H359" s="230">
        <f t="shared" ca="1" si="254"/>
        <v>4</v>
      </c>
      <c r="I359" s="228" t="str">
        <f t="shared" ca="1" si="240"/>
        <v xml:space="preserve">   SUPRAESTRUTURA</v>
      </c>
      <c r="J359" s="230">
        <f t="shared" ca="1" si="255"/>
        <v>2</v>
      </c>
      <c r="K359" s="228" t="str">
        <f t="shared" ca="1" si="241"/>
        <v xml:space="preserve">   SUPRAESTRUTURA - 2º PAVIMENTO - TÉRREO</v>
      </c>
      <c r="L359" s="231">
        <f t="shared" ca="1" si="256"/>
        <v>1</v>
      </c>
      <c r="M359" s="228" t="str">
        <f t="shared" ca="1" si="242"/>
        <v xml:space="preserve">   Armadura</v>
      </c>
      <c r="N359" s="231">
        <f t="shared" ca="1" si="257"/>
        <v>12</v>
      </c>
      <c r="O359" s="228" t="str">
        <f t="shared" ca="1" si="243"/>
        <v>Armacao Tela Q246 para supraestrutura</v>
      </c>
      <c r="P359" s="232" t="str">
        <f>IF(S359="","",IF(Orçamento!$B359="INSUMO",S359,""))</f>
        <v>ARAME RECOZIDO 18 BWG, 1,25MM (0,010 KG/M)</v>
      </c>
      <c r="Q359" s="244" t="str">
        <f t="shared" si="246"/>
        <v/>
      </c>
      <c r="R359" s="234">
        <f t="shared" ca="1" si="244"/>
        <v>19</v>
      </c>
      <c r="S359" s="233" t="s">
        <v>161</v>
      </c>
      <c r="T359" s="242" t="str">
        <f>_xlfn.XLOOKUP(S359,Insumos!$A$3:$A$371,Insumos!$B$3:$B$371)</f>
        <v>KG</v>
      </c>
      <c r="U359" s="235">
        <f ca="1">IF($B359="insumo",R359,"")</f>
        <v>19</v>
      </c>
      <c r="V359" s="320">
        <v>0.01</v>
      </c>
      <c r="W359" s="236">
        <f>IFERROR(IF(B359="INSUMO",_xlfn.XLOOKUP(S359,Insumos!A:A,Insumos!C:C),""),"Inserir Preço")</f>
        <v>13.69</v>
      </c>
      <c r="X359" s="235">
        <f t="shared" ca="1" si="247"/>
        <v>0.19</v>
      </c>
      <c r="Y359" s="236">
        <f t="shared" si="248"/>
        <v>0.13689999999999999</v>
      </c>
      <c r="Z359" s="237">
        <f t="shared" ca="1" si="251"/>
        <v>2.6010999999999997</v>
      </c>
      <c r="AA359" s="238"/>
      <c r="AB359" s="233" t="str">
        <f>IF(B359="insumo",_xlfn.XLOOKUP(S359,Insumos!A:A,Insumos!D:D),"")</f>
        <v>GERDAU</v>
      </c>
      <c r="AC359" s="239">
        <f t="shared" ca="1" si="252"/>
        <v>3.731515097606827E-7</v>
      </c>
      <c r="AE359" s="240">
        <f ca="1">IFERROR(IF(OR(Z359="",Z359=0),"",IF(AF359="","",IF(AF359="R$/mês",Z359/OBRA!$D$12,IF(AF359="R$/m²",Z359/OBRA!$D$10,IF(AF359="R$/apto",Orçamento!Z359/OBRA!$D$11,""))))),"")</f>
        <v>1.3385445881341888E-3</v>
      </c>
      <c r="AF359" s="241" t="s">
        <v>154</v>
      </c>
    </row>
    <row r="360" spans="1:32" s="10" customFormat="1" ht="13.15" hidden="1" customHeight="1" outlineLevel="4" x14ac:dyDescent="0.2">
      <c r="A360" s="227"/>
      <c r="B360" s="228" t="s">
        <v>19</v>
      </c>
      <c r="C360" s="229">
        <f t="shared" si="250"/>
        <v>5</v>
      </c>
      <c r="D360" s="227" t="str">
        <f t="shared" si="245"/>
        <v/>
      </c>
      <c r="E360" s="228" t="str">
        <f t="shared" ca="1" si="253"/>
        <v>04.002.001.012</v>
      </c>
      <c r="F360" s="230">
        <f ca="1">IF($B360="UNIDADE CONSTRUTIVA",OFFSET(F360,-1,0)+1,LARGE(F$10:F359,1))</f>
        <v>2</v>
      </c>
      <c r="G360" s="228" t="str">
        <f t="shared" ca="1" si="239"/>
        <v xml:space="preserve">   GERENCIAMENTO EXECUTIVO</v>
      </c>
      <c r="H360" s="230">
        <f t="shared" ca="1" si="254"/>
        <v>4</v>
      </c>
      <c r="I360" s="228" t="str">
        <f t="shared" ca="1" si="240"/>
        <v xml:space="preserve">   SUPRAESTRUTURA</v>
      </c>
      <c r="J360" s="230">
        <f t="shared" ca="1" si="255"/>
        <v>2</v>
      </c>
      <c r="K360" s="228" t="str">
        <f t="shared" ca="1" si="241"/>
        <v xml:space="preserve">   SUPRAESTRUTURA - 2º PAVIMENTO - TÉRREO</v>
      </c>
      <c r="L360" s="231">
        <f t="shared" ca="1" si="256"/>
        <v>1</v>
      </c>
      <c r="M360" s="228" t="str">
        <f t="shared" ca="1" si="242"/>
        <v xml:space="preserve">   Armadura</v>
      </c>
      <c r="N360" s="231">
        <f t="shared" ca="1" si="257"/>
        <v>12</v>
      </c>
      <c r="O360" s="228" t="str">
        <f t="shared" ca="1" si="243"/>
        <v>Armacao Tela Q246 para supraestrutura</v>
      </c>
      <c r="P360" s="232" t="str">
        <f>IF(S360="","",IF(Orçamento!$B360="INSUMO",S360,""))</f>
        <v>ESPACADOR PVC CADEIRINHA HORIZONTAL ETP 25/30 NBR 6118</v>
      </c>
      <c r="Q360" s="244" t="str">
        <f t="shared" si="246"/>
        <v/>
      </c>
      <c r="R360" s="234">
        <f t="shared" ca="1" si="244"/>
        <v>19</v>
      </c>
      <c r="S360" s="233" t="s">
        <v>612</v>
      </c>
      <c r="T360" s="242" t="str">
        <f>_xlfn.XLOOKUP(S360,Insumos!$A$3:$A$371,Insumos!$B$3:$B$371)</f>
        <v>UN</v>
      </c>
      <c r="U360" s="235">
        <f ca="1">IF($B360="insumo",R360,"")</f>
        <v>19</v>
      </c>
      <c r="V360" s="320">
        <v>0.5</v>
      </c>
      <c r="W360" s="236">
        <f>IFERROR(IF(B360="INSUMO",_xlfn.XLOOKUP(S360,Insumos!A:A,Insumos!C:C),""),"Inserir Preço")</f>
        <v>0.45</v>
      </c>
      <c r="X360" s="235">
        <f t="shared" ca="1" si="247"/>
        <v>9.5</v>
      </c>
      <c r="Y360" s="236">
        <f t="shared" ref="Y360:Y423" si="258">IF(B360="insumo",W360*V360,IF(B360="serviço",SUMIFS(Y:Y,B:B,"insumo",E:E,E360,I:I,I360),""))</f>
        <v>0.22500000000000001</v>
      </c>
      <c r="Z360" s="237">
        <f t="shared" ca="1" si="251"/>
        <v>4.2750000000000004</v>
      </c>
      <c r="AA360" s="238"/>
      <c r="AB360" s="233" t="str">
        <f>IF(B360="insumo",_xlfn.XLOOKUP(S360,Insumos!A:A,Insumos!D:D),"")</f>
        <v xml:space="preserve"> </v>
      </c>
      <c r="AC360" s="239">
        <f t="shared" ca="1" si="252"/>
        <v>6.1328772604933254E-7</v>
      </c>
      <c r="AE360" s="240">
        <f ca="1">IFERROR(IF(OR(Z360="",Z360=0),"",IF(AF360="","",IF(AF360="R$/mês",Z360/OBRA!$D$12,IF(AF360="R$/m²",Z360/OBRA!$D$10,IF(AF360="R$/apto",Orçamento!Z360/OBRA!$D$11,""))))),"")</f>
        <v>2.199945451644942E-3</v>
      </c>
      <c r="AF360" s="241" t="s">
        <v>154</v>
      </c>
    </row>
    <row r="361" spans="1:32" s="10" customFormat="1" ht="13.15" hidden="1" customHeight="1" outlineLevel="3" collapsed="1" x14ac:dyDescent="0.2">
      <c r="A361" s="227"/>
      <c r="B361" s="228" t="s">
        <v>3</v>
      </c>
      <c r="C361" s="229" t="str">
        <f t="shared" si="250"/>
        <v/>
      </c>
      <c r="D361" s="227" t="str">
        <f t="shared" ca="1" si="245"/>
        <v>04.002.002</v>
      </c>
      <c r="E361" s="228" t="str">
        <f t="shared" ca="1" si="253"/>
        <v>04.002.001.012</v>
      </c>
      <c r="F361" s="230">
        <f ca="1">IF($B361="UNIDADE CONSTRUTIVA",OFFSET(F361,-1,0)+1,LARGE(F$10:F360,1))</f>
        <v>2</v>
      </c>
      <c r="G361" s="228" t="str">
        <f t="shared" ca="1" si="239"/>
        <v xml:space="preserve">   GERENCIAMENTO EXECUTIVO</v>
      </c>
      <c r="H361" s="230">
        <f t="shared" ca="1" si="254"/>
        <v>4</v>
      </c>
      <c r="I361" s="228" t="str">
        <f t="shared" ca="1" si="240"/>
        <v xml:space="preserve">   SUPRAESTRUTURA</v>
      </c>
      <c r="J361" s="230">
        <f t="shared" ca="1" si="255"/>
        <v>2</v>
      </c>
      <c r="K361" s="228" t="str">
        <f t="shared" ca="1" si="241"/>
        <v xml:space="preserve">   SUPRAESTRUTURA - 2º PAVIMENTO - TÉRREO</v>
      </c>
      <c r="L361" s="231">
        <f t="shared" ca="1" si="256"/>
        <v>2</v>
      </c>
      <c r="M361" s="228" t="str">
        <f t="shared" ca="1" si="242"/>
        <v xml:space="preserve">   Forma</v>
      </c>
      <c r="N361" s="231">
        <f t="shared" ca="1" si="257"/>
        <v>0</v>
      </c>
      <c r="O361" s="228" t="str">
        <f t="shared" ca="1" si="243"/>
        <v>Armacao Tela Q246 para supraestrutura</v>
      </c>
      <c r="P361" s="232" t="str">
        <f>IF(S361="","",IF(Orçamento!$B361="INSUMO",S361,""))</f>
        <v/>
      </c>
      <c r="Q361" s="244" t="str">
        <f t="shared" si="246"/>
        <v/>
      </c>
      <c r="R361" s="234">
        <f t="shared" ca="1" si="244"/>
        <v>19</v>
      </c>
      <c r="S361" s="233" t="s">
        <v>437</v>
      </c>
      <c r="T361" s="242" t="s">
        <v>35</v>
      </c>
      <c r="U361" s="235" t="str">
        <f>IF($B361="insumo",R361,"")</f>
        <v/>
      </c>
      <c r="V361" s="320" t="s">
        <v>35</v>
      </c>
      <c r="W361" s="236" t="str">
        <f>IFERROR(IF(B361="INSUMO",_xlfn.XLOOKUP(S361,Insumos!A:A,Insumos!C:C),""),"Inserir Preço")</f>
        <v/>
      </c>
      <c r="X361" s="235" t="str">
        <f t="shared" ca="1" si="247"/>
        <v/>
      </c>
      <c r="Y361" s="236" t="str">
        <f t="shared" si="258"/>
        <v/>
      </c>
      <c r="Z361" s="237">
        <f t="shared" ca="1" si="251"/>
        <v>23997.458224570517</v>
      </c>
      <c r="AA361" s="238"/>
      <c r="AB361" s="233" t="str">
        <f>IF(B361="insumo",_xlfn.XLOOKUP(S361,Insumos!A:A,Insumos!D:D),"")</f>
        <v/>
      </c>
      <c r="AC361" s="239">
        <f t="shared" ca="1" si="252"/>
        <v>3.4426541720492874E-3</v>
      </c>
      <c r="AE361" s="240">
        <f ca="1">IFERROR(IF(OR(Z361="",Z361=0),"",IF(AF361="","",IF(AF361="R$/mês",Z361/OBRA!$D$12,IF(AF361="R$/m²",Z361/OBRA!$D$10,IF(AF361="R$/apto",Orçamento!Z361/OBRA!$D$11,""))))),"")</f>
        <v>12.349262940861616</v>
      </c>
      <c r="AF361" s="241" t="s">
        <v>154</v>
      </c>
    </row>
    <row r="362" spans="1:32" s="10" customFormat="1" ht="13.15" hidden="1" customHeight="1" outlineLevel="4" x14ac:dyDescent="0.2">
      <c r="A362" s="227"/>
      <c r="B362" s="228" t="s">
        <v>4</v>
      </c>
      <c r="C362" s="229">
        <f t="shared" si="250"/>
        <v>5</v>
      </c>
      <c r="D362" s="227" t="str">
        <f t="shared" ref="D362:D398" ca="1" si="259">IF(B362="Unidade Construtiva",TEXT(F362,"00"),IF(B362="Célula Construtiva",TEXT(H362,"00"),IF(B362="Etapa",CONCATENATE(TEXT(H362,"00"),".",TEXT(J362,"000")),IF(B362="Subetapa",CONCATENATE(TEXT(H362,"00"),".",TEXT(J362,"000"),".",TEXT(L362,"000")),IF(B362="Serviço",CONCATENATE(TEXT(H362,"00"),".",TEXT(J362,"000"),".",TEXT(L362,"000"),".",TEXT(N362,"000")),"")))))</f>
        <v>04.002.002.001</v>
      </c>
      <c r="E362" s="228" t="str">
        <f t="shared" ref="E362:E398" ca="1" si="260">IF(B362="*","",IFERROR(IF(B362="SERVIÇO",D362,OFFSET(E362,-1,0)),""))</f>
        <v>04.002.002.001</v>
      </c>
      <c r="F362" s="230">
        <f ca="1">IF($B362="UNIDADE CONSTRUTIVA",OFFSET(F362,-1,0)+1,LARGE(F$10:F361,1))</f>
        <v>2</v>
      </c>
      <c r="G362" s="228" t="str">
        <f t="shared" ref="G362:G398" ca="1" si="261">IF(B362="*","",IF(B362="UNIDADE CONSTRUTIVA",S362,OFFSET(G362,-1,0)))</f>
        <v xml:space="preserve">   GERENCIAMENTO EXECUTIVO</v>
      </c>
      <c r="H362" s="230">
        <f t="shared" ref="H362:H398" ca="1" si="262">IF(B362="UNIDADE CONSTRUTIVA",0,IF(B362="CÉLULA CONSTRUTIVA",OFFSET(H362,-1,0)+1,OFFSET(H362,-1,0)))</f>
        <v>4</v>
      </c>
      <c r="I362" s="228" t="str">
        <f t="shared" ref="I362:I398" ca="1" si="263">IF(B362="*","",IF(B362="CÉLULA CONSTRUTIVA",S362,OFFSET(I362,-1,0)))</f>
        <v xml:space="preserve">   SUPRAESTRUTURA</v>
      </c>
      <c r="J362" s="230">
        <f t="shared" ref="J362:J398" ca="1" si="264">IF(B362="CÉLULA CONSTRUTIVA",0,IF(B362="ETAPA",OFFSET(J362,-1,0)+1,OFFSET(J362,-1,0)))</f>
        <v>2</v>
      </c>
      <c r="K362" s="228" t="str">
        <f t="shared" ref="K362:K398" ca="1" si="265">IF(B362="*","",IF(B362="ETAPA",S362,OFFSET(K362,-1,0)))</f>
        <v xml:space="preserve">   SUPRAESTRUTURA - 2º PAVIMENTO - TÉRREO</v>
      </c>
      <c r="L362" s="231">
        <f t="shared" ref="L362:L398" ca="1" si="266">IF(B362="ETAPA",0,IF(B362="SUBETAPA",OFFSET(L362,-1,0)+1,OFFSET(L362,-1,0)))</f>
        <v>2</v>
      </c>
      <c r="M362" s="228" t="str">
        <f t="shared" ref="M362:M398" ca="1" si="267">IF(B362="*","",IF(B362="SUBETAPA",S362,OFFSET(M362,-1,0)))</f>
        <v xml:space="preserve">   Forma</v>
      </c>
      <c r="N362" s="231">
        <f t="shared" ref="N362:N398" ca="1" si="268">IF(B362="Subetapa",0,IF(B362="serviço",OFFSET(N362,-1,0)+1,OFFSET(N362,-1,0)))</f>
        <v>1</v>
      </c>
      <c r="O362" s="228" t="str">
        <f t="shared" ref="O362:O398" ca="1" si="269">IF(B362="*","",IF(B362="SERVIÇO",S362,OFFSET(O362,-1,0)))</f>
        <v>Fabricação de fôrma para Pilares em chapa de madeira compensada plastificada e=14 mm - 2 jogos</v>
      </c>
      <c r="P362" s="232" t="str">
        <f>IF(S362="","",IF(Orçamento!$B362="INSUMO",S362,""))</f>
        <v/>
      </c>
      <c r="Q362" s="244" t="str">
        <f t="shared" ref="Q362:Q398" si="270">IF(B362="","",IF(B362="Serviço",S362,""))</f>
        <v>Fabricação de fôrma para Pilares em chapa de madeira compensada plastificada e=14 mm - 2 jogos</v>
      </c>
      <c r="R362" s="234">
        <f t="shared" ref="R362:R398" ca="1" si="271">IF(B362="serviço",U362,OFFSET(R362,-1,0))</f>
        <v>99.976999999999975</v>
      </c>
      <c r="S362" s="233" t="s">
        <v>950</v>
      </c>
      <c r="T362" s="242" t="s">
        <v>140</v>
      </c>
      <c r="U362" s="235">
        <f>U386</f>
        <v>99.976999999999975</v>
      </c>
      <c r="V362" s="320" t="s">
        <v>35</v>
      </c>
      <c r="W362" s="236" t="str">
        <f>IFERROR(IF(B362="INSUMO",_xlfn.XLOOKUP(S362,Insumos!A:A,Insumos!C:C),""),"Inserir Preço")</f>
        <v/>
      </c>
      <c r="X362" s="235">
        <f t="shared" ref="X362:X398" ca="1" si="272">IF(B362="Complemento do insumo",V362,IF(R362="","",IF(B362="serviço",R362,IF(OR(B362="insumo"),V362*R362,""))))</f>
        <v>99.976999999999975</v>
      </c>
      <c r="Y362" s="236">
        <f t="shared" ca="1" si="258"/>
        <v>108.24439999999998</v>
      </c>
      <c r="Z362" s="237">
        <f t="shared" ca="1" si="251"/>
        <v>10821.950378799997</v>
      </c>
      <c r="AA362" s="238"/>
      <c r="AB362" s="233" t="str">
        <f>IF(B362="insumo",_xlfn.XLOOKUP(S362,Insumos!A:A,Insumos!D:D),"")</f>
        <v/>
      </c>
      <c r="AC362" s="239">
        <f t="shared" ca="1" si="252"/>
        <v>1.5525074477737923E-3</v>
      </c>
      <c r="AE362" s="240">
        <f ca="1">IFERROR(IF(OR(Z362="",Z362=0),"",IF(AF362="","",IF(AF362="R$/mês",Z362/OBRA!$D$12,IF(AF362="R$/m²",Z362/OBRA!$D$10,IF(AF362="R$/apto",Orçamento!Z362/OBRA!$D$11,""))))),"")</f>
        <v>5.5690527517586679</v>
      </c>
      <c r="AF362" s="241" t="s">
        <v>154</v>
      </c>
    </row>
    <row r="363" spans="1:32" s="10" customFormat="1" ht="13.15" hidden="1" customHeight="1" outlineLevel="4" x14ac:dyDescent="0.2">
      <c r="A363" s="227"/>
      <c r="B363" s="228" t="s">
        <v>19</v>
      </c>
      <c r="C363" s="229">
        <f t="shared" si="250"/>
        <v>21</v>
      </c>
      <c r="D363" s="227" t="str">
        <f t="shared" si="259"/>
        <v/>
      </c>
      <c r="E363" s="228" t="str">
        <f t="shared" ca="1" si="260"/>
        <v>04.002.002.001</v>
      </c>
      <c r="F363" s="230">
        <f ca="1">IF($B363="UNIDADE CONSTRUTIVA",OFFSET(F363,-1,0)+1,LARGE(F$10:F362,1))</f>
        <v>2</v>
      </c>
      <c r="G363" s="228" t="str">
        <f t="shared" ca="1" si="261"/>
        <v xml:space="preserve">   GERENCIAMENTO EXECUTIVO</v>
      </c>
      <c r="H363" s="230">
        <f t="shared" ca="1" si="262"/>
        <v>4</v>
      </c>
      <c r="I363" s="228" t="str">
        <f t="shared" ca="1" si="263"/>
        <v xml:space="preserve">   SUPRAESTRUTURA</v>
      </c>
      <c r="J363" s="230">
        <f t="shared" ca="1" si="264"/>
        <v>2</v>
      </c>
      <c r="K363" s="228" t="str">
        <f t="shared" ca="1" si="265"/>
        <v xml:space="preserve">   SUPRAESTRUTURA - 2º PAVIMENTO - TÉRREO</v>
      </c>
      <c r="L363" s="231">
        <f t="shared" ca="1" si="266"/>
        <v>2</v>
      </c>
      <c r="M363" s="228" t="str">
        <f t="shared" ca="1" si="267"/>
        <v xml:space="preserve">   Forma</v>
      </c>
      <c r="N363" s="231">
        <f t="shared" ca="1" si="268"/>
        <v>1</v>
      </c>
      <c r="O363" s="228" t="str">
        <f t="shared" ca="1" si="269"/>
        <v>Fabricação de fôrma para Pilares em chapa de madeira compensada plastificada e=14 mm - 2 jogos</v>
      </c>
      <c r="P363" s="232" t="str">
        <f>IF(S363="","",IF(Orçamento!$B363="INSUMO",S363,""))</f>
        <v>COMPENSADO MADEIRA TIPO PLASTIFICADO 2200X1100X14MM NBR 1096</v>
      </c>
      <c r="Q363" s="244" t="str">
        <f t="shared" si="270"/>
        <v/>
      </c>
      <c r="R363" s="234">
        <f t="shared" ca="1" si="271"/>
        <v>99.976999999999975</v>
      </c>
      <c r="S363" s="233" t="s">
        <v>804</v>
      </c>
      <c r="T363" s="242" t="str">
        <f>_xlfn.XLOOKUP(S363,Insumos!$A$3:$A$371,Insumos!$B$3:$B$371)</f>
        <v>CH</v>
      </c>
      <c r="U363" s="235">
        <f ca="1">IF($B363="insumo",R363,"")</f>
        <v>99.976999999999975</v>
      </c>
      <c r="V363" s="320">
        <f>ROUNDUP(1.3/(2.2*1.1),4)</f>
        <v>0.53720000000000001</v>
      </c>
      <c r="W363" s="236">
        <f>IFERROR(IF(B363="INSUMO",_xlfn.XLOOKUP(S363,Insumos!A:A,Insumos!C:C),""),"Inserir Preço")</f>
        <v>132</v>
      </c>
      <c r="X363" s="235">
        <f t="shared" ca="1" si="272"/>
        <v>53.707644399999985</v>
      </c>
      <c r="Y363" s="236">
        <f t="shared" si="258"/>
        <v>70.910399999999996</v>
      </c>
      <c r="Z363" s="237">
        <f t="shared" ca="1" si="251"/>
        <v>7089.4090607999979</v>
      </c>
      <c r="AA363" s="238"/>
      <c r="AB363" s="233" t="str">
        <f>IF(B363="insumo",_xlfn.XLOOKUP(S363,Insumos!A:A,Insumos!D:D),"")</f>
        <v xml:space="preserve"> </v>
      </c>
      <c r="AC363" s="239">
        <f t="shared" ca="1" si="252"/>
        <v>1.0170403653641086E-3</v>
      </c>
      <c r="AE363" s="240">
        <f ca="1">IFERROR(IF(OR(Z363="",Z363=0),"",IF(AF363="","",IF(AF363="R$/mês",Z363/OBRA!$D$12,IF(AF363="R$/m²",Z363/OBRA!$D$10,IF(AF363="R$/apto",Orçamento!Z363/OBRA!$D$11,""))))),"")</f>
        <v>3.6482604019081619</v>
      </c>
      <c r="AF363" s="241" t="s">
        <v>154</v>
      </c>
    </row>
    <row r="364" spans="1:32" s="10" customFormat="1" ht="13.15" hidden="1" customHeight="1" outlineLevel="4" x14ac:dyDescent="0.2">
      <c r="A364" s="227"/>
      <c r="B364" s="228" t="s">
        <v>19</v>
      </c>
      <c r="C364" s="229">
        <f t="shared" si="250"/>
        <v>26</v>
      </c>
      <c r="D364" s="227" t="str">
        <f t="shared" si="259"/>
        <v/>
      </c>
      <c r="E364" s="228" t="str">
        <f t="shared" ca="1" si="260"/>
        <v>04.002.002.001</v>
      </c>
      <c r="F364" s="230">
        <f ca="1">IF($B364="UNIDADE CONSTRUTIVA",OFFSET(F364,-1,0)+1,LARGE(F$10:F363,1))</f>
        <v>2</v>
      </c>
      <c r="G364" s="228" t="str">
        <f t="shared" ca="1" si="261"/>
        <v xml:space="preserve">   GERENCIAMENTO EXECUTIVO</v>
      </c>
      <c r="H364" s="230">
        <f t="shared" ca="1" si="262"/>
        <v>4</v>
      </c>
      <c r="I364" s="228" t="str">
        <f t="shared" ca="1" si="263"/>
        <v xml:space="preserve">   SUPRAESTRUTURA</v>
      </c>
      <c r="J364" s="230">
        <f t="shared" ca="1" si="264"/>
        <v>2</v>
      </c>
      <c r="K364" s="228" t="str">
        <f t="shared" ca="1" si="265"/>
        <v xml:space="preserve">   SUPRAESTRUTURA - 2º PAVIMENTO - TÉRREO</v>
      </c>
      <c r="L364" s="231">
        <f t="shared" ca="1" si="266"/>
        <v>2</v>
      </c>
      <c r="M364" s="228" t="str">
        <f t="shared" ca="1" si="267"/>
        <v xml:space="preserve">   Forma</v>
      </c>
      <c r="N364" s="231">
        <f t="shared" ca="1" si="268"/>
        <v>1</v>
      </c>
      <c r="O364" s="228" t="str">
        <f t="shared" ca="1" si="269"/>
        <v>Fabricação de fôrma para Pilares em chapa de madeira compensada plastificada e=14 mm - 2 jogos</v>
      </c>
      <c r="P364" s="232" t="str">
        <f>IF(S364="","",IF(Orçamento!$B364="INSUMO",S364,""))</f>
        <v>MADEIRA PINUS/SIMILAR - PONTALETE 75X75MM NBR 11700/15696</v>
      </c>
      <c r="Q364" s="244" t="str">
        <f t="shared" si="270"/>
        <v/>
      </c>
      <c r="R364" s="234">
        <f t="shared" ca="1" si="271"/>
        <v>99.976999999999975</v>
      </c>
      <c r="S364" s="233" t="s">
        <v>807</v>
      </c>
      <c r="T364" s="242" t="str">
        <f>_xlfn.XLOOKUP(S364,Insumos!$A$3:$A$371,Insumos!$B$3:$B$371)</f>
        <v>M</v>
      </c>
      <c r="U364" s="235">
        <f ca="1">IF($B364="insumo",R364,"")</f>
        <v>99.976999999999975</v>
      </c>
      <c r="V364" s="320">
        <v>2.3079999999999998</v>
      </c>
      <c r="W364" s="236">
        <f>IFERROR(IF(B364="INSUMO",_xlfn.XLOOKUP(S364,Insumos!A:A,Insumos!C:C),""),"Inserir Preço")</f>
        <v>7</v>
      </c>
      <c r="X364" s="235">
        <f t="shared" ca="1" si="272"/>
        <v>230.74691599999991</v>
      </c>
      <c r="Y364" s="236">
        <f t="shared" si="258"/>
        <v>16.155999999999999</v>
      </c>
      <c r="Z364" s="237">
        <f t="shared" ca="1" si="251"/>
        <v>1615.2284119999995</v>
      </c>
      <c r="AA364" s="238"/>
      <c r="AB364" s="233" t="str">
        <f>IF(B364="insumo",_xlfn.XLOOKUP(S364,Insumos!A:A,Insumos!D:D),"")</f>
        <v xml:space="preserve"> </v>
      </c>
      <c r="AC364" s="239">
        <f t="shared" ca="1" si="252"/>
        <v>2.3171924206918221E-4</v>
      </c>
      <c r="AE364" s="240">
        <f ca="1">IFERROR(IF(OR(Z364="",Z364=0),"",IF(AF364="","",IF(AF364="R$/mês",Z364/OBRA!$D$12,IF(AF364="R$/m²",Z364/OBRA!$D$10,IF(AF364="R$/apto",Orçamento!Z364/OBRA!$D$11,""))))),"")</f>
        <v>0.83120804639697798</v>
      </c>
      <c r="AF364" s="241" t="s">
        <v>154</v>
      </c>
    </row>
    <row r="365" spans="1:32" s="10" customFormat="1" ht="13.15" hidden="1" customHeight="1" outlineLevel="4" x14ac:dyDescent="0.2">
      <c r="A365" s="227"/>
      <c r="B365" s="228" t="s">
        <v>19</v>
      </c>
      <c r="C365" s="229">
        <f t="shared" si="250"/>
        <v>10</v>
      </c>
      <c r="D365" s="227" t="str">
        <f t="shared" ref="D365:D379" si="273">IF(B365="Unidade Construtiva",TEXT(F365,"00"),IF(B365="Célula Construtiva",TEXT(H365,"00"),IF(B365="Etapa",CONCATENATE(TEXT(H365,"00"),".",TEXT(J365,"000")),IF(B365="Subetapa",CONCATENATE(TEXT(H365,"00"),".",TEXT(J365,"000"),".",TEXT(L365,"000")),IF(B365="Serviço",CONCATENATE(TEXT(H365,"00"),".",TEXT(J365,"000"),".",TEXT(L365,"000"),".",TEXT(N365,"000")),"")))))</f>
        <v/>
      </c>
      <c r="E365" s="228" t="str">
        <f t="shared" ref="E365:E379" ca="1" si="274">IF(B365="*","",IFERROR(IF(B365="SERVIÇO",D365,OFFSET(E365,-1,0)),""))</f>
        <v>04.002.002.001</v>
      </c>
      <c r="F365" s="230">
        <f ca="1">IF($B365="UNIDADE CONSTRUTIVA",OFFSET(F365,-1,0)+1,LARGE(F$10:F364,1))</f>
        <v>2</v>
      </c>
      <c r="G365" s="228" t="str">
        <f t="shared" ref="G365:G379" ca="1" si="275">IF(B365="*","",IF(B365="UNIDADE CONSTRUTIVA",S365,OFFSET(G365,-1,0)))</f>
        <v xml:space="preserve">   GERENCIAMENTO EXECUTIVO</v>
      </c>
      <c r="H365" s="230">
        <f t="shared" ref="H365:H379" ca="1" si="276">IF(B365="UNIDADE CONSTRUTIVA",0,IF(B365="CÉLULA CONSTRUTIVA",OFFSET(H365,-1,0)+1,OFFSET(H365,-1,0)))</f>
        <v>4</v>
      </c>
      <c r="I365" s="228" t="str">
        <f t="shared" ref="I365:I379" ca="1" si="277">IF(B365="*","",IF(B365="CÉLULA CONSTRUTIVA",S365,OFFSET(I365,-1,0)))</f>
        <v xml:space="preserve">   SUPRAESTRUTURA</v>
      </c>
      <c r="J365" s="230">
        <f t="shared" ref="J365:J379" ca="1" si="278">IF(B365="CÉLULA CONSTRUTIVA",0,IF(B365="ETAPA",OFFSET(J365,-1,0)+1,OFFSET(J365,-1,0)))</f>
        <v>2</v>
      </c>
      <c r="K365" s="228" t="str">
        <f t="shared" ref="K365:K379" ca="1" si="279">IF(B365="*","",IF(B365="ETAPA",S365,OFFSET(K365,-1,0)))</f>
        <v xml:space="preserve">   SUPRAESTRUTURA - 2º PAVIMENTO - TÉRREO</v>
      </c>
      <c r="L365" s="231">
        <f t="shared" ref="L365:L379" ca="1" si="280">IF(B365="ETAPA",0,IF(B365="SUBETAPA",OFFSET(L365,-1,0)+1,OFFSET(L365,-1,0)))</f>
        <v>2</v>
      </c>
      <c r="M365" s="228" t="str">
        <f t="shared" ref="M365:M379" ca="1" si="281">IF(B365="*","",IF(B365="SUBETAPA",S365,OFFSET(M365,-1,0)))</f>
        <v xml:space="preserve">   Forma</v>
      </c>
      <c r="N365" s="231">
        <f t="shared" ref="N365:N379" ca="1" si="282">IF(B365="Subetapa",0,IF(B365="serviço",OFFSET(N365,-1,0)+1,OFFSET(N365,-1,0)))</f>
        <v>1</v>
      </c>
      <c r="O365" s="228" t="str">
        <f t="shared" ref="O365:O379" ca="1" si="283">IF(B365="*","",IF(B365="SERVIÇO",S365,OFFSET(O365,-1,0)))</f>
        <v>Fabricação de fôrma para Pilares em chapa de madeira compensada plastificada e=14 mm - 2 jogos</v>
      </c>
      <c r="P365" s="232" t="str">
        <f>IF(S365="","",IF(Orçamento!$B365="INSUMO",S365,""))</f>
        <v>MADEIRA PINUS/SIMILAR - SARRAFO PINUS 50X10MM NBR 11700</v>
      </c>
      <c r="Q365" s="244" t="str">
        <f t="shared" ref="Q365:Q379" si="284">IF(B365="","",IF(B365="Serviço",S365,""))</f>
        <v/>
      </c>
      <c r="R365" s="234">
        <f t="shared" ref="R365:R379" ca="1" si="285">IF(B365="serviço",U365,OFFSET(R365,-1,0))</f>
        <v>99.976999999999975</v>
      </c>
      <c r="S365" s="233" t="s">
        <v>806</v>
      </c>
      <c r="T365" s="242" t="str">
        <f>_xlfn.XLOOKUP(S365,Insumos!$A$3:$A$371,Insumos!$B$3:$B$371)</f>
        <v>M</v>
      </c>
      <c r="U365" s="235">
        <f ca="1">IF($B365="insumo",R365,"")</f>
        <v>99.976999999999975</v>
      </c>
      <c r="V365" s="320">
        <v>9.2370000000000001</v>
      </c>
      <c r="W365" s="236">
        <f>IFERROR(IF(B365="INSUMO",_xlfn.XLOOKUP(S365,Insumos!A:A,Insumos!C:C),""),"Inserir Preço")</f>
        <v>2</v>
      </c>
      <c r="X365" s="235">
        <f t="shared" ca="1" si="272"/>
        <v>923.48754899999983</v>
      </c>
      <c r="Y365" s="236">
        <f t="shared" si="258"/>
        <v>18.474</v>
      </c>
      <c r="Z365" s="237">
        <f t="shared" ca="1" si="251"/>
        <v>1846.9750979999997</v>
      </c>
      <c r="AA365" s="238"/>
      <c r="AB365" s="233" t="str">
        <f>IF(B365="insumo",_xlfn.XLOOKUP(S365,Insumos!A:A,Insumos!D:D),"")</f>
        <v>Base de Dados</v>
      </c>
      <c r="AC365" s="239">
        <f t="shared" ca="1" si="252"/>
        <v>2.6496541705781584E-4</v>
      </c>
      <c r="AE365" s="240">
        <f ca="1">IFERROR(IF(OR(Z365="",Z365=0),"",IF(AF365="","",IF(AF365="R$/mês",Z365/OBRA!$D$12,IF(AF365="R$/m²",Z365/OBRA!$D$10,IF(AF365="R$/apto",Orçamento!Z365/OBRA!$D$11,""))))),"")</f>
        <v>0.95046654178867129</v>
      </c>
      <c r="AF365" s="241" t="s">
        <v>154</v>
      </c>
    </row>
    <row r="366" spans="1:32" s="10" customFormat="1" ht="13.15" hidden="1" customHeight="1" outlineLevel="4" x14ac:dyDescent="0.2">
      <c r="A366" s="227"/>
      <c r="B366" s="228" t="s">
        <v>19</v>
      </c>
      <c r="C366" s="229">
        <f t="shared" si="250"/>
        <v>44</v>
      </c>
      <c r="D366" s="227" t="str">
        <f t="shared" si="273"/>
        <v/>
      </c>
      <c r="E366" s="228" t="str">
        <f t="shared" ca="1" si="274"/>
        <v>04.002.002.001</v>
      </c>
      <c r="F366" s="230">
        <f ca="1">IF($B366="UNIDADE CONSTRUTIVA",OFFSET(F366,-1,0)+1,LARGE(F$10:F365,1))</f>
        <v>2</v>
      </c>
      <c r="G366" s="228" t="str">
        <f t="shared" ca="1" si="275"/>
        <v xml:space="preserve">   GERENCIAMENTO EXECUTIVO</v>
      </c>
      <c r="H366" s="230">
        <f t="shared" ca="1" si="276"/>
        <v>4</v>
      </c>
      <c r="I366" s="228" t="str">
        <f t="shared" ca="1" si="277"/>
        <v xml:space="preserve">   SUPRAESTRUTURA</v>
      </c>
      <c r="J366" s="230">
        <f t="shared" ca="1" si="278"/>
        <v>2</v>
      </c>
      <c r="K366" s="228" t="str">
        <f t="shared" ca="1" si="279"/>
        <v xml:space="preserve">   SUPRAESTRUTURA - 2º PAVIMENTO - TÉRREO</v>
      </c>
      <c r="L366" s="231">
        <f t="shared" ca="1" si="280"/>
        <v>2</v>
      </c>
      <c r="M366" s="228" t="str">
        <f t="shared" ca="1" si="281"/>
        <v xml:space="preserve">   Forma</v>
      </c>
      <c r="N366" s="231">
        <f t="shared" ca="1" si="282"/>
        <v>1</v>
      </c>
      <c r="O366" s="228" t="str">
        <f t="shared" ca="1" si="283"/>
        <v>Fabricação de fôrma para Pilares em chapa de madeira compensada plastificada e=14 mm - 2 jogos</v>
      </c>
      <c r="P366" s="232" t="str">
        <f>IF(S366="","",IF(Orçamento!$B366="INSUMO",S366,""))</f>
        <v>PREGO 17 x 21 COM CABECA</v>
      </c>
      <c r="Q366" s="244" t="str">
        <f t="shared" si="284"/>
        <v/>
      </c>
      <c r="R366" s="234">
        <f t="shared" ca="1" si="285"/>
        <v>99.976999999999975</v>
      </c>
      <c r="S366" s="233" t="s">
        <v>173</v>
      </c>
      <c r="T366" s="242" t="str">
        <f>_xlfn.XLOOKUP(S366,Insumos!$A$3:$A$371,Insumos!$B$3:$B$371)</f>
        <v>KG</v>
      </c>
      <c r="U366" s="235">
        <f ca="1">IF($B366="insumo",R366,"")</f>
        <v>99.976999999999975</v>
      </c>
      <c r="V366" s="320">
        <v>0.20799999999999999</v>
      </c>
      <c r="W366" s="236">
        <f>IFERROR(IF(B366="INSUMO",_xlfn.XLOOKUP(S366,Insumos!A:A,Insumos!C:C),""),"Inserir Preço")</f>
        <v>13</v>
      </c>
      <c r="X366" s="235">
        <f t="shared" ca="1" si="272"/>
        <v>20.795215999999993</v>
      </c>
      <c r="Y366" s="236">
        <f t="shared" si="258"/>
        <v>2.7039999999999997</v>
      </c>
      <c r="Z366" s="237">
        <f t="shared" ca="1" si="251"/>
        <v>270.33780799999988</v>
      </c>
      <c r="AA366" s="238"/>
      <c r="AB366" s="233" t="str">
        <f>IF(B366="insumo",_xlfn.XLOOKUP(S366,Insumos!A:A,Insumos!D:D),"")</f>
        <v xml:space="preserve"> </v>
      </c>
      <c r="AC366" s="239">
        <f t="shared" ca="1" si="252"/>
        <v>3.8782423282685604E-5</v>
      </c>
      <c r="AE366" s="240">
        <f ca="1">IFERROR(IF(OR(Z366="",Z366=0),"",IF(AF366="","",IF(AF366="R$/mês",Z366/OBRA!$D$12,IF(AF366="R$/m²",Z366/OBRA!$D$10,IF(AF366="R$/apto",Orçamento!Z366/OBRA!$D$11,""))))),"")</f>
        <v>0.1391177616648569</v>
      </c>
      <c r="AF366" s="241" t="s">
        <v>154</v>
      </c>
    </row>
    <row r="367" spans="1:32" s="10" customFormat="1" ht="13.15" hidden="1" customHeight="1" outlineLevel="4" x14ac:dyDescent="0.2">
      <c r="A367" s="227"/>
      <c r="B367" s="228" t="s">
        <v>4</v>
      </c>
      <c r="C367" s="229">
        <f t="shared" si="250"/>
        <v>5</v>
      </c>
      <c r="D367" s="227" t="str">
        <f t="shared" ca="1" si="273"/>
        <v>04.002.002.002</v>
      </c>
      <c r="E367" s="228" t="str">
        <f t="shared" ca="1" si="274"/>
        <v>04.002.002.002</v>
      </c>
      <c r="F367" s="230">
        <f ca="1">IF($B367="UNIDADE CONSTRUTIVA",OFFSET(F367,-1,0)+1,LARGE(F$10:F366,1))</f>
        <v>2</v>
      </c>
      <c r="G367" s="228" t="str">
        <f t="shared" ca="1" si="275"/>
        <v xml:space="preserve">   GERENCIAMENTO EXECUTIVO</v>
      </c>
      <c r="H367" s="230">
        <f t="shared" ca="1" si="276"/>
        <v>4</v>
      </c>
      <c r="I367" s="228" t="str">
        <f t="shared" ca="1" si="277"/>
        <v xml:space="preserve">   SUPRAESTRUTURA</v>
      </c>
      <c r="J367" s="230">
        <f t="shared" ca="1" si="278"/>
        <v>2</v>
      </c>
      <c r="K367" s="228" t="str">
        <f t="shared" ca="1" si="279"/>
        <v xml:space="preserve">   SUPRAESTRUTURA - 2º PAVIMENTO - TÉRREO</v>
      </c>
      <c r="L367" s="231">
        <f t="shared" ca="1" si="280"/>
        <v>2</v>
      </c>
      <c r="M367" s="228" t="str">
        <f t="shared" ca="1" si="281"/>
        <v xml:space="preserve">   Forma</v>
      </c>
      <c r="N367" s="231">
        <f t="shared" ca="1" si="282"/>
        <v>2</v>
      </c>
      <c r="O367" s="228" t="str">
        <f t="shared" ca="1" si="283"/>
        <v>Fabricação de fôrma para vigas em chapa de madeira compensada plastificada e=14 mm - 2 jogos</v>
      </c>
      <c r="P367" s="232" t="str">
        <f>IF(S367="","",IF(Orçamento!$B367="INSUMO",S367,""))</f>
        <v/>
      </c>
      <c r="Q367" s="244" t="str">
        <f t="shared" si="284"/>
        <v>Fabricação de fôrma para vigas em chapa de madeira compensada plastificada e=14 mm - 2 jogos</v>
      </c>
      <c r="R367" s="234">
        <f t="shared" ca="1" si="285"/>
        <v>87.815637199999998</v>
      </c>
      <c r="S367" s="233" t="s">
        <v>952</v>
      </c>
      <c r="T367" s="242" t="s">
        <v>140</v>
      </c>
      <c r="U367" s="235">
        <f>U390</f>
        <v>87.815637199999998</v>
      </c>
      <c r="V367" s="320" t="s">
        <v>35</v>
      </c>
      <c r="W367" s="236" t="str">
        <f>IFERROR(IF(B367="INSUMO",_xlfn.XLOOKUP(S367,Insumos!A:A,Insumos!C:C),""),"Inserir Preço")</f>
        <v/>
      </c>
      <c r="X367" s="235">
        <f t="shared" ca="1" si="272"/>
        <v>87.815637199999998</v>
      </c>
      <c r="Y367" s="236">
        <f t="shared" ca="1" si="258"/>
        <v>88.057400000000001</v>
      </c>
      <c r="Z367" s="237">
        <f t="shared" ca="1" si="251"/>
        <v>7732.8166911752796</v>
      </c>
      <c r="AA367" s="238"/>
      <c r="AB367" s="233" t="str">
        <f>IF(B367="insumo",_xlfn.XLOOKUP(S367,Insumos!A:A,Insumos!D:D),"")</f>
        <v/>
      </c>
      <c r="AC367" s="239">
        <f t="shared" ca="1" si="252"/>
        <v>1.1093430560204E-3</v>
      </c>
      <c r="AE367" s="240">
        <f ca="1">IFERROR(IF(OR(Z367="",Z367=0),"",IF(AF367="","",IF(AF367="R$/mês",Z367/OBRA!$D$12,IF(AF367="R$/m²",Z367/OBRA!$D$10,IF(AF367="R$/apto",Orçamento!Z367/OBRA!$D$11,""))))),"")</f>
        <v>3.9793625516152384</v>
      </c>
      <c r="AF367" s="241" t="s">
        <v>154</v>
      </c>
    </row>
    <row r="368" spans="1:32" s="10" customFormat="1" ht="13.15" hidden="1" customHeight="1" outlineLevel="4" x14ac:dyDescent="0.2">
      <c r="A368" s="227"/>
      <c r="B368" s="228" t="s">
        <v>19</v>
      </c>
      <c r="C368" s="229">
        <f t="shared" si="250"/>
        <v>21</v>
      </c>
      <c r="D368" s="227" t="str">
        <f t="shared" si="273"/>
        <v/>
      </c>
      <c r="E368" s="228" t="str">
        <f t="shared" ca="1" si="274"/>
        <v>04.002.002.002</v>
      </c>
      <c r="F368" s="230">
        <f ca="1">IF($B368="UNIDADE CONSTRUTIVA",OFFSET(F368,-1,0)+1,LARGE(F$10:F367,1))</f>
        <v>2</v>
      </c>
      <c r="G368" s="228" t="str">
        <f t="shared" ca="1" si="275"/>
        <v xml:space="preserve">   GERENCIAMENTO EXECUTIVO</v>
      </c>
      <c r="H368" s="230">
        <f t="shared" ca="1" si="276"/>
        <v>4</v>
      </c>
      <c r="I368" s="228" t="str">
        <f t="shared" ca="1" si="277"/>
        <v xml:space="preserve">   SUPRAESTRUTURA</v>
      </c>
      <c r="J368" s="230">
        <f t="shared" ca="1" si="278"/>
        <v>2</v>
      </c>
      <c r="K368" s="228" t="str">
        <f t="shared" ca="1" si="279"/>
        <v xml:space="preserve">   SUPRAESTRUTURA - 2º PAVIMENTO - TÉRREO</v>
      </c>
      <c r="L368" s="231">
        <f t="shared" ca="1" si="280"/>
        <v>2</v>
      </c>
      <c r="M368" s="228" t="str">
        <f t="shared" ca="1" si="281"/>
        <v xml:space="preserve">   Forma</v>
      </c>
      <c r="N368" s="231">
        <f t="shared" ca="1" si="282"/>
        <v>2</v>
      </c>
      <c r="O368" s="228" t="str">
        <f t="shared" ca="1" si="283"/>
        <v>Fabricação de fôrma para vigas em chapa de madeira compensada plastificada e=14 mm - 2 jogos</v>
      </c>
      <c r="P368" s="232" t="str">
        <f>IF(S368="","",IF(Orçamento!$B368="INSUMO",S368,""))</f>
        <v>COMPENSADO MADEIRA TIPO PLASTIFICADO 2200X1100X14MM NBR 1096</v>
      </c>
      <c r="Q368" s="244" t="str">
        <f t="shared" si="284"/>
        <v/>
      </c>
      <c r="R368" s="234">
        <f t="shared" ca="1" si="285"/>
        <v>87.815637199999998</v>
      </c>
      <c r="S368" s="233" t="s">
        <v>804</v>
      </c>
      <c r="T368" s="242" t="str">
        <f>_xlfn.XLOOKUP(S368,Insumos!$A$3:$A$371,Insumos!$B$3:$B$371)</f>
        <v>CH</v>
      </c>
      <c r="U368" s="235">
        <f ca="1">IF($B368="insumo",R368,"")</f>
        <v>87.815637199999998</v>
      </c>
      <c r="V368" s="320">
        <f>ROUNDUP(1.3/(2.2*1.1),4)</f>
        <v>0.53720000000000001</v>
      </c>
      <c r="W368" s="236">
        <f>IFERROR(IF(B368="INSUMO",_xlfn.XLOOKUP(S368,Insumos!A:A,Insumos!C:C),""),"Inserir Preço")</f>
        <v>132</v>
      </c>
      <c r="X368" s="235">
        <f t="shared" ca="1" si="272"/>
        <v>47.174560303839996</v>
      </c>
      <c r="Y368" s="236">
        <f t="shared" si="258"/>
        <v>70.910399999999996</v>
      </c>
      <c r="Z368" s="237">
        <f t="shared" ca="1" si="251"/>
        <v>6227.0419601068797</v>
      </c>
      <c r="AA368" s="238"/>
      <c r="AB368" s="233" t="str">
        <f>IF(B368="insumo",_xlfn.XLOOKUP(S368,Insumos!A:A,Insumos!D:D),"")</f>
        <v xml:space="preserve"> </v>
      </c>
      <c r="AC368" s="239">
        <f t="shared" ca="1" si="252"/>
        <v>8.9332594239245058E-4</v>
      </c>
      <c r="AE368" s="240">
        <f ca="1">IFERROR(IF(OR(Z368="",Z368=0),"",IF(AF368="","",IF(AF368="R$/mês",Z368/OBRA!$D$12,IF(AF368="R$/m²",Z368/OBRA!$D$10,IF(AF368="R$/apto",Orçamento!Z368/OBRA!$D$11,""))))),"")</f>
        <v>3.2044801490852239</v>
      </c>
      <c r="AF368" s="241" t="s">
        <v>154</v>
      </c>
    </row>
    <row r="369" spans="1:32" s="10" customFormat="1" ht="13.15" hidden="1" customHeight="1" outlineLevel="4" x14ac:dyDescent="0.2">
      <c r="A369" s="227"/>
      <c r="B369" s="228" t="s">
        <v>19</v>
      </c>
      <c r="C369" s="229">
        <f t="shared" si="250"/>
        <v>26</v>
      </c>
      <c r="D369" s="227" t="str">
        <f t="shared" si="273"/>
        <v/>
      </c>
      <c r="E369" s="228" t="str">
        <f t="shared" ca="1" si="274"/>
        <v>04.002.002.002</v>
      </c>
      <c r="F369" s="230">
        <f ca="1">IF($B369="UNIDADE CONSTRUTIVA",OFFSET(F369,-1,0)+1,LARGE(F$10:F368,1))</f>
        <v>2</v>
      </c>
      <c r="G369" s="228" t="str">
        <f t="shared" ca="1" si="275"/>
        <v xml:space="preserve">   GERENCIAMENTO EXECUTIVO</v>
      </c>
      <c r="H369" s="230">
        <f t="shared" ca="1" si="276"/>
        <v>4</v>
      </c>
      <c r="I369" s="228" t="str">
        <f t="shared" ca="1" si="277"/>
        <v xml:space="preserve">   SUPRAESTRUTURA</v>
      </c>
      <c r="J369" s="230">
        <f t="shared" ca="1" si="278"/>
        <v>2</v>
      </c>
      <c r="K369" s="228" t="str">
        <f t="shared" ca="1" si="279"/>
        <v xml:space="preserve">   SUPRAESTRUTURA - 2º PAVIMENTO - TÉRREO</v>
      </c>
      <c r="L369" s="231">
        <f t="shared" ca="1" si="280"/>
        <v>2</v>
      </c>
      <c r="M369" s="228" t="str">
        <f t="shared" ca="1" si="281"/>
        <v xml:space="preserve">   Forma</v>
      </c>
      <c r="N369" s="231">
        <f t="shared" ca="1" si="282"/>
        <v>2</v>
      </c>
      <c r="O369" s="228" t="str">
        <f t="shared" ca="1" si="283"/>
        <v>Fabricação de fôrma para vigas em chapa de madeira compensada plastificada e=14 mm - 2 jogos</v>
      </c>
      <c r="P369" s="232" t="str">
        <f>IF(S369="","",IF(Orçamento!$B369="INSUMO",S369,""))</f>
        <v>MADEIRA PINUS/SIMILAR - PONTALETE 75X75MM NBR 11700/15696</v>
      </c>
      <c r="Q369" s="244" t="str">
        <f t="shared" si="284"/>
        <v/>
      </c>
      <c r="R369" s="234">
        <f t="shared" ca="1" si="285"/>
        <v>87.815637199999998</v>
      </c>
      <c r="S369" s="233" t="s">
        <v>807</v>
      </c>
      <c r="T369" s="242" t="str">
        <f>_xlfn.XLOOKUP(S369,Insumos!$A$3:$A$371,Insumos!$B$3:$B$371)</f>
        <v>M</v>
      </c>
      <c r="U369" s="235">
        <f ca="1">IF($B369="insumo",R369,"")</f>
        <v>87.815637199999998</v>
      </c>
      <c r="V369" s="320">
        <v>0.16800000000000001</v>
      </c>
      <c r="W369" s="236">
        <f>IFERROR(IF(B369="INSUMO",_xlfn.XLOOKUP(S369,Insumos!A:A,Insumos!C:C),""),"Inserir Preço")</f>
        <v>7</v>
      </c>
      <c r="X369" s="235">
        <f t="shared" ca="1" si="272"/>
        <v>14.7530270496</v>
      </c>
      <c r="Y369" s="236">
        <f t="shared" si="258"/>
        <v>1.1760000000000002</v>
      </c>
      <c r="Z369" s="237">
        <f t="shared" ca="1" si="251"/>
        <v>103.27118934719999</v>
      </c>
      <c r="AA369" s="238"/>
      <c r="AB369" s="233" t="str">
        <f>IF(B369="insumo",_xlfn.XLOOKUP(S369,Insumos!A:A,Insumos!D:D),"")</f>
        <v xml:space="preserve"> </v>
      </c>
      <c r="AC369" s="239">
        <f t="shared" ca="1" si="252"/>
        <v>1.4815193656410369E-5</v>
      </c>
      <c r="AE369" s="240">
        <f ca="1">IFERROR(IF(OR(Z369="",Z369=0),"",IF(AF369="","",IF(AF369="R$/mês",Z369/OBRA!$D$12,IF(AF369="R$/m²",Z369/OBRA!$D$10,IF(AF369="R$/apto",Orçamento!Z369/OBRA!$D$11,""))))),"")</f>
        <v>5.3144089658558172E-2</v>
      </c>
      <c r="AF369" s="241" t="s">
        <v>154</v>
      </c>
    </row>
    <row r="370" spans="1:32" s="10" customFormat="1" ht="13.15" hidden="1" customHeight="1" outlineLevel="4" x14ac:dyDescent="0.2">
      <c r="A370" s="227"/>
      <c r="B370" s="228" t="s">
        <v>19</v>
      </c>
      <c r="C370" s="229">
        <f t="shared" si="250"/>
        <v>10</v>
      </c>
      <c r="D370" s="227" t="str">
        <f t="shared" si="273"/>
        <v/>
      </c>
      <c r="E370" s="228" t="str">
        <f t="shared" ca="1" si="274"/>
        <v>04.002.002.002</v>
      </c>
      <c r="F370" s="230">
        <f ca="1">IF($B370="UNIDADE CONSTRUTIVA",OFFSET(F370,-1,0)+1,LARGE(F$10:F369,1))</f>
        <v>2</v>
      </c>
      <c r="G370" s="228" t="str">
        <f t="shared" ca="1" si="275"/>
        <v xml:space="preserve">   GERENCIAMENTO EXECUTIVO</v>
      </c>
      <c r="H370" s="230">
        <f t="shared" ca="1" si="276"/>
        <v>4</v>
      </c>
      <c r="I370" s="228" t="str">
        <f t="shared" ca="1" si="277"/>
        <v xml:space="preserve">   SUPRAESTRUTURA</v>
      </c>
      <c r="J370" s="230">
        <f t="shared" ca="1" si="278"/>
        <v>2</v>
      </c>
      <c r="K370" s="228" t="str">
        <f t="shared" ca="1" si="279"/>
        <v xml:space="preserve">   SUPRAESTRUTURA - 2º PAVIMENTO - TÉRREO</v>
      </c>
      <c r="L370" s="231">
        <f t="shared" ca="1" si="280"/>
        <v>2</v>
      </c>
      <c r="M370" s="228" t="str">
        <f t="shared" ca="1" si="281"/>
        <v xml:space="preserve">   Forma</v>
      </c>
      <c r="N370" s="231">
        <f t="shared" ca="1" si="282"/>
        <v>2</v>
      </c>
      <c r="O370" s="228" t="str">
        <f t="shared" ca="1" si="283"/>
        <v>Fabricação de fôrma para vigas em chapa de madeira compensada plastificada e=14 mm - 2 jogos</v>
      </c>
      <c r="P370" s="232" t="str">
        <f>IF(S370="","",IF(Orçamento!$B370="INSUMO",S370,""))</f>
        <v>MADEIRA PINUS/SIMILAR - SARRAFO PINUS 50X10MM NBR 11700</v>
      </c>
      <c r="Q370" s="244" t="str">
        <f t="shared" si="284"/>
        <v/>
      </c>
      <c r="R370" s="234">
        <f t="shared" ca="1" si="285"/>
        <v>87.815637199999998</v>
      </c>
      <c r="S370" s="233" t="s">
        <v>806</v>
      </c>
      <c r="T370" s="242" t="str">
        <f>_xlfn.XLOOKUP(S370,Insumos!$A$3:$A$371,Insumos!$B$3:$B$371)</f>
        <v>M</v>
      </c>
      <c r="U370" s="235">
        <f ca="1">IF($B370="insumo",R370,"")</f>
        <v>87.815637199999998</v>
      </c>
      <c r="V370" s="320">
        <v>6.952</v>
      </c>
      <c r="W370" s="236">
        <f>IFERROR(IF(B370="INSUMO",_xlfn.XLOOKUP(S370,Insumos!A:A,Insumos!C:C),""),"Inserir Preço")</f>
        <v>2</v>
      </c>
      <c r="X370" s="235">
        <f t="shared" ca="1" si="272"/>
        <v>610.49430981440003</v>
      </c>
      <c r="Y370" s="236">
        <f t="shared" si="258"/>
        <v>13.904</v>
      </c>
      <c r="Z370" s="237">
        <f t="shared" ca="1" si="251"/>
        <v>1220.9886196288001</v>
      </c>
      <c r="AA370" s="238"/>
      <c r="AB370" s="233" t="str">
        <f>IF(B370="insumo",_xlfn.XLOOKUP(S370,Insumos!A:A,Insumos!D:D),"")</f>
        <v>Base de Dados</v>
      </c>
      <c r="AC370" s="239">
        <f t="shared" ca="1" si="252"/>
        <v>1.7516194948871583E-4</v>
      </c>
      <c r="AE370" s="240">
        <f ca="1">IFERROR(IF(OR(Z370="",Z370=0),"",IF(AF370="","",IF(AF370="R$/mês",Z370/OBRA!$D$12,IF(AF370="R$/m²",Z370/OBRA!$D$10,IF(AF370="R$/apto",Orçamento!Z370/OBRA!$D$11,""))))),"")</f>
        <v>0.62832944099710275</v>
      </c>
      <c r="AF370" s="241" t="s">
        <v>154</v>
      </c>
    </row>
    <row r="371" spans="1:32" s="10" customFormat="1" ht="13.15" hidden="1" customHeight="1" outlineLevel="4" x14ac:dyDescent="0.2">
      <c r="A371" s="227"/>
      <c r="B371" s="228" t="s">
        <v>19</v>
      </c>
      <c r="C371" s="229">
        <f t="shared" si="250"/>
        <v>44</v>
      </c>
      <c r="D371" s="227" t="str">
        <f t="shared" si="273"/>
        <v/>
      </c>
      <c r="E371" s="228" t="str">
        <f t="shared" ca="1" si="274"/>
        <v>04.002.002.002</v>
      </c>
      <c r="F371" s="230">
        <f ca="1">IF($B371="UNIDADE CONSTRUTIVA",OFFSET(F371,-1,0)+1,LARGE(F$10:F370,1))</f>
        <v>2</v>
      </c>
      <c r="G371" s="228" t="str">
        <f t="shared" ca="1" si="275"/>
        <v xml:space="preserve">   GERENCIAMENTO EXECUTIVO</v>
      </c>
      <c r="H371" s="230">
        <f t="shared" ca="1" si="276"/>
        <v>4</v>
      </c>
      <c r="I371" s="228" t="str">
        <f t="shared" ca="1" si="277"/>
        <v xml:space="preserve">   SUPRAESTRUTURA</v>
      </c>
      <c r="J371" s="230">
        <f t="shared" ca="1" si="278"/>
        <v>2</v>
      </c>
      <c r="K371" s="228" t="str">
        <f t="shared" ca="1" si="279"/>
        <v xml:space="preserve">   SUPRAESTRUTURA - 2º PAVIMENTO - TÉRREO</v>
      </c>
      <c r="L371" s="231">
        <f t="shared" ca="1" si="280"/>
        <v>2</v>
      </c>
      <c r="M371" s="228" t="str">
        <f t="shared" ca="1" si="281"/>
        <v xml:space="preserve">   Forma</v>
      </c>
      <c r="N371" s="231">
        <f t="shared" ca="1" si="282"/>
        <v>2</v>
      </c>
      <c r="O371" s="228" t="str">
        <f t="shared" ca="1" si="283"/>
        <v>Fabricação de fôrma para vigas em chapa de madeira compensada plastificada e=14 mm - 2 jogos</v>
      </c>
      <c r="P371" s="232" t="str">
        <f>IF(S371="","",IF(Orçamento!$B371="INSUMO",S371,""))</f>
        <v>PREGO 17 x 21 COM CABECA</v>
      </c>
      <c r="Q371" s="244" t="str">
        <f t="shared" si="284"/>
        <v/>
      </c>
      <c r="R371" s="234">
        <f t="shared" ca="1" si="285"/>
        <v>87.815637199999998</v>
      </c>
      <c r="S371" s="233" t="s">
        <v>173</v>
      </c>
      <c r="T371" s="242" t="str">
        <f>_xlfn.XLOOKUP(S371,Insumos!$A$3:$A$371,Insumos!$B$3:$B$371)</f>
        <v>KG</v>
      </c>
      <c r="U371" s="235">
        <f ca="1">IF($B371="insumo",R371,"")</f>
        <v>87.815637199999998</v>
      </c>
      <c r="V371" s="320">
        <v>0.159</v>
      </c>
      <c r="W371" s="236">
        <f>IFERROR(IF(B371="INSUMO",_xlfn.XLOOKUP(S371,Insumos!A:A,Insumos!C:C),""),"Inserir Preço")</f>
        <v>13</v>
      </c>
      <c r="X371" s="235">
        <f t="shared" ca="1" si="272"/>
        <v>13.962686314799999</v>
      </c>
      <c r="Y371" s="236">
        <f t="shared" si="258"/>
        <v>2.0670000000000002</v>
      </c>
      <c r="Z371" s="237">
        <f t="shared" ca="1" si="251"/>
        <v>181.51492209239998</v>
      </c>
      <c r="AA371" s="238"/>
      <c r="AB371" s="233" t="str">
        <f>IF(B371="insumo",_xlfn.XLOOKUP(S371,Insumos!A:A,Insumos!D:D),"")</f>
        <v xml:space="preserve"> </v>
      </c>
      <c r="AC371" s="239">
        <f t="shared" ca="1" si="252"/>
        <v>2.6039970482823328E-5</v>
      </c>
      <c r="AE371" s="240">
        <f ca="1">IFERROR(IF(OR(Z371="",Z371=0),"",IF(AF371="","",IF(AF371="R$/mês",Z371/OBRA!$D$12,IF(AF371="R$/m²",Z371/OBRA!$D$10,IF(AF371="R$/apto",Orçamento!Z371/OBRA!$D$11,""))))),"")</f>
        <v>9.3408871874353511E-2</v>
      </c>
      <c r="AF371" s="241" t="s">
        <v>154</v>
      </c>
    </row>
    <row r="372" spans="1:32" s="10" customFormat="1" ht="13.15" hidden="1" customHeight="1" outlineLevel="4" x14ac:dyDescent="0.2">
      <c r="A372" s="227"/>
      <c r="B372" s="228" t="s">
        <v>4</v>
      </c>
      <c r="C372" s="229">
        <f t="shared" si="250"/>
        <v>5</v>
      </c>
      <c r="D372" s="227" t="str">
        <f t="shared" ca="1" si="273"/>
        <v>04.002.002.003</v>
      </c>
      <c r="E372" s="228" t="str">
        <f t="shared" ca="1" si="274"/>
        <v>04.002.002.003</v>
      </c>
      <c r="F372" s="230">
        <f ca="1">IF($B372="UNIDADE CONSTRUTIVA",OFFSET(F372,-1,0)+1,LARGE(F$10:F371,1))</f>
        <v>2</v>
      </c>
      <c r="G372" s="228" t="str">
        <f t="shared" ca="1" si="275"/>
        <v xml:space="preserve">   GERENCIAMENTO EXECUTIVO</v>
      </c>
      <c r="H372" s="230">
        <f t="shared" ca="1" si="276"/>
        <v>4</v>
      </c>
      <c r="I372" s="228" t="str">
        <f t="shared" ca="1" si="277"/>
        <v xml:space="preserve">   SUPRAESTRUTURA</v>
      </c>
      <c r="J372" s="230">
        <f t="shared" ca="1" si="278"/>
        <v>2</v>
      </c>
      <c r="K372" s="228" t="str">
        <f t="shared" ca="1" si="279"/>
        <v xml:space="preserve">   SUPRAESTRUTURA - 2º PAVIMENTO - TÉRREO</v>
      </c>
      <c r="L372" s="231">
        <f t="shared" ca="1" si="280"/>
        <v>2</v>
      </c>
      <c r="M372" s="228" t="str">
        <f t="shared" ca="1" si="281"/>
        <v xml:space="preserve">   Forma</v>
      </c>
      <c r="N372" s="231">
        <f t="shared" ca="1" si="282"/>
        <v>3</v>
      </c>
      <c r="O372" s="228" t="str">
        <f t="shared" ca="1" si="283"/>
        <v>Fabricação de fôrma para Escadas em chapa de madeira compensada plastificada e=14 mm - 2 jogos</v>
      </c>
      <c r="P372" s="232" t="str">
        <f>IF(S372="","",IF(Orçamento!$B372="INSUMO",S372,""))</f>
        <v/>
      </c>
      <c r="Q372" s="244" t="str">
        <f t="shared" si="284"/>
        <v>Fabricação de fôrma para Escadas em chapa de madeira compensada plastificada e=14 mm - 2 jogos</v>
      </c>
      <c r="R372" s="234">
        <f t="shared" ca="1" si="285"/>
        <v>20.058600000000002</v>
      </c>
      <c r="S372" s="233" t="s">
        <v>951</v>
      </c>
      <c r="T372" s="242" t="s">
        <v>140</v>
      </c>
      <c r="U372" s="235">
        <f>U395</f>
        <v>20.058600000000002</v>
      </c>
      <c r="V372" s="320" t="s">
        <v>35</v>
      </c>
      <c r="W372" s="236" t="str">
        <f>IFERROR(IF(B372="INSUMO",_xlfn.XLOOKUP(S372,Insumos!A:A,Insumos!C:C),""),"Inserir Preço")</f>
        <v/>
      </c>
      <c r="X372" s="235">
        <f t="shared" ca="1" si="272"/>
        <v>20.058600000000002</v>
      </c>
      <c r="Y372" s="236">
        <f t="shared" ca="1" si="258"/>
        <v>186.96039999999999</v>
      </c>
      <c r="Z372" s="237">
        <f t="shared" ca="1" si="251"/>
        <v>3750.1638794400001</v>
      </c>
      <c r="AA372" s="238"/>
      <c r="AB372" s="233" t="str">
        <f>IF(B372="insumo",_xlfn.XLOOKUP(S372,Insumos!A:A,Insumos!D:D),"")</f>
        <v/>
      </c>
      <c r="AC372" s="239">
        <f t="shared" ca="1" si="252"/>
        <v>5.379951995167487E-4</v>
      </c>
      <c r="AE372" s="240">
        <f ca="1">IFERROR(IF(OR(Z372="",Z372=0),"",IF(AF372="","",IF(AF372="R$/mês",Z372/OBRA!$D$12,IF(AF372="R$/m²",Z372/OBRA!$D$10,IF(AF372="R$/apto",Orçamento!Z372/OBRA!$D$11,""))))),"")</f>
        <v>1.9298610454964158</v>
      </c>
      <c r="AF372" s="241" t="s">
        <v>154</v>
      </c>
    </row>
    <row r="373" spans="1:32" s="10" customFormat="1" ht="13.15" hidden="1" customHeight="1" outlineLevel="4" x14ac:dyDescent="0.2">
      <c r="A373" s="227"/>
      <c r="B373" s="228" t="s">
        <v>19</v>
      </c>
      <c r="C373" s="229">
        <f t="shared" si="250"/>
        <v>21</v>
      </c>
      <c r="D373" s="227" t="str">
        <f t="shared" si="273"/>
        <v/>
      </c>
      <c r="E373" s="228" t="str">
        <f t="shared" ca="1" si="274"/>
        <v>04.002.002.003</v>
      </c>
      <c r="F373" s="230">
        <f ca="1">IF($B373="UNIDADE CONSTRUTIVA",OFFSET(F373,-1,0)+1,LARGE(F$10:F372,1))</f>
        <v>2</v>
      </c>
      <c r="G373" s="228" t="str">
        <f t="shared" ca="1" si="275"/>
        <v xml:space="preserve">   GERENCIAMENTO EXECUTIVO</v>
      </c>
      <c r="H373" s="230">
        <f t="shared" ca="1" si="276"/>
        <v>4</v>
      </c>
      <c r="I373" s="228" t="str">
        <f t="shared" ca="1" si="277"/>
        <v xml:space="preserve">   SUPRAESTRUTURA</v>
      </c>
      <c r="J373" s="230">
        <f t="shared" ca="1" si="278"/>
        <v>2</v>
      </c>
      <c r="K373" s="228" t="str">
        <f t="shared" ca="1" si="279"/>
        <v xml:space="preserve">   SUPRAESTRUTURA - 2º PAVIMENTO - TÉRREO</v>
      </c>
      <c r="L373" s="231">
        <f t="shared" ca="1" si="280"/>
        <v>2</v>
      </c>
      <c r="M373" s="228" t="str">
        <f t="shared" ca="1" si="281"/>
        <v xml:space="preserve">   Forma</v>
      </c>
      <c r="N373" s="231">
        <f t="shared" ca="1" si="282"/>
        <v>3</v>
      </c>
      <c r="O373" s="228" t="str">
        <f t="shared" ca="1" si="283"/>
        <v>Fabricação de fôrma para Escadas em chapa de madeira compensada plastificada e=14 mm - 2 jogos</v>
      </c>
      <c r="P373" s="232" t="str">
        <f>IF(S373="","",IF(Orçamento!$B373="INSUMO",S373,""))</f>
        <v>COMPENSADO MADEIRA TIPO PLASTIFICADO 2200X1100X14MM NBR 1096</v>
      </c>
      <c r="Q373" s="244" t="str">
        <f t="shared" si="284"/>
        <v/>
      </c>
      <c r="R373" s="234">
        <f t="shared" ca="1" si="285"/>
        <v>20.058600000000002</v>
      </c>
      <c r="S373" s="233" t="s">
        <v>804</v>
      </c>
      <c r="T373" s="242" t="str">
        <f>_xlfn.XLOOKUP(S373,Insumos!$A$3:$A$371,Insumos!$B$3:$B$371)</f>
        <v>CH</v>
      </c>
      <c r="U373" s="235">
        <f ca="1">IF($B373="insumo",R373,"")</f>
        <v>20.058600000000002</v>
      </c>
      <c r="V373" s="320">
        <f>ROUNDUP(1.3/(2.2*1.1),4)</f>
        <v>0.53720000000000001</v>
      </c>
      <c r="W373" s="236">
        <f>IFERROR(IF(B373="INSUMO",_xlfn.XLOOKUP(S373,Insumos!A:A,Insumos!C:C),""),"Inserir Preço")</f>
        <v>132</v>
      </c>
      <c r="X373" s="235">
        <f t="shared" ca="1" si="272"/>
        <v>10.77547992</v>
      </c>
      <c r="Y373" s="236">
        <f t="shared" si="258"/>
        <v>70.910399999999996</v>
      </c>
      <c r="Z373" s="237">
        <f t="shared" ca="1" si="251"/>
        <v>1422.3633494400001</v>
      </c>
      <c r="AA373" s="238"/>
      <c r="AB373" s="233" t="str">
        <f>IF(B373="insumo",_xlfn.XLOOKUP(S373,Insumos!A:A,Insumos!D:D),"")</f>
        <v xml:space="preserve"> </v>
      </c>
      <c r="AC373" s="239">
        <f t="shared" ca="1" si="252"/>
        <v>2.0405099045472976E-4</v>
      </c>
      <c r="AE373" s="240">
        <f ca="1">IFERROR(IF(OR(Z373="",Z373=0),"",IF(AF373="","",IF(AF373="R$/mês",Z373/OBRA!$D$12,IF(AF373="R$/m²",Z373/OBRA!$D$10,IF(AF373="R$/apto",Orçamento!Z373/OBRA!$D$11,""))))),"")</f>
        <v>0.73195831138877032</v>
      </c>
      <c r="AF373" s="241" t="s">
        <v>154</v>
      </c>
    </row>
    <row r="374" spans="1:32" s="10" customFormat="1" ht="13.15" hidden="1" customHeight="1" outlineLevel="4" x14ac:dyDescent="0.2">
      <c r="A374" s="227"/>
      <c r="B374" s="228" t="s">
        <v>19</v>
      </c>
      <c r="C374" s="229">
        <f t="shared" si="250"/>
        <v>26</v>
      </c>
      <c r="D374" s="227" t="str">
        <f t="shared" si="273"/>
        <v/>
      </c>
      <c r="E374" s="228" t="str">
        <f t="shared" ca="1" si="274"/>
        <v>04.002.002.003</v>
      </c>
      <c r="F374" s="230">
        <f ca="1">IF($B374="UNIDADE CONSTRUTIVA",OFFSET(F374,-1,0)+1,LARGE(F$10:F373,1))</f>
        <v>2</v>
      </c>
      <c r="G374" s="228" t="str">
        <f t="shared" ca="1" si="275"/>
        <v xml:space="preserve">   GERENCIAMENTO EXECUTIVO</v>
      </c>
      <c r="H374" s="230">
        <f t="shared" ca="1" si="276"/>
        <v>4</v>
      </c>
      <c r="I374" s="228" t="str">
        <f t="shared" ca="1" si="277"/>
        <v xml:space="preserve">   SUPRAESTRUTURA</v>
      </c>
      <c r="J374" s="230">
        <f t="shared" ca="1" si="278"/>
        <v>2</v>
      </c>
      <c r="K374" s="228" t="str">
        <f t="shared" ca="1" si="279"/>
        <v xml:space="preserve">   SUPRAESTRUTURA - 2º PAVIMENTO - TÉRREO</v>
      </c>
      <c r="L374" s="231">
        <f t="shared" ca="1" si="280"/>
        <v>2</v>
      </c>
      <c r="M374" s="228" t="str">
        <f t="shared" ca="1" si="281"/>
        <v xml:space="preserve">   Forma</v>
      </c>
      <c r="N374" s="231">
        <f t="shared" ca="1" si="282"/>
        <v>3</v>
      </c>
      <c r="O374" s="228" t="str">
        <f t="shared" ca="1" si="283"/>
        <v>Fabricação de fôrma para Escadas em chapa de madeira compensada plastificada e=14 mm - 2 jogos</v>
      </c>
      <c r="P374" s="232" t="str">
        <f>IF(S374="","",IF(Orçamento!$B374="INSUMO",S374,""))</f>
        <v>MADEIRA PINUS/SIMILAR - PONTALETE 75X75MM NBR 11700/15696</v>
      </c>
      <c r="Q374" s="244" t="str">
        <f t="shared" si="284"/>
        <v/>
      </c>
      <c r="R374" s="234">
        <f t="shared" ca="1" si="285"/>
        <v>20.058600000000002</v>
      </c>
      <c r="S374" s="233" t="s">
        <v>807</v>
      </c>
      <c r="T374" s="242" t="str">
        <f>_xlfn.XLOOKUP(S374,Insumos!$A$3:$A$371,Insumos!$B$3:$B$371)</f>
        <v>M</v>
      </c>
      <c r="U374" s="235">
        <f ca="1">IF($B374="insumo",R374,"")</f>
        <v>20.058600000000002</v>
      </c>
      <c r="V374" s="320">
        <v>13.18</v>
      </c>
      <c r="W374" s="236">
        <f>IFERROR(IF(B374="INSUMO",_xlfn.XLOOKUP(S374,Insumos!A:A,Insumos!C:C),""),"Inserir Preço")</f>
        <v>7</v>
      </c>
      <c r="X374" s="235">
        <f t="shared" ca="1" si="272"/>
        <v>264.37234800000004</v>
      </c>
      <c r="Y374" s="236">
        <f t="shared" si="258"/>
        <v>92.259999999999991</v>
      </c>
      <c r="Z374" s="237">
        <f t="shared" ca="1" si="251"/>
        <v>1850.6064360000003</v>
      </c>
      <c r="AA374" s="238"/>
      <c r="AB374" s="233" t="str">
        <f>IF(B374="insumo",_xlfn.XLOOKUP(S374,Insumos!A:A,Insumos!D:D),"")</f>
        <v xml:space="preserve"> </v>
      </c>
      <c r="AC374" s="239">
        <f t="shared" ca="1" si="252"/>
        <v>2.6548636560156714E-4</v>
      </c>
      <c r="AE374" s="240">
        <f ca="1">IFERROR(IF(OR(Z374="",Z374=0),"",IF(AF374="","",IF(AF374="R$/mês",Z374/OBRA!$D$12,IF(AF374="R$/m²",Z374/OBRA!$D$10,IF(AF374="R$/apto",Orçamento!Z374/OBRA!$D$11,""))))),"")</f>
        <v>0.95233525419018861</v>
      </c>
      <c r="AF374" s="241" t="s">
        <v>154</v>
      </c>
    </row>
    <row r="375" spans="1:32" s="10" customFormat="1" ht="13.15" hidden="1" customHeight="1" outlineLevel="4" x14ac:dyDescent="0.2">
      <c r="A375" s="227"/>
      <c r="B375" s="228" t="s">
        <v>19</v>
      </c>
      <c r="C375" s="229">
        <f t="shared" si="250"/>
        <v>12</v>
      </c>
      <c r="D375" s="227" t="str">
        <f t="shared" si="273"/>
        <v/>
      </c>
      <c r="E375" s="228" t="str">
        <f t="shared" ca="1" si="274"/>
        <v>04.002.002.003</v>
      </c>
      <c r="F375" s="230">
        <f ca="1">IF($B375="UNIDADE CONSTRUTIVA",OFFSET(F375,-1,0)+1,LARGE(F$10:F374,1))</f>
        <v>2</v>
      </c>
      <c r="G375" s="228" t="str">
        <f t="shared" ca="1" si="275"/>
        <v xml:space="preserve">   GERENCIAMENTO EXECUTIVO</v>
      </c>
      <c r="H375" s="230">
        <f t="shared" ca="1" si="276"/>
        <v>4</v>
      </c>
      <c r="I375" s="228" t="str">
        <f t="shared" ca="1" si="277"/>
        <v xml:space="preserve">   SUPRAESTRUTURA</v>
      </c>
      <c r="J375" s="230">
        <f t="shared" ca="1" si="278"/>
        <v>2</v>
      </c>
      <c r="K375" s="228" t="str">
        <f t="shared" ca="1" si="279"/>
        <v xml:space="preserve">   SUPRAESTRUTURA - 2º PAVIMENTO - TÉRREO</v>
      </c>
      <c r="L375" s="231">
        <f t="shared" ca="1" si="280"/>
        <v>2</v>
      </c>
      <c r="M375" s="228" t="str">
        <f t="shared" ca="1" si="281"/>
        <v xml:space="preserve">   Forma</v>
      </c>
      <c r="N375" s="231">
        <f t="shared" ca="1" si="282"/>
        <v>3</v>
      </c>
      <c r="O375" s="228" t="str">
        <f t="shared" ca="1" si="283"/>
        <v>Fabricação de fôrma para Escadas em chapa de madeira compensada plastificada e=14 mm - 2 jogos</v>
      </c>
      <c r="P375" s="232" t="str">
        <f>IF(S375="","",IF(Orçamento!$B375="INSUMO",S375,""))</f>
        <v>SARRAFO DE MADEIRA 7,0 x 3 M</v>
      </c>
      <c r="Q375" s="244" t="str">
        <f t="shared" si="284"/>
        <v/>
      </c>
      <c r="R375" s="234">
        <f t="shared" ca="1" si="285"/>
        <v>20.058600000000002</v>
      </c>
      <c r="S375" s="233" t="s">
        <v>175</v>
      </c>
      <c r="T375" s="242" t="str">
        <f>_xlfn.XLOOKUP(S375,Insumos!$A$3:$A$371,Insumos!$B$3:$B$371)</f>
        <v>M3</v>
      </c>
      <c r="U375" s="235">
        <f ca="1">IF($B375="insumo",R375,"")</f>
        <v>20.058600000000002</v>
      </c>
      <c r="V375" s="320">
        <v>1.7299999999999999E-2</v>
      </c>
      <c r="W375" s="236">
        <f>IFERROR(IF(B375="INSUMO",_xlfn.XLOOKUP(S375,Insumos!A:A,Insumos!C:C),""),"Inserir Preço")</f>
        <v>1300</v>
      </c>
      <c r="X375" s="235">
        <f t="shared" ca="1" si="272"/>
        <v>0.34701378000000005</v>
      </c>
      <c r="Y375" s="236">
        <f t="shared" si="258"/>
        <v>22.49</v>
      </c>
      <c r="Z375" s="237">
        <f t="shared" ca="1" si="251"/>
        <v>451.11791400000004</v>
      </c>
      <c r="AA375" s="238"/>
      <c r="AB375" s="233" t="str">
        <f>IF(B375="insumo",_xlfn.XLOOKUP(S375,Insumos!A:A,Insumos!D:D),"")</f>
        <v xml:space="preserve"> </v>
      </c>
      <c r="AC375" s="239">
        <f t="shared" ca="1" si="252"/>
        <v>6.4716977697585579E-5</v>
      </c>
      <c r="AE375" s="240">
        <f ca="1">IFERROR(IF(OR(Z375="",Z375=0),"",IF(AF375="","",IF(AF375="R$/mês",Z375/OBRA!$D$12,IF(AF375="R$/m²",Z375/OBRA!$D$10,IF(AF375="R$/apto",Orçamento!Z375/OBRA!$D$11,""))))),"")</f>
        <v>0.2321484919438255</v>
      </c>
      <c r="AF375" s="241" t="s">
        <v>154</v>
      </c>
    </row>
    <row r="376" spans="1:32" s="10" customFormat="1" ht="13.15" hidden="1" customHeight="1" outlineLevel="4" x14ac:dyDescent="0.2">
      <c r="A376" s="227"/>
      <c r="B376" s="228" t="s">
        <v>19</v>
      </c>
      <c r="C376" s="229">
        <f t="shared" si="250"/>
        <v>44</v>
      </c>
      <c r="D376" s="227" t="str">
        <f t="shared" si="273"/>
        <v/>
      </c>
      <c r="E376" s="228" t="str">
        <f t="shared" ca="1" si="274"/>
        <v>04.002.002.003</v>
      </c>
      <c r="F376" s="230">
        <f ca="1">IF($B376="UNIDADE CONSTRUTIVA",OFFSET(F376,-1,0)+1,LARGE(F$10:F375,1))</f>
        <v>2</v>
      </c>
      <c r="G376" s="228" t="str">
        <f t="shared" ca="1" si="275"/>
        <v xml:space="preserve">   GERENCIAMENTO EXECUTIVO</v>
      </c>
      <c r="H376" s="230">
        <f t="shared" ca="1" si="276"/>
        <v>4</v>
      </c>
      <c r="I376" s="228" t="str">
        <f t="shared" ca="1" si="277"/>
        <v xml:space="preserve">   SUPRAESTRUTURA</v>
      </c>
      <c r="J376" s="230">
        <f t="shared" ca="1" si="278"/>
        <v>2</v>
      </c>
      <c r="K376" s="228" t="str">
        <f t="shared" ca="1" si="279"/>
        <v xml:space="preserve">   SUPRAESTRUTURA - 2º PAVIMENTO - TÉRREO</v>
      </c>
      <c r="L376" s="231">
        <f t="shared" ca="1" si="280"/>
        <v>2</v>
      </c>
      <c r="M376" s="228" t="str">
        <f t="shared" ca="1" si="281"/>
        <v xml:space="preserve">   Forma</v>
      </c>
      <c r="N376" s="231">
        <f t="shared" ca="1" si="282"/>
        <v>3</v>
      </c>
      <c r="O376" s="228" t="str">
        <f t="shared" ca="1" si="283"/>
        <v>Fabricação de fôrma para Escadas em chapa de madeira compensada plastificada e=14 mm - 2 jogos</v>
      </c>
      <c r="P376" s="232" t="str">
        <f>IF(S376="","",IF(Orçamento!$B376="INSUMO",S376,""))</f>
        <v>PREGO 17 x 21 COM CABECA</v>
      </c>
      <c r="Q376" s="244" t="str">
        <f t="shared" si="284"/>
        <v/>
      </c>
      <c r="R376" s="234">
        <f t="shared" ca="1" si="285"/>
        <v>20.058600000000002</v>
      </c>
      <c r="S376" s="233" t="s">
        <v>173</v>
      </c>
      <c r="T376" s="242" t="str">
        <f>_xlfn.XLOOKUP(S376,Insumos!$A$3:$A$371,Insumos!$B$3:$B$371)</f>
        <v>KG</v>
      </c>
      <c r="U376" s="235">
        <f ca="1">IF($B376="insumo",R376,"")</f>
        <v>20.058600000000002</v>
      </c>
      <c r="V376" s="320">
        <v>0.1</v>
      </c>
      <c r="W376" s="236">
        <f>IFERROR(IF(B376="INSUMO",_xlfn.XLOOKUP(S376,Insumos!A:A,Insumos!C:C),""),"Inserir Preço")</f>
        <v>13</v>
      </c>
      <c r="X376" s="235">
        <f t="shared" ca="1" si="272"/>
        <v>2.0058600000000002</v>
      </c>
      <c r="Y376" s="236">
        <f t="shared" si="258"/>
        <v>1.3</v>
      </c>
      <c r="Z376" s="237">
        <f t="shared" ca="1" si="251"/>
        <v>26.076180000000001</v>
      </c>
      <c r="AA376" s="238"/>
      <c r="AB376" s="233" t="str">
        <f>IF(B376="insumo",_xlfn.XLOOKUP(S376,Insumos!A:A,Insumos!D:D),"")</f>
        <v xml:space="preserve"> </v>
      </c>
      <c r="AC376" s="239">
        <f t="shared" ca="1" si="252"/>
        <v>3.740865762866218E-6</v>
      </c>
      <c r="AE376" s="240">
        <f ca="1">IFERROR(IF(OR(Z376="",Z376=0),"",IF(AF376="","",IF(AF376="R$/mês",Z376/OBRA!$D$12,IF(AF376="R$/m²",Z376/OBRA!$D$10,IF(AF376="R$/apto",Orçamento!Z376/OBRA!$D$11,""))))),"")</f>
        <v>1.3418987973631532E-2</v>
      </c>
      <c r="AF376" s="241" t="s">
        <v>154</v>
      </c>
    </row>
    <row r="377" spans="1:32" s="10" customFormat="1" ht="13.15" hidden="1" customHeight="1" outlineLevel="4" x14ac:dyDescent="0.2">
      <c r="A377" s="227"/>
      <c r="B377" s="228" t="s">
        <v>4</v>
      </c>
      <c r="C377" s="229">
        <f t="shared" si="250"/>
        <v>5</v>
      </c>
      <c r="D377" s="227" t="str">
        <f t="shared" ca="1" si="273"/>
        <v>04.002.002.004</v>
      </c>
      <c r="E377" s="228" t="str">
        <f t="shared" ca="1" si="274"/>
        <v>04.002.002.004</v>
      </c>
      <c r="F377" s="230">
        <f ca="1">IF($B377="UNIDADE CONSTRUTIVA",OFFSET(F377,-1,0)+1,LARGE(F$10:F376,1))</f>
        <v>2</v>
      </c>
      <c r="G377" s="228" t="str">
        <f t="shared" ca="1" si="275"/>
        <v xml:space="preserve">   GERENCIAMENTO EXECUTIVO</v>
      </c>
      <c r="H377" s="230">
        <f t="shared" ca="1" si="276"/>
        <v>4</v>
      </c>
      <c r="I377" s="228" t="str">
        <f t="shared" ca="1" si="277"/>
        <v xml:space="preserve">   SUPRAESTRUTURA</v>
      </c>
      <c r="J377" s="230">
        <f t="shared" ca="1" si="278"/>
        <v>2</v>
      </c>
      <c r="K377" s="228" t="str">
        <f t="shared" ca="1" si="279"/>
        <v xml:space="preserve">   SUPRAESTRUTURA - 2º PAVIMENTO - TÉRREO</v>
      </c>
      <c r="L377" s="231">
        <f t="shared" ca="1" si="280"/>
        <v>2</v>
      </c>
      <c r="M377" s="228" t="str">
        <f t="shared" ca="1" si="281"/>
        <v xml:space="preserve">   Forma</v>
      </c>
      <c r="N377" s="231">
        <f t="shared" ca="1" si="282"/>
        <v>4</v>
      </c>
      <c r="O377" s="228" t="str">
        <f t="shared" ca="1" si="283"/>
        <v>Fabricação de fôrma para laje em chapa de madeira compensada plastificada e=14 mm - 2 jogos</v>
      </c>
      <c r="P377" s="232" t="str">
        <f>IF(S377="","",IF(Orçamento!$B377="INSUMO",S377,""))</f>
        <v/>
      </c>
      <c r="Q377" s="244" t="str">
        <f t="shared" si="284"/>
        <v>Fabricação de fôrma para laje em chapa de madeira compensada plastificada e=14 mm - 2 jogos</v>
      </c>
      <c r="R377" s="234">
        <f t="shared" ca="1" si="285"/>
        <v>12.93469</v>
      </c>
      <c r="S377" s="233" t="s">
        <v>194</v>
      </c>
      <c r="T377" s="242" t="s">
        <v>140</v>
      </c>
      <c r="U377" s="235">
        <f>U383</f>
        <v>12.93469</v>
      </c>
      <c r="V377" s="320"/>
      <c r="W377" s="236" t="str">
        <f>IFERROR(IF(B377="INSUMO",_xlfn.XLOOKUP(S377,Insumos!A:A,Insumos!C:C),""),"Inserir Preço")</f>
        <v/>
      </c>
      <c r="X377" s="235">
        <f t="shared" ca="1" si="272"/>
        <v>12.93469</v>
      </c>
      <c r="Y377" s="236">
        <f t="shared" ca="1" si="258"/>
        <v>59.341799999999999</v>
      </c>
      <c r="Z377" s="237">
        <f t="shared" ca="1" si="251"/>
        <v>767.56778704199996</v>
      </c>
      <c r="AA377" s="238"/>
      <c r="AB377" s="233" t="str">
        <f>IF(B377="insumo",_xlfn.XLOOKUP(S377,Insumos!A:A,Insumos!D:D),"")</f>
        <v/>
      </c>
      <c r="AC377" s="239">
        <f t="shared" ca="1" si="252"/>
        <v>1.1011459712367402E-4</v>
      </c>
      <c r="AE377" s="240">
        <f ca="1">IFERROR(IF(OR(Z377="",Z377=0),"",IF(AF377="","",IF(AF377="R$/mês",Z377/OBRA!$D$12,IF(AF377="R$/m²",Z377/OBRA!$D$10,IF(AF377="R$/apto",Orçamento!Z377/OBRA!$D$11,""))))),"")</f>
        <v>0.39499585074437921</v>
      </c>
      <c r="AF377" s="241" t="s">
        <v>154</v>
      </c>
    </row>
    <row r="378" spans="1:32" s="10" customFormat="1" ht="13.15" hidden="1" customHeight="1" outlineLevel="4" x14ac:dyDescent="0.2">
      <c r="A378" s="227"/>
      <c r="B378" s="228" t="s">
        <v>19</v>
      </c>
      <c r="C378" s="229">
        <f t="shared" si="250"/>
        <v>21</v>
      </c>
      <c r="D378" s="227" t="str">
        <f t="shared" si="273"/>
        <v/>
      </c>
      <c r="E378" s="228" t="str">
        <f t="shared" ca="1" si="274"/>
        <v>04.002.002.004</v>
      </c>
      <c r="F378" s="230">
        <f ca="1">IF($B378="UNIDADE CONSTRUTIVA",OFFSET(F378,-1,0)+1,LARGE(F$10:F377,1))</f>
        <v>2</v>
      </c>
      <c r="G378" s="228" t="str">
        <f t="shared" ca="1" si="275"/>
        <v xml:space="preserve">   GERENCIAMENTO EXECUTIVO</v>
      </c>
      <c r="H378" s="230">
        <f t="shared" ca="1" si="276"/>
        <v>4</v>
      </c>
      <c r="I378" s="228" t="str">
        <f t="shared" ca="1" si="277"/>
        <v xml:space="preserve">   SUPRAESTRUTURA</v>
      </c>
      <c r="J378" s="230">
        <f t="shared" ca="1" si="278"/>
        <v>2</v>
      </c>
      <c r="K378" s="228" t="str">
        <f t="shared" ca="1" si="279"/>
        <v xml:space="preserve">   SUPRAESTRUTURA - 2º PAVIMENTO - TÉRREO</v>
      </c>
      <c r="L378" s="231">
        <f t="shared" ca="1" si="280"/>
        <v>2</v>
      </c>
      <c r="M378" s="228" t="str">
        <f t="shared" ca="1" si="281"/>
        <v xml:space="preserve">   Forma</v>
      </c>
      <c r="N378" s="231">
        <f t="shared" ca="1" si="282"/>
        <v>4</v>
      </c>
      <c r="O378" s="228" t="str">
        <f t="shared" ca="1" si="283"/>
        <v>Fabricação de fôrma para laje em chapa de madeira compensada plastificada e=14 mm - 2 jogos</v>
      </c>
      <c r="P378" s="232" t="str">
        <f>IF(S378="","",IF(Orçamento!$B378="INSUMO",S378,""))</f>
        <v>COMPENSADO MADEIRA TIPO PLASTIFICADO 2200X1100X14MM NBR 1096</v>
      </c>
      <c r="Q378" s="244" t="str">
        <f t="shared" si="284"/>
        <v/>
      </c>
      <c r="R378" s="234">
        <f t="shared" ca="1" si="285"/>
        <v>12.93469</v>
      </c>
      <c r="S378" s="233" t="s">
        <v>804</v>
      </c>
      <c r="T378" s="242" t="str">
        <f>_xlfn.XLOOKUP(S378,Insumos!$A$3:$A$371,Insumos!$B$3:$B$371)</f>
        <v>CH</v>
      </c>
      <c r="U378" s="235">
        <f ca="1">IF($B378="insumo",R378,"")</f>
        <v>12.93469</v>
      </c>
      <c r="V378" s="320">
        <f>ROUNDUP(1.05/(2.2*1.1),4)</f>
        <v>0.43390000000000001</v>
      </c>
      <c r="W378" s="236">
        <f>IFERROR(IF(B378="INSUMO",_xlfn.XLOOKUP(S378,Insumos!A:A,Insumos!C:C),""),"Inserir Preço")</f>
        <v>132</v>
      </c>
      <c r="X378" s="235">
        <f t="shared" ca="1" si="272"/>
        <v>5.6123619910000002</v>
      </c>
      <c r="Y378" s="236">
        <f t="shared" si="258"/>
        <v>57.274799999999999</v>
      </c>
      <c r="Z378" s="237">
        <f t="shared" ca="1" si="251"/>
        <v>740.83178281200003</v>
      </c>
      <c r="AA378" s="238"/>
      <c r="AB378" s="233" t="str">
        <f>IF(B378="insumo",_xlfn.XLOOKUP(S378,Insumos!A:A,Insumos!D:D),"")</f>
        <v xml:space="preserve"> </v>
      </c>
      <c r="AC378" s="239">
        <f t="shared" ca="1" si="252"/>
        <v>1.0627907355926185E-4</v>
      </c>
      <c r="AE378" s="240">
        <f ca="1">IFERROR(IF(OR(Z378="",Z378=0),"",IF(AF378="","",IF(AF378="R$/mês",Z378/OBRA!$D$12,IF(AF378="R$/m²",Z378/OBRA!$D$10,IF(AF378="R$/apto",Orçamento!Z378/OBRA!$D$11,""))))),"")</f>
        <v>0.38123731252193516</v>
      </c>
      <c r="AF378" s="241" t="s">
        <v>154</v>
      </c>
    </row>
    <row r="379" spans="1:32" s="10" customFormat="1" ht="13.15" hidden="1" customHeight="1" outlineLevel="4" x14ac:dyDescent="0.2">
      <c r="A379" s="227"/>
      <c r="B379" s="228" t="s">
        <v>19</v>
      </c>
      <c r="C379" s="229">
        <f t="shared" si="250"/>
        <v>44</v>
      </c>
      <c r="D379" s="227" t="str">
        <f t="shared" si="273"/>
        <v/>
      </c>
      <c r="E379" s="228" t="str">
        <f t="shared" ca="1" si="274"/>
        <v>04.002.002.004</v>
      </c>
      <c r="F379" s="230">
        <f ca="1">IF($B379="UNIDADE CONSTRUTIVA",OFFSET(F379,-1,0)+1,LARGE(F$10:F378,1))</f>
        <v>2</v>
      </c>
      <c r="G379" s="228" t="str">
        <f t="shared" ca="1" si="275"/>
        <v xml:space="preserve">   GERENCIAMENTO EXECUTIVO</v>
      </c>
      <c r="H379" s="230">
        <f t="shared" ca="1" si="276"/>
        <v>4</v>
      </c>
      <c r="I379" s="228" t="str">
        <f t="shared" ca="1" si="277"/>
        <v xml:space="preserve">   SUPRAESTRUTURA</v>
      </c>
      <c r="J379" s="230">
        <f t="shared" ca="1" si="278"/>
        <v>2</v>
      </c>
      <c r="K379" s="228" t="str">
        <f t="shared" ca="1" si="279"/>
        <v xml:space="preserve">   SUPRAESTRUTURA - 2º PAVIMENTO - TÉRREO</v>
      </c>
      <c r="L379" s="231">
        <f t="shared" ca="1" si="280"/>
        <v>2</v>
      </c>
      <c r="M379" s="228" t="str">
        <f t="shared" ca="1" si="281"/>
        <v xml:space="preserve">   Forma</v>
      </c>
      <c r="N379" s="231">
        <f t="shared" ca="1" si="282"/>
        <v>4</v>
      </c>
      <c r="O379" s="228" t="str">
        <f t="shared" ca="1" si="283"/>
        <v>Fabricação de fôrma para laje em chapa de madeira compensada plastificada e=14 mm - 2 jogos</v>
      </c>
      <c r="P379" s="232" t="str">
        <f>IF(S379="","",IF(Orçamento!$B379="INSUMO",S379,""))</f>
        <v>PREGO 17 x 21 COM CABECA</v>
      </c>
      <c r="Q379" s="244" t="str">
        <f t="shared" si="284"/>
        <v/>
      </c>
      <c r="R379" s="234">
        <f t="shared" ca="1" si="285"/>
        <v>12.93469</v>
      </c>
      <c r="S379" s="233" t="s">
        <v>173</v>
      </c>
      <c r="T379" s="242" t="str">
        <f>_xlfn.XLOOKUP(S379,Insumos!$A$3:$A$371,Insumos!$B$3:$B$371)</f>
        <v>KG</v>
      </c>
      <c r="U379" s="235">
        <f ca="1">IF($B379="insumo",R379,"")</f>
        <v>12.93469</v>
      </c>
      <c r="V379" s="320">
        <v>0.159</v>
      </c>
      <c r="W379" s="236">
        <f>IFERROR(IF(B379="INSUMO",_xlfn.XLOOKUP(S379,Insumos!A:A,Insumos!C:C),""),"Inserir Preço")</f>
        <v>13</v>
      </c>
      <c r="X379" s="235">
        <f t="shared" ca="1" si="272"/>
        <v>2.05661571</v>
      </c>
      <c r="Y379" s="236">
        <f t="shared" si="258"/>
        <v>2.0670000000000002</v>
      </c>
      <c r="Z379" s="237">
        <f t="shared" ca="1" si="251"/>
        <v>26.736004229999999</v>
      </c>
      <c r="AA379" s="238"/>
      <c r="AB379" s="233" t="str">
        <f>IF(B379="insumo",_xlfn.XLOOKUP(S379,Insumos!A:A,Insumos!D:D),"")</f>
        <v xml:space="preserve"> </v>
      </c>
      <c r="AC379" s="239">
        <f t="shared" ca="1" si="252"/>
        <v>3.8355235644121716E-6</v>
      </c>
      <c r="AE379" s="240">
        <f ca="1">IFERROR(IF(OR(Z379="",Z379=0),"",IF(AF379="","",IF(AF379="R$/mês",Z379/OBRA!$D$12,IF(AF379="R$/m²",Z379/OBRA!$D$10,IF(AF379="R$/apto",Orçamento!Z379/OBRA!$D$11,""))))),"")</f>
        <v>1.3758538222444074E-2</v>
      </c>
      <c r="AF379" s="241" t="s">
        <v>154</v>
      </c>
    </row>
    <row r="380" spans="1:32" s="10" customFormat="1" ht="13.15" hidden="1" customHeight="1" outlineLevel="4" x14ac:dyDescent="0.2">
      <c r="A380" s="227"/>
      <c r="B380" s="228" t="s">
        <v>4</v>
      </c>
      <c r="C380" s="229">
        <f t="shared" si="250"/>
        <v>3</v>
      </c>
      <c r="D380" s="227" t="str">
        <f t="shared" ca="1" si="259"/>
        <v>04.002.002.005</v>
      </c>
      <c r="E380" s="228" t="str">
        <f t="shared" ca="1" si="260"/>
        <v>04.002.002.005</v>
      </c>
      <c r="F380" s="230">
        <f ca="1">IF($B380="UNIDADE CONSTRUTIVA",OFFSET(F380,-1,0)+1,LARGE(F$10:F379,1))</f>
        <v>2</v>
      </c>
      <c r="G380" s="228" t="str">
        <f t="shared" ca="1" si="261"/>
        <v xml:space="preserve">   GERENCIAMENTO EXECUTIVO</v>
      </c>
      <c r="H380" s="230">
        <f t="shared" ca="1" si="262"/>
        <v>4</v>
      </c>
      <c r="I380" s="228" t="str">
        <f t="shared" ca="1" si="263"/>
        <v xml:space="preserve">   SUPRAESTRUTURA</v>
      </c>
      <c r="J380" s="230">
        <f t="shared" ca="1" si="264"/>
        <v>2</v>
      </c>
      <c r="K380" s="228" t="str">
        <f t="shared" ca="1" si="265"/>
        <v xml:space="preserve">   SUPRAESTRUTURA - 2º PAVIMENTO - TÉRREO</v>
      </c>
      <c r="L380" s="231">
        <f t="shared" ca="1" si="266"/>
        <v>2</v>
      </c>
      <c r="M380" s="228" t="str">
        <f t="shared" ca="1" si="267"/>
        <v xml:space="preserve">   Forma</v>
      </c>
      <c r="N380" s="231">
        <f t="shared" ca="1" si="268"/>
        <v>5</v>
      </c>
      <c r="O380" s="228" t="str">
        <f t="shared" ca="1" si="269"/>
        <v>Montagem E Desmontagem De Fôrma De Laje Nervurada Com Cubeta E Assoalho, Pé-Direito Simples, Em Chapa De Madeira Compensada Resinada, 8 Utilizações. Af_09/2020</v>
      </c>
      <c r="P380" s="232" t="str">
        <f>IF(S380="","",IF(Orçamento!$B380="INSUMO",S380,""))</f>
        <v/>
      </c>
      <c r="Q380" s="244" t="str">
        <f t="shared" si="270"/>
        <v>Montagem E Desmontagem De Fôrma De Laje Nervurada Com Cubeta E Assoalho, Pé-Direito Simples, Em Chapa De Madeira Compensada Resinada, 8 Utilizações. Af_09/2020</v>
      </c>
      <c r="R380" s="234">
        <f t="shared" ca="1" si="271"/>
        <v>314.00130000000001</v>
      </c>
      <c r="S380" s="233" t="s">
        <v>615</v>
      </c>
      <c r="T380" s="242" t="s">
        <v>140</v>
      </c>
      <c r="U380" s="235">
        <v>314.00130000000001</v>
      </c>
      <c r="V380" s="320" t="s">
        <v>35</v>
      </c>
      <c r="W380" s="236" t="str">
        <f>IFERROR(IF(B380="INSUMO",_xlfn.XLOOKUP(S380,Insumos!A:A,Insumos!C:C),""),"Inserir Preço")</f>
        <v/>
      </c>
      <c r="X380" s="235">
        <f t="shared" ca="1" si="272"/>
        <v>314.00130000000001</v>
      </c>
      <c r="Y380" s="236">
        <f t="shared" ca="1" si="258"/>
        <v>1.6575200000000001</v>
      </c>
      <c r="Z380" s="237">
        <f t="shared" ca="1" si="251"/>
        <v>520.4634347760001</v>
      </c>
      <c r="AA380" s="238"/>
      <c r="AB380" s="233" t="str">
        <f>IF(B380="insumo",_xlfn.XLOOKUP(S380,Insumos!A:A,Insumos!D:D),"")</f>
        <v/>
      </c>
      <c r="AC380" s="239">
        <f t="shared" ca="1" si="252"/>
        <v>7.46652248901984E-5</v>
      </c>
      <c r="AE380" s="240">
        <f ca="1">IFERROR(IF(OR(Z380="",Z380=0),"",IF(AF380="","",IF(AF380="R$/mês",Z380/OBRA!$D$12,IF(AF380="R$/m²",Z380/OBRA!$D$10,IF(AF380="R$/apto",Orçamento!Z380/OBRA!$D$11,""))))),"")</f>
        <v>0.26783419089660004</v>
      </c>
      <c r="AF380" s="241" t="s">
        <v>154</v>
      </c>
    </row>
    <row r="381" spans="1:32" s="10" customFormat="1" ht="13.15" hidden="1" customHeight="1" outlineLevel="4" x14ac:dyDescent="0.2">
      <c r="A381" s="227"/>
      <c r="B381" s="228" t="s">
        <v>19</v>
      </c>
      <c r="C381" s="229">
        <f t="shared" si="250"/>
        <v>29</v>
      </c>
      <c r="D381" s="227" t="str">
        <f t="shared" si="259"/>
        <v/>
      </c>
      <c r="E381" s="228" t="str">
        <f t="shared" ca="1" si="260"/>
        <v>04.002.002.005</v>
      </c>
      <c r="F381" s="230">
        <f ca="1">IF($B381="UNIDADE CONSTRUTIVA",OFFSET(F381,-1,0)+1,LARGE(F$10:F380,1))</f>
        <v>2</v>
      </c>
      <c r="G381" s="228" t="str">
        <f t="shared" ca="1" si="261"/>
        <v xml:space="preserve">   GERENCIAMENTO EXECUTIVO</v>
      </c>
      <c r="H381" s="230">
        <f t="shared" ca="1" si="262"/>
        <v>4</v>
      </c>
      <c r="I381" s="228" t="str">
        <f t="shared" ca="1" si="263"/>
        <v xml:space="preserve">   SUPRAESTRUTURA</v>
      </c>
      <c r="J381" s="230">
        <f t="shared" ca="1" si="264"/>
        <v>2</v>
      </c>
      <c r="K381" s="228" t="str">
        <f t="shared" ca="1" si="265"/>
        <v xml:space="preserve">   SUPRAESTRUTURA - 2º PAVIMENTO - TÉRREO</v>
      </c>
      <c r="L381" s="231">
        <f t="shared" ca="1" si="266"/>
        <v>2</v>
      </c>
      <c r="M381" s="228" t="str">
        <f t="shared" ca="1" si="267"/>
        <v xml:space="preserve">   Forma</v>
      </c>
      <c r="N381" s="231">
        <f t="shared" ca="1" si="268"/>
        <v>5</v>
      </c>
      <c r="O381" s="228" t="str">
        <f t="shared" ca="1" si="269"/>
        <v>Montagem E Desmontagem De Fôrma De Laje Nervurada Com Cubeta E Assoalho, Pé-Direito Simples, Em Chapa De Madeira Compensada Resinada, 8 Utilizações. Af_09/2020</v>
      </c>
      <c r="P381" s="232" t="str">
        <f>IF(S381="","",IF(Orçamento!$B381="INSUMO",S381,""))</f>
        <v>DESMOLDANTE</v>
      </c>
      <c r="Q381" s="244" t="str">
        <f t="shared" si="270"/>
        <v/>
      </c>
      <c r="R381" s="234">
        <f t="shared" ca="1" si="271"/>
        <v>314.00130000000001</v>
      </c>
      <c r="S381" s="233" t="s">
        <v>171</v>
      </c>
      <c r="T381" s="242" t="str">
        <f>_xlfn.XLOOKUP(S381,Insumos!$A$3:$A$371,Insumos!$B$3:$B$371)</f>
        <v>L</v>
      </c>
      <c r="U381" s="235">
        <f ca="1">IF($B381="insumo",R381,"")</f>
        <v>314.00130000000001</v>
      </c>
      <c r="V381" s="320">
        <v>8.0000000000000002E-3</v>
      </c>
      <c r="W381" s="236">
        <f>IFERROR(IF(B381="INSUMO",_xlfn.XLOOKUP(S381,Insumos!A:A,Insumos!C:C),""),"Inserir Preço")</f>
        <v>6.34</v>
      </c>
      <c r="X381" s="235">
        <f t="shared" ca="1" si="272"/>
        <v>2.5120104000000003</v>
      </c>
      <c r="Y381" s="236">
        <f t="shared" si="258"/>
        <v>5.0720000000000001E-2</v>
      </c>
      <c r="Z381" s="237">
        <f t="shared" ca="1" si="251"/>
        <v>15.926145936000001</v>
      </c>
      <c r="AA381" s="238"/>
      <c r="AB381" s="233" t="str">
        <f>IF(B381="insumo",_xlfn.XLOOKUP(S381,Insumos!A:A,Insumos!D:D),"")</f>
        <v xml:space="preserve"> </v>
      </c>
      <c r="AC381" s="239">
        <f t="shared" ca="1" si="252"/>
        <v>2.2847508364489492E-6</v>
      </c>
      <c r="AE381" s="240">
        <f ca="1">IFERROR(IF(OR(Z381="",Z381=0),"",IF(AF381="","",IF(AF381="R$/mês",Z381/OBRA!$D$12,IF(AF381="R$/m²",Z381/OBRA!$D$10,IF(AF381="R$/apto",Orçamento!Z381/OBRA!$D$11,""))))),"")</f>
        <v>8.1957081436577258E-3</v>
      </c>
      <c r="AF381" s="241" t="s">
        <v>154</v>
      </c>
    </row>
    <row r="382" spans="1:32" s="10" customFormat="1" ht="13.15" hidden="1" customHeight="1" outlineLevel="4" x14ac:dyDescent="0.2">
      <c r="A382" s="227"/>
      <c r="B382" s="228" t="s">
        <v>19</v>
      </c>
      <c r="C382" s="229">
        <f t="shared" si="250"/>
        <v>3</v>
      </c>
      <c r="D382" s="227" t="str">
        <f t="shared" si="259"/>
        <v/>
      </c>
      <c r="E382" s="228" t="str">
        <f t="shared" ca="1" si="260"/>
        <v>04.002.002.005</v>
      </c>
      <c r="F382" s="230">
        <f ca="1">IF($B382="UNIDADE CONSTRUTIVA",OFFSET(F382,-1,0)+1,LARGE(F$10:F381,1))</f>
        <v>2</v>
      </c>
      <c r="G382" s="228" t="str">
        <f t="shared" ca="1" si="261"/>
        <v xml:space="preserve">   GERENCIAMENTO EXECUTIVO</v>
      </c>
      <c r="H382" s="230">
        <f t="shared" ca="1" si="262"/>
        <v>4</v>
      </c>
      <c r="I382" s="228" t="str">
        <f t="shared" ca="1" si="263"/>
        <v xml:space="preserve">   SUPRAESTRUTURA</v>
      </c>
      <c r="J382" s="230">
        <f t="shared" ca="1" si="264"/>
        <v>2</v>
      </c>
      <c r="K382" s="228" t="str">
        <f t="shared" ca="1" si="265"/>
        <v xml:space="preserve">   SUPRAESTRUTURA - 2º PAVIMENTO - TÉRREO</v>
      </c>
      <c r="L382" s="231">
        <f t="shared" ca="1" si="266"/>
        <v>2</v>
      </c>
      <c r="M382" s="228" t="str">
        <f t="shared" ca="1" si="267"/>
        <v xml:space="preserve">   Forma</v>
      </c>
      <c r="N382" s="231">
        <f t="shared" ca="1" si="268"/>
        <v>5</v>
      </c>
      <c r="O382" s="228" t="str">
        <f t="shared" ca="1" si="269"/>
        <v>Montagem E Desmontagem De Fôrma De Laje Nervurada Com Cubeta E Assoalho, Pé-Direito Simples, Em Chapa De Madeira Compensada Resinada, 8 Utilizações. Af_09/2020</v>
      </c>
      <c r="P382" s="232" t="str">
        <f>IF(S382="","",IF(Orçamento!$B382="INSUMO",S382,""))</f>
        <v>LOCACAO DIARIA FORMA P/LAJE NERVURADA - CUBETA 800x200MM (AVULSO)</v>
      </c>
      <c r="Q382" s="244" t="str">
        <f t="shared" si="270"/>
        <v/>
      </c>
      <c r="R382" s="234">
        <f t="shared" ca="1" si="271"/>
        <v>314.00130000000001</v>
      </c>
      <c r="S382" s="233" t="s">
        <v>613</v>
      </c>
      <c r="T382" s="242" t="str">
        <f>_xlfn.XLOOKUP(S382,Insumos!$A$3:$A$371,Insumos!$B$3:$B$371)</f>
        <v>UN</v>
      </c>
      <c r="U382" s="235">
        <f ca="1">IF($B382="insumo",R382,"")</f>
        <v>314.00130000000001</v>
      </c>
      <c r="V382" s="320">
        <v>1.03</v>
      </c>
      <c r="W382" s="236">
        <f>IFERROR(IF(B382="INSUMO",_xlfn.XLOOKUP(S382,Insumos!A:A,Insumos!C:C),""),"Inserir Preço")</f>
        <v>1.56</v>
      </c>
      <c r="X382" s="235">
        <f t="shared" ca="1" si="272"/>
        <v>323.42133900000005</v>
      </c>
      <c r="Y382" s="236">
        <f t="shared" si="258"/>
        <v>1.6068</v>
      </c>
      <c r="Z382" s="237">
        <f t="shared" ca="1" si="251"/>
        <v>504.53728884000009</v>
      </c>
      <c r="AA382" s="238"/>
      <c r="AB382" s="233" t="str">
        <f>IF(B382="insumo",_xlfn.XLOOKUP(S382,Insumos!A:A,Insumos!D:D),"")</f>
        <v xml:space="preserve"> </v>
      </c>
      <c r="AC382" s="239">
        <f t="shared" ca="1" si="252"/>
        <v>7.2380474053749443E-5</v>
      </c>
      <c r="AE382" s="240">
        <f ca="1">IFERROR(IF(OR(Z382="",Z382=0),"",IF(AF382="","",IF(AF382="R$/mês",Z382/OBRA!$D$12,IF(AF382="R$/m²",Z382/OBRA!$D$10,IF(AF382="R$/apto",Orçamento!Z382/OBRA!$D$11,""))))),"")</f>
        <v>0.25963848275294232</v>
      </c>
      <c r="AF382" s="241" t="s">
        <v>154</v>
      </c>
    </row>
    <row r="383" spans="1:32" s="10" customFormat="1" ht="13.15" hidden="1" customHeight="1" outlineLevel="4" x14ac:dyDescent="0.2">
      <c r="A383" s="227"/>
      <c r="B383" s="228" t="s">
        <v>4</v>
      </c>
      <c r="C383" s="229">
        <f t="shared" si="250"/>
        <v>5</v>
      </c>
      <c r="D383" s="227" t="str">
        <f t="shared" ca="1" si="259"/>
        <v>04.002.002.006</v>
      </c>
      <c r="E383" s="228" t="str">
        <f t="shared" ca="1" si="260"/>
        <v>04.002.002.006</v>
      </c>
      <c r="F383" s="230">
        <f ca="1">IF($B383="UNIDADE CONSTRUTIVA",OFFSET(F383,-1,0)+1,LARGE(F$10:F382,1))</f>
        <v>2</v>
      </c>
      <c r="G383" s="228" t="str">
        <f t="shared" ca="1" si="261"/>
        <v xml:space="preserve">   GERENCIAMENTO EXECUTIVO</v>
      </c>
      <c r="H383" s="230">
        <f t="shared" ca="1" si="262"/>
        <v>4</v>
      </c>
      <c r="I383" s="228" t="str">
        <f t="shared" ca="1" si="263"/>
        <v xml:space="preserve">   SUPRAESTRUTURA</v>
      </c>
      <c r="J383" s="230">
        <f t="shared" ca="1" si="264"/>
        <v>2</v>
      </c>
      <c r="K383" s="228" t="str">
        <f t="shared" ca="1" si="265"/>
        <v xml:space="preserve">   SUPRAESTRUTURA - 2º PAVIMENTO - TÉRREO</v>
      </c>
      <c r="L383" s="231">
        <f t="shared" ca="1" si="266"/>
        <v>2</v>
      </c>
      <c r="M383" s="228" t="str">
        <f t="shared" ca="1" si="267"/>
        <v xml:space="preserve">   Forma</v>
      </c>
      <c r="N383" s="231">
        <f t="shared" ca="1" si="268"/>
        <v>6</v>
      </c>
      <c r="O383" s="228" t="str">
        <f t="shared" ca="1" si="269"/>
        <v>Montagem e desmontagem de fôrma para laje em chapa de madeira compensada plastificada</v>
      </c>
      <c r="P383" s="232" t="str">
        <f>IF(S383="","",IF(Orçamento!$B383="INSUMO",S383,""))</f>
        <v/>
      </c>
      <c r="Q383" s="244" t="str">
        <f t="shared" si="270"/>
        <v>Montagem e desmontagem de fôrma para laje em chapa de madeira compensada plastificada</v>
      </c>
      <c r="R383" s="234">
        <f t="shared" ca="1" si="271"/>
        <v>12.93469</v>
      </c>
      <c r="S383" s="233" t="s">
        <v>195</v>
      </c>
      <c r="T383" s="242" t="s">
        <v>140</v>
      </c>
      <c r="U383" s="235">
        <v>12.93469</v>
      </c>
      <c r="V383" s="320" t="s">
        <v>35</v>
      </c>
      <c r="W383" s="236" t="str">
        <f>IFERROR(IF(B383="INSUMO",_xlfn.XLOOKUP(S383,Insumos!A:A,Insumos!C:C),""),"Inserir Preço")</f>
        <v/>
      </c>
      <c r="X383" s="235">
        <f t="shared" ca="1" si="272"/>
        <v>12.93469</v>
      </c>
      <c r="Y383" s="236">
        <f t="shared" ca="1" si="258"/>
        <v>0.79095000000000004</v>
      </c>
      <c r="Z383" s="237">
        <f t="shared" ca="1" si="251"/>
        <v>10.2306930555</v>
      </c>
      <c r="AA383" s="238"/>
      <c r="AB383" s="233" t="str">
        <f>IF(B383="insumo",_xlfn.XLOOKUP(S383,Insumos!A:A,Insumos!D:D),"")</f>
        <v/>
      </c>
      <c r="AC383" s="239">
        <f t="shared" ca="1" si="252"/>
        <v>1.4676861941324658E-6</v>
      </c>
      <c r="AE383" s="240">
        <f ca="1">IFERROR(IF(OR(Z383="",Z383=0),"",IF(AF383="","",IF(AF383="R$/mês",Z383/OBRA!$D$12,IF(AF383="R$/m²",Z383/OBRA!$D$10,IF(AF383="R$/apto",Orçamento!Z383/OBRA!$D$11,""))))),"")</f>
        <v>5.2647875215491727E-3</v>
      </c>
      <c r="AF383" s="241" t="s">
        <v>154</v>
      </c>
    </row>
    <row r="384" spans="1:32" s="10" customFormat="1" ht="13.15" hidden="1" customHeight="1" outlineLevel="4" x14ac:dyDescent="0.2">
      <c r="A384" s="227"/>
      <c r="B384" s="228" t="s">
        <v>19</v>
      </c>
      <c r="C384" s="229">
        <f t="shared" si="250"/>
        <v>29</v>
      </c>
      <c r="D384" s="227" t="str">
        <f t="shared" si="259"/>
        <v/>
      </c>
      <c r="E384" s="228" t="str">
        <f t="shared" ca="1" si="260"/>
        <v>04.002.002.006</v>
      </c>
      <c r="F384" s="230">
        <f ca="1">IF($B384="UNIDADE CONSTRUTIVA",OFFSET(F384,-1,0)+1,LARGE(F$10:F383,1))</f>
        <v>2</v>
      </c>
      <c r="G384" s="228" t="str">
        <f t="shared" ca="1" si="261"/>
        <v xml:space="preserve">   GERENCIAMENTO EXECUTIVO</v>
      </c>
      <c r="H384" s="230">
        <f t="shared" ca="1" si="262"/>
        <v>4</v>
      </c>
      <c r="I384" s="228" t="str">
        <f t="shared" ca="1" si="263"/>
        <v xml:space="preserve">   SUPRAESTRUTURA</v>
      </c>
      <c r="J384" s="230">
        <f t="shared" ca="1" si="264"/>
        <v>2</v>
      </c>
      <c r="K384" s="228" t="str">
        <f t="shared" ca="1" si="265"/>
        <v xml:space="preserve">   SUPRAESTRUTURA - 2º PAVIMENTO - TÉRREO</v>
      </c>
      <c r="L384" s="231">
        <f t="shared" ca="1" si="266"/>
        <v>2</v>
      </c>
      <c r="M384" s="228" t="str">
        <f t="shared" ca="1" si="267"/>
        <v xml:space="preserve">   Forma</v>
      </c>
      <c r="N384" s="231">
        <f t="shared" ca="1" si="268"/>
        <v>6</v>
      </c>
      <c r="O384" s="228" t="str">
        <f t="shared" ca="1" si="269"/>
        <v>Montagem e desmontagem de fôrma para laje em chapa de madeira compensada plastificada</v>
      </c>
      <c r="P384" s="232" t="str">
        <f>IF(S384="","",IF(Orçamento!$B384="INSUMO",S384,""))</f>
        <v>DESMOLDANTE</v>
      </c>
      <c r="Q384" s="244" t="str">
        <f t="shared" si="270"/>
        <v/>
      </c>
      <c r="R384" s="234">
        <f t="shared" ca="1" si="271"/>
        <v>12.93469</v>
      </c>
      <c r="S384" s="233" t="s">
        <v>171</v>
      </c>
      <c r="T384" s="242" t="str">
        <f>_xlfn.XLOOKUP(S384,Insumos!$A$3:$A$371,Insumos!$B$3:$B$371)</f>
        <v>L</v>
      </c>
      <c r="U384" s="235">
        <f ca="1">IF($B384="insumo",R384,"")</f>
        <v>12.93469</v>
      </c>
      <c r="V384" s="320">
        <v>0.06</v>
      </c>
      <c r="W384" s="236">
        <f>IFERROR(IF(B384="INSUMO",_xlfn.XLOOKUP(S384,Insumos!A:A,Insumos!C:C),""),"Inserir Preço")</f>
        <v>6.34</v>
      </c>
      <c r="X384" s="235">
        <f t="shared" ca="1" si="272"/>
        <v>0.77608139999999992</v>
      </c>
      <c r="Y384" s="236">
        <f t="shared" si="258"/>
        <v>0.38039999999999996</v>
      </c>
      <c r="Z384" s="237">
        <f t="shared" ca="1" si="251"/>
        <v>4.9203560759999991</v>
      </c>
      <c r="AA384" s="238"/>
      <c r="AB384" s="233" t="str">
        <f>IF(B384="insumo",_xlfn.XLOOKUP(S384,Insumos!A:A,Insumos!D:D),"")</f>
        <v xml:space="preserve"> </v>
      </c>
      <c r="AC384" s="239">
        <f t="shared" ca="1" si="252"/>
        <v>7.0586993899486687E-7</v>
      </c>
      <c r="AE384" s="240">
        <f ca="1">IFERROR(IF(OR(Z384="",Z384=0),"",IF(AF384="","",IF(AF384="R$/mês",Z384/OBRA!$D$12,IF(AF384="R$/m²",Z384/OBRA!$D$10,IF(AF384="R$/apto",Orçamento!Z384/OBRA!$D$11,""))))),"")</f>
        <v>2.5320502853496494E-3</v>
      </c>
      <c r="AF384" s="241" t="s">
        <v>154</v>
      </c>
    </row>
    <row r="385" spans="1:32" s="10" customFormat="1" ht="13.15" hidden="1" customHeight="1" outlineLevel="4" x14ac:dyDescent="0.2">
      <c r="A385" s="227"/>
      <c r="B385" s="228" t="s">
        <v>19</v>
      </c>
      <c r="C385" s="229">
        <f t="shared" si="250"/>
        <v>20</v>
      </c>
      <c r="D385" s="227" t="str">
        <f t="shared" si="259"/>
        <v/>
      </c>
      <c r="E385" s="228" t="str">
        <f t="shared" ca="1" si="260"/>
        <v>04.002.002.006</v>
      </c>
      <c r="F385" s="230">
        <f ca="1">IF($B385="UNIDADE CONSTRUTIVA",OFFSET(F385,-1,0)+1,LARGE(F$10:F384,1))</f>
        <v>2</v>
      </c>
      <c r="G385" s="228" t="str">
        <f t="shared" ca="1" si="261"/>
        <v xml:space="preserve">   GERENCIAMENTO EXECUTIVO</v>
      </c>
      <c r="H385" s="230">
        <f t="shared" ca="1" si="262"/>
        <v>4</v>
      </c>
      <c r="I385" s="228" t="str">
        <f t="shared" ca="1" si="263"/>
        <v xml:space="preserve">   SUPRAESTRUTURA</v>
      </c>
      <c r="J385" s="230">
        <f t="shared" ca="1" si="264"/>
        <v>2</v>
      </c>
      <c r="K385" s="228" t="str">
        <f t="shared" ca="1" si="265"/>
        <v xml:space="preserve">   SUPRAESTRUTURA - 2º PAVIMENTO - TÉRREO</v>
      </c>
      <c r="L385" s="231">
        <f t="shared" ca="1" si="266"/>
        <v>2</v>
      </c>
      <c r="M385" s="228" t="str">
        <f t="shared" ca="1" si="267"/>
        <v xml:space="preserve">   Forma</v>
      </c>
      <c r="N385" s="231">
        <f t="shared" ca="1" si="268"/>
        <v>6</v>
      </c>
      <c r="O385" s="228" t="str">
        <f t="shared" ca="1" si="269"/>
        <v>Montagem e desmontagem de fôrma para laje em chapa de madeira compensada plastificada</v>
      </c>
      <c r="P385" s="232" t="str">
        <f>IF(S385="","",IF(Orçamento!$B385="INSUMO",S385,""))</f>
        <v>Arame recozido 12 BWG</v>
      </c>
      <c r="Q385" s="244" t="str">
        <f t="shared" si="270"/>
        <v/>
      </c>
      <c r="R385" s="234">
        <f t="shared" ca="1" si="271"/>
        <v>12.93469</v>
      </c>
      <c r="S385" s="233" t="s">
        <v>196</v>
      </c>
      <c r="T385" s="242" t="str">
        <f>_xlfn.XLOOKUP(S385,Insumos!$A$3:$A$371,Insumos!$B$3:$B$371)</f>
        <v>KG</v>
      </c>
      <c r="U385" s="235">
        <f ca="1">IF($B385="insumo",R385,"")</f>
        <v>12.93469</v>
      </c>
      <c r="V385" s="320">
        <v>3.5700000000000003E-2</v>
      </c>
      <c r="W385" s="236">
        <f>IFERROR(IF(B385="INSUMO",_xlfn.XLOOKUP(S385,Insumos!A:A,Insumos!C:C),""),"Inserir Preço")</f>
        <v>11.5</v>
      </c>
      <c r="X385" s="235">
        <f t="shared" ca="1" si="272"/>
        <v>0.46176843300000003</v>
      </c>
      <c r="Y385" s="236">
        <f t="shared" si="258"/>
        <v>0.41055000000000003</v>
      </c>
      <c r="Z385" s="237">
        <f t="shared" ca="1" si="251"/>
        <v>5.3103369795000006</v>
      </c>
      <c r="AA385" s="238"/>
      <c r="AB385" s="233" t="str">
        <f>IF(B385="insumo",_xlfn.XLOOKUP(S385,Insumos!A:A,Insumos!D:D),"")</f>
        <v>Base de Dados</v>
      </c>
      <c r="AC385" s="239">
        <f t="shared" ca="1" si="252"/>
        <v>7.6181625513759907E-7</v>
      </c>
      <c r="AE385" s="240">
        <f ca="1">IFERROR(IF(OR(Z385="",Z385=0),"",IF(AF385="","",IF(AF385="R$/mês",Z385/OBRA!$D$12,IF(AF385="R$/m²",Z385/OBRA!$D$10,IF(AF385="R$/apto",Orçamento!Z385/OBRA!$D$11,""))))),"")</f>
        <v>2.7327372361995238E-3</v>
      </c>
      <c r="AF385" s="241" t="s">
        <v>154</v>
      </c>
    </row>
    <row r="386" spans="1:32" s="10" customFormat="1" ht="13.15" hidden="1" customHeight="1" outlineLevel="4" x14ac:dyDescent="0.2">
      <c r="A386" s="227"/>
      <c r="B386" s="228" t="s">
        <v>4</v>
      </c>
      <c r="C386" s="229">
        <f t="shared" si="250"/>
        <v>5</v>
      </c>
      <c r="D386" s="227" t="str">
        <f t="shared" ca="1" si="259"/>
        <v>04.002.002.007</v>
      </c>
      <c r="E386" s="228" t="str">
        <f t="shared" ca="1" si="260"/>
        <v>04.002.002.007</v>
      </c>
      <c r="F386" s="230">
        <f ca="1">IF($B386="UNIDADE CONSTRUTIVA",OFFSET(F386,-1,0)+1,LARGE(F$10:F385,1))</f>
        <v>2</v>
      </c>
      <c r="G386" s="228" t="str">
        <f t="shared" ca="1" si="261"/>
        <v xml:space="preserve">   GERENCIAMENTO EXECUTIVO</v>
      </c>
      <c r="H386" s="230">
        <f t="shared" ca="1" si="262"/>
        <v>4</v>
      </c>
      <c r="I386" s="228" t="str">
        <f t="shared" ca="1" si="263"/>
        <v xml:space="preserve">   SUPRAESTRUTURA</v>
      </c>
      <c r="J386" s="230">
        <f t="shared" ca="1" si="264"/>
        <v>2</v>
      </c>
      <c r="K386" s="228" t="str">
        <f t="shared" ca="1" si="265"/>
        <v xml:space="preserve">   SUPRAESTRUTURA - 2º PAVIMENTO - TÉRREO</v>
      </c>
      <c r="L386" s="231">
        <f t="shared" ca="1" si="266"/>
        <v>2</v>
      </c>
      <c r="M386" s="228" t="str">
        <f t="shared" ca="1" si="267"/>
        <v xml:space="preserve">   Forma</v>
      </c>
      <c r="N386" s="231">
        <f t="shared" ca="1" si="268"/>
        <v>7</v>
      </c>
      <c r="O386" s="228" t="str">
        <f t="shared" ca="1" si="269"/>
        <v>Montagem e desmontagem de fôrma para pilares em chapa de madeira compensada plastificada</v>
      </c>
      <c r="P386" s="232" t="str">
        <f>IF(S386="","",IF(Orçamento!$B386="INSUMO",S386,""))</f>
        <v/>
      </c>
      <c r="Q386" s="244" t="str">
        <f t="shared" si="270"/>
        <v>Montagem e desmontagem de fôrma para pilares em chapa de madeira compensada plastificada</v>
      </c>
      <c r="R386" s="234">
        <f t="shared" ca="1" si="271"/>
        <v>99.976999999999975</v>
      </c>
      <c r="S386" s="233" t="s">
        <v>197</v>
      </c>
      <c r="T386" s="242" t="s">
        <v>140</v>
      </c>
      <c r="U386" s="235">
        <v>99.976999999999975</v>
      </c>
      <c r="V386" s="320" t="s">
        <v>35</v>
      </c>
      <c r="W386" s="236" t="str">
        <f>IFERROR(IF(B386="INSUMO",_xlfn.XLOOKUP(S386,Insumos!A:A,Insumos!C:C),""),"Inserir Preço")</f>
        <v/>
      </c>
      <c r="X386" s="235">
        <f t="shared" ca="1" si="272"/>
        <v>99.976999999999975</v>
      </c>
      <c r="Y386" s="236">
        <f t="shared" ca="1" si="258"/>
        <v>1.14195</v>
      </c>
      <c r="Z386" s="237">
        <f t="shared" ca="1" si="251"/>
        <v>114.16873514999997</v>
      </c>
      <c r="AA386" s="238"/>
      <c r="AB386" s="233" t="str">
        <f>IF(B386="insumo",_xlfn.XLOOKUP(S386,Insumos!A:A,Insumos!D:D),"")</f>
        <v/>
      </c>
      <c r="AC386" s="239">
        <f t="shared" ca="1" si="252"/>
        <v>1.6378545956975902E-5</v>
      </c>
      <c r="AE386" s="240">
        <f ca="1">IFERROR(IF(OR(Z386="",Z386=0),"",IF(AF386="","",IF(AF386="R$/mês",Z386/OBRA!$D$12,IF(AF386="R$/m²",Z386/OBRA!$D$10,IF(AF386="R$/apto",Orçamento!Z386/OBRA!$D$11,""))))),"")</f>
        <v>5.8752044353987933E-2</v>
      </c>
      <c r="AF386" s="241" t="s">
        <v>154</v>
      </c>
    </row>
    <row r="387" spans="1:32" s="10" customFormat="1" ht="13.15" hidden="1" customHeight="1" outlineLevel="4" x14ac:dyDescent="0.2">
      <c r="A387" s="227"/>
      <c r="B387" s="228" t="s">
        <v>19</v>
      </c>
      <c r="C387" s="229">
        <f t="shared" si="250"/>
        <v>29</v>
      </c>
      <c r="D387" s="227" t="str">
        <f t="shared" si="259"/>
        <v/>
      </c>
      <c r="E387" s="228" t="str">
        <f t="shared" ca="1" si="260"/>
        <v>04.002.002.007</v>
      </c>
      <c r="F387" s="230">
        <f ca="1">IF($B387="UNIDADE CONSTRUTIVA",OFFSET(F387,-1,0)+1,LARGE(F$10:F386,1))</f>
        <v>2</v>
      </c>
      <c r="G387" s="228" t="str">
        <f t="shared" ca="1" si="261"/>
        <v xml:space="preserve">   GERENCIAMENTO EXECUTIVO</v>
      </c>
      <c r="H387" s="230">
        <f t="shared" ca="1" si="262"/>
        <v>4</v>
      </c>
      <c r="I387" s="228" t="str">
        <f t="shared" ca="1" si="263"/>
        <v xml:space="preserve">   SUPRAESTRUTURA</v>
      </c>
      <c r="J387" s="230">
        <f t="shared" ca="1" si="264"/>
        <v>2</v>
      </c>
      <c r="K387" s="228" t="str">
        <f t="shared" ca="1" si="265"/>
        <v xml:space="preserve">   SUPRAESTRUTURA - 2º PAVIMENTO - TÉRREO</v>
      </c>
      <c r="L387" s="231">
        <f t="shared" ca="1" si="266"/>
        <v>2</v>
      </c>
      <c r="M387" s="228" t="str">
        <f t="shared" ca="1" si="267"/>
        <v xml:space="preserve">   Forma</v>
      </c>
      <c r="N387" s="231">
        <f t="shared" ca="1" si="268"/>
        <v>7</v>
      </c>
      <c r="O387" s="228" t="str">
        <f t="shared" ca="1" si="269"/>
        <v>Montagem e desmontagem de fôrma para pilares em chapa de madeira compensada plastificada</v>
      </c>
      <c r="P387" s="232" t="str">
        <f>IF(S387="","",IF(Orçamento!$B387="INSUMO",S387,""))</f>
        <v>DESMOLDANTE</v>
      </c>
      <c r="Q387" s="244" t="str">
        <f t="shared" si="270"/>
        <v/>
      </c>
      <c r="R387" s="234">
        <f t="shared" ca="1" si="271"/>
        <v>99.976999999999975</v>
      </c>
      <c r="S387" s="233" t="s">
        <v>171</v>
      </c>
      <c r="T387" s="242" t="str">
        <f>_xlfn.XLOOKUP(S387,Insumos!$A$3:$A$371,Insumos!$B$3:$B$371)</f>
        <v>L</v>
      </c>
      <c r="U387" s="235">
        <f ca="1">IF($B387="insumo",R387,"")</f>
        <v>99.976999999999975</v>
      </c>
      <c r="V387" s="320">
        <v>0.06</v>
      </c>
      <c r="W387" s="236">
        <f>IFERROR(IF(B387="INSUMO",_xlfn.XLOOKUP(S387,Insumos!A:A,Insumos!C:C),""),"Inserir Preço")</f>
        <v>6.34</v>
      </c>
      <c r="X387" s="235">
        <f t="shared" ca="1" si="272"/>
        <v>5.9986199999999981</v>
      </c>
      <c r="Y387" s="236">
        <f t="shared" si="258"/>
        <v>0.38039999999999996</v>
      </c>
      <c r="Z387" s="237">
        <f t="shared" ca="1" si="251"/>
        <v>38.031250799999988</v>
      </c>
      <c r="AA387" s="238"/>
      <c r="AB387" s="233" t="str">
        <f>IF(B387="insumo",_xlfn.XLOOKUP(S387,Insumos!A:A,Insumos!D:D),"")</f>
        <v xml:space="preserve"> </v>
      </c>
      <c r="AC387" s="239">
        <f t="shared" ca="1" si="252"/>
        <v>5.4559296659517771E-6</v>
      </c>
      <c r="AE387" s="240">
        <f ca="1">IFERROR(IF(OR(Z387="",Z387=0),"",IF(AF387="","",IF(AF387="R$/mês",Z387/OBRA!$D$12,IF(AF387="R$/m²",Z387/OBRA!$D$10,IF(AF387="R$/apto",Orçamento!Z387/OBRA!$D$11,""))))),"")</f>
        <v>1.9571152565573808E-2</v>
      </c>
      <c r="AF387" s="241" t="s">
        <v>154</v>
      </c>
    </row>
    <row r="388" spans="1:32" s="10" customFormat="1" ht="13.15" hidden="1" customHeight="1" outlineLevel="4" x14ac:dyDescent="0.2">
      <c r="A388" s="227"/>
      <c r="B388" s="228" t="s">
        <v>19</v>
      </c>
      <c r="C388" s="229">
        <f t="shared" si="250"/>
        <v>44</v>
      </c>
      <c r="D388" s="227" t="str">
        <f t="shared" si="259"/>
        <v/>
      </c>
      <c r="E388" s="228" t="str">
        <f t="shared" ca="1" si="260"/>
        <v>04.002.002.007</v>
      </c>
      <c r="F388" s="230">
        <f ca="1">IF($B388="UNIDADE CONSTRUTIVA",OFFSET(F388,-1,0)+1,LARGE(F$10:F387,1))</f>
        <v>2</v>
      </c>
      <c r="G388" s="228" t="str">
        <f t="shared" ca="1" si="261"/>
        <v xml:space="preserve">   GERENCIAMENTO EXECUTIVO</v>
      </c>
      <c r="H388" s="230">
        <f t="shared" ca="1" si="262"/>
        <v>4</v>
      </c>
      <c r="I388" s="228" t="str">
        <f t="shared" ca="1" si="263"/>
        <v xml:space="preserve">   SUPRAESTRUTURA</v>
      </c>
      <c r="J388" s="230">
        <f t="shared" ca="1" si="264"/>
        <v>2</v>
      </c>
      <c r="K388" s="228" t="str">
        <f t="shared" ca="1" si="265"/>
        <v xml:space="preserve">   SUPRAESTRUTURA - 2º PAVIMENTO - TÉRREO</v>
      </c>
      <c r="L388" s="231">
        <f t="shared" ca="1" si="266"/>
        <v>2</v>
      </c>
      <c r="M388" s="228" t="str">
        <f t="shared" ca="1" si="267"/>
        <v xml:space="preserve">   Forma</v>
      </c>
      <c r="N388" s="231">
        <f t="shared" ca="1" si="268"/>
        <v>7</v>
      </c>
      <c r="O388" s="228" t="str">
        <f t="shared" ca="1" si="269"/>
        <v>Montagem e desmontagem de fôrma para pilares em chapa de madeira compensada plastificada</v>
      </c>
      <c r="P388" s="232" t="str">
        <f>IF(S388="","",IF(Orçamento!$B388="INSUMO",S388,""))</f>
        <v>PREGO 17 x 21 COM CABECA</v>
      </c>
      <c r="Q388" s="244" t="str">
        <f t="shared" si="270"/>
        <v/>
      </c>
      <c r="R388" s="234">
        <f t="shared" ca="1" si="271"/>
        <v>99.976999999999975</v>
      </c>
      <c r="S388" s="233" t="s">
        <v>173</v>
      </c>
      <c r="T388" s="242" t="str">
        <f>_xlfn.XLOOKUP(S388,Insumos!$A$3:$A$371,Insumos!$B$3:$B$371)</f>
        <v>KG</v>
      </c>
      <c r="U388" s="235">
        <f ca="1">IF($B388="insumo",R388,"")</f>
        <v>99.976999999999975</v>
      </c>
      <c r="V388" s="320">
        <v>2.7E-2</v>
      </c>
      <c r="W388" s="236">
        <f>IFERROR(IF(B388="INSUMO",_xlfn.XLOOKUP(S388,Insumos!A:A,Insumos!C:C),""),"Inserir Preço")</f>
        <v>13</v>
      </c>
      <c r="X388" s="235">
        <f t="shared" ca="1" si="272"/>
        <v>2.6993789999999991</v>
      </c>
      <c r="Y388" s="236">
        <f t="shared" si="258"/>
        <v>0.35099999999999998</v>
      </c>
      <c r="Z388" s="237">
        <f t="shared" ca="1" si="251"/>
        <v>35.091926999999991</v>
      </c>
      <c r="AA388" s="238"/>
      <c r="AB388" s="233" t="str">
        <f>IF(B388="insumo",_xlfn.XLOOKUP(S388,Insumos!A:A,Insumos!D:D),"")</f>
        <v xml:space="preserve"> </v>
      </c>
      <c r="AC388" s="239">
        <f t="shared" ca="1" si="252"/>
        <v>5.0342568684255358E-6</v>
      </c>
      <c r="AE388" s="240">
        <f ca="1">IFERROR(IF(OR(Z388="",Z388=0),"",IF(AF388="","",IF(AF388="R$/mês",Z388/OBRA!$D$12,IF(AF388="R$/m²",Z388/OBRA!$D$10,IF(AF388="R$/apto",Orçamento!Z388/OBRA!$D$11,""))))),"")</f>
        <v>1.8058555600726622E-2</v>
      </c>
      <c r="AF388" s="241" t="s">
        <v>154</v>
      </c>
    </row>
    <row r="389" spans="1:32" s="10" customFormat="1" ht="13.15" hidden="1" customHeight="1" outlineLevel="4" x14ac:dyDescent="0.2">
      <c r="A389" s="227"/>
      <c r="B389" s="228" t="s">
        <v>19</v>
      </c>
      <c r="C389" s="229">
        <f t="shared" si="250"/>
        <v>20</v>
      </c>
      <c r="D389" s="227" t="str">
        <f t="shared" si="259"/>
        <v/>
      </c>
      <c r="E389" s="228" t="str">
        <f t="shared" ca="1" si="260"/>
        <v>04.002.002.007</v>
      </c>
      <c r="F389" s="230">
        <f ca="1">IF($B389="UNIDADE CONSTRUTIVA",OFFSET(F389,-1,0)+1,LARGE(F$10:F388,1))</f>
        <v>2</v>
      </c>
      <c r="G389" s="228" t="str">
        <f t="shared" ca="1" si="261"/>
        <v xml:space="preserve">   GERENCIAMENTO EXECUTIVO</v>
      </c>
      <c r="H389" s="230">
        <f t="shared" ca="1" si="262"/>
        <v>4</v>
      </c>
      <c r="I389" s="228" t="str">
        <f t="shared" ca="1" si="263"/>
        <v xml:space="preserve">   SUPRAESTRUTURA</v>
      </c>
      <c r="J389" s="230">
        <f t="shared" ca="1" si="264"/>
        <v>2</v>
      </c>
      <c r="K389" s="228" t="str">
        <f t="shared" ca="1" si="265"/>
        <v xml:space="preserve">   SUPRAESTRUTURA - 2º PAVIMENTO - TÉRREO</v>
      </c>
      <c r="L389" s="231">
        <f t="shared" ca="1" si="266"/>
        <v>2</v>
      </c>
      <c r="M389" s="228" t="str">
        <f t="shared" ca="1" si="267"/>
        <v xml:space="preserve">   Forma</v>
      </c>
      <c r="N389" s="231">
        <f t="shared" ca="1" si="268"/>
        <v>7</v>
      </c>
      <c r="O389" s="228" t="str">
        <f t="shared" ca="1" si="269"/>
        <v>Montagem e desmontagem de fôrma para pilares em chapa de madeira compensada plastificada</v>
      </c>
      <c r="P389" s="232" t="str">
        <f>IF(S389="","",IF(Orçamento!$B389="INSUMO",S389,""))</f>
        <v>Arame recozido 12 BWG</v>
      </c>
      <c r="Q389" s="244" t="str">
        <f t="shared" si="270"/>
        <v/>
      </c>
      <c r="R389" s="234">
        <f t="shared" ca="1" si="271"/>
        <v>99.976999999999975</v>
      </c>
      <c r="S389" s="233" t="s">
        <v>196</v>
      </c>
      <c r="T389" s="242" t="str">
        <f>_xlfn.XLOOKUP(S389,Insumos!$A$3:$A$371,Insumos!$B$3:$B$371)</f>
        <v>KG</v>
      </c>
      <c r="U389" s="235">
        <f ca="1">IF($B389="insumo",R389,"")</f>
        <v>99.976999999999975</v>
      </c>
      <c r="V389" s="320">
        <v>3.5700000000000003E-2</v>
      </c>
      <c r="W389" s="236">
        <f>IFERROR(IF(B389="INSUMO",_xlfn.XLOOKUP(S389,Insumos!A:A,Insumos!C:C),""),"Inserir Preço")</f>
        <v>11.5</v>
      </c>
      <c r="X389" s="235">
        <f t="shared" ca="1" si="272"/>
        <v>3.5691788999999994</v>
      </c>
      <c r="Y389" s="236">
        <f t="shared" si="258"/>
        <v>0.41055000000000003</v>
      </c>
      <c r="Z389" s="237">
        <f t="shared" ca="1" si="251"/>
        <v>41.045557349999996</v>
      </c>
      <c r="AA389" s="238"/>
      <c r="AB389" s="233" t="str">
        <f>IF(B389="insumo",_xlfn.XLOOKUP(S389,Insumos!A:A,Insumos!D:D),"")</f>
        <v>Base de Dados</v>
      </c>
      <c r="AC389" s="239">
        <f t="shared" ca="1" si="252"/>
        <v>5.8883594225985878E-6</v>
      </c>
      <c r="AE389" s="240">
        <f ca="1">IFERROR(IF(OR(Z389="",Z389=0),"",IF(AF389="","",IF(AF389="R$/mês",Z389/OBRA!$D$12,IF(AF389="R$/m²",Z389/OBRA!$D$10,IF(AF389="R$/apto",Orçamento!Z389/OBRA!$D$11,""))))),"")</f>
        <v>2.1122336187687506E-2</v>
      </c>
      <c r="AF389" s="241" t="s">
        <v>154</v>
      </c>
    </row>
    <row r="390" spans="1:32" s="10" customFormat="1" ht="13.15" hidden="1" customHeight="1" outlineLevel="4" x14ac:dyDescent="0.2">
      <c r="A390" s="227"/>
      <c r="B390" s="228" t="s">
        <v>4</v>
      </c>
      <c r="C390" s="229">
        <f t="shared" si="250"/>
        <v>5</v>
      </c>
      <c r="D390" s="227" t="str">
        <f t="shared" ca="1" si="259"/>
        <v>04.002.002.008</v>
      </c>
      <c r="E390" s="228" t="str">
        <f t="shared" ca="1" si="260"/>
        <v>04.002.002.008</v>
      </c>
      <c r="F390" s="230">
        <f ca="1">IF($B390="UNIDADE CONSTRUTIVA",OFFSET(F390,-1,0)+1,LARGE(F$10:F389,1))</f>
        <v>2</v>
      </c>
      <c r="G390" s="228" t="str">
        <f t="shared" ca="1" si="261"/>
        <v xml:space="preserve">   GERENCIAMENTO EXECUTIVO</v>
      </c>
      <c r="H390" s="230">
        <f t="shared" ca="1" si="262"/>
        <v>4</v>
      </c>
      <c r="I390" s="228" t="str">
        <f t="shared" ca="1" si="263"/>
        <v xml:space="preserve">   SUPRAESTRUTURA</v>
      </c>
      <c r="J390" s="230">
        <f t="shared" ca="1" si="264"/>
        <v>2</v>
      </c>
      <c r="K390" s="228" t="str">
        <f t="shared" ca="1" si="265"/>
        <v xml:space="preserve">   SUPRAESTRUTURA - 2º PAVIMENTO - TÉRREO</v>
      </c>
      <c r="L390" s="231">
        <f t="shared" ca="1" si="266"/>
        <v>2</v>
      </c>
      <c r="M390" s="228" t="str">
        <f t="shared" ca="1" si="267"/>
        <v xml:space="preserve">   Forma</v>
      </c>
      <c r="N390" s="231">
        <f t="shared" ca="1" si="268"/>
        <v>8</v>
      </c>
      <c r="O390" s="228" t="str">
        <f t="shared" ca="1" si="269"/>
        <v>Montagem e desmontagem de fôrma para vigas em chapa de madeira compensada plastificada</v>
      </c>
      <c r="P390" s="232" t="str">
        <f>IF(S390="","",IF(Orçamento!$B390="INSUMO",S390,""))</f>
        <v/>
      </c>
      <c r="Q390" s="244" t="str">
        <f t="shared" si="270"/>
        <v>Montagem e desmontagem de fôrma para vigas em chapa de madeira compensada plastificada</v>
      </c>
      <c r="R390" s="234">
        <f t="shared" ca="1" si="271"/>
        <v>87.815637199999998</v>
      </c>
      <c r="S390" s="233" t="s">
        <v>198</v>
      </c>
      <c r="T390" s="242" t="s">
        <v>140</v>
      </c>
      <c r="U390" s="235">
        <v>87.815637199999998</v>
      </c>
      <c r="V390" s="320" t="s">
        <v>35</v>
      </c>
      <c r="W390" s="236" t="str">
        <f>IFERROR(IF(B390="INSUMO",_xlfn.XLOOKUP(S390,Insumos!A:A,Insumos!C:C),""),"Inserir Preço")</f>
        <v/>
      </c>
      <c r="X390" s="235">
        <f t="shared" ca="1" si="272"/>
        <v>87.815637199999998</v>
      </c>
      <c r="Y390" s="236">
        <f t="shared" ca="1" si="258"/>
        <v>2.8129500000000003</v>
      </c>
      <c r="Z390" s="237">
        <f t="shared" ca="1" si="251"/>
        <v>247.02099666174001</v>
      </c>
      <c r="AA390" s="238"/>
      <c r="AB390" s="233" t="str">
        <f>IF(B390="insumo",_xlfn.XLOOKUP(S390,Insumos!A:A,Insumos!D:D),"")</f>
        <v/>
      </c>
      <c r="AC390" s="239">
        <f t="shared" ca="1" si="252"/>
        <v>3.5437414112074452E-5</v>
      </c>
      <c r="AE390" s="240">
        <f ca="1">IFERROR(IF(OR(Z390="",Z390=0),"",IF(AF390="","",IF(AF390="R$/mês",Z390/OBRA!$D$12,IF(AF390="R$/m²",Z390/OBRA!$D$10,IF(AF390="R$/apto",Orçamento!Z390/OBRA!$D$11,""))))),"")</f>
        <v>0.12711876446006906</v>
      </c>
      <c r="AF390" s="241" t="s">
        <v>154</v>
      </c>
    </row>
    <row r="391" spans="1:32" s="10" customFormat="1" ht="13.15" hidden="1" customHeight="1" outlineLevel="4" x14ac:dyDescent="0.2">
      <c r="A391" s="227"/>
      <c r="B391" s="228" t="s">
        <v>19</v>
      </c>
      <c r="C391" s="229">
        <f t="shared" si="250"/>
        <v>29</v>
      </c>
      <c r="D391" s="227" t="str">
        <f t="shared" si="259"/>
        <v/>
      </c>
      <c r="E391" s="228" t="str">
        <f t="shared" ca="1" si="260"/>
        <v>04.002.002.008</v>
      </c>
      <c r="F391" s="230">
        <f ca="1">IF($B391="UNIDADE CONSTRUTIVA",OFFSET(F391,-1,0)+1,LARGE(F$10:F390,1))</f>
        <v>2</v>
      </c>
      <c r="G391" s="228" t="str">
        <f t="shared" ca="1" si="261"/>
        <v xml:space="preserve">   GERENCIAMENTO EXECUTIVO</v>
      </c>
      <c r="H391" s="230">
        <f t="shared" ca="1" si="262"/>
        <v>4</v>
      </c>
      <c r="I391" s="228" t="str">
        <f t="shared" ca="1" si="263"/>
        <v xml:space="preserve">   SUPRAESTRUTURA</v>
      </c>
      <c r="J391" s="230">
        <f t="shared" ca="1" si="264"/>
        <v>2</v>
      </c>
      <c r="K391" s="228" t="str">
        <f t="shared" ca="1" si="265"/>
        <v xml:space="preserve">   SUPRAESTRUTURA - 2º PAVIMENTO - TÉRREO</v>
      </c>
      <c r="L391" s="231">
        <f t="shared" ca="1" si="266"/>
        <v>2</v>
      </c>
      <c r="M391" s="228" t="str">
        <f t="shared" ca="1" si="267"/>
        <v xml:space="preserve">   Forma</v>
      </c>
      <c r="N391" s="231">
        <f t="shared" ca="1" si="268"/>
        <v>8</v>
      </c>
      <c r="O391" s="228" t="str">
        <f t="shared" ca="1" si="269"/>
        <v>Montagem e desmontagem de fôrma para vigas em chapa de madeira compensada plastificada</v>
      </c>
      <c r="P391" s="232" t="str">
        <f>IF(S391="","",IF(Orçamento!$B391="INSUMO",S391,""))</f>
        <v>DESMOLDANTE</v>
      </c>
      <c r="Q391" s="244" t="str">
        <f t="shared" si="270"/>
        <v/>
      </c>
      <c r="R391" s="234">
        <f t="shared" ca="1" si="271"/>
        <v>87.815637199999998</v>
      </c>
      <c r="S391" s="233" t="s">
        <v>171</v>
      </c>
      <c r="T391" s="242" t="str">
        <f>_xlfn.XLOOKUP(S391,Insumos!$A$3:$A$371,Insumos!$B$3:$B$371)</f>
        <v>L</v>
      </c>
      <c r="U391" s="235">
        <f ca="1">IF($B391="insumo",R391,"")</f>
        <v>87.815637199999998</v>
      </c>
      <c r="V391" s="320">
        <v>0.06</v>
      </c>
      <c r="W391" s="236">
        <f>IFERROR(IF(B391="INSUMO",_xlfn.XLOOKUP(S391,Insumos!A:A,Insumos!C:C),""),"Inserir Preço")</f>
        <v>6.34</v>
      </c>
      <c r="X391" s="235">
        <f t="shared" ca="1" si="272"/>
        <v>5.268938232</v>
      </c>
      <c r="Y391" s="236">
        <f t="shared" si="258"/>
        <v>0.38039999999999996</v>
      </c>
      <c r="Z391" s="237">
        <f t="shared" ca="1" si="251"/>
        <v>33.405068390879997</v>
      </c>
      <c r="AA391" s="238"/>
      <c r="AB391" s="233" t="str">
        <f>IF(B391="insumo",_xlfn.XLOOKUP(S391,Insumos!A:A,Insumos!D:D),"")</f>
        <v xml:space="preserve"> </v>
      </c>
      <c r="AC391" s="239">
        <f t="shared" ca="1" si="252"/>
        <v>4.7922616215123332E-6</v>
      </c>
      <c r="AE391" s="240">
        <f ca="1">IFERROR(IF(OR(Z391="",Z391=0),"",IF(AF391="","",IF(AF391="R$/mês",Z391/OBRA!$D$12,IF(AF391="R$/m²",Z391/OBRA!$D$10,IF(AF391="R$/apto",Orçamento!Z391/OBRA!$D$11,""))))),"")</f>
        <v>1.7190486144656059E-2</v>
      </c>
      <c r="AF391" s="241" t="s">
        <v>154</v>
      </c>
    </row>
    <row r="392" spans="1:32" s="10" customFormat="1" ht="13.15" hidden="1" customHeight="1" outlineLevel="4" x14ac:dyDescent="0.2">
      <c r="A392" s="227"/>
      <c r="B392" s="228" t="s">
        <v>19</v>
      </c>
      <c r="C392" s="229">
        <f t="shared" si="250"/>
        <v>44</v>
      </c>
      <c r="D392" s="227" t="str">
        <f t="shared" si="259"/>
        <v/>
      </c>
      <c r="E392" s="228" t="str">
        <f t="shared" ca="1" si="260"/>
        <v>04.002.002.008</v>
      </c>
      <c r="F392" s="230">
        <f ca="1">IF($B392="UNIDADE CONSTRUTIVA",OFFSET(F392,-1,0)+1,LARGE(F$10:F391,1))</f>
        <v>2</v>
      </c>
      <c r="G392" s="228" t="str">
        <f t="shared" ca="1" si="261"/>
        <v xml:space="preserve">   GERENCIAMENTO EXECUTIVO</v>
      </c>
      <c r="H392" s="230">
        <f t="shared" ca="1" si="262"/>
        <v>4</v>
      </c>
      <c r="I392" s="228" t="str">
        <f t="shared" ca="1" si="263"/>
        <v xml:space="preserve">   SUPRAESTRUTURA</v>
      </c>
      <c r="J392" s="230">
        <f t="shared" ca="1" si="264"/>
        <v>2</v>
      </c>
      <c r="K392" s="228" t="str">
        <f t="shared" ca="1" si="265"/>
        <v xml:space="preserve">   SUPRAESTRUTURA - 2º PAVIMENTO - TÉRREO</v>
      </c>
      <c r="L392" s="231">
        <f t="shared" ca="1" si="266"/>
        <v>2</v>
      </c>
      <c r="M392" s="228" t="str">
        <f t="shared" ca="1" si="267"/>
        <v xml:space="preserve">   Forma</v>
      </c>
      <c r="N392" s="231">
        <f t="shared" ca="1" si="268"/>
        <v>8</v>
      </c>
      <c r="O392" s="228" t="str">
        <f t="shared" ca="1" si="269"/>
        <v>Montagem e desmontagem de fôrma para vigas em chapa de madeira compensada plastificada</v>
      </c>
      <c r="P392" s="232" t="str">
        <f>IF(S392="","",IF(Orçamento!$B392="INSUMO",S392,""))</f>
        <v>PREGO 17 x 21 COM CABECA</v>
      </c>
      <c r="Q392" s="244" t="str">
        <f t="shared" si="270"/>
        <v/>
      </c>
      <c r="R392" s="234">
        <f t="shared" ca="1" si="271"/>
        <v>87.815637199999998</v>
      </c>
      <c r="S392" s="233" t="s">
        <v>173</v>
      </c>
      <c r="T392" s="242" t="str">
        <f>_xlfn.XLOOKUP(S392,Insumos!$A$3:$A$371,Insumos!$B$3:$B$371)</f>
        <v>KG</v>
      </c>
      <c r="U392" s="235">
        <f ca="1">IF($B392="insumo",R392,"")</f>
        <v>87.815637199999998</v>
      </c>
      <c r="V392" s="320">
        <v>0.155</v>
      </c>
      <c r="W392" s="236">
        <f>IFERROR(IF(B392="INSUMO",_xlfn.XLOOKUP(S392,Insumos!A:A,Insumos!C:C),""),"Inserir Preço")</f>
        <v>13</v>
      </c>
      <c r="X392" s="235">
        <f t="shared" ca="1" si="272"/>
        <v>13.611423766</v>
      </c>
      <c r="Y392" s="236">
        <f t="shared" si="258"/>
        <v>2.0150000000000001</v>
      </c>
      <c r="Z392" s="237">
        <f t="shared" ca="1" si="251"/>
        <v>176.94850895799999</v>
      </c>
      <c r="AA392" s="238"/>
      <c r="AB392" s="233" t="str">
        <f>IF(B392="insumo",_xlfn.XLOOKUP(S392,Insumos!A:A,Insumos!D:D),"")</f>
        <v xml:space="preserve"> </v>
      </c>
      <c r="AC392" s="239">
        <f t="shared" ca="1" si="252"/>
        <v>2.5384876885771168E-5</v>
      </c>
      <c r="AE392" s="240">
        <f ca="1">IFERROR(IF(OR(Z392="",Z392=0),"",IF(AF392="","",IF(AF392="R$/mês",Z392/OBRA!$D$12,IF(AF392="R$/m²",Z392/OBRA!$D$10,IF(AF392="R$/apto",Orçamento!Z392/OBRA!$D$11,""))))),"")</f>
        <v>9.1058963147954683E-2</v>
      </c>
      <c r="AF392" s="241" t="s">
        <v>154</v>
      </c>
    </row>
    <row r="393" spans="1:32" s="10" customFormat="1" ht="13.15" hidden="1" customHeight="1" outlineLevel="4" x14ac:dyDescent="0.2">
      <c r="A393" s="227"/>
      <c r="B393" s="228" t="s">
        <v>19</v>
      </c>
      <c r="C393" s="229">
        <f t="shared" si="250"/>
        <v>26</v>
      </c>
      <c r="D393" s="227" t="str">
        <f t="shared" si="259"/>
        <v/>
      </c>
      <c r="E393" s="228" t="str">
        <f t="shared" ca="1" si="260"/>
        <v>04.002.002.008</v>
      </c>
      <c r="F393" s="230">
        <f ca="1">IF($B393="UNIDADE CONSTRUTIVA",OFFSET(F393,-1,0)+1,LARGE(F$10:F392,1))</f>
        <v>2</v>
      </c>
      <c r="G393" s="228" t="str">
        <f t="shared" ca="1" si="261"/>
        <v xml:space="preserve">   GERENCIAMENTO EXECUTIVO</v>
      </c>
      <c r="H393" s="230">
        <f t="shared" ca="1" si="262"/>
        <v>4</v>
      </c>
      <c r="I393" s="228" t="str">
        <f t="shared" ca="1" si="263"/>
        <v xml:space="preserve">   SUPRAESTRUTURA</v>
      </c>
      <c r="J393" s="230">
        <f t="shared" ca="1" si="264"/>
        <v>2</v>
      </c>
      <c r="K393" s="228" t="str">
        <f t="shared" ca="1" si="265"/>
        <v xml:space="preserve">   SUPRAESTRUTURA - 2º PAVIMENTO - TÉRREO</v>
      </c>
      <c r="L393" s="231">
        <f t="shared" ca="1" si="266"/>
        <v>2</v>
      </c>
      <c r="M393" s="228" t="str">
        <f t="shared" ca="1" si="267"/>
        <v xml:space="preserve">   Forma</v>
      </c>
      <c r="N393" s="231">
        <f t="shared" ca="1" si="268"/>
        <v>8</v>
      </c>
      <c r="O393" s="228" t="str">
        <f t="shared" ca="1" si="269"/>
        <v>Montagem e desmontagem de fôrma para vigas em chapa de madeira compensada plastificada</v>
      </c>
      <c r="P393" s="232" t="str">
        <f>IF(S393="","",IF(Orçamento!$B393="INSUMO",S393,""))</f>
        <v>MADEIRA PINUS/SIMILAR - PONTALETE 75X75MM NBR 11700/15696</v>
      </c>
      <c r="Q393" s="244" t="str">
        <f t="shared" si="270"/>
        <v/>
      </c>
      <c r="R393" s="234">
        <f t="shared" ca="1" si="271"/>
        <v>87.815637199999998</v>
      </c>
      <c r="S393" s="233" t="s">
        <v>807</v>
      </c>
      <c r="T393" s="242" t="str">
        <f>_xlfn.XLOOKUP(S393,Insumos!$A$3:$A$371,Insumos!$B$3:$B$371)</f>
        <v>M</v>
      </c>
      <c r="U393" s="235">
        <f ca="1">IF($B393="insumo",R393,"")</f>
        <v>87.815637199999998</v>
      </c>
      <c r="V393" s="320">
        <v>1E-3</v>
      </c>
      <c r="W393" s="236">
        <f>IFERROR(IF(B393="INSUMO",_xlfn.XLOOKUP(S393,Insumos!A:A,Insumos!C:C),""),"Inserir Preço")</f>
        <v>7</v>
      </c>
      <c r="X393" s="235">
        <f t="shared" ca="1" si="272"/>
        <v>8.7815637200000005E-2</v>
      </c>
      <c r="Y393" s="236">
        <f t="shared" si="258"/>
        <v>7.0000000000000001E-3</v>
      </c>
      <c r="Z393" s="237">
        <f t="shared" ca="1" si="251"/>
        <v>0.61470946040000007</v>
      </c>
      <c r="AA393" s="238"/>
      <c r="AB393" s="233" t="str">
        <f>IF(B393="insumo",_xlfn.XLOOKUP(S393,Insumos!A:A,Insumos!D:D),"")</f>
        <v xml:space="preserve"> </v>
      </c>
      <c r="AC393" s="239">
        <f t="shared" ca="1" si="252"/>
        <v>8.8185676526252209E-8</v>
      </c>
      <c r="AE393" s="240">
        <f ca="1">IFERROR(IF(OR(Z393="",Z393=0),"",IF(AF393="","",IF(AF393="R$/mês",Z393/OBRA!$D$12,IF(AF393="R$/m²",Z393/OBRA!$D$10,IF(AF393="R$/apto",Orçamento!Z393/OBRA!$D$11,""))))),"")</f>
        <v>3.1633386701522727E-4</v>
      </c>
      <c r="AF393" s="241" t="s">
        <v>154</v>
      </c>
    </row>
    <row r="394" spans="1:32" s="10" customFormat="1" ht="13.15" hidden="1" customHeight="1" outlineLevel="4" x14ac:dyDescent="0.2">
      <c r="A394" s="227"/>
      <c r="B394" s="228" t="s">
        <v>19</v>
      </c>
      <c r="C394" s="229">
        <f t="shared" si="250"/>
        <v>20</v>
      </c>
      <c r="D394" s="227" t="str">
        <f t="shared" si="259"/>
        <v/>
      </c>
      <c r="E394" s="228" t="str">
        <f t="shared" ca="1" si="260"/>
        <v>04.002.002.008</v>
      </c>
      <c r="F394" s="230">
        <f ca="1">IF($B394="UNIDADE CONSTRUTIVA",OFFSET(F394,-1,0)+1,LARGE(F$10:F393,1))</f>
        <v>2</v>
      </c>
      <c r="G394" s="228" t="str">
        <f t="shared" ca="1" si="261"/>
        <v xml:space="preserve">   GERENCIAMENTO EXECUTIVO</v>
      </c>
      <c r="H394" s="230">
        <f t="shared" ca="1" si="262"/>
        <v>4</v>
      </c>
      <c r="I394" s="228" t="str">
        <f t="shared" ca="1" si="263"/>
        <v xml:space="preserve">   SUPRAESTRUTURA</v>
      </c>
      <c r="J394" s="230">
        <f t="shared" ca="1" si="264"/>
        <v>2</v>
      </c>
      <c r="K394" s="228" t="str">
        <f t="shared" ca="1" si="265"/>
        <v xml:space="preserve">   SUPRAESTRUTURA - 2º PAVIMENTO - TÉRREO</v>
      </c>
      <c r="L394" s="231">
        <f t="shared" ca="1" si="266"/>
        <v>2</v>
      </c>
      <c r="M394" s="228" t="str">
        <f t="shared" ca="1" si="267"/>
        <v xml:space="preserve">   Forma</v>
      </c>
      <c r="N394" s="231">
        <f t="shared" ca="1" si="268"/>
        <v>8</v>
      </c>
      <c r="O394" s="228" t="str">
        <f t="shared" ca="1" si="269"/>
        <v>Montagem e desmontagem de fôrma para vigas em chapa de madeira compensada plastificada</v>
      </c>
      <c r="P394" s="232" t="str">
        <f>IF(S394="","",IF(Orçamento!$B394="INSUMO",S394,""))</f>
        <v>Arame recozido 12 BWG</v>
      </c>
      <c r="Q394" s="244" t="str">
        <f t="shared" si="270"/>
        <v/>
      </c>
      <c r="R394" s="234">
        <f t="shared" ca="1" si="271"/>
        <v>87.815637199999998</v>
      </c>
      <c r="S394" s="233" t="s">
        <v>196</v>
      </c>
      <c r="T394" s="242" t="str">
        <f>_xlfn.XLOOKUP(S394,Insumos!$A$3:$A$371,Insumos!$B$3:$B$371)</f>
        <v>KG</v>
      </c>
      <c r="U394" s="235">
        <f ca="1">IF($B394="insumo",R394,"")</f>
        <v>87.815637199999998</v>
      </c>
      <c r="V394" s="320">
        <v>3.5700000000000003E-2</v>
      </c>
      <c r="W394" s="236">
        <f>IFERROR(IF(B394="INSUMO",_xlfn.XLOOKUP(S394,Insumos!A:A,Insumos!C:C),""),"Inserir Preço")</f>
        <v>11.5</v>
      </c>
      <c r="X394" s="235">
        <f t="shared" ca="1" si="272"/>
        <v>3.1350182480400002</v>
      </c>
      <c r="Y394" s="236">
        <f t="shared" si="258"/>
        <v>0.41055000000000003</v>
      </c>
      <c r="Z394" s="237">
        <f t="shared" ca="1" si="251"/>
        <v>36.052709852460005</v>
      </c>
      <c r="AA394" s="238"/>
      <c r="AB394" s="233" t="str">
        <f>IF(B394="insumo",_xlfn.XLOOKUP(S394,Insumos!A:A,Insumos!D:D),"")</f>
        <v>Base de Dados</v>
      </c>
      <c r="AC394" s="239">
        <f t="shared" ca="1" si="252"/>
        <v>5.1720899282646926E-6</v>
      </c>
      <c r="AE394" s="240">
        <f ca="1">IFERROR(IF(OR(Z394="",Z394=0),"",IF(AF394="","",IF(AF394="R$/mês",Z394/OBRA!$D$12,IF(AF394="R$/m²",Z394/OBRA!$D$10,IF(AF394="R$/apto",Orçamento!Z394/OBRA!$D$11,""))))),"")</f>
        <v>1.855298130044308E-2</v>
      </c>
      <c r="AF394" s="241" t="s">
        <v>154</v>
      </c>
    </row>
    <row r="395" spans="1:32" s="10" customFormat="1" ht="13.15" hidden="1" customHeight="1" outlineLevel="4" x14ac:dyDescent="0.2">
      <c r="A395" s="227"/>
      <c r="B395" s="228" t="s">
        <v>4</v>
      </c>
      <c r="C395" s="229">
        <f t="shared" si="250"/>
        <v>5</v>
      </c>
      <c r="D395" s="227" t="str">
        <f t="shared" ca="1" si="259"/>
        <v>04.002.002.009</v>
      </c>
      <c r="E395" s="228" t="str">
        <f t="shared" ca="1" si="260"/>
        <v>04.002.002.009</v>
      </c>
      <c r="F395" s="230">
        <f ca="1">IF($B395="UNIDADE CONSTRUTIVA",OFFSET(F395,-1,0)+1,LARGE(F$10:F394,1))</f>
        <v>2</v>
      </c>
      <c r="G395" s="228" t="str">
        <f t="shared" ca="1" si="261"/>
        <v xml:space="preserve">   GERENCIAMENTO EXECUTIVO</v>
      </c>
      <c r="H395" s="230">
        <f t="shared" ca="1" si="262"/>
        <v>4</v>
      </c>
      <c r="I395" s="228" t="str">
        <f t="shared" ca="1" si="263"/>
        <v xml:space="preserve">   SUPRAESTRUTURA</v>
      </c>
      <c r="J395" s="230">
        <f t="shared" ca="1" si="264"/>
        <v>2</v>
      </c>
      <c r="K395" s="228" t="str">
        <f t="shared" ca="1" si="265"/>
        <v xml:space="preserve">   SUPRAESTRUTURA - 2º PAVIMENTO - TÉRREO</v>
      </c>
      <c r="L395" s="231">
        <f t="shared" ca="1" si="266"/>
        <v>2</v>
      </c>
      <c r="M395" s="228" t="str">
        <f t="shared" ca="1" si="267"/>
        <v xml:space="preserve">   Forma</v>
      </c>
      <c r="N395" s="231">
        <f t="shared" ca="1" si="268"/>
        <v>9</v>
      </c>
      <c r="O395" s="228" t="str">
        <f t="shared" ca="1" si="269"/>
        <v>Montagem de fôrma para escadarias em chapa de madeira compensada plastificada e=14 mm - 2 jogos</v>
      </c>
      <c r="P395" s="232" t="str">
        <f>IF(S395="","",IF(Orçamento!$B395="INSUMO",S395,""))</f>
        <v/>
      </c>
      <c r="Q395" s="244" t="str">
        <f t="shared" si="270"/>
        <v>Montagem de fôrma para escadarias em chapa de madeira compensada plastificada e=14 mm - 2 jogos</v>
      </c>
      <c r="R395" s="234">
        <f t="shared" ca="1" si="271"/>
        <v>20.058600000000002</v>
      </c>
      <c r="S395" s="233" t="s">
        <v>199</v>
      </c>
      <c r="T395" s="242" t="s">
        <v>140</v>
      </c>
      <c r="U395" s="235">
        <v>20.058600000000002</v>
      </c>
      <c r="V395" s="320" t="s">
        <v>35</v>
      </c>
      <c r="W395" s="236" t="str">
        <f>IFERROR(IF(B395="INSUMO",_xlfn.XLOOKUP(S395,Insumos!A:A,Insumos!C:C),""),"Inserir Preço")</f>
        <v/>
      </c>
      <c r="X395" s="235">
        <f t="shared" ca="1" si="272"/>
        <v>20.058600000000002</v>
      </c>
      <c r="Y395" s="236">
        <f t="shared" ca="1" si="258"/>
        <v>1.6489499999999999</v>
      </c>
      <c r="Z395" s="237">
        <f t="shared" ca="1" si="251"/>
        <v>33.075628469999998</v>
      </c>
      <c r="AA395" s="238"/>
      <c r="AB395" s="233" t="str">
        <f>IF(B395="insumo",_xlfn.XLOOKUP(S395,Insumos!A:A,Insumos!D:D),"")</f>
        <v/>
      </c>
      <c r="AC395" s="239">
        <f t="shared" ca="1" si="252"/>
        <v>4.7450004612909611E-6</v>
      </c>
      <c r="AE395" s="240">
        <f ca="1">IFERROR(IF(OR(Z395="",Z395=0),"",IF(AF395="","",IF(AF395="R$/mês",Z395/OBRA!$D$12,IF(AF395="R$/m²",Z395/OBRA!$D$10,IF(AF395="R$/apto",Orçamento!Z395/OBRA!$D$11,""))))),"")</f>
        <v>1.7020954014707469E-2</v>
      </c>
      <c r="AF395" s="241" t="s">
        <v>154</v>
      </c>
    </row>
    <row r="396" spans="1:32" s="10" customFormat="1" ht="13.15" hidden="1" customHeight="1" outlineLevel="4" x14ac:dyDescent="0.2">
      <c r="A396" s="227"/>
      <c r="B396" s="228" t="s">
        <v>19</v>
      </c>
      <c r="C396" s="229">
        <f t="shared" ref="C396:C459" si="286">IF(B396="INSUMO",COUNTIFS(B:B,"INSUMO",S:S,S396),IF(B396="SERVIÇO",COUNTIFS(B:B,"SERVIÇO",S:S,S396),""))</f>
        <v>29</v>
      </c>
      <c r="D396" s="227" t="str">
        <f t="shared" si="259"/>
        <v/>
      </c>
      <c r="E396" s="228" t="str">
        <f t="shared" ca="1" si="260"/>
        <v>04.002.002.009</v>
      </c>
      <c r="F396" s="230">
        <f ca="1">IF($B396="UNIDADE CONSTRUTIVA",OFFSET(F396,-1,0)+1,LARGE(F$10:F395,1))</f>
        <v>2</v>
      </c>
      <c r="G396" s="228" t="str">
        <f t="shared" ca="1" si="261"/>
        <v xml:space="preserve">   GERENCIAMENTO EXECUTIVO</v>
      </c>
      <c r="H396" s="230">
        <f t="shared" ca="1" si="262"/>
        <v>4</v>
      </c>
      <c r="I396" s="228" t="str">
        <f t="shared" ca="1" si="263"/>
        <v xml:space="preserve">   SUPRAESTRUTURA</v>
      </c>
      <c r="J396" s="230">
        <f t="shared" ca="1" si="264"/>
        <v>2</v>
      </c>
      <c r="K396" s="228" t="str">
        <f t="shared" ca="1" si="265"/>
        <v xml:space="preserve">   SUPRAESTRUTURA - 2º PAVIMENTO - TÉRREO</v>
      </c>
      <c r="L396" s="231">
        <f t="shared" ca="1" si="266"/>
        <v>2</v>
      </c>
      <c r="M396" s="228" t="str">
        <f t="shared" ca="1" si="267"/>
        <v xml:space="preserve">   Forma</v>
      </c>
      <c r="N396" s="231">
        <f t="shared" ca="1" si="268"/>
        <v>9</v>
      </c>
      <c r="O396" s="228" t="str">
        <f t="shared" ca="1" si="269"/>
        <v>Montagem de fôrma para escadarias em chapa de madeira compensada plastificada e=14 mm - 2 jogos</v>
      </c>
      <c r="P396" s="232" t="str">
        <f>IF(S396="","",IF(Orçamento!$B396="INSUMO",S396,""))</f>
        <v>DESMOLDANTE</v>
      </c>
      <c r="Q396" s="244" t="str">
        <f t="shared" si="270"/>
        <v/>
      </c>
      <c r="R396" s="234">
        <f t="shared" ca="1" si="271"/>
        <v>20.058600000000002</v>
      </c>
      <c r="S396" s="233" t="s">
        <v>171</v>
      </c>
      <c r="T396" s="242" t="str">
        <f>_xlfn.XLOOKUP(S396,Insumos!$A$3:$A$371,Insumos!$B$3:$B$371)</f>
        <v>L</v>
      </c>
      <c r="U396" s="235">
        <f ca="1">IF($B396="insumo",R396,"")</f>
        <v>20.058600000000002</v>
      </c>
      <c r="V396" s="320">
        <v>0.06</v>
      </c>
      <c r="W396" s="236">
        <f>IFERROR(IF(B396="INSUMO",_xlfn.XLOOKUP(S396,Insumos!A:A,Insumos!C:C),""),"Inserir Preço")</f>
        <v>6.34</v>
      </c>
      <c r="X396" s="235">
        <f t="shared" ca="1" si="272"/>
        <v>1.203516</v>
      </c>
      <c r="Y396" s="236">
        <f t="shared" si="258"/>
        <v>0.38039999999999996</v>
      </c>
      <c r="Z396" s="237">
        <f t="shared" ref="Z396:Z459" ca="1" si="287">IFERROR(IF(B396="Unidade Construtiva",SUMIFS(Z:Z,B:B,"Célula Construtiva",G:G,G396),IF(B396="célula construtiva",SUMIFS(Z:Z,B:B,"Insumo",I:I,I396,G:G,G396),IF(B396="ETAPA",SUMIFS(Z:Z,B:B,"Insumo",K:K,K396,I:I,I396,G:G,G396),IF(B396="subetapa",SUMIFS(Z:Z,M:M,M396,B:B,"insumo",K:K,K396,I:I,I396,G:G,G396),IF(B396="complemento do insumo",V396*W396,IF(B396="INSUMO",R396*V396*W396,X396*Y396)))))),"")</f>
        <v>7.6302914399999997</v>
      </c>
      <c r="AA396" s="238"/>
      <c r="AB396" s="233" t="str">
        <f>IF(B396="insumo",_xlfn.XLOOKUP(S396,Insumos!A:A,Insumos!D:D),"")</f>
        <v xml:space="preserve"> </v>
      </c>
      <c r="AC396" s="239">
        <f t="shared" ref="AC396:AC459" ca="1" si="288">IFERROR(IF(B396="","",Z396/SUMIF(B:B,"INSUMO",Z:Z)),0)</f>
        <v>1.0946348739956225E-6</v>
      </c>
      <c r="AE396" s="240">
        <f ca="1">IFERROR(IF(OR(Z396="",Z396=0),"",IF(AF396="","",IF(AF396="R$/mês",Z396/OBRA!$D$12,IF(AF396="R$/m²",Z396/OBRA!$D$10,IF(AF396="R$/apto",Orçamento!Z396/OBRA!$D$11,""))))),"")</f>
        <v>3.9266023270534108E-3</v>
      </c>
      <c r="AF396" s="241" t="s">
        <v>154</v>
      </c>
    </row>
    <row r="397" spans="1:32" s="10" customFormat="1" ht="13.15" hidden="1" customHeight="1" outlineLevel="4" x14ac:dyDescent="0.2">
      <c r="A397" s="227"/>
      <c r="B397" s="228" t="s">
        <v>19</v>
      </c>
      <c r="C397" s="229">
        <f t="shared" si="286"/>
        <v>44</v>
      </c>
      <c r="D397" s="227" t="str">
        <f t="shared" si="259"/>
        <v/>
      </c>
      <c r="E397" s="228" t="str">
        <f t="shared" ca="1" si="260"/>
        <v>04.002.002.009</v>
      </c>
      <c r="F397" s="230">
        <f ca="1">IF($B397="UNIDADE CONSTRUTIVA",OFFSET(F397,-1,0)+1,LARGE(F$10:F396,1))</f>
        <v>2</v>
      </c>
      <c r="G397" s="228" t="str">
        <f t="shared" ca="1" si="261"/>
        <v xml:space="preserve">   GERENCIAMENTO EXECUTIVO</v>
      </c>
      <c r="H397" s="230">
        <f t="shared" ca="1" si="262"/>
        <v>4</v>
      </c>
      <c r="I397" s="228" t="str">
        <f t="shared" ca="1" si="263"/>
        <v xml:space="preserve">   SUPRAESTRUTURA</v>
      </c>
      <c r="J397" s="230">
        <f t="shared" ca="1" si="264"/>
        <v>2</v>
      </c>
      <c r="K397" s="228" t="str">
        <f t="shared" ca="1" si="265"/>
        <v xml:space="preserve">   SUPRAESTRUTURA - 2º PAVIMENTO - TÉRREO</v>
      </c>
      <c r="L397" s="231">
        <f t="shared" ca="1" si="266"/>
        <v>2</v>
      </c>
      <c r="M397" s="228" t="str">
        <f t="shared" ca="1" si="267"/>
        <v xml:space="preserve">   Forma</v>
      </c>
      <c r="N397" s="231">
        <f t="shared" ca="1" si="268"/>
        <v>9</v>
      </c>
      <c r="O397" s="228" t="str">
        <f t="shared" ca="1" si="269"/>
        <v>Montagem de fôrma para escadarias em chapa de madeira compensada plastificada e=14 mm - 2 jogos</v>
      </c>
      <c r="P397" s="232" t="str">
        <f>IF(S397="","",IF(Orçamento!$B397="INSUMO",S397,""))</f>
        <v>PREGO 17 x 21 COM CABECA</v>
      </c>
      <c r="Q397" s="244" t="str">
        <f t="shared" si="270"/>
        <v/>
      </c>
      <c r="R397" s="234">
        <f t="shared" ca="1" si="271"/>
        <v>20.058600000000002</v>
      </c>
      <c r="S397" s="233" t="s">
        <v>173</v>
      </c>
      <c r="T397" s="242" t="str">
        <f>_xlfn.XLOOKUP(S397,Insumos!$A$3:$A$371,Insumos!$B$3:$B$371)</f>
        <v>KG</v>
      </c>
      <c r="U397" s="235">
        <f ca="1">IF($B397="insumo",R397,"")</f>
        <v>20.058600000000002</v>
      </c>
      <c r="V397" s="320">
        <v>6.6000000000000003E-2</v>
      </c>
      <c r="W397" s="236">
        <f>IFERROR(IF(B397="INSUMO",_xlfn.XLOOKUP(S397,Insumos!A:A,Insumos!C:C),""),"Inserir Preço")</f>
        <v>13</v>
      </c>
      <c r="X397" s="235">
        <f t="shared" ca="1" si="272"/>
        <v>1.3238676000000003</v>
      </c>
      <c r="Y397" s="236">
        <f t="shared" si="258"/>
        <v>0.8580000000000001</v>
      </c>
      <c r="Z397" s="237">
        <f t="shared" ca="1" si="287"/>
        <v>17.210278800000005</v>
      </c>
      <c r="AA397" s="238"/>
      <c r="AB397" s="233" t="str">
        <f>IF(B397="insumo",_xlfn.XLOOKUP(S397,Insumos!A:A,Insumos!D:D),"")</f>
        <v xml:space="preserve"> </v>
      </c>
      <c r="AC397" s="239">
        <f t="shared" ca="1" si="288"/>
        <v>2.4689714034917044E-6</v>
      </c>
      <c r="AE397" s="240">
        <f ca="1">IFERROR(IF(OR(Z397="",Z397=0),"",IF(AF397="","",IF(AF397="R$/mês",Z397/OBRA!$D$12,IF(AF397="R$/m²",Z397/OBRA!$D$10,IF(AF397="R$/apto",Orçamento!Z397/OBRA!$D$11,""))))),"")</f>
        <v>8.8565320625968134E-3</v>
      </c>
      <c r="AF397" s="241" t="s">
        <v>154</v>
      </c>
    </row>
    <row r="398" spans="1:32" s="10" customFormat="1" ht="13.15" hidden="1" customHeight="1" outlineLevel="4" x14ac:dyDescent="0.2">
      <c r="A398" s="227"/>
      <c r="B398" s="228" t="s">
        <v>19</v>
      </c>
      <c r="C398" s="229">
        <f t="shared" si="286"/>
        <v>20</v>
      </c>
      <c r="D398" s="227" t="str">
        <f t="shared" si="259"/>
        <v/>
      </c>
      <c r="E398" s="228" t="str">
        <f t="shared" ca="1" si="260"/>
        <v>04.002.002.009</v>
      </c>
      <c r="F398" s="230">
        <f ca="1">IF($B398="UNIDADE CONSTRUTIVA",OFFSET(F398,-1,0)+1,LARGE(F$10:F397,1))</f>
        <v>2</v>
      </c>
      <c r="G398" s="228" t="str">
        <f t="shared" ca="1" si="261"/>
        <v xml:space="preserve">   GERENCIAMENTO EXECUTIVO</v>
      </c>
      <c r="H398" s="230">
        <f t="shared" ca="1" si="262"/>
        <v>4</v>
      </c>
      <c r="I398" s="228" t="str">
        <f t="shared" ca="1" si="263"/>
        <v xml:space="preserve">   SUPRAESTRUTURA</v>
      </c>
      <c r="J398" s="230">
        <f t="shared" ca="1" si="264"/>
        <v>2</v>
      </c>
      <c r="K398" s="228" t="str">
        <f t="shared" ca="1" si="265"/>
        <v xml:space="preserve">   SUPRAESTRUTURA - 2º PAVIMENTO - TÉRREO</v>
      </c>
      <c r="L398" s="231">
        <f t="shared" ca="1" si="266"/>
        <v>2</v>
      </c>
      <c r="M398" s="228" t="str">
        <f t="shared" ca="1" si="267"/>
        <v xml:space="preserve">   Forma</v>
      </c>
      <c r="N398" s="231">
        <f t="shared" ca="1" si="268"/>
        <v>9</v>
      </c>
      <c r="O398" s="228" t="str">
        <f t="shared" ca="1" si="269"/>
        <v>Montagem de fôrma para escadarias em chapa de madeira compensada plastificada e=14 mm - 2 jogos</v>
      </c>
      <c r="P398" s="232" t="str">
        <f>IF(S398="","",IF(Orçamento!$B398="INSUMO",S398,""))</f>
        <v>Arame recozido 12 BWG</v>
      </c>
      <c r="Q398" s="244" t="str">
        <f t="shared" si="270"/>
        <v/>
      </c>
      <c r="R398" s="234">
        <f t="shared" ca="1" si="271"/>
        <v>20.058600000000002</v>
      </c>
      <c r="S398" s="233" t="s">
        <v>196</v>
      </c>
      <c r="T398" s="242" t="str">
        <f>_xlfn.XLOOKUP(S398,Insumos!$A$3:$A$371,Insumos!$B$3:$B$371)</f>
        <v>KG</v>
      </c>
      <c r="U398" s="235">
        <f ca="1">IF($B398="insumo",R398,"")</f>
        <v>20.058600000000002</v>
      </c>
      <c r="V398" s="320">
        <v>3.5700000000000003E-2</v>
      </c>
      <c r="W398" s="236">
        <f>IFERROR(IF(B398="INSUMO",_xlfn.XLOOKUP(S398,Insumos!A:A,Insumos!C:C),""),"Inserir Preço")</f>
        <v>11.5</v>
      </c>
      <c r="X398" s="235">
        <f t="shared" ca="1" si="272"/>
        <v>0.71609202000000016</v>
      </c>
      <c r="Y398" s="236">
        <f t="shared" si="258"/>
        <v>0.41055000000000003</v>
      </c>
      <c r="Z398" s="237">
        <f t="shared" ca="1" si="287"/>
        <v>8.2350582300000017</v>
      </c>
      <c r="AA398" s="238"/>
      <c r="AB398" s="233" t="str">
        <f>IF(B398="insumo",_xlfn.XLOOKUP(S398,Insumos!A:A,Insumos!D:D),"")</f>
        <v>Base de Dados</v>
      </c>
      <c r="AC398" s="239">
        <f t="shared" ca="1" si="288"/>
        <v>1.1813941838036354E-6</v>
      </c>
      <c r="AE398" s="240">
        <f ca="1">IFERROR(IF(OR(Z398="",Z398=0),"",IF(AF398="","",IF(AF398="R$/mês",Z398/OBRA!$D$12,IF(AF398="R$/m²",Z398/OBRA!$D$10,IF(AF398="R$/apto",Orçamento!Z398/OBRA!$D$11,""))))),"")</f>
        <v>4.2378196250572511E-3</v>
      </c>
      <c r="AF398" s="241" t="s">
        <v>154</v>
      </c>
    </row>
    <row r="399" spans="1:32" s="10" customFormat="1" ht="13.15" hidden="1" customHeight="1" outlineLevel="3" collapsed="1" x14ac:dyDescent="0.2">
      <c r="A399" s="227"/>
      <c r="B399" s="228" t="s">
        <v>3</v>
      </c>
      <c r="C399" s="229" t="str">
        <f t="shared" si="286"/>
        <v/>
      </c>
      <c r="D399" s="227" t="str">
        <f t="shared" ref="D399:D483" ca="1" si="289">IF(B399="Unidade Construtiva",TEXT(F399,"00"),IF(B399="Célula Construtiva",TEXT(H399,"00"),IF(B399="Etapa",CONCATENATE(TEXT(H399,"00"),".",TEXT(J399,"000")),IF(B399="Subetapa",CONCATENATE(TEXT(H399,"00"),".",TEXT(J399,"000"),".",TEXT(L399,"000")),IF(B399="Serviço",CONCATENATE(TEXT(H399,"00"),".",TEXT(J399,"000"),".",TEXT(L399,"000"),".",TEXT(N399,"000")),"")))))</f>
        <v>04.002.003</v>
      </c>
      <c r="E399" s="228" t="str">
        <f t="shared" ref="E399:E483" ca="1" si="290">IF(B399="*","",IFERROR(IF(B399="SERVIÇO",D399,OFFSET(E399,-1,0)),""))</f>
        <v>04.002.002.009</v>
      </c>
      <c r="F399" s="230">
        <f ca="1">IF($B399="UNIDADE CONSTRUTIVA",OFFSET(F399,-1,0)+1,LARGE(F$10:F398,1))</f>
        <v>2</v>
      </c>
      <c r="G399" s="228" t="str">
        <f t="shared" ref="G399:G479" ca="1" si="291">IF(B399="*","",IF(B399="UNIDADE CONSTRUTIVA",S399,OFFSET(G399,-1,0)))</f>
        <v xml:space="preserve">   GERENCIAMENTO EXECUTIVO</v>
      </c>
      <c r="H399" s="230">
        <f t="shared" ref="H399:H483" ca="1" si="292">IF(B399="UNIDADE CONSTRUTIVA",0,IF(B399="CÉLULA CONSTRUTIVA",OFFSET(H399,-1,0)+1,OFFSET(H399,-1,0)))</f>
        <v>4</v>
      </c>
      <c r="I399" s="228" t="str">
        <f t="shared" ref="I399:I479" ca="1" si="293">IF(B399="*","",IF(B399="CÉLULA CONSTRUTIVA",S399,OFFSET(I399,-1,0)))</f>
        <v xml:space="preserve">   SUPRAESTRUTURA</v>
      </c>
      <c r="J399" s="230">
        <f t="shared" ref="J399:J483" ca="1" si="294">IF(B399="CÉLULA CONSTRUTIVA",0,IF(B399="ETAPA",OFFSET(J399,-1,0)+1,OFFSET(J399,-1,0)))</f>
        <v>2</v>
      </c>
      <c r="K399" s="228" t="str">
        <f t="shared" ref="K399:K479" ca="1" si="295">IF(B399="*","",IF(B399="ETAPA",S399,OFFSET(K399,-1,0)))</f>
        <v xml:space="preserve">   SUPRAESTRUTURA - 2º PAVIMENTO - TÉRREO</v>
      </c>
      <c r="L399" s="231">
        <f t="shared" ref="L399:L483" ca="1" si="296">IF(B399="ETAPA",0,IF(B399="SUBETAPA",OFFSET(L399,-1,0)+1,OFFSET(L399,-1,0)))</f>
        <v>3</v>
      </c>
      <c r="M399" s="228" t="str">
        <f t="shared" ref="M399:M479" ca="1" si="297">IF(B399="*","",IF(B399="SUBETAPA",S399,OFFSET(M399,-1,0)))</f>
        <v xml:space="preserve">   Concreto</v>
      </c>
      <c r="N399" s="231">
        <f t="shared" ref="N399:N483" ca="1" si="298">IF(B399="Subetapa",0,IF(B399="serviço",OFFSET(N399,-1,0)+1,OFFSET(N399,-1,0)))</f>
        <v>0</v>
      </c>
      <c r="O399" s="228" t="str">
        <f t="shared" ref="O399:O479" ca="1" si="299">IF(B399="*","",IF(B399="SERVIÇO",S399,OFFSET(O399,-1,0)))</f>
        <v>Montagem de fôrma para escadarias em chapa de madeira compensada plastificada e=14 mm - 2 jogos</v>
      </c>
      <c r="P399" s="232" t="str">
        <f>IF(S399="","",IF(Orçamento!$B399="INSUMO",S399,""))</f>
        <v/>
      </c>
      <c r="Q399" s="244" t="str">
        <f t="shared" ref="Q399:Q484" si="300">IF(B399="","",IF(B399="Serviço",S399,""))</f>
        <v/>
      </c>
      <c r="R399" s="234">
        <f t="shared" ref="R399:R479" ca="1" si="301">IF(B399="serviço",U399,OFFSET(R399,-1,0))</f>
        <v>20.058600000000002</v>
      </c>
      <c r="S399" s="233" t="s">
        <v>435</v>
      </c>
      <c r="T399" s="242" t="s">
        <v>35</v>
      </c>
      <c r="U399" s="235" t="str">
        <f>IF($B399="insumo",R399,"")</f>
        <v/>
      </c>
      <c r="V399" s="320" t="s">
        <v>35</v>
      </c>
      <c r="W399" s="236" t="str">
        <f>IFERROR(IF(B399="INSUMO",_xlfn.XLOOKUP(S399,Insumos!A:A,Insumos!C:C),""),"Inserir Preço")</f>
        <v/>
      </c>
      <c r="X399" s="235" t="str">
        <f t="shared" ref="X399:X479" ca="1" si="302">IF(B399="Complemento do insumo",V399,IF(R399="","",IF(B399="serviço",R399,IF(OR(B399="insumo"),V399*R399,""))))</f>
        <v/>
      </c>
      <c r="Y399" s="236" t="str">
        <f t="shared" si="258"/>
        <v/>
      </c>
      <c r="Z399" s="237">
        <f t="shared" ca="1" si="287"/>
        <v>33020.971954252745</v>
      </c>
      <c r="AA399" s="238"/>
      <c r="AB399" s="233" t="str">
        <f>IF(B399="insumo",_xlfn.XLOOKUP(S399,Insumos!A:A,Insumos!D:D),"")</f>
        <v/>
      </c>
      <c r="AC399" s="239">
        <f t="shared" ca="1" si="288"/>
        <v>4.7371594857923858E-3</v>
      </c>
      <c r="AE399" s="240">
        <f ca="1">IFERROR(IF(OR(Z399="",Z399=0),"",IF(AF399="","",IF(AF399="R$/mês",Z399/OBRA!$D$12,IF(AF399="R$/m²",Z399/OBRA!$D$10,IF(AF399="R$/apto",Orçamento!Z399/OBRA!$D$11,""))))),"")</f>
        <v>16.99282738237509</v>
      </c>
      <c r="AF399" s="241" t="s">
        <v>154</v>
      </c>
    </row>
    <row r="400" spans="1:32" s="10" customFormat="1" ht="13.15" hidden="1" customHeight="1" outlineLevel="4" x14ac:dyDescent="0.2">
      <c r="A400" s="227"/>
      <c r="B400" s="228" t="s">
        <v>4</v>
      </c>
      <c r="C400" s="229">
        <f t="shared" si="286"/>
        <v>5</v>
      </c>
      <c r="D400" s="227" t="str">
        <f t="shared" ca="1" si="289"/>
        <v>04.002.003.001</v>
      </c>
      <c r="E400" s="228" t="str">
        <f t="shared" ca="1" si="290"/>
        <v>04.002.003.001</v>
      </c>
      <c r="F400" s="230">
        <f ca="1">IF($B400="UNIDADE CONSTRUTIVA",OFFSET(F400,-1,0)+1,LARGE(F$10:F399,1))</f>
        <v>2</v>
      </c>
      <c r="G400" s="228" t="str">
        <f t="shared" ca="1" si="291"/>
        <v xml:space="preserve">   GERENCIAMENTO EXECUTIVO</v>
      </c>
      <c r="H400" s="230">
        <f t="shared" ca="1" si="292"/>
        <v>4</v>
      </c>
      <c r="I400" s="228" t="str">
        <f t="shared" ca="1" si="293"/>
        <v xml:space="preserve">   SUPRAESTRUTURA</v>
      </c>
      <c r="J400" s="230">
        <f t="shared" ca="1" si="294"/>
        <v>2</v>
      </c>
      <c r="K400" s="228" t="str">
        <f t="shared" ca="1" si="295"/>
        <v xml:space="preserve">   SUPRAESTRUTURA - 2º PAVIMENTO - TÉRREO</v>
      </c>
      <c r="L400" s="231">
        <f t="shared" ca="1" si="296"/>
        <v>3</v>
      </c>
      <c r="M400" s="228" t="str">
        <f t="shared" ca="1" si="297"/>
        <v xml:space="preserve">   Concreto</v>
      </c>
      <c r="N400" s="231">
        <f t="shared" ca="1" si="298"/>
        <v>1</v>
      </c>
      <c r="O400" s="228" t="str">
        <f t="shared" ca="1" si="299"/>
        <v>Concreto usinado bombeavel para supraestrutura Fck 35MPa com Brita 0 SLUMP = 12 +/- 2 incluindo servico de bombeamento</v>
      </c>
      <c r="P400" s="232" t="str">
        <f>IF(S400="","",IF(Orçamento!$B400="INSUMO",S400,""))</f>
        <v/>
      </c>
      <c r="Q400" s="244" t="str">
        <f t="shared" si="300"/>
        <v>Concreto usinado bombeavel para supraestrutura Fck 35MPa com Brita 0 SLUMP = 12 +/- 2 incluindo servico de bombeamento</v>
      </c>
      <c r="R400" s="234">
        <f t="shared" ca="1" si="301"/>
        <v>64.715026995000002</v>
      </c>
      <c r="S400" s="233" t="s">
        <v>614</v>
      </c>
      <c r="T400" s="242" t="s">
        <v>166</v>
      </c>
      <c r="U400" s="235">
        <v>64.715026995000002</v>
      </c>
      <c r="V400" s="320" t="s">
        <v>35</v>
      </c>
      <c r="W400" s="236" t="str">
        <f>IFERROR(IF(B400="INSUMO",_xlfn.XLOOKUP(S400,Insumos!A:A,Insumos!C:C),""),"Inserir Preço")</f>
        <v/>
      </c>
      <c r="X400" s="235">
        <f t="shared" ca="1" si="302"/>
        <v>64.715026995000002</v>
      </c>
      <c r="Y400" s="236">
        <f t="shared" ca="1" si="258"/>
        <v>510.25200000000001</v>
      </c>
      <c r="Z400" s="237">
        <f t="shared" ca="1" si="287"/>
        <v>33020.971954252738</v>
      </c>
      <c r="AA400" s="238"/>
      <c r="AB400" s="233" t="str">
        <f>IF(B400="insumo",_xlfn.XLOOKUP(S400,Insumos!A:A,Insumos!D:D),"")</f>
        <v/>
      </c>
      <c r="AC400" s="239">
        <f t="shared" ca="1" si="288"/>
        <v>4.7371594857923841E-3</v>
      </c>
      <c r="AE400" s="240">
        <f ca="1">IFERROR(IF(OR(Z400="",Z400=0),"",IF(AF400="","",IF(AF400="R$/mês",Z400/OBRA!$D$12,IF(AF400="R$/m²",Z400/OBRA!$D$10,IF(AF400="R$/apto",Orçamento!Z400/OBRA!$D$11,""))))),"")</f>
        <v>16.992827382375086</v>
      </c>
      <c r="AF400" s="241" t="s">
        <v>154</v>
      </c>
    </row>
    <row r="401" spans="1:32" s="10" customFormat="1" ht="13.15" hidden="1" customHeight="1" outlineLevel="4" x14ac:dyDescent="0.2">
      <c r="A401" s="227"/>
      <c r="B401" s="228" t="s">
        <v>19</v>
      </c>
      <c r="C401" s="229">
        <f t="shared" si="286"/>
        <v>5</v>
      </c>
      <c r="D401" s="227" t="str">
        <f t="shared" si="289"/>
        <v/>
      </c>
      <c r="E401" s="228" t="str">
        <f t="shared" ca="1" si="290"/>
        <v>04.002.003.001</v>
      </c>
      <c r="F401" s="230">
        <f ca="1">IF($B401="UNIDADE CONSTRUTIVA",OFFSET(F401,-1,0)+1,LARGE(F$10:F400,1))</f>
        <v>2</v>
      </c>
      <c r="G401" s="228" t="str">
        <f t="shared" ca="1" si="291"/>
        <v xml:space="preserve">   GERENCIAMENTO EXECUTIVO</v>
      </c>
      <c r="H401" s="230">
        <f t="shared" ca="1" si="292"/>
        <v>4</v>
      </c>
      <c r="I401" s="228" t="str">
        <f t="shared" ca="1" si="293"/>
        <v xml:space="preserve">   SUPRAESTRUTURA</v>
      </c>
      <c r="J401" s="230">
        <f t="shared" ca="1" si="294"/>
        <v>2</v>
      </c>
      <c r="K401" s="228" t="str">
        <f t="shared" ca="1" si="295"/>
        <v xml:space="preserve">   SUPRAESTRUTURA - 2º PAVIMENTO - TÉRREO</v>
      </c>
      <c r="L401" s="231">
        <f t="shared" ca="1" si="296"/>
        <v>3</v>
      </c>
      <c r="M401" s="228" t="str">
        <f t="shared" ca="1" si="297"/>
        <v xml:space="preserve">   Concreto</v>
      </c>
      <c r="N401" s="231">
        <f t="shared" ca="1" si="298"/>
        <v>1</v>
      </c>
      <c r="O401" s="228" t="str">
        <f t="shared" ca="1" si="299"/>
        <v>Concreto usinado bombeavel para supraestrutura Fck 35MPa com Brita 0 SLUMP = 12 +/- 2 incluindo servico de bombeamento</v>
      </c>
      <c r="P401" s="232" t="str">
        <f>IF(S401="","",IF(Orçamento!$B401="INSUMO",S401,""))</f>
        <v>Cimento Portland CP II - E</v>
      </c>
      <c r="Q401" s="244" t="str">
        <f t="shared" si="300"/>
        <v/>
      </c>
      <c r="R401" s="234">
        <f t="shared" ca="1" si="301"/>
        <v>64.715026995000002</v>
      </c>
      <c r="S401" s="233" t="s">
        <v>201</v>
      </c>
      <c r="T401" s="242" t="str">
        <f>_xlfn.XLOOKUP(S401,Insumos!$A$3:$A$371,Insumos!$B$3:$B$371)</f>
        <v>KG</v>
      </c>
      <c r="U401" s="235">
        <f ca="1">IF($B401="insumo",R401,"")</f>
        <v>64.715026995000002</v>
      </c>
      <c r="V401" s="320">
        <v>1.67</v>
      </c>
      <c r="W401" s="236">
        <f>IFERROR(IF(B401="INSUMO",_xlfn.XLOOKUP(S401,Insumos!A:A,Insumos!C:C),""),"Inserir Preço")</f>
        <v>0.6</v>
      </c>
      <c r="X401" s="235">
        <f t="shared" ca="1" si="302"/>
        <v>108.07409508165</v>
      </c>
      <c r="Y401" s="236">
        <f t="shared" si="258"/>
        <v>1.002</v>
      </c>
      <c r="Z401" s="237">
        <f t="shared" ca="1" si="287"/>
        <v>64.844457048989995</v>
      </c>
      <c r="AA401" s="238"/>
      <c r="AB401" s="233" t="str">
        <f>IF(B401="insumo",_xlfn.XLOOKUP(S401,Insumos!A:A,Insumos!D:D),"")</f>
        <v xml:space="preserve"> </v>
      </c>
      <c r="AC401" s="239">
        <f t="shared" ca="1" si="288"/>
        <v>9.302528563854662E-6</v>
      </c>
      <c r="AE401" s="240">
        <f ca="1">IFERROR(IF(OR(Z401="",Z401=0),"",IF(AF401="","",IF(AF401="R$/mês",Z401/OBRA!$D$12,IF(AF401="R$/m²",Z401/OBRA!$D$10,IF(AF401="R$/apto",Orçamento!Z401/OBRA!$D$11,""))))),"")</f>
        <v>3.336941949691493E-2</v>
      </c>
      <c r="AF401" s="241" t="s">
        <v>154</v>
      </c>
    </row>
    <row r="402" spans="1:32" s="10" customFormat="1" ht="13.15" hidden="1" customHeight="1" outlineLevel="4" x14ac:dyDescent="0.2">
      <c r="A402" s="227"/>
      <c r="B402" s="228" t="s">
        <v>19</v>
      </c>
      <c r="C402" s="229">
        <f t="shared" si="286"/>
        <v>6</v>
      </c>
      <c r="D402" s="227" t="str">
        <f t="shared" si="289"/>
        <v/>
      </c>
      <c r="E402" s="228" t="str">
        <f t="shared" ca="1" si="290"/>
        <v>04.002.003.001</v>
      </c>
      <c r="F402" s="230">
        <f ca="1">IF($B402="UNIDADE CONSTRUTIVA",OFFSET(F402,-1,0)+1,LARGE(F$10:F401,1))</f>
        <v>2</v>
      </c>
      <c r="G402" s="228" t="str">
        <f t="shared" ca="1" si="291"/>
        <v xml:space="preserve">   GERENCIAMENTO EXECUTIVO</v>
      </c>
      <c r="H402" s="230">
        <f t="shared" ca="1" si="292"/>
        <v>4</v>
      </c>
      <c r="I402" s="228" t="str">
        <f t="shared" ca="1" si="293"/>
        <v xml:space="preserve">   SUPRAESTRUTURA</v>
      </c>
      <c r="J402" s="230">
        <f t="shared" ca="1" si="294"/>
        <v>2</v>
      </c>
      <c r="K402" s="228" t="str">
        <f t="shared" ca="1" si="295"/>
        <v xml:space="preserve">   SUPRAESTRUTURA - 2º PAVIMENTO - TÉRREO</v>
      </c>
      <c r="L402" s="231">
        <f t="shared" ca="1" si="296"/>
        <v>3</v>
      </c>
      <c r="M402" s="228" t="str">
        <f t="shared" ca="1" si="297"/>
        <v xml:space="preserve">   Concreto</v>
      </c>
      <c r="N402" s="231">
        <f t="shared" ca="1" si="298"/>
        <v>1</v>
      </c>
      <c r="O402" s="228" t="str">
        <f t="shared" ca="1" si="299"/>
        <v>Concreto usinado bombeavel para supraestrutura Fck 35MPa com Brita 0 SLUMP = 12 +/- 2 incluindo servico de bombeamento</v>
      </c>
      <c r="P402" s="232" t="str">
        <f>IF(S402="","",IF(Orçamento!$B402="INSUMO",S402,""))</f>
        <v>BOMBEAMENTO DE CONCRETO USINADO</v>
      </c>
      <c r="Q402" s="244" t="str">
        <f t="shared" si="300"/>
        <v/>
      </c>
      <c r="R402" s="234">
        <f t="shared" ca="1" si="301"/>
        <v>64.715026995000002</v>
      </c>
      <c r="S402" s="233" t="s">
        <v>167</v>
      </c>
      <c r="T402" s="242" t="str">
        <f>_xlfn.XLOOKUP(S402,Insumos!$A$3:$A$371,Insumos!$B$3:$B$371)</f>
        <v>M3</v>
      </c>
      <c r="U402" s="235">
        <f ca="1">IF($B402="insumo",R402,"")</f>
        <v>64.715026995000002</v>
      </c>
      <c r="V402" s="320">
        <v>1.05</v>
      </c>
      <c r="W402" s="236">
        <f>IFERROR(IF(B402="INSUMO",_xlfn.XLOOKUP(S402,Insumos!A:A,Insumos!C:C),""),"Inserir Preço")</f>
        <v>35</v>
      </c>
      <c r="X402" s="235">
        <f t="shared" ca="1" si="302"/>
        <v>67.950778344750006</v>
      </c>
      <c r="Y402" s="236">
        <f t="shared" si="258"/>
        <v>36.75</v>
      </c>
      <c r="Z402" s="237">
        <f t="shared" ca="1" si="287"/>
        <v>2378.2772420662504</v>
      </c>
      <c r="AA402" s="238"/>
      <c r="AB402" s="233" t="str">
        <f>IF(B402="insumo",_xlfn.XLOOKUP(S402,Insumos!A:A,Insumos!D:D),"")</f>
        <v>Engemix</v>
      </c>
      <c r="AC402" s="239">
        <f t="shared" ca="1" si="288"/>
        <v>3.4118555361443005E-4</v>
      </c>
      <c r="AE402" s="240">
        <f ca="1">IFERROR(IF(OR(Z402="",Z402=0),"",IF(AF402="","",IF(AF402="R$/mês",Z402/OBRA!$D$12,IF(AF402="R$/m²",Z402/OBRA!$D$10,IF(AF402="R$/apto",Orçamento!Z402/OBRA!$D$11,""))))),"")</f>
        <v>1.2238784096922395</v>
      </c>
      <c r="AF402" s="241" t="s">
        <v>154</v>
      </c>
    </row>
    <row r="403" spans="1:32" s="10" customFormat="1" ht="13.15" hidden="1" customHeight="1" outlineLevel="4" x14ac:dyDescent="0.2">
      <c r="A403" s="227"/>
      <c r="B403" s="228" t="s">
        <v>19</v>
      </c>
      <c r="C403" s="229">
        <f t="shared" si="286"/>
        <v>6</v>
      </c>
      <c r="D403" s="227" t="str">
        <f t="shared" si="289"/>
        <v/>
      </c>
      <c r="E403" s="228" t="str">
        <f t="shared" ca="1" si="290"/>
        <v>04.002.003.001</v>
      </c>
      <c r="F403" s="230">
        <f ca="1">IF($B403="UNIDADE CONSTRUTIVA",OFFSET(F403,-1,0)+1,LARGE(F$10:F402,1))</f>
        <v>2</v>
      </c>
      <c r="G403" s="228" t="str">
        <f t="shared" ca="1" si="291"/>
        <v xml:space="preserve">   GERENCIAMENTO EXECUTIVO</v>
      </c>
      <c r="H403" s="230">
        <f t="shared" ca="1" si="292"/>
        <v>4</v>
      </c>
      <c r="I403" s="228" t="str">
        <f t="shared" ca="1" si="293"/>
        <v xml:space="preserve">   SUPRAESTRUTURA</v>
      </c>
      <c r="J403" s="230">
        <f t="shared" ca="1" si="294"/>
        <v>2</v>
      </c>
      <c r="K403" s="228" t="str">
        <f t="shared" ca="1" si="295"/>
        <v xml:space="preserve">   SUPRAESTRUTURA - 2º PAVIMENTO - TÉRREO</v>
      </c>
      <c r="L403" s="231">
        <f t="shared" ca="1" si="296"/>
        <v>3</v>
      </c>
      <c r="M403" s="228" t="str">
        <f t="shared" ca="1" si="297"/>
        <v xml:space="preserve">   Concreto</v>
      </c>
      <c r="N403" s="231">
        <f t="shared" ca="1" si="298"/>
        <v>1</v>
      </c>
      <c r="O403" s="228" t="str">
        <f t="shared" ca="1" si="299"/>
        <v>Concreto usinado bombeavel para supraestrutura Fck 35MPa com Brita 0 SLUMP = 12 +/- 2 incluindo servico de bombeamento</v>
      </c>
      <c r="P403" s="232" t="str">
        <f>IF(S403="","",IF(Orçamento!$B403="INSUMO",S403,""))</f>
        <v>Concreto 35 MPA, brita 1, slump 12+-2</v>
      </c>
      <c r="Q403" s="244" t="str">
        <f t="shared" si="300"/>
        <v/>
      </c>
      <c r="R403" s="234">
        <f t="shared" ca="1" si="301"/>
        <v>64.715026995000002</v>
      </c>
      <c r="S403" s="233" t="s">
        <v>820</v>
      </c>
      <c r="T403" s="242" t="str">
        <f>_xlfn.XLOOKUP(S403,Insumos!$A$3:$A$371,Insumos!$B$3:$B$371)</f>
        <v>M3</v>
      </c>
      <c r="U403" s="235">
        <f ca="1">IF($B403="insumo",R403,"")</f>
        <v>64.715026995000002</v>
      </c>
      <c r="V403" s="320">
        <v>1.05</v>
      </c>
      <c r="W403" s="236">
        <f>IFERROR(IF(B403="INSUMO",_xlfn.XLOOKUP(S403,Insumos!A:A,Insumos!C:C),""),"Inserir Preço")</f>
        <v>450</v>
      </c>
      <c r="X403" s="235">
        <f t="shared" ca="1" si="302"/>
        <v>67.950778344750006</v>
      </c>
      <c r="Y403" s="236">
        <f t="shared" si="258"/>
        <v>472.5</v>
      </c>
      <c r="Z403" s="237">
        <f t="shared" ca="1" si="287"/>
        <v>30577.850255137502</v>
      </c>
      <c r="AA403" s="238"/>
      <c r="AB403" s="233" t="str">
        <f>IF(B403="insumo",_xlfn.XLOOKUP(S403,Insumos!A:A,Insumos!D:D),"")</f>
        <v>Recebido Cliente</v>
      </c>
      <c r="AC403" s="239">
        <f t="shared" ca="1" si="288"/>
        <v>4.3866714036141004E-3</v>
      </c>
      <c r="AE403" s="240">
        <f ca="1">IFERROR(IF(OR(Z403="",Z403=0),"",IF(AF403="","",IF(AF403="R$/mês",Z403/OBRA!$D$12,IF(AF403="R$/m²",Z403/OBRA!$D$10,IF(AF403="R$/apto",Orçamento!Z403/OBRA!$D$11,""))))),"")</f>
        <v>15.735579553185934</v>
      </c>
      <c r="AF403" s="241" t="s">
        <v>154</v>
      </c>
    </row>
    <row r="404" spans="1:32" s="10" customFormat="1" ht="13.15" hidden="1" customHeight="1" outlineLevel="3" collapsed="1" x14ac:dyDescent="0.2">
      <c r="A404" s="227"/>
      <c r="B404" s="228" t="s">
        <v>3</v>
      </c>
      <c r="C404" s="229" t="str">
        <f t="shared" si="286"/>
        <v/>
      </c>
      <c r="D404" s="227" t="str">
        <f t="shared" ca="1" si="289"/>
        <v>04.002.004</v>
      </c>
      <c r="E404" s="228" t="str">
        <f t="shared" ca="1" si="290"/>
        <v>04.002.003.001</v>
      </c>
      <c r="F404" s="230">
        <f ca="1">IF($B404="UNIDADE CONSTRUTIVA",OFFSET(F404,-1,0)+1,LARGE(F$10:F403,1))</f>
        <v>2</v>
      </c>
      <c r="G404" s="228" t="str">
        <f t="shared" ca="1" si="291"/>
        <v xml:space="preserve">   GERENCIAMENTO EXECUTIVO</v>
      </c>
      <c r="H404" s="230">
        <f t="shared" ca="1" si="292"/>
        <v>4</v>
      </c>
      <c r="I404" s="228" t="str">
        <f t="shared" ca="1" si="293"/>
        <v xml:space="preserve">   SUPRAESTRUTURA</v>
      </c>
      <c r="J404" s="230">
        <f t="shared" ca="1" si="294"/>
        <v>2</v>
      </c>
      <c r="K404" s="228" t="str">
        <f t="shared" ca="1" si="295"/>
        <v xml:space="preserve">   SUPRAESTRUTURA - 2º PAVIMENTO - TÉRREO</v>
      </c>
      <c r="L404" s="231">
        <f t="shared" ca="1" si="296"/>
        <v>4</v>
      </c>
      <c r="M404" s="228" t="str">
        <f t="shared" ca="1" si="297"/>
        <v xml:space="preserve">   Mão de Obra</v>
      </c>
      <c r="N404" s="231">
        <f t="shared" ca="1" si="298"/>
        <v>0</v>
      </c>
      <c r="O404" s="228" t="str">
        <f t="shared" ca="1" si="299"/>
        <v>Concreto usinado bombeavel para supraestrutura Fck 35MPa com Brita 0 SLUMP = 12 +/- 2 incluindo servico de bombeamento</v>
      </c>
      <c r="P404" s="232" t="str">
        <f>IF(S404="","",IF(Orçamento!$B404="INSUMO",S404,""))</f>
        <v/>
      </c>
      <c r="Q404" s="244" t="str">
        <f t="shared" si="300"/>
        <v/>
      </c>
      <c r="R404" s="234">
        <f t="shared" ca="1" si="301"/>
        <v>64.715026995000002</v>
      </c>
      <c r="S404" s="233" t="s">
        <v>438</v>
      </c>
      <c r="T404" s="242" t="s">
        <v>35</v>
      </c>
      <c r="U404" s="235" t="str">
        <f>IF($B404="insumo",R404,"")</f>
        <v/>
      </c>
      <c r="V404" s="320" t="s">
        <v>35</v>
      </c>
      <c r="W404" s="236" t="str">
        <f>IFERROR(IF(B404="INSUMO",_xlfn.XLOOKUP(S404,Insumos!A:A,Insumos!C:C),""),"Inserir Preço")</f>
        <v/>
      </c>
      <c r="X404" s="235" t="str">
        <f t="shared" ca="1" si="302"/>
        <v/>
      </c>
      <c r="Y404" s="236" t="str">
        <f t="shared" si="258"/>
        <v/>
      </c>
      <c r="Z404" s="237">
        <f t="shared" ca="1" si="287"/>
        <v>107556.21200411142</v>
      </c>
      <c r="AA404" s="238"/>
      <c r="AB404" s="233" t="str">
        <f>IF(B404="insumo",_xlfn.XLOOKUP(S404,Insumos!A:A,Insumos!D:D),"")</f>
        <v/>
      </c>
      <c r="AC404" s="239">
        <f t="shared" ca="1" si="288"/>
        <v>1.5429919223972259E-2</v>
      </c>
      <c r="AE404" s="240">
        <f ca="1">IFERROR(IF(OR(Z404="",Z404=0),"",IF(AF404="","",IF(AF404="R$/mês",Z404/OBRA!$D$12,IF(AF404="R$/m²",Z404/OBRA!$D$10,IF(AF404="R$/apto",Orçamento!Z404/OBRA!$D$11,""))))),"")</f>
        <v>55.349192840843038</v>
      </c>
      <c r="AF404" s="241" t="s">
        <v>154</v>
      </c>
    </row>
    <row r="405" spans="1:32" s="10" customFormat="1" ht="13.15" hidden="1" customHeight="1" outlineLevel="4" x14ac:dyDescent="0.2">
      <c r="A405" s="227"/>
      <c r="B405" s="228" t="s">
        <v>4</v>
      </c>
      <c r="C405" s="229">
        <f t="shared" si="286"/>
        <v>5</v>
      </c>
      <c r="D405" s="227" t="str">
        <f t="shared" ca="1" si="289"/>
        <v>04.002.004.001</v>
      </c>
      <c r="E405" s="228" t="str">
        <f t="shared" ca="1" si="290"/>
        <v>04.002.004.001</v>
      </c>
      <c r="F405" s="230">
        <f ca="1">IF($B405="UNIDADE CONSTRUTIVA",OFFSET(F405,-1,0)+1,LARGE(F$10:F404,1))</f>
        <v>2</v>
      </c>
      <c r="G405" s="228" t="str">
        <f t="shared" ca="1" si="291"/>
        <v xml:space="preserve">   GERENCIAMENTO EXECUTIVO</v>
      </c>
      <c r="H405" s="230">
        <f t="shared" ca="1" si="292"/>
        <v>4</v>
      </c>
      <c r="I405" s="228" t="str">
        <f t="shared" ca="1" si="293"/>
        <v xml:space="preserve">   SUPRAESTRUTURA</v>
      </c>
      <c r="J405" s="230">
        <f t="shared" ca="1" si="294"/>
        <v>2</v>
      </c>
      <c r="K405" s="228" t="str">
        <f t="shared" ca="1" si="295"/>
        <v xml:space="preserve">   SUPRAESTRUTURA - 2º PAVIMENTO - TÉRREO</v>
      </c>
      <c r="L405" s="231">
        <f t="shared" ca="1" si="296"/>
        <v>4</v>
      </c>
      <c r="M405" s="228" t="str">
        <f t="shared" ca="1" si="297"/>
        <v xml:space="preserve">   Mão de Obra</v>
      </c>
      <c r="N405" s="231">
        <f t="shared" ca="1" si="298"/>
        <v>1</v>
      </c>
      <c r="O405" s="228" t="str">
        <f t="shared" ca="1" si="299"/>
        <v>Mao de obra  - para execucacao de estrutura de concreto armado em supraestrutura</v>
      </c>
      <c r="P405" s="232" t="str">
        <f>IF(S405="","",IF(Orçamento!$B405="INSUMO",S405,""))</f>
        <v/>
      </c>
      <c r="Q405" s="244" t="str">
        <f t="shared" si="300"/>
        <v>Mao de obra  - para execucacao de estrutura de concreto armado em supraestrutura</v>
      </c>
      <c r="R405" s="234">
        <f t="shared" ca="1" si="301"/>
        <v>326.93599</v>
      </c>
      <c r="S405" s="233" t="s">
        <v>1167</v>
      </c>
      <c r="T405" s="242" t="s">
        <v>140</v>
      </c>
      <c r="U405" s="235">
        <f>U377+U380</f>
        <v>326.93599</v>
      </c>
      <c r="V405" s="320" t="s">
        <v>35</v>
      </c>
      <c r="W405" s="236" t="str">
        <f>IFERROR(IF(B405="INSUMO",_xlfn.XLOOKUP(S405,Insumos!A:A,Insumos!C:C),""),"Inserir Preço")</f>
        <v/>
      </c>
      <c r="X405" s="235">
        <f t="shared" ca="1" si="302"/>
        <v>326.93599</v>
      </c>
      <c r="Y405" s="236">
        <f t="shared" ca="1" si="258"/>
        <v>328.98247759174944</v>
      </c>
      <c r="Z405" s="237">
        <f t="shared" ca="1" si="287"/>
        <v>107556.21200411142</v>
      </c>
      <c r="AA405" s="238"/>
      <c r="AB405" s="233" t="str">
        <f>IF(B405="insumo",_xlfn.XLOOKUP(S405,Insumos!A:A,Insumos!D:D),"")</f>
        <v/>
      </c>
      <c r="AC405" s="239">
        <f t="shared" ca="1" si="288"/>
        <v>1.5429919223972259E-2</v>
      </c>
      <c r="AE405" s="240">
        <f ca="1">IFERROR(IF(OR(Z405="",Z405=0),"",IF(AF405="","",IF(AF405="R$/mês",Z405/OBRA!$D$12,IF(AF405="R$/m²",Z405/OBRA!$D$10,IF(AF405="R$/apto",Orçamento!Z405/OBRA!$D$11,""))))),"")</f>
        <v>55.349192840843038</v>
      </c>
      <c r="AF405" s="241" t="s">
        <v>154</v>
      </c>
    </row>
    <row r="406" spans="1:32" s="10" customFormat="1" ht="13.15" hidden="1" customHeight="1" outlineLevel="4" x14ac:dyDescent="0.2">
      <c r="A406" s="227"/>
      <c r="B406" s="228" t="s">
        <v>19</v>
      </c>
      <c r="C406" s="229">
        <f t="shared" si="286"/>
        <v>5</v>
      </c>
      <c r="D406" s="227" t="str">
        <f t="shared" si="289"/>
        <v/>
      </c>
      <c r="E406" s="228" t="str">
        <f t="shared" ca="1" si="290"/>
        <v>04.002.004.001</v>
      </c>
      <c r="F406" s="230">
        <f ca="1">IF($B406="UNIDADE CONSTRUTIVA",OFFSET(F406,-1,0)+1,LARGE(F$10:F405,1))</f>
        <v>2</v>
      </c>
      <c r="G406" s="228" t="str">
        <f t="shared" ca="1" si="291"/>
        <v xml:space="preserve">   GERENCIAMENTO EXECUTIVO</v>
      </c>
      <c r="H406" s="230">
        <f t="shared" ca="1" si="292"/>
        <v>4</v>
      </c>
      <c r="I406" s="228" t="str">
        <f t="shared" ca="1" si="293"/>
        <v xml:space="preserve">   SUPRAESTRUTURA</v>
      </c>
      <c r="J406" s="230">
        <f t="shared" ca="1" si="294"/>
        <v>2</v>
      </c>
      <c r="K406" s="228" t="str">
        <f t="shared" ca="1" si="295"/>
        <v xml:space="preserve">   SUPRAESTRUTURA - 2º PAVIMENTO - TÉRREO</v>
      </c>
      <c r="L406" s="231">
        <f t="shared" ca="1" si="296"/>
        <v>4</v>
      </c>
      <c r="M406" s="228" t="str">
        <f t="shared" ca="1" si="297"/>
        <v xml:space="preserve">   Mão de Obra</v>
      </c>
      <c r="N406" s="231">
        <f t="shared" ca="1" si="298"/>
        <v>1</v>
      </c>
      <c r="O406" s="228" t="str">
        <f t="shared" ca="1" si="299"/>
        <v>Mao de obra  - para execucacao de estrutura de concreto armado em supraestrutura</v>
      </c>
      <c r="P406" s="232" t="str">
        <f>IF(S406="","",IF(Orçamento!$B406="INSUMO",S406,""))</f>
        <v>MAO DE OBRA PARA EXECUCAO DE SUPRAESTRUTURA EM CONCRETO ARMADO</v>
      </c>
      <c r="Q406" s="244" t="str">
        <f t="shared" si="300"/>
        <v/>
      </c>
      <c r="R406" s="234">
        <f t="shared" ca="1" si="301"/>
        <v>326.93599</v>
      </c>
      <c r="S406" s="233" t="s">
        <v>204</v>
      </c>
      <c r="T406" s="242" t="str">
        <f>_xlfn.XLOOKUP(S406,Insumos!$A$3:$A$371,Insumos!$B$3:$B$371)</f>
        <v>M2</v>
      </c>
      <c r="U406" s="235">
        <f ca="1">IF($B406="insumo",R406,"")</f>
        <v>326.93599</v>
      </c>
      <c r="V406" s="320">
        <v>1</v>
      </c>
      <c r="W406" s="236">
        <f>IFERROR(IF(B406="INSUMO",_xlfn.XLOOKUP(S406,Insumos!A:A,Insumos!C:C),""),"Inserir Preço")</f>
        <v>328.98247759174944</v>
      </c>
      <c r="X406" s="235">
        <f t="shared" ca="1" si="302"/>
        <v>326.93599</v>
      </c>
      <c r="Y406" s="236">
        <f t="shared" si="258"/>
        <v>328.98247759174944</v>
      </c>
      <c r="Z406" s="237">
        <f t="shared" ca="1" si="287"/>
        <v>107556.21200411142</v>
      </c>
      <c r="AA406" s="238"/>
      <c r="AB406" s="233" t="str">
        <f>IF(B406="insumo",_xlfn.XLOOKUP(S406,Insumos!A:A,Insumos!D:D),"")</f>
        <v>Aba Custo Serviços</v>
      </c>
      <c r="AC406" s="239">
        <f t="shared" ca="1" si="288"/>
        <v>1.5429919223972259E-2</v>
      </c>
      <c r="AE406" s="240">
        <f ca="1">IFERROR(IF(OR(Z406="",Z406=0),"",IF(AF406="","",IF(AF406="R$/mês",Z406/OBRA!$D$12,IF(AF406="R$/m²",Z406/OBRA!$D$10,IF(AF406="R$/apto",Orçamento!Z406/OBRA!$D$11,""))))),"")</f>
        <v>55.349192840843038</v>
      </c>
      <c r="AF406" s="241" t="s">
        <v>154</v>
      </c>
    </row>
    <row r="407" spans="1:32" s="10" customFormat="1" ht="13.15" customHeight="1" outlineLevel="2" collapsed="1" x14ac:dyDescent="0.2">
      <c r="A407" s="227"/>
      <c r="B407" s="228" t="s">
        <v>2</v>
      </c>
      <c r="C407" s="229" t="str">
        <f t="shared" si="286"/>
        <v/>
      </c>
      <c r="D407" s="227" t="str">
        <f t="shared" ca="1" si="289"/>
        <v>04.003</v>
      </c>
      <c r="E407" s="228" t="str">
        <f t="shared" ca="1" si="290"/>
        <v>04.002.004.001</v>
      </c>
      <c r="F407" s="230">
        <f ca="1">IF($B407="UNIDADE CONSTRUTIVA",OFFSET(F407,-1,0)+1,LARGE(F$10:F406,1))</f>
        <v>2</v>
      </c>
      <c r="G407" s="228" t="str">
        <f t="shared" ca="1" si="291"/>
        <v xml:space="preserve">   GERENCIAMENTO EXECUTIVO</v>
      </c>
      <c r="H407" s="230">
        <f t="shared" ca="1" si="292"/>
        <v>4</v>
      </c>
      <c r="I407" s="228" t="str">
        <f t="shared" ca="1" si="293"/>
        <v xml:space="preserve">   SUPRAESTRUTURA</v>
      </c>
      <c r="J407" s="230">
        <f t="shared" ca="1" si="294"/>
        <v>3</v>
      </c>
      <c r="K407" s="228" t="str">
        <f t="shared" ca="1" si="295"/>
        <v xml:space="preserve">   SUPRAESTRUTURA - 3º  ao 7º PAVIMENTO - TIPO</v>
      </c>
      <c r="L407" s="231">
        <f t="shared" ca="1" si="296"/>
        <v>0</v>
      </c>
      <c r="M407" s="228" t="str">
        <f t="shared" ca="1" si="297"/>
        <v xml:space="preserve">   Mão de Obra</v>
      </c>
      <c r="N407" s="231">
        <f t="shared" ca="1" si="298"/>
        <v>1</v>
      </c>
      <c r="O407" s="228" t="str">
        <f t="shared" ca="1" si="299"/>
        <v>Mao de obra  - para execucacao de estrutura de concreto armado em supraestrutura</v>
      </c>
      <c r="P407" s="232" t="str">
        <f>IF(S407="","",IF(Orçamento!$B407="INSUMO",S407,""))</f>
        <v/>
      </c>
      <c r="Q407" s="244" t="str">
        <f t="shared" si="300"/>
        <v/>
      </c>
      <c r="R407" s="234">
        <f t="shared" ca="1" si="301"/>
        <v>326.93599</v>
      </c>
      <c r="S407" s="233" t="s">
        <v>668</v>
      </c>
      <c r="T407" s="242" t="s">
        <v>35</v>
      </c>
      <c r="U407" s="235" t="str">
        <f>IF($B407="insumo",R407,"")</f>
        <v/>
      </c>
      <c r="V407" s="320" t="s">
        <v>35</v>
      </c>
      <c r="W407" s="236" t="str">
        <f>IFERROR(IF(B407="INSUMO",_xlfn.XLOOKUP(S407,Insumos!A:A,Insumos!C:C),""),"Inserir Preço")</f>
        <v/>
      </c>
      <c r="X407" s="235" t="str">
        <f t="shared" ca="1" si="302"/>
        <v/>
      </c>
      <c r="Y407" s="236" t="str">
        <f t="shared" si="258"/>
        <v/>
      </c>
      <c r="Z407" s="237">
        <f t="shared" ca="1" si="287"/>
        <v>752652.71855136449</v>
      </c>
      <c r="AA407" s="238"/>
      <c r="AB407" s="233" t="str">
        <f>IF(B407="insumo",_xlfn.XLOOKUP(S407,Insumos!A:A,Insumos!D:D),"")</f>
        <v/>
      </c>
      <c r="AC407" s="239">
        <f t="shared" ca="1" si="288"/>
        <v>0.10797489456496247</v>
      </c>
      <c r="AE407" s="240">
        <f ca="1">IFERROR(IF(OR(Z407="",Z407=0),"",IF(AF407="","",IF(AF407="R$/mês",Z407/OBRA!$D$12,IF(AF407="R$/m²",Z407/OBRA!$D$10,IF(AF407="R$/apto",Orçamento!Z407/OBRA!$D$11,""))))),"")</f>
        <v>387.32045025620459</v>
      </c>
      <c r="AF407" s="241" t="s">
        <v>154</v>
      </c>
    </row>
    <row r="408" spans="1:32" s="10" customFormat="1" ht="13.15" hidden="1" customHeight="1" outlineLevel="3" collapsed="1" x14ac:dyDescent="0.2">
      <c r="A408" s="227"/>
      <c r="B408" s="228" t="s">
        <v>3</v>
      </c>
      <c r="C408" s="229" t="str">
        <f t="shared" si="286"/>
        <v/>
      </c>
      <c r="D408" s="227" t="str">
        <f t="shared" ca="1" si="289"/>
        <v>04.003.001</v>
      </c>
      <c r="E408" s="228" t="str">
        <f t="shared" ca="1" si="290"/>
        <v>04.002.004.001</v>
      </c>
      <c r="F408" s="230">
        <f ca="1">IF($B408="UNIDADE CONSTRUTIVA",OFFSET(F408,-1,0)+1,LARGE(F$10:F407,1))</f>
        <v>2</v>
      </c>
      <c r="G408" s="228" t="str">
        <f t="shared" ca="1" si="291"/>
        <v xml:space="preserve">   GERENCIAMENTO EXECUTIVO</v>
      </c>
      <c r="H408" s="230">
        <f t="shared" ca="1" si="292"/>
        <v>4</v>
      </c>
      <c r="I408" s="228" t="str">
        <f t="shared" ca="1" si="293"/>
        <v xml:space="preserve">   SUPRAESTRUTURA</v>
      </c>
      <c r="J408" s="230">
        <f t="shared" ca="1" si="294"/>
        <v>3</v>
      </c>
      <c r="K408" s="228" t="str">
        <f t="shared" ca="1" si="295"/>
        <v xml:space="preserve">   SUPRAESTRUTURA - 3º  ao 7º PAVIMENTO - TIPO</v>
      </c>
      <c r="L408" s="231">
        <f t="shared" ca="1" si="296"/>
        <v>1</v>
      </c>
      <c r="M408" s="228" t="str">
        <f t="shared" ca="1" si="297"/>
        <v xml:space="preserve">   Armadura</v>
      </c>
      <c r="N408" s="231">
        <f t="shared" ca="1" si="298"/>
        <v>0</v>
      </c>
      <c r="O408" s="228" t="str">
        <f t="shared" ca="1" si="299"/>
        <v>Mao de obra  - para execucacao de estrutura de concreto armado em supraestrutura</v>
      </c>
      <c r="P408" s="232" t="str">
        <f>IF(S408="","",IF(Orçamento!$B408="INSUMO",S408,""))</f>
        <v/>
      </c>
      <c r="Q408" s="244" t="str">
        <f t="shared" si="300"/>
        <v/>
      </c>
      <c r="R408" s="234">
        <f t="shared" ca="1" si="301"/>
        <v>326.93599</v>
      </c>
      <c r="S408" s="233" t="s">
        <v>434</v>
      </c>
      <c r="T408" s="242" t="s">
        <v>35</v>
      </c>
      <c r="U408" s="235" t="str">
        <f>IF($B408="insumo",R408,"")</f>
        <v/>
      </c>
      <c r="V408" s="320" t="s">
        <v>35</v>
      </c>
      <c r="W408" s="236" t="str">
        <f>IFERROR(IF(B408="INSUMO",_xlfn.XLOOKUP(S408,Insumos!A:A,Insumos!C:C),""),"Inserir Preço")</f>
        <v/>
      </c>
      <c r="X408" s="235" t="str">
        <f t="shared" ca="1" si="302"/>
        <v/>
      </c>
      <c r="Y408" s="236" t="str">
        <f t="shared" si="258"/>
        <v/>
      </c>
      <c r="Z408" s="237">
        <f t="shared" ca="1" si="287"/>
        <v>162297.00012129039</v>
      </c>
      <c r="AA408" s="238"/>
      <c r="AB408" s="233" t="str">
        <f>IF(B408="insumo",_xlfn.XLOOKUP(S408,Insumos!A:A,Insumos!D:D),"")</f>
        <v/>
      </c>
      <c r="AC408" s="239">
        <f t="shared" ca="1" si="288"/>
        <v>2.3282984362342551E-2</v>
      </c>
      <c r="AE408" s="240">
        <f ca="1">IFERROR(IF(OR(Z408="",Z408=0),"",IF(AF408="","",IF(AF408="R$/mês",Z408/OBRA!$D$12,IF(AF408="R$/m²",Z408/OBRA!$D$10,IF(AF408="R$/apto",Orçamento!Z408/OBRA!$D$11,""))))),"")</f>
        <v>83.51919233507634</v>
      </c>
      <c r="AF408" s="241" t="s">
        <v>154</v>
      </c>
    </row>
    <row r="409" spans="1:32" s="10" customFormat="1" ht="13.15" hidden="1" customHeight="1" outlineLevel="4" x14ac:dyDescent="0.2">
      <c r="A409" s="227"/>
      <c r="B409" s="228" t="s">
        <v>4</v>
      </c>
      <c r="C409" s="229">
        <f t="shared" si="286"/>
        <v>3</v>
      </c>
      <c r="D409" s="227" t="str">
        <f t="shared" ca="1" si="289"/>
        <v>04.003.001.001</v>
      </c>
      <c r="E409" s="228" t="str">
        <f t="shared" ca="1" si="290"/>
        <v>04.003.001.001</v>
      </c>
      <c r="F409" s="230">
        <f ca="1">IF($B409="UNIDADE CONSTRUTIVA",OFFSET(F409,-1,0)+1,LARGE(F$10:F408,1))</f>
        <v>2</v>
      </c>
      <c r="G409" s="228" t="str">
        <f t="shared" ca="1" si="291"/>
        <v xml:space="preserve">   GERENCIAMENTO EXECUTIVO</v>
      </c>
      <c r="H409" s="230">
        <f t="shared" ca="1" si="292"/>
        <v>4</v>
      </c>
      <c r="I409" s="228" t="str">
        <f t="shared" ca="1" si="293"/>
        <v xml:space="preserve">   SUPRAESTRUTURA</v>
      </c>
      <c r="J409" s="230">
        <f t="shared" ca="1" si="294"/>
        <v>3</v>
      </c>
      <c r="K409" s="228" t="str">
        <f t="shared" ca="1" si="295"/>
        <v xml:space="preserve">   SUPRAESTRUTURA - 3º  ao 7º PAVIMENTO - TIPO</v>
      </c>
      <c r="L409" s="231">
        <f t="shared" ca="1" si="296"/>
        <v>1</v>
      </c>
      <c r="M409" s="228" t="str">
        <f t="shared" ca="1" si="297"/>
        <v xml:space="preserve">   Armadura</v>
      </c>
      <c r="N409" s="231">
        <f t="shared" ca="1" si="298"/>
        <v>1</v>
      </c>
      <c r="O409" s="228" t="str">
        <f t="shared" ca="1" si="299"/>
        <v xml:space="preserve">Ancoragem Para Cordoalha </v>
      </c>
      <c r="P409" s="232" t="str">
        <f>IF(S409="","",IF(Orçamento!$B409="INSUMO",S409,""))</f>
        <v/>
      </c>
      <c r="Q409" s="244" t="str">
        <f t="shared" si="300"/>
        <v xml:space="preserve">Ancoragem Para Cordoalha </v>
      </c>
      <c r="R409" s="234">
        <f t="shared" ca="1" si="301"/>
        <v>394</v>
      </c>
      <c r="S409" s="233" t="s">
        <v>798</v>
      </c>
      <c r="T409" s="242" t="s">
        <v>142</v>
      </c>
      <c r="U409" s="235">
        <v>394</v>
      </c>
      <c r="V409" s="320" t="s">
        <v>35</v>
      </c>
      <c r="W409" s="236" t="str">
        <f>IFERROR(IF(B409="INSUMO",_xlfn.XLOOKUP(S409,Insumos!A:A,Insumos!C:C),""),"Inserir Preço")</f>
        <v/>
      </c>
      <c r="X409" s="235">
        <f t="shared" ca="1" si="302"/>
        <v>394</v>
      </c>
      <c r="Y409" s="236">
        <f t="shared" ca="1" si="258"/>
        <v>84.511399999999995</v>
      </c>
      <c r="Z409" s="237">
        <f t="shared" ca="1" si="287"/>
        <v>33297.491600000001</v>
      </c>
      <c r="AA409" s="238"/>
      <c r="AB409" s="233" t="str">
        <f>IF(B409="insumo",_xlfn.XLOOKUP(S409,Insumos!A:A,Insumos!D:D),"")</f>
        <v/>
      </c>
      <c r="AC409" s="239">
        <f t="shared" ca="1" si="288"/>
        <v>4.7768287500609937E-3</v>
      </c>
      <c r="AE409" s="240">
        <f ca="1">IFERROR(IF(OR(Z409="",Z409=0),"",IF(AF409="","",IF(AF409="R$/mês",Z409/OBRA!$D$12,IF(AF409="R$/m²",Z409/OBRA!$D$10,IF(AF409="R$/apto",Orçamento!Z409/OBRA!$D$11,""))))),"")</f>
        <v>17.135126361779101</v>
      </c>
      <c r="AF409" s="241" t="s">
        <v>154</v>
      </c>
    </row>
    <row r="410" spans="1:32" s="10" customFormat="1" ht="13.15" hidden="1" customHeight="1" outlineLevel="4" x14ac:dyDescent="0.2">
      <c r="A410" s="227"/>
      <c r="B410" s="228" t="s">
        <v>19</v>
      </c>
      <c r="C410" s="229">
        <f t="shared" si="286"/>
        <v>3</v>
      </c>
      <c r="D410" s="227" t="str">
        <f t="shared" si="289"/>
        <v/>
      </c>
      <c r="E410" s="228" t="str">
        <f t="shared" ca="1" si="290"/>
        <v>04.003.001.001</v>
      </c>
      <c r="F410" s="230">
        <f ca="1">IF($B410="UNIDADE CONSTRUTIVA",OFFSET(F410,-1,0)+1,LARGE(F$10:F409,1))</f>
        <v>2</v>
      </c>
      <c r="G410" s="228" t="str">
        <f t="shared" ca="1" si="291"/>
        <v xml:space="preserve">   GERENCIAMENTO EXECUTIVO</v>
      </c>
      <c r="H410" s="230">
        <f t="shared" ca="1" si="292"/>
        <v>4</v>
      </c>
      <c r="I410" s="228" t="str">
        <f t="shared" ca="1" si="293"/>
        <v xml:space="preserve">   SUPRAESTRUTURA</v>
      </c>
      <c r="J410" s="230">
        <f t="shared" ca="1" si="294"/>
        <v>3</v>
      </c>
      <c r="K410" s="228" t="str">
        <f t="shared" ca="1" si="295"/>
        <v xml:space="preserve">   SUPRAESTRUTURA - 3º  ao 7º PAVIMENTO - TIPO</v>
      </c>
      <c r="L410" s="231">
        <f t="shared" ca="1" si="296"/>
        <v>1</v>
      </c>
      <c r="M410" s="228" t="str">
        <f t="shared" ca="1" si="297"/>
        <v xml:space="preserve">   Armadura</v>
      </c>
      <c r="N410" s="231">
        <f t="shared" ca="1" si="298"/>
        <v>1</v>
      </c>
      <c r="O410" s="228" t="str">
        <f t="shared" ca="1" si="299"/>
        <v xml:space="preserve">Ancoragem Para Cordoalha </v>
      </c>
      <c r="P410" s="232" t="str">
        <f>IF(S410="","",IF(Orçamento!$B410="INSUMO",S410,""))</f>
        <v>Ancoragem base 1/2" - EHX 0063</v>
      </c>
      <c r="Q410" s="244" t="str">
        <f t="shared" si="300"/>
        <v/>
      </c>
      <c r="R410" s="234">
        <f t="shared" ca="1" si="301"/>
        <v>394</v>
      </c>
      <c r="S410" s="233" t="s">
        <v>789</v>
      </c>
      <c r="T410" s="242" t="str">
        <f>_xlfn.XLOOKUP(S410,Insumos!$A$3:$A$371,Insumos!$B$3:$B$371)</f>
        <v>UN</v>
      </c>
      <c r="U410" s="235">
        <f t="shared" ref="U410:U417" ca="1" si="303">IF($B410="insumo",R410,"")</f>
        <v>394</v>
      </c>
      <c r="V410" s="320">
        <v>1</v>
      </c>
      <c r="W410" s="236">
        <f>IFERROR(IF(B410="INSUMO",_xlfn.XLOOKUP(S410,Insumos!A:A,Insumos!C:C),""),"Inserir Preço")</f>
        <v>12.57</v>
      </c>
      <c r="X410" s="235">
        <f t="shared" ca="1" si="302"/>
        <v>394</v>
      </c>
      <c r="Y410" s="236">
        <f t="shared" si="258"/>
        <v>12.57</v>
      </c>
      <c r="Z410" s="237">
        <f t="shared" ca="1" si="287"/>
        <v>4952.58</v>
      </c>
      <c r="AA410" s="238"/>
      <c r="AB410" s="233" t="str">
        <f>IF(B410="insumo",_xlfn.XLOOKUP(S410,Insumos!A:A,Insumos!D:D),"")</f>
        <v>EVEHX Engenharia</v>
      </c>
      <c r="AC410" s="239">
        <f t="shared" ca="1" si="288"/>
        <v>7.1049275468477264E-4</v>
      </c>
      <c r="AE410" s="240">
        <f ca="1">IFERROR(IF(OR(Z410="",Z410=0),"",IF(AF410="","",IF(AF410="R$/mês",Z410/OBRA!$D$12,IF(AF410="R$/m²",Z410/OBRA!$D$10,IF(AF410="R$/apto",Orçamento!Z410/OBRA!$D$11,""))))),"")</f>
        <v>2.548632946177241</v>
      </c>
      <c r="AF410" s="241" t="s">
        <v>154</v>
      </c>
    </row>
    <row r="411" spans="1:32" s="10" customFormat="1" ht="13.15" hidden="1" customHeight="1" outlineLevel="4" x14ac:dyDescent="0.2">
      <c r="A411" s="227"/>
      <c r="B411" s="228" t="s">
        <v>19</v>
      </c>
      <c r="C411" s="229">
        <f t="shared" si="286"/>
        <v>3</v>
      </c>
      <c r="D411" s="227" t="str">
        <f t="shared" si="289"/>
        <v/>
      </c>
      <c r="E411" s="228" t="str">
        <f t="shared" ca="1" si="290"/>
        <v>04.003.001.001</v>
      </c>
      <c r="F411" s="230">
        <f ca="1">IF($B411="UNIDADE CONSTRUTIVA",OFFSET(F411,-1,0)+1,LARGE(F$10:F410,1))</f>
        <v>2</v>
      </c>
      <c r="G411" s="228" t="str">
        <f t="shared" ca="1" si="291"/>
        <v xml:space="preserve">   GERENCIAMENTO EXECUTIVO</v>
      </c>
      <c r="H411" s="230">
        <f t="shared" ca="1" si="292"/>
        <v>4</v>
      </c>
      <c r="I411" s="228" t="str">
        <f t="shared" ca="1" si="293"/>
        <v xml:space="preserve">   SUPRAESTRUTURA</v>
      </c>
      <c r="J411" s="230">
        <f t="shared" ca="1" si="294"/>
        <v>3</v>
      </c>
      <c r="K411" s="228" t="str">
        <f t="shared" ca="1" si="295"/>
        <v xml:space="preserve">   SUPRAESTRUTURA - 3º  ao 7º PAVIMENTO - TIPO</v>
      </c>
      <c r="L411" s="231">
        <f t="shared" ca="1" si="296"/>
        <v>1</v>
      </c>
      <c r="M411" s="228" t="str">
        <f t="shared" ca="1" si="297"/>
        <v xml:space="preserve">   Armadura</v>
      </c>
      <c r="N411" s="231">
        <f t="shared" ca="1" si="298"/>
        <v>1</v>
      </c>
      <c r="O411" s="228" t="str">
        <f t="shared" ca="1" si="299"/>
        <v xml:space="preserve">Ancoragem Para Cordoalha </v>
      </c>
      <c r="P411" s="232" t="str">
        <f>IF(S411="","",IF(Orçamento!$B411="INSUMO",S411,""))</f>
        <v>Cunha 1/2" BI Partida - EHX 0036</v>
      </c>
      <c r="Q411" s="244" t="str">
        <f t="shared" si="300"/>
        <v/>
      </c>
      <c r="R411" s="234">
        <f t="shared" ca="1" si="301"/>
        <v>394</v>
      </c>
      <c r="S411" s="233" t="s">
        <v>790</v>
      </c>
      <c r="T411" s="242" t="str">
        <f>_xlfn.XLOOKUP(S411,Insumos!$A$3:$A$371,Insumos!$B$3:$B$371)</f>
        <v>Par</v>
      </c>
      <c r="U411" s="235">
        <f t="shared" ca="1" si="303"/>
        <v>394</v>
      </c>
      <c r="V411" s="320">
        <v>1</v>
      </c>
      <c r="W411" s="236">
        <f>IFERROR(IF(B411="INSUMO",_xlfn.XLOOKUP(S411,Insumos!A:A,Insumos!C:C),""),"Inserir Preço")</f>
        <v>9.18</v>
      </c>
      <c r="X411" s="235">
        <f t="shared" ca="1" si="302"/>
        <v>394</v>
      </c>
      <c r="Y411" s="236">
        <f t="shared" si="258"/>
        <v>9.18</v>
      </c>
      <c r="Z411" s="237">
        <f t="shared" ca="1" si="287"/>
        <v>3616.92</v>
      </c>
      <c r="AA411" s="238"/>
      <c r="AB411" s="233" t="str">
        <f>IF(B411="insumo",_xlfn.XLOOKUP(S411,Insumos!A:A,Insumos!D:D),"")</f>
        <v>EVEHX Engenharia</v>
      </c>
      <c r="AC411" s="239">
        <f t="shared" ca="1" si="288"/>
        <v>5.1888015019938049E-4</v>
      </c>
      <c r="AE411" s="240">
        <f ca="1">IFERROR(IF(OR(Z411="",Z411=0),"",IF(AF411="","",IF(AF411="R$/mês",Z411/OBRA!$D$12,IF(AF411="R$/m²",Z411/OBRA!$D$10,IF(AF411="R$/apto",Orçamento!Z411/OBRA!$D$11,""))))),"")</f>
        <v>1.8612927960148824</v>
      </c>
      <c r="AF411" s="241" t="s">
        <v>154</v>
      </c>
    </row>
    <row r="412" spans="1:32" s="10" customFormat="1" ht="13.15" hidden="1" customHeight="1" outlineLevel="4" x14ac:dyDescent="0.2">
      <c r="A412" s="227"/>
      <c r="B412" s="228" t="s">
        <v>19</v>
      </c>
      <c r="C412" s="229">
        <f t="shared" si="286"/>
        <v>3</v>
      </c>
      <c r="D412" s="227" t="str">
        <f t="shared" si="289"/>
        <v/>
      </c>
      <c r="E412" s="228" t="str">
        <f t="shared" ca="1" si="290"/>
        <v>04.003.001.001</v>
      </c>
      <c r="F412" s="230">
        <f ca="1">IF($B412="UNIDADE CONSTRUTIVA",OFFSET(F412,-1,0)+1,LARGE(F$10:F411,1))</f>
        <v>2</v>
      </c>
      <c r="G412" s="228" t="str">
        <f t="shared" ca="1" si="291"/>
        <v xml:space="preserve">   GERENCIAMENTO EXECUTIVO</v>
      </c>
      <c r="H412" s="230">
        <f t="shared" ca="1" si="292"/>
        <v>4</v>
      </c>
      <c r="I412" s="228" t="str">
        <f t="shared" ca="1" si="293"/>
        <v xml:space="preserve">   SUPRAESTRUTURA</v>
      </c>
      <c r="J412" s="230">
        <f t="shared" ca="1" si="294"/>
        <v>3</v>
      </c>
      <c r="K412" s="228" t="str">
        <f t="shared" ca="1" si="295"/>
        <v xml:space="preserve">   SUPRAESTRUTURA - 3º  ao 7º PAVIMENTO - TIPO</v>
      </c>
      <c r="L412" s="231">
        <f t="shared" ca="1" si="296"/>
        <v>1</v>
      </c>
      <c r="M412" s="228" t="str">
        <f t="shared" ca="1" si="297"/>
        <v xml:space="preserve">   Armadura</v>
      </c>
      <c r="N412" s="231">
        <f t="shared" ca="1" si="298"/>
        <v>1</v>
      </c>
      <c r="O412" s="228" t="str">
        <f t="shared" ca="1" si="299"/>
        <v xml:space="preserve">Ancoragem Para Cordoalha </v>
      </c>
      <c r="P412" s="232" t="str">
        <f>IF(S412="","",IF(Orçamento!$B412="INSUMO",S412,""))</f>
        <v>Pocket Former 1/2 - EHX 0009</v>
      </c>
      <c r="Q412" s="244" t="str">
        <f t="shared" si="300"/>
        <v/>
      </c>
      <c r="R412" s="234">
        <f t="shared" ca="1" si="301"/>
        <v>394</v>
      </c>
      <c r="S412" s="233" t="s">
        <v>794</v>
      </c>
      <c r="T412" s="242" t="str">
        <f>_xlfn.XLOOKUP(S412,Insumos!$A$3:$A$371,Insumos!$B$3:$B$371)</f>
        <v>UN</v>
      </c>
      <c r="U412" s="235">
        <f t="shared" ca="1" si="303"/>
        <v>394</v>
      </c>
      <c r="V412" s="320">
        <v>0.5</v>
      </c>
      <c r="W412" s="236">
        <f>IFERROR(IF(B412="INSUMO",_xlfn.XLOOKUP(S412,Insumos!A:A,Insumos!C:C),""),"Inserir Preço")</f>
        <v>2.86</v>
      </c>
      <c r="X412" s="235">
        <f t="shared" ca="1" si="302"/>
        <v>197</v>
      </c>
      <c r="Y412" s="236">
        <f t="shared" si="258"/>
        <v>1.43</v>
      </c>
      <c r="Z412" s="237">
        <f t="shared" ca="1" si="287"/>
        <v>563.41999999999996</v>
      </c>
      <c r="AA412" s="238"/>
      <c r="AB412" s="233" t="str">
        <f>IF(B412="insumo",_xlfn.XLOOKUP(S412,Insumos!A:A,Insumos!D:D),"")</f>
        <v>EVEHX Engenharia</v>
      </c>
      <c r="AC412" s="239">
        <f t="shared" ca="1" si="288"/>
        <v>8.0827735815371894E-5</v>
      </c>
      <c r="AE412" s="240">
        <f ca="1">IFERROR(IF(OR(Z412="",Z412=0),"",IF(AF412="","",IF(AF412="R$/mês",Z412/OBRA!$D$12,IF(AF412="R$/m²",Z412/OBRA!$D$10,IF(AF412="R$/apto",Orçamento!Z412/OBRA!$D$11,""))))),"")</f>
        <v>0.28993994534872347</v>
      </c>
      <c r="AF412" s="241" t="s">
        <v>154</v>
      </c>
    </row>
    <row r="413" spans="1:32" s="10" customFormat="1" ht="13.15" hidden="1" customHeight="1" outlineLevel="4" x14ac:dyDescent="0.2">
      <c r="A413" s="227"/>
      <c r="B413" s="228" t="s">
        <v>19</v>
      </c>
      <c r="C413" s="229">
        <f t="shared" si="286"/>
        <v>3</v>
      </c>
      <c r="D413" s="227" t="str">
        <f t="shared" si="289"/>
        <v/>
      </c>
      <c r="E413" s="228" t="str">
        <f t="shared" ca="1" si="290"/>
        <v>04.003.001.001</v>
      </c>
      <c r="F413" s="230">
        <f ca="1">IF($B413="UNIDADE CONSTRUTIVA",OFFSET(F413,-1,0)+1,LARGE(F$10:F412,1))</f>
        <v>2</v>
      </c>
      <c r="G413" s="228" t="str">
        <f t="shared" ca="1" si="291"/>
        <v xml:space="preserve">   GERENCIAMENTO EXECUTIVO</v>
      </c>
      <c r="H413" s="230">
        <f t="shared" ca="1" si="292"/>
        <v>4</v>
      </c>
      <c r="I413" s="228" t="str">
        <f t="shared" ca="1" si="293"/>
        <v xml:space="preserve">   SUPRAESTRUTURA</v>
      </c>
      <c r="J413" s="230">
        <f t="shared" ca="1" si="294"/>
        <v>3</v>
      </c>
      <c r="K413" s="228" t="str">
        <f t="shared" ca="1" si="295"/>
        <v xml:space="preserve">   SUPRAESTRUTURA - 3º  ao 7º PAVIMENTO - TIPO</v>
      </c>
      <c r="L413" s="231">
        <f t="shared" ca="1" si="296"/>
        <v>1</v>
      </c>
      <c r="M413" s="228" t="str">
        <f t="shared" ca="1" si="297"/>
        <v xml:space="preserve">   Armadura</v>
      </c>
      <c r="N413" s="231">
        <f t="shared" ca="1" si="298"/>
        <v>1</v>
      </c>
      <c r="O413" s="228" t="str">
        <f t="shared" ca="1" si="299"/>
        <v xml:space="preserve">Ancoragem Para Cordoalha </v>
      </c>
      <c r="P413" s="232" t="str">
        <f>IF(S413="","",IF(Orçamento!$B413="INSUMO",S413,""))</f>
        <v>Adaptador Ancor. (AP2)B Chupeta-EHX 0027</v>
      </c>
      <c r="Q413" s="244" t="str">
        <f t="shared" si="300"/>
        <v/>
      </c>
      <c r="R413" s="234">
        <f t="shared" ca="1" si="301"/>
        <v>394</v>
      </c>
      <c r="S413" s="233" t="s">
        <v>791</v>
      </c>
      <c r="T413" s="242" t="str">
        <f>_xlfn.XLOOKUP(S413,Insumos!$A$3:$A$371,Insumos!$B$3:$B$371)</f>
        <v>UN</v>
      </c>
      <c r="U413" s="235">
        <f t="shared" ca="1" si="303"/>
        <v>394</v>
      </c>
      <c r="V413" s="320">
        <v>0.5</v>
      </c>
      <c r="W413" s="236">
        <f>IFERROR(IF(B413="INSUMO",_xlfn.XLOOKUP(S413,Insumos!A:A,Insumos!C:C),""),"Inserir Preço")</f>
        <v>1.43</v>
      </c>
      <c r="X413" s="235">
        <f t="shared" ca="1" si="302"/>
        <v>197</v>
      </c>
      <c r="Y413" s="236">
        <f t="shared" si="258"/>
        <v>0.71499999999999997</v>
      </c>
      <c r="Z413" s="237">
        <f t="shared" ca="1" si="287"/>
        <v>281.70999999999998</v>
      </c>
      <c r="AA413" s="238"/>
      <c r="AB413" s="233" t="str">
        <f>IF(B413="insumo",_xlfn.XLOOKUP(S413,Insumos!A:A,Insumos!D:D),"")</f>
        <v>EVEHX Engenharia</v>
      </c>
      <c r="AC413" s="239">
        <f t="shared" ca="1" si="288"/>
        <v>4.0413867907685947E-5</v>
      </c>
      <c r="AE413" s="240">
        <f ca="1">IFERROR(IF(OR(Z413="",Z413=0),"",IF(AF413="","",IF(AF413="R$/mês",Z413/OBRA!$D$12,IF(AF413="R$/m²",Z413/OBRA!$D$10,IF(AF413="R$/apto",Orçamento!Z413/OBRA!$D$11,""))))),"")</f>
        <v>0.14496997267436174</v>
      </c>
      <c r="AF413" s="241" t="s">
        <v>154</v>
      </c>
    </row>
    <row r="414" spans="1:32" s="10" customFormat="1" ht="13.15" hidden="1" customHeight="1" outlineLevel="4" x14ac:dyDescent="0.2">
      <c r="A414" s="227"/>
      <c r="B414" s="228" t="s">
        <v>19</v>
      </c>
      <c r="C414" s="229">
        <f t="shared" si="286"/>
        <v>3</v>
      </c>
      <c r="D414" s="227" t="str">
        <f t="shared" si="289"/>
        <v/>
      </c>
      <c r="E414" s="228" t="str">
        <f t="shared" ca="1" si="290"/>
        <v>04.003.001.001</v>
      </c>
      <c r="F414" s="230">
        <f ca="1">IF($B414="UNIDADE CONSTRUTIVA",OFFSET(F414,-1,0)+1,LARGE(F$10:F413,1))</f>
        <v>2</v>
      </c>
      <c r="G414" s="228" t="str">
        <f t="shared" ca="1" si="291"/>
        <v xml:space="preserve">   GERENCIAMENTO EXECUTIVO</v>
      </c>
      <c r="H414" s="230">
        <f t="shared" ca="1" si="292"/>
        <v>4</v>
      </c>
      <c r="I414" s="228" t="str">
        <f t="shared" ca="1" si="293"/>
        <v xml:space="preserve">   SUPRAESTRUTURA</v>
      </c>
      <c r="J414" s="230">
        <f t="shared" ca="1" si="294"/>
        <v>3</v>
      </c>
      <c r="K414" s="228" t="str">
        <f t="shared" ca="1" si="295"/>
        <v xml:space="preserve">   SUPRAESTRUTURA - 3º  ao 7º PAVIMENTO - TIPO</v>
      </c>
      <c r="L414" s="231">
        <f t="shared" ca="1" si="296"/>
        <v>1</v>
      </c>
      <c r="M414" s="228" t="str">
        <f t="shared" ca="1" si="297"/>
        <v xml:space="preserve">   Armadura</v>
      </c>
      <c r="N414" s="231">
        <f t="shared" ca="1" si="298"/>
        <v>1</v>
      </c>
      <c r="O414" s="228" t="str">
        <f t="shared" ca="1" si="299"/>
        <v xml:space="preserve">Ancoragem Para Cordoalha </v>
      </c>
      <c r="P414" s="232" t="str">
        <f>IF(S414="","",IF(Orçamento!$B414="INSUMO",S414,""))</f>
        <v>Pt-Plug Ø12,7 - 3,8cm</v>
      </c>
      <c r="Q414" s="244" t="str">
        <f t="shared" si="300"/>
        <v/>
      </c>
      <c r="R414" s="234">
        <f t="shared" ca="1" si="301"/>
        <v>394</v>
      </c>
      <c r="S414" s="233" t="s">
        <v>795</v>
      </c>
      <c r="T414" s="242" t="str">
        <f>_xlfn.XLOOKUP(S414,Insumos!$A$3:$A$371,Insumos!$B$3:$B$371)</f>
        <v>UN</v>
      </c>
      <c r="U414" s="235">
        <f t="shared" ca="1" si="303"/>
        <v>394</v>
      </c>
      <c r="V414" s="320">
        <v>0.5</v>
      </c>
      <c r="W414" s="236">
        <f>IFERROR(IF(B414="INSUMO",_xlfn.XLOOKUP(S414,Insumos!A:A,Insumos!C:C),""),"Inserir Preço")</f>
        <v>5.17</v>
      </c>
      <c r="X414" s="235">
        <f t="shared" ca="1" si="302"/>
        <v>197</v>
      </c>
      <c r="Y414" s="236">
        <f t="shared" si="258"/>
        <v>2.585</v>
      </c>
      <c r="Z414" s="237">
        <f t="shared" ca="1" si="287"/>
        <v>1018.49</v>
      </c>
      <c r="AA414" s="238"/>
      <c r="AB414" s="233" t="str">
        <f>IF(B414="insumo",_xlfn.XLOOKUP(S414,Insumos!A:A,Insumos!D:D),"")</f>
        <v>EVEHX Engenharia</v>
      </c>
      <c r="AC414" s="239">
        <f t="shared" ca="1" si="288"/>
        <v>1.4611167628163381E-4</v>
      </c>
      <c r="AE414" s="240">
        <f ca="1">IFERROR(IF(OR(Z414="",Z414=0),"",IF(AF414="","",IF(AF414="R$/mês",Z414/OBRA!$D$12,IF(AF414="R$/m²",Z414/OBRA!$D$10,IF(AF414="R$/apto",Orçamento!Z414/OBRA!$D$11,""))))),"")</f>
        <v>0.52412220889961558</v>
      </c>
      <c r="AF414" s="241" t="s">
        <v>154</v>
      </c>
    </row>
    <row r="415" spans="1:32" s="10" customFormat="1" ht="13.15" hidden="1" customHeight="1" outlineLevel="4" x14ac:dyDescent="0.2">
      <c r="A415" s="227"/>
      <c r="B415" s="228" t="s">
        <v>19</v>
      </c>
      <c r="C415" s="229">
        <f t="shared" si="286"/>
        <v>3</v>
      </c>
      <c r="D415" s="227" t="str">
        <f t="shared" si="289"/>
        <v/>
      </c>
      <c r="E415" s="228" t="str">
        <f t="shared" ca="1" si="290"/>
        <v>04.003.001.001</v>
      </c>
      <c r="F415" s="230">
        <f ca="1">IF($B415="UNIDADE CONSTRUTIVA",OFFSET(F415,-1,0)+1,LARGE(F$10:F414,1))</f>
        <v>2</v>
      </c>
      <c r="G415" s="228" t="str">
        <f t="shared" ca="1" si="291"/>
        <v xml:space="preserve">   GERENCIAMENTO EXECUTIVO</v>
      </c>
      <c r="H415" s="230">
        <f t="shared" ca="1" si="292"/>
        <v>4</v>
      </c>
      <c r="I415" s="228" t="str">
        <f t="shared" ca="1" si="293"/>
        <v xml:space="preserve">   SUPRAESTRUTURA</v>
      </c>
      <c r="J415" s="230">
        <f t="shared" ca="1" si="294"/>
        <v>3</v>
      </c>
      <c r="K415" s="228" t="str">
        <f t="shared" ca="1" si="295"/>
        <v xml:space="preserve">   SUPRAESTRUTURA - 3º  ao 7º PAVIMENTO - TIPO</v>
      </c>
      <c r="L415" s="231">
        <f t="shared" ca="1" si="296"/>
        <v>1</v>
      </c>
      <c r="M415" s="228" t="str">
        <f t="shared" ca="1" si="297"/>
        <v xml:space="preserve">   Armadura</v>
      </c>
      <c r="N415" s="231">
        <f t="shared" ca="1" si="298"/>
        <v>1</v>
      </c>
      <c r="O415" s="228" t="str">
        <f t="shared" ca="1" si="299"/>
        <v xml:space="preserve">Ancoragem Para Cordoalha </v>
      </c>
      <c r="P415" s="232" t="str">
        <f>IF(S415="","",IF(Orçamento!$B415="INSUMO",S415,""))</f>
        <v>Tirante Plast - EHX 0621</v>
      </c>
      <c r="Q415" s="244" t="str">
        <f t="shared" si="300"/>
        <v/>
      </c>
      <c r="R415" s="234">
        <f t="shared" ca="1" si="301"/>
        <v>394</v>
      </c>
      <c r="S415" s="233" t="s">
        <v>792</v>
      </c>
      <c r="T415" s="242" t="str">
        <f>_xlfn.XLOOKUP(S415,Insumos!$A$3:$A$371,Insumos!$B$3:$B$371)</f>
        <v>Par</v>
      </c>
      <c r="U415" s="235">
        <f t="shared" ca="1" si="303"/>
        <v>394</v>
      </c>
      <c r="V415" s="320">
        <v>0.5</v>
      </c>
      <c r="W415" s="236">
        <f>IFERROR(IF(B415="INSUMO",_xlfn.XLOOKUP(S415,Insumos!A:A,Insumos!C:C),""),"Inserir Preço")</f>
        <v>2.31</v>
      </c>
      <c r="X415" s="235">
        <f t="shared" ca="1" si="302"/>
        <v>197</v>
      </c>
      <c r="Y415" s="236">
        <f t="shared" si="258"/>
        <v>1.155</v>
      </c>
      <c r="Z415" s="237">
        <f t="shared" ca="1" si="287"/>
        <v>455.07</v>
      </c>
      <c r="AA415" s="238"/>
      <c r="AB415" s="233" t="str">
        <f>IF(B415="insumo",_xlfn.XLOOKUP(S415,Insumos!A:A,Insumos!D:D),"")</f>
        <v>EVEHX Engenharia</v>
      </c>
      <c r="AC415" s="239">
        <f t="shared" ca="1" si="288"/>
        <v>6.528394046626192E-5</v>
      </c>
      <c r="AE415" s="240">
        <f ca="1">IFERROR(IF(OR(Z415="",Z415=0),"",IF(AF415="","",IF(AF415="R$/mês",Z415/OBRA!$D$12,IF(AF415="R$/m²",Z415/OBRA!$D$10,IF(AF415="R$/apto",Orçamento!Z415/OBRA!$D$11,""))))),"")</f>
        <v>0.23418226355089206</v>
      </c>
      <c r="AF415" s="241" t="s">
        <v>154</v>
      </c>
    </row>
    <row r="416" spans="1:32" s="10" customFormat="1" ht="13.15" hidden="1" customHeight="1" outlineLevel="4" x14ac:dyDescent="0.2">
      <c r="A416" s="227"/>
      <c r="B416" s="228" t="s">
        <v>19</v>
      </c>
      <c r="C416" s="229">
        <f t="shared" si="286"/>
        <v>3</v>
      </c>
      <c r="D416" s="227" t="str">
        <f>IF(B416="Unidade Construtiva",TEXT(F416,"00"),IF(B416="Célula Construtiva",TEXT(H416,"00"),IF(B416="Etapa",CONCATENATE(TEXT(H416,"00"),".",TEXT(J416,"000")),IF(B416="Subetapa",CONCATENATE(TEXT(H416,"00"),".",TEXT(J416,"000"),".",TEXT(L416,"000")),IF(B416="Serviço",CONCATENATE(TEXT(H416,"00"),".",TEXT(J416,"000"),".",TEXT(L416,"000"),".",TEXT(N416,"000")),"")))))</f>
        <v/>
      </c>
      <c r="E416" s="228" t="str">
        <f ca="1">IF(B416="*","",IFERROR(IF(B416="SERVIÇO",D416,OFFSET(E416,-1,0)),""))</f>
        <v>04.003.001.001</v>
      </c>
      <c r="F416" s="230">
        <f ca="1">IF($B416="UNIDADE CONSTRUTIVA",OFFSET(F416,-1,0)+1,LARGE(F$10:F415,1))</f>
        <v>2</v>
      </c>
      <c r="G416" s="228" t="str">
        <f ca="1">IF(B416="*","",IF(B416="UNIDADE CONSTRUTIVA",S416,OFFSET(G416,-1,0)))</f>
        <v xml:space="preserve">   GERENCIAMENTO EXECUTIVO</v>
      </c>
      <c r="H416" s="230">
        <f ca="1">IF(B416="UNIDADE CONSTRUTIVA",0,IF(B416="CÉLULA CONSTRUTIVA",OFFSET(H416,-1,0)+1,OFFSET(H416,-1,0)))</f>
        <v>4</v>
      </c>
      <c r="I416" s="228" t="str">
        <f ca="1">IF(B416="*","",IF(B416="CÉLULA CONSTRUTIVA",S416,OFFSET(I416,-1,0)))</f>
        <v xml:space="preserve">   SUPRAESTRUTURA</v>
      </c>
      <c r="J416" s="230">
        <f ca="1">IF(B416="CÉLULA CONSTRUTIVA",0,IF(B416="ETAPA",OFFSET(J416,-1,0)+1,OFFSET(J416,-1,0)))</f>
        <v>3</v>
      </c>
      <c r="K416" s="228" t="str">
        <f ca="1">IF(B416="*","",IF(B416="ETAPA",S416,OFFSET(K416,-1,0)))</f>
        <v xml:space="preserve">   SUPRAESTRUTURA - 3º  ao 7º PAVIMENTO - TIPO</v>
      </c>
      <c r="L416" s="231">
        <f ca="1">IF(B416="ETAPA",0,IF(B416="SUBETAPA",OFFSET(L416,-1,0)+1,OFFSET(L416,-1,0)))</f>
        <v>1</v>
      </c>
      <c r="M416" s="228" t="str">
        <f ca="1">IF(B416="*","",IF(B416="SUBETAPA",S416,OFFSET(M416,-1,0)))</f>
        <v xml:space="preserve">   Armadura</v>
      </c>
      <c r="N416" s="231">
        <f ca="1">IF(B416="Subetapa",0,IF(B416="serviço",OFFSET(N416,-1,0)+1,OFFSET(N416,-1,0)))</f>
        <v>1</v>
      </c>
      <c r="O416" s="228" t="str">
        <f ca="1">IF(B416="*","",IF(B416="SERVIÇO",S416,OFFSET(O416,-1,0)))</f>
        <v xml:space="preserve">Ancoragem Para Cordoalha </v>
      </c>
      <c r="P416" s="232" t="str">
        <f>IF(S416="","",IF(Orçamento!$B416="INSUMO",S416,""))</f>
        <v>Controle tecnológico da Protensão</v>
      </c>
      <c r="Q416" s="244" t="str">
        <f>IF(B416="","",IF(B416="Serviço",S416,""))</f>
        <v/>
      </c>
      <c r="R416" s="234">
        <f ca="1">IF(B416="serviço",U416,OFFSET(R416,-1,0))</f>
        <v>394</v>
      </c>
      <c r="S416" s="233" t="s">
        <v>796</v>
      </c>
      <c r="T416" s="242" t="str">
        <f>_xlfn.XLOOKUP(S416,Insumos!$A$3:$A$371,Insumos!$B$3:$B$371)</f>
        <v>KG</v>
      </c>
      <c r="U416" s="235">
        <f t="shared" ca="1" si="303"/>
        <v>394</v>
      </c>
      <c r="V416" s="320">
        <f>ROUNDUP(3407/512,2)</f>
        <v>6.66</v>
      </c>
      <c r="W416" s="236">
        <f>IFERROR(IF(B416="INSUMO",_xlfn.XLOOKUP(S416,Insumos!A:A,Insumos!C:C),""),"Inserir Preço")</f>
        <v>7.54</v>
      </c>
      <c r="X416" s="235">
        <f t="shared" ca="1" si="302"/>
        <v>2624.04</v>
      </c>
      <c r="Y416" s="236">
        <f t="shared" si="258"/>
        <v>50.2164</v>
      </c>
      <c r="Z416" s="237">
        <f t="shared" ca="1" si="287"/>
        <v>19785.261600000002</v>
      </c>
      <c r="AA416" s="238"/>
      <c r="AB416" s="233" t="str">
        <f>IF(B416="insumo",_xlfn.XLOOKUP(S416,Insumos!A:A,Insumos!D:D),"")</f>
        <v>EVEHX Engenharia</v>
      </c>
      <c r="AC416" s="239">
        <f t="shared" ca="1" si="288"/>
        <v>2.8383761627965329E-3</v>
      </c>
      <c r="AE416" s="240">
        <f ca="1">IFERROR(IF(OR(Z416="",Z416=0),"",IF(AF416="","",IF(AF416="R$/mês",Z416/OBRA!$D$12,IF(AF416="R$/m²",Z416/OBRA!$D$10,IF(AF416="R$/apto",Orçamento!Z416/OBRA!$D$11,""))))),"")</f>
        <v>10.181636553573176</v>
      </c>
      <c r="AF416" s="241" t="s">
        <v>154</v>
      </c>
    </row>
    <row r="417" spans="1:32" s="10" customFormat="1" ht="13.15" hidden="1" customHeight="1" outlineLevel="4" x14ac:dyDescent="0.2">
      <c r="A417" s="227"/>
      <c r="B417" s="228" t="s">
        <v>19</v>
      </c>
      <c r="C417" s="229">
        <f t="shared" si="286"/>
        <v>3</v>
      </c>
      <c r="D417" s="227" t="str">
        <f>IF(B417="Unidade Construtiva",TEXT(F417,"00"),IF(B417="Célula Construtiva",TEXT(H417,"00"),IF(B417="Etapa",CONCATENATE(TEXT(H417,"00"),".",TEXT(J417,"000")),IF(B417="Subetapa",CONCATENATE(TEXT(H417,"00"),".",TEXT(J417,"000"),".",TEXT(L417,"000")),IF(B417="Serviço",CONCATENATE(TEXT(H417,"00"),".",TEXT(J417,"000"),".",TEXT(L417,"000"),".",TEXT(N417,"000")),"")))))</f>
        <v/>
      </c>
      <c r="E417" s="228" t="str">
        <f ca="1">IF(B417="*","",IFERROR(IF(B417="SERVIÇO",D417,OFFSET(E417,-1,0)),""))</f>
        <v>04.003.001.001</v>
      </c>
      <c r="F417" s="230">
        <f ca="1">IF($B417="UNIDADE CONSTRUTIVA",OFFSET(F417,-1,0)+1,LARGE(F$10:F416,1))</f>
        <v>2</v>
      </c>
      <c r="G417" s="228" t="str">
        <f ca="1">IF(B417="*","",IF(B417="UNIDADE CONSTRUTIVA",S417,OFFSET(G417,-1,0)))</f>
        <v xml:space="preserve">   GERENCIAMENTO EXECUTIVO</v>
      </c>
      <c r="H417" s="230">
        <f ca="1">IF(B417="UNIDADE CONSTRUTIVA",0,IF(B417="CÉLULA CONSTRUTIVA",OFFSET(H417,-1,0)+1,OFFSET(H417,-1,0)))</f>
        <v>4</v>
      </c>
      <c r="I417" s="228" t="str">
        <f ca="1">IF(B417="*","",IF(B417="CÉLULA CONSTRUTIVA",S417,OFFSET(I417,-1,0)))</f>
        <v xml:space="preserve">   SUPRAESTRUTURA</v>
      </c>
      <c r="J417" s="230">
        <f ca="1">IF(B417="CÉLULA CONSTRUTIVA",0,IF(B417="ETAPA",OFFSET(J417,-1,0)+1,OFFSET(J417,-1,0)))</f>
        <v>3</v>
      </c>
      <c r="K417" s="228" t="str">
        <f ca="1">IF(B417="*","",IF(B417="ETAPA",S417,OFFSET(K417,-1,0)))</f>
        <v xml:space="preserve">   SUPRAESTRUTURA - 3º  ao 7º PAVIMENTO - TIPO</v>
      </c>
      <c r="L417" s="231">
        <f ca="1">IF(B417="ETAPA",0,IF(B417="SUBETAPA",OFFSET(L417,-1,0)+1,OFFSET(L417,-1,0)))</f>
        <v>1</v>
      </c>
      <c r="M417" s="228" t="str">
        <f ca="1">IF(B417="*","",IF(B417="SUBETAPA",S417,OFFSET(M417,-1,0)))</f>
        <v xml:space="preserve">   Armadura</v>
      </c>
      <c r="N417" s="231">
        <f ca="1">IF(B417="Subetapa",0,IF(B417="serviço",OFFSET(N417,-1,0)+1,OFFSET(N417,-1,0)))</f>
        <v>1</v>
      </c>
      <c r="O417" s="228" t="str">
        <f ca="1">IF(B417="*","",IF(B417="SERVIÇO",S417,OFFSET(O417,-1,0)))</f>
        <v xml:space="preserve">Ancoragem Para Cordoalha </v>
      </c>
      <c r="P417" s="232" t="str">
        <f>IF(S417="","",IF(Orçamento!$B417="INSUMO",S417,""))</f>
        <v>Acompanhamento e fiscalização na montagem da Protensão, locação de macacohidráulico e maçarico</v>
      </c>
      <c r="Q417" s="244" t="str">
        <f>IF(B417="","",IF(B417="Serviço",S417,""))</f>
        <v/>
      </c>
      <c r="R417" s="234">
        <f ca="1">IF(B417="serviço",U417,OFFSET(R417,-1,0))</f>
        <v>394</v>
      </c>
      <c r="S417" s="233" t="s">
        <v>797</v>
      </c>
      <c r="T417" s="242" t="str">
        <f>_xlfn.XLOOKUP(S417,Insumos!$A$3:$A$371,Insumos!$B$3:$B$371)</f>
        <v>UN</v>
      </c>
      <c r="U417" s="235">
        <f t="shared" ca="1" si="303"/>
        <v>394</v>
      </c>
      <c r="V417" s="320">
        <f>ROUNDUP(3407/512,2)</f>
        <v>6.66</v>
      </c>
      <c r="W417" s="236">
        <f>IFERROR(IF(B417="INSUMO",_xlfn.XLOOKUP(S417,Insumos!A:A,Insumos!C:C),""),"Inserir Preço")</f>
        <v>1</v>
      </c>
      <c r="X417" s="235">
        <f t="shared" ca="1" si="302"/>
        <v>2624.04</v>
      </c>
      <c r="Y417" s="236">
        <f t="shared" si="258"/>
        <v>6.66</v>
      </c>
      <c r="Z417" s="237">
        <f t="shared" ca="1" si="287"/>
        <v>2624.04</v>
      </c>
      <c r="AA417" s="238"/>
      <c r="AB417" s="233" t="str">
        <f>IF(B417="insumo",_xlfn.XLOOKUP(S417,Insumos!A:A,Insumos!D:D),"")</f>
        <v>EVEHX Engenharia</v>
      </c>
      <c r="AC417" s="239">
        <f t="shared" ca="1" si="288"/>
        <v>3.7644246190935446E-4</v>
      </c>
      <c r="AE417" s="240">
        <f ca="1">IFERROR(IF(OR(Z417="",Z417=0),"",IF(AF417="","",IF(AF417="R$/mês",Z417/OBRA!$D$12,IF(AF417="R$/m²",Z417/OBRA!$D$10,IF(AF417="R$/apto",Orçamento!Z417/OBRA!$D$11,""))))),"")</f>
        <v>1.3503496755402089</v>
      </c>
      <c r="AF417" s="241" t="s">
        <v>154</v>
      </c>
    </row>
    <row r="418" spans="1:32" s="10" customFormat="1" ht="13.15" hidden="1" customHeight="1" outlineLevel="4" x14ac:dyDescent="0.2">
      <c r="A418" s="227"/>
      <c r="B418" s="228" t="s">
        <v>4</v>
      </c>
      <c r="C418" s="229">
        <f t="shared" si="286"/>
        <v>3</v>
      </c>
      <c r="D418" s="227" t="str">
        <f t="shared" ca="1" si="289"/>
        <v>04.003.001.002</v>
      </c>
      <c r="E418" s="228" t="str">
        <f t="shared" ca="1" si="290"/>
        <v>04.003.001.002</v>
      </c>
      <c r="F418" s="230">
        <f ca="1">IF($B418="UNIDADE CONSTRUTIVA",OFFSET(F418,-1,0)+1,LARGE(F$10:F417,1))</f>
        <v>2</v>
      </c>
      <c r="G418" s="228" t="str">
        <f t="shared" ca="1" si="291"/>
        <v xml:space="preserve">   GERENCIAMENTO EXECUTIVO</v>
      </c>
      <c r="H418" s="230">
        <f t="shared" ca="1" si="292"/>
        <v>4</v>
      </c>
      <c r="I418" s="228" t="str">
        <f t="shared" ca="1" si="293"/>
        <v xml:space="preserve">   SUPRAESTRUTURA</v>
      </c>
      <c r="J418" s="230">
        <f t="shared" ca="1" si="294"/>
        <v>3</v>
      </c>
      <c r="K418" s="228" t="str">
        <f t="shared" ca="1" si="295"/>
        <v xml:space="preserve">   SUPRAESTRUTURA - 3º  ao 7º PAVIMENTO - TIPO</v>
      </c>
      <c r="L418" s="231">
        <f t="shared" ca="1" si="296"/>
        <v>1</v>
      </c>
      <c r="M418" s="228" t="str">
        <f t="shared" ca="1" si="297"/>
        <v xml:space="preserve">   Armadura</v>
      </c>
      <c r="N418" s="231">
        <f t="shared" ca="1" si="298"/>
        <v>2</v>
      </c>
      <c r="O418" s="228" t="str">
        <f t="shared" ca="1" si="299"/>
        <v>Cordoalha CP-190 RB 12,7</v>
      </c>
      <c r="P418" s="232" t="str">
        <f>IF(S418="","",IF(Orçamento!$B418="INSUMO",S418,""))</f>
        <v/>
      </c>
      <c r="Q418" s="244" t="str">
        <f t="shared" si="300"/>
        <v>Cordoalha CP-190 RB 12,7</v>
      </c>
      <c r="R418" s="234">
        <f t="shared" ca="1" si="301"/>
        <v>2664</v>
      </c>
      <c r="S418" s="233" t="s">
        <v>617</v>
      </c>
      <c r="T418" s="242" t="s">
        <v>159</v>
      </c>
      <c r="U418" s="235">
        <v>2664</v>
      </c>
      <c r="V418" s="320" t="s">
        <v>35</v>
      </c>
      <c r="W418" s="236" t="str">
        <f>IFERROR(IF(B418="INSUMO",_xlfn.XLOOKUP(S418,Insumos!A:A,Insumos!C:C),""),"Inserir Preço")</f>
        <v/>
      </c>
      <c r="X418" s="235">
        <f t="shared" ca="1" si="302"/>
        <v>2664</v>
      </c>
      <c r="Y418" s="236">
        <f t="shared" ca="1" si="258"/>
        <v>11.303809243964421</v>
      </c>
      <c r="Z418" s="237">
        <f t="shared" ca="1" si="287"/>
        <v>30113.347825921217</v>
      </c>
      <c r="AA418" s="238"/>
      <c r="AB418" s="233" t="str">
        <f>IF(B418="insumo",_xlfn.XLOOKUP(S418,Insumos!A:A,Insumos!D:D),"")</f>
        <v/>
      </c>
      <c r="AC418" s="239">
        <f t="shared" ca="1" si="288"/>
        <v>4.3200342951793761E-3</v>
      </c>
      <c r="AE418" s="240">
        <f ca="1">IFERROR(IF(OR(Z418="",Z418=0),"",IF(AF418="","",IF(AF418="R$/mês",Z418/OBRA!$D$12,IF(AF418="R$/m²",Z418/OBRA!$D$10,IF(AF418="R$/apto",Orçamento!Z418/OBRA!$D$11,""))))),"")</f>
        <v>15.496543294371339</v>
      </c>
      <c r="AF418" s="241" t="s">
        <v>154</v>
      </c>
    </row>
    <row r="419" spans="1:32" s="10" customFormat="1" ht="13.15" hidden="1" customHeight="1" outlineLevel="4" x14ac:dyDescent="0.2">
      <c r="A419" s="227"/>
      <c r="B419" s="228" t="s">
        <v>19</v>
      </c>
      <c r="C419" s="229">
        <f t="shared" si="286"/>
        <v>3</v>
      </c>
      <c r="D419" s="227" t="str">
        <f t="shared" si="289"/>
        <v/>
      </c>
      <c r="E419" s="228" t="str">
        <f t="shared" ca="1" si="290"/>
        <v>04.003.001.002</v>
      </c>
      <c r="F419" s="230">
        <f ca="1">IF($B419="UNIDADE CONSTRUTIVA",OFFSET(F419,-1,0)+1,LARGE(F$10:F418,1))</f>
        <v>2</v>
      </c>
      <c r="G419" s="228" t="str">
        <f t="shared" ca="1" si="291"/>
        <v xml:space="preserve">   GERENCIAMENTO EXECUTIVO</v>
      </c>
      <c r="H419" s="230">
        <f t="shared" ca="1" si="292"/>
        <v>4</v>
      </c>
      <c r="I419" s="228" t="str">
        <f t="shared" ca="1" si="293"/>
        <v xml:space="preserve">   SUPRAESTRUTURA</v>
      </c>
      <c r="J419" s="230">
        <f t="shared" ca="1" si="294"/>
        <v>3</v>
      </c>
      <c r="K419" s="228" t="str">
        <f t="shared" ca="1" si="295"/>
        <v xml:space="preserve">   SUPRAESTRUTURA - 3º  ao 7º PAVIMENTO - TIPO</v>
      </c>
      <c r="L419" s="231">
        <f t="shared" ca="1" si="296"/>
        <v>1</v>
      </c>
      <c r="M419" s="228" t="str">
        <f t="shared" ca="1" si="297"/>
        <v xml:space="preserve">   Armadura</v>
      </c>
      <c r="N419" s="231">
        <f t="shared" ca="1" si="298"/>
        <v>2</v>
      </c>
      <c r="O419" s="228" t="str">
        <f t="shared" ca="1" si="299"/>
        <v>Cordoalha CP-190 RB 12,7</v>
      </c>
      <c r="P419" s="232" t="str">
        <f>IF(S419="","",IF(Orçamento!$B419="INSUMO",S419,""))</f>
        <v>CORDOALHA DE AÇO CP190 RB 12,7mm ENGRAXADA</v>
      </c>
      <c r="Q419" s="244" t="str">
        <f t="shared" si="300"/>
        <v/>
      </c>
      <c r="R419" s="234">
        <f t="shared" ca="1" si="301"/>
        <v>2664</v>
      </c>
      <c r="S419" s="233" t="s">
        <v>618</v>
      </c>
      <c r="T419" s="242" t="str">
        <f>_xlfn.XLOOKUP(S419,Insumos!$A$3:$A$371,Insumos!$B$3:$B$371)</f>
        <v>KG</v>
      </c>
      <c r="U419" s="235">
        <f ca="1">IF($B419="insumo",R419,"")</f>
        <v>2664</v>
      </c>
      <c r="V419" s="320">
        <v>1.19</v>
      </c>
      <c r="W419" s="236">
        <f>IFERROR(IF(B419="INSUMO",_xlfn.XLOOKUP(S419,Insumos!A:A,Insumos!C:C),""),"Inserir Preço")</f>
        <v>9.4989993646759849</v>
      </c>
      <c r="X419" s="235">
        <f t="shared" ca="1" si="302"/>
        <v>3170.16</v>
      </c>
      <c r="Y419" s="236">
        <f t="shared" si="258"/>
        <v>11.303809243964421</v>
      </c>
      <c r="Z419" s="237">
        <f t="shared" ca="1" si="287"/>
        <v>30113.347825921221</v>
      </c>
      <c r="AA419" s="238"/>
      <c r="AB419" s="233" t="str">
        <f>IF(B419="insumo",_xlfn.XLOOKUP(S419,Insumos!A:A,Insumos!D:D),"")</f>
        <v>AWA DISTRIBUIDORA DE MERCADORIA E SERVIÇOS LTDA</v>
      </c>
      <c r="AC419" s="239">
        <f t="shared" ca="1" si="288"/>
        <v>4.3200342951793761E-3</v>
      </c>
      <c r="AE419" s="240">
        <f ca="1">IFERROR(IF(OR(Z419="",Z419=0),"",IF(AF419="","",IF(AF419="R$/mês",Z419/OBRA!$D$12,IF(AF419="R$/m²",Z419/OBRA!$D$10,IF(AF419="R$/apto",Orçamento!Z419/OBRA!$D$11,""))))),"")</f>
        <v>15.496543294371341</v>
      </c>
      <c r="AF419" s="241" t="s">
        <v>154</v>
      </c>
    </row>
    <row r="420" spans="1:32" s="10" customFormat="1" ht="13.15" hidden="1" customHeight="1" outlineLevel="4" x14ac:dyDescent="0.2">
      <c r="A420" s="227"/>
      <c r="B420" s="228" t="s">
        <v>4</v>
      </c>
      <c r="C420" s="229">
        <f t="shared" si="286"/>
        <v>5</v>
      </c>
      <c r="D420" s="227" t="str">
        <f t="shared" ca="1" si="289"/>
        <v>04.003.001.003</v>
      </c>
      <c r="E420" s="228" t="str">
        <f t="shared" ca="1" si="290"/>
        <v>04.003.001.003</v>
      </c>
      <c r="F420" s="230">
        <f ca="1">IF($B420="UNIDADE CONSTRUTIVA",OFFSET(F420,-1,0)+1,LARGE(F$10:F419,1))</f>
        <v>2</v>
      </c>
      <c r="G420" s="228" t="str">
        <f t="shared" ca="1" si="291"/>
        <v xml:space="preserve">   GERENCIAMENTO EXECUTIVO</v>
      </c>
      <c r="H420" s="230">
        <f t="shared" ca="1" si="292"/>
        <v>4</v>
      </c>
      <c r="I420" s="228" t="str">
        <f t="shared" ca="1" si="293"/>
        <v xml:space="preserve">   SUPRAESTRUTURA</v>
      </c>
      <c r="J420" s="230">
        <f t="shared" ca="1" si="294"/>
        <v>3</v>
      </c>
      <c r="K420" s="228" t="str">
        <f t="shared" ca="1" si="295"/>
        <v xml:space="preserve">   SUPRAESTRUTURA - 3º  ao 7º PAVIMENTO - TIPO</v>
      </c>
      <c r="L420" s="231">
        <f t="shared" ca="1" si="296"/>
        <v>1</v>
      </c>
      <c r="M420" s="228" t="str">
        <f t="shared" ca="1" si="297"/>
        <v xml:space="preserve">   Armadura</v>
      </c>
      <c r="N420" s="231">
        <f t="shared" ca="1" si="298"/>
        <v>3</v>
      </c>
      <c r="O420" s="228" t="str">
        <f t="shared" ca="1" si="299"/>
        <v>Armacao aco CA-50 ø 6.3mm para supraestrutura corte e dobra em indústria</v>
      </c>
      <c r="P420" s="232" t="str">
        <f>IF(S420="","",IF(Orçamento!$B420="INSUMO",S420,""))</f>
        <v/>
      </c>
      <c r="Q420" s="244" t="str">
        <f t="shared" si="300"/>
        <v>Armacao aco CA-50 ø 6.3mm para supraestrutura corte e dobra em indústria</v>
      </c>
      <c r="R420" s="234">
        <f t="shared" ca="1" si="301"/>
        <v>1564.4401500000004</v>
      </c>
      <c r="S420" s="233" t="s">
        <v>186</v>
      </c>
      <c r="T420" s="242" t="s">
        <v>159</v>
      </c>
      <c r="U420" s="235">
        <v>1564.4401500000004</v>
      </c>
      <c r="V420" s="320" t="s">
        <v>35</v>
      </c>
      <c r="W420" s="236" t="str">
        <f>IFERROR(IF(B420="INSUMO",_xlfn.XLOOKUP(S420,Insumos!A:A,Insumos!C:C),""),"Inserir Preço")</f>
        <v/>
      </c>
      <c r="X420" s="235">
        <f t="shared" ca="1" si="302"/>
        <v>1564.4401500000004</v>
      </c>
      <c r="Y420" s="236">
        <f t="shared" ca="1" si="258"/>
        <v>7.56555</v>
      </c>
      <c r="Z420" s="237">
        <f t="shared" ca="1" si="287"/>
        <v>11835.850176832502</v>
      </c>
      <c r="AA420" s="238"/>
      <c r="AB420" s="233" t="str">
        <f>IF(B420="insumo",_xlfn.XLOOKUP(S420,Insumos!A:A,Insumos!D:D),"")</f>
        <v/>
      </c>
      <c r="AC420" s="239">
        <f t="shared" ca="1" si="288"/>
        <v>1.6979606177333789E-3</v>
      </c>
      <c r="AE420" s="240">
        <f ca="1">IFERROR(IF(OR(Z420="",Z420=0),"",IF(AF420="","",IF(AF420="R$/mês",Z420/OBRA!$D$12,IF(AF420="R$/m²",Z420/OBRA!$D$10,IF(AF420="R$/apto",Orçamento!Z420/OBRA!$D$11,""))))),"")</f>
        <v>6.0908128100289218</v>
      </c>
      <c r="AF420" s="241" t="s">
        <v>154</v>
      </c>
    </row>
    <row r="421" spans="1:32" s="10" customFormat="1" ht="13.15" hidden="1" customHeight="1" outlineLevel="4" x14ac:dyDescent="0.2">
      <c r="A421" s="227"/>
      <c r="B421" s="228" t="s">
        <v>19</v>
      </c>
      <c r="C421" s="229">
        <f t="shared" si="286"/>
        <v>6</v>
      </c>
      <c r="D421" s="227" t="str">
        <f t="shared" si="289"/>
        <v/>
      </c>
      <c r="E421" s="228" t="str">
        <f t="shared" ca="1" si="290"/>
        <v>04.003.001.003</v>
      </c>
      <c r="F421" s="230">
        <f ca="1">IF($B421="UNIDADE CONSTRUTIVA",OFFSET(F421,-1,0)+1,LARGE(F$10:F420,1))</f>
        <v>2</v>
      </c>
      <c r="G421" s="228" t="str">
        <f t="shared" ca="1" si="291"/>
        <v xml:space="preserve">   GERENCIAMENTO EXECUTIVO</v>
      </c>
      <c r="H421" s="230">
        <f t="shared" ca="1" si="292"/>
        <v>4</v>
      </c>
      <c r="I421" s="228" t="str">
        <f t="shared" ca="1" si="293"/>
        <v xml:space="preserve">   SUPRAESTRUTURA</v>
      </c>
      <c r="J421" s="230">
        <f t="shared" ca="1" si="294"/>
        <v>3</v>
      </c>
      <c r="K421" s="228" t="str">
        <f t="shared" ca="1" si="295"/>
        <v xml:space="preserve">   SUPRAESTRUTURA - 3º  ao 7º PAVIMENTO - TIPO</v>
      </c>
      <c r="L421" s="231">
        <f t="shared" ca="1" si="296"/>
        <v>1</v>
      </c>
      <c r="M421" s="228" t="str">
        <f t="shared" ca="1" si="297"/>
        <v xml:space="preserve">   Armadura</v>
      </c>
      <c r="N421" s="231">
        <f t="shared" ca="1" si="298"/>
        <v>3</v>
      </c>
      <c r="O421" s="228" t="str">
        <f t="shared" ca="1" si="299"/>
        <v>Armacao aco CA-50 ø 6.3mm para supraestrutura corte e dobra em indústria</v>
      </c>
      <c r="P421" s="232" t="str">
        <f>IF(S421="","",IF(Orçamento!$B421="INSUMO",S421,""))</f>
        <v>ACO CA-50A 6,30 MM (1/4)</v>
      </c>
      <c r="Q421" s="244" t="str">
        <f t="shared" si="300"/>
        <v/>
      </c>
      <c r="R421" s="234">
        <f t="shared" ca="1" si="301"/>
        <v>1564.4401500000004</v>
      </c>
      <c r="S421" s="233" t="s">
        <v>160</v>
      </c>
      <c r="T421" s="242" t="str">
        <f>_xlfn.XLOOKUP(S421,Insumos!$A$3:$A$371,Insumos!$B$3:$B$371)</f>
        <v>KG</v>
      </c>
      <c r="U421" s="235">
        <f ca="1">IF($B421="insumo",R421,"")</f>
        <v>1564.4401500000004</v>
      </c>
      <c r="V421" s="320">
        <v>1.1000000000000001</v>
      </c>
      <c r="W421" s="236">
        <f>IFERROR(IF(B421="INSUMO",_xlfn.XLOOKUP(S421,Insumos!A:A,Insumos!C:C),""),"Inserir Preço")</f>
        <v>5.62</v>
      </c>
      <c r="X421" s="235">
        <f t="shared" ca="1" si="302"/>
        <v>1720.8841650000006</v>
      </c>
      <c r="Y421" s="236">
        <f t="shared" si="258"/>
        <v>6.1820000000000004</v>
      </c>
      <c r="Z421" s="237">
        <f t="shared" ca="1" si="287"/>
        <v>9671.3690073000034</v>
      </c>
      <c r="AA421" s="238"/>
      <c r="AB421" s="233" t="str">
        <f>IF(B421="insumo",_xlfn.XLOOKUP(S421,Insumos!A:A,Insumos!D:D),"")</f>
        <v>KNORR</v>
      </c>
      <c r="AC421" s="239">
        <f t="shared" ca="1" si="288"/>
        <v>1.3874460599464348E-3</v>
      </c>
      <c r="AE421" s="240">
        <f ca="1">IFERROR(IF(OR(Z421="",Z421=0),"",IF(AF421="","",IF(AF421="R$/mês",Z421/OBRA!$D$12,IF(AF421="R$/m²",Z421/OBRA!$D$10,IF(AF421="R$/apto",Orçamento!Z421/OBRA!$D$11,""))))),"")</f>
        <v>4.9769553821729815</v>
      </c>
      <c r="AF421" s="241" t="s">
        <v>154</v>
      </c>
    </row>
    <row r="422" spans="1:32" s="10" customFormat="1" ht="13.15" hidden="1" customHeight="1" outlineLevel="4" x14ac:dyDescent="0.2">
      <c r="A422" s="227"/>
      <c r="B422" s="228" t="s">
        <v>19</v>
      </c>
      <c r="C422" s="229">
        <f t="shared" si="286"/>
        <v>42</v>
      </c>
      <c r="D422" s="227" t="str">
        <f t="shared" si="289"/>
        <v/>
      </c>
      <c r="E422" s="228" t="str">
        <f t="shared" ca="1" si="290"/>
        <v>04.003.001.003</v>
      </c>
      <c r="F422" s="230">
        <f ca="1">IF($B422="UNIDADE CONSTRUTIVA",OFFSET(F422,-1,0)+1,LARGE(F$10:F421,1))</f>
        <v>2</v>
      </c>
      <c r="G422" s="228" t="str">
        <f t="shared" ca="1" si="291"/>
        <v xml:space="preserve">   GERENCIAMENTO EXECUTIVO</v>
      </c>
      <c r="H422" s="230">
        <f t="shared" ca="1" si="292"/>
        <v>4</v>
      </c>
      <c r="I422" s="228" t="str">
        <f t="shared" ca="1" si="293"/>
        <v xml:space="preserve">   SUPRAESTRUTURA</v>
      </c>
      <c r="J422" s="230">
        <f t="shared" ca="1" si="294"/>
        <v>3</v>
      </c>
      <c r="K422" s="228" t="str">
        <f t="shared" ca="1" si="295"/>
        <v xml:space="preserve">   SUPRAESTRUTURA - 3º  ao 7º PAVIMENTO - TIPO</v>
      </c>
      <c r="L422" s="231">
        <f t="shared" ca="1" si="296"/>
        <v>1</v>
      </c>
      <c r="M422" s="228" t="str">
        <f t="shared" ca="1" si="297"/>
        <v xml:space="preserve">   Armadura</v>
      </c>
      <c r="N422" s="231">
        <f t="shared" ca="1" si="298"/>
        <v>3</v>
      </c>
      <c r="O422" s="228" t="str">
        <f t="shared" ca="1" si="299"/>
        <v>Armacao aco CA-50 ø 6.3mm para supraestrutura corte e dobra em indústria</v>
      </c>
      <c r="P422" s="232" t="str">
        <f>IF(S422="","",IF(Orçamento!$B422="INSUMO",S422,""))</f>
        <v>ARAME RECOZIDO 18 BWG, 1,25MM (0,010 KG/M)</v>
      </c>
      <c r="Q422" s="244" t="str">
        <f t="shared" si="300"/>
        <v/>
      </c>
      <c r="R422" s="234">
        <f t="shared" ca="1" si="301"/>
        <v>1564.4401500000004</v>
      </c>
      <c r="S422" s="233" t="s">
        <v>161</v>
      </c>
      <c r="T422" s="242" t="str">
        <f>_xlfn.XLOOKUP(S422,Insumos!$A$3:$A$371,Insumos!$B$3:$B$371)</f>
        <v>KG</v>
      </c>
      <c r="U422" s="235">
        <f ca="1">IF($B422="insumo",R422,"")</f>
        <v>1564.4401500000004</v>
      </c>
      <c r="V422" s="320">
        <v>3.5000000000000003E-2</v>
      </c>
      <c r="W422" s="236">
        <f>IFERROR(IF(B422="INSUMO",_xlfn.XLOOKUP(S422,Insumos!A:A,Insumos!C:C),""),"Inserir Preço")</f>
        <v>13.69</v>
      </c>
      <c r="X422" s="235">
        <f t="shared" ca="1" si="302"/>
        <v>54.755405250000017</v>
      </c>
      <c r="Y422" s="236">
        <f t="shared" si="258"/>
        <v>0.47915000000000002</v>
      </c>
      <c r="Z422" s="237">
        <f t="shared" ca="1" si="287"/>
        <v>749.6014978725002</v>
      </c>
      <c r="AA422" s="238"/>
      <c r="AB422" s="233" t="str">
        <f>IF(B422="insumo",_xlfn.XLOOKUP(S422,Insumos!A:A,Insumos!D:D),"")</f>
        <v>GERDAU</v>
      </c>
      <c r="AC422" s="239">
        <f t="shared" ca="1" si="288"/>
        <v>1.0753716913997641E-4</v>
      </c>
      <c r="AE422" s="240">
        <f ca="1">IFERROR(IF(OR(Z422="",Z422=0),"",IF(AF422="","",IF(AF422="R$/mês",Z422/OBRA!$D$12,IF(AF422="R$/m²",Z422/OBRA!$D$10,IF(AF422="R$/apto",Orçamento!Z422/OBRA!$D$11,""))))),"")</f>
        <v>0.38575027036043091</v>
      </c>
      <c r="AF422" s="241" t="s">
        <v>154</v>
      </c>
    </row>
    <row r="423" spans="1:32" s="10" customFormat="1" ht="13.15" hidden="1" customHeight="1" outlineLevel="4" x14ac:dyDescent="0.2">
      <c r="A423" s="227"/>
      <c r="B423" s="228" t="s">
        <v>19</v>
      </c>
      <c r="C423" s="229">
        <f t="shared" si="286"/>
        <v>37</v>
      </c>
      <c r="D423" s="227" t="str">
        <f t="shared" si="289"/>
        <v/>
      </c>
      <c r="E423" s="228" t="str">
        <f t="shared" ca="1" si="290"/>
        <v>04.003.001.003</v>
      </c>
      <c r="F423" s="230">
        <f ca="1">IF($B423="UNIDADE CONSTRUTIVA",OFFSET(F423,-1,0)+1,LARGE(F$10:F422,1))</f>
        <v>2</v>
      </c>
      <c r="G423" s="228" t="str">
        <f t="shared" ca="1" si="291"/>
        <v xml:space="preserve">   GERENCIAMENTO EXECUTIVO</v>
      </c>
      <c r="H423" s="230">
        <f t="shared" ca="1" si="292"/>
        <v>4</v>
      </c>
      <c r="I423" s="228" t="str">
        <f t="shared" ca="1" si="293"/>
        <v xml:space="preserve">   SUPRAESTRUTURA</v>
      </c>
      <c r="J423" s="230">
        <f t="shared" ca="1" si="294"/>
        <v>3</v>
      </c>
      <c r="K423" s="228" t="str">
        <f t="shared" ca="1" si="295"/>
        <v xml:space="preserve">   SUPRAESTRUTURA - 3º  ao 7º PAVIMENTO - TIPO</v>
      </c>
      <c r="L423" s="231">
        <f t="shared" ca="1" si="296"/>
        <v>1</v>
      </c>
      <c r="M423" s="228" t="str">
        <f t="shared" ca="1" si="297"/>
        <v xml:space="preserve">   Armadura</v>
      </c>
      <c r="N423" s="231">
        <f t="shared" ca="1" si="298"/>
        <v>3</v>
      </c>
      <c r="O423" s="228" t="str">
        <f t="shared" ca="1" si="299"/>
        <v>Armacao aco CA-50 ø 6.3mm para supraestrutura corte e dobra em indústria</v>
      </c>
      <c r="P423" s="232" t="str">
        <f>IF(S423="","",IF(Orçamento!$B423="INSUMO",S423,""))</f>
        <v>ESPACADOR CIRCULAR 40MM</v>
      </c>
      <c r="Q423" s="244" t="str">
        <f t="shared" si="300"/>
        <v/>
      </c>
      <c r="R423" s="234">
        <f t="shared" ca="1" si="301"/>
        <v>1564.4401500000004</v>
      </c>
      <c r="S423" s="233" t="s">
        <v>162</v>
      </c>
      <c r="T423" s="242" t="str">
        <f>_xlfn.XLOOKUP(S423,Insumos!$A$3:$A$371,Insumos!$B$3:$B$371)</f>
        <v>UN</v>
      </c>
      <c r="U423" s="235">
        <f ca="1">IF($B423="insumo",R423,"")</f>
        <v>1564.4401500000004</v>
      </c>
      <c r="V423" s="320">
        <v>1.19</v>
      </c>
      <c r="W423" s="236">
        <f>IFERROR(IF(B423="INSUMO",_xlfn.XLOOKUP(S423,Insumos!A:A,Insumos!C:C),""),"Inserir Preço")</f>
        <v>0.76</v>
      </c>
      <c r="X423" s="235">
        <f t="shared" ca="1" si="302"/>
        <v>1861.6837785000002</v>
      </c>
      <c r="Y423" s="236">
        <f t="shared" si="258"/>
        <v>0.90439999999999998</v>
      </c>
      <c r="Z423" s="237">
        <f t="shared" ca="1" si="287"/>
        <v>1414.8796716600002</v>
      </c>
      <c r="AA423" s="238"/>
      <c r="AB423" s="233" t="str">
        <f>IF(B423="insumo",_xlfn.XLOOKUP(S423,Insumos!A:A,Insumos!D:D),"")</f>
        <v xml:space="preserve"> </v>
      </c>
      <c r="AC423" s="239">
        <f t="shared" ca="1" si="288"/>
        <v>2.0297738864696787E-4</v>
      </c>
      <c r="AE423" s="240">
        <f ca="1">IFERROR(IF(OR(Z423="",Z423=0),"",IF(AF423="","",IF(AF423="R$/mês",Z423/OBRA!$D$12,IF(AF423="R$/m²",Z423/OBRA!$D$10,IF(AF423="R$/apto",Orçamento!Z423/OBRA!$D$11,""))))),"")</f>
        <v>0.72810715749551014</v>
      </c>
      <c r="AF423" s="241" t="s">
        <v>154</v>
      </c>
    </row>
    <row r="424" spans="1:32" s="10" customFormat="1" ht="13.15" hidden="1" customHeight="1" outlineLevel="4" x14ac:dyDescent="0.2">
      <c r="A424" s="227"/>
      <c r="B424" s="228" t="s">
        <v>4</v>
      </c>
      <c r="C424" s="229">
        <f t="shared" si="286"/>
        <v>5</v>
      </c>
      <c r="D424" s="227" t="str">
        <f t="shared" ca="1" si="289"/>
        <v>04.003.001.004</v>
      </c>
      <c r="E424" s="228" t="str">
        <f t="shared" ca="1" si="290"/>
        <v>04.003.001.004</v>
      </c>
      <c r="F424" s="230">
        <f ca="1">IF($B424="UNIDADE CONSTRUTIVA",OFFSET(F424,-1,0)+1,LARGE(F$10:F423,1))</f>
        <v>2</v>
      </c>
      <c r="G424" s="228" t="str">
        <f t="shared" ca="1" si="291"/>
        <v xml:space="preserve">   GERENCIAMENTO EXECUTIVO</v>
      </c>
      <c r="H424" s="230">
        <f t="shared" ca="1" si="292"/>
        <v>4</v>
      </c>
      <c r="I424" s="228" t="str">
        <f t="shared" ca="1" si="293"/>
        <v xml:space="preserve">   SUPRAESTRUTURA</v>
      </c>
      <c r="J424" s="230">
        <f t="shared" ca="1" si="294"/>
        <v>3</v>
      </c>
      <c r="K424" s="228" t="str">
        <f t="shared" ca="1" si="295"/>
        <v xml:space="preserve">   SUPRAESTRUTURA - 3º  ao 7º PAVIMENTO - TIPO</v>
      </c>
      <c r="L424" s="231">
        <f t="shared" ca="1" si="296"/>
        <v>1</v>
      </c>
      <c r="M424" s="228" t="str">
        <f t="shared" ca="1" si="297"/>
        <v xml:space="preserve">   Armadura</v>
      </c>
      <c r="N424" s="231">
        <f t="shared" ca="1" si="298"/>
        <v>4</v>
      </c>
      <c r="O424" s="228" t="str">
        <f t="shared" ca="1" si="299"/>
        <v>Armacao aco CA-50 ø 8.0mm para supraestrutura corte e dobra em indústria</v>
      </c>
      <c r="P424" s="232" t="str">
        <f>IF(S424="","",IF(Orçamento!$B424="INSUMO",S424,""))</f>
        <v/>
      </c>
      <c r="Q424" s="244" t="str">
        <f t="shared" si="300"/>
        <v>Armacao aco CA-50 ø 8.0mm para supraestrutura corte e dobra em indústria</v>
      </c>
      <c r="R424" s="234">
        <f t="shared" ca="1" si="301"/>
        <v>1617.6182200000001</v>
      </c>
      <c r="S424" s="233" t="s">
        <v>187</v>
      </c>
      <c r="T424" s="242" t="s">
        <v>159</v>
      </c>
      <c r="U424" s="235">
        <v>1617.6182200000001</v>
      </c>
      <c r="V424" s="320" t="s">
        <v>35</v>
      </c>
      <c r="W424" s="236" t="str">
        <f>IFERROR(IF(B424="INSUMO",_xlfn.XLOOKUP(S424,Insumos!A:A,Insumos!C:C),""),"Inserir Preço")</f>
        <v/>
      </c>
      <c r="X424" s="235">
        <f t="shared" ca="1" si="302"/>
        <v>1617.6182200000001</v>
      </c>
      <c r="Y424" s="236">
        <f t="shared" ref="Y424:Y487" ca="1" si="304">IF(B424="insumo",W424*V424,IF(B424="serviço",SUMIFS(Y:Y,B:B,"insumo",E:E,E424,I:I,I424),""))</f>
        <v>7.0889300000000004</v>
      </c>
      <c r="Z424" s="237">
        <f t="shared" ca="1" si="287"/>
        <v>11467.182328304601</v>
      </c>
      <c r="AA424" s="238"/>
      <c r="AB424" s="233" t="str">
        <f>IF(B424="insumo",_xlfn.XLOOKUP(S424,Insumos!A:A,Insumos!D:D),"")</f>
        <v/>
      </c>
      <c r="AC424" s="239">
        <f t="shared" ca="1" si="288"/>
        <v>1.6450718536418756E-3</v>
      </c>
      <c r="AE424" s="240">
        <f ca="1">IFERROR(IF(OR(Z424="",Z424=0),"",IF(AF424="","",IF(AF424="R$/mês",Z424/OBRA!$D$12,IF(AF424="R$/m²",Z424/OBRA!$D$10,IF(AF424="R$/apto",Orçamento!Z424/OBRA!$D$11,""))))),"")</f>
        <v>5.9010937090846687</v>
      </c>
      <c r="AF424" s="241" t="s">
        <v>154</v>
      </c>
    </row>
    <row r="425" spans="1:32" s="10" customFormat="1" ht="13.15" hidden="1" customHeight="1" outlineLevel="4" x14ac:dyDescent="0.2">
      <c r="A425" s="227"/>
      <c r="B425" s="228" t="s">
        <v>19</v>
      </c>
      <c r="C425" s="229">
        <f t="shared" si="286"/>
        <v>5</v>
      </c>
      <c r="D425" s="227" t="str">
        <f t="shared" si="289"/>
        <v/>
      </c>
      <c r="E425" s="228" t="str">
        <f t="shared" ca="1" si="290"/>
        <v>04.003.001.004</v>
      </c>
      <c r="F425" s="230">
        <f ca="1">IF($B425="UNIDADE CONSTRUTIVA",OFFSET(F425,-1,0)+1,LARGE(F$10:F424,1))</f>
        <v>2</v>
      </c>
      <c r="G425" s="228" t="str">
        <f t="shared" ca="1" si="291"/>
        <v xml:space="preserve">   GERENCIAMENTO EXECUTIVO</v>
      </c>
      <c r="H425" s="230">
        <f t="shared" ca="1" si="292"/>
        <v>4</v>
      </c>
      <c r="I425" s="228" t="str">
        <f t="shared" ca="1" si="293"/>
        <v xml:space="preserve">   SUPRAESTRUTURA</v>
      </c>
      <c r="J425" s="230">
        <f t="shared" ca="1" si="294"/>
        <v>3</v>
      </c>
      <c r="K425" s="228" t="str">
        <f t="shared" ca="1" si="295"/>
        <v xml:space="preserve">   SUPRAESTRUTURA - 3º  ao 7º PAVIMENTO - TIPO</v>
      </c>
      <c r="L425" s="231">
        <f t="shared" ca="1" si="296"/>
        <v>1</v>
      </c>
      <c r="M425" s="228" t="str">
        <f t="shared" ca="1" si="297"/>
        <v xml:space="preserve">   Armadura</v>
      </c>
      <c r="N425" s="231">
        <f t="shared" ca="1" si="298"/>
        <v>4</v>
      </c>
      <c r="O425" s="228" t="str">
        <f t="shared" ca="1" si="299"/>
        <v>Armacao aco CA-50 ø 8.0mm para supraestrutura corte e dobra em indústria</v>
      </c>
      <c r="P425" s="232" t="str">
        <f>IF(S425="","",IF(Orçamento!$B425="INSUMO",S425,""))</f>
        <v>ACO CA-50A 8,00 MM (5/16)</v>
      </c>
      <c r="Q425" s="244" t="str">
        <f t="shared" si="300"/>
        <v/>
      </c>
      <c r="R425" s="234">
        <f t="shared" ca="1" si="301"/>
        <v>1617.6182200000001</v>
      </c>
      <c r="S425" s="233" t="s">
        <v>163</v>
      </c>
      <c r="T425" s="242" t="str">
        <f>_xlfn.XLOOKUP(S425,Insumos!$A$3:$A$371,Insumos!$B$3:$B$371)</f>
        <v>KG</v>
      </c>
      <c r="U425" s="235">
        <f ca="1">IF($B425="insumo",R425,"")</f>
        <v>1617.6182200000001</v>
      </c>
      <c r="V425" s="320">
        <v>1.1000000000000001</v>
      </c>
      <c r="W425" s="236">
        <f>IFERROR(IF(B425="INSUMO",_xlfn.XLOOKUP(S425,Insumos!A:A,Insumos!C:C),""),"Inserir Preço")</f>
        <v>5.62</v>
      </c>
      <c r="X425" s="235">
        <f t="shared" ca="1" si="302"/>
        <v>1779.3800420000002</v>
      </c>
      <c r="Y425" s="236">
        <f t="shared" si="304"/>
        <v>6.1820000000000004</v>
      </c>
      <c r="Z425" s="237">
        <f t="shared" ca="1" si="287"/>
        <v>10000.115836040002</v>
      </c>
      <c r="AA425" s="238"/>
      <c r="AB425" s="233" t="str">
        <f>IF(B425="insumo",_xlfn.XLOOKUP(S425,Insumos!A:A,Insumos!D:D),"")</f>
        <v>KNORR</v>
      </c>
      <c r="AC425" s="239">
        <f t="shared" ca="1" si="288"/>
        <v>1.4346077897812613E-3</v>
      </c>
      <c r="AE425" s="240">
        <f ca="1">IFERROR(IF(OR(Z425="",Z425=0),"",IF(AF425="","",IF(AF425="R$/mês",Z425/OBRA!$D$12,IF(AF425="R$/m²",Z425/OBRA!$D$10,IF(AF425="R$/apto",Orçamento!Z425/OBRA!$D$11,""))))),"")</f>
        <v>5.1461308419692999</v>
      </c>
      <c r="AF425" s="241" t="s">
        <v>154</v>
      </c>
    </row>
    <row r="426" spans="1:32" s="10" customFormat="1" ht="13.15" hidden="1" customHeight="1" outlineLevel="4" x14ac:dyDescent="0.2">
      <c r="A426" s="227"/>
      <c r="B426" s="228" t="s">
        <v>19</v>
      </c>
      <c r="C426" s="229">
        <f t="shared" si="286"/>
        <v>42</v>
      </c>
      <c r="D426" s="227" t="str">
        <f t="shared" si="289"/>
        <v/>
      </c>
      <c r="E426" s="228" t="str">
        <f t="shared" ca="1" si="290"/>
        <v>04.003.001.004</v>
      </c>
      <c r="F426" s="230">
        <f ca="1">IF($B426="UNIDADE CONSTRUTIVA",OFFSET(F426,-1,0)+1,LARGE(F$10:F425,1))</f>
        <v>2</v>
      </c>
      <c r="G426" s="228" t="str">
        <f t="shared" ca="1" si="291"/>
        <v xml:space="preserve">   GERENCIAMENTO EXECUTIVO</v>
      </c>
      <c r="H426" s="230">
        <f t="shared" ca="1" si="292"/>
        <v>4</v>
      </c>
      <c r="I426" s="228" t="str">
        <f t="shared" ca="1" si="293"/>
        <v xml:space="preserve">   SUPRAESTRUTURA</v>
      </c>
      <c r="J426" s="230">
        <f t="shared" ca="1" si="294"/>
        <v>3</v>
      </c>
      <c r="K426" s="228" t="str">
        <f t="shared" ca="1" si="295"/>
        <v xml:space="preserve">   SUPRAESTRUTURA - 3º  ao 7º PAVIMENTO - TIPO</v>
      </c>
      <c r="L426" s="231">
        <f t="shared" ca="1" si="296"/>
        <v>1</v>
      </c>
      <c r="M426" s="228" t="str">
        <f t="shared" ca="1" si="297"/>
        <v xml:space="preserve">   Armadura</v>
      </c>
      <c r="N426" s="231">
        <f t="shared" ca="1" si="298"/>
        <v>4</v>
      </c>
      <c r="O426" s="228" t="str">
        <f t="shared" ca="1" si="299"/>
        <v>Armacao aco CA-50 ø 8.0mm para supraestrutura corte e dobra em indústria</v>
      </c>
      <c r="P426" s="232" t="str">
        <f>IF(S426="","",IF(Orçamento!$B426="INSUMO",S426,""))</f>
        <v>ARAME RECOZIDO 18 BWG, 1,25MM (0,010 KG/M)</v>
      </c>
      <c r="Q426" s="244" t="str">
        <f t="shared" si="300"/>
        <v/>
      </c>
      <c r="R426" s="234">
        <f t="shared" ca="1" si="301"/>
        <v>1617.6182200000001</v>
      </c>
      <c r="S426" s="233" t="s">
        <v>161</v>
      </c>
      <c r="T426" s="242" t="str">
        <f>_xlfn.XLOOKUP(S426,Insumos!$A$3:$A$371,Insumos!$B$3:$B$371)</f>
        <v>KG</v>
      </c>
      <c r="U426" s="235">
        <f ca="1">IF($B426="insumo",R426,"")</f>
        <v>1617.6182200000001</v>
      </c>
      <c r="V426" s="320">
        <v>2.5000000000000001E-2</v>
      </c>
      <c r="W426" s="236">
        <f>IFERROR(IF(B426="INSUMO",_xlfn.XLOOKUP(S426,Insumos!A:A,Insumos!C:C),""),"Inserir Preço")</f>
        <v>13.69</v>
      </c>
      <c r="X426" s="235">
        <f t="shared" ca="1" si="302"/>
        <v>40.440455500000006</v>
      </c>
      <c r="Y426" s="236">
        <f t="shared" si="304"/>
        <v>0.34225</v>
      </c>
      <c r="Z426" s="237">
        <f t="shared" ca="1" si="287"/>
        <v>553.62983579500008</v>
      </c>
      <c r="AA426" s="238"/>
      <c r="AB426" s="233" t="str">
        <f>IF(B426="insumo",_xlfn.XLOOKUP(S426,Insumos!A:A,Insumos!D:D),"")</f>
        <v>GERDAU</v>
      </c>
      <c r="AC426" s="239">
        <f t="shared" ca="1" si="288"/>
        <v>7.9423247501235301E-5</v>
      </c>
      <c r="AE426" s="240">
        <f ca="1">IFERROR(IF(OR(Z426="",Z426=0),"",IF(AF426="","",IF(AF426="R$/mês",Z426/OBRA!$D$12,IF(AF426="R$/m²",Z426/OBRA!$D$10,IF(AF426="R$/apto",Orçamento!Z426/OBRA!$D$11,""))))),"")</f>
        <v>0.2849018571116132</v>
      </c>
      <c r="AF426" s="241" t="s">
        <v>154</v>
      </c>
    </row>
    <row r="427" spans="1:32" s="10" customFormat="1" ht="13.15" hidden="1" customHeight="1" outlineLevel="4" x14ac:dyDescent="0.2">
      <c r="A427" s="227"/>
      <c r="B427" s="228" t="s">
        <v>19</v>
      </c>
      <c r="C427" s="229">
        <f t="shared" si="286"/>
        <v>37</v>
      </c>
      <c r="D427" s="227" t="str">
        <f t="shared" si="289"/>
        <v/>
      </c>
      <c r="E427" s="228" t="str">
        <f t="shared" ca="1" si="290"/>
        <v>04.003.001.004</v>
      </c>
      <c r="F427" s="230">
        <f ca="1">IF($B427="UNIDADE CONSTRUTIVA",OFFSET(F427,-1,0)+1,LARGE(F$10:F426,1))</f>
        <v>2</v>
      </c>
      <c r="G427" s="228" t="str">
        <f t="shared" ca="1" si="291"/>
        <v xml:space="preserve">   GERENCIAMENTO EXECUTIVO</v>
      </c>
      <c r="H427" s="230">
        <f t="shared" ca="1" si="292"/>
        <v>4</v>
      </c>
      <c r="I427" s="228" t="str">
        <f t="shared" ca="1" si="293"/>
        <v xml:space="preserve">   SUPRAESTRUTURA</v>
      </c>
      <c r="J427" s="230">
        <f t="shared" ca="1" si="294"/>
        <v>3</v>
      </c>
      <c r="K427" s="228" t="str">
        <f t="shared" ca="1" si="295"/>
        <v xml:space="preserve">   SUPRAESTRUTURA - 3º  ao 7º PAVIMENTO - TIPO</v>
      </c>
      <c r="L427" s="231">
        <f t="shared" ca="1" si="296"/>
        <v>1</v>
      </c>
      <c r="M427" s="228" t="str">
        <f t="shared" ca="1" si="297"/>
        <v xml:space="preserve">   Armadura</v>
      </c>
      <c r="N427" s="231">
        <f t="shared" ca="1" si="298"/>
        <v>4</v>
      </c>
      <c r="O427" s="228" t="str">
        <f t="shared" ca="1" si="299"/>
        <v>Armacao aco CA-50 ø 8.0mm para supraestrutura corte e dobra em indústria</v>
      </c>
      <c r="P427" s="232" t="str">
        <f>IF(S427="","",IF(Orçamento!$B427="INSUMO",S427,""))</f>
        <v>ESPACADOR CIRCULAR 40MM</v>
      </c>
      <c r="Q427" s="244" t="str">
        <f t="shared" si="300"/>
        <v/>
      </c>
      <c r="R427" s="234">
        <f t="shared" ca="1" si="301"/>
        <v>1617.6182200000001</v>
      </c>
      <c r="S427" s="233" t="s">
        <v>162</v>
      </c>
      <c r="T427" s="242" t="str">
        <f>_xlfn.XLOOKUP(S427,Insumos!$A$3:$A$371,Insumos!$B$3:$B$371)</f>
        <v>UN</v>
      </c>
      <c r="U427" s="235">
        <f ca="1">IF($B427="insumo",R427,"")</f>
        <v>1617.6182200000001</v>
      </c>
      <c r="V427" s="320">
        <v>0.74299999999999999</v>
      </c>
      <c r="W427" s="236">
        <f>IFERROR(IF(B427="INSUMO",_xlfn.XLOOKUP(S427,Insumos!A:A,Insumos!C:C),""),"Inserir Preço")</f>
        <v>0.76</v>
      </c>
      <c r="X427" s="235">
        <f t="shared" ca="1" si="302"/>
        <v>1201.89033746</v>
      </c>
      <c r="Y427" s="236">
        <f t="shared" si="304"/>
        <v>0.56467999999999996</v>
      </c>
      <c r="Z427" s="237">
        <f t="shared" ca="1" si="287"/>
        <v>913.43665646959994</v>
      </c>
      <c r="AA427" s="238"/>
      <c r="AB427" s="233" t="str">
        <f>IF(B427="insumo",_xlfn.XLOOKUP(S427,Insumos!A:A,Insumos!D:D),"")</f>
        <v xml:space="preserve"> </v>
      </c>
      <c r="AC427" s="239">
        <f t="shared" ca="1" si="288"/>
        <v>1.3104081635937923E-4</v>
      </c>
      <c r="AE427" s="240">
        <f ca="1">IFERROR(IF(OR(Z427="",Z427=0),"",IF(AF427="","",IF(AF427="R$/mês",Z427/OBRA!$D$12,IF(AF427="R$/m²",Z427/OBRA!$D$10,IF(AF427="R$/apto",Orçamento!Z427/OBRA!$D$11,""))))),"")</f>
        <v>0.47006101000375661</v>
      </c>
      <c r="AF427" s="241" t="s">
        <v>154</v>
      </c>
    </row>
    <row r="428" spans="1:32" s="10" customFormat="1" ht="13.15" hidden="1" customHeight="1" outlineLevel="4" x14ac:dyDescent="0.2">
      <c r="A428" s="227"/>
      <c r="B428" s="228" t="s">
        <v>4</v>
      </c>
      <c r="C428" s="229">
        <f t="shared" si="286"/>
        <v>5</v>
      </c>
      <c r="D428" s="227" t="str">
        <f t="shared" ca="1" si="289"/>
        <v>04.003.001.005</v>
      </c>
      <c r="E428" s="228" t="str">
        <f t="shared" ca="1" si="290"/>
        <v>04.003.001.005</v>
      </c>
      <c r="F428" s="230">
        <f ca="1">IF($B428="UNIDADE CONSTRUTIVA",OFFSET(F428,-1,0)+1,LARGE(F$10:F427,1))</f>
        <v>2</v>
      </c>
      <c r="G428" s="228" t="str">
        <f t="shared" ca="1" si="291"/>
        <v xml:space="preserve">   GERENCIAMENTO EXECUTIVO</v>
      </c>
      <c r="H428" s="230">
        <f t="shared" ca="1" si="292"/>
        <v>4</v>
      </c>
      <c r="I428" s="228" t="str">
        <f t="shared" ca="1" si="293"/>
        <v xml:space="preserve">   SUPRAESTRUTURA</v>
      </c>
      <c r="J428" s="230">
        <f t="shared" ca="1" si="294"/>
        <v>3</v>
      </c>
      <c r="K428" s="228" t="str">
        <f t="shared" ca="1" si="295"/>
        <v xml:space="preserve">   SUPRAESTRUTURA - 3º  ao 7º PAVIMENTO - TIPO</v>
      </c>
      <c r="L428" s="231">
        <f t="shared" ca="1" si="296"/>
        <v>1</v>
      </c>
      <c r="M428" s="228" t="str">
        <f t="shared" ca="1" si="297"/>
        <v xml:space="preserve">   Armadura</v>
      </c>
      <c r="N428" s="231">
        <f t="shared" ca="1" si="298"/>
        <v>5</v>
      </c>
      <c r="O428" s="228" t="str">
        <f t="shared" ca="1" si="299"/>
        <v>Armacao aco CA-50 ø 10.0mm para supraestrutura corte e dobra em indústria</v>
      </c>
      <c r="P428" s="232" t="str">
        <f>IF(S428="","",IF(Orçamento!$B428="INSUMO",S428,""))</f>
        <v/>
      </c>
      <c r="Q428" s="244" t="str">
        <f t="shared" si="300"/>
        <v>Armacao aco CA-50 ø 10.0mm para supraestrutura corte e dobra em indústria</v>
      </c>
      <c r="R428" s="234">
        <f t="shared" ca="1" si="301"/>
        <v>3031.5515999999998</v>
      </c>
      <c r="S428" s="233" t="s">
        <v>188</v>
      </c>
      <c r="T428" s="242" t="s">
        <v>159</v>
      </c>
      <c r="U428" s="235">
        <v>3031.5515999999998</v>
      </c>
      <c r="V428" s="320" t="s">
        <v>35</v>
      </c>
      <c r="W428" s="236" t="str">
        <f>IFERROR(IF(B428="INSUMO",_xlfn.XLOOKUP(S428,Insumos!A:A,Insumos!C:C),""),"Inserir Preço")</f>
        <v/>
      </c>
      <c r="X428" s="235">
        <f t="shared" ca="1" si="302"/>
        <v>3031.5515999999998</v>
      </c>
      <c r="Y428" s="236">
        <f t="shared" ca="1" si="304"/>
        <v>6.5920300000000012</v>
      </c>
      <c r="Z428" s="237">
        <f t="shared" ca="1" si="287"/>
        <v>19984.079093748001</v>
      </c>
      <c r="AA428" s="238"/>
      <c r="AB428" s="233" t="str">
        <f>IF(B428="insumo",_xlfn.XLOOKUP(S428,Insumos!A:A,Insumos!D:D),"")</f>
        <v/>
      </c>
      <c r="AC428" s="239">
        <f t="shared" ca="1" si="288"/>
        <v>2.8668983449344366E-3</v>
      </c>
      <c r="AE428" s="240">
        <f ca="1">IFERROR(IF(OR(Z428="",Z428=0),"",IF(AF428="","",IF(AF428="R$/mês",Z428/OBRA!$D$12,IF(AF428="R$/m²",Z428/OBRA!$D$10,IF(AF428="R$/apto",Orçamento!Z428/OBRA!$D$11,""))))),"")</f>
        <v>10.283949452071036</v>
      </c>
      <c r="AF428" s="241" t="s">
        <v>154</v>
      </c>
    </row>
    <row r="429" spans="1:32" s="10" customFormat="1" ht="13.15" hidden="1" customHeight="1" outlineLevel="4" x14ac:dyDescent="0.2">
      <c r="A429" s="227"/>
      <c r="B429" s="228" t="s">
        <v>19</v>
      </c>
      <c r="C429" s="229">
        <f t="shared" si="286"/>
        <v>6</v>
      </c>
      <c r="D429" s="227" t="str">
        <f t="shared" si="289"/>
        <v/>
      </c>
      <c r="E429" s="228" t="str">
        <f t="shared" ca="1" si="290"/>
        <v>04.003.001.005</v>
      </c>
      <c r="F429" s="230">
        <f ca="1">IF($B429="UNIDADE CONSTRUTIVA",OFFSET(F429,-1,0)+1,LARGE(F$10:F428,1))</f>
        <v>2</v>
      </c>
      <c r="G429" s="228" t="str">
        <f t="shared" ca="1" si="291"/>
        <v xml:space="preserve">   GERENCIAMENTO EXECUTIVO</v>
      </c>
      <c r="H429" s="230">
        <f t="shared" ca="1" si="292"/>
        <v>4</v>
      </c>
      <c r="I429" s="228" t="str">
        <f t="shared" ca="1" si="293"/>
        <v xml:space="preserve">   SUPRAESTRUTURA</v>
      </c>
      <c r="J429" s="230">
        <f t="shared" ca="1" si="294"/>
        <v>3</v>
      </c>
      <c r="K429" s="228" t="str">
        <f t="shared" ca="1" si="295"/>
        <v xml:space="preserve">   SUPRAESTRUTURA - 3º  ao 7º PAVIMENTO - TIPO</v>
      </c>
      <c r="L429" s="231">
        <f t="shared" ca="1" si="296"/>
        <v>1</v>
      </c>
      <c r="M429" s="228" t="str">
        <f t="shared" ca="1" si="297"/>
        <v xml:space="preserve">   Armadura</v>
      </c>
      <c r="N429" s="231">
        <f t="shared" ca="1" si="298"/>
        <v>5</v>
      </c>
      <c r="O429" s="228" t="str">
        <f t="shared" ca="1" si="299"/>
        <v>Armacao aco CA-50 ø 10.0mm para supraestrutura corte e dobra em indústria</v>
      </c>
      <c r="P429" s="232" t="str">
        <f>IF(S429="","",IF(Orçamento!$B429="INSUMO",S429,""))</f>
        <v>ACO CA-50A 10,00 MM (3/8)</v>
      </c>
      <c r="Q429" s="244" t="str">
        <f t="shared" si="300"/>
        <v/>
      </c>
      <c r="R429" s="234">
        <f t="shared" ca="1" si="301"/>
        <v>3031.5515999999998</v>
      </c>
      <c r="S429" s="233" t="s">
        <v>177</v>
      </c>
      <c r="T429" s="242" t="str">
        <f>_xlfn.XLOOKUP(S429,Insumos!$A$3:$A$371,Insumos!$B$3:$B$371)</f>
        <v>KG</v>
      </c>
      <c r="U429" s="235">
        <f ca="1">IF($B429="insumo",R429,"")</f>
        <v>3031.5515999999998</v>
      </c>
      <c r="V429" s="320">
        <v>1.1000000000000001</v>
      </c>
      <c r="W429" s="236">
        <f>IFERROR(IF(B429="INSUMO",_xlfn.XLOOKUP(S429,Insumos!A:A,Insumos!C:C),""),"Inserir Preço")</f>
        <v>5.36</v>
      </c>
      <c r="X429" s="235">
        <f t="shared" ca="1" si="302"/>
        <v>3334.70676</v>
      </c>
      <c r="Y429" s="236">
        <f t="shared" si="304"/>
        <v>5.8960000000000008</v>
      </c>
      <c r="Z429" s="237">
        <f t="shared" ca="1" si="287"/>
        <v>17874.028233600002</v>
      </c>
      <c r="AA429" s="238"/>
      <c r="AB429" s="233" t="str">
        <f>IF(B429="insumo",_xlfn.XLOOKUP(S429,Insumos!A:A,Insumos!D:D),"")</f>
        <v>KNORR</v>
      </c>
      <c r="AC429" s="239">
        <f t="shared" ca="1" si="288"/>
        <v>2.5641923112809618E-3</v>
      </c>
      <c r="AE429" s="240">
        <f ca="1">IFERROR(IF(OR(Z429="",Z429=0),"",IF(AF429="","",IF(AF429="R$/mês",Z429/OBRA!$D$12,IF(AF429="R$/m²",Z429/OBRA!$D$10,IF(AF429="R$/apto",Orçamento!Z429/OBRA!$D$11,""))))),"")</f>
        <v>9.1981022491418933</v>
      </c>
      <c r="AF429" s="241" t="s">
        <v>154</v>
      </c>
    </row>
    <row r="430" spans="1:32" s="10" customFormat="1" ht="13.15" hidden="1" customHeight="1" outlineLevel="4" x14ac:dyDescent="0.2">
      <c r="A430" s="227"/>
      <c r="B430" s="228" t="s">
        <v>19</v>
      </c>
      <c r="C430" s="229">
        <f t="shared" si="286"/>
        <v>42</v>
      </c>
      <c r="D430" s="227" t="str">
        <f t="shared" si="289"/>
        <v/>
      </c>
      <c r="E430" s="228" t="str">
        <f t="shared" ca="1" si="290"/>
        <v>04.003.001.005</v>
      </c>
      <c r="F430" s="230">
        <f ca="1">IF($B430="UNIDADE CONSTRUTIVA",OFFSET(F430,-1,0)+1,LARGE(F$10:F429,1))</f>
        <v>2</v>
      </c>
      <c r="G430" s="228" t="str">
        <f t="shared" ca="1" si="291"/>
        <v xml:space="preserve">   GERENCIAMENTO EXECUTIVO</v>
      </c>
      <c r="H430" s="230">
        <f t="shared" ca="1" si="292"/>
        <v>4</v>
      </c>
      <c r="I430" s="228" t="str">
        <f t="shared" ca="1" si="293"/>
        <v xml:space="preserve">   SUPRAESTRUTURA</v>
      </c>
      <c r="J430" s="230">
        <f t="shared" ca="1" si="294"/>
        <v>3</v>
      </c>
      <c r="K430" s="228" t="str">
        <f t="shared" ca="1" si="295"/>
        <v xml:space="preserve">   SUPRAESTRUTURA - 3º  ao 7º PAVIMENTO - TIPO</v>
      </c>
      <c r="L430" s="231">
        <f t="shared" ca="1" si="296"/>
        <v>1</v>
      </c>
      <c r="M430" s="228" t="str">
        <f t="shared" ca="1" si="297"/>
        <v xml:space="preserve">   Armadura</v>
      </c>
      <c r="N430" s="231">
        <f t="shared" ca="1" si="298"/>
        <v>5</v>
      </c>
      <c r="O430" s="228" t="str">
        <f t="shared" ca="1" si="299"/>
        <v>Armacao aco CA-50 ø 10.0mm para supraestrutura corte e dobra em indústria</v>
      </c>
      <c r="P430" s="232" t="str">
        <f>IF(S430="","",IF(Orçamento!$B430="INSUMO",S430,""))</f>
        <v>ARAME RECOZIDO 18 BWG, 1,25MM (0,010 KG/M)</v>
      </c>
      <c r="Q430" s="244" t="str">
        <f t="shared" si="300"/>
        <v/>
      </c>
      <c r="R430" s="234">
        <f t="shared" ca="1" si="301"/>
        <v>3031.5515999999998</v>
      </c>
      <c r="S430" s="233" t="s">
        <v>161</v>
      </c>
      <c r="T430" s="242" t="str">
        <f>_xlfn.XLOOKUP(S430,Insumos!$A$3:$A$371,Insumos!$B$3:$B$371)</f>
        <v>KG</v>
      </c>
      <c r="U430" s="235">
        <f ca="1">IF($B430="insumo",R430,"")</f>
        <v>3031.5515999999998</v>
      </c>
      <c r="V430" s="320">
        <v>2.5000000000000001E-2</v>
      </c>
      <c r="W430" s="236">
        <f>IFERROR(IF(B430="INSUMO",_xlfn.XLOOKUP(S430,Insumos!A:A,Insumos!C:C),""),"Inserir Preço")</f>
        <v>13.69</v>
      </c>
      <c r="X430" s="235">
        <f t="shared" ca="1" si="302"/>
        <v>75.788789999999992</v>
      </c>
      <c r="Y430" s="236">
        <f t="shared" si="304"/>
        <v>0.34225</v>
      </c>
      <c r="Z430" s="237">
        <f t="shared" ca="1" si="287"/>
        <v>1037.5485350999998</v>
      </c>
      <c r="AA430" s="238"/>
      <c r="AB430" s="233" t="str">
        <f>IF(B430="insumo",_xlfn.XLOOKUP(S430,Insumos!A:A,Insumos!D:D),"")</f>
        <v>GERDAU</v>
      </c>
      <c r="AC430" s="239">
        <f t="shared" ca="1" si="288"/>
        <v>1.4884579690229119E-4</v>
      </c>
      <c r="AE430" s="240">
        <f ca="1">IFERROR(IF(OR(Z430="",Z430=0),"",IF(AF430="","",IF(AF430="R$/mês",Z430/OBRA!$D$12,IF(AF430="R$/m²",Z430/OBRA!$D$10,IF(AF430="R$/apto",Orçamento!Z430/OBRA!$D$11,""))))),"")</f>
        <v>0.53392986681967636</v>
      </c>
      <c r="AF430" s="241" t="s">
        <v>154</v>
      </c>
    </row>
    <row r="431" spans="1:32" s="10" customFormat="1" ht="13.15" hidden="1" customHeight="1" outlineLevel="4" x14ac:dyDescent="0.2">
      <c r="A431" s="227"/>
      <c r="B431" s="228" t="s">
        <v>19</v>
      </c>
      <c r="C431" s="229">
        <f t="shared" si="286"/>
        <v>37</v>
      </c>
      <c r="D431" s="227" t="str">
        <f t="shared" si="289"/>
        <v/>
      </c>
      <c r="E431" s="228" t="str">
        <f t="shared" ca="1" si="290"/>
        <v>04.003.001.005</v>
      </c>
      <c r="F431" s="230">
        <f ca="1">IF($B431="UNIDADE CONSTRUTIVA",OFFSET(F431,-1,0)+1,LARGE(F$10:F430,1))</f>
        <v>2</v>
      </c>
      <c r="G431" s="228" t="str">
        <f t="shared" ca="1" si="291"/>
        <v xml:space="preserve">   GERENCIAMENTO EXECUTIVO</v>
      </c>
      <c r="H431" s="230">
        <f t="shared" ca="1" si="292"/>
        <v>4</v>
      </c>
      <c r="I431" s="228" t="str">
        <f t="shared" ca="1" si="293"/>
        <v xml:space="preserve">   SUPRAESTRUTURA</v>
      </c>
      <c r="J431" s="230">
        <f t="shared" ca="1" si="294"/>
        <v>3</v>
      </c>
      <c r="K431" s="228" t="str">
        <f t="shared" ca="1" si="295"/>
        <v xml:space="preserve">   SUPRAESTRUTURA - 3º  ao 7º PAVIMENTO - TIPO</v>
      </c>
      <c r="L431" s="231">
        <f t="shared" ca="1" si="296"/>
        <v>1</v>
      </c>
      <c r="M431" s="228" t="str">
        <f t="shared" ca="1" si="297"/>
        <v xml:space="preserve">   Armadura</v>
      </c>
      <c r="N431" s="231">
        <f t="shared" ca="1" si="298"/>
        <v>5</v>
      </c>
      <c r="O431" s="228" t="str">
        <f t="shared" ca="1" si="299"/>
        <v>Armacao aco CA-50 ø 10.0mm para supraestrutura corte e dobra em indústria</v>
      </c>
      <c r="P431" s="232" t="str">
        <f>IF(S431="","",IF(Orçamento!$B431="INSUMO",S431,""))</f>
        <v>ESPACADOR CIRCULAR 40MM</v>
      </c>
      <c r="Q431" s="244" t="str">
        <f t="shared" si="300"/>
        <v/>
      </c>
      <c r="R431" s="234">
        <f t="shared" ca="1" si="301"/>
        <v>3031.5515999999998</v>
      </c>
      <c r="S431" s="233" t="s">
        <v>162</v>
      </c>
      <c r="T431" s="242" t="str">
        <f>_xlfn.XLOOKUP(S431,Insumos!$A$3:$A$371,Insumos!$B$3:$B$371)</f>
        <v>UN</v>
      </c>
      <c r="U431" s="235">
        <f ca="1">IF($B431="insumo",R431,"")</f>
        <v>3031.5515999999998</v>
      </c>
      <c r="V431" s="320">
        <v>0.46550000000000002</v>
      </c>
      <c r="W431" s="236">
        <f>IFERROR(IF(B431="INSUMO",_xlfn.XLOOKUP(S431,Insumos!A:A,Insumos!C:C),""),"Inserir Preço")</f>
        <v>0.76</v>
      </c>
      <c r="X431" s="235">
        <f t="shared" ca="1" si="302"/>
        <v>1411.1872698</v>
      </c>
      <c r="Y431" s="236">
        <f t="shared" si="304"/>
        <v>0.35378000000000004</v>
      </c>
      <c r="Z431" s="237">
        <f t="shared" ca="1" si="287"/>
        <v>1072.5023250479999</v>
      </c>
      <c r="AA431" s="238"/>
      <c r="AB431" s="233" t="str">
        <f>IF(B431="insumo",_xlfn.XLOOKUP(S431,Insumos!A:A,Insumos!D:D),"")</f>
        <v xml:space="preserve"> </v>
      </c>
      <c r="AC431" s="239">
        <f t="shared" ca="1" si="288"/>
        <v>1.5386023675118359E-4</v>
      </c>
      <c r="AE431" s="240">
        <f ca="1">IFERROR(IF(OR(Z431="",Z431=0),"",IF(AF431="","",IF(AF431="R$/mês",Z431/OBRA!$D$12,IF(AF431="R$/m²",Z431/OBRA!$D$10,IF(AF431="R$/apto",Orçamento!Z431/OBRA!$D$11,""))))),"")</f>
        <v>0.55191733610946714</v>
      </c>
      <c r="AF431" s="241" t="s">
        <v>154</v>
      </c>
    </row>
    <row r="432" spans="1:32" s="10" customFormat="1" ht="13.15" hidden="1" customHeight="1" outlineLevel="4" x14ac:dyDescent="0.2">
      <c r="A432" s="227"/>
      <c r="B432" s="228" t="s">
        <v>4</v>
      </c>
      <c r="C432" s="229">
        <f t="shared" si="286"/>
        <v>5</v>
      </c>
      <c r="D432" s="227" t="str">
        <f t="shared" ca="1" si="289"/>
        <v>04.003.001.006</v>
      </c>
      <c r="E432" s="228" t="str">
        <f t="shared" ca="1" si="290"/>
        <v>04.003.001.006</v>
      </c>
      <c r="F432" s="230">
        <f ca="1">IF($B432="UNIDADE CONSTRUTIVA",OFFSET(F432,-1,0)+1,LARGE(F$10:F431,1))</f>
        <v>2</v>
      </c>
      <c r="G432" s="228" t="str">
        <f t="shared" ca="1" si="291"/>
        <v xml:space="preserve">   GERENCIAMENTO EXECUTIVO</v>
      </c>
      <c r="H432" s="230">
        <f t="shared" ca="1" si="292"/>
        <v>4</v>
      </c>
      <c r="I432" s="228" t="str">
        <f t="shared" ca="1" si="293"/>
        <v xml:space="preserve">   SUPRAESTRUTURA</v>
      </c>
      <c r="J432" s="230">
        <f t="shared" ca="1" si="294"/>
        <v>3</v>
      </c>
      <c r="K432" s="228" t="str">
        <f t="shared" ca="1" si="295"/>
        <v xml:space="preserve">   SUPRAESTRUTURA - 3º  ao 7º PAVIMENTO - TIPO</v>
      </c>
      <c r="L432" s="231">
        <f t="shared" ca="1" si="296"/>
        <v>1</v>
      </c>
      <c r="M432" s="228" t="str">
        <f t="shared" ca="1" si="297"/>
        <v xml:space="preserve">   Armadura</v>
      </c>
      <c r="N432" s="231">
        <f t="shared" ca="1" si="298"/>
        <v>6</v>
      </c>
      <c r="O432" s="228" t="str">
        <f t="shared" ca="1" si="299"/>
        <v>Armacao aco CA-50 ø 12.5mm para supraestrutura corte e dobra em indústria</v>
      </c>
      <c r="P432" s="232" t="str">
        <f>IF(S432="","",IF(Orçamento!$B432="INSUMO",S432,""))</f>
        <v/>
      </c>
      <c r="Q432" s="244" t="str">
        <f t="shared" si="300"/>
        <v>Armacao aco CA-50 ø 12.5mm para supraestrutura corte e dobra em indústria</v>
      </c>
      <c r="R432" s="234">
        <f t="shared" ca="1" si="301"/>
        <v>2004.73</v>
      </c>
      <c r="S432" s="233" t="s">
        <v>189</v>
      </c>
      <c r="T432" s="242" t="s">
        <v>159</v>
      </c>
      <c r="U432" s="235">
        <v>2004.73</v>
      </c>
      <c r="V432" s="320" t="s">
        <v>35</v>
      </c>
      <c r="W432" s="236" t="str">
        <f>IFERROR(IF(B432="INSUMO",_xlfn.XLOOKUP(S432,Insumos!A:A,Insumos!C:C),""),"Inserir Preço")</f>
        <v/>
      </c>
      <c r="X432" s="235">
        <f t="shared" ca="1" si="302"/>
        <v>2004.73</v>
      </c>
      <c r="Y432" s="236">
        <f t="shared" ca="1" si="304"/>
        <v>6.3411700000000009</v>
      </c>
      <c r="Z432" s="237">
        <f t="shared" ca="1" si="287"/>
        <v>12712.333734100002</v>
      </c>
      <c r="AA432" s="238"/>
      <c r="AB432" s="233" t="str">
        <f>IF(B432="insumo",_xlfn.XLOOKUP(S432,Insumos!A:A,Insumos!D:D),"")</f>
        <v/>
      </c>
      <c r="AC432" s="239">
        <f t="shared" ca="1" si="288"/>
        <v>1.8237001751032537E-3</v>
      </c>
      <c r="AE432" s="240">
        <f ca="1">IFERROR(IF(OR(Z432="",Z432=0),"",IF(AF432="","",IF(AF432="R$/mês",Z432/OBRA!$D$12,IF(AF432="R$/m²",Z432/OBRA!$D$10,IF(AF432="R$/apto",Orçamento!Z432/OBRA!$D$11,""))))),"")</f>
        <v>6.5418574919592647</v>
      </c>
      <c r="AF432" s="241" t="s">
        <v>154</v>
      </c>
    </row>
    <row r="433" spans="1:32" s="10" customFormat="1" ht="13.15" hidden="1" customHeight="1" outlineLevel="4" x14ac:dyDescent="0.2">
      <c r="A433" s="227"/>
      <c r="B433" s="228" t="s">
        <v>19</v>
      </c>
      <c r="C433" s="229">
        <f t="shared" si="286"/>
        <v>5</v>
      </c>
      <c r="D433" s="227" t="str">
        <f t="shared" si="289"/>
        <v/>
      </c>
      <c r="E433" s="228" t="str">
        <f t="shared" ca="1" si="290"/>
        <v>04.003.001.006</v>
      </c>
      <c r="F433" s="230">
        <f ca="1">IF($B433="UNIDADE CONSTRUTIVA",OFFSET(F433,-1,0)+1,LARGE(F$10:F432,1))</f>
        <v>2</v>
      </c>
      <c r="G433" s="228" t="str">
        <f t="shared" ca="1" si="291"/>
        <v xml:space="preserve">   GERENCIAMENTO EXECUTIVO</v>
      </c>
      <c r="H433" s="230">
        <f t="shared" ca="1" si="292"/>
        <v>4</v>
      </c>
      <c r="I433" s="228" t="str">
        <f t="shared" ca="1" si="293"/>
        <v xml:space="preserve">   SUPRAESTRUTURA</v>
      </c>
      <c r="J433" s="230">
        <f t="shared" ca="1" si="294"/>
        <v>3</v>
      </c>
      <c r="K433" s="228" t="str">
        <f t="shared" ca="1" si="295"/>
        <v xml:space="preserve">   SUPRAESTRUTURA - 3º  ao 7º PAVIMENTO - TIPO</v>
      </c>
      <c r="L433" s="231">
        <f t="shared" ca="1" si="296"/>
        <v>1</v>
      </c>
      <c r="M433" s="228" t="str">
        <f t="shared" ca="1" si="297"/>
        <v xml:space="preserve">   Armadura</v>
      </c>
      <c r="N433" s="231">
        <f t="shared" ca="1" si="298"/>
        <v>6</v>
      </c>
      <c r="O433" s="228" t="str">
        <f t="shared" ca="1" si="299"/>
        <v>Armacao aco CA-50 ø 12.5mm para supraestrutura corte e dobra em indústria</v>
      </c>
      <c r="P433" s="232" t="str">
        <f>IF(S433="","",IF(Orçamento!$B433="INSUMO",S433,""))</f>
        <v>ACO CA-50A 12,50 MM (1/2)</v>
      </c>
      <c r="Q433" s="244" t="str">
        <f t="shared" si="300"/>
        <v/>
      </c>
      <c r="R433" s="234">
        <f t="shared" ca="1" si="301"/>
        <v>2004.73</v>
      </c>
      <c r="S433" s="233" t="s">
        <v>164</v>
      </c>
      <c r="T433" s="242" t="str">
        <f>_xlfn.XLOOKUP(S433,Insumos!$A$3:$A$371,Insumos!$B$3:$B$371)</f>
        <v>KG</v>
      </c>
      <c r="U433" s="235">
        <f ca="1">IF($B433="insumo",R433,"")</f>
        <v>2004.73</v>
      </c>
      <c r="V433" s="320">
        <v>1.1000000000000001</v>
      </c>
      <c r="W433" s="236">
        <f>IFERROR(IF(B433="INSUMO",_xlfn.XLOOKUP(S433,Insumos!A:A,Insumos!C:C),""),"Inserir Preço")</f>
        <v>5.2</v>
      </c>
      <c r="X433" s="235">
        <f t="shared" ca="1" si="302"/>
        <v>2205.203</v>
      </c>
      <c r="Y433" s="236">
        <f t="shared" si="304"/>
        <v>5.7200000000000006</v>
      </c>
      <c r="Z433" s="237">
        <f t="shared" ca="1" si="287"/>
        <v>11467.0556</v>
      </c>
      <c r="AA433" s="238"/>
      <c r="AB433" s="233" t="str">
        <f>IF(B433="insumo",_xlfn.XLOOKUP(S433,Insumos!A:A,Insumos!D:D),"")</f>
        <v>KNORR</v>
      </c>
      <c r="AC433" s="239">
        <f t="shared" ca="1" si="288"/>
        <v>1.6450536733111727E-3</v>
      </c>
      <c r="AE433" s="240">
        <f ca="1">IFERROR(IF(OR(Z433="",Z433=0),"",IF(AF433="","",IF(AF433="R$/mês",Z433/OBRA!$D$12,IF(AF433="R$/m²",Z433/OBRA!$D$10,IF(AF433="R$/apto",Orçamento!Z433/OBRA!$D$11,""))))),"")</f>
        <v>5.901028493796411</v>
      </c>
      <c r="AF433" s="241" t="s">
        <v>154</v>
      </c>
    </row>
    <row r="434" spans="1:32" s="10" customFormat="1" ht="13.15" hidden="1" customHeight="1" outlineLevel="4" x14ac:dyDescent="0.2">
      <c r="A434" s="227"/>
      <c r="B434" s="228" t="s">
        <v>19</v>
      </c>
      <c r="C434" s="229">
        <f t="shared" si="286"/>
        <v>42</v>
      </c>
      <c r="D434" s="227" t="str">
        <f t="shared" si="289"/>
        <v/>
      </c>
      <c r="E434" s="228" t="str">
        <f t="shared" ca="1" si="290"/>
        <v>04.003.001.006</v>
      </c>
      <c r="F434" s="230">
        <f ca="1">IF($B434="UNIDADE CONSTRUTIVA",OFFSET(F434,-1,0)+1,LARGE(F$10:F433,1))</f>
        <v>2</v>
      </c>
      <c r="G434" s="228" t="str">
        <f t="shared" ca="1" si="291"/>
        <v xml:space="preserve">   GERENCIAMENTO EXECUTIVO</v>
      </c>
      <c r="H434" s="230">
        <f t="shared" ca="1" si="292"/>
        <v>4</v>
      </c>
      <c r="I434" s="228" t="str">
        <f t="shared" ca="1" si="293"/>
        <v xml:space="preserve">   SUPRAESTRUTURA</v>
      </c>
      <c r="J434" s="230">
        <f t="shared" ca="1" si="294"/>
        <v>3</v>
      </c>
      <c r="K434" s="228" t="str">
        <f t="shared" ca="1" si="295"/>
        <v xml:space="preserve">   SUPRAESTRUTURA - 3º  ao 7º PAVIMENTO - TIPO</v>
      </c>
      <c r="L434" s="231">
        <f t="shared" ca="1" si="296"/>
        <v>1</v>
      </c>
      <c r="M434" s="228" t="str">
        <f t="shared" ca="1" si="297"/>
        <v xml:space="preserve">   Armadura</v>
      </c>
      <c r="N434" s="231">
        <f t="shared" ca="1" si="298"/>
        <v>6</v>
      </c>
      <c r="O434" s="228" t="str">
        <f t="shared" ca="1" si="299"/>
        <v>Armacao aco CA-50 ø 12.5mm para supraestrutura corte e dobra em indústria</v>
      </c>
      <c r="P434" s="232" t="str">
        <f>IF(S434="","",IF(Orçamento!$B434="INSUMO",S434,""))</f>
        <v>ARAME RECOZIDO 18 BWG, 1,25MM (0,010 KG/M)</v>
      </c>
      <c r="Q434" s="244" t="str">
        <f t="shared" si="300"/>
        <v/>
      </c>
      <c r="R434" s="234">
        <f t="shared" ca="1" si="301"/>
        <v>2004.73</v>
      </c>
      <c r="S434" s="233" t="s">
        <v>161</v>
      </c>
      <c r="T434" s="242" t="str">
        <f>_xlfn.XLOOKUP(S434,Insumos!$A$3:$A$371,Insumos!$B$3:$B$371)</f>
        <v>KG</v>
      </c>
      <c r="U434" s="235">
        <f ca="1">IF($B434="insumo",R434,"")</f>
        <v>2004.73</v>
      </c>
      <c r="V434" s="320">
        <v>2.5000000000000001E-2</v>
      </c>
      <c r="W434" s="236">
        <f>IFERROR(IF(B434="INSUMO",_xlfn.XLOOKUP(S434,Insumos!A:A,Insumos!C:C),""),"Inserir Preço")</f>
        <v>13.69</v>
      </c>
      <c r="X434" s="235">
        <f t="shared" ca="1" si="302"/>
        <v>50.118250000000003</v>
      </c>
      <c r="Y434" s="236">
        <f t="shared" si="304"/>
        <v>0.34225</v>
      </c>
      <c r="Z434" s="237">
        <f t="shared" ca="1" si="287"/>
        <v>686.11884250000003</v>
      </c>
      <c r="AA434" s="238"/>
      <c r="AB434" s="233" t="str">
        <f>IF(B434="insumo",_xlfn.XLOOKUP(S434,Insumos!A:A,Insumos!D:D),"")</f>
        <v>GERDAU</v>
      </c>
      <c r="AC434" s="239">
        <f t="shared" ca="1" si="288"/>
        <v>9.8430003442438613E-5</v>
      </c>
      <c r="AE434" s="240">
        <f ca="1">IFERROR(IF(OR(Z434="",Z434=0),"",IF(AF434="","",IF(AF434="R$/mês",Z434/OBRA!$D$12,IF(AF434="R$/m²",Z434/OBRA!$D$10,IF(AF434="R$/apto",Orçamento!Z434/OBRA!$D$11,""))))),"")</f>
        <v>0.35308164370661221</v>
      </c>
      <c r="AF434" s="241" t="s">
        <v>154</v>
      </c>
    </row>
    <row r="435" spans="1:32" s="10" customFormat="1" ht="13.15" hidden="1" customHeight="1" outlineLevel="4" x14ac:dyDescent="0.2">
      <c r="A435" s="227"/>
      <c r="B435" s="228" t="s">
        <v>19</v>
      </c>
      <c r="C435" s="229">
        <f t="shared" si="286"/>
        <v>37</v>
      </c>
      <c r="D435" s="227" t="str">
        <f t="shared" si="289"/>
        <v/>
      </c>
      <c r="E435" s="228" t="str">
        <f t="shared" ca="1" si="290"/>
        <v>04.003.001.006</v>
      </c>
      <c r="F435" s="230">
        <f ca="1">IF($B435="UNIDADE CONSTRUTIVA",OFFSET(F435,-1,0)+1,LARGE(F$10:F434,1))</f>
        <v>2</v>
      </c>
      <c r="G435" s="228" t="str">
        <f t="shared" ca="1" si="291"/>
        <v xml:space="preserve">   GERENCIAMENTO EXECUTIVO</v>
      </c>
      <c r="H435" s="230">
        <f t="shared" ca="1" si="292"/>
        <v>4</v>
      </c>
      <c r="I435" s="228" t="str">
        <f t="shared" ca="1" si="293"/>
        <v xml:space="preserve">   SUPRAESTRUTURA</v>
      </c>
      <c r="J435" s="230">
        <f t="shared" ca="1" si="294"/>
        <v>3</v>
      </c>
      <c r="K435" s="228" t="str">
        <f t="shared" ca="1" si="295"/>
        <v xml:space="preserve">   SUPRAESTRUTURA - 3º  ao 7º PAVIMENTO - TIPO</v>
      </c>
      <c r="L435" s="231">
        <f t="shared" ca="1" si="296"/>
        <v>1</v>
      </c>
      <c r="M435" s="228" t="str">
        <f t="shared" ca="1" si="297"/>
        <v xml:space="preserve">   Armadura</v>
      </c>
      <c r="N435" s="231">
        <f t="shared" ca="1" si="298"/>
        <v>6</v>
      </c>
      <c r="O435" s="228" t="str">
        <f t="shared" ca="1" si="299"/>
        <v>Armacao aco CA-50 ø 12.5mm para supraestrutura corte e dobra em indústria</v>
      </c>
      <c r="P435" s="232" t="str">
        <f>IF(S435="","",IF(Orçamento!$B435="INSUMO",S435,""))</f>
        <v>ESPACADOR CIRCULAR 40MM</v>
      </c>
      <c r="Q435" s="244" t="str">
        <f t="shared" si="300"/>
        <v/>
      </c>
      <c r="R435" s="234">
        <f t="shared" ca="1" si="301"/>
        <v>2004.73</v>
      </c>
      <c r="S435" s="233" t="s">
        <v>162</v>
      </c>
      <c r="T435" s="242" t="str">
        <f>_xlfn.XLOOKUP(S435,Insumos!$A$3:$A$371,Insumos!$B$3:$B$371)</f>
        <v>UN</v>
      </c>
      <c r="U435" s="235">
        <f ca="1">IF($B435="insumo",R435,"")</f>
        <v>2004.73</v>
      </c>
      <c r="V435" s="320">
        <v>0.36699999999999999</v>
      </c>
      <c r="W435" s="236">
        <f>IFERROR(IF(B435="INSUMO",_xlfn.XLOOKUP(S435,Insumos!A:A,Insumos!C:C),""),"Inserir Preço")</f>
        <v>0.76</v>
      </c>
      <c r="X435" s="235">
        <f t="shared" ca="1" si="302"/>
        <v>735.73590999999999</v>
      </c>
      <c r="Y435" s="236">
        <f t="shared" si="304"/>
        <v>0.27892</v>
      </c>
      <c r="Z435" s="237">
        <f t="shared" ca="1" si="287"/>
        <v>559.15929159999996</v>
      </c>
      <c r="AA435" s="238"/>
      <c r="AB435" s="233" t="str">
        <f>IF(B435="insumo",_xlfn.XLOOKUP(S435,Insumos!A:A,Insumos!D:D),"")</f>
        <v xml:space="preserve"> </v>
      </c>
      <c r="AC435" s="239">
        <f t="shared" ca="1" si="288"/>
        <v>8.0216498349642009E-5</v>
      </c>
      <c r="AE435" s="240">
        <f ca="1">IFERROR(IF(OR(Z435="",Z435=0),"",IF(AF435="","",IF(AF435="R$/mês",Z435/OBRA!$D$12,IF(AF435="R$/m²",Z435/OBRA!$D$10,IF(AF435="R$/apto",Orçamento!Z435/OBRA!$D$11,""))))),"")</f>
        <v>0.28774735445624033</v>
      </c>
      <c r="AF435" s="241" t="s">
        <v>154</v>
      </c>
    </row>
    <row r="436" spans="1:32" s="10" customFormat="1" ht="13.15" hidden="1" customHeight="1" outlineLevel="4" x14ac:dyDescent="0.2">
      <c r="A436" s="227"/>
      <c r="B436" s="228" t="s">
        <v>4</v>
      </c>
      <c r="C436" s="229">
        <f t="shared" si="286"/>
        <v>5</v>
      </c>
      <c r="D436" s="227" t="str">
        <f t="shared" ca="1" si="289"/>
        <v>04.003.001.007</v>
      </c>
      <c r="E436" s="228" t="str">
        <f t="shared" ca="1" si="290"/>
        <v>04.003.001.007</v>
      </c>
      <c r="F436" s="230">
        <f ca="1">IF($B436="UNIDADE CONSTRUTIVA",OFFSET(F436,-1,0)+1,LARGE(F$10:F435,1))</f>
        <v>2</v>
      </c>
      <c r="G436" s="228" t="str">
        <f t="shared" ca="1" si="291"/>
        <v xml:space="preserve">   GERENCIAMENTO EXECUTIVO</v>
      </c>
      <c r="H436" s="230">
        <f t="shared" ca="1" si="292"/>
        <v>4</v>
      </c>
      <c r="I436" s="228" t="str">
        <f t="shared" ca="1" si="293"/>
        <v xml:space="preserve">   SUPRAESTRUTURA</v>
      </c>
      <c r="J436" s="230">
        <f t="shared" ca="1" si="294"/>
        <v>3</v>
      </c>
      <c r="K436" s="228" t="str">
        <f t="shared" ca="1" si="295"/>
        <v xml:space="preserve">   SUPRAESTRUTURA - 3º  ao 7º PAVIMENTO - TIPO</v>
      </c>
      <c r="L436" s="231">
        <f t="shared" ca="1" si="296"/>
        <v>1</v>
      </c>
      <c r="M436" s="228" t="str">
        <f t="shared" ca="1" si="297"/>
        <v xml:space="preserve">   Armadura</v>
      </c>
      <c r="N436" s="231">
        <f t="shared" ca="1" si="298"/>
        <v>7</v>
      </c>
      <c r="O436" s="228" t="str">
        <f t="shared" ca="1" si="299"/>
        <v>Armacao aco CA-50 ø 16.0mm para supraestrutura corte e dobra em indústria</v>
      </c>
      <c r="P436" s="232" t="str">
        <f>IF(S436="","",IF(Orçamento!$B436="INSUMO",S436,""))</f>
        <v/>
      </c>
      <c r="Q436" s="244" t="str">
        <f t="shared" si="300"/>
        <v>Armacao aco CA-50 ø 16.0mm para supraestrutura corte e dobra em indústria</v>
      </c>
      <c r="R436" s="234">
        <f t="shared" ca="1" si="301"/>
        <v>2461.3342899999998</v>
      </c>
      <c r="S436" s="233" t="s">
        <v>190</v>
      </c>
      <c r="T436" s="242" t="s">
        <v>159</v>
      </c>
      <c r="U436" s="235">
        <v>2461.3342899999998</v>
      </c>
      <c r="V436" s="320" t="s">
        <v>35</v>
      </c>
      <c r="W436" s="236" t="str">
        <f>IFERROR(IF(B436="INSUMO",_xlfn.XLOOKUP(S436,Insumos!A:A,Insumos!C:C),""),"Inserir Preço")</f>
        <v/>
      </c>
      <c r="X436" s="235">
        <f t="shared" ca="1" si="302"/>
        <v>2461.3342899999998</v>
      </c>
      <c r="Y436" s="236">
        <f t="shared" ca="1" si="304"/>
        <v>6.3602700000000008</v>
      </c>
      <c r="Z436" s="237">
        <f t="shared" ca="1" si="287"/>
        <v>15654.750644658301</v>
      </c>
      <c r="AA436" s="238"/>
      <c r="AB436" s="233" t="str">
        <f>IF(B436="insumo",_xlfn.XLOOKUP(S436,Insumos!A:A,Insumos!D:D),"")</f>
        <v/>
      </c>
      <c r="AC436" s="239">
        <f t="shared" ca="1" si="288"/>
        <v>2.2458167075396049E-3</v>
      </c>
      <c r="AE436" s="240">
        <f ca="1">IFERROR(IF(OR(Z436="",Z436=0),"",IF(AF436="","",IF(AF436="R$/mês",Z436/OBRA!$D$12,IF(AF436="R$/m²",Z436/OBRA!$D$10,IF(AF436="R$/apto",Orçamento!Z436/OBRA!$D$11,""))))),"")</f>
        <v>8.0560461935325733</v>
      </c>
      <c r="AF436" s="241" t="s">
        <v>154</v>
      </c>
    </row>
    <row r="437" spans="1:32" s="10" customFormat="1" ht="13.15" hidden="1" customHeight="1" outlineLevel="4" x14ac:dyDescent="0.2">
      <c r="A437" s="227"/>
      <c r="B437" s="228" t="s">
        <v>19</v>
      </c>
      <c r="C437" s="229">
        <f t="shared" si="286"/>
        <v>6</v>
      </c>
      <c r="D437" s="227" t="str">
        <f t="shared" si="289"/>
        <v/>
      </c>
      <c r="E437" s="228" t="str">
        <f t="shared" ca="1" si="290"/>
        <v>04.003.001.007</v>
      </c>
      <c r="F437" s="230">
        <f ca="1">IF($B437="UNIDADE CONSTRUTIVA",OFFSET(F437,-1,0)+1,LARGE(F$10:F436,1))</f>
        <v>2</v>
      </c>
      <c r="G437" s="228" t="str">
        <f t="shared" ca="1" si="291"/>
        <v xml:space="preserve">   GERENCIAMENTO EXECUTIVO</v>
      </c>
      <c r="H437" s="230">
        <f t="shared" ca="1" si="292"/>
        <v>4</v>
      </c>
      <c r="I437" s="228" t="str">
        <f t="shared" ca="1" si="293"/>
        <v xml:space="preserve">   SUPRAESTRUTURA</v>
      </c>
      <c r="J437" s="230">
        <f t="shared" ca="1" si="294"/>
        <v>3</v>
      </c>
      <c r="K437" s="228" t="str">
        <f t="shared" ca="1" si="295"/>
        <v xml:space="preserve">   SUPRAESTRUTURA - 3º  ao 7º PAVIMENTO - TIPO</v>
      </c>
      <c r="L437" s="231">
        <f t="shared" ca="1" si="296"/>
        <v>1</v>
      </c>
      <c r="M437" s="228" t="str">
        <f t="shared" ca="1" si="297"/>
        <v xml:space="preserve">   Armadura</v>
      </c>
      <c r="N437" s="231">
        <f t="shared" ca="1" si="298"/>
        <v>7</v>
      </c>
      <c r="O437" s="228" t="str">
        <f t="shared" ca="1" si="299"/>
        <v>Armacao aco CA-50 ø 16.0mm para supraestrutura corte e dobra em indústria</v>
      </c>
      <c r="P437" s="232" t="str">
        <f>IF(S437="","",IF(Orçamento!$B437="INSUMO",S437,""))</f>
        <v>ACO CA-50A 16,00 MM (5/8)</v>
      </c>
      <c r="Q437" s="244" t="str">
        <f t="shared" si="300"/>
        <v/>
      </c>
      <c r="R437" s="234">
        <f t="shared" ca="1" si="301"/>
        <v>2461.3342899999998</v>
      </c>
      <c r="S437" s="233" t="s">
        <v>178</v>
      </c>
      <c r="T437" s="242" t="str">
        <f>_xlfn.XLOOKUP(S437,Insumos!$A$3:$A$371,Insumos!$B$3:$B$371)</f>
        <v>KG</v>
      </c>
      <c r="U437" s="235">
        <f ca="1">IF($B437="insumo",R437,"")</f>
        <v>2461.3342899999998</v>
      </c>
      <c r="V437" s="320">
        <v>1.1000000000000001</v>
      </c>
      <c r="W437" s="236">
        <f>IFERROR(IF(B437="INSUMO",_xlfn.XLOOKUP(S437,Insumos!A:A,Insumos!C:C),""),"Inserir Preço")</f>
        <v>5.2</v>
      </c>
      <c r="X437" s="235">
        <f t="shared" ca="1" si="302"/>
        <v>2707.4677189999998</v>
      </c>
      <c r="Y437" s="236">
        <f t="shared" si="304"/>
        <v>5.7200000000000006</v>
      </c>
      <c r="Z437" s="237">
        <f t="shared" ca="1" si="287"/>
        <v>14078.832138799999</v>
      </c>
      <c r="AA437" s="238"/>
      <c r="AB437" s="233" t="str">
        <f>IF(B437="insumo",_xlfn.XLOOKUP(S437,Insumos!A:A,Insumos!D:D),"")</f>
        <v>KNORR</v>
      </c>
      <c r="AC437" s="239">
        <f t="shared" ca="1" si="288"/>
        <v>2.0197368299029032E-3</v>
      </c>
      <c r="AE437" s="240">
        <f ca="1">IFERROR(IF(OR(Z437="",Z437=0),"",IF(AF437="","",IF(AF437="R$/mês",Z437/OBRA!$D$12,IF(AF437="R$/m²",Z437/OBRA!$D$10,IF(AF437="R$/apto",Orçamento!Z437/OBRA!$D$11,""))))),"")</f>
        <v>7.2450673048481127</v>
      </c>
      <c r="AF437" s="241" t="s">
        <v>154</v>
      </c>
    </row>
    <row r="438" spans="1:32" s="10" customFormat="1" ht="13.15" hidden="1" customHeight="1" outlineLevel="4" x14ac:dyDescent="0.2">
      <c r="A438" s="227"/>
      <c r="B438" s="228" t="s">
        <v>19</v>
      </c>
      <c r="C438" s="229">
        <f t="shared" si="286"/>
        <v>42</v>
      </c>
      <c r="D438" s="227" t="str">
        <f t="shared" si="289"/>
        <v/>
      </c>
      <c r="E438" s="228" t="str">
        <f t="shared" ca="1" si="290"/>
        <v>04.003.001.007</v>
      </c>
      <c r="F438" s="230">
        <f ca="1">IF($B438="UNIDADE CONSTRUTIVA",OFFSET(F438,-1,0)+1,LARGE(F$10:F437,1))</f>
        <v>2</v>
      </c>
      <c r="G438" s="228" t="str">
        <f t="shared" ca="1" si="291"/>
        <v xml:space="preserve">   GERENCIAMENTO EXECUTIVO</v>
      </c>
      <c r="H438" s="230">
        <f t="shared" ca="1" si="292"/>
        <v>4</v>
      </c>
      <c r="I438" s="228" t="str">
        <f t="shared" ca="1" si="293"/>
        <v xml:space="preserve">   SUPRAESTRUTURA</v>
      </c>
      <c r="J438" s="230">
        <f t="shared" ca="1" si="294"/>
        <v>3</v>
      </c>
      <c r="K438" s="228" t="str">
        <f t="shared" ca="1" si="295"/>
        <v xml:space="preserve">   SUPRAESTRUTURA - 3º  ao 7º PAVIMENTO - TIPO</v>
      </c>
      <c r="L438" s="231">
        <f t="shared" ca="1" si="296"/>
        <v>1</v>
      </c>
      <c r="M438" s="228" t="str">
        <f t="shared" ca="1" si="297"/>
        <v xml:space="preserve">   Armadura</v>
      </c>
      <c r="N438" s="231">
        <f t="shared" ca="1" si="298"/>
        <v>7</v>
      </c>
      <c r="O438" s="228" t="str">
        <f t="shared" ca="1" si="299"/>
        <v>Armacao aco CA-50 ø 16.0mm para supraestrutura corte e dobra em indústria</v>
      </c>
      <c r="P438" s="232" t="str">
        <f>IF(S438="","",IF(Orçamento!$B438="INSUMO",S438,""))</f>
        <v>ARAME RECOZIDO 18 BWG, 1,25MM (0,010 KG/M)</v>
      </c>
      <c r="Q438" s="244" t="str">
        <f t="shared" si="300"/>
        <v/>
      </c>
      <c r="R438" s="234">
        <f t="shared" ca="1" si="301"/>
        <v>2461.3342899999998</v>
      </c>
      <c r="S438" s="233" t="s">
        <v>161</v>
      </c>
      <c r="T438" s="242" t="str">
        <f>_xlfn.XLOOKUP(S438,Insumos!$A$3:$A$371,Insumos!$B$3:$B$371)</f>
        <v>KG</v>
      </c>
      <c r="U438" s="235">
        <f ca="1">IF($B438="insumo",R438,"")</f>
        <v>2461.3342899999998</v>
      </c>
      <c r="V438" s="320">
        <v>3.5000000000000003E-2</v>
      </c>
      <c r="W438" s="236">
        <f>IFERROR(IF(B438="INSUMO",_xlfn.XLOOKUP(S438,Insumos!A:A,Insumos!C:C),""),"Inserir Preço")</f>
        <v>13.69</v>
      </c>
      <c r="X438" s="235">
        <f t="shared" ca="1" si="302"/>
        <v>86.146700150000001</v>
      </c>
      <c r="Y438" s="236">
        <f t="shared" si="304"/>
        <v>0.47915000000000002</v>
      </c>
      <c r="Z438" s="237">
        <f t="shared" ca="1" si="287"/>
        <v>1179.3483250535</v>
      </c>
      <c r="AA438" s="238"/>
      <c r="AB438" s="233" t="str">
        <f>IF(B438="insumo",_xlfn.XLOOKUP(S438,Insumos!A:A,Insumos!D:D),"")</f>
        <v>GERDAU</v>
      </c>
      <c r="AC438" s="239">
        <f t="shared" ca="1" si="288"/>
        <v>1.6918826958880703E-4</v>
      </c>
      <c r="AE438" s="240">
        <f ca="1">IFERROR(IF(OR(Z438="",Z438=0),"",IF(AF438="","",IF(AF438="R$/mês",Z438/OBRA!$D$12,IF(AF438="R$/m²",Z438/OBRA!$D$10,IF(AF438="R$/apto",Orçamento!Z438/OBRA!$D$11,""))))),"")</f>
        <v>0.60690104879684859</v>
      </c>
      <c r="AF438" s="241" t="s">
        <v>154</v>
      </c>
    </row>
    <row r="439" spans="1:32" s="10" customFormat="1" ht="13.15" hidden="1" customHeight="1" outlineLevel="4" x14ac:dyDescent="0.2">
      <c r="A439" s="227"/>
      <c r="B439" s="228" t="s">
        <v>19</v>
      </c>
      <c r="C439" s="229">
        <f t="shared" si="286"/>
        <v>37</v>
      </c>
      <c r="D439" s="227" t="str">
        <f t="shared" si="289"/>
        <v/>
      </c>
      <c r="E439" s="228" t="str">
        <f t="shared" ca="1" si="290"/>
        <v>04.003.001.007</v>
      </c>
      <c r="F439" s="230">
        <f ca="1">IF($B439="UNIDADE CONSTRUTIVA",OFFSET(F439,-1,0)+1,LARGE(F$10:F438,1))</f>
        <v>2</v>
      </c>
      <c r="G439" s="228" t="str">
        <f t="shared" ca="1" si="291"/>
        <v xml:space="preserve">   GERENCIAMENTO EXECUTIVO</v>
      </c>
      <c r="H439" s="230">
        <f t="shared" ca="1" si="292"/>
        <v>4</v>
      </c>
      <c r="I439" s="228" t="str">
        <f t="shared" ca="1" si="293"/>
        <v xml:space="preserve">   SUPRAESTRUTURA</v>
      </c>
      <c r="J439" s="230">
        <f t="shared" ca="1" si="294"/>
        <v>3</v>
      </c>
      <c r="K439" s="228" t="str">
        <f t="shared" ca="1" si="295"/>
        <v xml:space="preserve">   SUPRAESTRUTURA - 3º  ao 7º PAVIMENTO - TIPO</v>
      </c>
      <c r="L439" s="231">
        <f t="shared" ca="1" si="296"/>
        <v>1</v>
      </c>
      <c r="M439" s="228" t="str">
        <f t="shared" ca="1" si="297"/>
        <v xml:space="preserve">   Armadura</v>
      </c>
      <c r="N439" s="231">
        <f t="shared" ca="1" si="298"/>
        <v>7</v>
      </c>
      <c r="O439" s="228" t="str">
        <f t="shared" ca="1" si="299"/>
        <v>Armacao aco CA-50 ø 16.0mm para supraestrutura corte e dobra em indústria</v>
      </c>
      <c r="P439" s="232" t="str">
        <f>IF(S439="","",IF(Orçamento!$B439="INSUMO",S439,""))</f>
        <v>ESPACADOR CIRCULAR 40MM</v>
      </c>
      <c r="Q439" s="244" t="str">
        <f t="shared" si="300"/>
        <v/>
      </c>
      <c r="R439" s="234">
        <f t="shared" ca="1" si="301"/>
        <v>2461.3342899999998</v>
      </c>
      <c r="S439" s="233" t="s">
        <v>162</v>
      </c>
      <c r="T439" s="242" t="str">
        <f>_xlfn.XLOOKUP(S439,Insumos!$A$3:$A$371,Insumos!$B$3:$B$371)</f>
        <v>UN</v>
      </c>
      <c r="U439" s="235">
        <f ca="1">IF($B439="insumo",R439,"")</f>
        <v>2461.3342899999998</v>
      </c>
      <c r="V439" s="320">
        <v>0.21199999999999999</v>
      </c>
      <c r="W439" s="236">
        <f>IFERROR(IF(B439="INSUMO",_xlfn.XLOOKUP(S439,Insumos!A:A,Insumos!C:C),""),"Inserir Preço")</f>
        <v>0.76</v>
      </c>
      <c r="X439" s="235">
        <f t="shared" ca="1" si="302"/>
        <v>521.80286947999991</v>
      </c>
      <c r="Y439" s="236">
        <f t="shared" si="304"/>
        <v>0.16111999999999999</v>
      </c>
      <c r="Z439" s="237">
        <f t="shared" ca="1" si="287"/>
        <v>396.57018080479992</v>
      </c>
      <c r="AA439" s="238"/>
      <c r="AB439" s="233" t="str">
        <f>IF(B439="insumo",_xlfn.XLOOKUP(S439,Insumos!A:A,Insumos!D:D),"")</f>
        <v xml:space="preserve"> </v>
      </c>
      <c r="AC439" s="239">
        <f t="shared" ca="1" si="288"/>
        <v>5.6891608047894358E-5</v>
      </c>
      <c r="AE439" s="240">
        <f ca="1">IFERROR(IF(OR(Z439="",Z439=0),"",IF(AF439="","",IF(AF439="R$/mês",Z439/OBRA!$D$12,IF(AF439="R$/m²",Z439/OBRA!$D$10,IF(AF439="R$/apto",Orçamento!Z439/OBRA!$D$11,""))))),"")</f>
        <v>0.20407783988760975</v>
      </c>
      <c r="AF439" s="241" t="s">
        <v>154</v>
      </c>
    </row>
    <row r="440" spans="1:32" s="10" customFormat="1" ht="13.15" hidden="1" customHeight="1" outlineLevel="4" x14ac:dyDescent="0.2">
      <c r="A440" s="227"/>
      <c r="B440" s="228" t="s">
        <v>4</v>
      </c>
      <c r="C440" s="229">
        <f t="shared" si="286"/>
        <v>5</v>
      </c>
      <c r="D440" s="227" t="str">
        <f t="shared" ca="1" si="289"/>
        <v>04.003.001.008</v>
      </c>
      <c r="E440" s="228" t="str">
        <f t="shared" ca="1" si="290"/>
        <v>04.003.001.008</v>
      </c>
      <c r="F440" s="230">
        <f ca="1">IF($B440="UNIDADE CONSTRUTIVA",OFFSET(F440,-1,0)+1,LARGE(F$10:F439,1))</f>
        <v>2</v>
      </c>
      <c r="G440" s="228" t="str">
        <f t="shared" ca="1" si="291"/>
        <v xml:space="preserve">   GERENCIAMENTO EXECUTIVO</v>
      </c>
      <c r="H440" s="230">
        <f t="shared" ca="1" si="292"/>
        <v>4</v>
      </c>
      <c r="I440" s="228" t="str">
        <f t="shared" ca="1" si="293"/>
        <v xml:space="preserve">   SUPRAESTRUTURA</v>
      </c>
      <c r="J440" s="230">
        <f t="shared" ca="1" si="294"/>
        <v>3</v>
      </c>
      <c r="K440" s="228" t="str">
        <f t="shared" ca="1" si="295"/>
        <v xml:space="preserve">   SUPRAESTRUTURA - 3º  ao 7º PAVIMENTO - TIPO</v>
      </c>
      <c r="L440" s="231">
        <f t="shared" ca="1" si="296"/>
        <v>1</v>
      </c>
      <c r="M440" s="228" t="str">
        <f t="shared" ca="1" si="297"/>
        <v xml:space="preserve">   Armadura</v>
      </c>
      <c r="N440" s="231">
        <f t="shared" ca="1" si="298"/>
        <v>8</v>
      </c>
      <c r="O440" s="228" t="str">
        <f t="shared" ca="1" si="299"/>
        <v>Armacao aco CA-50 ø 20.0mm para supraestrutura corte e dobra em indústria</v>
      </c>
      <c r="P440" s="232" t="str">
        <f>IF(S440="","",IF(Orçamento!$B440="INSUMO",S440,""))</f>
        <v/>
      </c>
      <c r="Q440" s="244" t="str">
        <f t="shared" si="300"/>
        <v>Armacao aco CA-50 ø 20.0mm para supraestrutura corte e dobra em indústria</v>
      </c>
      <c r="R440" s="234">
        <f t="shared" ca="1" si="301"/>
        <v>2230.0855000000001</v>
      </c>
      <c r="S440" s="233" t="s">
        <v>191</v>
      </c>
      <c r="T440" s="242" t="s">
        <v>159</v>
      </c>
      <c r="U440" s="235">
        <v>2230.0855000000001</v>
      </c>
      <c r="V440" s="320" t="s">
        <v>35</v>
      </c>
      <c r="W440" s="236" t="str">
        <f>IFERROR(IF(B440="INSUMO",_xlfn.XLOOKUP(S440,Insumos!A:A,Insumos!C:C),""),"Inserir Preço")</f>
        <v/>
      </c>
      <c r="X440" s="235">
        <f t="shared" ca="1" si="302"/>
        <v>2230.0855000000001</v>
      </c>
      <c r="Y440" s="236">
        <f t="shared" ca="1" si="304"/>
        <v>6.148130000000001</v>
      </c>
      <c r="Z440" s="237">
        <f t="shared" ca="1" si="287"/>
        <v>13710.855565115004</v>
      </c>
      <c r="AA440" s="238"/>
      <c r="AB440" s="233" t="str">
        <f>IF(B440="insumo",_xlfn.XLOOKUP(S440,Insumos!A:A,Insumos!D:D),"")</f>
        <v/>
      </c>
      <c r="AC440" s="239">
        <f t="shared" ca="1" si="288"/>
        <v>1.9669472354901089E-3</v>
      </c>
      <c r="AE440" s="240">
        <f ca="1">IFERROR(IF(OR(Z440="",Z440=0),"",IF(AF440="","",IF(AF440="R$/mês",Z440/OBRA!$D$12,IF(AF440="R$/m²",Z440/OBRA!$D$10,IF(AF440="R$/apto",Orçamento!Z440/OBRA!$D$11,""))))),"")</f>
        <v>7.0557039388621021</v>
      </c>
      <c r="AF440" s="241" t="s">
        <v>154</v>
      </c>
    </row>
    <row r="441" spans="1:32" s="10" customFormat="1" ht="13.15" hidden="1" customHeight="1" outlineLevel="4" x14ac:dyDescent="0.2">
      <c r="A441" s="227"/>
      <c r="B441" s="228" t="s">
        <v>19</v>
      </c>
      <c r="C441" s="229">
        <f t="shared" si="286"/>
        <v>5</v>
      </c>
      <c r="D441" s="227" t="str">
        <f t="shared" si="289"/>
        <v/>
      </c>
      <c r="E441" s="228" t="str">
        <f t="shared" ca="1" si="290"/>
        <v>04.003.001.008</v>
      </c>
      <c r="F441" s="230">
        <f ca="1">IF($B441="UNIDADE CONSTRUTIVA",OFFSET(F441,-1,0)+1,LARGE(F$10:F440,1))</f>
        <v>2</v>
      </c>
      <c r="G441" s="228" t="str">
        <f t="shared" ca="1" si="291"/>
        <v xml:space="preserve">   GERENCIAMENTO EXECUTIVO</v>
      </c>
      <c r="H441" s="230">
        <f t="shared" ca="1" si="292"/>
        <v>4</v>
      </c>
      <c r="I441" s="228" t="str">
        <f t="shared" ca="1" si="293"/>
        <v xml:space="preserve">   SUPRAESTRUTURA</v>
      </c>
      <c r="J441" s="230">
        <f t="shared" ca="1" si="294"/>
        <v>3</v>
      </c>
      <c r="K441" s="228" t="str">
        <f t="shared" ca="1" si="295"/>
        <v xml:space="preserve">   SUPRAESTRUTURA - 3º  ao 7º PAVIMENTO - TIPO</v>
      </c>
      <c r="L441" s="231">
        <f t="shared" ca="1" si="296"/>
        <v>1</v>
      </c>
      <c r="M441" s="228" t="str">
        <f t="shared" ca="1" si="297"/>
        <v xml:space="preserve">   Armadura</v>
      </c>
      <c r="N441" s="231">
        <f t="shared" ca="1" si="298"/>
        <v>8</v>
      </c>
      <c r="O441" s="228" t="str">
        <f t="shared" ca="1" si="299"/>
        <v>Armacao aco CA-50 ø 20.0mm para supraestrutura corte e dobra em indústria</v>
      </c>
      <c r="P441" s="232" t="str">
        <f>IF(S441="","",IF(Orçamento!$B441="INSUMO",S441,""))</f>
        <v>ACO CA-50A 20,00 MM (3/4)</v>
      </c>
      <c r="Q441" s="244" t="str">
        <f t="shared" si="300"/>
        <v/>
      </c>
      <c r="R441" s="234">
        <f t="shared" ca="1" si="301"/>
        <v>2230.0855000000001</v>
      </c>
      <c r="S441" s="233" t="s">
        <v>165</v>
      </c>
      <c r="T441" s="242" t="str">
        <f>_xlfn.XLOOKUP(S441,Insumos!$A$3:$A$371,Insumos!$B$3:$B$371)</f>
        <v>KG</v>
      </c>
      <c r="U441" s="235">
        <f ca="1">IF($B441="insumo",R441,"")</f>
        <v>2230.0855000000001</v>
      </c>
      <c r="V441" s="320">
        <v>1.1000000000000001</v>
      </c>
      <c r="W441" s="236">
        <f>IFERROR(IF(B441="INSUMO",_xlfn.XLOOKUP(S441,Insumos!A:A,Insumos!C:C),""),"Inserir Preço")</f>
        <v>5.2</v>
      </c>
      <c r="X441" s="235">
        <f t="shared" ca="1" si="302"/>
        <v>2453.0940500000002</v>
      </c>
      <c r="Y441" s="236">
        <f t="shared" si="304"/>
        <v>5.7200000000000006</v>
      </c>
      <c r="Z441" s="237">
        <f t="shared" ca="1" si="287"/>
        <v>12756.089060000002</v>
      </c>
      <c r="AA441" s="238"/>
      <c r="AB441" s="233" t="str">
        <f>IF(B441="insumo",_xlfn.XLOOKUP(S441,Insumos!A:A,Insumos!D:D),"")</f>
        <v>KNORR</v>
      </c>
      <c r="AC441" s="239">
        <f t="shared" ca="1" si="288"/>
        <v>1.8299772755298639E-3</v>
      </c>
      <c r="AE441" s="240">
        <f ca="1">IFERROR(IF(OR(Z441="",Z441=0),"",IF(AF441="","",IF(AF441="R$/mês",Z441/OBRA!$D$12,IF(AF441="R$/m²",Z441/OBRA!$D$10,IF(AF441="R$/apto",Orçamento!Z441/OBRA!$D$11,""))))),"")</f>
        <v>6.564374294344983</v>
      </c>
      <c r="AF441" s="241" t="s">
        <v>154</v>
      </c>
    </row>
    <row r="442" spans="1:32" s="10" customFormat="1" ht="13.15" hidden="1" customHeight="1" outlineLevel="4" x14ac:dyDescent="0.2">
      <c r="A442" s="227"/>
      <c r="B442" s="228" t="s">
        <v>19</v>
      </c>
      <c r="C442" s="229">
        <f t="shared" si="286"/>
        <v>42</v>
      </c>
      <c r="D442" s="227" t="str">
        <f t="shared" si="289"/>
        <v/>
      </c>
      <c r="E442" s="228" t="str">
        <f t="shared" ca="1" si="290"/>
        <v>04.003.001.008</v>
      </c>
      <c r="F442" s="230">
        <f ca="1">IF($B442="UNIDADE CONSTRUTIVA",OFFSET(F442,-1,0)+1,LARGE(F$10:F441,1))</f>
        <v>2</v>
      </c>
      <c r="G442" s="228" t="str">
        <f t="shared" ca="1" si="291"/>
        <v xml:space="preserve">   GERENCIAMENTO EXECUTIVO</v>
      </c>
      <c r="H442" s="230">
        <f t="shared" ca="1" si="292"/>
        <v>4</v>
      </c>
      <c r="I442" s="228" t="str">
        <f t="shared" ca="1" si="293"/>
        <v xml:space="preserve">   SUPRAESTRUTURA</v>
      </c>
      <c r="J442" s="230">
        <f t="shared" ca="1" si="294"/>
        <v>3</v>
      </c>
      <c r="K442" s="228" t="str">
        <f t="shared" ca="1" si="295"/>
        <v xml:space="preserve">   SUPRAESTRUTURA - 3º  ao 7º PAVIMENTO - TIPO</v>
      </c>
      <c r="L442" s="231">
        <f t="shared" ca="1" si="296"/>
        <v>1</v>
      </c>
      <c r="M442" s="228" t="str">
        <f t="shared" ca="1" si="297"/>
        <v xml:space="preserve">   Armadura</v>
      </c>
      <c r="N442" s="231">
        <f t="shared" ca="1" si="298"/>
        <v>8</v>
      </c>
      <c r="O442" s="228" t="str">
        <f t="shared" ca="1" si="299"/>
        <v>Armacao aco CA-50 ø 20.0mm para supraestrutura corte e dobra em indústria</v>
      </c>
      <c r="P442" s="232" t="str">
        <f>IF(S442="","",IF(Orçamento!$B442="INSUMO",S442,""))</f>
        <v>ARAME RECOZIDO 18 BWG, 1,25MM (0,010 KG/M)</v>
      </c>
      <c r="Q442" s="244" t="str">
        <f t="shared" si="300"/>
        <v/>
      </c>
      <c r="R442" s="234">
        <f t="shared" ca="1" si="301"/>
        <v>2230.0855000000001</v>
      </c>
      <c r="S442" s="233" t="s">
        <v>161</v>
      </c>
      <c r="T442" s="242" t="str">
        <f>_xlfn.XLOOKUP(S442,Insumos!$A$3:$A$371,Insumos!$B$3:$B$371)</f>
        <v>KG</v>
      </c>
      <c r="U442" s="235">
        <f ca="1">IF($B442="insumo",R442,"")</f>
        <v>2230.0855000000001</v>
      </c>
      <c r="V442" s="320">
        <v>2.5000000000000001E-2</v>
      </c>
      <c r="W442" s="236">
        <f>IFERROR(IF(B442="INSUMO",_xlfn.XLOOKUP(S442,Insumos!A:A,Insumos!C:C),""),"Inserir Preço")</f>
        <v>13.69</v>
      </c>
      <c r="X442" s="235">
        <f t="shared" ca="1" si="302"/>
        <v>55.752137500000003</v>
      </c>
      <c r="Y442" s="236">
        <f t="shared" si="304"/>
        <v>0.34225</v>
      </c>
      <c r="Z442" s="237">
        <f t="shared" ca="1" si="287"/>
        <v>763.246762375</v>
      </c>
      <c r="AA442" s="238"/>
      <c r="AB442" s="233" t="str">
        <f>IF(B442="insumo",_xlfn.XLOOKUP(S442,Insumos!A:A,Insumos!D:D),"")</f>
        <v>GERDAU</v>
      </c>
      <c r="AC442" s="239">
        <f t="shared" ca="1" si="288"/>
        <v>1.0949470673952723E-4</v>
      </c>
      <c r="AE442" s="240">
        <f ca="1">IFERROR(IF(OR(Z442="",Z442=0),"",IF(AF442="","",IF(AF442="R$/mês",Z442/OBRA!$D$12,IF(AF442="R$/m²",Z442/OBRA!$D$10,IF(AF442="R$/apto",Orçamento!Z442/OBRA!$D$11,""))))),"")</f>
        <v>0.3927722206712535</v>
      </c>
      <c r="AF442" s="241" t="s">
        <v>154</v>
      </c>
    </row>
    <row r="443" spans="1:32" s="10" customFormat="1" ht="13.15" hidden="1" customHeight="1" outlineLevel="4" x14ac:dyDescent="0.2">
      <c r="A443" s="227"/>
      <c r="B443" s="228" t="s">
        <v>19</v>
      </c>
      <c r="C443" s="229">
        <f t="shared" si="286"/>
        <v>37</v>
      </c>
      <c r="D443" s="227" t="str">
        <f t="shared" si="289"/>
        <v/>
      </c>
      <c r="E443" s="228" t="str">
        <f t="shared" ca="1" si="290"/>
        <v>04.003.001.008</v>
      </c>
      <c r="F443" s="230">
        <f ca="1">IF($B443="UNIDADE CONSTRUTIVA",OFFSET(F443,-1,0)+1,LARGE(F$10:F442,1))</f>
        <v>2</v>
      </c>
      <c r="G443" s="228" t="str">
        <f t="shared" ca="1" si="291"/>
        <v xml:space="preserve">   GERENCIAMENTO EXECUTIVO</v>
      </c>
      <c r="H443" s="230">
        <f t="shared" ca="1" si="292"/>
        <v>4</v>
      </c>
      <c r="I443" s="228" t="str">
        <f t="shared" ca="1" si="293"/>
        <v xml:space="preserve">   SUPRAESTRUTURA</v>
      </c>
      <c r="J443" s="230">
        <f t="shared" ca="1" si="294"/>
        <v>3</v>
      </c>
      <c r="K443" s="228" t="str">
        <f t="shared" ca="1" si="295"/>
        <v xml:space="preserve">   SUPRAESTRUTURA - 3º  ao 7º PAVIMENTO - TIPO</v>
      </c>
      <c r="L443" s="231">
        <f t="shared" ca="1" si="296"/>
        <v>1</v>
      </c>
      <c r="M443" s="228" t="str">
        <f t="shared" ca="1" si="297"/>
        <v xml:space="preserve">   Armadura</v>
      </c>
      <c r="N443" s="231">
        <f t="shared" ca="1" si="298"/>
        <v>8</v>
      </c>
      <c r="O443" s="228" t="str">
        <f t="shared" ca="1" si="299"/>
        <v>Armacao aco CA-50 ø 20.0mm para supraestrutura corte e dobra em indústria</v>
      </c>
      <c r="P443" s="232" t="str">
        <f>IF(S443="","",IF(Orçamento!$B443="INSUMO",S443,""))</f>
        <v>ESPACADOR CIRCULAR 40MM</v>
      </c>
      <c r="Q443" s="244" t="str">
        <f t="shared" si="300"/>
        <v/>
      </c>
      <c r="R443" s="234">
        <f t="shared" ca="1" si="301"/>
        <v>2230.0855000000001</v>
      </c>
      <c r="S443" s="233" t="s">
        <v>162</v>
      </c>
      <c r="T443" s="242" t="str">
        <f>_xlfn.XLOOKUP(S443,Insumos!$A$3:$A$371,Insumos!$B$3:$B$371)</f>
        <v>UN</v>
      </c>
      <c r="U443" s="235">
        <f ca="1">IF($B443="insumo",R443,"")</f>
        <v>2230.0855000000001</v>
      </c>
      <c r="V443" s="320">
        <v>0.113</v>
      </c>
      <c r="W443" s="236">
        <f>IFERROR(IF(B443="INSUMO",_xlfn.XLOOKUP(S443,Insumos!A:A,Insumos!C:C),""),"Inserir Preço")</f>
        <v>0.76</v>
      </c>
      <c r="X443" s="235">
        <f t="shared" ca="1" si="302"/>
        <v>251.99966150000003</v>
      </c>
      <c r="Y443" s="236">
        <f t="shared" si="304"/>
        <v>8.5879999999999998E-2</v>
      </c>
      <c r="Z443" s="237">
        <f t="shared" ca="1" si="287"/>
        <v>191.51974274000003</v>
      </c>
      <c r="AA443" s="238"/>
      <c r="AB443" s="233" t="str">
        <f>IF(B443="insumo",_xlfn.XLOOKUP(S443,Insumos!A:A,Insumos!D:D),"")</f>
        <v xml:space="preserve"> </v>
      </c>
      <c r="AC443" s="239">
        <f t="shared" ca="1" si="288"/>
        <v>2.7475253220717605E-5</v>
      </c>
      <c r="AE443" s="240">
        <f ca="1">IFERROR(IF(OR(Z443="",Z443=0),"",IF(AF443="","",IF(AF443="R$/mês",Z443/OBRA!$D$12,IF(AF443="R$/m²",Z443/OBRA!$D$10,IF(AF443="R$/apto",Orçamento!Z443/OBRA!$D$11,""))))),"")</f>
        <v>9.8557423845864883E-2</v>
      </c>
      <c r="AF443" s="241" t="s">
        <v>154</v>
      </c>
    </row>
    <row r="444" spans="1:32" s="10" customFormat="1" ht="13.15" hidden="1" customHeight="1" outlineLevel="4" x14ac:dyDescent="0.2">
      <c r="A444" s="227"/>
      <c r="B444" s="228" t="s">
        <v>4</v>
      </c>
      <c r="C444" s="229">
        <f t="shared" si="286"/>
        <v>5</v>
      </c>
      <c r="D444" s="227" t="str">
        <f t="shared" ca="1" si="289"/>
        <v>04.003.001.009</v>
      </c>
      <c r="E444" s="228" t="str">
        <f t="shared" ca="1" si="290"/>
        <v>04.003.001.009</v>
      </c>
      <c r="F444" s="230">
        <f ca="1">IF($B444="UNIDADE CONSTRUTIVA",OFFSET(F444,-1,0)+1,LARGE(F$10:F443,1))</f>
        <v>2</v>
      </c>
      <c r="G444" s="228" t="str">
        <f t="shared" ca="1" si="291"/>
        <v xml:space="preserve">   GERENCIAMENTO EXECUTIVO</v>
      </c>
      <c r="H444" s="230">
        <f t="shared" ca="1" si="292"/>
        <v>4</v>
      </c>
      <c r="I444" s="228" t="str">
        <f t="shared" ca="1" si="293"/>
        <v xml:space="preserve">   SUPRAESTRUTURA</v>
      </c>
      <c r="J444" s="230">
        <f t="shared" ca="1" si="294"/>
        <v>3</v>
      </c>
      <c r="K444" s="228" t="str">
        <f t="shared" ca="1" si="295"/>
        <v xml:space="preserve">   SUPRAESTRUTURA - 3º  ao 7º PAVIMENTO - TIPO</v>
      </c>
      <c r="L444" s="231">
        <f t="shared" ca="1" si="296"/>
        <v>1</v>
      </c>
      <c r="M444" s="228" t="str">
        <f t="shared" ca="1" si="297"/>
        <v xml:space="preserve">   Armadura</v>
      </c>
      <c r="N444" s="231">
        <f t="shared" ca="1" si="298"/>
        <v>9</v>
      </c>
      <c r="O444" s="228" t="str">
        <f t="shared" ca="1" si="299"/>
        <v>Armacao aco CA-50 ø 25.0mm para supraestrutura corte e dobra em indústria</v>
      </c>
      <c r="P444" s="232" t="str">
        <f>IF(S444="","",IF(Orçamento!$B444="INSUMO",S444,""))</f>
        <v/>
      </c>
      <c r="Q444" s="244" t="str">
        <f t="shared" si="300"/>
        <v>Armacao aco CA-50 ø 25.0mm para supraestrutura corte e dobra em indústria</v>
      </c>
      <c r="R444" s="234">
        <f t="shared" ca="1" si="301"/>
        <v>589.81916000000001</v>
      </c>
      <c r="S444" s="233" t="s">
        <v>192</v>
      </c>
      <c r="T444" s="242" t="s">
        <v>159</v>
      </c>
      <c r="U444" s="235">
        <v>589.81916000000001</v>
      </c>
      <c r="V444" s="320" t="s">
        <v>35</v>
      </c>
      <c r="W444" s="236" t="str">
        <f>IFERROR(IF(B444="INSUMO",_xlfn.XLOOKUP(S444,Insumos!A:A,Insumos!C:C),""),"Inserir Preço")</f>
        <v/>
      </c>
      <c r="X444" s="235">
        <f t="shared" ca="1" si="302"/>
        <v>589.81916000000001</v>
      </c>
      <c r="Y444" s="236">
        <f t="shared" ca="1" si="304"/>
        <v>7.4571300000000003</v>
      </c>
      <c r="Z444" s="237">
        <f t="shared" ca="1" si="287"/>
        <v>4398.3581526108001</v>
      </c>
      <c r="AA444" s="238"/>
      <c r="AB444" s="233" t="str">
        <f>IF(B444="insumo",_xlfn.XLOOKUP(S444,Insumos!A:A,Insumos!D:D),"")</f>
        <v/>
      </c>
      <c r="AC444" s="239">
        <f t="shared" ca="1" si="288"/>
        <v>6.309845777228585E-4</v>
      </c>
      <c r="AE444" s="240">
        <f ca="1">IFERROR(IF(OR(Z444="",Z444=0),"",IF(AF444="","",IF(AF444="R$/mês",Z444/OBRA!$D$12,IF(AF444="R$/m²",Z444/OBRA!$D$10,IF(AF444="R$/apto",Orçamento!Z444/OBRA!$D$11,""))))),"")</f>
        <v>2.2634264356822404</v>
      </c>
      <c r="AF444" s="241" t="s">
        <v>154</v>
      </c>
    </row>
    <row r="445" spans="1:32" s="10" customFormat="1" ht="13.15" hidden="1" customHeight="1" outlineLevel="4" x14ac:dyDescent="0.2">
      <c r="A445" s="227"/>
      <c r="B445" s="228" t="s">
        <v>19</v>
      </c>
      <c r="C445" s="229">
        <f t="shared" si="286"/>
        <v>5</v>
      </c>
      <c r="D445" s="227" t="str">
        <f t="shared" si="289"/>
        <v/>
      </c>
      <c r="E445" s="228" t="str">
        <f t="shared" ca="1" si="290"/>
        <v>04.003.001.009</v>
      </c>
      <c r="F445" s="230">
        <f ca="1">IF($B445="UNIDADE CONSTRUTIVA",OFFSET(F445,-1,0)+1,LARGE(F$10:F444,1))</f>
        <v>2</v>
      </c>
      <c r="G445" s="228" t="str">
        <f t="shared" ca="1" si="291"/>
        <v xml:space="preserve">   GERENCIAMENTO EXECUTIVO</v>
      </c>
      <c r="H445" s="230">
        <f t="shared" ca="1" si="292"/>
        <v>4</v>
      </c>
      <c r="I445" s="228" t="str">
        <f t="shared" ca="1" si="293"/>
        <v xml:space="preserve">   SUPRAESTRUTURA</v>
      </c>
      <c r="J445" s="230">
        <f t="shared" ca="1" si="294"/>
        <v>3</v>
      </c>
      <c r="K445" s="228" t="str">
        <f t="shared" ca="1" si="295"/>
        <v xml:space="preserve">   SUPRAESTRUTURA - 3º  ao 7º PAVIMENTO - TIPO</v>
      </c>
      <c r="L445" s="231">
        <f t="shared" ca="1" si="296"/>
        <v>1</v>
      </c>
      <c r="M445" s="228" t="str">
        <f t="shared" ca="1" si="297"/>
        <v xml:space="preserve">   Armadura</v>
      </c>
      <c r="N445" s="231">
        <f t="shared" ca="1" si="298"/>
        <v>9</v>
      </c>
      <c r="O445" s="228" t="str">
        <f t="shared" ca="1" si="299"/>
        <v>Armacao aco CA-50 ø 25.0mm para supraestrutura corte e dobra em indústria</v>
      </c>
      <c r="P445" s="232" t="str">
        <f>IF(S445="","",IF(Orçamento!$B445="INSUMO",S445,""))</f>
        <v>Aco CA-50A 25,00 mm (1)</v>
      </c>
      <c r="Q445" s="244" t="str">
        <f t="shared" si="300"/>
        <v/>
      </c>
      <c r="R445" s="234">
        <f t="shared" ca="1" si="301"/>
        <v>589.81916000000001</v>
      </c>
      <c r="S445" s="233" t="s">
        <v>180</v>
      </c>
      <c r="T445" s="242" t="str">
        <f>_xlfn.XLOOKUP(S445,Insumos!$A$3:$A$371,Insumos!$B$3:$B$371)</f>
        <v>KG</v>
      </c>
      <c r="U445" s="235">
        <f ca="1">IF($B445="insumo",R445,"")</f>
        <v>589.81916000000001</v>
      </c>
      <c r="V445" s="320">
        <v>1.1000000000000001</v>
      </c>
      <c r="W445" s="236">
        <f>IFERROR(IF(B445="INSUMO",_xlfn.XLOOKUP(S445,Insumos!A:A,Insumos!C:C),""),"Inserir Preço")</f>
        <v>6.39</v>
      </c>
      <c r="X445" s="235">
        <f t="shared" ca="1" si="302"/>
        <v>648.80107600000008</v>
      </c>
      <c r="Y445" s="236">
        <f t="shared" si="304"/>
        <v>7.0289999999999999</v>
      </c>
      <c r="Z445" s="237">
        <f t="shared" ca="1" si="287"/>
        <v>4145.83887564</v>
      </c>
      <c r="AA445" s="238"/>
      <c r="AB445" s="233" t="str">
        <f>IF(B445="insumo",_xlfn.XLOOKUP(S445,Insumos!A:A,Insumos!D:D),"")</f>
        <v>GERDAU</v>
      </c>
      <c r="AC445" s="239">
        <f t="shared" ca="1" si="288"/>
        <v>5.9475838517150333E-4</v>
      </c>
      <c r="AE445" s="240">
        <f ca="1">IFERROR(IF(OR(Z445="",Z445=0),"",IF(AF445="","",IF(AF445="R$/mês",Z445/OBRA!$D$12,IF(AF445="R$/m²",Z445/OBRA!$D$10,IF(AF445="R$/apto",Orçamento!Z445/OBRA!$D$11,""))))),"")</f>
        <v>2.1334782170098237</v>
      </c>
      <c r="AF445" s="241" t="s">
        <v>154</v>
      </c>
    </row>
    <row r="446" spans="1:32" s="10" customFormat="1" ht="13.15" hidden="1" customHeight="1" outlineLevel="4" x14ac:dyDescent="0.2">
      <c r="A446" s="227"/>
      <c r="B446" s="228" t="s">
        <v>19</v>
      </c>
      <c r="C446" s="229">
        <f t="shared" si="286"/>
        <v>42</v>
      </c>
      <c r="D446" s="227" t="str">
        <f t="shared" si="289"/>
        <v/>
      </c>
      <c r="E446" s="228" t="str">
        <f t="shared" ca="1" si="290"/>
        <v>04.003.001.009</v>
      </c>
      <c r="F446" s="230">
        <f ca="1">IF($B446="UNIDADE CONSTRUTIVA",OFFSET(F446,-1,0)+1,LARGE(F$10:F445,1))</f>
        <v>2</v>
      </c>
      <c r="G446" s="228" t="str">
        <f t="shared" ca="1" si="291"/>
        <v xml:space="preserve">   GERENCIAMENTO EXECUTIVO</v>
      </c>
      <c r="H446" s="230">
        <f t="shared" ca="1" si="292"/>
        <v>4</v>
      </c>
      <c r="I446" s="228" t="str">
        <f t="shared" ca="1" si="293"/>
        <v xml:space="preserve">   SUPRAESTRUTURA</v>
      </c>
      <c r="J446" s="230">
        <f t="shared" ca="1" si="294"/>
        <v>3</v>
      </c>
      <c r="K446" s="228" t="str">
        <f t="shared" ca="1" si="295"/>
        <v xml:space="preserve">   SUPRAESTRUTURA - 3º  ao 7º PAVIMENTO - TIPO</v>
      </c>
      <c r="L446" s="231">
        <f t="shared" ca="1" si="296"/>
        <v>1</v>
      </c>
      <c r="M446" s="228" t="str">
        <f t="shared" ca="1" si="297"/>
        <v xml:space="preserve">   Armadura</v>
      </c>
      <c r="N446" s="231">
        <f t="shared" ca="1" si="298"/>
        <v>9</v>
      </c>
      <c r="O446" s="228" t="str">
        <f t="shared" ca="1" si="299"/>
        <v>Armacao aco CA-50 ø 25.0mm para supraestrutura corte e dobra em indústria</v>
      </c>
      <c r="P446" s="232" t="str">
        <f>IF(S446="","",IF(Orçamento!$B446="INSUMO",S446,""))</f>
        <v>ARAME RECOZIDO 18 BWG, 1,25MM (0,010 KG/M)</v>
      </c>
      <c r="Q446" s="244" t="str">
        <f t="shared" si="300"/>
        <v/>
      </c>
      <c r="R446" s="234">
        <f t="shared" ca="1" si="301"/>
        <v>589.81916000000001</v>
      </c>
      <c r="S446" s="233" t="s">
        <v>161</v>
      </c>
      <c r="T446" s="242" t="str">
        <f>_xlfn.XLOOKUP(S446,Insumos!$A$3:$A$371,Insumos!$B$3:$B$371)</f>
        <v>KG</v>
      </c>
      <c r="U446" s="235">
        <f ca="1">IF($B446="insumo",R446,"")</f>
        <v>589.81916000000001</v>
      </c>
      <c r="V446" s="320">
        <v>2.5000000000000001E-2</v>
      </c>
      <c r="W446" s="236">
        <f>IFERROR(IF(B446="INSUMO",_xlfn.XLOOKUP(S446,Insumos!A:A,Insumos!C:C),""),"Inserir Preço")</f>
        <v>13.69</v>
      </c>
      <c r="X446" s="235">
        <f t="shared" ca="1" si="302"/>
        <v>14.745479000000001</v>
      </c>
      <c r="Y446" s="236">
        <f t="shared" si="304"/>
        <v>0.34225</v>
      </c>
      <c r="Z446" s="237">
        <f t="shared" ca="1" si="287"/>
        <v>201.86560751000002</v>
      </c>
      <c r="AA446" s="238"/>
      <c r="AB446" s="233" t="str">
        <f>IF(B446="insumo",_xlfn.XLOOKUP(S446,Insumos!A:A,Insumos!D:D),"")</f>
        <v>GERDAU</v>
      </c>
      <c r="AC446" s="239">
        <f t="shared" ca="1" si="288"/>
        <v>2.8959461847339173E-5</v>
      </c>
      <c r="AE446" s="240">
        <f ca="1">IFERROR(IF(OR(Z446="",Z446=0),"",IF(AF446="","",IF(AF446="R$/mês",Z446/OBRA!$D$12,IF(AF446="R$/m²",Z446/OBRA!$D$10,IF(AF446="R$/apto",Orçamento!Z446/OBRA!$D$11,""))))),"")</f>
        <v>0.10388147955208597</v>
      </c>
      <c r="AF446" s="241" t="s">
        <v>154</v>
      </c>
    </row>
    <row r="447" spans="1:32" s="10" customFormat="1" ht="13.15" hidden="1" customHeight="1" outlineLevel="4" x14ac:dyDescent="0.2">
      <c r="A447" s="227"/>
      <c r="B447" s="228" t="s">
        <v>19</v>
      </c>
      <c r="C447" s="229">
        <f t="shared" si="286"/>
        <v>37</v>
      </c>
      <c r="D447" s="227" t="str">
        <f t="shared" si="289"/>
        <v/>
      </c>
      <c r="E447" s="228" t="str">
        <f t="shared" ca="1" si="290"/>
        <v>04.003.001.009</v>
      </c>
      <c r="F447" s="230">
        <f ca="1">IF($B447="UNIDADE CONSTRUTIVA",OFFSET(F447,-1,0)+1,LARGE(F$10:F446,1))</f>
        <v>2</v>
      </c>
      <c r="G447" s="228" t="str">
        <f t="shared" ca="1" si="291"/>
        <v xml:space="preserve">   GERENCIAMENTO EXECUTIVO</v>
      </c>
      <c r="H447" s="230">
        <f t="shared" ca="1" si="292"/>
        <v>4</v>
      </c>
      <c r="I447" s="228" t="str">
        <f t="shared" ca="1" si="293"/>
        <v xml:space="preserve">   SUPRAESTRUTURA</v>
      </c>
      <c r="J447" s="230">
        <f t="shared" ca="1" si="294"/>
        <v>3</v>
      </c>
      <c r="K447" s="228" t="str">
        <f t="shared" ca="1" si="295"/>
        <v xml:space="preserve">   SUPRAESTRUTURA - 3º  ao 7º PAVIMENTO - TIPO</v>
      </c>
      <c r="L447" s="231">
        <f t="shared" ca="1" si="296"/>
        <v>1</v>
      </c>
      <c r="M447" s="228" t="str">
        <f t="shared" ca="1" si="297"/>
        <v xml:space="preserve">   Armadura</v>
      </c>
      <c r="N447" s="231">
        <f t="shared" ca="1" si="298"/>
        <v>9</v>
      </c>
      <c r="O447" s="228" t="str">
        <f t="shared" ca="1" si="299"/>
        <v>Armacao aco CA-50 ø 25.0mm para supraestrutura corte e dobra em indústria</v>
      </c>
      <c r="P447" s="232" t="str">
        <f>IF(S447="","",IF(Orçamento!$B447="INSUMO",S447,""))</f>
        <v>ESPACADOR CIRCULAR 40MM</v>
      </c>
      <c r="Q447" s="244" t="str">
        <f t="shared" si="300"/>
        <v/>
      </c>
      <c r="R447" s="234">
        <f t="shared" ca="1" si="301"/>
        <v>589.81916000000001</v>
      </c>
      <c r="S447" s="233" t="s">
        <v>162</v>
      </c>
      <c r="T447" s="242" t="str">
        <f>_xlfn.XLOOKUP(S447,Insumos!$A$3:$A$371,Insumos!$B$3:$B$371)</f>
        <v>UN</v>
      </c>
      <c r="U447" s="235">
        <f ca="1">IF($B447="insumo",R447,"")</f>
        <v>589.81916000000001</v>
      </c>
      <c r="V447" s="320">
        <v>0.113</v>
      </c>
      <c r="W447" s="236">
        <f>IFERROR(IF(B447="INSUMO",_xlfn.XLOOKUP(S447,Insumos!A:A,Insumos!C:C),""),"Inserir Preço")</f>
        <v>0.76</v>
      </c>
      <c r="X447" s="235">
        <f t="shared" ca="1" si="302"/>
        <v>66.649565080000002</v>
      </c>
      <c r="Y447" s="236">
        <f t="shared" si="304"/>
        <v>8.5879999999999998E-2</v>
      </c>
      <c r="Z447" s="237">
        <f t="shared" ca="1" si="287"/>
        <v>50.653669460800003</v>
      </c>
      <c r="AA447" s="238"/>
      <c r="AB447" s="233" t="str">
        <f>IF(B447="insumo",_xlfn.XLOOKUP(S447,Insumos!A:A,Insumos!D:D),"")</f>
        <v xml:space="preserve"> </v>
      </c>
      <c r="AC447" s="239">
        <f t="shared" ca="1" si="288"/>
        <v>7.266730704016035E-6</v>
      </c>
      <c r="AE447" s="240">
        <f ca="1">IFERROR(IF(OR(Z447="",Z447=0),"",IF(AF447="","",IF(AF447="R$/mês",Z447/OBRA!$D$12,IF(AF447="R$/m²",Z447/OBRA!$D$10,IF(AF447="R$/apto",Orçamento!Z447/OBRA!$D$11,""))))),"")</f>
        <v>2.6066739120330584E-2</v>
      </c>
      <c r="AF447" s="241" t="s">
        <v>154</v>
      </c>
    </row>
    <row r="448" spans="1:32" s="10" customFormat="1" ht="13.15" hidden="1" customHeight="1" outlineLevel="4" x14ac:dyDescent="0.2">
      <c r="A448" s="227"/>
      <c r="B448" s="228" t="s">
        <v>4</v>
      </c>
      <c r="C448" s="229">
        <f t="shared" si="286"/>
        <v>3</v>
      </c>
      <c r="D448" s="227" t="str">
        <f t="shared" ca="1" si="289"/>
        <v>04.003.001.010</v>
      </c>
      <c r="E448" s="228" t="str">
        <f t="shared" ca="1" si="290"/>
        <v>04.003.001.010</v>
      </c>
      <c r="F448" s="230">
        <f ca="1">IF($B448="UNIDADE CONSTRUTIVA",OFFSET(F448,-1,0)+1,LARGE(F$10:F447,1))</f>
        <v>2</v>
      </c>
      <c r="G448" s="228" t="str">
        <f t="shared" ca="1" si="291"/>
        <v xml:space="preserve">   GERENCIAMENTO EXECUTIVO</v>
      </c>
      <c r="H448" s="230">
        <f t="shared" ca="1" si="292"/>
        <v>4</v>
      </c>
      <c r="I448" s="228" t="str">
        <f t="shared" ca="1" si="293"/>
        <v xml:space="preserve">   SUPRAESTRUTURA</v>
      </c>
      <c r="J448" s="230">
        <f t="shared" ca="1" si="294"/>
        <v>3</v>
      </c>
      <c r="K448" s="228" t="str">
        <f t="shared" ca="1" si="295"/>
        <v xml:space="preserve">   SUPRAESTRUTURA - 3º  ao 7º PAVIMENTO - TIPO</v>
      </c>
      <c r="L448" s="231">
        <f t="shared" ca="1" si="296"/>
        <v>1</v>
      </c>
      <c r="M448" s="228" t="str">
        <f t="shared" ca="1" si="297"/>
        <v xml:space="preserve">   Armadura</v>
      </c>
      <c r="N448" s="231">
        <f t="shared" ca="1" si="298"/>
        <v>10</v>
      </c>
      <c r="O448" s="228" t="str">
        <f t="shared" ca="1" si="299"/>
        <v>Armacao Tela Q61 para supraestrutura</v>
      </c>
      <c r="P448" s="232" t="str">
        <f>IF(S448="","",IF(Orçamento!$B448="INSUMO",S448,""))</f>
        <v/>
      </c>
      <c r="Q448" s="244" t="str">
        <f t="shared" si="300"/>
        <v>Armacao Tela Q61 para supraestrutura</v>
      </c>
      <c r="R448" s="234">
        <f t="shared" ca="1" si="301"/>
        <v>1290</v>
      </c>
      <c r="S448" s="233" t="s">
        <v>606</v>
      </c>
      <c r="T448" s="242" t="s">
        <v>159</v>
      </c>
      <c r="U448" s="235">
        <v>1290</v>
      </c>
      <c r="V448" s="320" t="s">
        <v>35</v>
      </c>
      <c r="W448" s="236" t="str">
        <f>IFERROR(IF(B448="INSUMO",_xlfn.XLOOKUP(S448,Insumos!A:A,Insumos!C:C),""),"Inserir Preço")</f>
        <v/>
      </c>
      <c r="X448" s="235">
        <f t="shared" ca="1" si="302"/>
        <v>1290</v>
      </c>
      <c r="Y448" s="236">
        <f t="shared" ca="1" si="304"/>
        <v>7.0718999999999994</v>
      </c>
      <c r="Z448" s="237">
        <f t="shared" ca="1" si="287"/>
        <v>9122.7509999999984</v>
      </c>
      <c r="AA448" s="238"/>
      <c r="AB448" s="233" t="str">
        <f>IF(B448="insumo",_xlfn.XLOOKUP(S448,Insumos!A:A,Insumos!D:D),"")</f>
        <v/>
      </c>
      <c r="AC448" s="239">
        <f t="shared" ca="1" si="288"/>
        <v>1.308741804936672E-3</v>
      </c>
      <c r="AE448" s="240">
        <f ca="1">IFERROR(IF(OR(Z448="",Z448=0),"",IF(AF448="","",IF(AF448="R$/mês",Z448/OBRA!$D$12,IF(AF448="R$/m²",Z448/OBRA!$D$10,IF(AF448="R$/apto",Orçamento!Z448/OBRA!$D$11,""))))),"")</f>
        <v>4.6946326477051086</v>
      </c>
      <c r="AF448" s="241" t="s">
        <v>154</v>
      </c>
    </row>
    <row r="449" spans="1:32" s="10" customFormat="1" ht="13.15" hidden="1" customHeight="1" outlineLevel="4" x14ac:dyDescent="0.2">
      <c r="A449" s="227"/>
      <c r="B449" s="228" t="s">
        <v>19</v>
      </c>
      <c r="C449" s="229">
        <f t="shared" si="286"/>
        <v>3</v>
      </c>
      <c r="D449" s="227" t="str">
        <f t="shared" si="289"/>
        <v/>
      </c>
      <c r="E449" s="228" t="str">
        <f t="shared" ca="1" si="290"/>
        <v>04.003.001.010</v>
      </c>
      <c r="F449" s="230">
        <f ca="1">IF($B449="UNIDADE CONSTRUTIVA",OFFSET(F449,-1,0)+1,LARGE(F$10:F448,1))</f>
        <v>2</v>
      </c>
      <c r="G449" s="228" t="str">
        <f t="shared" ca="1" si="291"/>
        <v xml:space="preserve">   GERENCIAMENTO EXECUTIVO</v>
      </c>
      <c r="H449" s="230">
        <f t="shared" ca="1" si="292"/>
        <v>4</v>
      </c>
      <c r="I449" s="228" t="str">
        <f t="shared" ca="1" si="293"/>
        <v xml:space="preserve">   SUPRAESTRUTURA</v>
      </c>
      <c r="J449" s="230">
        <f t="shared" ca="1" si="294"/>
        <v>3</v>
      </c>
      <c r="K449" s="228" t="str">
        <f t="shared" ca="1" si="295"/>
        <v xml:space="preserve">   SUPRAESTRUTURA - 3º  ao 7º PAVIMENTO - TIPO</v>
      </c>
      <c r="L449" s="231">
        <f t="shared" ca="1" si="296"/>
        <v>1</v>
      </c>
      <c r="M449" s="228" t="str">
        <f t="shared" ca="1" si="297"/>
        <v xml:space="preserve">   Armadura</v>
      </c>
      <c r="N449" s="231">
        <f t="shared" ca="1" si="298"/>
        <v>10</v>
      </c>
      <c r="O449" s="228" t="str">
        <f t="shared" ca="1" si="299"/>
        <v>Armacao Tela Q61 para supraestrutura</v>
      </c>
      <c r="P449" s="232" t="str">
        <f>IF(S449="","",IF(Orçamento!$B449="INSUMO",S449,""))</f>
        <v>TELA ACO CARBONO CA60 M.150X150MM F.03,4MM 245X600CM Q61 (14,26KG/UN)</v>
      </c>
      <c r="Q449" s="244" t="str">
        <f t="shared" si="300"/>
        <v/>
      </c>
      <c r="R449" s="234">
        <f t="shared" ca="1" si="301"/>
        <v>1290</v>
      </c>
      <c r="S449" s="233" t="s">
        <v>609</v>
      </c>
      <c r="T449" s="242" t="str">
        <f>_xlfn.XLOOKUP(S449,Insumos!$A$3:$A$371,Insumos!$B$3:$B$371)</f>
        <v>KG</v>
      </c>
      <c r="U449" s="235">
        <f ca="1">IF($B449="insumo",R449,"")</f>
        <v>1290</v>
      </c>
      <c r="V449" s="320">
        <v>1.1000000000000001</v>
      </c>
      <c r="W449" s="236">
        <f>IFERROR(IF(B449="INSUMO",_xlfn.XLOOKUP(S449,Insumos!A:A,Insumos!C:C),""),"Inserir Preço")</f>
        <v>6.1</v>
      </c>
      <c r="X449" s="235">
        <f t="shared" ca="1" si="302"/>
        <v>1419.0000000000002</v>
      </c>
      <c r="Y449" s="236">
        <f t="shared" si="304"/>
        <v>6.71</v>
      </c>
      <c r="Z449" s="237">
        <f t="shared" ca="1" si="287"/>
        <v>8655.9000000000015</v>
      </c>
      <c r="AA449" s="238"/>
      <c r="AB449" s="233" t="str">
        <f>IF(B449="insumo",_xlfn.XLOOKUP(S449,Insumos!A:A,Insumos!D:D),"")</f>
        <v>Base de Dados</v>
      </c>
      <c r="AC449" s="239">
        <f t="shared" ca="1" si="288"/>
        <v>1.2417677726106241E-3</v>
      </c>
      <c r="AE449" s="240">
        <f ca="1">IFERROR(IF(OR(Z449="",Z449=0),"",IF(AF449="","",IF(AF449="R$/mês",Z449/OBRA!$D$12,IF(AF449="R$/m²",Z449/OBRA!$D$10,IF(AF449="R$/apto",Orçamento!Z449/OBRA!$D$11,""))))),"")</f>
        <v>4.4543877976358957</v>
      </c>
      <c r="AF449" s="241" t="s">
        <v>154</v>
      </c>
    </row>
    <row r="450" spans="1:32" s="10" customFormat="1" ht="13.15" hidden="1" customHeight="1" outlineLevel="4" x14ac:dyDescent="0.2">
      <c r="A450" s="227"/>
      <c r="B450" s="228" t="s">
        <v>19</v>
      </c>
      <c r="C450" s="229">
        <f t="shared" si="286"/>
        <v>42</v>
      </c>
      <c r="D450" s="227" t="str">
        <f t="shared" si="289"/>
        <v/>
      </c>
      <c r="E450" s="228" t="str">
        <f t="shared" ca="1" si="290"/>
        <v>04.003.001.010</v>
      </c>
      <c r="F450" s="230">
        <f ca="1">IF($B450="UNIDADE CONSTRUTIVA",OFFSET(F450,-1,0)+1,LARGE(F$10:F449,1))</f>
        <v>2</v>
      </c>
      <c r="G450" s="228" t="str">
        <f t="shared" ca="1" si="291"/>
        <v xml:space="preserve">   GERENCIAMENTO EXECUTIVO</v>
      </c>
      <c r="H450" s="230">
        <f t="shared" ca="1" si="292"/>
        <v>4</v>
      </c>
      <c r="I450" s="228" t="str">
        <f t="shared" ca="1" si="293"/>
        <v xml:space="preserve">   SUPRAESTRUTURA</v>
      </c>
      <c r="J450" s="230">
        <f t="shared" ca="1" si="294"/>
        <v>3</v>
      </c>
      <c r="K450" s="228" t="str">
        <f t="shared" ca="1" si="295"/>
        <v xml:space="preserve">   SUPRAESTRUTURA - 3º  ao 7º PAVIMENTO - TIPO</v>
      </c>
      <c r="L450" s="231">
        <f t="shared" ca="1" si="296"/>
        <v>1</v>
      </c>
      <c r="M450" s="228" t="str">
        <f t="shared" ca="1" si="297"/>
        <v xml:space="preserve">   Armadura</v>
      </c>
      <c r="N450" s="231">
        <f t="shared" ca="1" si="298"/>
        <v>10</v>
      </c>
      <c r="O450" s="228" t="str">
        <f t="shared" ca="1" si="299"/>
        <v>Armacao Tela Q61 para supraestrutura</v>
      </c>
      <c r="P450" s="232" t="str">
        <f>IF(S450="","",IF(Orçamento!$B450="INSUMO",S450,""))</f>
        <v>ARAME RECOZIDO 18 BWG, 1,25MM (0,010 KG/M)</v>
      </c>
      <c r="Q450" s="244" t="str">
        <f t="shared" si="300"/>
        <v/>
      </c>
      <c r="R450" s="234">
        <f t="shared" ca="1" si="301"/>
        <v>1290</v>
      </c>
      <c r="S450" s="233" t="s">
        <v>161</v>
      </c>
      <c r="T450" s="242" t="str">
        <f>_xlfn.XLOOKUP(S450,Insumos!$A$3:$A$371,Insumos!$B$3:$B$371)</f>
        <v>KG</v>
      </c>
      <c r="U450" s="235">
        <f ca="1">IF($B450="insumo",R450,"")</f>
        <v>1290</v>
      </c>
      <c r="V450" s="320">
        <v>0.01</v>
      </c>
      <c r="W450" s="236">
        <f>IFERROR(IF(B450="INSUMO",_xlfn.XLOOKUP(S450,Insumos!A:A,Insumos!C:C),""),"Inserir Preço")</f>
        <v>13.69</v>
      </c>
      <c r="X450" s="235">
        <f t="shared" ca="1" si="302"/>
        <v>12.9</v>
      </c>
      <c r="Y450" s="236">
        <f t="shared" si="304"/>
        <v>0.13689999999999999</v>
      </c>
      <c r="Z450" s="237">
        <f t="shared" ca="1" si="287"/>
        <v>176.601</v>
      </c>
      <c r="AA450" s="238"/>
      <c r="AB450" s="233" t="str">
        <f>IF(B450="insumo",_xlfn.XLOOKUP(S450,Insumos!A:A,Insumos!D:D),"")</f>
        <v>GERDAU</v>
      </c>
      <c r="AC450" s="239">
        <f t="shared" ca="1" si="288"/>
        <v>2.5335023557435825E-5</v>
      </c>
      <c r="AE450" s="240">
        <f ca="1">IFERROR(IF(OR(Z450="",Z450=0),"",IF(AF450="","",IF(AF450="R$/mês",Z450/OBRA!$D$12,IF(AF450="R$/m²",Z450/OBRA!$D$10,IF(AF450="R$/apto",Orçamento!Z450/OBRA!$D$11,""))))),"")</f>
        <v>9.0880132562794938E-2</v>
      </c>
      <c r="AF450" s="241" t="s">
        <v>154</v>
      </c>
    </row>
    <row r="451" spans="1:32" s="10" customFormat="1" ht="13.15" hidden="1" customHeight="1" outlineLevel="4" x14ac:dyDescent="0.2">
      <c r="A451" s="227"/>
      <c r="B451" s="228" t="s">
        <v>19</v>
      </c>
      <c r="C451" s="229">
        <f t="shared" si="286"/>
        <v>5</v>
      </c>
      <c r="D451" s="227" t="str">
        <f t="shared" si="289"/>
        <v/>
      </c>
      <c r="E451" s="228" t="str">
        <f t="shared" ca="1" si="290"/>
        <v>04.003.001.010</v>
      </c>
      <c r="F451" s="230">
        <f ca="1">IF($B451="UNIDADE CONSTRUTIVA",OFFSET(F451,-1,0)+1,LARGE(F$10:F450,1))</f>
        <v>2</v>
      </c>
      <c r="G451" s="228" t="str">
        <f t="shared" ca="1" si="291"/>
        <v xml:space="preserve">   GERENCIAMENTO EXECUTIVO</v>
      </c>
      <c r="H451" s="230">
        <f t="shared" ca="1" si="292"/>
        <v>4</v>
      </c>
      <c r="I451" s="228" t="str">
        <f t="shared" ca="1" si="293"/>
        <v xml:space="preserve">   SUPRAESTRUTURA</v>
      </c>
      <c r="J451" s="230">
        <f t="shared" ca="1" si="294"/>
        <v>3</v>
      </c>
      <c r="K451" s="228" t="str">
        <f t="shared" ca="1" si="295"/>
        <v xml:space="preserve">   SUPRAESTRUTURA - 3º  ao 7º PAVIMENTO - TIPO</v>
      </c>
      <c r="L451" s="231">
        <f t="shared" ca="1" si="296"/>
        <v>1</v>
      </c>
      <c r="M451" s="228" t="str">
        <f t="shared" ca="1" si="297"/>
        <v xml:space="preserve">   Armadura</v>
      </c>
      <c r="N451" s="231">
        <f t="shared" ca="1" si="298"/>
        <v>10</v>
      </c>
      <c r="O451" s="228" t="str">
        <f t="shared" ca="1" si="299"/>
        <v>Armacao Tela Q61 para supraestrutura</v>
      </c>
      <c r="P451" s="232" t="str">
        <f>IF(S451="","",IF(Orçamento!$B451="INSUMO",S451,""))</f>
        <v>ESPACADOR PVC CADEIRINHA HORIZONTAL ETP 25/30 NBR 6118</v>
      </c>
      <c r="Q451" s="244" t="str">
        <f t="shared" si="300"/>
        <v/>
      </c>
      <c r="R451" s="234">
        <f t="shared" ca="1" si="301"/>
        <v>1290</v>
      </c>
      <c r="S451" s="233" t="s">
        <v>612</v>
      </c>
      <c r="T451" s="242" t="str">
        <f>_xlfn.XLOOKUP(S451,Insumos!$A$3:$A$371,Insumos!$B$3:$B$371)</f>
        <v>UN</v>
      </c>
      <c r="U451" s="235">
        <f ca="1">IF($B451="insumo",R451,"")</f>
        <v>1290</v>
      </c>
      <c r="V451" s="320">
        <v>0.5</v>
      </c>
      <c r="W451" s="236">
        <f>IFERROR(IF(B451="INSUMO",_xlfn.XLOOKUP(S451,Insumos!A:A,Insumos!C:C),""),"Inserir Preço")</f>
        <v>0.45</v>
      </c>
      <c r="X451" s="235">
        <f t="shared" ca="1" si="302"/>
        <v>645</v>
      </c>
      <c r="Y451" s="236">
        <f t="shared" si="304"/>
        <v>0.22500000000000001</v>
      </c>
      <c r="Z451" s="237">
        <f t="shared" ca="1" si="287"/>
        <v>290.25</v>
      </c>
      <c r="AA451" s="238"/>
      <c r="AB451" s="233" t="str">
        <f>IF(B451="insumo",_xlfn.XLOOKUP(S451,Insumos!A:A,Insumos!D:D),"")</f>
        <v xml:space="preserve"> </v>
      </c>
      <c r="AC451" s="239">
        <f t="shared" ca="1" si="288"/>
        <v>4.1639008768612571E-5</v>
      </c>
      <c r="AE451" s="240">
        <f ca="1">IFERROR(IF(OR(Z451="",Z451=0),"",IF(AF451="","",IF(AF451="R$/mês",Z451/OBRA!$D$12,IF(AF451="R$/m²",Z451/OBRA!$D$10,IF(AF451="R$/apto",Orçamento!Z451/OBRA!$D$11,""))))),"")</f>
        <v>0.14936471750641972</v>
      </c>
      <c r="AF451" s="241" t="s">
        <v>154</v>
      </c>
    </row>
    <row r="452" spans="1:32" s="10" customFormat="1" ht="13.15" hidden="1" customHeight="1" outlineLevel="3" collapsed="1" x14ac:dyDescent="0.2">
      <c r="A452" s="227"/>
      <c r="B452" s="228" t="s">
        <v>3</v>
      </c>
      <c r="C452" s="229" t="str">
        <f t="shared" si="286"/>
        <v/>
      </c>
      <c r="D452" s="227" t="str">
        <f t="shared" ca="1" si="289"/>
        <v>04.003.002</v>
      </c>
      <c r="E452" s="228" t="str">
        <f t="shared" ca="1" si="290"/>
        <v>04.003.001.010</v>
      </c>
      <c r="F452" s="230">
        <f ca="1">IF($B452="UNIDADE CONSTRUTIVA",OFFSET(F452,-1,0)+1,LARGE(F$10:F451,1))</f>
        <v>2</v>
      </c>
      <c r="G452" s="228" t="str">
        <f t="shared" ca="1" si="291"/>
        <v xml:space="preserve">   GERENCIAMENTO EXECUTIVO</v>
      </c>
      <c r="H452" s="230">
        <f t="shared" ca="1" si="292"/>
        <v>4</v>
      </c>
      <c r="I452" s="228" t="str">
        <f t="shared" ca="1" si="293"/>
        <v xml:space="preserve">   SUPRAESTRUTURA</v>
      </c>
      <c r="J452" s="230">
        <f t="shared" ca="1" si="294"/>
        <v>3</v>
      </c>
      <c r="K452" s="228" t="str">
        <f t="shared" ca="1" si="295"/>
        <v xml:space="preserve">   SUPRAESTRUTURA - 3º  ao 7º PAVIMENTO - TIPO</v>
      </c>
      <c r="L452" s="231">
        <f t="shared" ca="1" si="296"/>
        <v>2</v>
      </c>
      <c r="M452" s="228" t="str">
        <f t="shared" ca="1" si="297"/>
        <v xml:space="preserve">   Forma</v>
      </c>
      <c r="N452" s="231">
        <f t="shared" ca="1" si="298"/>
        <v>0</v>
      </c>
      <c r="O452" s="228" t="str">
        <f t="shared" ca="1" si="299"/>
        <v>Armacao Tela Q61 para supraestrutura</v>
      </c>
      <c r="P452" s="232" t="str">
        <f>IF(S452="","",IF(Orçamento!$B452="INSUMO",S452,""))</f>
        <v/>
      </c>
      <c r="Q452" s="244" t="str">
        <f t="shared" si="300"/>
        <v/>
      </c>
      <c r="R452" s="234">
        <f t="shared" ca="1" si="301"/>
        <v>1290</v>
      </c>
      <c r="S452" s="233" t="s">
        <v>437</v>
      </c>
      <c r="T452" s="242" t="s">
        <v>35</v>
      </c>
      <c r="U452" s="235" t="str">
        <f>IF($B452="insumo",R452,"")</f>
        <v/>
      </c>
      <c r="V452" s="320" t="s">
        <v>35</v>
      </c>
      <c r="W452" s="236" t="str">
        <f>IFERROR(IF(B452="INSUMO",_xlfn.XLOOKUP(S452,Insumos!A:A,Insumos!C:C),""),"Inserir Preço")</f>
        <v/>
      </c>
      <c r="X452" s="235" t="str">
        <f t="shared" ca="1" si="302"/>
        <v/>
      </c>
      <c r="Y452" s="236" t="str">
        <f t="shared" si="304"/>
        <v/>
      </c>
      <c r="Z452" s="237">
        <f t="shared" ca="1" si="287"/>
        <v>65469.418852195719</v>
      </c>
      <c r="AA452" s="238"/>
      <c r="AB452" s="233" t="str">
        <f>IF(B452="insumo",_xlfn.XLOOKUP(S452,Insumos!A:A,Insumos!D:D),"")</f>
        <v/>
      </c>
      <c r="AC452" s="239">
        <f t="shared" ca="1" si="288"/>
        <v>9.3921850324291019E-3</v>
      </c>
      <c r="AE452" s="240">
        <f ca="1">IFERROR(IF(OR(Z452="",Z452=0),"",IF(AF452="","",IF(AF452="R$/mês",Z452/OBRA!$D$12,IF(AF452="R$/m²",Z452/OBRA!$D$10,IF(AF452="R$/apto",Orçamento!Z452/OBRA!$D$11,""))))),"")</f>
        <v>33.691029292567386</v>
      </c>
      <c r="AF452" s="241" t="s">
        <v>154</v>
      </c>
    </row>
    <row r="453" spans="1:32" s="10" customFormat="1" ht="13.15" hidden="1" customHeight="1" outlineLevel="4" x14ac:dyDescent="0.2">
      <c r="A453" s="227"/>
      <c r="B453" s="228" t="s">
        <v>4</v>
      </c>
      <c r="C453" s="229">
        <f t="shared" si="286"/>
        <v>5</v>
      </c>
      <c r="D453" s="227" t="str">
        <f t="shared" ca="1" si="289"/>
        <v>04.003.002.001</v>
      </c>
      <c r="E453" s="228" t="str">
        <f t="shared" ca="1" si="290"/>
        <v>04.003.002.001</v>
      </c>
      <c r="F453" s="230">
        <f ca="1">IF($B453="UNIDADE CONSTRUTIVA",OFFSET(F453,-1,0)+1,LARGE(F$10:F452,1))</f>
        <v>2</v>
      </c>
      <c r="G453" s="228" t="str">
        <f t="shared" ca="1" si="291"/>
        <v xml:space="preserve">   GERENCIAMENTO EXECUTIVO</v>
      </c>
      <c r="H453" s="230">
        <f t="shared" ca="1" si="292"/>
        <v>4</v>
      </c>
      <c r="I453" s="228" t="str">
        <f t="shared" ca="1" si="293"/>
        <v xml:space="preserve">   SUPRAESTRUTURA</v>
      </c>
      <c r="J453" s="230">
        <f t="shared" ca="1" si="294"/>
        <v>3</v>
      </c>
      <c r="K453" s="228" t="str">
        <f t="shared" ca="1" si="295"/>
        <v xml:space="preserve">   SUPRAESTRUTURA - 3º  ao 7º PAVIMENTO - TIPO</v>
      </c>
      <c r="L453" s="231">
        <f t="shared" ca="1" si="296"/>
        <v>2</v>
      </c>
      <c r="M453" s="228" t="str">
        <f t="shared" ca="1" si="297"/>
        <v xml:space="preserve">   Forma</v>
      </c>
      <c r="N453" s="231">
        <f t="shared" ca="1" si="298"/>
        <v>1</v>
      </c>
      <c r="O453" s="228" t="str">
        <f t="shared" ca="1" si="299"/>
        <v>Fabricação de fôrma para Pilares em chapa de madeira compensada plastificada e=14 mm - 2 jogos</v>
      </c>
      <c r="P453" s="232" t="str">
        <f>IF(S453="","",IF(Orçamento!$B453="INSUMO",S453,""))</f>
        <v/>
      </c>
      <c r="Q453" s="244" t="str">
        <f t="shared" si="300"/>
        <v>Fabricação de fôrma para Pilares em chapa de madeira compensada plastificada e=14 mm - 2 jogos</v>
      </c>
      <c r="R453" s="234">
        <f t="shared" ca="1" si="301"/>
        <v>184.27559999999994</v>
      </c>
      <c r="S453" s="233" t="s">
        <v>950</v>
      </c>
      <c r="T453" s="242" t="s">
        <v>140</v>
      </c>
      <c r="U453" s="235">
        <f>U477/5*2</f>
        <v>184.27559999999994</v>
      </c>
      <c r="V453" s="320" t="s">
        <v>35</v>
      </c>
      <c r="W453" s="236" t="str">
        <f>IFERROR(IF(B453="INSUMO",_xlfn.XLOOKUP(S453,Insumos!A:A,Insumos!C:C),""),"Inserir Preço")</f>
        <v/>
      </c>
      <c r="X453" s="235">
        <f t="shared" ca="1" si="302"/>
        <v>184.27559999999994</v>
      </c>
      <c r="Y453" s="236">
        <f t="shared" ca="1" si="304"/>
        <v>108.24439999999998</v>
      </c>
      <c r="Z453" s="237">
        <f t="shared" ca="1" si="287"/>
        <v>19946.80175663999</v>
      </c>
      <c r="AA453" s="238"/>
      <c r="AB453" s="233" t="str">
        <f>IF(B453="insumo",_xlfn.XLOOKUP(S453,Insumos!A:A,Insumos!D:D),"")</f>
        <v/>
      </c>
      <c r="AC453" s="239">
        <f t="shared" ca="1" si="288"/>
        <v>2.8615505710611858E-3</v>
      </c>
      <c r="AE453" s="240">
        <f ca="1">IFERROR(IF(OR(Z453="",Z453=0),"",IF(AF453="","",IF(AF453="R$/mês",Z453/OBRA!$D$12,IF(AF453="R$/m²",Z453/OBRA!$D$10,IF(AF453="R$/apto",Orçamento!Z453/OBRA!$D$11,""))))),"")</f>
        <v>10.264766268861633</v>
      </c>
      <c r="AF453" s="241" t="s">
        <v>154</v>
      </c>
    </row>
    <row r="454" spans="1:32" s="10" customFormat="1" ht="13.15" hidden="1" customHeight="1" outlineLevel="4" x14ac:dyDescent="0.2">
      <c r="A454" s="227"/>
      <c r="B454" s="228" t="s">
        <v>19</v>
      </c>
      <c r="C454" s="229">
        <f t="shared" si="286"/>
        <v>21</v>
      </c>
      <c r="D454" s="227" t="str">
        <f t="shared" si="289"/>
        <v/>
      </c>
      <c r="E454" s="228" t="str">
        <f t="shared" ca="1" si="290"/>
        <v>04.003.002.001</v>
      </c>
      <c r="F454" s="230">
        <f ca="1">IF($B454="UNIDADE CONSTRUTIVA",OFFSET(F454,-1,0)+1,LARGE(F$10:F453,1))</f>
        <v>2</v>
      </c>
      <c r="G454" s="228" t="str">
        <f t="shared" ca="1" si="291"/>
        <v xml:space="preserve">   GERENCIAMENTO EXECUTIVO</v>
      </c>
      <c r="H454" s="230">
        <f t="shared" ca="1" si="292"/>
        <v>4</v>
      </c>
      <c r="I454" s="228" t="str">
        <f t="shared" ca="1" si="293"/>
        <v xml:space="preserve">   SUPRAESTRUTURA</v>
      </c>
      <c r="J454" s="230">
        <f t="shared" ca="1" si="294"/>
        <v>3</v>
      </c>
      <c r="K454" s="228" t="str">
        <f t="shared" ca="1" si="295"/>
        <v xml:space="preserve">   SUPRAESTRUTURA - 3º  ao 7º PAVIMENTO - TIPO</v>
      </c>
      <c r="L454" s="231">
        <f t="shared" ca="1" si="296"/>
        <v>2</v>
      </c>
      <c r="M454" s="228" t="str">
        <f t="shared" ca="1" si="297"/>
        <v xml:space="preserve">   Forma</v>
      </c>
      <c r="N454" s="231">
        <f t="shared" ca="1" si="298"/>
        <v>1</v>
      </c>
      <c r="O454" s="228" t="str">
        <f t="shared" ca="1" si="299"/>
        <v>Fabricação de fôrma para Pilares em chapa de madeira compensada plastificada e=14 mm - 2 jogos</v>
      </c>
      <c r="P454" s="232" t="str">
        <f>IF(S454="","",IF(Orçamento!$B454="INSUMO",S454,""))</f>
        <v>COMPENSADO MADEIRA TIPO PLASTIFICADO 2200X1100X14MM NBR 1096</v>
      </c>
      <c r="Q454" s="244" t="str">
        <f t="shared" si="300"/>
        <v/>
      </c>
      <c r="R454" s="234">
        <f t="shared" ca="1" si="301"/>
        <v>184.27559999999994</v>
      </c>
      <c r="S454" s="233" t="s">
        <v>804</v>
      </c>
      <c r="T454" s="242" t="str">
        <f>_xlfn.XLOOKUP(S454,Insumos!$A$3:$A$371,Insumos!$B$3:$B$371)</f>
        <v>CH</v>
      </c>
      <c r="U454" s="235">
        <f ca="1">IF($B454="insumo",R454,"")</f>
        <v>184.27559999999994</v>
      </c>
      <c r="V454" s="320">
        <f>ROUNDUP(1.3/(2.2*1.1),4)</f>
        <v>0.53720000000000001</v>
      </c>
      <c r="W454" s="236">
        <f>IFERROR(IF(B454="INSUMO",_xlfn.XLOOKUP(S454,Insumos!A:A,Insumos!C:C),""),"Inserir Preço")</f>
        <v>132</v>
      </c>
      <c r="X454" s="235">
        <f t="shared" ca="1" si="302"/>
        <v>98.992852319999969</v>
      </c>
      <c r="Y454" s="236">
        <f t="shared" si="304"/>
        <v>70.910399999999996</v>
      </c>
      <c r="Z454" s="237">
        <f t="shared" ca="1" si="287"/>
        <v>13067.056506239996</v>
      </c>
      <c r="AA454" s="238"/>
      <c r="AB454" s="233" t="str">
        <f>IF(B454="insumo",_xlfn.XLOOKUP(S454,Insumos!A:A,Insumos!D:D),"")</f>
        <v xml:space="preserve"> </v>
      </c>
      <c r="AC454" s="239">
        <f t="shared" ca="1" si="288"/>
        <v>1.8745883908467982E-3</v>
      </c>
      <c r="AE454" s="240">
        <f ca="1">IFERROR(IF(OR(Z454="",Z454=0),"",IF(AF454="","",IF(AF454="R$/mês",Z454/OBRA!$D$12,IF(AF454="R$/m²",Z454/OBRA!$D$10,IF(AF454="R$/apto",Orçamento!Z454/OBRA!$D$11,""))))),"")</f>
        <v>6.7244003572608477</v>
      </c>
      <c r="AF454" s="241" t="s">
        <v>154</v>
      </c>
    </row>
    <row r="455" spans="1:32" s="10" customFormat="1" ht="13.15" hidden="1" customHeight="1" outlineLevel="4" x14ac:dyDescent="0.2">
      <c r="A455" s="227"/>
      <c r="B455" s="228" t="s">
        <v>19</v>
      </c>
      <c r="C455" s="229">
        <f t="shared" si="286"/>
        <v>26</v>
      </c>
      <c r="D455" s="227" t="str">
        <f t="shared" si="289"/>
        <v/>
      </c>
      <c r="E455" s="228" t="str">
        <f t="shared" ca="1" si="290"/>
        <v>04.003.002.001</v>
      </c>
      <c r="F455" s="230">
        <f ca="1">IF($B455="UNIDADE CONSTRUTIVA",OFFSET(F455,-1,0)+1,LARGE(F$10:F454,1))</f>
        <v>2</v>
      </c>
      <c r="G455" s="228" t="str">
        <f t="shared" ca="1" si="291"/>
        <v xml:space="preserve">   GERENCIAMENTO EXECUTIVO</v>
      </c>
      <c r="H455" s="230">
        <f t="shared" ca="1" si="292"/>
        <v>4</v>
      </c>
      <c r="I455" s="228" t="str">
        <f t="shared" ca="1" si="293"/>
        <v xml:space="preserve">   SUPRAESTRUTURA</v>
      </c>
      <c r="J455" s="230">
        <f t="shared" ca="1" si="294"/>
        <v>3</v>
      </c>
      <c r="K455" s="228" t="str">
        <f t="shared" ca="1" si="295"/>
        <v xml:space="preserve">   SUPRAESTRUTURA - 3º  ao 7º PAVIMENTO - TIPO</v>
      </c>
      <c r="L455" s="231">
        <f t="shared" ca="1" si="296"/>
        <v>2</v>
      </c>
      <c r="M455" s="228" t="str">
        <f t="shared" ca="1" si="297"/>
        <v xml:space="preserve">   Forma</v>
      </c>
      <c r="N455" s="231">
        <f t="shared" ca="1" si="298"/>
        <v>1</v>
      </c>
      <c r="O455" s="228" t="str">
        <f t="shared" ca="1" si="299"/>
        <v>Fabricação de fôrma para Pilares em chapa de madeira compensada plastificada e=14 mm - 2 jogos</v>
      </c>
      <c r="P455" s="232" t="str">
        <f>IF(S455="","",IF(Orçamento!$B455="INSUMO",S455,""))</f>
        <v>MADEIRA PINUS/SIMILAR - PONTALETE 75X75MM NBR 11700/15696</v>
      </c>
      <c r="Q455" s="244" t="str">
        <f t="shared" si="300"/>
        <v/>
      </c>
      <c r="R455" s="234">
        <f t="shared" ca="1" si="301"/>
        <v>184.27559999999994</v>
      </c>
      <c r="S455" s="233" t="s">
        <v>807</v>
      </c>
      <c r="T455" s="242" t="str">
        <f>_xlfn.XLOOKUP(S455,Insumos!$A$3:$A$371,Insumos!$B$3:$B$371)</f>
        <v>M</v>
      </c>
      <c r="U455" s="235">
        <f ca="1">IF($B455="insumo",R455,"")</f>
        <v>184.27559999999994</v>
      </c>
      <c r="V455" s="320">
        <v>2.3079999999999998</v>
      </c>
      <c r="W455" s="236">
        <f>IFERROR(IF(B455="INSUMO",_xlfn.XLOOKUP(S455,Insumos!A:A,Insumos!C:C),""),"Inserir Preço")</f>
        <v>7</v>
      </c>
      <c r="X455" s="235">
        <f t="shared" ca="1" si="302"/>
        <v>425.30808479999985</v>
      </c>
      <c r="Y455" s="236">
        <f t="shared" si="304"/>
        <v>16.155999999999999</v>
      </c>
      <c r="Z455" s="237">
        <f t="shared" ca="1" si="287"/>
        <v>2977.1565935999988</v>
      </c>
      <c r="AA455" s="238"/>
      <c r="AB455" s="233" t="str">
        <f>IF(B455="insumo",_xlfn.XLOOKUP(S455,Insumos!A:A,Insumos!D:D),"")</f>
        <v xml:space="preserve"> </v>
      </c>
      <c r="AC455" s="239">
        <f t="shared" ca="1" si="288"/>
        <v>4.2710025669747835E-4</v>
      </c>
      <c r="AE455" s="240">
        <f ca="1">IFERROR(IF(OR(Z455="",Z455=0),"",IF(AF455="","",IF(AF455="R$/mês",Z455/OBRA!$D$12,IF(AF455="R$/m²",Z455/OBRA!$D$10,IF(AF455="R$/apto",Orçamento!Z455/OBRA!$D$11,""))))),"")</f>
        <v>1.5320659899239919</v>
      </c>
      <c r="AF455" s="241" t="s">
        <v>154</v>
      </c>
    </row>
    <row r="456" spans="1:32" s="10" customFormat="1" ht="13.15" hidden="1" customHeight="1" outlineLevel="4" x14ac:dyDescent="0.2">
      <c r="A456" s="227"/>
      <c r="B456" s="228" t="s">
        <v>19</v>
      </c>
      <c r="C456" s="229">
        <f t="shared" si="286"/>
        <v>10</v>
      </c>
      <c r="D456" s="227" t="str">
        <f t="shared" ref="D456:D473" si="305">IF(B456="Unidade Construtiva",TEXT(F456,"00"),IF(B456="Célula Construtiva",TEXT(H456,"00"),IF(B456="Etapa",CONCATENATE(TEXT(H456,"00"),".",TEXT(J456,"000")),IF(B456="Subetapa",CONCATENATE(TEXT(H456,"00"),".",TEXT(J456,"000"),".",TEXT(L456,"000")),IF(B456="Serviço",CONCATENATE(TEXT(H456,"00"),".",TEXT(J456,"000"),".",TEXT(L456,"000"),".",TEXT(N456,"000")),"")))))</f>
        <v/>
      </c>
      <c r="E456" s="228" t="str">
        <f t="shared" ref="E456:E473" ca="1" si="306">IF(B456="*","",IFERROR(IF(B456="SERVIÇO",D456,OFFSET(E456,-1,0)),""))</f>
        <v>04.003.002.001</v>
      </c>
      <c r="F456" s="230">
        <f ca="1">IF($B456="UNIDADE CONSTRUTIVA",OFFSET(F456,-1,0)+1,LARGE(F$10:F455,1))</f>
        <v>2</v>
      </c>
      <c r="G456" s="228" t="str">
        <f t="shared" ref="G456:G473" ca="1" si="307">IF(B456="*","",IF(B456="UNIDADE CONSTRUTIVA",S456,OFFSET(G456,-1,0)))</f>
        <v xml:space="preserve">   GERENCIAMENTO EXECUTIVO</v>
      </c>
      <c r="H456" s="230">
        <f t="shared" ref="H456:H473" ca="1" si="308">IF(B456="UNIDADE CONSTRUTIVA",0,IF(B456="CÉLULA CONSTRUTIVA",OFFSET(H456,-1,0)+1,OFFSET(H456,-1,0)))</f>
        <v>4</v>
      </c>
      <c r="I456" s="228" t="str">
        <f t="shared" ref="I456:I473" ca="1" si="309">IF(B456="*","",IF(B456="CÉLULA CONSTRUTIVA",S456,OFFSET(I456,-1,0)))</f>
        <v xml:space="preserve">   SUPRAESTRUTURA</v>
      </c>
      <c r="J456" s="230">
        <f t="shared" ref="J456:J473" ca="1" si="310">IF(B456="CÉLULA CONSTRUTIVA",0,IF(B456="ETAPA",OFFSET(J456,-1,0)+1,OFFSET(J456,-1,0)))</f>
        <v>3</v>
      </c>
      <c r="K456" s="228" t="str">
        <f t="shared" ref="K456:K473" ca="1" si="311">IF(B456="*","",IF(B456="ETAPA",S456,OFFSET(K456,-1,0)))</f>
        <v xml:space="preserve">   SUPRAESTRUTURA - 3º  ao 7º PAVIMENTO - TIPO</v>
      </c>
      <c r="L456" s="231">
        <f t="shared" ref="L456:L473" ca="1" si="312">IF(B456="ETAPA",0,IF(B456="SUBETAPA",OFFSET(L456,-1,0)+1,OFFSET(L456,-1,0)))</f>
        <v>2</v>
      </c>
      <c r="M456" s="228" t="str">
        <f t="shared" ref="M456:M473" ca="1" si="313">IF(B456="*","",IF(B456="SUBETAPA",S456,OFFSET(M456,-1,0)))</f>
        <v xml:space="preserve">   Forma</v>
      </c>
      <c r="N456" s="231">
        <f t="shared" ref="N456:N473" ca="1" si="314">IF(B456="Subetapa",0,IF(B456="serviço",OFFSET(N456,-1,0)+1,OFFSET(N456,-1,0)))</f>
        <v>1</v>
      </c>
      <c r="O456" s="228" t="str">
        <f t="shared" ref="O456:O473" ca="1" si="315">IF(B456="*","",IF(B456="SERVIÇO",S456,OFFSET(O456,-1,0)))</f>
        <v>Fabricação de fôrma para Pilares em chapa de madeira compensada plastificada e=14 mm - 2 jogos</v>
      </c>
      <c r="P456" s="232" t="str">
        <f>IF(S456="","",IF(Orçamento!$B456="INSUMO",S456,""))</f>
        <v>MADEIRA PINUS/SIMILAR - SARRAFO PINUS 50X10MM NBR 11700</v>
      </c>
      <c r="Q456" s="244" t="str">
        <f t="shared" ref="Q456:Q473" si="316">IF(B456="","",IF(B456="Serviço",S456,""))</f>
        <v/>
      </c>
      <c r="R456" s="234">
        <f t="shared" ref="R456:R473" ca="1" si="317">IF(B456="serviço",U456,OFFSET(R456,-1,0))</f>
        <v>184.27559999999994</v>
      </c>
      <c r="S456" s="233" t="s">
        <v>806</v>
      </c>
      <c r="T456" s="242" t="str">
        <f>_xlfn.XLOOKUP(S456,Insumos!$A$3:$A$371,Insumos!$B$3:$B$371)</f>
        <v>M</v>
      </c>
      <c r="U456" s="235">
        <f ca="1">IF($B456="insumo",R456,"")</f>
        <v>184.27559999999994</v>
      </c>
      <c r="V456" s="320">
        <v>9.2370000000000001</v>
      </c>
      <c r="W456" s="236">
        <f>IFERROR(IF(B456="INSUMO",_xlfn.XLOOKUP(S456,Insumos!A:A,Insumos!C:C),""),"Inserir Preço")</f>
        <v>2</v>
      </c>
      <c r="X456" s="235">
        <f t="shared" ca="1" si="302"/>
        <v>1702.1537171999994</v>
      </c>
      <c r="Y456" s="236">
        <f t="shared" si="304"/>
        <v>18.474</v>
      </c>
      <c r="Z456" s="237">
        <f t="shared" ca="1" si="287"/>
        <v>3404.3074343999988</v>
      </c>
      <c r="AA456" s="238"/>
      <c r="AB456" s="233" t="str">
        <f>IF(B456="insumo",_xlfn.XLOOKUP(S456,Insumos!A:A,Insumos!D:D),"")</f>
        <v>Base de Dados</v>
      </c>
      <c r="AC456" s="239">
        <f t="shared" ca="1" si="288"/>
        <v>4.8837893923181573E-4</v>
      </c>
      <c r="AE456" s="240">
        <f ca="1">IFERROR(IF(OR(Z456="",Z456=0),"",IF(AF456="","",IF(AF456="R$/mês",Z456/OBRA!$D$12,IF(AF456="R$/m²",Z456/OBRA!$D$10,IF(AF456="R$/apto",Orçamento!Z456/OBRA!$D$11,""))))),"")</f>
        <v>1.7518808552770382</v>
      </c>
      <c r="AF456" s="241" t="s">
        <v>154</v>
      </c>
    </row>
    <row r="457" spans="1:32" s="10" customFormat="1" ht="13.15" hidden="1" customHeight="1" outlineLevel="4" x14ac:dyDescent="0.2">
      <c r="A457" s="227"/>
      <c r="B457" s="228" t="s">
        <v>19</v>
      </c>
      <c r="C457" s="229">
        <f t="shared" si="286"/>
        <v>44</v>
      </c>
      <c r="D457" s="227" t="str">
        <f t="shared" si="305"/>
        <v/>
      </c>
      <c r="E457" s="228" t="str">
        <f t="shared" ca="1" si="306"/>
        <v>04.003.002.001</v>
      </c>
      <c r="F457" s="230">
        <f ca="1">IF($B457="UNIDADE CONSTRUTIVA",OFFSET(F457,-1,0)+1,LARGE(F$10:F456,1))</f>
        <v>2</v>
      </c>
      <c r="G457" s="228" t="str">
        <f t="shared" ca="1" si="307"/>
        <v xml:space="preserve">   GERENCIAMENTO EXECUTIVO</v>
      </c>
      <c r="H457" s="230">
        <f t="shared" ca="1" si="308"/>
        <v>4</v>
      </c>
      <c r="I457" s="228" t="str">
        <f t="shared" ca="1" si="309"/>
        <v xml:space="preserve">   SUPRAESTRUTURA</v>
      </c>
      <c r="J457" s="230">
        <f t="shared" ca="1" si="310"/>
        <v>3</v>
      </c>
      <c r="K457" s="228" t="str">
        <f t="shared" ca="1" si="311"/>
        <v xml:space="preserve">   SUPRAESTRUTURA - 3º  ao 7º PAVIMENTO - TIPO</v>
      </c>
      <c r="L457" s="231">
        <f t="shared" ca="1" si="312"/>
        <v>2</v>
      </c>
      <c r="M457" s="228" t="str">
        <f t="shared" ca="1" si="313"/>
        <v xml:space="preserve">   Forma</v>
      </c>
      <c r="N457" s="231">
        <f t="shared" ca="1" si="314"/>
        <v>1</v>
      </c>
      <c r="O457" s="228" t="str">
        <f t="shared" ca="1" si="315"/>
        <v>Fabricação de fôrma para Pilares em chapa de madeira compensada plastificada e=14 mm - 2 jogos</v>
      </c>
      <c r="P457" s="232" t="str">
        <f>IF(S457="","",IF(Orçamento!$B457="INSUMO",S457,""))</f>
        <v>PREGO 17 x 21 COM CABECA</v>
      </c>
      <c r="Q457" s="244" t="str">
        <f t="shared" si="316"/>
        <v/>
      </c>
      <c r="R457" s="234">
        <f t="shared" ca="1" si="317"/>
        <v>184.27559999999994</v>
      </c>
      <c r="S457" s="233" t="s">
        <v>173</v>
      </c>
      <c r="T457" s="242" t="str">
        <f>_xlfn.XLOOKUP(S457,Insumos!$A$3:$A$371,Insumos!$B$3:$B$371)</f>
        <v>KG</v>
      </c>
      <c r="U457" s="235">
        <f ca="1">IF($B457="insumo",R457,"")</f>
        <v>184.27559999999994</v>
      </c>
      <c r="V457" s="320">
        <v>0.20799999999999999</v>
      </c>
      <c r="W457" s="236">
        <f>IFERROR(IF(B457="INSUMO",_xlfn.XLOOKUP(S457,Insumos!A:A,Insumos!C:C),""),"Inserir Preço")</f>
        <v>13</v>
      </c>
      <c r="X457" s="235">
        <f t="shared" ca="1" si="302"/>
        <v>38.329324799999988</v>
      </c>
      <c r="Y457" s="236">
        <f t="shared" si="304"/>
        <v>2.7039999999999997</v>
      </c>
      <c r="Z457" s="237">
        <f t="shared" ca="1" si="287"/>
        <v>498.28122239999982</v>
      </c>
      <c r="AA457" s="238"/>
      <c r="AB457" s="233" t="str">
        <f>IF(B457="insumo",_xlfn.XLOOKUP(S457,Insumos!A:A,Insumos!D:D),"")</f>
        <v xml:space="preserve"> </v>
      </c>
      <c r="AC457" s="239">
        <f t="shared" ca="1" si="288"/>
        <v>7.1482984285094176E-5</v>
      </c>
      <c r="AE457" s="240">
        <f ca="1">IFERROR(IF(OR(Z457="",Z457=0),"",IF(AF457="","",IF(AF457="R$/mês",Z457/OBRA!$D$12,IF(AF457="R$/m²",Z457/OBRA!$D$10,IF(AF457="R$/apto",Orçamento!Z457/OBRA!$D$11,""))))),"")</f>
        <v>0.25641906639975703</v>
      </c>
      <c r="AF457" s="241" t="s">
        <v>154</v>
      </c>
    </row>
    <row r="458" spans="1:32" s="10" customFormat="1" ht="13.15" hidden="1" customHeight="1" outlineLevel="4" x14ac:dyDescent="0.2">
      <c r="A458" s="227"/>
      <c r="B458" s="228" t="s">
        <v>4</v>
      </c>
      <c r="C458" s="229">
        <f t="shared" si="286"/>
        <v>5</v>
      </c>
      <c r="D458" s="227" t="str">
        <f t="shared" ca="1" si="305"/>
        <v>04.003.002.002</v>
      </c>
      <c r="E458" s="228" t="str">
        <f t="shared" ca="1" si="306"/>
        <v>04.003.002.002</v>
      </c>
      <c r="F458" s="230">
        <f ca="1">IF($B458="UNIDADE CONSTRUTIVA",OFFSET(F458,-1,0)+1,LARGE(F$10:F457,1))</f>
        <v>2</v>
      </c>
      <c r="G458" s="228" t="str">
        <f t="shared" ca="1" si="307"/>
        <v xml:space="preserve">   GERENCIAMENTO EXECUTIVO</v>
      </c>
      <c r="H458" s="230">
        <f t="shared" ca="1" si="308"/>
        <v>4</v>
      </c>
      <c r="I458" s="228" t="str">
        <f t="shared" ca="1" si="309"/>
        <v xml:space="preserve">   SUPRAESTRUTURA</v>
      </c>
      <c r="J458" s="230">
        <f t="shared" ca="1" si="310"/>
        <v>3</v>
      </c>
      <c r="K458" s="228" t="str">
        <f t="shared" ca="1" si="311"/>
        <v xml:space="preserve">   SUPRAESTRUTURA - 3º  ao 7º PAVIMENTO - TIPO</v>
      </c>
      <c r="L458" s="231">
        <f t="shared" ca="1" si="312"/>
        <v>2</v>
      </c>
      <c r="M458" s="228" t="str">
        <f t="shared" ca="1" si="313"/>
        <v xml:space="preserve">   Forma</v>
      </c>
      <c r="N458" s="231">
        <f t="shared" ca="1" si="314"/>
        <v>2</v>
      </c>
      <c r="O458" s="228" t="str">
        <f t="shared" ca="1" si="315"/>
        <v>Fabricação de fôrma para vigas em chapa de madeira compensada plastificada e=14 mm - 2 jogos</v>
      </c>
      <c r="P458" s="232" t="str">
        <f>IF(S458="","",IF(Orçamento!$B458="INSUMO",S458,""))</f>
        <v/>
      </c>
      <c r="Q458" s="244" t="str">
        <f t="shared" si="316"/>
        <v>Fabricação de fôrma para vigas em chapa de madeira compensada plastificada e=14 mm - 2 jogos</v>
      </c>
      <c r="R458" s="234">
        <f t="shared" ca="1" si="317"/>
        <v>319.65064994399995</v>
      </c>
      <c r="S458" s="233" t="s">
        <v>952</v>
      </c>
      <c r="T458" s="242" t="s">
        <v>140</v>
      </c>
      <c r="U458" s="235">
        <f>U481/5*2</f>
        <v>319.65064994399995</v>
      </c>
      <c r="V458" s="320" t="s">
        <v>35</v>
      </c>
      <c r="W458" s="236" t="str">
        <f>IFERROR(IF(B458="INSUMO",_xlfn.XLOOKUP(S458,Insumos!A:A,Insumos!C:C),""),"Inserir Preço")</f>
        <v/>
      </c>
      <c r="X458" s="235">
        <f t="shared" ca="1" si="302"/>
        <v>319.65064994399995</v>
      </c>
      <c r="Y458" s="236">
        <f t="shared" ca="1" si="304"/>
        <v>88.057400000000001</v>
      </c>
      <c r="Z458" s="237">
        <f t="shared" ca="1" si="287"/>
        <v>28147.605142378783</v>
      </c>
      <c r="AA458" s="238"/>
      <c r="AB458" s="233" t="str">
        <f>IF(B458="insumo",_xlfn.XLOOKUP(S458,Insumos!A:A,Insumos!D:D),"")</f>
        <v/>
      </c>
      <c r="AC458" s="239">
        <f t="shared" ca="1" si="288"/>
        <v>4.0380305851471301E-3</v>
      </c>
      <c r="AE458" s="240">
        <f ca="1">IFERROR(IF(OR(Z458="",Z458=0),"",IF(AF458="","",IF(AF458="R$/mês",Z458/OBRA!$D$12,IF(AF458="R$/m²",Z458/OBRA!$D$10,IF(AF458="R$/apto",Orçamento!Z458/OBRA!$D$11,""))))),"")</f>
        <v>14.48495810705824</v>
      </c>
      <c r="AF458" s="241" t="s">
        <v>154</v>
      </c>
    </row>
    <row r="459" spans="1:32" s="10" customFormat="1" ht="13.15" hidden="1" customHeight="1" outlineLevel="4" x14ac:dyDescent="0.2">
      <c r="A459" s="227"/>
      <c r="B459" s="228" t="s">
        <v>19</v>
      </c>
      <c r="C459" s="229">
        <f t="shared" si="286"/>
        <v>21</v>
      </c>
      <c r="D459" s="227" t="str">
        <f t="shared" si="305"/>
        <v/>
      </c>
      <c r="E459" s="228" t="str">
        <f t="shared" ca="1" si="306"/>
        <v>04.003.002.002</v>
      </c>
      <c r="F459" s="230">
        <f ca="1">IF($B459="UNIDADE CONSTRUTIVA",OFFSET(F459,-1,0)+1,LARGE(F$10:F458,1))</f>
        <v>2</v>
      </c>
      <c r="G459" s="228" t="str">
        <f t="shared" ca="1" si="307"/>
        <v xml:space="preserve">   GERENCIAMENTO EXECUTIVO</v>
      </c>
      <c r="H459" s="230">
        <f t="shared" ca="1" si="308"/>
        <v>4</v>
      </c>
      <c r="I459" s="228" t="str">
        <f t="shared" ca="1" si="309"/>
        <v xml:space="preserve">   SUPRAESTRUTURA</v>
      </c>
      <c r="J459" s="230">
        <f t="shared" ca="1" si="310"/>
        <v>3</v>
      </c>
      <c r="K459" s="228" t="str">
        <f t="shared" ca="1" si="311"/>
        <v xml:space="preserve">   SUPRAESTRUTURA - 3º  ao 7º PAVIMENTO - TIPO</v>
      </c>
      <c r="L459" s="231">
        <f t="shared" ca="1" si="312"/>
        <v>2</v>
      </c>
      <c r="M459" s="228" t="str">
        <f t="shared" ca="1" si="313"/>
        <v xml:space="preserve">   Forma</v>
      </c>
      <c r="N459" s="231">
        <f t="shared" ca="1" si="314"/>
        <v>2</v>
      </c>
      <c r="O459" s="228" t="str">
        <f t="shared" ca="1" si="315"/>
        <v>Fabricação de fôrma para vigas em chapa de madeira compensada plastificada e=14 mm - 2 jogos</v>
      </c>
      <c r="P459" s="232" t="str">
        <f>IF(S459="","",IF(Orçamento!$B459="INSUMO",S459,""))</f>
        <v>COMPENSADO MADEIRA TIPO PLASTIFICADO 2200X1100X14MM NBR 1096</v>
      </c>
      <c r="Q459" s="244" t="str">
        <f t="shared" si="316"/>
        <v/>
      </c>
      <c r="R459" s="234">
        <f t="shared" ca="1" si="317"/>
        <v>319.65064994399995</v>
      </c>
      <c r="S459" s="233" t="s">
        <v>804</v>
      </c>
      <c r="T459" s="242" t="str">
        <f>_xlfn.XLOOKUP(S459,Insumos!$A$3:$A$371,Insumos!$B$3:$B$371)</f>
        <v>CH</v>
      </c>
      <c r="U459" s="235">
        <f ca="1">IF($B459="insumo",R459,"")</f>
        <v>319.65064994399995</v>
      </c>
      <c r="V459" s="320">
        <f>ROUNDUP(1.3/(2.2*1.1),4)</f>
        <v>0.53720000000000001</v>
      </c>
      <c r="W459" s="236">
        <f>IFERROR(IF(B459="INSUMO",_xlfn.XLOOKUP(S459,Insumos!A:A,Insumos!C:C),""),"Inserir Preço")</f>
        <v>132</v>
      </c>
      <c r="X459" s="235">
        <f t="shared" ca="1" si="302"/>
        <v>171.71632914991679</v>
      </c>
      <c r="Y459" s="236">
        <f t="shared" si="304"/>
        <v>70.910399999999996</v>
      </c>
      <c r="Z459" s="237">
        <f t="shared" ca="1" si="287"/>
        <v>22666.555447789015</v>
      </c>
      <c r="AA459" s="238"/>
      <c r="AB459" s="233" t="str">
        <f>IF(B459="insumo",_xlfn.XLOOKUP(S459,Insumos!A:A,Insumos!D:D),"")</f>
        <v xml:space="preserve"> </v>
      </c>
      <c r="AC459" s="239">
        <f t="shared" ca="1" si="288"/>
        <v>3.2517240346071658E-3</v>
      </c>
      <c r="AE459" s="240">
        <f ca="1">IFERROR(IF(OR(Z459="",Z459=0),"",IF(AF459="","",IF(AF459="R$/mês",Z459/OBRA!$D$12,IF(AF459="R$/m²",Z459/OBRA!$D$10,IF(AF459="R$/apto",Orçamento!Z459/OBRA!$D$11,""))))),"")</f>
        <v>11.664370891654109</v>
      </c>
      <c r="AF459" s="241" t="s">
        <v>154</v>
      </c>
    </row>
    <row r="460" spans="1:32" s="10" customFormat="1" ht="13.15" hidden="1" customHeight="1" outlineLevel="4" x14ac:dyDescent="0.2">
      <c r="A460" s="227"/>
      <c r="B460" s="228" t="s">
        <v>19</v>
      </c>
      <c r="C460" s="229">
        <f t="shared" ref="C460:C523" si="318">IF(B460="INSUMO",COUNTIFS(B:B,"INSUMO",S:S,S460),IF(B460="SERVIÇO",COUNTIFS(B:B,"SERVIÇO",S:S,S460),""))</f>
        <v>26</v>
      </c>
      <c r="D460" s="227" t="str">
        <f t="shared" si="305"/>
        <v/>
      </c>
      <c r="E460" s="228" t="str">
        <f t="shared" ca="1" si="306"/>
        <v>04.003.002.002</v>
      </c>
      <c r="F460" s="230">
        <f ca="1">IF($B460="UNIDADE CONSTRUTIVA",OFFSET(F460,-1,0)+1,LARGE(F$10:F459,1))</f>
        <v>2</v>
      </c>
      <c r="G460" s="228" t="str">
        <f t="shared" ca="1" si="307"/>
        <v xml:space="preserve">   GERENCIAMENTO EXECUTIVO</v>
      </c>
      <c r="H460" s="230">
        <f t="shared" ca="1" si="308"/>
        <v>4</v>
      </c>
      <c r="I460" s="228" t="str">
        <f t="shared" ca="1" si="309"/>
        <v xml:space="preserve">   SUPRAESTRUTURA</v>
      </c>
      <c r="J460" s="230">
        <f t="shared" ca="1" si="310"/>
        <v>3</v>
      </c>
      <c r="K460" s="228" t="str">
        <f t="shared" ca="1" si="311"/>
        <v xml:space="preserve">   SUPRAESTRUTURA - 3º  ao 7º PAVIMENTO - TIPO</v>
      </c>
      <c r="L460" s="231">
        <f t="shared" ca="1" si="312"/>
        <v>2</v>
      </c>
      <c r="M460" s="228" t="str">
        <f t="shared" ca="1" si="313"/>
        <v xml:space="preserve">   Forma</v>
      </c>
      <c r="N460" s="231">
        <f t="shared" ca="1" si="314"/>
        <v>2</v>
      </c>
      <c r="O460" s="228" t="str">
        <f t="shared" ca="1" si="315"/>
        <v>Fabricação de fôrma para vigas em chapa de madeira compensada plastificada e=14 mm - 2 jogos</v>
      </c>
      <c r="P460" s="232" t="str">
        <f>IF(S460="","",IF(Orçamento!$B460="INSUMO",S460,""))</f>
        <v>MADEIRA PINUS/SIMILAR - PONTALETE 75X75MM NBR 11700/15696</v>
      </c>
      <c r="Q460" s="244" t="str">
        <f t="shared" si="316"/>
        <v/>
      </c>
      <c r="R460" s="234">
        <f t="shared" ca="1" si="317"/>
        <v>319.65064994399995</v>
      </c>
      <c r="S460" s="233" t="s">
        <v>807</v>
      </c>
      <c r="T460" s="242" t="str">
        <f>_xlfn.XLOOKUP(S460,Insumos!$A$3:$A$371,Insumos!$B$3:$B$371)</f>
        <v>M</v>
      </c>
      <c r="U460" s="235">
        <f ca="1">IF($B460="insumo",R460,"")</f>
        <v>319.65064994399995</v>
      </c>
      <c r="V460" s="320">
        <v>0.16800000000000001</v>
      </c>
      <c r="W460" s="236">
        <f>IFERROR(IF(B460="INSUMO",_xlfn.XLOOKUP(S460,Insumos!A:A,Insumos!C:C),""),"Inserir Preço")</f>
        <v>7</v>
      </c>
      <c r="X460" s="235">
        <f t="shared" ca="1" si="302"/>
        <v>53.701309190591992</v>
      </c>
      <c r="Y460" s="236">
        <f t="shared" si="304"/>
        <v>1.1760000000000002</v>
      </c>
      <c r="Z460" s="237">
        <f t="shared" ref="Z460:Z523" ca="1" si="319">IFERROR(IF(B460="Unidade Construtiva",SUMIFS(Z:Z,B:B,"Célula Construtiva",G:G,G460),IF(B460="célula construtiva",SUMIFS(Z:Z,B:B,"Insumo",I:I,I460,G:G,G460),IF(B460="ETAPA",SUMIFS(Z:Z,B:B,"Insumo",K:K,K460,I:I,I460,G:G,G460),IF(B460="subetapa",SUMIFS(Z:Z,M:M,M460,B:B,"insumo",K:K,K460,I:I,I460,G:G,G460),IF(B460="complemento do insumo",V460*W460,IF(B460="INSUMO",R460*V460*W460,X460*Y460)))))),"")</f>
        <v>375.90916433414395</v>
      </c>
      <c r="AA460" s="238"/>
      <c r="AB460" s="233" t="str">
        <f>IF(B460="insumo",_xlfn.XLOOKUP(S460,Insumos!A:A,Insumos!D:D),"")</f>
        <v xml:space="preserve"> </v>
      </c>
      <c r="AC460" s="239">
        <f t="shared" ref="AC460:AC523" ca="1" si="320">IFERROR(IF(B460="","",Z460/SUMIF(B:B,"INSUMO",Z:Z)),0)</f>
        <v>5.392759686446596E-5</v>
      </c>
      <c r="AE460" s="240">
        <f ca="1">IFERROR(IF(OR(Z460="",Z460=0),"",IF(AF460="","",IF(AF460="R$/mês",Z460/OBRA!$D$12,IF(AF460="R$/m²",Z460/OBRA!$D$10,IF(AF460="R$/apto",Orçamento!Z460/OBRA!$D$11,""))))),"")</f>
        <v>0.19344553363942713</v>
      </c>
      <c r="AF460" s="241" t="s">
        <v>154</v>
      </c>
    </row>
    <row r="461" spans="1:32" s="10" customFormat="1" ht="13.15" hidden="1" customHeight="1" outlineLevel="4" x14ac:dyDescent="0.2">
      <c r="A461" s="227"/>
      <c r="B461" s="228" t="s">
        <v>19</v>
      </c>
      <c r="C461" s="229">
        <f t="shared" si="318"/>
        <v>10</v>
      </c>
      <c r="D461" s="227" t="str">
        <f t="shared" si="305"/>
        <v/>
      </c>
      <c r="E461" s="228" t="str">
        <f t="shared" ca="1" si="306"/>
        <v>04.003.002.002</v>
      </c>
      <c r="F461" s="230">
        <f ca="1">IF($B461="UNIDADE CONSTRUTIVA",OFFSET(F461,-1,0)+1,LARGE(F$10:F460,1))</f>
        <v>2</v>
      </c>
      <c r="G461" s="228" t="str">
        <f t="shared" ca="1" si="307"/>
        <v xml:space="preserve">   GERENCIAMENTO EXECUTIVO</v>
      </c>
      <c r="H461" s="230">
        <f t="shared" ca="1" si="308"/>
        <v>4</v>
      </c>
      <c r="I461" s="228" t="str">
        <f t="shared" ca="1" si="309"/>
        <v xml:space="preserve">   SUPRAESTRUTURA</v>
      </c>
      <c r="J461" s="230">
        <f t="shared" ca="1" si="310"/>
        <v>3</v>
      </c>
      <c r="K461" s="228" t="str">
        <f t="shared" ca="1" si="311"/>
        <v xml:space="preserve">   SUPRAESTRUTURA - 3º  ao 7º PAVIMENTO - TIPO</v>
      </c>
      <c r="L461" s="231">
        <f t="shared" ca="1" si="312"/>
        <v>2</v>
      </c>
      <c r="M461" s="228" t="str">
        <f t="shared" ca="1" si="313"/>
        <v xml:space="preserve">   Forma</v>
      </c>
      <c r="N461" s="231">
        <f t="shared" ca="1" si="314"/>
        <v>2</v>
      </c>
      <c r="O461" s="228" t="str">
        <f t="shared" ca="1" si="315"/>
        <v>Fabricação de fôrma para vigas em chapa de madeira compensada plastificada e=14 mm - 2 jogos</v>
      </c>
      <c r="P461" s="232" t="str">
        <f>IF(S461="","",IF(Orçamento!$B461="INSUMO",S461,""))</f>
        <v>MADEIRA PINUS/SIMILAR - SARRAFO PINUS 50X10MM NBR 11700</v>
      </c>
      <c r="Q461" s="244" t="str">
        <f t="shared" si="316"/>
        <v/>
      </c>
      <c r="R461" s="234">
        <f t="shared" ca="1" si="317"/>
        <v>319.65064994399995</v>
      </c>
      <c r="S461" s="233" t="s">
        <v>806</v>
      </c>
      <c r="T461" s="242" t="str">
        <f>_xlfn.XLOOKUP(S461,Insumos!$A$3:$A$371,Insumos!$B$3:$B$371)</f>
        <v>M</v>
      </c>
      <c r="U461" s="235">
        <f ca="1">IF($B461="insumo",R461,"")</f>
        <v>319.65064994399995</v>
      </c>
      <c r="V461" s="320">
        <v>6.952</v>
      </c>
      <c r="W461" s="236">
        <f>IFERROR(IF(B461="INSUMO",_xlfn.XLOOKUP(S461,Insumos!A:A,Insumos!C:C),""),"Inserir Preço")</f>
        <v>2</v>
      </c>
      <c r="X461" s="235">
        <f t="shared" ca="1" si="302"/>
        <v>2222.2113184106875</v>
      </c>
      <c r="Y461" s="236">
        <f t="shared" si="304"/>
        <v>13.904</v>
      </c>
      <c r="Z461" s="237">
        <f t="shared" ca="1" si="319"/>
        <v>4444.4226368213749</v>
      </c>
      <c r="AA461" s="238"/>
      <c r="AB461" s="233" t="str">
        <f>IF(B461="insumo",_xlfn.XLOOKUP(S461,Insumos!A:A,Insumos!D:D),"")</f>
        <v>Base de Dados</v>
      </c>
      <c r="AC461" s="239">
        <f t="shared" ca="1" si="320"/>
        <v>6.375929479621893E-4</v>
      </c>
      <c r="AE461" s="240">
        <f ca="1">IFERROR(IF(OR(Z461="",Z461=0),"",IF(AF461="","",IF(AF461="R$/mês",Z461/OBRA!$D$12,IF(AF461="R$/m²",Z461/OBRA!$D$10,IF(AF461="R$/apto",Orçamento!Z461/OBRA!$D$11,""))))),"")</f>
        <v>2.2871315473831584</v>
      </c>
      <c r="AF461" s="241" t="s">
        <v>154</v>
      </c>
    </row>
    <row r="462" spans="1:32" s="10" customFormat="1" ht="13.15" hidden="1" customHeight="1" outlineLevel="4" x14ac:dyDescent="0.2">
      <c r="A462" s="227"/>
      <c r="B462" s="228" t="s">
        <v>19</v>
      </c>
      <c r="C462" s="229">
        <f t="shared" si="318"/>
        <v>44</v>
      </c>
      <c r="D462" s="227" t="str">
        <f t="shared" si="305"/>
        <v/>
      </c>
      <c r="E462" s="228" t="str">
        <f t="shared" ca="1" si="306"/>
        <v>04.003.002.002</v>
      </c>
      <c r="F462" s="230">
        <f ca="1">IF($B462="UNIDADE CONSTRUTIVA",OFFSET(F462,-1,0)+1,LARGE(F$10:F461,1))</f>
        <v>2</v>
      </c>
      <c r="G462" s="228" t="str">
        <f t="shared" ca="1" si="307"/>
        <v xml:space="preserve">   GERENCIAMENTO EXECUTIVO</v>
      </c>
      <c r="H462" s="230">
        <f t="shared" ca="1" si="308"/>
        <v>4</v>
      </c>
      <c r="I462" s="228" t="str">
        <f t="shared" ca="1" si="309"/>
        <v xml:space="preserve">   SUPRAESTRUTURA</v>
      </c>
      <c r="J462" s="230">
        <f t="shared" ca="1" si="310"/>
        <v>3</v>
      </c>
      <c r="K462" s="228" t="str">
        <f t="shared" ca="1" si="311"/>
        <v xml:space="preserve">   SUPRAESTRUTURA - 3º  ao 7º PAVIMENTO - TIPO</v>
      </c>
      <c r="L462" s="231">
        <f t="shared" ca="1" si="312"/>
        <v>2</v>
      </c>
      <c r="M462" s="228" t="str">
        <f t="shared" ca="1" si="313"/>
        <v xml:space="preserve">   Forma</v>
      </c>
      <c r="N462" s="231">
        <f t="shared" ca="1" si="314"/>
        <v>2</v>
      </c>
      <c r="O462" s="228" t="str">
        <f t="shared" ca="1" si="315"/>
        <v>Fabricação de fôrma para vigas em chapa de madeira compensada plastificada e=14 mm - 2 jogos</v>
      </c>
      <c r="P462" s="232" t="str">
        <f>IF(S462="","",IF(Orçamento!$B462="INSUMO",S462,""))</f>
        <v>PREGO 17 x 21 COM CABECA</v>
      </c>
      <c r="Q462" s="244" t="str">
        <f t="shared" si="316"/>
        <v/>
      </c>
      <c r="R462" s="234">
        <f t="shared" ca="1" si="317"/>
        <v>319.65064994399995</v>
      </c>
      <c r="S462" s="233" t="s">
        <v>173</v>
      </c>
      <c r="T462" s="242" t="str">
        <f>_xlfn.XLOOKUP(S462,Insumos!$A$3:$A$371,Insumos!$B$3:$B$371)</f>
        <v>KG</v>
      </c>
      <c r="U462" s="235">
        <f ca="1">IF($B462="insumo",R462,"")</f>
        <v>319.65064994399995</v>
      </c>
      <c r="V462" s="320">
        <v>0.159</v>
      </c>
      <c r="W462" s="236">
        <f>IFERROR(IF(B462="INSUMO",_xlfn.XLOOKUP(S462,Insumos!A:A,Insumos!C:C),""),"Inserir Preço")</f>
        <v>13</v>
      </c>
      <c r="X462" s="235">
        <f t="shared" ca="1" si="302"/>
        <v>50.824453341095996</v>
      </c>
      <c r="Y462" s="236">
        <f t="shared" si="304"/>
        <v>2.0670000000000002</v>
      </c>
      <c r="Z462" s="237">
        <f t="shared" ca="1" si="319"/>
        <v>660.71789343424791</v>
      </c>
      <c r="AA462" s="238"/>
      <c r="AB462" s="233" t="str">
        <f>IF(B462="insumo",_xlfn.XLOOKUP(S462,Insumos!A:A,Insumos!D:D),"")</f>
        <v xml:space="preserve"> </v>
      </c>
      <c r="AC462" s="239">
        <f t="shared" ca="1" si="320"/>
        <v>9.4786005713308783E-5</v>
      </c>
      <c r="AE462" s="240">
        <f ca="1">IFERROR(IF(OR(Z462="",Z462=0),"",IF(AF462="","",IF(AF462="R$/mês",Z462/OBRA!$D$12,IF(AF462="R$/m²",Z462/OBRA!$D$10,IF(AF462="R$/apto",Orçamento!Z462/OBRA!$D$11,""))))),"")</f>
        <v>0.34001013438154409</v>
      </c>
      <c r="AF462" s="241" t="s">
        <v>154</v>
      </c>
    </row>
    <row r="463" spans="1:32" s="10" customFormat="1" ht="13.15" hidden="1" customHeight="1" outlineLevel="4" x14ac:dyDescent="0.2">
      <c r="A463" s="227"/>
      <c r="B463" s="228" t="s">
        <v>4</v>
      </c>
      <c r="C463" s="229">
        <f t="shared" si="318"/>
        <v>5</v>
      </c>
      <c r="D463" s="227" t="str">
        <f t="shared" ca="1" si="305"/>
        <v>04.003.002.003</v>
      </c>
      <c r="E463" s="228" t="str">
        <f t="shared" ca="1" si="306"/>
        <v>04.003.002.003</v>
      </c>
      <c r="F463" s="230">
        <f ca="1">IF($B463="UNIDADE CONSTRUTIVA",OFFSET(F463,-1,0)+1,LARGE(F$10:F462,1))</f>
        <v>2</v>
      </c>
      <c r="G463" s="228" t="str">
        <f t="shared" ca="1" si="307"/>
        <v xml:space="preserve">   GERENCIAMENTO EXECUTIVO</v>
      </c>
      <c r="H463" s="230">
        <f t="shared" ca="1" si="308"/>
        <v>4</v>
      </c>
      <c r="I463" s="228" t="str">
        <f t="shared" ca="1" si="309"/>
        <v xml:space="preserve">   SUPRAESTRUTURA</v>
      </c>
      <c r="J463" s="230">
        <f t="shared" ca="1" si="310"/>
        <v>3</v>
      </c>
      <c r="K463" s="228" t="str">
        <f t="shared" ca="1" si="311"/>
        <v xml:space="preserve">   SUPRAESTRUTURA - 3º  ao 7º PAVIMENTO - TIPO</v>
      </c>
      <c r="L463" s="231">
        <f t="shared" ca="1" si="312"/>
        <v>2</v>
      </c>
      <c r="M463" s="228" t="str">
        <f t="shared" ca="1" si="313"/>
        <v xml:space="preserve">   Forma</v>
      </c>
      <c r="N463" s="231">
        <f t="shared" ca="1" si="314"/>
        <v>3</v>
      </c>
      <c r="O463" s="228" t="str">
        <f t="shared" ca="1" si="315"/>
        <v>Fabricação de fôrma para Escadas em chapa de madeira compensada plastificada e=14 mm - 2 jogos</v>
      </c>
      <c r="P463" s="232" t="str">
        <f>IF(S463="","",IF(Orçamento!$B463="INSUMO",S463,""))</f>
        <v/>
      </c>
      <c r="Q463" s="244" t="str">
        <f t="shared" si="316"/>
        <v>Fabricação de fôrma para Escadas em chapa de madeira compensada plastificada e=14 mm - 2 jogos</v>
      </c>
      <c r="R463" s="234">
        <f t="shared" ca="1" si="317"/>
        <v>40.117200000000004</v>
      </c>
      <c r="S463" s="233" t="s">
        <v>951</v>
      </c>
      <c r="T463" s="242" t="s">
        <v>140</v>
      </c>
      <c r="U463" s="235">
        <f>U486/5*2</f>
        <v>40.117200000000004</v>
      </c>
      <c r="V463" s="320" t="s">
        <v>35</v>
      </c>
      <c r="W463" s="236" t="str">
        <f>IFERROR(IF(B463="INSUMO",_xlfn.XLOOKUP(S463,Insumos!A:A,Insumos!C:C),""),"Inserir Preço")</f>
        <v/>
      </c>
      <c r="X463" s="235">
        <f t="shared" ca="1" si="302"/>
        <v>40.117200000000004</v>
      </c>
      <c r="Y463" s="236">
        <f t="shared" ca="1" si="304"/>
        <v>186.96039999999999</v>
      </c>
      <c r="Z463" s="237">
        <f t="shared" ca="1" si="319"/>
        <v>7500.3277588800001</v>
      </c>
      <c r="AA463" s="238"/>
      <c r="AB463" s="233" t="str">
        <f>IF(B463="insumo",_xlfn.XLOOKUP(S463,Insumos!A:A,Insumos!D:D),"")</f>
        <v/>
      </c>
      <c r="AC463" s="239">
        <f t="shared" ca="1" si="320"/>
        <v>1.0759903990334974E-3</v>
      </c>
      <c r="AE463" s="240">
        <f ca="1">IFERROR(IF(OR(Z463="",Z463=0),"",IF(AF463="","",IF(AF463="R$/mês",Z463/OBRA!$D$12,IF(AF463="R$/m²",Z463/OBRA!$D$10,IF(AF463="R$/apto",Orçamento!Z463/OBRA!$D$11,""))))),"")</f>
        <v>3.8597220909928316</v>
      </c>
      <c r="AF463" s="241" t="s">
        <v>154</v>
      </c>
    </row>
    <row r="464" spans="1:32" s="10" customFormat="1" ht="13.15" hidden="1" customHeight="1" outlineLevel="4" x14ac:dyDescent="0.2">
      <c r="A464" s="227"/>
      <c r="B464" s="228" t="s">
        <v>19</v>
      </c>
      <c r="C464" s="229">
        <f t="shared" si="318"/>
        <v>21</v>
      </c>
      <c r="D464" s="227" t="str">
        <f t="shared" si="305"/>
        <v/>
      </c>
      <c r="E464" s="228" t="str">
        <f t="shared" ca="1" si="306"/>
        <v>04.003.002.003</v>
      </c>
      <c r="F464" s="230">
        <f ca="1">IF($B464="UNIDADE CONSTRUTIVA",OFFSET(F464,-1,0)+1,LARGE(F$10:F463,1))</f>
        <v>2</v>
      </c>
      <c r="G464" s="228" t="str">
        <f t="shared" ca="1" si="307"/>
        <v xml:space="preserve">   GERENCIAMENTO EXECUTIVO</v>
      </c>
      <c r="H464" s="230">
        <f t="shared" ca="1" si="308"/>
        <v>4</v>
      </c>
      <c r="I464" s="228" t="str">
        <f t="shared" ca="1" si="309"/>
        <v xml:space="preserve">   SUPRAESTRUTURA</v>
      </c>
      <c r="J464" s="230">
        <f t="shared" ca="1" si="310"/>
        <v>3</v>
      </c>
      <c r="K464" s="228" t="str">
        <f t="shared" ca="1" si="311"/>
        <v xml:space="preserve">   SUPRAESTRUTURA - 3º  ao 7º PAVIMENTO - TIPO</v>
      </c>
      <c r="L464" s="231">
        <f t="shared" ca="1" si="312"/>
        <v>2</v>
      </c>
      <c r="M464" s="228" t="str">
        <f t="shared" ca="1" si="313"/>
        <v xml:space="preserve">   Forma</v>
      </c>
      <c r="N464" s="231">
        <f t="shared" ca="1" si="314"/>
        <v>3</v>
      </c>
      <c r="O464" s="228" t="str">
        <f t="shared" ca="1" si="315"/>
        <v>Fabricação de fôrma para Escadas em chapa de madeira compensada plastificada e=14 mm - 2 jogos</v>
      </c>
      <c r="P464" s="232" t="str">
        <f>IF(S464="","",IF(Orçamento!$B464="INSUMO",S464,""))</f>
        <v>COMPENSADO MADEIRA TIPO PLASTIFICADO 2200X1100X14MM NBR 1096</v>
      </c>
      <c r="Q464" s="244" t="str">
        <f t="shared" si="316"/>
        <v/>
      </c>
      <c r="R464" s="234">
        <f t="shared" ca="1" si="317"/>
        <v>40.117200000000004</v>
      </c>
      <c r="S464" s="233" t="s">
        <v>804</v>
      </c>
      <c r="T464" s="242" t="str">
        <f>_xlfn.XLOOKUP(S464,Insumos!$A$3:$A$371,Insumos!$B$3:$B$371)</f>
        <v>CH</v>
      </c>
      <c r="U464" s="235">
        <f ca="1">IF($B464="insumo",R464,"")</f>
        <v>40.117200000000004</v>
      </c>
      <c r="V464" s="320">
        <f>ROUNDUP(1.3/(2.2*1.1),4)</f>
        <v>0.53720000000000001</v>
      </c>
      <c r="W464" s="236">
        <f>IFERROR(IF(B464="INSUMO",_xlfn.XLOOKUP(S464,Insumos!A:A,Insumos!C:C),""),"Inserir Preço")</f>
        <v>132</v>
      </c>
      <c r="X464" s="235">
        <f t="shared" ca="1" si="302"/>
        <v>21.550959840000001</v>
      </c>
      <c r="Y464" s="236">
        <f t="shared" si="304"/>
        <v>70.910399999999996</v>
      </c>
      <c r="Z464" s="237">
        <f t="shared" ca="1" si="319"/>
        <v>2844.7266988800002</v>
      </c>
      <c r="AA464" s="238"/>
      <c r="AB464" s="233" t="str">
        <f>IF(B464="insumo",_xlfn.XLOOKUP(S464,Insumos!A:A,Insumos!D:D),"")</f>
        <v xml:space="preserve"> </v>
      </c>
      <c r="AC464" s="239">
        <f t="shared" ca="1" si="320"/>
        <v>4.0810198090945952E-4</v>
      </c>
      <c r="AE464" s="240">
        <f ca="1">IFERROR(IF(OR(Z464="",Z464=0),"",IF(AF464="","",IF(AF464="R$/mês",Z464/OBRA!$D$12,IF(AF464="R$/m²",Z464/OBRA!$D$10,IF(AF464="R$/apto",Orçamento!Z464/OBRA!$D$11,""))))),"")</f>
        <v>1.4639166227775406</v>
      </c>
      <c r="AF464" s="241" t="s">
        <v>154</v>
      </c>
    </row>
    <row r="465" spans="1:32" s="10" customFormat="1" ht="13.15" hidden="1" customHeight="1" outlineLevel="4" x14ac:dyDescent="0.2">
      <c r="A465" s="227"/>
      <c r="B465" s="228" t="s">
        <v>19</v>
      </c>
      <c r="C465" s="229">
        <f t="shared" si="318"/>
        <v>26</v>
      </c>
      <c r="D465" s="227" t="str">
        <f t="shared" si="305"/>
        <v/>
      </c>
      <c r="E465" s="228" t="str">
        <f t="shared" ca="1" si="306"/>
        <v>04.003.002.003</v>
      </c>
      <c r="F465" s="230">
        <f ca="1">IF($B465="UNIDADE CONSTRUTIVA",OFFSET(F465,-1,0)+1,LARGE(F$10:F464,1))</f>
        <v>2</v>
      </c>
      <c r="G465" s="228" t="str">
        <f t="shared" ca="1" si="307"/>
        <v xml:space="preserve">   GERENCIAMENTO EXECUTIVO</v>
      </c>
      <c r="H465" s="230">
        <f t="shared" ca="1" si="308"/>
        <v>4</v>
      </c>
      <c r="I465" s="228" t="str">
        <f t="shared" ca="1" si="309"/>
        <v xml:space="preserve">   SUPRAESTRUTURA</v>
      </c>
      <c r="J465" s="230">
        <f t="shared" ca="1" si="310"/>
        <v>3</v>
      </c>
      <c r="K465" s="228" t="str">
        <f t="shared" ca="1" si="311"/>
        <v xml:space="preserve">   SUPRAESTRUTURA - 3º  ao 7º PAVIMENTO - TIPO</v>
      </c>
      <c r="L465" s="231">
        <f t="shared" ca="1" si="312"/>
        <v>2</v>
      </c>
      <c r="M465" s="228" t="str">
        <f t="shared" ca="1" si="313"/>
        <v xml:space="preserve">   Forma</v>
      </c>
      <c r="N465" s="231">
        <f t="shared" ca="1" si="314"/>
        <v>3</v>
      </c>
      <c r="O465" s="228" t="str">
        <f t="shared" ca="1" si="315"/>
        <v>Fabricação de fôrma para Escadas em chapa de madeira compensada plastificada e=14 mm - 2 jogos</v>
      </c>
      <c r="P465" s="232" t="str">
        <f>IF(S465="","",IF(Orçamento!$B465="INSUMO",S465,""))</f>
        <v>MADEIRA PINUS/SIMILAR - PONTALETE 75X75MM NBR 11700/15696</v>
      </c>
      <c r="Q465" s="244" t="str">
        <f t="shared" si="316"/>
        <v/>
      </c>
      <c r="R465" s="234">
        <f t="shared" ca="1" si="317"/>
        <v>40.117200000000004</v>
      </c>
      <c r="S465" s="233" t="s">
        <v>807</v>
      </c>
      <c r="T465" s="242" t="str">
        <f>_xlfn.XLOOKUP(S465,Insumos!$A$3:$A$371,Insumos!$B$3:$B$371)</f>
        <v>M</v>
      </c>
      <c r="U465" s="235">
        <f ca="1">IF($B465="insumo",R465,"")</f>
        <v>40.117200000000004</v>
      </c>
      <c r="V465" s="320">
        <v>13.18</v>
      </c>
      <c r="W465" s="236">
        <f>IFERROR(IF(B465="INSUMO",_xlfn.XLOOKUP(S465,Insumos!A:A,Insumos!C:C),""),"Inserir Preço")</f>
        <v>7</v>
      </c>
      <c r="X465" s="235">
        <f t="shared" ca="1" si="302"/>
        <v>528.74469600000009</v>
      </c>
      <c r="Y465" s="236">
        <f t="shared" si="304"/>
        <v>92.259999999999991</v>
      </c>
      <c r="Z465" s="237">
        <f t="shared" ca="1" si="319"/>
        <v>3701.2128720000005</v>
      </c>
      <c r="AA465" s="238"/>
      <c r="AB465" s="233" t="str">
        <f>IF(B465="insumo",_xlfn.XLOOKUP(S465,Insumos!A:A,Insumos!D:D),"")</f>
        <v xml:space="preserve"> </v>
      </c>
      <c r="AC465" s="239">
        <f t="shared" ca="1" si="320"/>
        <v>5.3097273120313428E-4</v>
      </c>
      <c r="AE465" s="240">
        <f ca="1">IFERROR(IF(OR(Z465="",Z465=0),"",IF(AF465="","",IF(AF465="R$/mês",Z465/OBRA!$D$12,IF(AF465="R$/m²",Z465/OBRA!$D$10,IF(AF465="R$/apto",Orçamento!Z465/OBRA!$D$11,""))))),"")</f>
        <v>1.9046705083803772</v>
      </c>
      <c r="AF465" s="241" t="s">
        <v>154</v>
      </c>
    </row>
    <row r="466" spans="1:32" s="10" customFormat="1" ht="13.15" hidden="1" customHeight="1" outlineLevel="4" x14ac:dyDescent="0.2">
      <c r="A466" s="227"/>
      <c r="B466" s="228" t="s">
        <v>19</v>
      </c>
      <c r="C466" s="229">
        <f t="shared" si="318"/>
        <v>12</v>
      </c>
      <c r="D466" s="227" t="str">
        <f t="shared" si="305"/>
        <v/>
      </c>
      <c r="E466" s="228" t="str">
        <f t="shared" ca="1" si="306"/>
        <v>04.003.002.003</v>
      </c>
      <c r="F466" s="230">
        <f ca="1">IF($B466="UNIDADE CONSTRUTIVA",OFFSET(F466,-1,0)+1,LARGE(F$10:F465,1))</f>
        <v>2</v>
      </c>
      <c r="G466" s="228" t="str">
        <f t="shared" ca="1" si="307"/>
        <v xml:space="preserve">   GERENCIAMENTO EXECUTIVO</v>
      </c>
      <c r="H466" s="230">
        <f t="shared" ca="1" si="308"/>
        <v>4</v>
      </c>
      <c r="I466" s="228" t="str">
        <f t="shared" ca="1" si="309"/>
        <v xml:space="preserve">   SUPRAESTRUTURA</v>
      </c>
      <c r="J466" s="230">
        <f t="shared" ca="1" si="310"/>
        <v>3</v>
      </c>
      <c r="K466" s="228" t="str">
        <f t="shared" ca="1" si="311"/>
        <v xml:space="preserve">   SUPRAESTRUTURA - 3º  ao 7º PAVIMENTO - TIPO</v>
      </c>
      <c r="L466" s="231">
        <f t="shared" ca="1" si="312"/>
        <v>2</v>
      </c>
      <c r="M466" s="228" t="str">
        <f t="shared" ca="1" si="313"/>
        <v xml:space="preserve">   Forma</v>
      </c>
      <c r="N466" s="231">
        <f t="shared" ca="1" si="314"/>
        <v>3</v>
      </c>
      <c r="O466" s="228" t="str">
        <f t="shared" ca="1" si="315"/>
        <v>Fabricação de fôrma para Escadas em chapa de madeira compensada plastificada e=14 mm - 2 jogos</v>
      </c>
      <c r="P466" s="232" t="str">
        <f>IF(S466="","",IF(Orçamento!$B466="INSUMO",S466,""))</f>
        <v>SARRAFO DE MADEIRA 7,0 x 3 M</v>
      </c>
      <c r="Q466" s="244" t="str">
        <f t="shared" si="316"/>
        <v/>
      </c>
      <c r="R466" s="234">
        <f t="shared" ca="1" si="317"/>
        <v>40.117200000000004</v>
      </c>
      <c r="S466" s="233" t="s">
        <v>175</v>
      </c>
      <c r="T466" s="242" t="str">
        <f>_xlfn.XLOOKUP(S466,Insumos!$A$3:$A$371,Insumos!$B$3:$B$371)</f>
        <v>M3</v>
      </c>
      <c r="U466" s="235">
        <f ca="1">IF($B466="insumo",R466,"")</f>
        <v>40.117200000000004</v>
      </c>
      <c r="V466" s="320">
        <v>1.7299999999999999E-2</v>
      </c>
      <c r="W466" s="236">
        <f>IFERROR(IF(B466="INSUMO",_xlfn.XLOOKUP(S466,Insumos!A:A,Insumos!C:C),""),"Inserir Preço")</f>
        <v>1300</v>
      </c>
      <c r="X466" s="235">
        <f t="shared" ca="1" si="302"/>
        <v>0.6940275600000001</v>
      </c>
      <c r="Y466" s="236">
        <f t="shared" si="304"/>
        <v>22.49</v>
      </c>
      <c r="Z466" s="237">
        <f t="shared" ca="1" si="319"/>
        <v>902.23582800000008</v>
      </c>
      <c r="AA466" s="238"/>
      <c r="AB466" s="233" t="str">
        <f>IF(B466="insumo",_xlfn.XLOOKUP(S466,Insumos!A:A,Insumos!D:D),"")</f>
        <v xml:space="preserve"> </v>
      </c>
      <c r="AC466" s="239">
        <f t="shared" ca="1" si="320"/>
        <v>1.2943395539517116E-4</v>
      </c>
      <c r="AE466" s="240">
        <f ca="1">IFERROR(IF(OR(Z466="",Z466=0),"",IF(AF466="","",IF(AF466="R$/mês",Z466/OBRA!$D$12,IF(AF466="R$/m²",Z466/OBRA!$D$10,IF(AF466="R$/apto",Orçamento!Z466/OBRA!$D$11,""))))),"")</f>
        <v>0.464296983887651</v>
      </c>
      <c r="AF466" s="241" t="s">
        <v>154</v>
      </c>
    </row>
    <row r="467" spans="1:32" s="10" customFormat="1" ht="13.15" hidden="1" customHeight="1" outlineLevel="4" x14ac:dyDescent="0.2">
      <c r="A467" s="227"/>
      <c r="B467" s="228" t="s">
        <v>19</v>
      </c>
      <c r="C467" s="229">
        <f t="shared" si="318"/>
        <v>44</v>
      </c>
      <c r="D467" s="227" t="str">
        <f t="shared" si="305"/>
        <v/>
      </c>
      <c r="E467" s="228" t="str">
        <f t="shared" ca="1" si="306"/>
        <v>04.003.002.003</v>
      </c>
      <c r="F467" s="230">
        <f ca="1">IF($B467="UNIDADE CONSTRUTIVA",OFFSET(F467,-1,0)+1,LARGE(F$10:F466,1))</f>
        <v>2</v>
      </c>
      <c r="G467" s="228" t="str">
        <f t="shared" ca="1" si="307"/>
        <v xml:space="preserve">   GERENCIAMENTO EXECUTIVO</v>
      </c>
      <c r="H467" s="230">
        <f t="shared" ca="1" si="308"/>
        <v>4</v>
      </c>
      <c r="I467" s="228" t="str">
        <f t="shared" ca="1" si="309"/>
        <v xml:space="preserve">   SUPRAESTRUTURA</v>
      </c>
      <c r="J467" s="230">
        <f t="shared" ca="1" si="310"/>
        <v>3</v>
      </c>
      <c r="K467" s="228" t="str">
        <f t="shared" ca="1" si="311"/>
        <v xml:space="preserve">   SUPRAESTRUTURA - 3º  ao 7º PAVIMENTO - TIPO</v>
      </c>
      <c r="L467" s="231">
        <f t="shared" ca="1" si="312"/>
        <v>2</v>
      </c>
      <c r="M467" s="228" t="str">
        <f t="shared" ca="1" si="313"/>
        <v xml:space="preserve">   Forma</v>
      </c>
      <c r="N467" s="231">
        <f t="shared" ca="1" si="314"/>
        <v>3</v>
      </c>
      <c r="O467" s="228" t="str">
        <f t="shared" ca="1" si="315"/>
        <v>Fabricação de fôrma para Escadas em chapa de madeira compensada plastificada e=14 mm - 2 jogos</v>
      </c>
      <c r="P467" s="232" t="str">
        <f>IF(S467="","",IF(Orçamento!$B467="INSUMO",S467,""))</f>
        <v>PREGO 17 x 21 COM CABECA</v>
      </c>
      <c r="Q467" s="244" t="str">
        <f t="shared" si="316"/>
        <v/>
      </c>
      <c r="R467" s="234">
        <f t="shared" ca="1" si="317"/>
        <v>40.117200000000004</v>
      </c>
      <c r="S467" s="233" t="s">
        <v>173</v>
      </c>
      <c r="T467" s="242" t="str">
        <f>_xlfn.XLOOKUP(S467,Insumos!$A$3:$A$371,Insumos!$B$3:$B$371)</f>
        <v>KG</v>
      </c>
      <c r="U467" s="235">
        <f ca="1">IF($B467="insumo",R467,"")</f>
        <v>40.117200000000004</v>
      </c>
      <c r="V467" s="320">
        <v>0.1</v>
      </c>
      <c r="W467" s="236">
        <f>IFERROR(IF(B467="INSUMO",_xlfn.XLOOKUP(S467,Insumos!A:A,Insumos!C:C),""),"Inserir Preço")</f>
        <v>13</v>
      </c>
      <c r="X467" s="235">
        <f t="shared" ca="1" si="302"/>
        <v>4.0117200000000004</v>
      </c>
      <c r="Y467" s="236">
        <f t="shared" si="304"/>
        <v>1.3</v>
      </c>
      <c r="Z467" s="237">
        <f t="shared" ca="1" si="319"/>
        <v>52.152360000000002</v>
      </c>
      <c r="AA467" s="238"/>
      <c r="AB467" s="233" t="str">
        <f>IF(B467="insumo",_xlfn.XLOOKUP(S467,Insumos!A:A,Insumos!D:D),"")</f>
        <v xml:space="preserve"> </v>
      </c>
      <c r="AC467" s="239">
        <f t="shared" ca="1" si="320"/>
        <v>7.4817315257324359E-6</v>
      </c>
      <c r="AE467" s="240">
        <f ca="1">IFERROR(IF(OR(Z467="",Z467=0),"",IF(AF467="","",IF(AF467="R$/mês",Z467/OBRA!$D$12,IF(AF467="R$/m²",Z467/OBRA!$D$10,IF(AF467="R$/apto",Orçamento!Z467/OBRA!$D$11,""))))),"")</f>
        <v>2.6837975947263063E-2</v>
      </c>
      <c r="AF467" s="241" t="s">
        <v>154</v>
      </c>
    </row>
    <row r="468" spans="1:32" s="10" customFormat="1" ht="13.15" hidden="1" customHeight="1" outlineLevel="4" x14ac:dyDescent="0.2">
      <c r="A468" s="227"/>
      <c r="B468" s="228" t="s">
        <v>4</v>
      </c>
      <c r="C468" s="229">
        <f t="shared" si="318"/>
        <v>5</v>
      </c>
      <c r="D468" s="227" t="str">
        <f t="shared" ca="1" si="305"/>
        <v>04.003.002.004</v>
      </c>
      <c r="E468" s="228" t="str">
        <f t="shared" ca="1" si="306"/>
        <v>04.003.002.004</v>
      </c>
      <c r="F468" s="230">
        <f ca="1">IF($B468="UNIDADE CONSTRUTIVA",OFFSET(F468,-1,0)+1,LARGE(F$10:F467,1))</f>
        <v>2</v>
      </c>
      <c r="G468" s="228" t="str">
        <f t="shared" ca="1" si="307"/>
        <v xml:space="preserve">   GERENCIAMENTO EXECUTIVO</v>
      </c>
      <c r="H468" s="230">
        <f t="shared" ca="1" si="308"/>
        <v>4</v>
      </c>
      <c r="I468" s="228" t="str">
        <f t="shared" ca="1" si="309"/>
        <v xml:space="preserve">   SUPRAESTRUTURA</v>
      </c>
      <c r="J468" s="230">
        <f t="shared" ca="1" si="310"/>
        <v>3</v>
      </c>
      <c r="K468" s="228" t="str">
        <f t="shared" ca="1" si="311"/>
        <v xml:space="preserve">   SUPRAESTRUTURA - 3º  ao 7º PAVIMENTO - TIPO</v>
      </c>
      <c r="L468" s="231">
        <f t="shared" ca="1" si="312"/>
        <v>2</v>
      </c>
      <c r="M468" s="228" t="str">
        <f t="shared" ca="1" si="313"/>
        <v xml:space="preserve">   Forma</v>
      </c>
      <c r="N468" s="231">
        <f t="shared" ca="1" si="314"/>
        <v>4</v>
      </c>
      <c r="O468" s="228" t="str">
        <f t="shared" ca="1" si="315"/>
        <v>Fabricação de fôrma para laje em chapa de madeira compensada plastificada e=14 mm - 2 jogos</v>
      </c>
      <c r="P468" s="232" t="str">
        <f>IF(S468="","",IF(Orçamento!$B468="INSUMO",S468,""))</f>
        <v/>
      </c>
      <c r="Q468" s="244" t="str">
        <f t="shared" si="316"/>
        <v>Fabricação de fôrma para laje em chapa de madeira compensada plastificada e=14 mm - 2 jogos</v>
      </c>
      <c r="R468" s="234">
        <f t="shared" ca="1" si="317"/>
        <v>87.360759999999999</v>
      </c>
      <c r="S468" s="233" t="s">
        <v>194</v>
      </c>
      <c r="T468" s="242" t="s">
        <v>140</v>
      </c>
      <c r="U468" s="235">
        <f>U474/5*2</f>
        <v>87.360759999999999</v>
      </c>
      <c r="V468" s="320"/>
      <c r="W468" s="236" t="str">
        <f>IFERROR(IF(B468="INSUMO",_xlfn.XLOOKUP(S468,Insumos!A:A,Insumos!C:C),""),"Inserir Preço")</f>
        <v/>
      </c>
      <c r="X468" s="235">
        <f t="shared" ca="1" si="302"/>
        <v>87.360759999999999</v>
      </c>
      <c r="Y468" s="236">
        <f t="shared" ca="1" si="304"/>
        <v>59.341799999999999</v>
      </c>
      <c r="Z468" s="237">
        <f t="shared" ca="1" si="319"/>
        <v>5184.1447477679994</v>
      </c>
      <c r="AA468" s="238"/>
      <c r="AB468" s="233" t="str">
        <f>IF(B468="insumo",_xlfn.XLOOKUP(S468,Insumos!A:A,Insumos!D:D),"")</f>
        <v/>
      </c>
      <c r="AC468" s="239">
        <f t="shared" ca="1" si="320"/>
        <v>7.4371282897525768E-4</v>
      </c>
      <c r="AE468" s="240">
        <f ca="1">IFERROR(IF(OR(Z468="",Z468=0),"",IF(AF468="","",IF(AF468="R$/mês",Z468/OBRA!$D$12,IF(AF468="R$/m²",Z468/OBRA!$D$10,IF(AF468="R$/apto",Orçamento!Z468/OBRA!$D$11,""))))),"")</f>
        <v>2.6677978148587655</v>
      </c>
      <c r="AF468" s="241" t="s">
        <v>154</v>
      </c>
    </row>
    <row r="469" spans="1:32" s="10" customFormat="1" ht="13.15" hidden="1" customHeight="1" outlineLevel="4" x14ac:dyDescent="0.2">
      <c r="A469" s="227"/>
      <c r="B469" s="228" t="s">
        <v>19</v>
      </c>
      <c r="C469" s="229">
        <f t="shared" si="318"/>
        <v>21</v>
      </c>
      <c r="D469" s="227" t="str">
        <f t="shared" si="305"/>
        <v/>
      </c>
      <c r="E469" s="228" t="str">
        <f t="shared" ca="1" si="306"/>
        <v>04.003.002.004</v>
      </c>
      <c r="F469" s="230">
        <f ca="1">IF($B469="UNIDADE CONSTRUTIVA",OFFSET(F469,-1,0)+1,LARGE(F$10:F468,1))</f>
        <v>2</v>
      </c>
      <c r="G469" s="228" t="str">
        <f t="shared" ca="1" si="307"/>
        <v xml:space="preserve">   GERENCIAMENTO EXECUTIVO</v>
      </c>
      <c r="H469" s="230">
        <f t="shared" ca="1" si="308"/>
        <v>4</v>
      </c>
      <c r="I469" s="228" t="str">
        <f t="shared" ca="1" si="309"/>
        <v xml:space="preserve">   SUPRAESTRUTURA</v>
      </c>
      <c r="J469" s="230">
        <f t="shared" ca="1" si="310"/>
        <v>3</v>
      </c>
      <c r="K469" s="228" t="str">
        <f t="shared" ca="1" si="311"/>
        <v xml:space="preserve">   SUPRAESTRUTURA - 3º  ao 7º PAVIMENTO - TIPO</v>
      </c>
      <c r="L469" s="231">
        <f t="shared" ca="1" si="312"/>
        <v>2</v>
      </c>
      <c r="M469" s="228" t="str">
        <f t="shared" ca="1" si="313"/>
        <v xml:space="preserve">   Forma</v>
      </c>
      <c r="N469" s="231">
        <f t="shared" ca="1" si="314"/>
        <v>4</v>
      </c>
      <c r="O469" s="228" t="str">
        <f t="shared" ca="1" si="315"/>
        <v>Fabricação de fôrma para laje em chapa de madeira compensada plastificada e=14 mm - 2 jogos</v>
      </c>
      <c r="P469" s="232" t="str">
        <f>IF(S469="","",IF(Orçamento!$B469="INSUMO",S469,""))</f>
        <v>COMPENSADO MADEIRA TIPO PLASTIFICADO 2200X1100X14MM NBR 1096</v>
      </c>
      <c r="Q469" s="244" t="str">
        <f t="shared" si="316"/>
        <v/>
      </c>
      <c r="R469" s="234">
        <f t="shared" ca="1" si="317"/>
        <v>87.360759999999999</v>
      </c>
      <c r="S469" s="233" t="s">
        <v>804</v>
      </c>
      <c r="T469" s="242" t="str">
        <f>_xlfn.XLOOKUP(S469,Insumos!$A$3:$A$371,Insumos!$B$3:$B$371)</f>
        <v>CH</v>
      </c>
      <c r="U469" s="235">
        <f ca="1">IF($B469="insumo",R469,"")</f>
        <v>87.360759999999999</v>
      </c>
      <c r="V469" s="320">
        <f>ROUNDUP(1.05/(2.2*1.1),4)</f>
        <v>0.43390000000000001</v>
      </c>
      <c r="W469" s="236">
        <f>IFERROR(IF(B469="INSUMO",_xlfn.XLOOKUP(S469,Insumos!A:A,Insumos!C:C),""),"Inserir Preço")</f>
        <v>132</v>
      </c>
      <c r="X469" s="235">
        <f t="shared" ca="1" si="302"/>
        <v>37.905833764</v>
      </c>
      <c r="Y469" s="236">
        <f t="shared" si="304"/>
        <v>57.274799999999999</v>
      </c>
      <c r="Z469" s="237">
        <f t="shared" ca="1" si="319"/>
        <v>5003.5700568479997</v>
      </c>
      <c r="AA469" s="238"/>
      <c r="AB469" s="233" t="str">
        <f>IF(B469="insumo",_xlfn.XLOOKUP(S469,Insumos!A:A,Insumos!D:D),"")</f>
        <v xml:space="preserve"> </v>
      </c>
      <c r="AC469" s="239">
        <f t="shared" ca="1" si="320"/>
        <v>7.1780774322639503E-4</v>
      </c>
      <c r="AE469" s="240">
        <f ca="1">IFERROR(IF(OR(Z469="",Z469=0),"",IF(AF469="","",IF(AF469="R$/mês",Z469/OBRA!$D$12,IF(AF469="R$/m²",Z469/OBRA!$D$10,IF(AF469="R$/apto",Orçamento!Z469/OBRA!$D$11,""))))),"")</f>
        <v>2.5748727926431765</v>
      </c>
      <c r="AF469" s="241" t="s">
        <v>154</v>
      </c>
    </row>
    <row r="470" spans="1:32" s="10" customFormat="1" ht="13.15" hidden="1" customHeight="1" outlineLevel="4" x14ac:dyDescent="0.2">
      <c r="A470" s="227"/>
      <c r="B470" s="228" t="s">
        <v>19</v>
      </c>
      <c r="C470" s="229">
        <f t="shared" si="318"/>
        <v>44</v>
      </c>
      <c r="D470" s="227" t="str">
        <f t="shared" si="305"/>
        <v/>
      </c>
      <c r="E470" s="228" t="str">
        <f t="shared" ca="1" si="306"/>
        <v>04.003.002.004</v>
      </c>
      <c r="F470" s="230">
        <f ca="1">IF($B470="UNIDADE CONSTRUTIVA",OFFSET(F470,-1,0)+1,LARGE(F$10:F469,1))</f>
        <v>2</v>
      </c>
      <c r="G470" s="228" t="str">
        <f t="shared" ca="1" si="307"/>
        <v xml:space="preserve">   GERENCIAMENTO EXECUTIVO</v>
      </c>
      <c r="H470" s="230">
        <f t="shared" ca="1" si="308"/>
        <v>4</v>
      </c>
      <c r="I470" s="228" t="str">
        <f t="shared" ca="1" si="309"/>
        <v xml:space="preserve">   SUPRAESTRUTURA</v>
      </c>
      <c r="J470" s="230">
        <f t="shared" ca="1" si="310"/>
        <v>3</v>
      </c>
      <c r="K470" s="228" t="str">
        <f t="shared" ca="1" si="311"/>
        <v xml:space="preserve">   SUPRAESTRUTURA - 3º  ao 7º PAVIMENTO - TIPO</v>
      </c>
      <c r="L470" s="231">
        <f t="shared" ca="1" si="312"/>
        <v>2</v>
      </c>
      <c r="M470" s="228" t="str">
        <f t="shared" ca="1" si="313"/>
        <v xml:space="preserve">   Forma</v>
      </c>
      <c r="N470" s="231">
        <f t="shared" ca="1" si="314"/>
        <v>4</v>
      </c>
      <c r="O470" s="228" t="str">
        <f t="shared" ca="1" si="315"/>
        <v>Fabricação de fôrma para laje em chapa de madeira compensada plastificada e=14 mm - 2 jogos</v>
      </c>
      <c r="P470" s="232" t="str">
        <f>IF(S470="","",IF(Orçamento!$B470="INSUMO",S470,""))</f>
        <v>PREGO 17 x 21 COM CABECA</v>
      </c>
      <c r="Q470" s="244" t="str">
        <f t="shared" si="316"/>
        <v/>
      </c>
      <c r="R470" s="234">
        <f t="shared" ca="1" si="317"/>
        <v>87.360759999999999</v>
      </c>
      <c r="S470" s="233" t="s">
        <v>173</v>
      </c>
      <c r="T470" s="242" t="str">
        <f>_xlfn.XLOOKUP(S470,Insumos!$A$3:$A$371,Insumos!$B$3:$B$371)</f>
        <v>KG</v>
      </c>
      <c r="U470" s="235">
        <f ca="1">IF($B470="insumo",R470,"")</f>
        <v>87.360759999999999</v>
      </c>
      <c r="V470" s="320">
        <v>0.159</v>
      </c>
      <c r="W470" s="236">
        <f>IFERROR(IF(B470="INSUMO",_xlfn.XLOOKUP(S470,Insumos!A:A,Insumos!C:C),""),"Inserir Preço")</f>
        <v>13</v>
      </c>
      <c r="X470" s="235">
        <f t="shared" ca="1" si="302"/>
        <v>13.89036084</v>
      </c>
      <c r="Y470" s="236">
        <f t="shared" si="304"/>
        <v>2.0670000000000002</v>
      </c>
      <c r="Z470" s="237">
        <f t="shared" ca="1" si="319"/>
        <v>180.57469091999999</v>
      </c>
      <c r="AA470" s="238"/>
      <c r="AB470" s="233" t="str">
        <f>IF(B470="insumo",_xlfn.XLOOKUP(S470,Insumos!A:A,Insumos!D:D),"")</f>
        <v xml:space="preserve"> </v>
      </c>
      <c r="AC470" s="239">
        <f t="shared" ca="1" si="320"/>
        <v>2.5905085748862651E-5</v>
      </c>
      <c r="AE470" s="240">
        <f ca="1">IFERROR(IF(OR(Z470="",Z470=0),"",IF(AF470="","",IF(AF470="R$/mês",Z470/OBRA!$D$12,IF(AF470="R$/m²",Z470/OBRA!$D$10,IF(AF470="R$/apto",Orçamento!Z470/OBRA!$D$11,""))))),"")</f>
        <v>9.2925022215589501E-2</v>
      </c>
      <c r="AF470" s="241" t="s">
        <v>154</v>
      </c>
    </row>
    <row r="471" spans="1:32" s="10" customFormat="1" ht="13.15" hidden="1" customHeight="1" outlineLevel="4" x14ac:dyDescent="0.2">
      <c r="A471" s="227"/>
      <c r="B471" s="228" t="s">
        <v>4</v>
      </c>
      <c r="C471" s="229">
        <f t="shared" si="318"/>
        <v>3</v>
      </c>
      <c r="D471" s="227" t="str">
        <f t="shared" ca="1" si="305"/>
        <v>04.003.002.005</v>
      </c>
      <c r="E471" s="228" t="str">
        <f t="shared" ca="1" si="306"/>
        <v>04.003.002.005</v>
      </c>
      <c r="F471" s="230">
        <f ca="1">IF($B471="UNIDADE CONSTRUTIVA",OFFSET(F471,-1,0)+1,LARGE(F$10:F470,1))</f>
        <v>2</v>
      </c>
      <c r="G471" s="228" t="str">
        <f t="shared" ca="1" si="307"/>
        <v xml:space="preserve">   GERENCIAMENTO EXECUTIVO</v>
      </c>
      <c r="H471" s="230">
        <f t="shared" ca="1" si="308"/>
        <v>4</v>
      </c>
      <c r="I471" s="228" t="str">
        <f t="shared" ca="1" si="309"/>
        <v xml:space="preserve">   SUPRAESTRUTURA</v>
      </c>
      <c r="J471" s="230">
        <f t="shared" ca="1" si="310"/>
        <v>3</v>
      </c>
      <c r="K471" s="228" t="str">
        <f t="shared" ca="1" si="311"/>
        <v xml:space="preserve">   SUPRAESTRUTURA - 3º  ao 7º PAVIMENTO - TIPO</v>
      </c>
      <c r="L471" s="231">
        <f t="shared" ca="1" si="312"/>
        <v>2</v>
      </c>
      <c r="M471" s="228" t="str">
        <f t="shared" ca="1" si="313"/>
        <v xml:space="preserve">   Forma</v>
      </c>
      <c r="N471" s="231">
        <f t="shared" ca="1" si="314"/>
        <v>5</v>
      </c>
      <c r="O471" s="228" t="str">
        <f t="shared" ca="1" si="315"/>
        <v>Montagem E Desmontagem De Fôrma De Laje Nervurada Com Cubeta E Assoalho, Pé-Direito Simples, Em Chapa De Madeira Compensada Resinada, 8 Utilizações. Af_09/2020</v>
      </c>
      <c r="P471" s="232" t="str">
        <f>IF(S471="","",IF(Orçamento!$B471="INSUMO",S471,""))</f>
        <v/>
      </c>
      <c r="Q471" s="244" t="str">
        <f t="shared" si="316"/>
        <v>Montagem E Desmontagem De Fôrma De Laje Nervurada Com Cubeta E Assoalho, Pé-Direito Simples, Em Chapa De Madeira Compensada Resinada, 8 Utilizações. Af_09/2020</v>
      </c>
      <c r="R471" s="234">
        <f t="shared" ca="1" si="317"/>
        <v>952.28370000000007</v>
      </c>
      <c r="S471" s="233" t="s">
        <v>615</v>
      </c>
      <c r="T471" s="242" t="s">
        <v>140</v>
      </c>
      <c r="U471" s="235">
        <v>952.28370000000007</v>
      </c>
      <c r="V471" s="320" t="s">
        <v>35</v>
      </c>
      <c r="W471" s="236" t="str">
        <f>IFERROR(IF(B471="INSUMO",_xlfn.XLOOKUP(S471,Insumos!A:A,Insumos!C:C),""),"Inserir Preço")</f>
        <v/>
      </c>
      <c r="X471" s="235">
        <f ca="1">IF(B471="Complemento do insumo",V471,IF(R471="","",IF(B471="serviço",R471,IF(OR(B471="insumo"),V471*R471,""))))</f>
        <v>952.28370000000007</v>
      </c>
      <c r="Y471" s="236">
        <f t="shared" ca="1" si="304"/>
        <v>1.6575200000000001</v>
      </c>
      <c r="Z471" s="237">
        <f t="shared" ca="1" si="319"/>
        <v>1578.4292784240001</v>
      </c>
      <c r="AA471" s="238"/>
      <c r="AB471" s="233" t="str">
        <f>IF(B471="insumo",_xlfn.XLOOKUP(S471,Insumos!A:A,Insumos!D:D),"")</f>
        <v/>
      </c>
      <c r="AC471" s="239">
        <f t="shared" ca="1" si="320"/>
        <v>2.2644007085247805E-4</v>
      </c>
      <c r="AE471" s="240">
        <f ca="1">IFERROR(IF(OR(Z471="",Z471=0),"",IF(AF471="","",IF(AF471="R$/mês",Z471/OBRA!$D$12,IF(AF471="R$/m²",Z471/OBRA!$D$10,IF(AF471="R$/apto",Orçamento!Z471/OBRA!$D$11,""))))),"")</f>
        <v>0.81227095013148221</v>
      </c>
      <c r="AF471" s="241" t="s">
        <v>154</v>
      </c>
    </row>
    <row r="472" spans="1:32" s="10" customFormat="1" ht="13.15" hidden="1" customHeight="1" outlineLevel="4" x14ac:dyDescent="0.2">
      <c r="A472" s="227"/>
      <c r="B472" s="228" t="s">
        <v>19</v>
      </c>
      <c r="C472" s="229">
        <f t="shared" si="318"/>
        <v>29</v>
      </c>
      <c r="D472" s="227" t="str">
        <f t="shared" si="305"/>
        <v/>
      </c>
      <c r="E472" s="228" t="str">
        <f t="shared" ca="1" si="306"/>
        <v>04.003.002.005</v>
      </c>
      <c r="F472" s="230">
        <f ca="1">IF($B472="UNIDADE CONSTRUTIVA",OFFSET(F472,-1,0)+1,LARGE(F$10:F471,1))</f>
        <v>2</v>
      </c>
      <c r="G472" s="228" t="str">
        <f t="shared" ca="1" si="307"/>
        <v xml:space="preserve">   GERENCIAMENTO EXECUTIVO</v>
      </c>
      <c r="H472" s="230">
        <f t="shared" ca="1" si="308"/>
        <v>4</v>
      </c>
      <c r="I472" s="228" t="str">
        <f t="shared" ca="1" si="309"/>
        <v xml:space="preserve">   SUPRAESTRUTURA</v>
      </c>
      <c r="J472" s="230">
        <f t="shared" ca="1" si="310"/>
        <v>3</v>
      </c>
      <c r="K472" s="228" t="str">
        <f t="shared" ca="1" si="311"/>
        <v xml:space="preserve">   SUPRAESTRUTURA - 3º  ao 7º PAVIMENTO - TIPO</v>
      </c>
      <c r="L472" s="231">
        <f t="shared" ca="1" si="312"/>
        <v>2</v>
      </c>
      <c r="M472" s="228" t="str">
        <f t="shared" ca="1" si="313"/>
        <v xml:space="preserve">   Forma</v>
      </c>
      <c r="N472" s="231">
        <f t="shared" ca="1" si="314"/>
        <v>5</v>
      </c>
      <c r="O472" s="228" t="str">
        <f t="shared" ca="1" si="315"/>
        <v>Montagem E Desmontagem De Fôrma De Laje Nervurada Com Cubeta E Assoalho, Pé-Direito Simples, Em Chapa De Madeira Compensada Resinada, 8 Utilizações. Af_09/2020</v>
      </c>
      <c r="P472" s="232" t="str">
        <f>IF(S472="","",IF(Orçamento!$B472="INSUMO",S472,""))</f>
        <v>DESMOLDANTE</v>
      </c>
      <c r="Q472" s="244" t="str">
        <f t="shared" si="316"/>
        <v/>
      </c>
      <c r="R472" s="234">
        <f t="shared" ca="1" si="317"/>
        <v>952.28370000000007</v>
      </c>
      <c r="S472" s="233" t="s">
        <v>171</v>
      </c>
      <c r="T472" s="242" t="str">
        <f>_xlfn.XLOOKUP(S472,Insumos!$A$3:$A$371,Insumos!$B$3:$B$371)</f>
        <v>L</v>
      </c>
      <c r="U472" s="235">
        <f ca="1">IF($B472="insumo",R472,"")</f>
        <v>952.28370000000007</v>
      </c>
      <c r="V472" s="320">
        <v>8.0000000000000002E-3</v>
      </c>
      <c r="W472" s="236">
        <f>IFERROR(IF(B472="INSUMO",_xlfn.XLOOKUP(S472,Insumos!A:A,Insumos!C:C),""),"Inserir Preço")</f>
        <v>6.34</v>
      </c>
      <c r="X472" s="235">
        <f ca="1">IF(B472="Complemento do insumo",V472,IF(R472="","",IF(B472="serviço",R472,IF(OR(B472="insumo"),V472*R472,""))))</f>
        <v>7.6182696000000005</v>
      </c>
      <c r="Y472" s="236">
        <f t="shared" si="304"/>
        <v>5.0720000000000001E-2</v>
      </c>
      <c r="Z472" s="237">
        <f t="shared" ca="1" si="319"/>
        <v>48.299829264000003</v>
      </c>
      <c r="AA472" s="238"/>
      <c r="AB472" s="233" t="str">
        <f>IF(B472="insumo",_xlfn.XLOOKUP(S472,Insumos!A:A,Insumos!D:D),"")</f>
        <v xml:space="preserve"> </v>
      </c>
      <c r="AC472" s="239">
        <f t="shared" ca="1" si="320"/>
        <v>6.9290508673425884E-6</v>
      </c>
      <c r="AE472" s="240">
        <f ca="1">IFERROR(IF(OR(Z472="",Z472=0),"",IF(AF472="","",IF(AF472="R$/mês",Z472/OBRA!$D$12,IF(AF472="R$/m²",Z472/OBRA!$D$10,IF(AF472="R$/apto",Orçamento!Z472/OBRA!$D$11,""))))),"")</f>
        <v>2.4855436188202119E-2</v>
      </c>
      <c r="AF472" s="241" t="s">
        <v>154</v>
      </c>
    </row>
    <row r="473" spans="1:32" s="10" customFormat="1" ht="13.15" hidden="1" customHeight="1" outlineLevel="4" x14ac:dyDescent="0.2">
      <c r="A473" s="227"/>
      <c r="B473" s="228" t="s">
        <v>19</v>
      </c>
      <c r="C473" s="229">
        <f t="shared" si="318"/>
        <v>3</v>
      </c>
      <c r="D473" s="227" t="str">
        <f t="shared" si="305"/>
        <v/>
      </c>
      <c r="E473" s="228" t="str">
        <f t="shared" ca="1" si="306"/>
        <v>04.003.002.005</v>
      </c>
      <c r="F473" s="230">
        <f ca="1">IF($B473="UNIDADE CONSTRUTIVA",OFFSET(F473,-1,0)+1,LARGE(F$10:F472,1))</f>
        <v>2</v>
      </c>
      <c r="G473" s="228" t="str">
        <f t="shared" ca="1" si="307"/>
        <v xml:space="preserve">   GERENCIAMENTO EXECUTIVO</v>
      </c>
      <c r="H473" s="230">
        <f t="shared" ca="1" si="308"/>
        <v>4</v>
      </c>
      <c r="I473" s="228" t="str">
        <f t="shared" ca="1" si="309"/>
        <v xml:space="preserve">   SUPRAESTRUTURA</v>
      </c>
      <c r="J473" s="230">
        <f t="shared" ca="1" si="310"/>
        <v>3</v>
      </c>
      <c r="K473" s="228" t="str">
        <f t="shared" ca="1" si="311"/>
        <v xml:space="preserve">   SUPRAESTRUTURA - 3º  ao 7º PAVIMENTO - TIPO</v>
      </c>
      <c r="L473" s="231">
        <f t="shared" ca="1" si="312"/>
        <v>2</v>
      </c>
      <c r="M473" s="228" t="str">
        <f t="shared" ca="1" si="313"/>
        <v xml:space="preserve">   Forma</v>
      </c>
      <c r="N473" s="231">
        <f t="shared" ca="1" si="314"/>
        <v>5</v>
      </c>
      <c r="O473" s="228" t="str">
        <f t="shared" ca="1" si="315"/>
        <v>Montagem E Desmontagem De Fôrma De Laje Nervurada Com Cubeta E Assoalho, Pé-Direito Simples, Em Chapa De Madeira Compensada Resinada, 8 Utilizações. Af_09/2020</v>
      </c>
      <c r="P473" s="232" t="str">
        <f>IF(S473="","",IF(Orçamento!$B473="INSUMO",S473,""))</f>
        <v>LOCACAO DIARIA FORMA P/LAJE NERVURADA - CUBETA 800x200MM (AVULSO)</v>
      </c>
      <c r="Q473" s="244" t="str">
        <f t="shared" si="316"/>
        <v/>
      </c>
      <c r="R473" s="234">
        <f t="shared" ca="1" si="317"/>
        <v>952.28370000000007</v>
      </c>
      <c r="S473" s="233" t="s">
        <v>613</v>
      </c>
      <c r="T473" s="242" t="str">
        <f>_xlfn.XLOOKUP(S473,Insumos!$A$3:$A$371,Insumos!$B$3:$B$371)</f>
        <v>UN</v>
      </c>
      <c r="U473" s="235">
        <f ca="1">IF($B473="insumo",R473,"")</f>
        <v>952.28370000000007</v>
      </c>
      <c r="V473" s="320">
        <v>1.03</v>
      </c>
      <c r="W473" s="236">
        <f>IFERROR(IF(B473="INSUMO",_xlfn.XLOOKUP(S473,Insumos!A:A,Insumos!C:C),""),"Inserir Preço")</f>
        <v>1.56</v>
      </c>
      <c r="X473" s="235">
        <f ca="1">IF(B473="Complemento do insumo",V473,IF(R473="","",IF(B473="serviço",R473,IF(OR(B473="insumo"),V473*R473,""))))</f>
        <v>980.85221100000012</v>
      </c>
      <c r="Y473" s="236">
        <f t="shared" si="304"/>
        <v>1.6068</v>
      </c>
      <c r="Z473" s="237">
        <f t="shared" ca="1" si="319"/>
        <v>1530.1294491600001</v>
      </c>
      <c r="AA473" s="238"/>
      <c r="AB473" s="233" t="str">
        <f>IF(B473="insumo",_xlfn.XLOOKUP(S473,Insumos!A:A,Insumos!D:D),"")</f>
        <v xml:space="preserve"> </v>
      </c>
      <c r="AC473" s="239">
        <f t="shared" ca="1" si="320"/>
        <v>2.1951101998513546E-4</v>
      </c>
      <c r="AE473" s="240">
        <f ca="1">IFERROR(IF(OR(Z473="",Z473=0),"",IF(AF473="","",IF(AF473="R$/mês",Z473/OBRA!$D$12,IF(AF473="R$/m²",Z473/OBRA!$D$10,IF(AF473="R$/apto",Orçamento!Z473/OBRA!$D$11,""))))),"")</f>
        <v>0.78741551394328002</v>
      </c>
      <c r="AF473" s="241" t="s">
        <v>154</v>
      </c>
    </row>
    <row r="474" spans="1:32" s="10" customFormat="1" ht="13.15" hidden="1" customHeight="1" outlineLevel="4" x14ac:dyDescent="0.2">
      <c r="A474" s="227"/>
      <c r="B474" s="228" t="s">
        <v>4</v>
      </c>
      <c r="C474" s="229">
        <f t="shared" si="318"/>
        <v>5</v>
      </c>
      <c r="D474" s="227" t="str">
        <f t="shared" ca="1" si="289"/>
        <v>04.003.002.006</v>
      </c>
      <c r="E474" s="228" t="str">
        <f t="shared" ca="1" si="290"/>
        <v>04.003.002.006</v>
      </c>
      <c r="F474" s="230">
        <f ca="1">IF($B474="UNIDADE CONSTRUTIVA",OFFSET(F474,-1,0)+1,LARGE(F$10:F473,1))</f>
        <v>2</v>
      </c>
      <c r="G474" s="228" t="str">
        <f t="shared" ca="1" si="291"/>
        <v xml:space="preserve">   GERENCIAMENTO EXECUTIVO</v>
      </c>
      <c r="H474" s="230">
        <f t="shared" ca="1" si="292"/>
        <v>4</v>
      </c>
      <c r="I474" s="228" t="str">
        <f t="shared" ca="1" si="293"/>
        <v xml:space="preserve">   SUPRAESTRUTURA</v>
      </c>
      <c r="J474" s="230">
        <f t="shared" ca="1" si="294"/>
        <v>3</v>
      </c>
      <c r="K474" s="228" t="str">
        <f t="shared" ca="1" si="295"/>
        <v xml:space="preserve">   SUPRAESTRUTURA - 3º  ao 7º PAVIMENTO - TIPO</v>
      </c>
      <c r="L474" s="231">
        <f t="shared" ca="1" si="296"/>
        <v>2</v>
      </c>
      <c r="M474" s="228" t="str">
        <f t="shared" ca="1" si="297"/>
        <v xml:space="preserve">   Forma</v>
      </c>
      <c r="N474" s="231">
        <f t="shared" ca="1" si="298"/>
        <v>6</v>
      </c>
      <c r="O474" s="228" t="str">
        <f t="shared" ca="1" si="299"/>
        <v>Montagem e desmontagem de fôrma para laje em chapa de madeira compensada plastificada</v>
      </c>
      <c r="P474" s="232" t="str">
        <f>IF(S474="","",IF(Orçamento!$B474="INSUMO",S474,""))</f>
        <v/>
      </c>
      <c r="Q474" s="244" t="str">
        <f t="shared" si="300"/>
        <v>Montagem e desmontagem de fôrma para laje em chapa de madeira compensada plastificada</v>
      </c>
      <c r="R474" s="234">
        <f t="shared" ca="1" si="301"/>
        <v>218.40190000000001</v>
      </c>
      <c r="S474" s="233" t="s">
        <v>195</v>
      </c>
      <c r="T474" s="242" t="s">
        <v>140</v>
      </c>
      <c r="U474" s="235">
        <v>218.40190000000001</v>
      </c>
      <c r="V474" s="320" t="s">
        <v>35</v>
      </c>
      <c r="W474" s="236" t="str">
        <f>IFERROR(IF(B474="INSUMO",_xlfn.XLOOKUP(S474,Insumos!A:A,Insumos!C:C),""),"Inserir Preço")</f>
        <v/>
      </c>
      <c r="X474" s="235">
        <f t="shared" ca="1" si="302"/>
        <v>218.40190000000001</v>
      </c>
      <c r="Y474" s="236">
        <f t="shared" ca="1" si="304"/>
        <v>0.79095000000000004</v>
      </c>
      <c r="Z474" s="237">
        <f t="shared" ca="1" si="319"/>
        <v>172.74498280500001</v>
      </c>
      <c r="AA474" s="238"/>
      <c r="AB474" s="233" t="str">
        <f>IF(B474="insumo",_xlfn.XLOOKUP(S474,Insumos!A:A,Insumos!D:D),"")</f>
        <v/>
      </c>
      <c r="AC474" s="239">
        <f t="shared" ca="1" si="320"/>
        <v>2.4781842734715669E-5</v>
      </c>
      <c r="AE474" s="240">
        <f ca="1">IFERROR(IF(OR(Z474="",Z474=0),"",IF(AF474="","",IF(AF474="R$/mês",Z474/OBRA!$D$12,IF(AF474="R$/m²",Z474/OBRA!$D$10,IF(AF474="R$/apto",Orçamento!Z474/OBRA!$D$11,""))))),"")</f>
        <v>8.8895798647097873E-2</v>
      </c>
      <c r="AF474" s="241" t="s">
        <v>154</v>
      </c>
    </row>
    <row r="475" spans="1:32" s="10" customFormat="1" ht="13.15" hidden="1" customHeight="1" outlineLevel="4" x14ac:dyDescent="0.2">
      <c r="A475" s="227"/>
      <c r="B475" s="228" t="s">
        <v>19</v>
      </c>
      <c r="C475" s="229">
        <f t="shared" si="318"/>
        <v>29</v>
      </c>
      <c r="D475" s="227" t="str">
        <f t="shared" si="289"/>
        <v/>
      </c>
      <c r="E475" s="228" t="str">
        <f t="shared" ca="1" si="290"/>
        <v>04.003.002.006</v>
      </c>
      <c r="F475" s="230">
        <f ca="1">IF($B475="UNIDADE CONSTRUTIVA",OFFSET(F475,-1,0)+1,LARGE(F$10:F474,1))</f>
        <v>2</v>
      </c>
      <c r="G475" s="228" t="str">
        <f t="shared" ca="1" si="291"/>
        <v xml:space="preserve">   GERENCIAMENTO EXECUTIVO</v>
      </c>
      <c r="H475" s="230">
        <f t="shared" ca="1" si="292"/>
        <v>4</v>
      </c>
      <c r="I475" s="228" t="str">
        <f t="shared" ca="1" si="293"/>
        <v xml:space="preserve">   SUPRAESTRUTURA</v>
      </c>
      <c r="J475" s="230">
        <f t="shared" ca="1" si="294"/>
        <v>3</v>
      </c>
      <c r="K475" s="228" t="str">
        <f t="shared" ca="1" si="295"/>
        <v xml:space="preserve">   SUPRAESTRUTURA - 3º  ao 7º PAVIMENTO - TIPO</v>
      </c>
      <c r="L475" s="231">
        <f t="shared" ca="1" si="296"/>
        <v>2</v>
      </c>
      <c r="M475" s="228" t="str">
        <f t="shared" ca="1" si="297"/>
        <v xml:space="preserve">   Forma</v>
      </c>
      <c r="N475" s="231">
        <f t="shared" ca="1" si="298"/>
        <v>6</v>
      </c>
      <c r="O475" s="228" t="str">
        <f t="shared" ca="1" si="299"/>
        <v>Montagem e desmontagem de fôrma para laje em chapa de madeira compensada plastificada</v>
      </c>
      <c r="P475" s="232" t="str">
        <f>IF(S475="","",IF(Orçamento!$B475="INSUMO",S475,""))</f>
        <v>DESMOLDANTE</v>
      </c>
      <c r="Q475" s="244" t="str">
        <f t="shared" si="300"/>
        <v/>
      </c>
      <c r="R475" s="234">
        <f t="shared" ca="1" si="301"/>
        <v>218.40190000000001</v>
      </c>
      <c r="S475" s="233" t="s">
        <v>171</v>
      </c>
      <c r="T475" s="242" t="str">
        <f>_xlfn.XLOOKUP(S475,Insumos!$A$3:$A$371,Insumos!$B$3:$B$371)</f>
        <v>L</v>
      </c>
      <c r="U475" s="235">
        <f ca="1">IF($B475="insumo",R475,"")</f>
        <v>218.40190000000001</v>
      </c>
      <c r="V475" s="320">
        <v>0.06</v>
      </c>
      <c r="W475" s="236">
        <f>IFERROR(IF(B475="INSUMO",_xlfn.XLOOKUP(S475,Insumos!A:A,Insumos!C:C),""),"Inserir Preço")</f>
        <v>6.34</v>
      </c>
      <c r="X475" s="235">
        <f t="shared" ca="1" si="302"/>
        <v>13.104114000000001</v>
      </c>
      <c r="Y475" s="236">
        <f t="shared" si="304"/>
        <v>0.38039999999999996</v>
      </c>
      <c r="Z475" s="237">
        <f t="shared" ca="1" si="319"/>
        <v>83.08008276000001</v>
      </c>
      <c r="AA475" s="238"/>
      <c r="AB475" s="233" t="str">
        <f>IF(B475="insumo",_xlfn.XLOOKUP(S475,Insumos!A:A,Insumos!D:D),"")</f>
        <v xml:space="preserve"> </v>
      </c>
      <c r="AC475" s="239">
        <f t="shared" ca="1" si="320"/>
        <v>1.1918595330028247E-5</v>
      </c>
      <c r="AE475" s="240">
        <f ca="1">IFERROR(IF(OR(Z475="",Z475=0),"",IF(AF475="","",IF(AF475="R$/mês",Z475/OBRA!$D$12,IF(AF475="R$/m²",Z475/OBRA!$D$10,IF(AF475="R$/apto",Orçamento!Z475/OBRA!$D$11,""))))),"")</f>
        <v>4.2753602383660202E-2</v>
      </c>
      <c r="AF475" s="241" t="s">
        <v>154</v>
      </c>
    </row>
    <row r="476" spans="1:32" s="10" customFormat="1" ht="13.15" hidden="1" customHeight="1" outlineLevel="4" x14ac:dyDescent="0.2">
      <c r="A476" s="227"/>
      <c r="B476" s="228" t="s">
        <v>19</v>
      </c>
      <c r="C476" s="229">
        <f t="shared" si="318"/>
        <v>20</v>
      </c>
      <c r="D476" s="227" t="str">
        <f t="shared" si="289"/>
        <v/>
      </c>
      <c r="E476" s="228" t="str">
        <f t="shared" ca="1" si="290"/>
        <v>04.003.002.006</v>
      </c>
      <c r="F476" s="230">
        <f ca="1">IF($B476="UNIDADE CONSTRUTIVA",OFFSET(F476,-1,0)+1,LARGE(F$10:F475,1))</f>
        <v>2</v>
      </c>
      <c r="G476" s="228" t="str">
        <f t="shared" ca="1" si="291"/>
        <v xml:space="preserve">   GERENCIAMENTO EXECUTIVO</v>
      </c>
      <c r="H476" s="230">
        <f t="shared" ca="1" si="292"/>
        <v>4</v>
      </c>
      <c r="I476" s="228" t="str">
        <f t="shared" ca="1" si="293"/>
        <v xml:space="preserve">   SUPRAESTRUTURA</v>
      </c>
      <c r="J476" s="230">
        <f t="shared" ca="1" si="294"/>
        <v>3</v>
      </c>
      <c r="K476" s="228" t="str">
        <f t="shared" ca="1" si="295"/>
        <v xml:space="preserve">   SUPRAESTRUTURA - 3º  ao 7º PAVIMENTO - TIPO</v>
      </c>
      <c r="L476" s="231">
        <f t="shared" ca="1" si="296"/>
        <v>2</v>
      </c>
      <c r="M476" s="228" t="str">
        <f t="shared" ca="1" si="297"/>
        <v xml:space="preserve">   Forma</v>
      </c>
      <c r="N476" s="231">
        <f t="shared" ca="1" si="298"/>
        <v>6</v>
      </c>
      <c r="O476" s="228" t="str">
        <f t="shared" ca="1" si="299"/>
        <v>Montagem e desmontagem de fôrma para laje em chapa de madeira compensada plastificada</v>
      </c>
      <c r="P476" s="232" t="str">
        <f>IF(S476="","",IF(Orçamento!$B476="INSUMO",S476,""))</f>
        <v>Arame recozido 12 BWG</v>
      </c>
      <c r="Q476" s="244" t="str">
        <f t="shared" si="300"/>
        <v/>
      </c>
      <c r="R476" s="234">
        <f t="shared" ca="1" si="301"/>
        <v>218.40190000000001</v>
      </c>
      <c r="S476" s="233" t="s">
        <v>196</v>
      </c>
      <c r="T476" s="242" t="str">
        <f>_xlfn.XLOOKUP(S476,Insumos!$A$3:$A$371,Insumos!$B$3:$B$371)</f>
        <v>KG</v>
      </c>
      <c r="U476" s="235">
        <f ca="1">IF($B476="insumo",R476,"")</f>
        <v>218.40190000000001</v>
      </c>
      <c r="V476" s="320">
        <v>3.5700000000000003E-2</v>
      </c>
      <c r="W476" s="236">
        <f>IFERROR(IF(B476="INSUMO",_xlfn.XLOOKUP(S476,Insumos!A:A,Insumos!C:C),""),"Inserir Preço")</f>
        <v>11.5</v>
      </c>
      <c r="X476" s="235">
        <f t="shared" ca="1" si="302"/>
        <v>7.7969478300000006</v>
      </c>
      <c r="Y476" s="236">
        <f t="shared" si="304"/>
        <v>0.41055000000000003</v>
      </c>
      <c r="Z476" s="237">
        <f t="shared" ca="1" si="319"/>
        <v>89.66490004500001</v>
      </c>
      <c r="AA476" s="238"/>
      <c r="AB476" s="233" t="str">
        <f>IF(B476="insumo",_xlfn.XLOOKUP(S476,Insumos!A:A,Insumos!D:D),"")</f>
        <v>Base de Dados</v>
      </c>
      <c r="AC476" s="239">
        <f t="shared" ca="1" si="320"/>
        <v>1.2863247404687425E-5</v>
      </c>
      <c r="AE476" s="240">
        <f ca="1">IFERROR(IF(OR(Z476="",Z476=0),"",IF(AF476="","",IF(AF476="R$/mês",Z476/OBRA!$D$12,IF(AF476="R$/m²",Z476/OBRA!$D$10,IF(AF476="R$/apto",Orçamento!Z476/OBRA!$D$11,""))))),"")</f>
        <v>4.6142196263437685E-2</v>
      </c>
      <c r="AF476" s="241" t="s">
        <v>154</v>
      </c>
    </row>
    <row r="477" spans="1:32" s="10" customFormat="1" ht="13.15" hidden="1" customHeight="1" outlineLevel="4" x14ac:dyDescent="0.2">
      <c r="A477" s="227"/>
      <c r="B477" s="228" t="s">
        <v>4</v>
      </c>
      <c r="C477" s="229">
        <f t="shared" si="318"/>
        <v>5</v>
      </c>
      <c r="D477" s="227" t="str">
        <f t="shared" ca="1" si="289"/>
        <v>04.003.002.007</v>
      </c>
      <c r="E477" s="228" t="str">
        <f t="shared" ca="1" si="290"/>
        <v>04.003.002.007</v>
      </c>
      <c r="F477" s="230">
        <f ca="1">IF($B477="UNIDADE CONSTRUTIVA",OFFSET(F477,-1,0)+1,LARGE(F$10:F476,1))</f>
        <v>2</v>
      </c>
      <c r="G477" s="228" t="str">
        <f t="shared" ca="1" si="291"/>
        <v xml:space="preserve">   GERENCIAMENTO EXECUTIVO</v>
      </c>
      <c r="H477" s="230">
        <f t="shared" ca="1" si="292"/>
        <v>4</v>
      </c>
      <c r="I477" s="228" t="str">
        <f t="shared" ca="1" si="293"/>
        <v xml:space="preserve">   SUPRAESTRUTURA</v>
      </c>
      <c r="J477" s="230">
        <f t="shared" ca="1" si="294"/>
        <v>3</v>
      </c>
      <c r="K477" s="228" t="str">
        <f t="shared" ca="1" si="295"/>
        <v xml:space="preserve">   SUPRAESTRUTURA - 3º  ao 7º PAVIMENTO - TIPO</v>
      </c>
      <c r="L477" s="231">
        <f t="shared" ca="1" si="296"/>
        <v>2</v>
      </c>
      <c r="M477" s="228" t="str">
        <f t="shared" ca="1" si="297"/>
        <v xml:space="preserve">   Forma</v>
      </c>
      <c r="N477" s="231">
        <f t="shared" ca="1" si="298"/>
        <v>7</v>
      </c>
      <c r="O477" s="228" t="str">
        <f t="shared" ca="1" si="299"/>
        <v>Montagem e desmontagem de fôrma para pilares em chapa de madeira compensada plastificada</v>
      </c>
      <c r="P477" s="232" t="str">
        <f>IF(S477="","",IF(Orçamento!$B477="INSUMO",S477,""))</f>
        <v/>
      </c>
      <c r="Q477" s="244" t="str">
        <f t="shared" si="300"/>
        <v>Montagem e desmontagem de fôrma para pilares em chapa de madeira compensada plastificada</v>
      </c>
      <c r="R477" s="234">
        <f t="shared" ca="1" si="301"/>
        <v>460.68899999999985</v>
      </c>
      <c r="S477" s="233" t="s">
        <v>197</v>
      </c>
      <c r="T477" s="242" t="s">
        <v>140</v>
      </c>
      <c r="U477" s="235">
        <v>460.68899999999985</v>
      </c>
      <c r="V477" s="320" t="s">
        <v>35</v>
      </c>
      <c r="W477" s="236" t="str">
        <f>IFERROR(IF(B477="INSUMO",_xlfn.XLOOKUP(S477,Insumos!A:A,Insumos!C:C),""),"Inserir Preço")</f>
        <v/>
      </c>
      <c r="X477" s="235">
        <f t="shared" ca="1" si="302"/>
        <v>460.68899999999985</v>
      </c>
      <c r="Y477" s="236">
        <f t="shared" ca="1" si="304"/>
        <v>1.14195</v>
      </c>
      <c r="Z477" s="237">
        <f t="shared" ca="1" si="319"/>
        <v>526.08380354999986</v>
      </c>
      <c r="AA477" s="238"/>
      <c r="AB477" s="233" t="str">
        <f>IF(B477="insumo",_xlfn.XLOOKUP(S477,Insumos!A:A,Insumos!D:D),"")</f>
        <v/>
      </c>
      <c r="AC477" s="239">
        <f t="shared" ca="1" si="320"/>
        <v>7.547151803288026E-5</v>
      </c>
      <c r="AE477" s="240">
        <f ca="1">IFERROR(IF(OR(Z477="",Z477=0),"",IF(AF477="","",IF(AF477="R$/mês",Z477/OBRA!$D$12,IF(AF477="R$/m²",Z477/OBRA!$D$10,IF(AF477="R$/apto",Orçamento!Z477/OBRA!$D$11,""))))),"")</f>
        <v>0.27072647270266509</v>
      </c>
      <c r="AF477" s="241" t="s">
        <v>154</v>
      </c>
    </row>
    <row r="478" spans="1:32" s="10" customFormat="1" ht="13.15" hidden="1" customHeight="1" outlineLevel="4" x14ac:dyDescent="0.2">
      <c r="A478" s="227"/>
      <c r="B478" s="228" t="s">
        <v>19</v>
      </c>
      <c r="C478" s="229">
        <f t="shared" si="318"/>
        <v>29</v>
      </c>
      <c r="D478" s="227" t="str">
        <f t="shared" si="289"/>
        <v/>
      </c>
      <c r="E478" s="228" t="str">
        <f t="shared" ca="1" si="290"/>
        <v>04.003.002.007</v>
      </c>
      <c r="F478" s="230">
        <f ca="1">IF($B478="UNIDADE CONSTRUTIVA",OFFSET(F478,-1,0)+1,LARGE(F$10:F477,1))</f>
        <v>2</v>
      </c>
      <c r="G478" s="228" t="str">
        <f t="shared" ca="1" si="291"/>
        <v xml:space="preserve">   GERENCIAMENTO EXECUTIVO</v>
      </c>
      <c r="H478" s="230">
        <f t="shared" ca="1" si="292"/>
        <v>4</v>
      </c>
      <c r="I478" s="228" t="str">
        <f t="shared" ca="1" si="293"/>
        <v xml:space="preserve">   SUPRAESTRUTURA</v>
      </c>
      <c r="J478" s="230">
        <f t="shared" ca="1" si="294"/>
        <v>3</v>
      </c>
      <c r="K478" s="228" t="str">
        <f t="shared" ca="1" si="295"/>
        <v xml:space="preserve">   SUPRAESTRUTURA - 3º  ao 7º PAVIMENTO - TIPO</v>
      </c>
      <c r="L478" s="231">
        <f t="shared" ca="1" si="296"/>
        <v>2</v>
      </c>
      <c r="M478" s="228" t="str">
        <f t="shared" ca="1" si="297"/>
        <v xml:space="preserve">   Forma</v>
      </c>
      <c r="N478" s="231">
        <f t="shared" ca="1" si="298"/>
        <v>7</v>
      </c>
      <c r="O478" s="228" t="str">
        <f t="shared" ca="1" si="299"/>
        <v>Montagem e desmontagem de fôrma para pilares em chapa de madeira compensada plastificada</v>
      </c>
      <c r="P478" s="232" t="str">
        <f>IF(S478="","",IF(Orçamento!$B478="INSUMO",S478,""))</f>
        <v>DESMOLDANTE</v>
      </c>
      <c r="Q478" s="244" t="str">
        <f t="shared" si="300"/>
        <v/>
      </c>
      <c r="R478" s="234">
        <f t="shared" ca="1" si="301"/>
        <v>460.68899999999985</v>
      </c>
      <c r="S478" s="233" t="s">
        <v>171</v>
      </c>
      <c r="T478" s="242" t="str">
        <f>_xlfn.XLOOKUP(S478,Insumos!$A$3:$A$371,Insumos!$B$3:$B$371)</f>
        <v>L</v>
      </c>
      <c r="U478" s="235">
        <f ca="1">IF($B478="insumo",R478,"")</f>
        <v>460.68899999999985</v>
      </c>
      <c r="V478" s="320">
        <v>0.06</v>
      </c>
      <c r="W478" s="236">
        <f>IFERROR(IF(B478="INSUMO",_xlfn.XLOOKUP(S478,Insumos!A:A,Insumos!C:C),""),"Inserir Preço")</f>
        <v>6.34</v>
      </c>
      <c r="X478" s="235">
        <f t="shared" ca="1" si="302"/>
        <v>27.641339999999989</v>
      </c>
      <c r="Y478" s="236">
        <f t="shared" si="304"/>
        <v>0.38039999999999996</v>
      </c>
      <c r="Z478" s="237">
        <f t="shared" ca="1" si="319"/>
        <v>175.24609559999993</v>
      </c>
      <c r="AA478" s="238"/>
      <c r="AB478" s="233" t="str">
        <f>IF(B478="insumo",_xlfn.XLOOKUP(S478,Insumos!A:A,Insumos!D:D),"")</f>
        <v xml:space="preserve"> </v>
      </c>
      <c r="AC478" s="239">
        <f t="shared" ca="1" si="320"/>
        <v>2.5140650168315294E-5</v>
      </c>
      <c r="AE478" s="240">
        <f ca="1">IFERROR(IF(OR(Z478="",Z478=0),"",IF(AF478="","",IF(AF478="R$/mês",Z478/OBRA!$D$12,IF(AF478="R$/m²",Z478/OBRA!$D$10,IF(AF478="R$/apto",Orçamento!Z478/OBRA!$D$11,""))))),"")</f>
        <v>9.0182889107310982E-2</v>
      </c>
      <c r="AF478" s="241" t="s">
        <v>154</v>
      </c>
    </row>
    <row r="479" spans="1:32" s="10" customFormat="1" ht="13.15" hidden="1" customHeight="1" outlineLevel="4" x14ac:dyDescent="0.2">
      <c r="A479" s="227"/>
      <c r="B479" s="228" t="s">
        <v>19</v>
      </c>
      <c r="C479" s="229">
        <f t="shared" si="318"/>
        <v>44</v>
      </c>
      <c r="D479" s="227" t="str">
        <f t="shared" si="289"/>
        <v/>
      </c>
      <c r="E479" s="228" t="str">
        <f t="shared" ca="1" si="290"/>
        <v>04.003.002.007</v>
      </c>
      <c r="F479" s="230">
        <f ca="1">IF($B479="UNIDADE CONSTRUTIVA",OFFSET(F479,-1,0)+1,LARGE(F$10:F478,1))</f>
        <v>2</v>
      </c>
      <c r="G479" s="228" t="str">
        <f t="shared" ca="1" si="291"/>
        <v xml:space="preserve">   GERENCIAMENTO EXECUTIVO</v>
      </c>
      <c r="H479" s="230">
        <f t="shared" ca="1" si="292"/>
        <v>4</v>
      </c>
      <c r="I479" s="228" t="str">
        <f t="shared" ca="1" si="293"/>
        <v xml:space="preserve">   SUPRAESTRUTURA</v>
      </c>
      <c r="J479" s="230">
        <f t="shared" ca="1" si="294"/>
        <v>3</v>
      </c>
      <c r="K479" s="228" t="str">
        <f t="shared" ca="1" si="295"/>
        <v xml:space="preserve">   SUPRAESTRUTURA - 3º  ao 7º PAVIMENTO - TIPO</v>
      </c>
      <c r="L479" s="231">
        <f t="shared" ca="1" si="296"/>
        <v>2</v>
      </c>
      <c r="M479" s="228" t="str">
        <f t="shared" ca="1" si="297"/>
        <v xml:space="preserve">   Forma</v>
      </c>
      <c r="N479" s="231">
        <f t="shared" ca="1" si="298"/>
        <v>7</v>
      </c>
      <c r="O479" s="228" t="str">
        <f t="shared" ca="1" si="299"/>
        <v>Montagem e desmontagem de fôrma para pilares em chapa de madeira compensada plastificada</v>
      </c>
      <c r="P479" s="232" t="str">
        <f>IF(S479="","",IF(Orçamento!$B479="INSUMO",S479,""))</f>
        <v>PREGO 17 x 21 COM CABECA</v>
      </c>
      <c r="Q479" s="244" t="str">
        <f t="shared" si="300"/>
        <v/>
      </c>
      <c r="R479" s="234">
        <f t="shared" ca="1" si="301"/>
        <v>460.68899999999985</v>
      </c>
      <c r="S479" s="233" t="s">
        <v>173</v>
      </c>
      <c r="T479" s="242" t="str">
        <f>_xlfn.XLOOKUP(S479,Insumos!$A$3:$A$371,Insumos!$B$3:$B$371)</f>
        <v>KG</v>
      </c>
      <c r="U479" s="235">
        <f ca="1">IF($B479="insumo",R479,"")</f>
        <v>460.68899999999985</v>
      </c>
      <c r="V479" s="320">
        <v>2.7E-2</v>
      </c>
      <c r="W479" s="236">
        <f>IFERROR(IF(B479="INSUMO",_xlfn.XLOOKUP(S479,Insumos!A:A,Insumos!C:C),""),"Inserir Preço")</f>
        <v>13</v>
      </c>
      <c r="X479" s="235">
        <f t="shared" ca="1" si="302"/>
        <v>12.438602999999995</v>
      </c>
      <c r="Y479" s="236">
        <f t="shared" si="304"/>
        <v>0.35099999999999998</v>
      </c>
      <c r="Z479" s="237">
        <f t="shared" ca="1" si="319"/>
        <v>161.70183899999995</v>
      </c>
      <c r="AA479" s="238"/>
      <c r="AB479" s="233" t="str">
        <f>IF(B479="insumo",_xlfn.XLOOKUP(S479,Insumos!A:A,Insumos!D:D),"")</f>
        <v xml:space="preserve"> </v>
      </c>
      <c r="AC479" s="239">
        <f t="shared" ca="1" si="320"/>
        <v>2.3197603073287772E-5</v>
      </c>
      <c r="AE479" s="240">
        <f ca="1">IFERROR(IF(OR(Z479="",Z479=0),"",IF(AF479="","",IF(AF479="R$/mês",Z479/OBRA!$D$12,IF(AF479="R$/m²",Z479/OBRA!$D$10,IF(AF479="R$/apto",Orçamento!Z479/OBRA!$D$11,""))))),"")</f>
        <v>8.3212918182613463E-2</v>
      </c>
      <c r="AF479" s="241" t="s">
        <v>154</v>
      </c>
    </row>
    <row r="480" spans="1:32" s="10" customFormat="1" ht="13.15" hidden="1" customHeight="1" outlineLevel="4" x14ac:dyDescent="0.2">
      <c r="A480" s="227"/>
      <c r="B480" s="228" t="s">
        <v>19</v>
      </c>
      <c r="C480" s="229">
        <f t="shared" si="318"/>
        <v>20</v>
      </c>
      <c r="D480" s="227" t="str">
        <f t="shared" si="289"/>
        <v/>
      </c>
      <c r="E480" s="228" t="str">
        <f t="shared" ca="1" si="290"/>
        <v>04.003.002.007</v>
      </c>
      <c r="F480" s="230">
        <f ca="1">IF($B480="UNIDADE CONSTRUTIVA",OFFSET(F480,-1,0)+1,LARGE(F$10:F479,1))</f>
        <v>2</v>
      </c>
      <c r="G480" s="228" t="str">
        <f t="shared" ref="G480:G489" ca="1" si="321">IF(B480="*","",IF(B480="UNIDADE CONSTRUTIVA",S480,OFFSET(G480,-1,0)))</f>
        <v xml:space="preserve">   GERENCIAMENTO EXECUTIVO</v>
      </c>
      <c r="H480" s="230">
        <f t="shared" ca="1" si="292"/>
        <v>4</v>
      </c>
      <c r="I480" s="228" t="str">
        <f t="shared" ref="I480:I489" ca="1" si="322">IF(B480="*","",IF(B480="CÉLULA CONSTRUTIVA",S480,OFFSET(I480,-1,0)))</f>
        <v xml:space="preserve">   SUPRAESTRUTURA</v>
      </c>
      <c r="J480" s="230">
        <f t="shared" ca="1" si="294"/>
        <v>3</v>
      </c>
      <c r="K480" s="228" t="str">
        <f t="shared" ref="K480:K489" ca="1" si="323">IF(B480="*","",IF(B480="ETAPA",S480,OFFSET(K480,-1,0)))</f>
        <v xml:space="preserve">   SUPRAESTRUTURA - 3º  ao 7º PAVIMENTO - TIPO</v>
      </c>
      <c r="L480" s="231">
        <f t="shared" ca="1" si="296"/>
        <v>2</v>
      </c>
      <c r="M480" s="228" t="str">
        <f t="shared" ref="M480:M489" ca="1" si="324">IF(B480="*","",IF(B480="SUBETAPA",S480,OFFSET(M480,-1,0)))</f>
        <v xml:space="preserve">   Forma</v>
      </c>
      <c r="N480" s="231">
        <f t="shared" ca="1" si="298"/>
        <v>7</v>
      </c>
      <c r="O480" s="228" t="str">
        <f t="shared" ref="O480:O489" ca="1" si="325">IF(B480="*","",IF(B480="SERVIÇO",S480,OFFSET(O480,-1,0)))</f>
        <v>Montagem e desmontagem de fôrma para pilares em chapa de madeira compensada plastificada</v>
      </c>
      <c r="P480" s="232" t="str">
        <f>IF(S480="","",IF(Orçamento!$B480="INSUMO",S480,""))</f>
        <v>Arame recozido 12 BWG</v>
      </c>
      <c r="Q480" s="244" t="str">
        <f t="shared" si="300"/>
        <v/>
      </c>
      <c r="R480" s="234">
        <f t="shared" ref="R480:R489" ca="1" si="326">IF(B480="serviço",U480,OFFSET(R480,-1,0))</f>
        <v>460.68899999999985</v>
      </c>
      <c r="S480" s="233" t="s">
        <v>196</v>
      </c>
      <c r="T480" s="242" t="str">
        <f>_xlfn.XLOOKUP(S480,Insumos!$A$3:$A$371,Insumos!$B$3:$B$371)</f>
        <v>KG</v>
      </c>
      <c r="U480" s="235">
        <f ca="1">IF($B480="insumo",R480,"")</f>
        <v>460.68899999999985</v>
      </c>
      <c r="V480" s="320">
        <v>3.5700000000000003E-2</v>
      </c>
      <c r="W480" s="236">
        <f>IFERROR(IF(B480="INSUMO",_xlfn.XLOOKUP(S480,Insumos!A:A,Insumos!C:C),""),"Inserir Preço")</f>
        <v>11.5</v>
      </c>
      <c r="X480" s="235">
        <f ca="1">IF(B480="Complemento do insumo",V480,IF(R480="","",IF(B480="serviço",R480,IF(OR(B480="insumo"),V480*R480,""))))</f>
        <v>16.446597299999997</v>
      </c>
      <c r="Y480" s="236">
        <f t="shared" si="304"/>
        <v>0.41055000000000003</v>
      </c>
      <c r="Z480" s="237">
        <f t="shared" ca="1" si="319"/>
        <v>189.13586894999997</v>
      </c>
      <c r="AA480" s="238"/>
      <c r="AB480" s="233" t="str">
        <f>IF(B480="insumo",_xlfn.XLOOKUP(S480,Insumos!A:A,Insumos!D:D),"")</f>
        <v>Base de Dados</v>
      </c>
      <c r="AC480" s="239">
        <f t="shared" ca="1" si="320"/>
        <v>2.7133264791277198E-5</v>
      </c>
      <c r="AE480" s="240">
        <f ca="1">IFERROR(IF(OR(Z480="",Z480=0),"",IF(AF480="","",IF(AF480="R$/mês",Z480/OBRA!$D$12,IF(AF480="R$/m²",Z480/OBRA!$D$10,IF(AF480="R$/apto",Orçamento!Z480/OBRA!$D$11,""))))),"")</f>
        <v>9.733066541274063E-2</v>
      </c>
      <c r="AF480" s="241" t="s">
        <v>154</v>
      </c>
    </row>
    <row r="481" spans="1:32" s="10" customFormat="1" ht="13.15" hidden="1" customHeight="1" outlineLevel="4" x14ac:dyDescent="0.2">
      <c r="A481" s="227"/>
      <c r="B481" s="228" t="s">
        <v>4</v>
      </c>
      <c r="C481" s="229">
        <f t="shared" si="318"/>
        <v>5</v>
      </c>
      <c r="D481" s="227" t="str">
        <f t="shared" ca="1" si="289"/>
        <v>04.003.002.008</v>
      </c>
      <c r="E481" s="228" t="str">
        <f t="shared" ca="1" si="290"/>
        <v>04.003.002.008</v>
      </c>
      <c r="F481" s="230">
        <f ca="1">IF($B481="UNIDADE CONSTRUTIVA",OFFSET(F481,-1,0)+1,LARGE(F$10:F480,1))</f>
        <v>2</v>
      </c>
      <c r="G481" s="228" t="str">
        <f t="shared" ca="1" si="321"/>
        <v xml:space="preserve">   GERENCIAMENTO EXECUTIVO</v>
      </c>
      <c r="H481" s="230">
        <f t="shared" ca="1" si="292"/>
        <v>4</v>
      </c>
      <c r="I481" s="228" t="str">
        <f t="shared" ca="1" si="322"/>
        <v xml:space="preserve">   SUPRAESTRUTURA</v>
      </c>
      <c r="J481" s="230">
        <f t="shared" ca="1" si="294"/>
        <v>3</v>
      </c>
      <c r="K481" s="228" t="str">
        <f t="shared" ca="1" si="323"/>
        <v xml:space="preserve">   SUPRAESTRUTURA - 3º  ao 7º PAVIMENTO - TIPO</v>
      </c>
      <c r="L481" s="231">
        <f t="shared" ca="1" si="296"/>
        <v>2</v>
      </c>
      <c r="M481" s="228" t="str">
        <f t="shared" ca="1" si="324"/>
        <v xml:space="preserve">   Forma</v>
      </c>
      <c r="N481" s="231">
        <f t="shared" ca="1" si="298"/>
        <v>8</v>
      </c>
      <c r="O481" s="228" t="str">
        <f t="shared" ca="1" si="325"/>
        <v>Montagem e desmontagem de fôrma para vigas em chapa de madeira compensada plastificada</v>
      </c>
      <c r="P481" s="232" t="str">
        <f>IF(S481="","",IF(Orçamento!$B481="INSUMO",S481,""))</f>
        <v/>
      </c>
      <c r="Q481" s="244" t="str">
        <f t="shared" si="300"/>
        <v>Montagem e desmontagem de fôrma para vigas em chapa de madeira compensada plastificada</v>
      </c>
      <c r="R481" s="234">
        <f t="shared" ca="1" si="326"/>
        <v>799.12662485999988</v>
      </c>
      <c r="S481" s="233" t="s">
        <v>198</v>
      </c>
      <c r="T481" s="242" t="s">
        <v>140</v>
      </c>
      <c r="U481" s="235">
        <v>799.12662485999988</v>
      </c>
      <c r="V481" s="320" t="s">
        <v>35</v>
      </c>
      <c r="W481" s="236" t="str">
        <f>IFERROR(IF(B481="INSUMO",_xlfn.XLOOKUP(S481,Insumos!A:A,Insumos!C:C),""),"Inserir Preço")</f>
        <v/>
      </c>
      <c r="X481" s="235">
        <f t="shared" ref="X481:X489" ca="1" si="327">IF(B481="Complemento do insumo",V481,IF(R481="","",IF(B481="serviço",R481,IF(OR(B481="insumo"),V481*R481,""))))</f>
        <v>799.12662485999988</v>
      </c>
      <c r="Y481" s="236">
        <f t="shared" ca="1" si="304"/>
        <v>2.8129500000000003</v>
      </c>
      <c r="Z481" s="237">
        <f t="shared" ca="1" si="319"/>
        <v>2247.9032393999369</v>
      </c>
      <c r="AA481" s="238"/>
      <c r="AB481" s="233" t="str">
        <f>IF(B481="insumo",_xlfn.XLOOKUP(S481,Insumos!A:A,Insumos!D:D),"")</f>
        <v/>
      </c>
      <c r="AC481" s="239">
        <f t="shared" ca="1" si="320"/>
        <v>3.2248221428550071E-4</v>
      </c>
      <c r="AE481" s="240">
        <f ca="1">IFERROR(IF(OR(Z481="",Z481=0),"",IF(AF481="","",IF(AF481="R$/mês",Z481/OBRA!$D$12,IF(AF481="R$/m²",Z481/OBRA!$D$10,IF(AF481="R$/apto",Orçamento!Z481/OBRA!$D$11,""))))),"")</f>
        <v>1.1567870192411278</v>
      </c>
      <c r="AF481" s="241" t="s">
        <v>154</v>
      </c>
    </row>
    <row r="482" spans="1:32" s="10" customFormat="1" ht="13.15" hidden="1" customHeight="1" outlineLevel="4" x14ac:dyDescent="0.2">
      <c r="A482" s="227"/>
      <c r="B482" s="228" t="s">
        <v>19</v>
      </c>
      <c r="C482" s="229">
        <f t="shared" si="318"/>
        <v>29</v>
      </c>
      <c r="D482" s="227" t="str">
        <f t="shared" si="289"/>
        <v/>
      </c>
      <c r="E482" s="228" t="str">
        <f t="shared" ca="1" si="290"/>
        <v>04.003.002.008</v>
      </c>
      <c r="F482" s="230">
        <f ca="1">IF($B482="UNIDADE CONSTRUTIVA",OFFSET(F482,-1,0)+1,LARGE(F$10:F481,1))</f>
        <v>2</v>
      </c>
      <c r="G482" s="228" t="str">
        <f t="shared" ca="1" si="321"/>
        <v xml:space="preserve">   GERENCIAMENTO EXECUTIVO</v>
      </c>
      <c r="H482" s="230">
        <f t="shared" ca="1" si="292"/>
        <v>4</v>
      </c>
      <c r="I482" s="228" t="str">
        <f t="shared" ca="1" si="322"/>
        <v xml:space="preserve">   SUPRAESTRUTURA</v>
      </c>
      <c r="J482" s="230">
        <f t="shared" ca="1" si="294"/>
        <v>3</v>
      </c>
      <c r="K482" s="228" t="str">
        <f t="shared" ca="1" si="323"/>
        <v xml:space="preserve">   SUPRAESTRUTURA - 3º  ao 7º PAVIMENTO - TIPO</v>
      </c>
      <c r="L482" s="231">
        <f t="shared" ca="1" si="296"/>
        <v>2</v>
      </c>
      <c r="M482" s="228" t="str">
        <f t="shared" ca="1" si="324"/>
        <v xml:space="preserve">   Forma</v>
      </c>
      <c r="N482" s="231">
        <f t="shared" ca="1" si="298"/>
        <v>8</v>
      </c>
      <c r="O482" s="228" t="str">
        <f t="shared" ca="1" si="325"/>
        <v>Montagem e desmontagem de fôrma para vigas em chapa de madeira compensada plastificada</v>
      </c>
      <c r="P482" s="232" t="str">
        <f>IF(S482="","",IF(Orçamento!$B482="INSUMO",S482,""))</f>
        <v>DESMOLDANTE</v>
      </c>
      <c r="Q482" s="244" t="str">
        <f t="shared" si="300"/>
        <v/>
      </c>
      <c r="R482" s="234">
        <f t="shared" ca="1" si="326"/>
        <v>799.12662485999988</v>
      </c>
      <c r="S482" s="233" t="s">
        <v>171</v>
      </c>
      <c r="T482" s="242" t="str">
        <f>_xlfn.XLOOKUP(S482,Insumos!$A$3:$A$371,Insumos!$B$3:$B$371)</f>
        <v>L</v>
      </c>
      <c r="U482" s="235">
        <f ca="1">IF($B482="insumo",R482,"")</f>
        <v>799.12662485999988</v>
      </c>
      <c r="V482" s="320">
        <v>0.06</v>
      </c>
      <c r="W482" s="236">
        <f>IFERROR(IF(B482="INSUMO",_xlfn.XLOOKUP(S482,Insumos!A:A,Insumos!C:C),""),"Inserir Preço")</f>
        <v>6.34</v>
      </c>
      <c r="X482" s="235">
        <f t="shared" ca="1" si="327"/>
        <v>47.947597491599993</v>
      </c>
      <c r="Y482" s="236">
        <f t="shared" si="304"/>
        <v>0.38039999999999996</v>
      </c>
      <c r="Z482" s="237">
        <f t="shared" ca="1" si="319"/>
        <v>303.98776809674393</v>
      </c>
      <c r="AA482" s="238"/>
      <c r="AB482" s="233" t="str">
        <f>IF(B482="insumo",_xlfn.XLOOKUP(S482,Insumos!A:A,Insumos!D:D),"")</f>
        <v xml:space="preserve"> </v>
      </c>
      <c r="AC482" s="239">
        <f t="shared" ca="1" si="320"/>
        <v>4.3609816852131904E-5</v>
      </c>
      <c r="AE482" s="240">
        <f ca="1">IFERROR(IF(OR(Z482="",Z482=0),"",IF(AF482="","",IF(AF482="R$/mês",Z482/OBRA!$D$12,IF(AF482="R$/m²",Z482/OBRA!$D$10,IF(AF482="R$/apto",Orçamento!Z482/OBRA!$D$11,""))))),"")</f>
        <v>0.1564342708257612</v>
      </c>
      <c r="AF482" s="241" t="s">
        <v>154</v>
      </c>
    </row>
    <row r="483" spans="1:32" s="10" customFormat="1" ht="13.15" hidden="1" customHeight="1" outlineLevel="4" x14ac:dyDescent="0.2">
      <c r="A483" s="227"/>
      <c r="B483" s="228" t="s">
        <v>19</v>
      </c>
      <c r="C483" s="229">
        <f t="shared" si="318"/>
        <v>44</v>
      </c>
      <c r="D483" s="227" t="str">
        <f t="shared" si="289"/>
        <v/>
      </c>
      <c r="E483" s="228" t="str">
        <f t="shared" ca="1" si="290"/>
        <v>04.003.002.008</v>
      </c>
      <c r="F483" s="230">
        <f ca="1">IF($B483="UNIDADE CONSTRUTIVA",OFFSET(F483,-1,0)+1,LARGE(F$10:F482,1))</f>
        <v>2</v>
      </c>
      <c r="G483" s="228" t="str">
        <f t="shared" ca="1" si="321"/>
        <v xml:space="preserve">   GERENCIAMENTO EXECUTIVO</v>
      </c>
      <c r="H483" s="230">
        <f t="shared" ca="1" si="292"/>
        <v>4</v>
      </c>
      <c r="I483" s="228" t="str">
        <f t="shared" ca="1" si="322"/>
        <v xml:space="preserve">   SUPRAESTRUTURA</v>
      </c>
      <c r="J483" s="230">
        <f t="shared" ca="1" si="294"/>
        <v>3</v>
      </c>
      <c r="K483" s="228" t="str">
        <f t="shared" ca="1" si="323"/>
        <v xml:space="preserve">   SUPRAESTRUTURA - 3º  ao 7º PAVIMENTO - TIPO</v>
      </c>
      <c r="L483" s="231">
        <f t="shared" ca="1" si="296"/>
        <v>2</v>
      </c>
      <c r="M483" s="228" t="str">
        <f t="shared" ca="1" si="324"/>
        <v xml:space="preserve">   Forma</v>
      </c>
      <c r="N483" s="231">
        <f t="shared" ca="1" si="298"/>
        <v>8</v>
      </c>
      <c r="O483" s="228" t="str">
        <f t="shared" ca="1" si="325"/>
        <v>Montagem e desmontagem de fôrma para vigas em chapa de madeira compensada plastificada</v>
      </c>
      <c r="P483" s="232" t="str">
        <f>IF(S483="","",IF(Orçamento!$B483="INSUMO",S483,""))</f>
        <v>PREGO 17 x 21 COM CABECA</v>
      </c>
      <c r="Q483" s="244" t="str">
        <f t="shared" si="300"/>
        <v/>
      </c>
      <c r="R483" s="234">
        <f t="shared" ca="1" si="326"/>
        <v>799.12662485999988</v>
      </c>
      <c r="S483" s="233" t="s">
        <v>173</v>
      </c>
      <c r="T483" s="242" t="str">
        <f>_xlfn.XLOOKUP(S483,Insumos!$A$3:$A$371,Insumos!$B$3:$B$371)</f>
        <v>KG</v>
      </c>
      <c r="U483" s="235">
        <f ca="1">IF($B483="insumo",R483,"")</f>
        <v>799.12662485999988</v>
      </c>
      <c r="V483" s="320">
        <v>0.155</v>
      </c>
      <c r="W483" s="236">
        <f>IFERROR(IF(B483="INSUMO",_xlfn.XLOOKUP(S483,Insumos!A:A,Insumos!C:C),""),"Inserir Preço")</f>
        <v>13</v>
      </c>
      <c r="X483" s="235">
        <f t="shared" ca="1" si="327"/>
        <v>123.86462685329998</v>
      </c>
      <c r="Y483" s="236">
        <f t="shared" si="304"/>
        <v>2.0150000000000001</v>
      </c>
      <c r="Z483" s="237">
        <f t="shared" ca="1" si="319"/>
        <v>1610.2401490928999</v>
      </c>
      <c r="AA483" s="238"/>
      <c r="AB483" s="233" t="str">
        <f>IF(B483="insumo",_xlfn.XLOOKUP(S483,Insumos!A:A,Insumos!D:D),"")</f>
        <v xml:space="preserve"> </v>
      </c>
      <c r="AC483" s="239">
        <f t="shared" ca="1" si="320"/>
        <v>2.3100363027614564E-4</v>
      </c>
      <c r="AE483" s="240">
        <f ca="1">IFERROR(IF(OR(Z483="",Z483=0),"",IF(AF483="","",IF(AF483="R$/mês",Z483/OBRA!$D$12,IF(AF483="R$/m²",Z483/OBRA!$D$10,IF(AF483="R$/apto",Orçamento!Z483/OBRA!$D$11,""))))),"")</f>
        <v>0.82864105077263106</v>
      </c>
      <c r="AF483" s="241" t="s">
        <v>154</v>
      </c>
    </row>
    <row r="484" spans="1:32" s="10" customFormat="1" ht="13.15" hidden="1" customHeight="1" outlineLevel="4" x14ac:dyDescent="0.2">
      <c r="A484" s="227"/>
      <c r="B484" s="228" t="s">
        <v>19</v>
      </c>
      <c r="C484" s="229">
        <f t="shared" si="318"/>
        <v>26</v>
      </c>
      <c r="D484" s="227" t="str">
        <f t="shared" ref="D484:D489" si="328">IF(B484="Unidade Construtiva",TEXT(F484,"00"),IF(B484="Célula Construtiva",TEXT(H484,"00"),IF(B484="Etapa",CONCATENATE(TEXT(H484,"00"),".",TEXT(J484,"000")),IF(B484="Subetapa",CONCATENATE(TEXT(H484,"00"),".",TEXT(J484,"000"),".",TEXT(L484,"000")),IF(B484="Serviço",CONCATENATE(TEXT(H484,"00"),".",TEXT(J484,"000"),".",TEXT(L484,"000"),".",TEXT(N484,"000")),"")))))</f>
        <v/>
      </c>
      <c r="E484" s="228" t="str">
        <f t="shared" ref="E484:E489" ca="1" si="329">IF(B484="*","",IFERROR(IF(B484="SERVIÇO",D484,OFFSET(E484,-1,0)),""))</f>
        <v>04.003.002.008</v>
      </c>
      <c r="F484" s="230">
        <f ca="1">IF($B484="UNIDADE CONSTRUTIVA",OFFSET(F484,-1,0)+1,LARGE(F$10:F483,1))</f>
        <v>2</v>
      </c>
      <c r="G484" s="228" t="str">
        <f t="shared" ca="1" si="321"/>
        <v xml:space="preserve">   GERENCIAMENTO EXECUTIVO</v>
      </c>
      <c r="H484" s="230">
        <f t="shared" ref="H484:H489" ca="1" si="330">IF(B484="UNIDADE CONSTRUTIVA",0,IF(B484="CÉLULA CONSTRUTIVA",OFFSET(H484,-1,0)+1,OFFSET(H484,-1,0)))</f>
        <v>4</v>
      </c>
      <c r="I484" s="228" t="str">
        <f t="shared" ca="1" si="322"/>
        <v xml:space="preserve">   SUPRAESTRUTURA</v>
      </c>
      <c r="J484" s="230">
        <f t="shared" ref="J484:J489" ca="1" si="331">IF(B484="CÉLULA CONSTRUTIVA",0,IF(B484="ETAPA",OFFSET(J484,-1,0)+1,OFFSET(J484,-1,0)))</f>
        <v>3</v>
      </c>
      <c r="K484" s="228" t="str">
        <f t="shared" ca="1" si="323"/>
        <v xml:space="preserve">   SUPRAESTRUTURA - 3º  ao 7º PAVIMENTO - TIPO</v>
      </c>
      <c r="L484" s="231">
        <f t="shared" ref="L484:L489" ca="1" si="332">IF(B484="ETAPA",0,IF(B484="SUBETAPA",OFFSET(L484,-1,0)+1,OFFSET(L484,-1,0)))</f>
        <v>2</v>
      </c>
      <c r="M484" s="228" t="str">
        <f t="shared" ca="1" si="324"/>
        <v xml:space="preserve">   Forma</v>
      </c>
      <c r="N484" s="231">
        <f t="shared" ref="N484:N489" ca="1" si="333">IF(B484="Subetapa",0,IF(B484="serviço",OFFSET(N484,-1,0)+1,OFFSET(N484,-1,0)))</f>
        <v>8</v>
      </c>
      <c r="O484" s="228" t="str">
        <f t="shared" ca="1" si="325"/>
        <v>Montagem e desmontagem de fôrma para vigas em chapa de madeira compensada plastificada</v>
      </c>
      <c r="P484" s="232" t="str">
        <f>IF(S484="","",IF(Orçamento!$B484="INSUMO",S484,""))</f>
        <v>MADEIRA PINUS/SIMILAR - PONTALETE 75X75MM NBR 11700/15696</v>
      </c>
      <c r="Q484" s="244" t="str">
        <f t="shared" si="300"/>
        <v/>
      </c>
      <c r="R484" s="234">
        <f t="shared" ca="1" si="326"/>
        <v>799.12662485999988</v>
      </c>
      <c r="S484" s="233" t="s">
        <v>807</v>
      </c>
      <c r="T484" s="242" t="str">
        <f>_xlfn.XLOOKUP(S484,Insumos!$A$3:$A$371,Insumos!$B$3:$B$371)</f>
        <v>M</v>
      </c>
      <c r="U484" s="235">
        <f ca="1">IF($B484="insumo",R484,"")</f>
        <v>799.12662485999988</v>
      </c>
      <c r="V484" s="320">
        <v>1E-3</v>
      </c>
      <c r="W484" s="236">
        <f>IFERROR(IF(B484="INSUMO",_xlfn.XLOOKUP(S484,Insumos!A:A,Insumos!C:C),""),"Inserir Preço")</f>
        <v>7</v>
      </c>
      <c r="X484" s="235">
        <f t="shared" ca="1" si="327"/>
        <v>0.79912662485999986</v>
      </c>
      <c r="Y484" s="236">
        <f t="shared" si="304"/>
        <v>7.0000000000000001E-3</v>
      </c>
      <c r="Z484" s="237">
        <f t="shared" ca="1" si="319"/>
        <v>5.5938863740199993</v>
      </c>
      <c r="AA484" s="238"/>
      <c r="AB484" s="233" t="str">
        <f>IF(B484="insumo",_xlfn.XLOOKUP(S484,Insumos!A:A,Insumos!D:D),"")</f>
        <v xml:space="preserve"> </v>
      </c>
      <c r="AC484" s="239">
        <f t="shared" ca="1" si="320"/>
        <v>8.0249400095931488E-7</v>
      </c>
      <c r="AE484" s="240">
        <f ca="1">IFERROR(IF(OR(Z484="",Z484=0),"",IF(AF484="","",IF(AF484="R$/mês",Z484/OBRA!$D$12,IF(AF484="R$/m²",Z484/OBRA!$D$10,IF(AF484="R$/apto",Orçamento!Z484/OBRA!$D$11,""))))),"")</f>
        <v>2.8786537743962369E-3</v>
      </c>
      <c r="AF484" s="241" t="s">
        <v>154</v>
      </c>
    </row>
    <row r="485" spans="1:32" s="10" customFormat="1" ht="13.15" hidden="1" customHeight="1" outlineLevel="4" x14ac:dyDescent="0.2">
      <c r="A485" s="227"/>
      <c r="B485" s="228" t="s">
        <v>19</v>
      </c>
      <c r="C485" s="229">
        <f t="shared" si="318"/>
        <v>20</v>
      </c>
      <c r="D485" s="227" t="str">
        <f t="shared" si="328"/>
        <v/>
      </c>
      <c r="E485" s="228" t="str">
        <f t="shared" ca="1" si="329"/>
        <v>04.003.002.008</v>
      </c>
      <c r="F485" s="230">
        <f ca="1">IF($B485="UNIDADE CONSTRUTIVA",OFFSET(F485,-1,0)+1,LARGE(F$10:F484,1))</f>
        <v>2</v>
      </c>
      <c r="G485" s="228" t="str">
        <f t="shared" ca="1" si="321"/>
        <v xml:space="preserve">   GERENCIAMENTO EXECUTIVO</v>
      </c>
      <c r="H485" s="230">
        <f t="shared" ca="1" si="330"/>
        <v>4</v>
      </c>
      <c r="I485" s="228" t="str">
        <f t="shared" ca="1" si="322"/>
        <v xml:space="preserve">   SUPRAESTRUTURA</v>
      </c>
      <c r="J485" s="230">
        <f t="shared" ca="1" si="331"/>
        <v>3</v>
      </c>
      <c r="K485" s="228" t="str">
        <f t="shared" ca="1" si="323"/>
        <v xml:space="preserve">   SUPRAESTRUTURA - 3º  ao 7º PAVIMENTO - TIPO</v>
      </c>
      <c r="L485" s="231">
        <f t="shared" ca="1" si="332"/>
        <v>2</v>
      </c>
      <c r="M485" s="228" t="str">
        <f t="shared" ca="1" si="324"/>
        <v xml:space="preserve">   Forma</v>
      </c>
      <c r="N485" s="231">
        <f t="shared" ca="1" si="333"/>
        <v>8</v>
      </c>
      <c r="O485" s="228" t="str">
        <f t="shared" ca="1" si="325"/>
        <v>Montagem e desmontagem de fôrma para vigas em chapa de madeira compensada plastificada</v>
      </c>
      <c r="P485" s="232" t="str">
        <f>IF(S485="","",IF(Orçamento!$B485="INSUMO",S485,""))</f>
        <v>Arame recozido 12 BWG</v>
      </c>
      <c r="Q485" s="244" t="str">
        <f>IF(B485="","",IF(B485="Serviço",S485,""))</f>
        <v/>
      </c>
      <c r="R485" s="234">
        <f t="shared" ca="1" si="326"/>
        <v>799.12662485999988</v>
      </c>
      <c r="S485" s="233" t="s">
        <v>196</v>
      </c>
      <c r="T485" s="242" t="str">
        <f>_xlfn.XLOOKUP(S485,Insumos!$A$3:$A$371,Insumos!$B$3:$B$371)</f>
        <v>KG</v>
      </c>
      <c r="U485" s="235">
        <f ca="1">IF($B485="insumo",R485,"")</f>
        <v>799.12662485999988</v>
      </c>
      <c r="V485" s="320">
        <v>3.5700000000000003E-2</v>
      </c>
      <c r="W485" s="236">
        <f>IFERROR(IF(B485="INSUMO",_xlfn.XLOOKUP(S485,Insumos!A:A,Insumos!C:C),""),"Inserir Preço")</f>
        <v>11.5</v>
      </c>
      <c r="X485" s="235">
        <f t="shared" ca="1" si="327"/>
        <v>28.528820507501997</v>
      </c>
      <c r="Y485" s="236">
        <f t="shared" si="304"/>
        <v>0.41055000000000003</v>
      </c>
      <c r="Z485" s="237">
        <f t="shared" ca="1" si="319"/>
        <v>328.08143583627299</v>
      </c>
      <c r="AA485" s="238"/>
      <c r="AB485" s="233" t="str">
        <f>IF(B485="insumo",_xlfn.XLOOKUP(S485,Insumos!A:A,Insumos!D:D),"")</f>
        <v>Base de Dados</v>
      </c>
      <c r="AC485" s="239">
        <f t="shared" ca="1" si="320"/>
        <v>4.7066273156263823E-5</v>
      </c>
      <c r="AE485" s="240">
        <f ca="1">IFERROR(IF(OR(Z485="",Z485=0),"",IF(AF485="","",IF(AF485="R$/mês",Z485/OBRA!$D$12,IF(AF485="R$/m²",Z485/OBRA!$D$10,IF(AF485="R$/apto",Orçamento!Z485/OBRA!$D$11,""))))),"")</f>
        <v>0.16883304386833931</v>
      </c>
      <c r="AF485" s="241" t="s">
        <v>154</v>
      </c>
    </row>
    <row r="486" spans="1:32" s="10" customFormat="1" ht="13.15" hidden="1" customHeight="1" outlineLevel="4" x14ac:dyDescent="0.2">
      <c r="A486" s="227"/>
      <c r="B486" s="228" t="s">
        <v>4</v>
      </c>
      <c r="C486" s="229">
        <f t="shared" si="318"/>
        <v>5</v>
      </c>
      <c r="D486" s="227" t="str">
        <f t="shared" ca="1" si="328"/>
        <v>04.003.002.009</v>
      </c>
      <c r="E486" s="228" t="str">
        <f t="shared" ca="1" si="329"/>
        <v>04.003.002.009</v>
      </c>
      <c r="F486" s="230">
        <f ca="1">IF($B486="UNIDADE CONSTRUTIVA",OFFSET(F486,-1,0)+1,LARGE(F$10:F485,1))</f>
        <v>2</v>
      </c>
      <c r="G486" s="228" t="str">
        <f t="shared" ca="1" si="321"/>
        <v xml:space="preserve">   GERENCIAMENTO EXECUTIVO</v>
      </c>
      <c r="H486" s="230">
        <f t="shared" ca="1" si="330"/>
        <v>4</v>
      </c>
      <c r="I486" s="228" t="str">
        <f t="shared" ca="1" si="322"/>
        <v xml:space="preserve">   SUPRAESTRUTURA</v>
      </c>
      <c r="J486" s="230">
        <f t="shared" ca="1" si="331"/>
        <v>3</v>
      </c>
      <c r="K486" s="228" t="str">
        <f t="shared" ca="1" si="323"/>
        <v xml:space="preserve">   SUPRAESTRUTURA - 3º  ao 7º PAVIMENTO - TIPO</v>
      </c>
      <c r="L486" s="231">
        <f t="shared" ca="1" si="332"/>
        <v>2</v>
      </c>
      <c r="M486" s="228" t="str">
        <f t="shared" ca="1" si="324"/>
        <v xml:space="preserve">   Forma</v>
      </c>
      <c r="N486" s="231">
        <f t="shared" ca="1" si="333"/>
        <v>9</v>
      </c>
      <c r="O486" s="228" t="str">
        <f t="shared" ca="1" si="325"/>
        <v>Montagem de fôrma para escadarias em chapa de madeira compensada plastificada e=14 mm - 2 jogos</v>
      </c>
      <c r="P486" s="232" t="str">
        <f>IF(S486="","",IF(Orçamento!$B486="INSUMO",S486,""))</f>
        <v/>
      </c>
      <c r="Q486" s="244" t="str">
        <f>IF(B486="","",IF(B486="Serviço",S486,""))</f>
        <v>Montagem de fôrma para escadarias em chapa de madeira compensada plastificada e=14 mm - 2 jogos</v>
      </c>
      <c r="R486" s="234">
        <f t="shared" ca="1" si="326"/>
        <v>100.29300000000001</v>
      </c>
      <c r="S486" s="233" t="s">
        <v>199</v>
      </c>
      <c r="T486" s="242" t="s">
        <v>140</v>
      </c>
      <c r="U486" s="235">
        <v>100.29300000000001</v>
      </c>
      <c r="V486" s="320" t="s">
        <v>35</v>
      </c>
      <c r="W486" s="236" t="str">
        <f>IFERROR(IF(B486="INSUMO",_xlfn.XLOOKUP(S486,Insumos!A:A,Insumos!C:C),""),"Inserir Preço")</f>
        <v/>
      </c>
      <c r="X486" s="235">
        <f t="shared" ca="1" si="327"/>
        <v>100.29300000000001</v>
      </c>
      <c r="Y486" s="236">
        <f t="shared" ca="1" si="304"/>
        <v>1.6489499999999999</v>
      </c>
      <c r="Z486" s="237">
        <f t="shared" ca="1" si="319"/>
        <v>165.37814234999999</v>
      </c>
      <c r="AA486" s="238"/>
      <c r="AB486" s="233" t="str">
        <f>IF(B486="insumo",_xlfn.XLOOKUP(S486,Insumos!A:A,Insumos!D:D),"")</f>
        <v/>
      </c>
      <c r="AC486" s="239">
        <f t="shared" ca="1" si="320"/>
        <v>2.3725002306454805E-5</v>
      </c>
      <c r="AE486" s="240">
        <f ca="1">IFERROR(IF(OR(Z486="",Z486=0),"",IF(AF486="","",IF(AF486="R$/mês",Z486/OBRA!$D$12,IF(AF486="R$/m²",Z486/OBRA!$D$10,IF(AF486="R$/apto",Orçamento!Z486/OBRA!$D$11,""))))),"")</f>
        <v>8.5104770073537353E-2</v>
      </c>
      <c r="AF486" s="241" t="s">
        <v>154</v>
      </c>
    </row>
    <row r="487" spans="1:32" s="10" customFormat="1" ht="13.15" hidden="1" customHeight="1" outlineLevel="4" x14ac:dyDescent="0.2">
      <c r="A487" s="227"/>
      <c r="B487" s="228" t="s">
        <v>19</v>
      </c>
      <c r="C487" s="229">
        <f t="shared" si="318"/>
        <v>29</v>
      </c>
      <c r="D487" s="227" t="str">
        <f t="shared" si="328"/>
        <v/>
      </c>
      <c r="E487" s="228" t="str">
        <f t="shared" ca="1" si="329"/>
        <v>04.003.002.009</v>
      </c>
      <c r="F487" s="230">
        <f ca="1">IF($B487="UNIDADE CONSTRUTIVA",OFFSET(F487,-1,0)+1,LARGE(F$10:F486,1))</f>
        <v>2</v>
      </c>
      <c r="G487" s="228" t="str">
        <f t="shared" ca="1" si="321"/>
        <v xml:space="preserve">   GERENCIAMENTO EXECUTIVO</v>
      </c>
      <c r="H487" s="230">
        <f t="shared" ca="1" si="330"/>
        <v>4</v>
      </c>
      <c r="I487" s="228" t="str">
        <f t="shared" ca="1" si="322"/>
        <v xml:space="preserve">   SUPRAESTRUTURA</v>
      </c>
      <c r="J487" s="230">
        <f t="shared" ca="1" si="331"/>
        <v>3</v>
      </c>
      <c r="K487" s="228" t="str">
        <f t="shared" ca="1" si="323"/>
        <v xml:space="preserve">   SUPRAESTRUTURA - 3º  ao 7º PAVIMENTO - TIPO</v>
      </c>
      <c r="L487" s="231">
        <f t="shared" ca="1" si="332"/>
        <v>2</v>
      </c>
      <c r="M487" s="228" t="str">
        <f t="shared" ca="1" si="324"/>
        <v xml:space="preserve">   Forma</v>
      </c>
      <c r="N487" s="231">
        <f t="shared" ca="1" si="333"/>
        <v>9</v>
      </c>
      <c r="O487" s="228" t="str">
        <f t="shared" ca="1" si="325"/>
        <v>Montagem de fôrma para escadarias em chapa de madeira compensada plastificada e=14 mm - 2 jogos</v>
      </c>
      <c r="P487" s="232" t="str">
        <f>IF(S487="","",IF(Orçamento!$B487="INSUMO",S487,""))</f>
        <v>DESMOLDANTE</v>
      </c>
      <c r="Q487" s="244" t="str">
        <f>IF(B487="","",IF(B487="Serviço",S487,""))</f>
        <v/>
      </c>
      <c r="R487" s="234">
        <f t="shared" ca="1" si="326"/>
        <v>100.29300000000001</v>
      </c>
      <c r="S487" s="233" t="s">
        <v>171</v>
      </c>
      <c r="T487" s="242" t="str">
        <f>_xlfn.XLOOKUP(S487,Insumos!$A$3:$A$371,Insumos!$B$3:$B$371)</f>
        <v>L</v>
      </c>
      <c r="U487" s="235">
        <f ca="1">IF($B487="insumo",R487,"")</f>
        <v>100.29300000000001</v>
      </c>
      <c r="V487" s="320">
        <v>0.06</v>
      </c>
      <c r="W487" s="236">
        <f>IFERROR(IF(B487="INSUMO",_xlfn.XLOOKUP(S487,Insumos!A:A,Insumos!C:C),""),"Inserir Preço")</f>
        <v>6.34</v>
      </c>
      <c r="X487" s="235">
        <f t="shared" ca="1" si="327"/>
        <v>6.0175800000000006</v>
      </c>
      <c r="Y487" s="236">
        <f t="shared" si="304"/>
        <v>0.38039999999999996</v>
      </c>
      <c r="Z487" s="237">
        <f t="shared" ca="1" si="319"/>
        <v>38.151457200000003</v>
      </c>
      <c r="AA487" s="238"/>
      <c r="AB487" s="233" t="str">
        <f>IF(B487="insumo",_xlfn.XLOOKUP(S487,Insumos!A:A,Insumos!D:D),"")</f>
        <v xml:space="preserve"> </v>
      </c>
      <c r="AC487" s="239">
        <f t="shared" ca="1" si="320"/>
        <v>5.473174369978113E-6</v>
      </c>
      <c r="AE487" s="240">
        <f ca="1">IFERROR(IF(OR(Z487="",Z487=0),"",IF(AF487="","",IF(AF487="R$/mês",Z487/OBRA!$D$12,IF(AF487="R$/m²",Z487/OBRA!$D$10,IF(AF487="R$/apto",Orçamento!Z487/OBRA!$D$11,""))))),"")</f>
        <v>1.9633011635267057E-2</v>
      </c>
      <c r="AF487" s="241" t="s">
        <v>154</v>
      </c>
    </row>
    <row r="488" spans="1:32" s="10" customFormat="1" ht="13.15" hidden="1" customHeight="1" outlineLevel="4" x14ac:dyDescent="0.2">
      <c r="A488" s="227"/>
      <c r="B488" s="228" t="s">
        <v>19</v>
      </c>
      <c r="C488" s="229">
        <f t="shared" si="318"/>
        <v>44</v>
      </c>
      <c r="D488" s="227" t="str">
        <f t="shared" si="328"/>
        <v/>
      </c>
      <c r="E488" s="228" t="str">
        <f t="shared" ca="1" si="329"/>
        <v>04.003.002.009</v>
      </c>
      <c r="F488" s="230">
        <f ca="1">IF($B488="UNIDADE CONSTRUTIVA",OFFSET(F488,-1,0)+1,LARGE(F$10:F487,1))</f>
        <v>2</v>
      </c>
      <c r="G488" s="228" t="str">
        <f t="shared" ca="1" si="321"/>
        <v xml:space="preserve">   GERENCIAMENTO EXECUTIVO</v>
      </c>
      <c r="H488" s="230">
        <f t="shared" ca="1" si="330"/>
        <v>4</v>
      </c>
      <c r="I488" s="228" t="str">
        <f t="shared" ca="1" si="322"/>
        <v xml:space="preserve">   SUPRAESTRUTURA</v>
      </c>
      <c r="J488" s="230">
        <f t="shared" ca="1" si="331"/>
        <v>3</v>
      </c>
      <c r="K488" s="228" t="str">
        <f t="shared" ca="1" si="323"/>
        <v xml:space="preserve">   SUPRAESTRUTURA - 3º  ao 7º PAVIMENTO - TIPO</v>
      </c>
      <c r="L488" s="231">
        <f t="shared" ca="1" si="332"/>
        <v>2</v>
      </c>
      <c r="M488" s="228" t="str">
        <f t="shared" ca="1" si="324"/>
        <v xml:space="preserve">   Forma</v>
      </c>
      <c r="N488" s="231">
        <f t="shared" ca="1" si="333"/>
        <v>9</v>
      </c>
      <c r="O488" s="228" t="str">
        <f t="shared" ca="1" si="325"/>
        <v>Montagem de fôrma para escadarias em chapa de madeira compensada plastificada e=14 mm - 2 jogos</v>
      </c>
      <c r="P488" s="232" t="str">
        <f>IF(S488="","",IF(Orçamento!$B488="INSUMO",S488,""))</f>
        <v>PREGO 17 x 21 COM CABECA</v>
      </c>
      <c r="Q488" s="244" t="str">
        <f>IF(B488="","",IF(B488="Serviço",S488,""))</f>
        <v/>
      </c>
      <c r="R488" s="234">
        <f t="shared" ca="1" si="326"/>
        <v>100.29300000000001</v>
      </c>
      <c r="S488" s="233" t="s">
        <v>173</v>
      </c>
      <c r="T488" s="242" t="str">
        <f>_xlfn.XLOOKUP(S488,Insumos!$A$3:$A$371,Insumos!$B$3:$B$371)</f>
        <v>KG</v>
      </c>
      <c r="U488" s="235">
        <f ca="1">IF($B488="insumo",R488,"")</f>
        <v>100.29300000000001</v>
      </c>
      <c r="V488" s="320">
        <v>6.6000000000000003E-2</v>
      </c>
      <c r="W488" s="236">
        <f>IFERROR(IF(B488="INSUMO",_xlfn.XLOOKUP(S488,Insumos!A:A,Insumos!C:C),""),"Inserir Preço")</f>
        <v>13</v>
      </c>
      <c r="X488" s="235">
        <f t="shared" ca="1" si="327"/>
        <v>6.6193380000000008</v>
      </c>
      <c r="Y488" s="236">
        <f t="shared" ref="Y488:Y551" si="334">IF(B488="insumo",W488*V488,IF(B488="serviço",SUMIFS(Y:Y,B:B,"insumo",E:E,E488,I:I,I488),""))</f>
        <v>0.8580000000000001</v>
      </c>
      <c r="Z488" s="237">
        <f t="shared" ca="1" si="319"/>
        <v>86.051394000000016</v>
      </c>
      <c r="AA488" s="238"/>
      <c r="AB488" s="233" t="str">
        <f>IF(B488="insumo",_xlfn.XLOOKUP(S488,Insumos!A:A,Insumos!D:D),"")</f>
        <v xml:space="preserve"> </v>
      </c>
      <c r="AC488" s="239">
        <f t="shared" ca="1" si="320"/>
        <v>1.2344857017458521E-5</v>
      </c>
      <c r="AE488" s="240">
        <f ca="1">IFERROR(IF(OR(Z488="",Z488=0),"",IF(AF488="","",IF(AF488="R$/mês",Z488/OBRA!$D$12,IF(AF488="R$/m²",Z488/OBRA!$D$10,IF(AF488="R$/apto",Orçamento!Z488/OBRA!$D$11,""))))),"")</f>
        <v>4.4282660312984057E-2</v>
      </c>
      <c r="AF488" s="241" t="s">
        <v>154</v>
      </c>
    </row>
    <row r="489" spans="1:32" s="10" customFormat="1" ht="13.15" hidden="1" customHeight="1" outlineLevel="4" x14ac:dyDescent="0.2">
      <c r="A489" s="227"/>
      <c r="B489" s="228" t="s">
        <v>19</v>
      </c>
      <c r="C489" s="229">
        <f t="shared" si="318"/>
        <v>20</v>
      </c>
      <c r="D489" s="227" t="str">
        <f t="shared" si="328"/>
        <v/>
      </c>
      <c r="E489" s="228" t="str">
        <f t="shared" ca="1" si="329"/>
        <v>04.003.002.009</v>
      </c>
      <c r="F489" s="230">
        <f ca="1">IF($B489="UNIDADE CONSTRUTIVA",OFFSET(F489,-1,0)+1,LARGE(F$10:F488,1))</f>
        <v>2</v>
      </c>
      <c r="G489" s="228" t="str">
        <f t="shared" ca="1" si="321"/>
        <v xml:space="preserve">   GERENCIAMENTO EXECUTIVO</v>
      </c>
      <c r="H489" s="230">
        <f t="shared" ca="1" si="330"/>
        <v>4</v>
      </c>
      <c r="I489" s="228" t="str">
        <f t="shared" ca="1" si="322"/>
        <v xml:space="preserve">   SUPRAESTRUTURA</v>
      </c>
      <c r="J489" s="230">
        <f t="shared" ca="1" si="331"/>
        <v>3</v>
      </c>
      <c r="K489" s="228" t="str">
        <f t="shared" ca="1" si="323"/>
        <v xml:space="preserve">   SUPRAESTRUTURA - 3º  ao 7º PAVIMENTO - TIPO</v>
      </c>
      <c r="L489" s="231">
        <f t="shared" ca="1" si="332"/>
        <v>2</v>
      </c>
      <c r="M489" s="228" t="str">
        <f t="shared" ca="1" si="324"/>
        <v xml:space="preserve">   Forma</v>
      </c>
      <c r="N489" s="231">
        <f t="shared" ca="1" si="333"/>
        <v>9</v>
      </c>
      <c r="O489" s="228" t="str">
        <f t="shared" ca="1" si="325"/>
        <v>Montagem de fôrma para escadarias em chapa de madeira compensada plastificada e=14 mm - 2 jogos</v>
      </c>
      <c r="P489" s="232" t="str">
        <f>IF(S489="","",IF(Orçamento!$B489="INSUMO",S489,""))</f>
        <v>Arame recozido 12 BWG</v>
      </c>
      <c r="Q489" s="244" t="str">
        <f>IF(B489="","",IF(B489="Serviço",S489,""))</f>
        <v/>
      </c>
      <c r="R489" s="234">
        <f t="shared" ca="1" si="326"/>
        <v>100.29300000000001</v>
      </c>
      <c r="S489" s="233" t="s">
        <v>196</v>
      </c>
      <c r="T489" s="242" t="str">
        <f>_xlfn.XLOOKUP(S489,Insumos!$A$3:$A$371,Insumos!$B$3:$B$371)</f>
        <v>KG</v>
      </c>
      <c r="U489" s="235">
        <f ca="1">IF($B489="insumo",R489,"")</f>
        <v>100.29300000000001</v>
      </c>
      <c r="V489" s="320">
        <v>3.5700000000000003E-2</v>
      </c>
      <c r="W489" s="236">
        <f>IFERROR(IF(B489="INSUMO",_xlfn.XLOOKUP(S489,Insumos!A:A,Insumos!C:C),""),"Inserir Preço")</f>
        <v>11.5</v>
      </c>
      <c r="X489" s="235">
        <f t="shared" ca="1" si="327"/>
        <v>3.5804601000000007</v>
      </c>
      <c r="Y489" s="236">
        <f t="shared" si="334"/>
        <v>0.41055000000000003</v>
      </c>
      <c r="Z489" s="237">
        <f t="shared" ca="1" si="319"/>
        <v>41.175291150000007</v>
      </c>
      <c r="AA489" s="238"/>
      <c r="AB489" s="233" t="str">
        <f>IF(B489="insumo",_xlfn.XLOOKUP(S489,Insumos!A:A,Insumos!D:D),"")</f>
        <v>Base de Dados</v>
      </c>
      <c r="AC489" s="239">
        <f t="shared" ca="1" si="320"/>
        <v>5.9069709190181769E-6</v>
      </c>
      <c r="AE489" s="240">
        <f ca="1">IFERROR(IF(OR(Z489="",Z489=0),"",IF(AF489="","",IF(AF489="R$/mês",Z489/OBRA!$D$12,IF(AF489="R$/m²",Z489/OBRA!$D$10,IF(AF489="R$/apto",Orçamento!Z489/OBRA!$D$11,""))))),"")</f>
        <v>2.1189098125286254E-2</v>
      </c>
      <c r="AF489" s="241" t="s">
        <v>154</v>
      </c>
    </row>
    <row r="490" spans="1:32" s="10" customFormat="1" ht="13.15" hidden="1" customHeight="1" outlineLevel="3" collapsed="1" x14ac:dyDescent="0.2">
      <c r="A490" s="227"/>
      <c r="B490" s="228" t="s">
        <v>3</v>
      </c>
      <c r="C490" s="229" t="str">
        <f t="shared" si="318"/>
        <v/>
      </c>
      <c r="D490" s="227" t="str">
        <f t="shared" ref="D490:D497" ca="1" si="335">IF(B490="Unidade Construtiva",TEXT(F490,"00"),IF(B490="Célula Construtiva",TEXT(H490,"00"),IF(B490="Etapa",CONCATENATE(TEXT(H490,"00"),".",TEXT(J490,"000")),IF(B490="Subetapa",CONCATENATE(TEXT(H490,"00"),".",TEXT(J490,"000"),".",TEXT(L490,"000")),IF(B490="Serviço",CONCATENATE(TEXT(H490,"00"),".",TEXT(J490,"000"),".",TEXT(L490,"000"),".",TEXT(N490,"000")),"")))))</f>
        <v>04.003.003</v>
      </c>
      <c r="E490" s="228" t="str">
        <f t="shared" ref="E490:E497" ca="1" si="336">IF(B490="*","",IFERROR(IF(B490="SERVIÇO",D490,OFFSET(E490,-1,0)),""))</f>
        <v>04.003.002.009</v>
      </c>
      <c r="F490" s="230">
        <f ca="1">IF($B490="UNIDADE CONSTRUTIVA",OFFSET(F490,-1,0)+1,LARGE(F$10:F489,1))</f>
        <v>2</v>
      </c>
      <c r="G490" s="228" t="str">
        <f t="shared" ref="G490:G497" ca="1" si="337">IF(B490="*","",IF(B490="UNIDADE CONSTRUTIVA",S490,OFFSET(G490,-1,0)))</f>
        <v xml:space="preserve">   GERENCIAMENTO EXECUTIVO</v>
      </c>
      <c r="H490" s="230">
        <f t="shared" ref="H490:H497" ca="1" si="338">IF(B490="UNIDADE CONSTRUTIVA",0,IF(B490="CÉLULA CONSTRUTIVA",OFFSET(H490,-1,0)+1,OFFSET(H490,-1,0)))</f>
        <v>4</v>
      </c>
      <c r="I490" s="228" t="str">
        <f t="shared" ref="I490:I497" ca="1" si="339">IF(B490="*","",IF(B490="CÉLULA CONSTRUTIVA",S490,OFFSET(I490,-1,0)))</f>
        <v xml:space="preserve">   SUPRAESTRUTURA</v>
      </c>
      <c r="J490" s="230">
        <f t="shared" ref="J490:J497" ca="1" si="340">IF(B490="CÉLULA CONSTRUTIVA",0,IF(B490="ETAPA",OFFSET(J490,-1,0)+1,OFFSET(J490,-1,0)))</f>
        <v>3</v>
      </c>
      <c r="K490" s="228" t="str">
        <f t="shared" ref="K490:K497" ca="1" si="341">IF(B490="*","",IF(B490="ETAPA",S490,OFFSET(K490,-1,0)))</f>
        <v xml:space="preserve">   SUPRAESTRUTURA - 3º  ao 7º PAVIMENTO - TIPO</v>
      </c>
      <c r="L490" s="231">
        <f t="shared" ref="L490:L497" ca="1" si="342">IF(B490="ETAPA",0,IF(B490="SUBETAPA",OFFSET(L490,-1,0)+1,OFFSET(L490,-1,0)))</f>
        <v>3</v>
      </c>
      <c r="M490" s="228" t="str">
        <f t="shared" ref="M490:M497" ca="1" si="343">IF(B490="*","",IF(B490="SUBETAPA",S490,OFFSET(M490,-1,0)))</f>
        <v xml:space="preserve">   Concreto</v>
      </c>
      <c r="N490" s="231">
        <f t="shared" ref="N490:N497" ca="1" si="344">IF(B490="Subetapa",0,IF(B490="serviço",OFFSET(N490,-1,0)+1,OFFSET(N490,-1,0)))</f>
        <v>0</v>
      </c>
      <c r="O490" s="228" t="str">
        <f t="shared" ref="O490:O497" ca="1" si="345">IF(B490="*","",IF(B490="SERVIÇO",S490,OFFSET(O490,-1,0)))</f>
        <v>Montagem de fôrma para escadarias em chapa de madeira compensada plastificada e=14 mm - 2 jogos</v>
      </c>
      <c r="P490" s="232" t="str">
        <f>IF(S490="","",IF(Orçamento!$B490="INSUMO",S490,""))</f>
        <v/>
      </c>
      <c r="Q490" s="244" t="str">
        <f t="shared" ref="Q490:Q497" si="346">IF(B490="","",IF(B490="Serviço",S490,""))</f>
        <v/>
      </c>
      <c r="R490" s="234">
        <f t="shared" ref="R490:R497" ca="1" si="347">IF(B490="serviço",U490,OFFSET(R490,-1,0))</f>
        <v>100.29300000000001</v>
      </c>
      <c r="S490" s="233" t="s">
        <v>435</v>
      </c>
      <c r="T490" s="242" t="s">
        <v>35</v>
      </c>
      <c r="U490" s="235" t="s">
        <v>566</v>
      </c>
      <c r="V490" s="320" t="s">
        <v>35</v>
      </c>
      <c r="W490" s="236" t="str">
        <f>IFERROR(IF(B490="INSUMO",_xlfn.XLOOKUP(S490,Insumos!A:A,Insumos!C:C),""),"Inserir Preço")</f>
        <v/>
      </c>
      <c r="X490" s="235" t="str">
        <f t="shared" ref="X490:X497" ca="1" si="348">IF(B490="Complemento do insumo",V490,IF(R490="","",IF(B490="serviço",R490,IF(OR(B490="insumo"),V490*R490,""))))</f>
        <v/>
      </c>
      <c r="Y490" s="236" t="str">
        <f t="shared" si="334"/>
        <v/>
      </c>
      <c r="Z490" s="237">
        <f t="shared" ca="1" si="319"/>
        <v>139751.2504088947</v>
      </c>
      <c r="AA490" s="238"/>
      <c r="AB490" s="233" t="str">
        <f>IF(B490="insumo",_xlfn.XLOOKUP(S490,Insumos!A:A,Insumos!D:D),"")</f>
        <v/>
      </c>
      <c r="AC490" s="239">
        <f t="shared" ca="1" si="320"/>
        <v>2.0048591011888158E-2</v>
      </c>
      <c r="AE490" s="240">
        <f ca="1">IFERROR(IF(OR(Z490="",Z490=0),"",IF(AF490="","",IF(AF490="R$/mês",Z490/OBRA!$D$12,IF(AF490="R$/m²",Z490/OBRA!$D$10,IF(AF490="R$/apto",Orçamento!Z490/OBRA!$D$11,""))))),"")</f>
        <v>71.916988935378058</v>
      </c>
      <c r="AF490" s="241" t="s">
        <v>154</v>
      </c>
    </row>
    <row r="491" spans="1:32" s="10" customFormat="1" ht="13.15" hidden="1" customHeight="1" outlineLevel="4" x14ac:dyDescent="0.2">
      <c r="A491" s="227"/>
      <c r="B491" s="228" t="s">
        <v>4</v>
      </c>
      <c r="C491" s="229">
        <f t="shared" si="318"/>
        <v>5</v>
      </c>
      <c r="D491" s="227" t="str">
        <f t="shared" ca="1" si="335"/>
        <v>04.003.003.001</v>
      </c>
      <c r="E491" s="228" t="str">
        <f t="shared" ca="1" si="336"/>
        <v>04.003.003.001</v>
      </c>
      <c r="F491" s="230">
        <f ca="1">IF($B491="UNIDADE CONSTRUTIVA",OFFSET(F491,-1,0)+1,LARGE(F$10:F490,1))</f>
        <v>2</v>
      </c>
      <c r="G491" s="228" t="str">
        <f t="shared" ca="1" si="337"/>
        <v xml:space="preserve">   GERENCIAMENTO EXECUTIVO</v>
      </c>
      <c r="H491" s="230">
        <f t="shared" ca="1" si="338"/>
        <v>4</v>
      </c>
      <c r="I491" s="228" t="str">
        <f t="shared" ca="1" si="339"/>
        <v xml:space="preserve">   SUPRAESTRUTURA</v>
      </c>
      <c r="J491" s="230">
        <f t="shared" ca="1" si="340"/>
        <v>3</v>
      </c>
      <c r="K491" s="228" t="str">
        <f t="shared" ca="1" si="341"/>
        <v xml:space="preserve">   SUPRAESTRUTURA - 3º  ao 7º PAVIMENTO - TIPO</v>
      </c>
      <c r="L491" s="231">
        <f t="shared" ca="1" si="342"/>
        <v>3</v>
      </c>
      <c r="M491" s="228" t="str">
        <f t="shared" ca="1" si="343"/>
        <v xml:space="preserve">   Concreto</v>
      </c>
      <c r="N491" s="231">
        <f t="shared" ca="1" si="344"/>
        <v>1</v>
      </c>
      <c r="O491" s="228" t="str">
        <f t="shared" ca="1" si="345"/>
        <v>Concreto usinado bombeavel para supraestrutura Fck 35MPa com Brita 0 SLUMP = 12 +/- 2 incluindo servico de bombeamento</v>
      </c>
      <c r="P491" s="232" t="str">
        <f>IF(S491="","",IF(Orçamento!$B491="INSUMO",S491,""))</f>
        <v/>
      </c>
      <c r="Q491" s="244" t="str">
        <f t="shared" si="346"/>
        <v>Concreto usinado bombeavel para supraestrutura Fck 35MPa com Brita 0 SLUMP = 12 +/- 2 incluindo servico de bombeamento</v>
      </c>
      <c r="R491" s="234">
        <f t="shared" ca="1" si="347"/>
        <v>273.88672736000001</v>
      </c>
      <c r="S491" s="233" t="s">
        <v>614</v>
      </c>
      <c r="T491" s="242" t="s">
        <v>166</v>
      </c>
      <c r="U491" s="235">
        <v>273.88672736000001</v>
      </c>
      <c r="V491" s="320" t="s">
        <v>35</v>
      </c>
      <c r="W491" s="236" t="str">
        <f>IFERROR(IF(B491="INSUMO",_xlfn.XLOOKUP(S491,Insumos!A:A,Insumos!C:C),""),"Inserir Preço")</f>
        <v/>
      </c>
      <c r="X491" s="235">
        <f t="shared" ca="1" si="348"/>
        <v>273.88672736000001</v>
      </c>
      <c r="Y491" s="236">
        <f t="shared" ca="1" si="334"/>
        <v>510.25200000000001</v>
      </c>
      <c r="Z491" s="237">
        <f t="shared" ca="1" si="319"/>
        <v>139751.25040889473</v>
      </c>
      <c r="AA491" s="238"/>
      <c r="AB491" s="233" t="str">
        <f>IF(B491="insumo",_xlfn.XLOOKUP(S491,Insumos!A:A,Insumos!D:D),"")</f>
        <v/>
      </c>
      <c r="AC491" s="239">
        <f t="shared" ca="1" si="320"/>
        <v>2.0048591011888162E-2</v>
      </c>
      <c r="AE491" s="240">
        <f ca="1">IFERROR(IF(OR(Z491="",Z491=0),"",IF(AF491="","",IF(AF491="R$/mês",Z491/OBRA!$D$12,IF(AF491="R$/m²",Z491/OBRA!$D$10,IF(AF491="R$/apto",Orçamento!Z491/OBRA!$D$11,""))))),"")</f>
        <v>71.916988935378072</v>
      </c>
      <c r="AF491" s="241" t="s">
        <v>154</v>
      </c>
    </row>
    <row r="492" spans="1:32" s="10" customFormat="1" ht="13.15" hidden="1" customHeight="1" outlineLevel="4" x14ac:dyDescent="0.2">
      <c r="A492" s="227"/>
      <c r="B492" s="228" t="s">
        <v>19</v>
      </c>
      <c r="C492" s="229">
        <f t="shared" si="318"/>
        <v>5</v>
      </c>
      <c r="D492" s="227" t="str">
        <f t="shared" si="335"/>
        <v/>
      </c>
      <c r="E492" s="228" t="str">
        <f t="shared" ca="1" si="336"/>
        <v>04.003.003.001</v>
      </c>
      <c r="F492" s="230">
        <f ca="1">IF($B492="UNIDADE CONSTRUTIVA",OFFSET(F492,-1,0)+1,LARGE(F$10:F491,1))</f>
        <v>2</v>
      </c>
      <c r="G492" s="228" t="str">
        <f t="shared" ca="1" si="337"/>
        <v xml:space="preserve">   GERENCIAMENTO EXECUTIVO</v>
      </c>
      <c r="H492" s="230">
        <f t="shared" ca="1" si="338"/>
        <v>4</v>
      </c>
      <c r="I492" s="228" t="str">
        <f t="shared" ca="1" si="339"/>
        <v xml:space="preserve">   SUPRAESTRUTURA</v>
      </c>
      <c r="J492" s="230">
        <f t="shared" ca="1" si="340"/>
        <v>3</v>
      </c>
      <c r="K492" s="228" t="str">
        <f t="shared" ca="1" si="341"/>
        <v xml:space="preserve">   SUPRAESTRUTURA - 3º  ao 7º PAVIMENTO - TIPO</v>
      </c>
      <c r="L492" s="231">
        <f t="shared" ca="1" si="342"/>
        <v>3</v>
      </c>
      <c r="M492" s="228" t="str">
        <f t="shared" ca="1" si="343"/>
        <v xml:space="preserve">   Concreto</v>
      </c>
      <c r="N492" s="231">
        <f t="shared" ca="1" si="344"/>
        <v>1</v>
      </c>
      <c r="O492" s="228" t="str">
        <f t="shared" ca="1" si="345"/>
        <v>Concreto usinado bombeavel para supraestrutura Fck 35MPa com Brita 0 SLUMP = 12 +/- 2 incluindo servico de bombeamento</v>
      </c>
      <c r="P492" s="232" t="str">
        <f>IF(S492="","",IF(Orçamento!$B492="INSUMO",S492,""))</f>
        <v>Cimento Portland CP II - E</v>
      </c>
      <c r="Q492" s="244" t="str">
        <f t="shared" si="346"/>
        <v/>
      </c>
      <c r="R492" s="234">
        <f t="shared" ca="1" si="347"/>
        <v>273.88672736000001</v>
      </c>
      <c r="S492" s="233" t="s">
        <v>201</v>
      </c>
      <c r="T492" s="242" t="str">
        <f>_xlfn.XLOOKUP(S492,Insumos!$A$3:$A$371,Insumos!$B$3:$B$371)</f>
        <v>KG</v>
      </c>
      <c r="U492" s="235">
        <f ca="1">IF($B492="insumo",R492,"")</f>
        <v>273.88672736000001</v>
      </c>
      <c r="V492" s="320">
        <v>1.67</v>
      </c>
      <c r="W492" s="236">
        <f>IFERROR(IF(B492="INSUMO",_xlfn.XLOOKUP(S492,Insumos!A:A,Insumos!C:C),""),"Inserir Preço")</f>
        <v>0.6</v>
      </c>
      <c r="X492" s="235">
        <f t="shared" ca="1" si="348"/>
        <v>457.39083469119998</v>
      </c>
      <c r="Y492" s="236">
        <f t="shared" si="334"/>
        <v>1.002</v>
      </c>
      <c r="Z492" s="237">
        <f t="shared" ca="1" si="319"/>
        <v>274.43450081471997</v>
      </c>
      <c r="AA492" s="238"/>
      <c r="AB492" s="233" t="str">
        <f>IF(B492="insumo",_xlfn.XLOOKUP(S492,Insumos!A:A,Insumos!D:D),"")</f>
        <v xml:space="preserve"> </v>
      </c>
      <c r="AC492" s="239">
        <f t="shared" ca="1" si="320"/>
        <v>3.9370131217343459E-5</v>
      </c>
      <c r="AE492" s="240">
        <f ca="1">IFERROR(IF(OR(Z492="",Z492=0),"",IF(AF492="","",IF(AF492="R$/mês",Z492/OBRA!$D$12,IF(AF492="R$/m²",Z492/OBRA!$D$10,IF(AF492="R$/apto",Orçamento!Z492/OBRA!$D$11,""))))),"")</f>
        <v>0.14122594896884053</v>
      </c>
      <c r="AF492" s="241" t="s">
        <v>154</v>
      </c>
    </row>
    <row r="493" spans="1:32" s="10" customFormat="1" ht="13.15" hidden="1" customHeight="1" outlineLevel="4" x14ac:dyDescent="0.2">
      <c r="A493" s="227"/>
      <c r="B493" s="228" t="s">
        <v>19</v>
      </c>
      <c r="C493" s="229">
        <f t="shared" si="318"/>
        <v>6</v>
      </c>
      <c r="D493" s="227" t="str">
        <f t="shared" si="335"/>
        <v/>
      </c>
      <c r="E493" s="228" t="str">
        <f t="shared" ca="1" si="336"/>
        <v>04.003.003.001</v>
      </c>
      <c r="F493" s="230">
        <f ca="1">IF($B493="UNIDADE CONSTRUTIVA",OFFSET(F493,-1,0)+1,LARGE(F$10:F492,1))</f>
        <v>2</v>
      </c>
      <c r="G493" s="228" t="str">
        <f t="shared" ca="1" si="337"/>
        <v xml:space="preserve">   GERENCIAMENTO EXECUTIVO</v>
      </c>
      <c r="H493" s="230">
        <f t="shared" ca="1" si="338"/>
        <v>4</v>
      </c>
      <c r="I493" s="228" t="str">
        <f t="shared" ca="1" si="339"/>
        <v xml:space="preserve">   SUPRAESTRUTURA</v>
      </c>
      <c r="J493" s="230">
        <f t="shared" ca="1" si="340"/>
        <v>3</v>
      </c>
      <c r="K493" s="228" t="str">
        <f t="shared" ca="1" si="341"/>
        <v xml:space="preserve">   SUPRAESTRUTURA - 3º  ao 7º PAVIMENTO - TIPO</v>
      </c>
      <c r="L493" s="231">
        <f t="shared" ca="1" si="342"/>
        <v>3</v>
      </c>
      <c r="M493" s="228" t="str">
        <f t="shared" ca="1" si="343"/>
        <v xml:space="preserve">   Concreto</v>
      </c>
      <c r="N493" s="231">
        <f t="shared" ca="1" si="344"/>
        <v>1</v>
      </c>
      <c r="O493" s="228" t="str">
        <f t="shared" ca="1" si="345"/>
        <v>Concreto usinado bombeavel para supraestrutura Fck 35MPa com Brita 0 SLUMP = 12 +/- 2 incluindo servico de bombeamento</v>
      </c>
      <c r="P493" s="232" t="str">
        <f>IF(S493="","",IF(Orçamento!$B493="INSUMO",S493,""))</f>
        <v>BOMBEAMENTO DE CONCRETO USINADO</v>
      </c>
      <c r="Q493" s="244" t="str">
        <f t="shared" si="346"/>
        <v/>
      </c>
      <c r="R493" s="234">
        <f t="shared" ca="1" si="347"/>
        <v>273.88672736000001</v>
      </c>
      <c r="S493" s="233" t="s">
        <v>167</v>
      </c>
      <c r="T493" s="242" t="str">
        <f>_xlfn.XLOOKUP(S493,Insumos!$A$3:$A$371,Insumos!$B$3:$B$371)</f>
        <v>M3</v>
      </c>
      <c r="U493" s="235">
        <f ca="1">IF($B493="insumo",R493,"")</f>
        <v>273.88672736000001</v>
      </c>
      <c r="V493" s="320">
        <v>1.05</v>
      </c>
      <c r="W493" s="236">
        <f>IFERROR(IF(B493="INSUMO",_xlfn.XLOOKUP(S493,Insumos!A:A,Insumos!C:C),""),"Inserir Preço")</f>
        <v>35</v>
      </c>
      <c r="X493" s="235">
        <f t="shared" ca="1" si="348"/>
        <v>287.581063728</v>
      </c>
      <c r="Y493" s="236">
        <f t="shared" si="334"/>
        <v>36.75</v>
      </c>
      <c r="Z493" s="237">
        <f t="shared" ca="1" si="319"/>
        <v>10065.33723048</v>
      </c>
      <c r="AA493" s="238"/>
      <c r="AB493" s="233" t="str">
        <f>IF(B493="insumo",_xlfn.XLOOKUP(S493,Insumos!A:A,Insumos!D:D),"")</f>
        <v>Engemix</v>
      </c>
      <c r="AC493" s="239">
        <f t="shared" ca="1" si="320"/>
        <v>1.4439643934504713E-3</v>
      </c>
      <c r="AE493" s="240">
        <f ca="1">IFERROR(IF(OR(Z493="",Z493=0),"",IF(AF493="","",IF(AF493="R$/mês",Z493/OBRA!$D$12,IF(AF493="R$/m²",Z493/OBRA!$D$10,IF(AF493="R$/apto",Orçamento!Z493/OBRA!$D$11,""))))),"")</f>
        <v>5.1796942361326241</v>
      </c>
      <c r="AF493" s="241" t="s">
        <v>154</v>
      </c>
    </row>
    <row r="494" spans="1:32" s="10" customFormat="1" ht="13.15" hidden="1" customHeight="1" outlineLevel="4" x14ac:dyDescent="0.2">
      <c r="A494" s="227"/>
      <c r="B494" s="228" t="s">
        <v>19</v>
      </c>
      <c r="C494" s="229">
        <f t="shared" si="318"/>
        <v>6</v>
      </c>
      <c r="D494" s="227" t="str">
        <f t="shared" si="335"/>
        <v/>
      </c>
      <c r="E494" s="228" t="str">
        <f t="shared" ca="1" si="336"/>
        <v>04.003.003.001</v>
      </c>
      <c r="F494" s="230">
        <f ca="1">IF($B494="UNIDADE CONSTRUTIVA",OFFSET(F494,-1,0)+1,LARGE(F$10:F493,1))</f>
        <v>2</v>
      </c>
      <c r="G494" s="228" t="str">
        <f t="shared" ca="1" si="337"/>
        <v xml:space="preserve">   GERENCIAMENTO EXECUTIVO</v>
      </c>
      <c r="H494" s="230">
        <f t="shared" ca="1" si="338"/>
        <v>4</v>
      </c>
      <c r="I494" s="228" t="str">
        <f t="shared" ca="1" si="339"/>
        <v xml:space="preserve">   SUPRAESTRUTURA</v>
      </c>
      <c r="J494" s="230">
        <f t="shared" ca="1" si="340"/>
        <v>3</v>
      </c>
      <c r="K494" s="228" t="str">
        <f t="shared" ca="1" si="341"/>
        <v xml:space="preserve">   SUPRAESTRUTURA - 3º  ao 7º PAVIMENTO - TIPO</v>
      </c>
      <c r="L494" s="231">
        <f t="shared" ca="1" si="342"/>
        <v>3</v>
      </c>
      <c r="M494" s="228" t="str">
        <f t="shared" ca="1" si="343"/>
        <v xml:space="preserve">   Concreto</v>
      </c>
      <c r="N494" s="231">
        <f t="shared" ca="1" si="344"/>
        <v>1</v>
      </c>
      <c r="O494" s="228" t="str">
        <f t="shared" ca="1" si="345"/>
        <v>Concreto usinado bombeavel para supraestrutura Fck 35MPa com Brita 0 SLUMP = 12 +/- 2 incluindo servico de bombeamento</v>
      </c>
      <c r="P494" s="232" t="str">
        <f>IF(S494="","",IF(Orçamento!$B494="INSUMO",S494,""))</f>
        <v>Concreto 35 MPA, brita 1, slump 12+-2</v>
      </c>
      <c r="Q494" s="244" t="str">
        <f t="shared" si="346"/>
        <v/>
      </c>
      <c r="R494" s="234">
        <f t="shared" ca="1" si="347"/>
        <v>273.88672736000001</v>
      </c>
      <c r="S494" s="233" t="s">
        <v>820</v>
      </c>
      <c r="T494" s="242" t="str">
        <f>_xlfn.XLOOKUP(S494,Insumos!$A$3:$A$371,Insumos!$B$3:$B$371)</f>
        <v>M3</v>
      </c>
      <c r="U494" s="235">
        <f ca="1">IF($B494="insumo",R494,"")</f>
        <v>273.88672736000001</v>
      </c>
      <c r="V494" s="320">
        <v>1.05</v>
      </c>
      <c r="W494" s="236">
        <f>IFERROR(IF(B494="INSUMO",_xlfn.XLOOKUP(S494,Insumos!A:A,Insumos!C:C),""),"Inserir Preço")</f>
        <v>450</v>
      </c>
      <c r="X494" s="235">
        <f t="shared" ca="1" si="348"/>
        <v>287.581063728</v>
      </c>
      <c r="Y494" s="236">
        <f t="shared" si="334"/>
        <v>472.5</v>
      </c>
      <c r="Z494" s="237">
        <f t="shared" ca="1" si="319"/>
        <v>129411.4786776</v>
      </c>
      <c r="AA494" s="238"/>
      <c r="AB494" s="233" t="str">
        <f>IF(B494="insumo",_xlfn.XLOOKUP(S494,Insumos!A:A,Insumos!D:D),"")</f>
        <v>Recebido Cliente</v>
      </c>
      <c r="AC494" s="239">
        <f t="shared" ca="1" si="320"/>
        <v>1.8565256487220346E-2</v>
      </c>
      <c r="AE494" s="240">
        <f ca="1">IFERROR(IF(OR(Z494="",Z494=0),"",IF(AF494="","",IF(AF494="R$/mês",Z494/OBRA!$D$12,IF(AF494="R$/m²",Z494/OBRA!$D$10,IF(AF494="R$/apto",Orçamento!Z494/OBRA!$D$11,""))))),"")</f>
        <v>66.596068750276601</v>
      </c>
      <c r="AF494" s="241" t="s">
        <v>154</v>
      </c>
    </row>
    <row r="495" spans="1:32" s="10" customFormat="1" ht="13.15" hidden="1" customHeight="1" outlineLevel="3" collapsed="1" x14ac:dyDescent="0.2">
      <c r="A495" s="227"/>
      <c r="B495" s="228" t="s">
        <v>3</v>
      </c>
      <c r="C495" s="229" t="str">
        <f t="shared" si="318"/>
        <v/>
      </c>
      <c r="D495" s="227" t="str">
        <f t="shared" ca="1" si="335"/>
        <v>04.003.004</v>
      </c>
      <c r="E495" s="228" t="str">
        <f t="shared" ca="1" si="336"/>
        <v>04.003.003.001</v>
      </c>
      <c r="F495" s="230">
        <f ca="1">IF($B495="UNIDADE CONSTRUTIVA",OFFSET(F495,-1,0)+1,LARGE(F$10:F494,1))</f>
        <v>2</v>
      </c>
      <c r="G495" s="228" t="str">
        <f t="shared" ca="1" si="337"/>
        <v xml:space="preserve">   GERENCIAMENTO EXECUTIVO</v>
      </c>
      <c r="H495" s="230">
        <f t="shared" ca="1" si="338"/>
        <v>4</v>
      </c>
      <c r="I495" s="228" t="str">
        <f t="shared" ca="1" si="339"/>
        <v xml:space="preserve">   SUPRAESTRUTURA</v>
      </c>
      <c r="J495" s="230">
        <f t="shared" ca="1" si="340"/>
        <v>3</v>
      </c>
      <c r="K495" s="228" t="str">
        <f t="shared" ca="1" si="341"/>
        <v xml:space="preserve">   SUPRAESTRUTURA - 3º  ao 7º PAVIMENTO - TIPO</v>
      </c>
      <c r="L495" s="231">
        <f t="shared" ca="1" si="342"/>
        <v>4</v>
      </c>
      <c r="M495" s="228" t="str">
        <f t="shared" ca="1" si="343"/>
        <v xml:space="preserve">   Mão de Obra</v>
      </c>
      <c r="N495" s="231">
        <f t="shared" ca="1" si="344"/>
        <v>0</v>
      </c>
      <c r="O495" s="228" t="str">
        <f t="shared" ca="1" si="345"/>
        <v>Concreto usinado bombeavel para supraestrutura Fck 35MPa com Brita 0 SLUMP = 12 +/- 2 incluindo servico de bombeamento</v>
      </c>
      <c r="P495" s="232" t="str">
        <f>IF(S495="","",IF(Orçamento!$B495="INSUMO",S495,""))</f>
        <v/>
      </c>
      <c r="Q495" s="244" t="str">
        <f t="shared" si="346"/>
        <v/>
      </c>
      <c r="R495" s="234">
        <f t="shared" ca="1" si="347"/>
        <v>273.88672736000001</v>
      </c>
      <c r="S495" s="233" t="s">
        <v>438</v>
      </c>
      <c r="T495" s="242" t="s">
        <v>35</v>
      </c>
      <c r="U495" s="235" t="str">
        <f>IF($B495="insumo",R495,"")</f>
        <v/>
      </c>
      <c r="V495" s="320" t="s">
        <v>35</v>
      </c>
      <c r="W495" s="236" t="str">
        <f>IFERROR(IF(B495="INSUMO",_xlfn.XLOOKUP(S495,Insumos!A:A,Insumos!C:C),""),"Inserir Preço")</f>
        <v/>
      </c>
      <c r="X495" s="235" t="str">
        <f t="shared" ca="1" si="348"/>
        <v/>
      </c>
      <c r="Y495" s="236" t="str">
        <f t="shared" si="334"/>
        <v/>
      </c>
      <c r="Z495" s="237">
        <f t="shared" ca="1" si="319"/>
        <v>385135.04916898377</v>
      </c>
      <c r="AA495" s="238"/>
      <c r="AB495" s="233" t="str">
        <f>IF(B495="insumo",_xlfn.XLOOKUP(S495,Insumos!A:A,Insumos!D:D),"")</f>
        <v/>
      </c>
      <c r="AC495" s="239">
        <f t="shared" ca="1" si="320"/>
        <v>5.5251134158302663E-2</v>
      </c>
      <c r="AE495" s="240">
        <f ca="1">IFERROR(IF(OR(Z495="",Z495=0),"",IF(AF495="","",IF(AF495="R$/mês",Z495/OBRA!$D$12,IF(AF495="R$/m²",Z495/OBRA!$D$10,IF(AF495="R$/apto",Orçamento!Z495/OBRA!$D$11,""))))),"")</f>
        <v>198.19323969318287</v>
      </c>
      <c r="AF495" s="241" t="s">
        <v>154</v>
      </c>
    </row>
    <row r="496" spans="1:32" s="10" customFormat="1" ht="13.15" hidden="1" customHeight="1" outlineLevel="4" x14ac:dyDescent="0.2">
      <c r="A496" s="227"/>
      <c r="B496" s="228" t="s">
        <v>4</v>
      </c>
      <c r="C496" s="229">
        <f t="shared" si="318"/>
        <v>5</v>
      </c>
      <c r="D496" s="227" t="str">
        <f t="shared" ca="1" si="335"/>
        <v>04.003.004.001</v>
      </c>
      <c r="E496" s="228" t="str">
        <f t="shared" ca="1" si="336"/>
        <v>04.003.004.001</v>
      </c>
      <c r="F496" s="230">
        <f ca="1">IF($B496="UNIDADE CONSTRUTIVA",OFFSET(F496,-1,0)+1,LARGE(F$10:F495,1))</f>
        <v>2</v>
      </c>
      <c r="G496" s="228" t="str">
        <f t="shared" ca="1" si="337"/>
        <v xml:space="preserve">   GERENCIAMENTO EXECUTIVO</v>
      </c>
      <c r="H496" s="230">
        <f t="shared" ca="1" si="338"/>
        <v>4</v>
      </c>
      <c r="I496" s="228" t="str">
        <f t="shared" ca="1" si="339"/>
        <v xml:space="preserve">   SUPRAESTRUTURA</v>
      </c>
      <c r="J496" s="230">
        <f t="shared" ca="1" si="340"/>
        <v>3</v>
      </c>
      <c r="K496" s="228" t="str">
        <f t="shared" ca="1" si="341"/>
        <v xml:space="preserve">   SUPRAESTRUTURA - 3º  ao 7º PAVIMENTO - TIPO</v>
      </c>
      <c r="L496" s="231">
        <f t="shared" ca="1" si="342"/>
        <v>4</v>
      </c>
      <c r="M496" s="228" t="str">
        <f t="shared" ca="1" si="343"/>
        <v xml:space="preserve">   Mão de Obra</v>
      </c>
      <c r="N496" s="231">
        <f t="shared" ca="1" si="344"/>
        <v>1</v>
      </c>
      <c r="O496" s="228" t="str">
        <f t="shared" ca="1" si="345"/>
        <v>Mao de obra  - para execucacao de estrutura de concreto armado em supraestrutura</v>
      </c>
      <c r="P496" s="232" t="str">
        <f>IF(S496="","",IF(Orçamento!$B496="INSUMO",S496,""))</f>
        <v/>
      </c>
      <c r="Q496" s="244" t="str">
        <f t="shared" si="346"/>
        <v>Mao de obra  - para execucacao de estrutura de concreto armado em supraestrutura</v>
      </c>
      <c r="R496" s="234">
        <f t="shared" ca="1" si="347"/>
        <v>1170.6856</v>
      </c>
      <c r="S496" s="233" t="s">
        <v>1167</v>
      </c>
      <c r="T496" s="242" t="s">
        <v>140</v>
      </c>
      <c r="U496" s="235">
        <f>U471+U474</f>
        <v>1170.6856</v>
      </c>
      <c r="V496" s="320" t="s">
        <v>35</v>
      </c>
      <c r="W496" s="236" t="str">
        <f>IFERROR(IF(B496="INSUMO",_xlfn.XLOOKUP(S496,Insumos!A:A,Insumos!C:C),""),"Inserir Preço")</f>
        <v/>
      </c>
      <c r="X496" s="235">
        <f t="shared" ca="1" si="348"/>
        <v>1170.6856</v>
      </c>
      <c r="Y496" s="236">
        <f t="shared" ca="1" si="334"/>
        <v>328.98247759174944</v>
      </c>
      <c r="Z496" s="237">
        <f t="shared" ca="1" si="319"/>
        <v>385135.04916898377</v>
      </c>
      <c r="AA496" s="238"/>
      <c r="AB496" s="233" t="str">
        <f>IF(B496="insumo",_xlfn.XLOOKUP(S496,Insumos!A:A,Insumos!D:D),"")</f>
        <v/>
      </c>
      <c r="AC496" s="239">
        <f t="shared" ca="1" si="320"/>
        <v>5.5251134158302663E-2</v>
      </c>
      <c r="AE496" s="240">
        <f ca="1">IFERROR(IF(OR(Z496="",Z496=0),"",IF(AF496="","",IF(AF496="R$/mês",Z496/OBRA!$D$12,IF(AF496="R$/m²",Z496/OBRA!$D$10,IF(AF496="R$/apto",Orçamento!Z496/OBRA!$D$11,""))))),"")</f>
        <v>198.19323969318287</v>
      </c>
      <c r="AF496" s="241" t="s">
        <v>154</v>
      </c>
    </row>
    <row r="497" spans="1:32" s="10" customFormat="1" ht="13.15" hidden="1" customHeight="1" outlineLevel="4" x14ac:dyDescent="0.2">
      <c r="A497" s="227"/>
      <c r="B497" s="228" t="s">
        <v>19</v>
      </c>
      <c r="C497" s="229">
        <f t="shared" si="318"/>
        <v>5</v>
      </c>
      <c r="D497" s="227" t="str">
        <f t="shared" si="335"/>
        <v/>
      </c>
      <c r="E497" s="228" t="str">
        <f t="shared" ca="1" si="336"/>
        <v>04.003.004.001</v>
      </c>
      <c r="F497" s="230">
        <f ca="1">IF($B497="UNIDADE CONSTRUTIVA",OFFSET(F497,-1,0)+1,LARGE(F$10:F496,1))</f>
        <v>2</v>
      </c>
      <c r="G497" s="228" t="str">
        <f t="shared" ca="1" si="337"/>
        <v xml:space="preserve">   GERENCIAMENTO EXECUTIVO</v>
      </c>
      <c r="H497" s="230">
        <f t="shared" ca="1" si="338"/>
        <v>4</v>
      </c>
      <c r="I497" s="228" t="str">
        <f t="shared" ca="1" si="339"/>
        <v xml:space="preserve">   SUPRAESTRUTURA</v>
      </c>
      <c r="J497" s="230">
        <f t="shared" ca="1" si="340"/>
        <v>3</v>
      </c>
      <c r="K497" s="228" t="str">
        <f t="shared" ca="1" si="341"/>
        <v xml:space="preserve">   SUPRAESTRUTURA - 3º  ao 7º PAVIMENTO - TIPO</v>
      </c>
      <c r="L497" s="231">
        <f t="shared" ca="1" si="342"/>
        <v>4</v>
      </c>
      <c r="M497" s="228" t="str">
        <f t="shared" ca="1" si="343"/>
        <v xml:space="preserve">   Mão de Obra</v>
      </c>
      <c r="N497" s="231">
        <f t="shared" ca="1" si="344"/>
        <v>1</v>
      </c>
      <c r="O497" s="228" t="str">
        <f t="shared" ca="1" si="345"/>
        <v>Mao de obra  - para execucacao de estrutura de concreto armado em supraestrutura</v>
      </c>
      <c r="P497" s="232" t="str">
        <f>IF(S497="","",IF(Orçamento!$B497="INSUMO",S497,""))</f>
        <v>MAO DE OBRA PARA EXECUCAO DE SUPRAESTRUTURA EM CONCRETO ARMADO</v>
      </c>
      <c r="Q497" s="244" t="str">
        <f t="shared" si="346"/>
        <v/>
      </c>
      <c r="R497" s="234">
        <f t="shared" ca="1" si="347"/>
        <v>1170.6856</v>
      </c>
      <c r="S497" s="233" t="s">
        <v>204</v>
      </c>
      <c r="T497" s="242" t="str">
        <f>_xlfn.XLOOKUP(S497,Insumos!$A$3:$A$371,Insumos!$B$3:$B$371)</f>
        <v>M2</v>
      </c>
      <c r="U497" s="235">
        <f ca="1">IF($B497="insumo",R497,"")</f>
        <v>1170.6856</v>
      </c>
      <c r="V497" s="320">
        <v>1</v>
      </c>
      <c r="W497" s="236">
        <f>IFERROR(IF(B497="INSUMO",_xlfn.XLOOKUP(S497,Insumos!A:A,Insumos!C:C),""),"Inserir Preço")</f>
        <v>328.98247759174944</v>
      </c>
      <c r="X497" s="235">
        <f t="shared" ca="1" si="348"/>
        <v>1170.6856</v>
      </c>
      <c r="Y497" s="236">
        <f t="shared" si="334"/>
        <v>328.98247759174944</v>
      </c>
      <c r="Z497" s="237">
        <f t="shared" ca="1" si="319"/>
        <v>385135.04916898377</v>
      </c>
      <c r="AA497" s="238"/>
      <c r="AB497" s="233" t="str">
        <f>IF(B497="insumo",_xlfn.XLOOKUP(S497,Insumos!A:A,Insumos!D:D),"")</f>
        <v>Aba Custo Serviços</v>
      </c>
      <c r="AC497" s="239">
        <f t="shared" ca="1" si="320"/>
        <v>5.5251134158302663E-2</v>
      </c>
      <c r="AE497" s="240">
        <f ca="1">IFERROR(IF(OR(Z497="",Z497=0),"",IF(AF497="","",IF(AF497="R$/mês",Z497/OBRA!$D$12,IF(AF497="R$/m²",Z497/OBRA!$D$10,IF(AF497="R$/apto",Orçamento!Z497/OBRA!$D$11,""))))),"")</f>
        <v>198.19323969318287</v>
      </c>
      <c r="AF497" s="241" t="s">
        <v>154</v>
      </c>
    </row>
    <row r="498" spans="1:32" s="10" customFormat="1" ht="13.15" customHeight="1" outlineLevel="2" collapsed="1" x14ac:dyDescent="0.2">
      <c r="A498" s="227"/>
      <c r="B498" s="228" t="s">
        <v>2</v>
      </c>
      <c r="C498" s="229" t="str">
        <f t="shared" si="318"/>
        <v/>
      </c>
      <c r="D498" s="227" t="str">
        <f t="shared" ref="D498:D538" ca="1" si="349">IF(B498="Unidade Construtiva",TEXT(F498,"00"),IF(B498="Célula Construtiva",TEXT(H498,"00"),IF(B498="Etapa",CONCATENATE(TEXT(H498,"00"),".",TEXT(J498,"000")),IF(B498="Subetapa",CONCATENATE(TEXT(H498,"00"),".",TEXT(J498,"000"),".",TEXT(L498,"000")),IF(B498="Serviço",CONCATENATE(TEXT(H498,"00"),".",TEXT(J498,"000"),".",TEXT(L498,"000"),".",TEXT(N498,"000")),"")))))</f>
        <v>04.004</v>
      </c>
      <c r="E498" s="228" t="str">
        <f ca="1">IF(B498="*","",IFERROR(IF(B498="SERVIÇO",D498,OFFSET(E498,-1,0)),""))</f>
        <v>04.003.004.001</v>
      </c>
      <c r="F498" s="230">
        <f ca="1">IF($B498="UNIDADE CONSTRUTIVA",OFFSET(F498,-1,0)+1,LARGE(F$10:F497,1))</f>
        <v>2</v>
      </c>
      <c r="G498" s="228" t="str">
        <f t="shared" ref="G498:G538" ca="1" si="350">IF(B498="*","",IF(B498="UNIDADE CONSTRUTIVA",S498,OFFSET(G498,-1,0)))</f>
        <v xml:space="preserve">   GERENCIAMENTO EXECUTIVO</v>
      </c>
      <c r="H498" s="230">
        <f ca="1">IF(B498="UNIDADE CONSTRUTIVA",0,IF(B498="CÉLULA CONSTRUTIVA",OFFSET(H498,-1,0)+1,OFFSET(H498,-1,0)))</f>
        <v>4</v>
      </c>
      <c r="I498" s="228" t="str">
        <f t="shared" ref="I498:I538" ca="1" si="351">IF(B498="*","",IF(B498="CÉLULA CONSTRUTIVA",S498,OFFSET(I498,-1,0)))</f>
        <v xml:space="preserve">   SUPRAESTRUTURA</v>
      </c>
      <c r="J498" s="230">
        <f ca="1">IF(B498="CÉLULA CONSTRUTIVA",0,IF(B498="ETAPA",OFFSET(J498,-1,0)+1,OFFSET(J498,-1,0)))</f>
        <v>4</v>
      </c>
      <c r="K498" s="228" t="str">
        <f t="shared" ref="K498:K538" ca="1" si="352">IF(B498="*","",IF(B498="ETAPA",S498,OFFSET(K498,-1,0)))</f>
        <v xml:space="preserve">   SUPRAESTRUTURA - 8º PAVIMENTO - COBERTURA</v>
      </c>
      <c r="L498" s="231">
        <f ca="1">IF(B498="ETAPA",0,IF(B498="SUBETAPA",OFFSET(L498,-1,0)+1,OFFSET(L498,-1,0)))</f>
        <v>0</v>
      </c>
      <c r="M498" s="228" t="str">
        <f t="shared" ref="M498:M538" ca="1" si="353">IF(B498="*","",IF(B498="SUBETAPA",S498,OFFSET(M498,-1,0)))</f>
        <v xml:space="preserve">   Mão de Obra</v>
      </c>
      <c r="N498" s="231">
        <f ca="1">IF(B498="Subetapa",0,IF(B498="serviço",OFFSET(N498,-1,0)+1,OFFSET(N498,-1,0)))</f>
        <v>1</v>
      </c>
      <c r="O498" s="228" t="str">
        <f t="shared" ref="O498:O538" ca="1" si="354">IF(B498="*","",IF(B498="SERVIÇO",S498,OFFSET(O498,-1,0)))</f>
        <v>Mao de obra  - para execucacao de estrutura de concreto armado em supraestrutura</v>
      </c>
      <c r="P498" s="232" t="str">
        <f>IF(S498="","",IF(Orçamento!$B498="INSUMO",S498,""))</f>
        <v/>
      </c>
      <c r="Q498" s="244" t="str">
        <f t="shared" ref="Q498:Q538" si="355">IF(B498="","",IF(B498="Serviço",S498,""))</f>
        <v/>
      </c>
      <c r="R498" s="234">
        <f t="shared" ref="R498:R538" ca="1" si="356">IF(B498="serviço",U498,OFFSET(R498,-1,0))</f>
        <v>1170.6856</v>
      </c>
      <c r="S498" s="233" t="s">
        <v>604</v>
      </c>
      <c r="T498" s="242" t="s">
        <v>35</v>
      </c>
      <c r="U498" s="235" t="str">
        <f>IF($B498="insumo",R498,"")</f>
        <v/>
      </c>
      <c r="V498" s="320" t="s">
        <v>35</v>
      </c>
      <c r="W498" s="236" t="str">
        <f>IFERROR(IF(B498="INSUMO",_xlfn.XLOOKUP(S498,Insumos!A:A,Insumos!C:C),""),"Inserir Preço")</f>
        <v/>
      </c>
      <c r="X498" s="235" t="str">
        <f t="shared" ref="X498:X538" ca="1" si="357">IF(B498="Complemento do insumo",V498,IF(R498="","",IF(B498="serviço",R498,IF(OR(B498="insumo"),V498*R498,""))))</f>
        <v/>
      </c>
      <c r="Y498" s="236" t="str">
        <f t="shared" si="334"/>
        <v/>
      </c>
      <c r="Z498" s="237">
        <f t="shared" ca="1" si="319"/>
        <v>165503.77106548255</v>
      </c>
      <c r="AA498" s="238"/>
      <c r="AB498" s="233" t="str">
        <f>IF(B498="insumo",_xlfn.XLOOKUP(S498,Insumos!A:A,Insumos!D:D),"")</f>
        <v/>
      </c>
      <c r="AC498" s="239">
        <f t="shared" ca="1" si="320"/>
        <v>2.3743024891073473E-2</v>
      </c>
      <c r="AE498" s="240">
        <f ca="1">IFERROR(IF(OR(Z498="",Z498=0),"",IF(AF498="","",IF(AF498="R$/mês",Z498/OBRA!$D$12,IF(AF498="R$/m²",Z498/OBRA!$D$10,IF(AF498="R$/apto",Orçamento!Z498/OBRA!$D$11,""))))),"")</f>
        <v>85.169419505402118</v>
      </c>
      <c r="AF498" s="241" t="s">
        <v>154</v>
      </c>
    </row>
    <row r="499" spans="1:32" s="10" customFormat="1" ht="13.15" hidden="1" customHeight="1" outlineLevel="3" collapsed="1" x14ac:dyDescent="0.2">
      <c r="A499" s="227"/>
      <c r="B499" s="228" t="s">
        <v>3</v>
      </c>
      <c r="C499" s="229" t="str">
        <f t="shared" si="318"/>
        <v/>
      </c>
      <c r="D499" s="227" t="str">
        <f t="shared" ca="1" si="349"/>
        <v>04.004.001</v>
      </c>
      <c r="E499" s="228" t="str">
        <f ca="1">IF(B499="*","",IFERROR(IF(B499="SERVIÇO",D499,OFFSET(E499,-1,0)),""))</f>
        <v>04.003.004.001</v>
      </c>
      <c r="F499" s="230">
        <f ca="1">IF($B499="UNIDADE CONSTRUTIVA",OFFSET(F499,-1,0)+1,LARGE(F$10:F498,1))</f>
        <v>2</v>
      </c>
      <c r="G499" s="228" t="str">
        <f t="shared" ca="1" si="350"/>
        <v xml:space="preserve">   GERENCIAMENTO EXECUTIVO</v>
      </c>
      <c r="H499" s="230">
        <f ca="1">IF(B499="UNIDADE CONSTRUTIVA",0,IF(B499="CÉLULA CONSTRUTIVA",OFFSET(H499,-1,0)+1,OFFSET(H499,-1,0)))</f>
        <v>4</v>
      </c>
      <c r="I499" s="228" t="str">
        <f t="shared" ca="1" si="351"/>
        <v xml:space="preserve">   SUPRAESTRUTURA</v>
      </c>
      <c r="J499" s="230">
        <f ca="1">IF(B499="CÉLULA CONSTRUTIVA",0,IF(B499="ETAPA",OFFSET(J499,-1,0)+1,OFFSET(J499,-1,0)))</f>
        <v>4</v>
      </c>
      <c r="K499" s="228" t="str">
        <f t="shared" ca="1" si="352"/>
        <v xml:space="preserve">   SUPRAESTRUTURA - 8º PAVIMENTO - COBERTURA</v>
      </c>
      <c r="L499" s="231">
        <f ca="1">IF(B499="ETAPA",0,IF(B499="SUBETAPA",OFFSET(L499,-1,0)+1,OFFSET(L499,-1,0)))</f>
        <v>1</v>
      </c>
      <c r="M499" s="228" t="str">
        <f t="shared" ca="1" si="353"/>
        <v xml:space="preserve">   Armadura</v>
      </c>
      <c r="N499" s="231">
        <f ca="1">IF(B499="Subetapa",0,IF(B499="serviço",OFFSET(N499,-1,0)+1,OFFSET(N499,-1,0)))</f>
        <v>0</v>
      </c>
      <c r="O499" s="228" t="str">
        <f t="shared" ca="1" si="354"/>
        <v>Mao de obra  - para execucacao de estrutura de concreto armado em supraestrutura</v>
      </c>
      <c r="P499" s="232" t="str">
        <f>IF(S499="","",IF(Orçamento!$B499="INSUMO",S499,""))</f>
        <v/>
      </c>
      <c r="Q499" s="244" t="str">
        <f t="shared" si="355"/>
        <v/>
      </c>
      <c r="R499" s="234">
        <f t="shared" ca="1" si="356"/>
        <v>1170.6856</v>
      </c>
      <c r="S499" s="233" t="s">
        <v>434</v>
      </c>
      <c r="T499" s="242" t="s">
        <v>35</v>
      </c>
      <c r="U499" s="235" t="str">
        <f>IF($B499="insumo",R499,"")</f>
        <v/>
      </c>
      <c r="V499" s="320" t="s">
        <v>35</v>
      </c>
      <c r="W499" s="236" t="str">
        <f>IFERROR(IF(B499="INSUMO",_xlfn.XLOOKUP(S499,Insumos!A:A,Insumos!C:C),""),"Inserir Preço")</f>
        <v/>
      </c>
      <c r="X499" s="235" t="str">
        <f t="shared" ca="1" si="357"/>
        <v/>
      </c>
      <c r="Y499" s="236" t="str">
        <f t="shared" si="334"/>
        <v/>
      </c>
      <c r="Z499" s="237">
        <f t="shared" ca="1" si="319"/>
        <v>29806.435022118214</v>
      </c>
      <c r="AA499" s="238"/>
      <c r="AB499" s="233" t="str">
        <f>IF(B499="insumo",_xlfn.XLOOKUP(S499,Insumos!A:A,Insumos!D:D),"")</f>
        <v/>
      </c>
      <c r="AC499" s="239">
        <f t="shared" ca="1" si="320"/>
        <v>4.2760048552870321E-3</v>
      </c>
      <c r="AE499" s="240">
        <f ca="1">IFERROR(IF(OR(Z499="",Z499=0),"",IF(AF499="","",IF(AF499="R$/mês",Z499/OBRA!$D$12,IF(AF499="R$/m²",Z499/OBRA!$D$10,IF(AF499="R$/apto",Orçamento!Z499/OBRA!$D$11,""))))),"")</f>
        <v>15.338603779335546</v>
      </c>
      <c r="AF499" s="241" t="s">
        <v>154</v>
      </c>
    </row>
    <row r="500" spans="1:32" s="10" customFormat="1" ht="13.15" hidden="1" customHeight="1" outlineLevel="4" x14ac:dyDescent="0.2">
      <c r="A500" s="227"/>
      <c r="B500" s="228" t="s">
        <v>4</v>
      </c>
      <c r="C500" s="229">
        <f t="shared" si="318"/>
        <v>3</v>
      </c>
      <c r="D500" s="227" t="str">
        <f t="shared" ca="1" si="349"/>
        <v>04.004.001.001</v>
      </c>
      <c r="E500" s="228" t="str">
        <f t="shared" ref="E500:E510" ca="1" si="358">IF(B500="*","",IFERROR(IF(B500="SERVIÇO",D500,OFFSET(E500,-1,0)),""))</f>
        <v>04.004.001.001</v>
      </c>
      <c r="F500" s="230">
        <f ca="1">IF($B500="UNIDADE CONSTRUTIVA",OFFSET(F500,-1,0)+1,LARGE(F$10:F499,1))</f>
        <v>2</v>
      </c>
      <c r="G500" s="228" t="str">
        <f t="shared" ca="1" si="350"/>
        <v xml:space="preserve">   GERENCIAMENTO EXECUTIVO</v>
      </c>
      <c r="H500" s="230">
        <f t="shared" ref="H500:H510" ca="1" si="359">IF(B500="UNIDADE CONSTRUTIVA",0,IF(B500="CÉLULA CONSTRUTIVA",OFFSET(H500,-1,0)+1,OFFSET(H500,-1,0)))</f>
        <v>4</v>
      </c>
      <c r="I500" s="228" t="str">
        <f t="shared" ca="1" si="351"/>
        <v xml:space="preserve">   SUPRAESTRUTURA</v>
      </c>
      <c r="J500" s="230">
        <f t="shared" ref="J500:J510" ca="1" si="360">IF(B500="CÉLULA CONSTRUTIVA",0,IF(B500="ETAPA",OFFSET(J500,-1,0)+1,OFFSET(J500,-1,0)))</f>
        <v>4</v>
      </c>
      <c r="K500" s="228" t="str">
        <f t="shared" ca="1" si="352"/>
        <v xml:space="preserve">   SUPRAESTRUTURA - 8º PAVIMENTO - COBERTURA</v>
      </c>
      <c r="L500" s="231">
        <f t="shared" ref="L500:L510" ca="1" si="361">IF(B500="ETAPA",0,IF(B500="SUBETAPA",OFFSET(L500,-1,0)+1,OFFSET(L500,-1,0)))</f>
        <v>1</v>
      </c>
      <c r="M500" s="228" t="str">
        <f t="shared" ca="1" si="353"/>
        <v xml:space="preserve">   Armadura</v>
      </c>
      <c r="N500" s="231">
        <f t="shared" ref="N500:N510" ca="1" si="362">IF(B500="Subetapa",0,IF(B500="serviço",OFFSET(N500,-1,0)+1,OFFSET(N500,-1,0)))</f>
        <v>1</v>
      </c>
      <c r="O500" s="228" t="str">
        <f t="shared" ca="1" si="354"/>
        <v xml:space="preserve">Ancoragem Para Cordoalha </v>
      </c>
      <c r="P500" s="232" t="str">
        <f>IF(S500="","",IF(Orçamento!$B500="INSUMO",S500,""))</f>
        <v/>
      </c>
      <c r="Q500" s="244" t="str">
        <f t="shared" si="355"/>
        <v xml:space="preserve">Ancoragem Para Cordoalha </v>
      </c>
      <c r="R500" s="234">
        <f t="shared" ca="1" si="356"/>
        <v>86</v>
      </c>
      <c r="S500" s="233" t="s">
        <v>798</v>
      </c>
      <c r="T500" s="242" t="s">
        <v>142</v>
      </c>
      <c r="U500" s="235">
        <v>86</v>
      </c>
      <c r="V500" s="320" t="s">
        <v>35</v>
      </c>
      <c r="W500" s="236" t="str">
        <f>IFERROR(IF(B500="INSUMO",_xlfn.XLOOKUP(S500,Insumos!A:A,Insumos!C:C),""),"Inserir Preço")</f>
        <v/>
      </c>
      <c r="X500" s="235">
        <f t="shared" ca="1" si="357"/>
        <v>86</v>
      </c>
      <c r="Y500" s="236">
        <f t="shared" ca="1" si="334"/>
        <v>84.511399999999995</v>
      </c>
      <c r="Z500" s="237">
        <f t="shared" ca="1" si="319"/>
        <v>7267.9803999999995</v>
      </c>
      <c r="AA500" s="238"/>
      <c r="AB500" s="233" t="str">
        <f>IF(B500="insumo",_xlfn.XLOOKUP(S500,Insumos!A:A,Insumos!D:D),"")</f>
        <v/>
      </c>
      <c r="AC500" s="239">
        <f t="shared" ca="1" si="320"/>
        <v>1.04265805204377E-3</v>
      </c>
      <c r="AE500" s="240">
        <f ca="1">IFERROR(IF(OR(Z500="",Z500=0),"",IF(AF500="","",IF(AF500="R$/mês",Z500/OBRA!$D$12,IF(AF500="R$/m²",Z500/OBRA!$D$10,IF(AF500="R$/apto",Orçamento!Z500/OBRA!$D$11,""))))),"")</f>
        <v>3.7401544850583819</v>
      </c>
      <c r="AF500" s="241" t="s">
        <v>154</v>
      </c>
    </row>
    <row r="501" spans="1:32" s="10" customFormat="1" ht="13.15" hidden="1" customHeight="1" outlineLevel="4" x14ac:dyDescent="0.2">
      <c r="A501" s="227"/>
      <c r="B501" s="228" t="s">
        <v>19</v>
      </c>
      <c r="C501" s="229">
        <f t="shared" si="318"/>
        <v>3</v>
      </c>
      <c r="D501" s="227" t="str">
        <f t="shared" si="349"/>
        <v/>
      </c>
      <c r="E501" s="228" t="str">
        <f t="shared" ca="1" si="358"/>
        <v>04.004.001.001</v>
      </c>
      <c r="F501" s="230">
        <f ca="1">IF($B501="UNIDADE CONSTRUTIVA",OFFSET(F501,-1,0)+1,LARGE(F$10:F500,1))</f>
        <v>2</v>
      </c>
      <c r="G501" s="228" t="str">
        <f t="shared" ca="1" si="350"/>
        <v xml:space="preserve">   GERENCIAMENTO EXECUTIVO</v>
      </c>
      <c r="H501" s="230">
        <f t="shared" ca="1" si="359"/>
        <v>4</v>
      </c>
      <c r="I501" s="228" t="str">
        <f t="shared" ca="1" si="351"/>
        <v xml:space="preserve">   SUPRAESTRUTURA</v>
      </c>
      <c r="J501" s="230">
        <f t="shared" ca="1" si="360"/>
        <v>4</v>
      </c>
      <c r="K501" s="228" t="str">
        <f t="shared" ca="1" si="352"/>
        <v xml:space="preserve">   SUPRAESTRUTURA - 8º PAVIMENTO - COBERTURA</v>
      </c>
      <c r="L501" s="231">
        <f t="shared" ca="1" si="361"/>
        <v>1</v>
      </c>
      <c r="M501" s="228" t="str">
        <f t="shared" ca="1" si="353"/>
        <v xml:space="preserve">   Armadura</v>
      </c>
      <c r="N501" s="231">
        <f t="shared" ca="1" si="362"/>
        <v>1</v>
      </c>
      <c r="O501" s="228" t="str">
        <f t="shared" ca="1" si="354"/>
        <v xml:space="preserve">Ancoragem Para Cordoalha </v>
      </c>
      <c r="P501" s="232" t="str">
        <f>IF(S501="","",IF(Orçamento!$B501="INSUMO",S501,""))</f>
        <v>Ancoragem base 1/2" - EHX 0063</v>
      </c>
      <c r="Q501" s="244" t="str">
        <f t="shared" si="355"/>
        <v/>
      </c>
      <c r="R501" s="234">
        <f t="shared" ca="1" si="356"/>
        <v>86</v>
      </c>
      <c r="S501" s="233" t="s">
        <v>789</v>
      </c>
      <c r="T501" s="242" t="str">
        <f>_xlfn.XLOOKUP(S501,Insumos!$A$3:$A$371,Insumos!$B$3:$B$371)</f>
        <v>UN</v>
      </c>
      <c r="U501" s="235">
        <f t="shared" ref="U501:U508" ca="1" si="363">IF($B501="insumo",R501,"")</f>
        <v>86</v>
      </c>
      <c r="V501" s="320">
        <v>1</v>
      </c>
      <c r="W501" s="236">
        <f>IFERROR(IF(B501="INSUMO",_xlfn.XLOOKUP(S501,Insumos!A:A,Insumos!C:C),""),"Inserir Preço")</f>
        <v>12.57</v>
      </c>
      <c r="X501" s="235">
        <f t="shared" ca="1" si="357"/>
        <v>86</v>
      </c>
      <c r="Y501" s="236">
        <f t="shared" si="334"/>
        <v>12.57</v>
      </c>
      <c r="Z501" s="237">
        <f t="shared" ca="1" si="319"/>
        <v>1081.02</v>
      </c>
      <c r="AA501" s="238"/>
      <c r="AB501" s="233" t="str">
        <f>IF(B501="insumo",_xlfn.XLOOKUP(S501,Insumos!A:A,Insumos!D:D),"")</f>
        <v>EVEHX Engenharia</v>
      </c>
      <c r="AC501" s="239">
        <f t="shared" ca="1" si="320"/>
        <v>1.5508217488043261E-4</v>
      </c>
      <c r="AE501" s="240">
        <f ca="1">IFERROR(IF(OR(Z501="",Z501=0),"",IF(AF501="","",IF(AF501="R$/mês",Z501/OBRA!$D$12,IF(AF501="R$/m²",Z501/OBRA!$D$10,IF(AF501="R$/apto",Orçamento!Z501/OBRA!$D$11,""))))),"")</f>
        <v>0.55630059231279883</v>
      </c>
      <c r="AF501" s="241" t="s">
        <v>154</v>
      </c>
    </row>
    <row r="502" spans="1:32" s="10" customFormat="1" ht="13.15" hidden="1" customHeight="1" outlineLevel="4" x14ac:dyDescent="0.2">
      <c r="A502" s="227"/>
      <c r="B502" s="228" t="s">
        <v>19</v>
      </c>
      <c r="C502" s="229">
        <f t="shared" si="318"/>
        <v>3</v>
      </c>
      <c r="D502" s="227" t="str">
        <f t="shared" si="349"/>
        <v/>
      </c>
      <c r="E502" s="228" t="str">
        <f t="shared" ca="1" si="358"/>
        <v>04.004.001.001</v>
      </c>
      <c r="F502" s="230">
        <f ca="1">IF($B502="UNIDADE CONSTRUTIVA",OFFSET(F502,-1,0)+1,LARGE(F$10:F501,1))</f>
        <v>2</v>
      </c>
      <c r="G502" s="228" t="str">
        <f t="shared" ca="1" si="350"/>
        <v xml:space="preserve">   GERENCIAMENTO EXECUTIVO</v>
      </c>
      <c r="H502" s="230">
        <f t="shared" ca="1" si="359"/>
        <v>4</v>
      </c>
      <c r="I502" s="228" t="str">
        <f t="shared" ca="1" si="351"/>
        <v xml:space="preserve">   SUPRAESTRUTURA</v>
      </c>
      <c r="J502" s="230">
        <f t="shared" ca="1" si="360"/>
        <v>4</v>
      </c>
      <c r="K502" s="228" t="str">
        <f t="shared" ca="1" si="352"/>
        <v xml:space="preserve">   SUPRAESTRUTURA - 8º PAVIMENTO - COBERTURA</v>
      </c>
      <c r="L502" s="231">
        <f t="shared" ca="1" si="361"/>
        <v>1</v>
      </c>
      <c r="M502" s="228" t="str">
        <f t="shared" ca="1" si="353"/>
        <v xml:space="preserve">   Armadura</v>
      </c>
      <c r="N502" s="231">
        <f t="shared" ca="1" si="362"/>
        <v>1</v>
      </c>
      <c r="O502" s="228" t="str">
        <f t="shared" ca="1" si="354"/>
        <v xml:space="preserve">Ancoragem Para Cordoalha </v>
      </c>
      <c r="P502" s="232" t="str">
        <f>IF(S502="","",IF(Orçamento!$B502="INSUMO",S502,""))</f>
        <v>Cunha 1/2" BI Partida - EHX 0036</v>
      </c>
      <c r="Q502" s="244" t="str">
        <f t="shared" si="355"/>
        <v/>
      </c>
      <c r="R502" s="234">
        <f t="shared" ca="1" si="356"/>
        <v>86</v>
      </c>
      <c r="S502" s="233" t="s">
        <v>790</v>
      </c>
      <c r="T502" s="242" t="str">
        <f>_xlfn.XLOOKUP(S502,Insumos!$A$3:$A$371,Insumos!$B$3:$B$371)</f>
        <v>Par</v>
      </c>
      <c r="U502" s="235">
        <f t="shared" ca="1" si="363"/>
        <v>86</v>
      </c>
      <c r="V502" s="320">
        <v>1</v>
      </c>
      <c r="W502" s="236">
        <f>IFERROR(IF(B502="INSUMO",_xlfn.XLOOKUP(S502,Insumos!A:A,Insumos!C:C),""),"Inserir Preço")</f>
        <v>9.18</v>
      </c>
      <c r="X502" s="235">
        <f t="shared" ca="1" si="357"/>
        <v>86</v>
      </c>
      <c r="Y502" s="236">
        <f t="shared" si="334"/>
        <v>9.18</v>
      </c>
      <c r="Z502" s="237">
        <f t="shared" ca="1" si="319"/>
        <v>789.48</v>
      </c>
      <c r="AA502" s="238"/>
      <c r="AB502" s="233" t="str">
        <f>IF(B502="insumo",_xlfn.XLOOKUP(S502,Insumos!A:A,Insumos!D:D),"")</f>
        <v>EVEHX Engenharia</v>
      </c>
      <c r="AC502" s="239">
        <f t="shared" ca="1" si="320"/>
        <v>1.132581038506262E-4</v>
      </c>
      <c r="AE502" s="240">
        <f ca="1">IFERROR(IF(OR(Z502="",Z502=0),"",IF(AF502="","",IF(AF502="R$/mês",Z502/OBRA!$D$12,IF(AF502="R$/m²",Z502/OBRA!$D$10,IF(AF502="R$/apto",Orçamento!Z502/OBRA!$D$11,""))))),"")</f>
        <v>0.40627203161746167</v>
      </c>
      <c r="AF502" s="241" t="s">
        <v>154</v>
      </c>
    </row>
    <row r="503" spans="1:32" s="10" customFormat="1" ht="13.15" hidden="1" customHeight="1" outlineLevel="4" x14ac:dyDescent="0.2">
      <c r="A503" s="227"/>
      <c r="B503" s="228" t="s">
        <v>19</v>
      </c>
      <c r="C503" s="229">
        <f t="shared" si="318"/>
        <v>3</v>
      </c>
      <c r="D503" s="227" t="str">
        <f t="shared" si="349"/>
        <v/>
      </c>
      <c r="E503" s="228" t="str">
        <f t="shared" ca="1" si="358"/>
        <v>04.004.001.001</v>
      </c>
      <c r="F503" s="230">
        <f ca="1">IF($B503="UNIDADE CONSTRUTIVA",OFFSET(F503,-1,0)+1,LARGE(F$10:F502,1))</f>
        <v>2</v>
      </c>
      <c r="G503" s="228" t="str">
        <f t="shared" ca="1" si="350"/>
        <v xml:space="preserve">   GERENCIAMENTO EXECUTIVO</v>
      </c>
      <c r="H503" s="230">
        <f t="shared" ca="1" si="359"/>
        <v>4</v>
      </c>
      <c r="I503" s="228" t="str">
        <f t="shared" ca="1" si="351"/>
        <v xml:space="preserve">   SUPRAESTRUTURA</v>
      </c>
      <c r="J503" s="230">
        <f t="shared" ca="1" si="360"/>
        <v>4</v>
      </c>
      <c r="K503" s="228" t="str">
        <f t="shared" ca="1" si="352"/>
        <v xml:space="preserve">   SUPRAESTRUTURA - 8º PAVIMENTO - COBERTURA</v>
      </c>
      <c r="L503" s="231">
        <f t="shared" ca="1" si="361"/>
        <v>1</v>
      </c>
      <c r="M503" s="228" t="str">
        <f t="shared" ca="1" si="353"/>
        <v xml:space="preserve">   Armadura</v>
      </c>
      <c r="N503" s="231">
        <f t="shared" ca="1" si="362"/>
        <v>1</v>
      </c>
      <c r="O503" s="228" t="str">
        <f t="shared" ca="1" si="354"/>
        <v xml:space="preserve">Ancoragem Para Cordoalha </v>
      </c>
      <c r="P503" s="232" t="str">
        <f>IF(S503="","",IF(Orçamento!$B503="INSUMO",S503,""))</f>
        <v>Pocket Former 1/2 - EHX 0009</v>
      </c>
      <c r="Q503" s="244" t="str">
        <f t="shared" si="355"/>
        <v/>
      </c>
      <c r="R503" s="234">
        <f t="shared" ca="1" si="356"/>
        <v>86</v>
      </c>
      <c r="S503" s="233" t="s">
        <v>794</v>
      </c>
      <c r="T503" s="242" t="str">
        <f>_xlfn.XLOOKUP(S503,Insumos!$A$3:$A$371,Insumos!$B$3:$B$371)</f>
        <v>UN</v>
      </c>
      <c r="U503" s="235">
        <f t="shared" ca="1" si="363"/>
        <v>86</v>
      </c>
      <c r="V503" s="320">
        <v>0.5</v>
      </c>
      <c r="W503" s="236">
        <f>IFERROR(IF(B503="INSUMO",_xlfn.XLOOKUP(S503,Insumos!A:A,Insumos!C:C),""),"Inserir Preço")</f>
        <v>2.86</v>
      </c>
      <c r="X503" s="235">
        <f t="shared" ca="1" si="357"/>
        <v>43</v>
      </c>
      <c r="Y503" s="236">
        <f t="shared" si="334"/>
        <v>1.43</v>
      </c>
      <c r="Z503" s="237">
        <f t="shared" ca="1" si="319"/>
        <v>122.97999999999999</v>
      </c>
      <c r="AA503" s="238"/>
      <c r="AB503" s="233" t="str">
        <f>IF(B503="insumo",_xlfn.XLOOKUP(S503,Insumos!A:A,Insumos!D:D),"")</f>
        <v>EVEHX Engenharia</v>
      </c>
      <c r="AC503" s="239">
        <f t="shared" ca="1" si="320"/>
        <v>1.7642602233812141E-5</v>
      </c>
      <c r="AE503" s="240">
        <f ca="1">IFERROR(IF(OR(Z503="",Z503=0),"",IF(AF503="","",IF(AF503="R$/mês",Z503/OBRA!$D$12,IF(AF503="R$/m²",Z503/OBRA!$D$10,IF(AF503="R$/apto",Orçamento!Z503/OBRA!$D$11,""))))),"")</f>
        <v>6.3286384010127456E-2</v>
      </c>
      <c r="AF503" s="241" t="s">
        <v>154</v>
      </c>
    </row>
    <row r="504" spans="1:32" s="10" customFormat="1" ht="13.15" hidden="1" customHeight="1" outlineLevel="4" x14ac:dyDescent="0.2">
      <c r="A504" s="227"/>
      <c r="B504" s="228" t="s">
        <v>19</v>
      </c>
      <c r="C504" s="229">
        <f t="shared" si="318"/>
        <v>3</v>
      </c>
      <c r="D504" s="227" t="str">
        <f t="shared" si="349"/>
        <v/>
      </c>
      <c r="E504" s="228" t="str">
        <f t="shared" ca="1" si="358"/>
        <v>04.004.001.001</v>
      </c>
      <c r="F504" s="230">
        <f ca="1">IF($B504="UNIDADE CONSTRUTIVA",OFFSET(F504,-1,0)+1,LARGE(F$10:F503,1))</f>
        <v>2</v>
      </c>
      <c r="G504" s="228" t="str">
        <f t="shared" ca="1" si="350"/>
        <v xml:space="preserve">   GERENCIAMENTO EXECUTIVO</v>
      </c>
      <c r="H504" s="230">
        <f t="shared" ca="1" si="359"/>
        <v>4</v>
      </c>
      <c r="I504" s="228" t="str">
        <f t="shared" ca="1" si="351"/>
        <v xml:space="preserve">   SUPRAESTRUTURA</v>
      </c>
      <c r="J504" s="230">
        <f t="shared" ca="1" si="360"/>
        <v>4</v>
      </c>
      <c r="K504" s="228" t="str">
        <f t="shared" ca="1" si="352"/>
        <v xml:space="preserve">   SUPRAESTRUTURA - 8º PAVIMENTO - COBERTURA</v>
      </c>
      <c r="L504" s="231">
        <f t="shared" ca="1" si="361"/>
        <v>1</v>
      </c>
      <c r="M504" s="228" t="str">
        <f t="shared" ca="1" si="353"/>
        <v xml:space="preserve">   Armadura</v>
      </c>
      <c r="N504" s="231">
        <f t="shared" ca="1" si="362"/>
        <v>1</v>
      </c>
      <c r="O504" s="228" t="str">
        <f t="shared" ca="1" si="354"/>
        <v xml:space="preserve">Ancoragem Para Cordoalha </v>
      </c>
      <c r="P504" s="232" t="str">
        <f>IF(S504="","",IF(Orçamento!$B504="INSUMO",S504,""))</f>
        <v>Adaptador Ancor. (AP2)B Chupeta-EHX 0027</v>
      </c>
      <c r="Q504" s="244" t="str">
        <f t="shared" si="355"/>
        <v/>
      </c>
      <c r="R504" s="234">
        <f t="shared" ca="1" si="356"/>
        <v>86</v>
      </c>
      <c r="S504" s="233" t="s">
        <v>791</v>
      </c>
      <c r="T504" s="242" t="str">
        <f>_xlfn.XLOOKUP(S504,Insumos!$A$3:$A$371,Insumos!$B$3:$B$371)</f>
        <v>UN</v>
      </c>
      <c r="U504" s="235">
        <f t="shared" ca="1" si="363"/>
        <v>86</v>
      </c>
      <c r="V504" s="320">
        <v>0.5</v>
      </c>
      <c r="W504" s="236">
        <f>IFERROR(IF(B504="INSUMO",_xlfn.XLOOKUP(S504,Insumos!A:A,Insumos!C:C),""),"Inserir Preço")</f>
        <v>1.43</v>
      </c>
      <c r="X504" s="235">
        <f t="shared" ca="1" si="357"/>
        <v>43</v>
      </c>
      <c r="Y504" s="236">
        <f t="shared" si="334"/>
        <v>0.71499999999999997</v>
      </c>
      <c r="Z504" s="237">
        <f t="shared" ca="1" si="319"/>
        <v>61.489999999999995</v>
      </c>
      <c r="AA504" s="238"/>
      <c r="AB504" s="233" t="str">
        <f>IF(B504="insumo",_xlfn.XLOOKUP(S504,Insumos!A:A,Insumos!D:D),"")</f>
        <v>EVEHX Engenharia</v>
      </c>
      <c r="AC504" s="239">
        <f t="shared" ca="1" si="320"/>
        <v>8.8213011169060703E-6</v>
      </c>
      <c r="AE504" s="240">
        <f ca="1">IFERROR(IF(OR(Z504="",Z504=0),"",IF(AF504="","",IF(AF504="R$/mês",Z504/OBRA!$D$12,IF(AF504="R$/m²",Z504/OBRA!$D$10,IF(AF504="R$/apto",Orçamento!Z504/OBRA!$D$11,""))))),"")</f>
        <v>3.1643192005063728E-2</v>
      </c>
      <c r="AF504" s="241" t="s">
        <v>154</v>
      </c>
    </row>
    <row r="505" spans="1:32" s="10" customFormat="1" ht="13.15" hidden="1" customHeight="1" outlineLevel="4" x14ac:dyDescent="0.2">
      <c r="A505" s="227"/>
      <c r="B505" s="228" t="s">
        <v>19</v>
      </c>
      <c r="C505" s="229">
        <f t="shared" si="318"/>
        <v>3</v>
      </c>
      <c r="D505" s="227" t="str">
        <f t="shared" si="349"/>
        <v/>
      </c>
      <c r="E505" s="228" t="str">
        <f t="shared" ca="1" si="358"/>
        <v>04.004.001.001</v>
      </c>
      <c r="F505" s="230">
        <f ca="1">IF($B505="UNIDADE CONSTRUTIVA",OFFSET(F505,-1,0)+1,LARGE(F$10:F504,1))</f>
        <v>2</v>
      </c>
      <c r="G505" s="228" t="str">
        <f t="shared" ca="1" si="350"/>
        <v xml:space="preserve">   GERENCIAMENTO EXECUTIVO</v>
      </c>
      <c r="H505" s="230">
        <f t="shared" ca="1" si="359"/>
        <v>4</v>
      </c>
      <c r="I505" s="228" t="str">
        <f t="shared" ca="1" si="351"/>
        <v xml:space="preserve">   SUPRAESTRUTURA</v>
      </c>
      <c r="J505" s="230">
        <f t="shared" ca="1" si="360"/>
        <v>4</v>
      </c>
      <c r="K505" s="228" t="str">
        <f t="shared" ca="1" si="352"/>
        <v xml:space="preserve">   SUPRAESTRUTURA - 8º PAVIMENTO - COBERTURA</v>
      </c>
      <c r="L505" s="231">
        <f t="shared" ca="1" si="361"/>
        <v>1</v>
      </c>
      <c r="M505" s="228" t="str">
        <f t="shared" ca="1" si="353"/>
        <v xml:space="preserve">   Armadura</v>
      </c>
      <c r="N505" s="231">
        <f t="shared" ca="1" si="362"/>
        <v>1</v>
      </c>
      <c r="O505" s="228" t="str">
        <f t="shared" ca="1" si="354"/>
        <v xml:space="preserve">Ancoragem Para Cordoalha </v>
      </c>
      <c r="P505" s="232" t="str">
        <f>IF(S505="","",IF(Orçamento!$B505="INSUMO",S505,""))</f>
        <v>Pt-Plug Ø12,7 - 3,8cm</v>
      </c>
      <c r="Q505" s="244" t="str">
        <f t="shared" si="355"/>
        <v/>
      </c>
      <c r="R505" s="234">
        <f t="shared" ca="1" si="356"/>
        <v>86</v>
      </c>
      <c r="S505" s="233" t="s">
        <v>795</v>
      </c>
      <c r="T505" s="242" t="str">
        <f>_xlfn.XLOOKUP(S505,Insumos!$A$3:$A$371,Insumos!$B$3:$B$371)</f>
        <v>UN</v>
      </c>
      <c r="U505" s="235">
        <f t="shared" ca="1" si="363"/>
        <v>86</v>
      </c>
      <c r="V505" s="320">
        <v>0.5</v>
      </c>
      <c r="W505" s="236">
        <f>IFERROR(IF(B505="INSUMO",_xlfn.XLOOKUP(S505,Insumos!A:A,Insumos!C:C),""),"Inserir Preço")</f>
        <v>5.17</v>
      </c>
      <c r="X505" s="235">
        <f t="shared" ca="1" si="357"/>
        <v>43</v>
      </c>
      <c r="Y505" s="236">
        <f t="shared" si="334"/>
        <v>2.585</v>
      </c>
      <c r="Z505" s="237">
        <f t="shared" ca="1" si="319"/>
        <v>222.31</v>
      </c>
      <c r="AA505" s="238"/>
      <c r="AB505" s="233" t="str">
        <f>IF(B505="insumo",_xlfn.XLOOKUP(S505,Insumos!A:A,Insumos!D:D),"")</f>
        <v>EVEHX Engenharia</v>
      </c>
      <c r="AC505" s="239">
        <f t="shared" ca="1" si="320"/>
        <v>3.189239634573733E-5</v>
      </c>
      <c r="AE505" s="240">
        <f ca="1">IFERROR(IF(OR(Z505="",Z505=0),"",IF(AF505="","",IF(AF505="R$/mês",Z505/OBRA!$D$12,IF(AF505="R$/m²",Z505/OBRA!$D$10,IF(AF505="R$/apto",Orçamento!Z505/OBRA!$D$11,""))))),"")</f>
        <v>0.11440230955676889</v>
      </c>
      <c r="AF505" s="241" t="s">
        <v>154</v>
      </c>
    </row>
    <row r="506" spans="1:32" s="10" customFormat="1" ht="13.15" hidden="1" customHeight="1" outlineLevel="4" x14ac:dyDescent="0.2">
      <c r="A506" s="227"/>
      <c r="B506" s="228" t="s">
        <v>19</v>
      </c>
      <c r="C506" s="229">
        <f t="shared" si="318"/>
        <v>3</v>
      </c>
      <c r="D506" s="227" t="str">
        <f t="shared" si="349"/>
        <v/>
      </c>
      <c r="E506" s="228" t="str">
        <f t="shared" ca="1" si="358"/>
        <v>04.004.001.001</v>
      </c>
      <c r="F506" s="230">
        <f ca="1">IF($B506="UNIDADE CONSTRUTIVA",OFFSET(F506,-1,0)+1,LARGE(F$10:F505,1))</f>
        <v>2</v>
      </c>
      <c r="G506" s="228" t="str">
        <f t="shared" ca="1" si="350"/>
        <v xml:space="preserve">   GERENCIAMENTO EXECUTIVO</v>
      </c>
      <c r="H506" s="230">
        <f t="shared" ca="1" si="359"/>
        <v>4</v>
      </c>
      <c r="I506" s="228" t="str">
        <f t="shared" ca="1" si="351"/>
        <v xml:space="preserve">   SUPRAESTRUTURA</v>
      </c>
      <c r="J506" s="230">
        <f t="shared" ca="1" si="360"/>
        <v>4</v>
      </c>
      <c r="K506" s="228" t="str">
        <f t="shared" ca="1" si="352"/>
        <v xml:space="preserve">   SUPRAESTRUTURA - 8º PAVIMENTO - COBERTURA</v>
      </c>
      <c r="L506" s="231">
        <f t="shared" ca="1" si="361"/>
        <v>1</v>
      </c>
      <c r="M506" s="228" t="str">
        <f t="shared" ca="1" si="353"/>
        <v xml:space="preserve">   Armadura</v>
      </c>
      <c r="N506" s="231">
        <f t="shared" ca="1" si="362"/>
        <v>1</v>
      </c>
      <c r="O506" s="228" t="str">
        <f t="shared" ca="1" si="354"/>
        <v xml:space="preserve">Ancoragem Para Cordoalha </v>
      </c>
      <c r="P506" s="232" t="str">
        <f>IF(S506="","",IF(Orçamento!$B506="INSUMO",S506,""))</f>
        <v>Tirante Plast - EHX 0621</v>
      </c>
      <c r="Q506" s="244" t="str">
        <f t="shared" si="355"/>
        <v/>
      </c>
      <c r="R506" s="234">
        <f t="shared" ca="1" si="356"/>
        <v>86</v>
      </c>
      <c r="S506" s="233" t="s">
        <v>792</v>
      </c>
      <c r="T506" s="242" t="str">
        <f>_xlfn.XLOOKUP(S506,Insumos!$A$3:$A$371,Insumos!$B$3:$B$371)</f>
        <v>Par</v>
      </c>
      <c r="U506" s="235">
        <f t="shared" ca="1" si="363"/>
        <v>86</v>
      </c>
      <c r="V506" s="320">
        <v>0.5</v>
      </c>
      <c r="W506" s="236">
        <f>IFERROR(IF(B506="INSUMO",_xlfn.XLOOKUP(S506,Insumos!A:A,Insumos!C:C),""),"Inserir Preço")</f>
        <v>2.31</v>
      </c>
      <c r="X506" s="235">
        <f t="shared" ca="1" si="357"/>
        <v>43</v>
      </c>
      <c r="Y506" s="236">
        <f t="shared" si="334"/>
        <v>1.155</v>
      </c>
      <c r="Z506" s="237">
        <f t="shared" ca="1" si="319"/>
        <v>99.33</v>
      </c>
      <c r="AA506" s="238"/>
      <c r="AB506" s="233" t="str">
        <f>IF(B506="insumo",_xlfn.XLOOKUP(S506,Insumos!A:A,Insumos!D:D),"")</f>
        <v>EVEHX Engenharia</v>
      </c>
      <c r="AC506" s="239">
        <f t="shared" ca="1" si="320"/>
        <v>1.4249794111925191E-5</v>
      </c>
      <c r="AE506" s="240">
        <f ca="1">IFERROR(IF(OR(Z506="",Z506=0),"",IF(AF506="","",IF(AF506="R$/mês",Z506/OBRA!$D$12,IF(AF506="R$/m²",Z506/OBRA!$D$10,IF(AF506="R$/apto",Orçamento!Z506/OBRA!$D$11,""))))),"")</f>
        <v>5.1115925546641412E-2</v>
      </c>
      <c r="AF506" s="241" t="s">
        <v>154</v>
      </c>
    </row>
    <row r="507" spans="1:32" s="10" customFormat="1" ht="13.15" hidden="1" customHeight="1" outlineLevel="4" x14ac:dyDescent="0.2">
      <c r="A507" s="227"/>
      <c r="B507" s="228" t="s">
        <v>19</v>
      </c>
      <c r="C507" s="229">
        <f t="shared" si="318"/>
        <v>3</v>
      </c>
      <c r="D507" s="227" t="str">
        <f>IF(B507="Unidade Construtiva",TEXT(F507,"00"),IF(B507="Célula Construtiva",TEXT(H507,"00"),IF(B507="Etapa",CONCATENATE(TEXT(H507,"00"),".",TEXT(J507,"000")),IF(B507="Subetapa",CONCATENATE(TEXT(H507,"00"),".",TEXT(J507,"000"),".",TEXT(L507,"000")),IF(B507="Serviço",CONCATENATE(TEXT(H507,"00"),".",TEXT(J507,"000"),".",TEXT(L507,"000"),".",TEXT(N507,"000")),"")))))</f>
        <v/>
      </c>
      <c r="E507" s="228" t="str">
        <f ca="1">IF(B507="*","",IFERROR(IF(B507="SERVIÇO",D507,OFFSET(E507,-1,0)),""))</f>
        <v>04.004.001.001</v>
      </c>
      <c r="F507" s="230">
        <f ca="1">IF($B507="UNIDADE CONSTRUTIVA",OFFSET(F507,-1,0)+1,LARGE(F$10:F506,1))</f>
        <v>2</v>
      </c>
      <c r="G507" s="228" t="str">
        <f ca="1">IF(B507="*","",IF(B507="UNIDADE CONSTRUTIVA",S507,OFFSET(G507,-1,0)))</f>
        <v xml:space="preserve">   GERENCIAMENTO EXECUTIVO</v>
      </c>
      <c r="H507" s="230">
        <f ca="1">IF(B507="UNIDADE CONSTRUTIVA",0,IF(B507="CÉLULA CONSTRUTIVA",OFFSET(H507,-1,0)+1,OFFSET(H507,-1,0)))</f>
        <v>4</v>
      </c>
      <c r="I507" s="228" t="str">
        <f ca="1">IF(B507="*","",IF(B507="CÉLULA CONSTRUTIVA",S507,OFFSET(I507,-1,0)))</f>
        <v xml:space="preserve">   SUPRAESTRUTURA</v>
      </c>
      <c r="J507" s="230">
        <f ca="1">IF(B507="CÉLULA CONSTRUTIVA",0,IF(B507="ETAPA",OFFSET(J507,-1,0)+1,OFFSET(J507,-1,0)))</f>
        <v>4</v>
      </c>
      <c r="K507" s="228" t="str">
        <f ca="1">IF(B507="*","",IF(B507="ETAPA",S507,OFFSET(K507,-1,0)))</f>
        <v xml:space="preserve">   SUPRAESTRUTURA - 8º PAVIMENTO - COBERTURA</v>
      </c>
      <c r="L507" s="231">
        <f ca="1">IF(B507="ETAPA",0,IF(B507="SUBETAPA",OFFSET(L507,-1,0)+1,OFFSET(L507,-1,0)))</f>
        <v>1</v>
      </c>
      <c r="M507" s="228" t="str">
        <f ca="1">IF(B507="*","",IF(B507="SUBETAPA",S507,OFFSET(M507,-1,0)))</f>
        <v xml:space="preserve">   Armadura</v>
      </c>
      <c r="N507" s="231">
        <f ca="1">IF(B507="Subetapa",0,IF(B507="serviço",OFFSET(N507,-1,0)+1,OFFSET(N507,-1,0)))</f>
        <v>1</v>
      </c>
      <c r="O507" s="228" t="str">
        <f ca="1">IF(B507="*","",IF(B507="SERVIÇO",S507,OFFSET(O507,-1,0)))</f>
        <v xml:space="preserve">Ancoragem Para Cordoalha </v>
      </c>
      <c r="P507" s="232" t="str">
        <f>IF(S507="","",IF(Orçamento!$B507="INSUMO",S507,""))</f>
        <v>Controle tecnológico da Protensão</v>
      </c>
      <c r="Q507" s="244" t="str">
        <f>IF(B507="","",IF(B507="Serviço",S507,""))</f>
        <v/>
      </c>
      <c r="R507" s="234">
        <f ca="1">IF(B507="serviço",U507,OFFSET(R507,-1,0))</f>
        <v>86</v>
      </c>
      <c r="S507" s="233" t="s">
        <v>796</v>
      </c>
      <c r="T507" s="242" t="str">
        <f>_xlfn.XLOOKUP(S507,Insumos!$A$3:$A$371,Insumos!$B$3:$B$371)</f>
        <v>KG</v>
      </c>
      <c r="U507" s="235">
        <f t="shared" ca="1" si="363"/>
        <v>86</v>
      </c>
      <c r="V507" s="320">
        <f>ROUNDUP(3407/512,2)</f>
        <v>6.66</v>
      </c>
      <c r="W507" s="236">
        <f>IFERROR(IF(B507="INSUMO",_xlfn.XLOOKUP(S507,Insumos!A:A,Insumos!C:C),""),"Inserir Preço")</f>
        <v>7.54</v>
      </c>
      <c r="X507" s="235">
        <f t="shared" ca="1" si="357"/>
        <v>572.76</v>
      </c>
      <c r="Y507" s="236">
        <f t="shared" si="334"/>
        <v>50.2164</v>
      </c>
      <c r="Z507" s="237">
        <f t="shared" ca="1" si="319"/>
        <v>4318.6103999999996</v>
      </c>
      <c r="AA507" s="238"/>
      <c r="AB507" s="233" t="str">
        <f>IF(B507="insumo",_xlfn.XLOOKUP(S507,Insumos!A:A,Insumos!D:D),"")</f>
        <v>EVEHX Engenharia</v>
      </c>
      <c r="AC507" s="239">
        <f t="shared" ca="1" si="320"/>
        <v>6.1954403553426843E-4</v>
      </c>
      <c r="AE507" s="240">
        <f ca="1">IFERROR(IF(OR(Z507="",Z507=0),"",IF(AF507="","",IF(AF507="R$/mês",Z507/OBRA!$D$12,IF(AF507="R$/m²",Z507/OBRA!$D$10,IF(AF507="R$/apto",Orçamento!Z507/OBRA!$D$11,""))))),"")</f>
        <v>2.2223876741301849</v>
      </c>
      <c r="AF507" s="241" t="s">
        <v>154</v>
      </c>
    </row>
    <row r="508" spans="1:32" s="10" customFormat="1" ht="13.15" hidden="1" customHeight="1" outlineLevel="4" x14ac:dyDescent="0.2">
      <c r="A508" s="227"/>
      <c r="B508" s="228" t="s">
        <v>19</v>
      </c>
      <c r="C508" s="229">
        <f t="shared" si="318"/>
        <v>3</v>
      </c>
      <c r="D508" s="227" t="str">
        <f>IF(B508="Unidade Construtiva",TEXT(F508,"00"),IF(B508="Célula Construtiva",TEXT(H508,"00"),IF(B508="Etapa",CONCATENATE(TEXT(H508,"00"),".",TEXT(J508,"000")),IF(B508="Subetapa",CONCATENATE(TEXT(H508,"00"),".",TEXT(J508,"000"),".",TEXT(L508,"000")),IF(B508="Serviço",CONCATENATE(TEXT(H508,"00"),".",TEXT(J508,"000"),".",TEXT(L508,"000"),".",TEXT(N508,"000")),"")))))</f>
        <v/>
      </c>
      <c r="E508" s="228" t="str">
        <f ca="1">IF(B508="*","",IFERROR(IF(B508="SERVIÇO",D508,OFFSET(E508,-1,0)),""))</f>
        <v>04.004.001.001</v>
      </c>
      <c r="F508" s="230">
        <f ca="1">IF($B508="UNIDADE CONSTRUTIVA",OFFSET(F508,-1,0)+1,LARGE(F$10:F507,1))</f>
        <v>2</v>
      </c>
      <c r="G508" s="228" t="str">
        <f ca="1">IF(B508="*","",IF(B508="UNIDADE CONSTRUTIVA",S508,OFFSET(G508,-1,0)))</f>
        <v xml:space="preserve">   GERENCIAMENTO EXECUTIVO</v>
      </c>
      <c r="H508" s="230">
        <f ca="1">IF(B508="UNIDADE CONSTRUTIVA",0,IF(B508="CÉLULA CONSTRUTIVA",OFFSET(H508,-1,0)+1,OFFSET(H508,-1,0)))</f>
        <v>4</v>
      </c>
      <c r="I508" s="228" t="str">
        <f ca="1">IF(B508="*","",IF(B508="CÉLULA CONSTRUTIVA",S508,OFFSET(I508,-1,0)))</f>
        <v xml:space="preserve">   SUPRAESTRUTURA</v>
      </c>
      <c r="J508" s="230">
        <f ca="1">IF(B508="CÉLULA CONSTRUTIVA",0,IF(B508="ETAPA",OFFSET(J508,-1,0)+1,OFFSET(J508,-1,0)))</f>
        <v>4</v>
      </c>
      <c r="K508" s="228" t="str">
        <f ca="1">IF(B508="*","",IF(B508="ETAPA",S508,OFFSET(K508,-1,0)))</f>
        <v xml:space="preserve">   SUPRAESTRUTURA - 8º PAVIMENTO - COBERTURA</v>
      </c>
      <c r="L508" s="231">
        <f ca="1">IF(B508="ETAPA",0,IF(B508="SUBETAPA",OFFSET(L508,-1,0)+1,OFFSET(L508,-1,0)))</f>
        <v>1</v>
      </c>
      <c r="M508" s="228" t="str">
        <f ca="1">IF(B508="*","",IF(B508="SUBETAPA",S508,OFFSET(M508,-1,0)))</f>
        <v xml:space="preserve">   Armadura</v>
      </c>
      <c r="N508" s="231">
        <f ca="1">IF(B508="Subetapa",0,IF(B508="serviço",OFFSET(N508,-1,0)+1,OFFSET(N508,-1,0)))</f>
        <v>1</v>
      </c>
      <c r="O508" s="228" t="str">
        <f ca="1">IF(B508="*","",IF(B508="SERVIÇO",S508,OFFSET(O508,-1,0)))</f>
        <v xml:space="preserve">Ancoragem Para Cordoalha </v>
      </c>
      <c r="P508" s="232" t="str">
        <f>IF(S508="","",IF(Orçamento!$B508="INSUMO",S508,""))</f>
        <v>Acompanhamento e fiscalização na montagem da Protensão, locação de macacohidráulico e maçarico</v>
      </c>
      <c r="Q508" s="244" t="str">
        <f>IF(B508="","",IF(B508="Serviço",S508,""))</f>
        <v/>
      </c>
      <c r="R508" s="234">
        <f ca="1">IF(B508="serviço",U508,OFFSET(R508,-1,0))</f>
        <v>86</v>
      </c>
      <c r="S508" s="233" t="s">
        <v>797</v>
      </c>
      <c r="T508" s="242" t="str">
        <f>_xlfn.XLOOKUP(S508,Insumos!$A$3:$A$371,Insumos!$B$3:$B$371)</f>
        <v>UN</v>
      </c>
      <c r="U508" s="235">
        <f t="shared" ca="1" si="363"/>
        <v>86</v>
      </c>
      <c r="V508" s="320">
        <f>ROUNDUP(3407/512,2)</f>
        <v>6.66</v>
      </c>
      <c r="W508" s="236">
        <f>IFERROR(IF(B508="INSUMO",_xlfn.XLOOKUP(S508,Insumos!A:A,Insumos!C:C),""),"Inserir Preço")</f>
        <v>1</v>
      </c>
      <c r="X508" s="235">
        <f t="shared" ca="1" si="357"/>
        <v>572.76</v>
      </c>
      <c r="Y508" s="236">
        <f t="shared" si="334"/>
        <v>6.66</v>
      </c>
      <c r="Z508" s="237">
        <f t="shared" ca="1" si="319"/>
        <v>572.76</v>
      </c>
      <c r="AA508" s="238"/>
      <c r="AB508" s="233" t="str">
        <f>IF(B508="insumo",_xlfn.XLOOKUP(S508,Insumos!A:A,Insumos!D:D),"")</f>
        <v>EVEHX Engenharia</v>
      </c>
      <c r="AC508" s="239">
        <f t="shared" ca="1" si="320"/>
        <v>8.2167643970062145E-5</v>
      </c>
      <c r="AE508" s="240">
        <f ca="1">IFERROR(IF(OR(Z508="",Z508=0),"",IF(AF508="","",IF(AF508="R$/mês",Z508/OBRA!$D$12,IF(AF508="R$/m²",Z508/OBRA!$D$10,IF(AF508="R$/apto",Orçamento!Z508/OBRA!$D$11,""))))),"")</f>
        <v>0.29474637587933489</v>
      </c>
      <c r="AF508" s="241" t="s">
        <v>154</v>
      </c>
    </row>
    <row r="509" spans="1:32" s="10" customFormat="1" ht="13.15" hidden="1" customHeight="1" outlineLevel="4" x14ac:dyDescent="0.2">
      <c r="A509" s="227"/>
      <c r="B509" s="228" t="s">
        <v>4</v>
      </c>
      <c r="C509" s="229">
        <f t="shared" si="318"/>
        <v>3</v>
      </c>
      <c r="D509" s="227" t="str">
        <f t="shared" ca="1" si="349"/>
        <v>04.004.001.002</v>
      </c>
      <c r="E509" s="228" t="str">
        <f t="shared" ca="1" si="358"/>
        <v>04.004.001.002</v>
      </c>
      <c r="F509" s="230">
        <f ca="1">IF($B509="UNIDADE CONSTRUTIVA",OFFSET(F509,-1,0)+1,LARGE(F$10:F508,1))</f>
        <v>2</v>
      </c>
      <c r="G509" s="228" t="str">
        <f t="shared" ca="1" si="350"/>
        <v xml:space="preserve">   GERENCIAMENTO EXECUTIVO</v>
      </c>
      <c r="H509" s="230">
        <f t="shared" ca="1" si="359"/>
        <v>4</v>
      </c>
      <c r="I509" s="228" t="str">
        <f t="shared" ca="1" si="351"/>
        <v xml:space="preserve">   SUPRAESTRUTURA</v>
      </c>
      <c r="J509" s="230">
        <f t="shared" ca="1" si="360"/>
        <v>4</v>
      </c>
      <c r="K509" s="228" t="str">
        <f t="shared" ca="1" si="352"/>
        <v xml:space="preserve">   SUPRAESTRUTURA - 8º PAVIMENTO - COBERTURA</v>
      </c>
      <c r="L509" s="231">
        <f t="shared" ca="1" si="361"/>
        <v>1</v>
      </c>
      <c r="M509" s="228" t="str">
        <f t="shared" ca="1" si="353"/>
        <v xml:space="preserve">   Armadura</v>
      </c>
      <c r="N509" s="231">
        <f t="shared" ca="1" si="362"/>
        <v>2</v>
      </c>
      <c r="O509" s="228" t="str">
        <f t="shared" ca="1" si="354"/>
        <v>Cordoalha CP-190 RB 12,7</v>
      </c>
      <c r="P509" s="232" t="str">
        <f>IF(S509="","",IF(Orçamento!$B509="INSUMO",S509,""))</f>
        <v/>
      </c>
      <c r="Q509" s="244" t="str">
        <f t="shared" si="355"/>
        <v>Cordoalha CP-190 RB 12,7</v>
      </c>
      <c r="R509" s="234">
        <f t="shared" ca="1" si="356"/>
        <v>444</v>
      </c>
      <c r="S509" s="233" t="s">
        <v>617</v>
      </c>
      <c r="T509" s="242" t="s">
        <v>159</v>
      </c>
      <c r="U509" s="235">
        <v>444</v>
      </c>
      <c r="V509" s="320" t="s">
        <v>35</v>
      </c>
      <c r="W509" s="236" t="str">
        <f>IFERROR(IF(B509="INSUMO",_xlfn.XLOOKUP(S509,Insumos!A:A,Insumos!C:C),""),"Inserir Preço")</f>
        <v/>
      </c>
      <c r="X509" s="235">
        <f t="shared" ca="1" si="357"/>
        <v>444</v>
      </c>
      <c r="Y509" s="236">
        <f t="shared" ca="1" si="334"/>
        <v>11.303809243964421</v>
      </c>
      <c r="Z509" s="237">
        <f t="shared" ca="1" si="319"/>
        <v>5018.8913043202028</v>
      </c>
      <c r="AA509" s="238"/>
      <c r="AB509" s="233" t="str">
        <f>IF(B509="insumo",_xlfn.XLOOKUP(S509,Insumos!A:A,Insumos!D:D),"")</f>
        <v/>
      </c>
      <c r="AC509" s="239">
        <f t="shared" ca="1" si="320"/>
        <v>7.2000571586322928E-4</v>
      </c>
      <c r="AE509" s="240">
        <f ca="1">IFERROR(IF(OR(Z509="",Z509=0),"",IF(AF509="","",IF(AF509="R$/mês",Z509/OBRA!$D$12,IF(AF509="R$/m²",Z509/OBRA!$D$10,IF(AF509="R$/apto",Orçamento!Z509/OBRA!$D$11,""))))),"")</f>
        <v>2.5827572157285563</v>
      </c>
      <c r="AF509" s="241" t="s">
        <v>154</v>
      </c>
    </row>
    <row r="510" spans="1:32" s="10" customFormat="1" ht="13.15" hidden="1" customHeight="1" outlineLevel="4" x14ac:dyDescent="0.2">
      <c r="A510" s="227"/>
      <c r="B510" s="228" t="s">
        <v>19</v>
      </c>
      <c r="C510" s="229">
        <f t="shared" si="318"/>
        <v>3</v>
      </c>
      <c r="D510" s="227" t="str">
        <f t="shared" si="349"/>
        <v/>
      </c>
      <c r="E510" s="228" t="str">
        <f t="shared" ca="1" si="358"/>
        <v>04.004.001.002</v>
      </c>
      <c r="F510" s="230">
        <f ca="1">IF($B510="UNIDADE CONSTRUTIVA",OFFSET(F510,-1,0)+1,LARGE(F$10:F509,1))</f>
        <v>2</v>
      </c>
      <c r="G510" s="228" t="str">
        <f t="shared" ca="1" si="350"/>
        <v xml:space="preserve">   GERENCIAMENTO EXECUTIVO</v>
      </c>
      <c r="H510" s="230">
        <f t="shared" ca="1" si="359"/>
        <v>4</v>
      </c>
      <c r="I510" s="228" t="str">
        <f t="shared" ca="1" si="351"/>
        <v xml:space="preserve">   SUPRAESTRUTURA</v>
      </c>
      <c r="J510" s="230">
        <f t="shared" ca="1" si="360"/>
        <v>4</v>
      </c>
      <c r="K510" s="228" t="str">
        <f t="shared" ca="1" si="352"/>
        <v xml:space="preserve">   SUPRAESTRUTURA - 8º PAVIMENTO - COBERTURA</v>
      </c>
      <c r="L510" s="231">
        <f t="shared" ca="1" si="361"/>
        <v>1</v>
      </c>
      <c r="M510" s="228" t="str">
        <f t="shared" ca="1" si="353"/>
        <v xml:space="preserve">   Armadura</v>
      </c>
      <c r="N510" s="231">
        <f t="shared" ca="1" si="362"/>
        <v>2</v>
      </c>
      <c r="O510" s="228" t="str">
        <f t="shared" ca="1" si="354"/>
        <v>Cordoalha CP-190 RB 12,7</v>
      </c>
      <c r="P510" s="232" t="str">
        <f>IF(S510="","",IF(Orçamento!$B510="INSUMO",S510,""))</f>
        <v>CORDOALHA DE AÇO CP190 RB 12,7mm ENGRAXADA</v>
      </c>
      <c r="Q510" s="244" t="str">
        <f t="shared" si="355"/>
        <v/>
      </c>
      <c r="R510" s="234">
        <f t="shared" ca="1" si="356"/>
        <v>444</v>
      </c>
      <c r="S510" s="233" t="s">
        <v>618</v>
      </c>
      <c r="T510" s="242" t="str">
        <f>_xlfn.XLOOKUP(S510,Insumos!$A$3:$A$371,Insumos!$B$3:$B$371)</f>
        <v>KG</v>
      </c>
      <c r="U510" s="235">
        <f ca="1">IF($B510="insumo",R510,"")</f>
        <v>444</v>
      </c>
      <c r="V510" s="320">
        <v>1.19</v>
      </c>
      <c r="W510" s="236">
        <f>IFERROR(IF(B510="INSUMO",_xlfn.XLOOKUP(S510,Insumos!A:A,Insumos!C:C),""),"Inserir Preço")</f>
        <v>9.4989993646759849</v>
      </c>
      <c r="X510" s="235">
        <f t="shared" ca="1" si="357"/>
        <v>528.36</v>
      </c>
      <c r="Y510" s="236">
        <f t="shared" si="334"/>
        <v>11.303809243964421</v>
      </c>
      <c r="Z510" s="237">
        <f t="shared" ca="1" si="319"/>
        <v>5018.8913043202037</v>
      </c>
      <c r="AA510" s="238"/>
      <c r="AB510" s="233" t="str">
        <f>IF(B510="insumo",_xlfn.XLOOKUP(S510,Insumos!A:A,Insumos!D:D),"")</f>
        <v>AWA DISTRIBUIDORA DE MERCADORIA E SERVIÇOS LTDA</v>
      </c>
      <c r="AC510" s="239">
        <f t="shared" ca="1" si="320"/>
        <v>7.200057158632295E-4</v>
      </c>
      <c r="AE510" s="240">
        <f ca="1">IFERROR(IF(OR(Z510="",Z510=0),"",IF(AF510="","",IF(AF510="R$/mês",Z510/OBRA!$D$12,IF(AF510="R$/m²",Z510/OBRA!$D$10,IF(AF510="R$/apto",Orçamento!Z510/OBRA!$D$11,""))))),"")</f>
        <v>2.5827572157285568</v>
      </c>
      <c r="AF510" s="241" t="s">
        <v>154</v>
      </c>
    </row>
    <row r="511" spans="1:32" s="10" customFormat="1" ht="13.15" hidden="1" customHeight="1" outlineLevel="4" x14ac:dyDescent="0.2">
      <c r="A511" s="227"/>
      <c r="B511" s="228" t="s">
        <v>4</v>
      </c>
      <c r="C511" s="229">
        <f t="shared" si="318"/>
        <v>5</v>
      </c>
      <c r="D511" s="227" t="str">
        <f t="shared" ca="1" si="349"/>
        <v>04.004.001.003</v>
      </c>
      <c r="E511" s="228" t="str">
        <f t="shared" ref="E511:E543" ca="1" si="364">IF(B511="*","",IFERROR(IF(B511="SERVIÇO",D511,OFFSET(E511,-1,0)),""))</f>
        <v>04.004.001.003</v>
      </c>
      <c r="F511" s="230">
        <f ca="1">IF($B511="UNIDADE CONSTRUTIVA",OFFSET(F511,-1,0)+1,LARGE(F$10:F510,1))</f>
        <v>2</v>
      </c>
      <c r="G511" s="228" t="str">
        <f t="shared" ca="1" si="350"/>
        <v xml:space="preserve">   GERENCIAMENTO EXECUTIVO</v>
      </c>
      <c r="H511" s="230">
        <f t="shared" ref="H511:H543" ca="1" si="365">IF(B511="UNIDADE CONSTRUTIVA",0,IF(B511="CÉLULA CONSTRUTIVA",OFFSET(H511,-1,0)+1,OFFSET(H511,-1,0)))</f>
        <v>4</v>
      </c>
      <c r="I511" s="228" t="str">
        <f t="shared" ca="1" si="351"/>
        <v xml:space="preserve">   SUPRAESTRUTURA</v>
      </c>
      <c r="J511" s="230">
        <f t="shared" ref="J511:J543" ca="1" si="366">IF(B511="CÉLULA CONSTRUTIVA",0,IF(B511="ETAPA",OFFSET(J511,-1,0)+1,OFFSET(J511,-1,0)))</f>
        <v>4</v>
      </c>
      <c r="K511" s="228" t="str">
        <f t="shared" ca="1" si="352"/>
        <v xml:space="preserve">   SUPRAESTRUTURA - 8º PAVIMENTO - COBERTURA</v>
      </c>
      <c r="L511" s="231">
        <f t="shared" ref="L511:L543" ca="1" si="367">IF(B511="ETAPA",0,IF(B511="SUBETAPA",OFFSET(L511,-1,0)+1,OFFSET(L511,-1,0)))</f>
        <v>1</v>
      </c>
      <c r="M511" s="228" t="str">
        <f t="shared" ca="1" si="353"/>
        <v xml:space="preserve">   Armadura</v>
      </c>
      <c r="N511" s="231">
        <f t="shared" ref="N511:N543" ca="1" si="368">IF(B511="Subetapa",0,IF(B511="serviço",OFFSET(N511,-1,0)+1,OFFSET(N511,-1,0)))</f>
        <v>3</v>
      </c>
      <c r="O511" s="228" t="str">
        <f t="shared" ca="1" si="354"/>
        <v>Armacao aco CA-50 ø 6.3mm para supraestrutura corte e dobra em indústria</v>
      </c>
      <c r="P511" s="232" t="str">
        <f>IF(S511="","",IF(Orçamento!$B511="INSUMO",S511,""))</f>
        <v/>
      </c>
      <c r="Q511" s="244" t="str">
        <f t="shared" si="355"/>
        <v>Armacao aco CA-50 ø 6.3mm para supraestrutura corte e dobra em indústria</v>
      </c>
      <c r="R511" s="234">
        <f t="shared" ca="1" si="356"/>
        <v>312.35050000000001</v>
      </c>
      <c r="S511" s="233" t="s">
        <v>186</v>
      </c>
      <c r="T511" s="242" t="s">
        <v>159</v>
      </c>
      <c r="U511" s="235">
        <v>312.35050000000001</v>
      </c>
      <c r="V511" s="320" t="s">
        <v>35</v>
      </c>
      <c r="W511" s="236" t="str">
        <f>IFERROR(IF(B511="INSUMO",_xlfn.XLOOKUP(S511,Insumos!A:A,Insumos!C:C),""),"Inserir Preço")</f>
        <v/>
      </c>
      <c r="X511" s="235">
        <f t="shared" ca="1" si="357"/>
        <v>312.35050000000001</v>
      </c>
      <c r="Y511" s="236">
        <f t="shared" ca="1" si="334"/>
        <v>7.56555</v>
      </c>
      <c r="Z511" s="237">
        <f t="shared" ca="1" si="319"/>
        <v>2363.1033252749999</v>
      </c>
      <c r="AA511" s="238"/>
      <c r="AB511" s="233" t="str">
        <f>IF(B511="insumo",_xlfn.XLOOKUP(S511,Insumos!A:A,Insumos!D:D),"")</f>
        <v/>
      </c>
      <c r="AC511" s="239">
        <f t="shared" ca="1" si="320"/>
        <v>3.3900871690702237E-4</v>
      </c>
      <c r="AE511" s="240">
        <f ca="1">IFERROR(IF(OR(Z511="",Z511=0),"",IF(AF511="","",IF(AF511="R$/mês",Z511/OBRA!$D$12,IF(AF511="R$/m²",Z511/OBRA!$D$10,IF(AF511="R$/apto",Orçamento!Z511/OBRA!$D$11,""))))),"")</f>
        <v>1.2160698040247422</v>
      </c>
      <c r="AF511" s="241" t="s">
        <v>154</v>
      </c>
    </row>
    <row r="512" spans="1:32" s="10" customFormat="1" ht="13.15" hidden="1" customHeight="1" outlineLevel="4" x14ac:dyDescent="0.2">
      <c r="A512" s="227"/>
      <c r="B512" s="228" t="s">
        <v>19</v>
      </c>
      <c r="C512" s="229">
        <f t="shared" si="318"/>
        <v>6</v>
      </c>
      <c r="D512" s="227" t="str">
        <f t="shared" si="349"/>
        <v/>
      </c>
      <c r="E512" s="228" t="str">
        <f t="shared" ca="1" si="364"/>
        <v>04.004.001.003</v>
      </c>
      <c r="F512" s="230">
        <f ca="1">IF($B512="UNIDADE CONSTRUTIVA",OFFSET(F512,-1,0)+1,LARGE(F$10:F511,1))</f>
        <v>2</v>
      </c>
      <c r="G512" s="228" t="str">
        <f t="shared" ca="1" si="350"/>
        <v xml:space="preserve">   GERENCIAMENTO EXECUTIVO</v>
      </c>
      <c r="H512" s="230">
        <f t="shared" ca="1" si="365"/>
        <v>4</v>
      </c>
      <c r="I512" s="228" t="str">
        <f t="shared" ca="1" si="351"/>
        <v xml:space="preserve">   SUPRAESTRUTURA</v>
      </c>
      <c r="J512" s="230">
        <f t="shared" ca="1" si="366"/>
        <v>4</v>
      </c>
      <c r="K512" s="228" t="str">
        <f t="shared" ca="1" si="352"/>
        <v xml:space="preserve">   SUPRAESTRUTURA - 8º PAVIMENTO - COBERTURA</v>
      </c>
      <c r="L512" s="231">
        <f t="shared" ca="1" si="367"/>
        <v>1</v>
      </c>
      <c r="M512" s="228" t="str">
        <f t="shared" ca="1" si="353"/>
        <v xml:space="preserve">   Armadura</v>
      </c>
      <c r="N512" s="231">
        <f t="shared" ca="1" si="368"/>
        <v>3</v>
      </c>
      <c r="O512" s="228" t="str">
        <f t="shared" ca="1" si="354"/>
        <v>Armacao aco CA-50 ø 6.3mm para supraestrutura corte e dobra em indústria</v>
      </c>
      <c r="P512" s="232" t="str">
        <f>IF(S512="","",IF(Orçamento!$B512="INSUMO",S512,""))</f>
        <v>ACO CA-50A 6,30 MM (1/4)</v>
      </c>
      <c r="Q512" s="244" t="str">
        <f t="shared" si="355"/>
        <v/>
      </c>
      <c r="R512" s="234">
        <f t="shared" ca="1" si="356"/>
        <v>312.35050000000001</v>
      </c>
      <c r="S512" s="233" t="s">
        <v>160</v>
      </c>
      <c r="T512" s="242" t="str">
        <f>_xlfn.XLOOKUP(S512,Insumos!$A$3:$A$371,Insumos!$B$3:$B$371)</f>
        <v>KG</v>
      </c>
      <c r="U512" s="235">
        <f ca="1">IF($B512="insumo",R512,"")</f>
        <v>312.35050000000001</v>
      </c>
      <c r="V512" s="320">
        <v>1.1000000000000001</v>
      </c>
      <c r="W512" s="236">
        <f>IFERROR(IF(B512="INSUMO",_xlfn.XLOOKUP(S512,Insumos!A:A,Insumos!C:C),""),"Inserir Preço")</f>
        <v>5.62</v>
      </c>
      <c r="X512" s="235">
        <f t="shared" ca="1" si="357"/>
        <v>343.58555000000001</v>
      </c>
      <c r="Y512" s="236">
        <f t="shared" si="334"/>
        <v>6.1820000000000004</v>
      </c>
      <c r="Z512" s="237">
        <f t="shared" ca="1" si="319"/>
        <v>1930.9507910000002</v>
      </c>
      <c r="AA512" s="238"/>
      <c r="AB512" s="233" t="str">
        <f>IF(B512="insumo",_xlfn.XLOOKUP(S512,Insumos!A:A,Insumos!D:D),"")</f>
        <v>KNORR</v>
      </c>
      <c r="AC512" s="239">
        <f t="shared" ca="1" si="320"/>
        <v>2.770124958422339E-4</v>
      </c>
      <c r="AE512" s="240">
        <f ca="1">IFERROR(IF(OR(Z512="",Z512=0),"",IF(AF512="","",IF(AF512="R$/mês",Z512/OBRA!$D$12,IF(AF512="R$/m²",Z512/OBRA!$D$10,IF(AF512="R$/apto",Orçamento!Z512/OBRA!$D$11,""))))),"")</f>
        <v>0.99368103158143928</v>
      </c>
      <c r="AF512" s="241" t="s">
        <v>154</v>
      </c>
    </row>
    <row r="513" spans="1:32" s="10" customFormat="1" ht="13.15" hidden="1" customHeight="1" outlineLevel="4" x14ac:dyDescent="0.2">
      <c r="A513" s="227"/>
      <c r="B513" s="228" t="s">
        <v>19</v>
      </c>
      <c r="C513" s="229">
        <f t="shared" si="318"/>
        <v>42</v>
      </c>
      <c r="D513" s="227" t="str">
        <f t="shared" si="349"/>
        <v/>
      </c>
      <c r="E513" s="228" t="str">
        <f t="shared" ca="1" si="364"/>
        <v>04.004.001.003</v>
      </c>
      <c r="F513" s="230">
        <f ca="1">IF($B513="UNIDADE CONSTRUTIVA",OFFSET(F513,-1,0)+1,LARGE(F$10:F512,1))</f>
        <v>2</v>
      </c>
      <c r="G513" s="228" t="str">
        <f t="shared" ca="1" si="350"/>
        <v xml:space="preserve">   GERENCIAMENTO EXECUTIVO</v>
      </c>
      <c r="H513" s="230">
        <f t="shared" ca="1" si="365"/>
        <v>4</v>
      </c>
      <c r="I513" s="228" t="str">
        <f t="shared" ca="1" si="351"/>
        <v xml:space="preserve">   SUPRAESTRUTURA</v>
      </c>
      <c r="J513" s="230">
        <f t="shared" ca="1" si="366"/>
        <v>4</v>
      </c>
      <c r="K513" s="228" t="str">
        <f t="shared" ca="1" si="352"/>
        <v xml:space="preserve">   SUPRAESTRUTURA - 8º PAVIMENTO - COBERTURA</v>
      </c>
      <c r="L513" s="231">
        <f t="shared" ca="1" si="367"/>
        <v>1</v>
      </c>
      <c r="M513" s="228" t="str">
        <f t="shared" ca="1" si="353"/>
        <v xml:space="preserve">   Armadura</v>
      </c>
      <c r="N513" s="231">
        <f t="shared" ca="1" si="368"/>
        <v>3</v>
      </c>
      <c r="O513" s="228" t="str">
        <f t="shared" ca="1" si="354"/>
        <v>Armacao aco CA-50 ø 6.3mm para supraestrutura corte e dobra em indústria</v>
      </c>
      <c r="P513" s="232" t="str">
        <f>IF(S513="","",IF(Orçamento!$B513="INSUMO",S513,""))</f>
        <v>ARAME RECOZIDO 18 BWG, 1,25MM (0,010 KG/M)</v>
      </c>
      <c r="Q513" s="244" t="str">
        <f t="shared" si="355"/>
        <v/>
      </c>
      <c r="R513" s="234">
        <f t="shared" ca="1" si="356"/>
        <v>312.35050000000001</v>
      </c>
      <c r="S513" s="233" t="s">
        <v>161</v>
      </c>
      <c r="T513" s="242" t="str">
        <f>_xlfn.XLOOKUP(S513,Insumos!$A$3:$A$371,Insumos!$B$3:$B$371)</f>
        <v>KG</v>
      </c>
      <c r="U513" s="235">
        <f ca="1">IF($B513="insumo",R513,"")</f>
        <v>312.35050000000001</v>
      </c>
      <c r="V513" s="320">
        <v>3.5000000000000003E-2</v>
      </c>
      <c r="W513" s="236">
        <f>IFERROR(IF(B513="INSUMO",_xlfn.XLOOKUP(S513,Insumos!A:A,Insumos!C:C),""),"Inserir Preço")</f>
        <v>13.69</v>
      </c>
      <c r="X513" s="235">
        <f t="shared" ca="1" si="357"/>
        <v>10.932267500000002</v>
      </c>
      <c r="Y513" s="236">
        <f t="shared" si="334"/>
        <v>0.47915000000000002</v>
      </c>
      <c r="Z513" s="237">
        <f t="shared" ca="1" si="319"/>
        <v>149.66274207500001</v>
      </c>
      <c r="AA513" s="238"/>
      <c r="AB513" s="233" t="str">
        <f>IF(B513="insumo",_xlfn.XLOOKUP(S513,Insumos!A:A,Insumos!D:D),"")</f>
        <v>GERDAU</v>
      </c>
      <c r="AC513" s="239">
        <f t="shared" ca="1" si="320"/>
        <v>2.1470484856487604E-5</v>
      </c>
      <c r="AE513" s="240">
        <f ca="1">IFERROR(IF(OR(Z513="",Z513=0),"",IF(AF513="","",IF(AF513="R$/mês",Z513/OBRA!$D$12,IF(AF513="R$/m²",Z513/OBRA!$D$10,IF(AF513="R$/apto",Orçamento!Z513/OBRA!$D$11,""))))),"")</f>
        <v>7.7017513148212008E-2</v>
      </c>
      <c r="AF513" s="241" t="s">
        <v>154</v>
      </c>
    </row>
    <row r="514" spans="1:32" s="10" customFormat="1" ht="13.15" hidden="1" customHeight="1" outlineLevel="4" x14ac:dyDescent="0.2">
      <c r="A514" s="227"/>
      <c r="B514" s="228" t="s">
        <v>19</v>
      </c>
      <c r="C514" s="229">
        <f t="shared" si="318"/>
        <v>37</v>
      </c>
      <c r="D514" s="227" t="str">
        <f t="shared" si="349"/>
        <v/>
      </c>
      <c r="E514" s="228" t="str">
        <f t="shared" ca="1" si="364"/>
        <v>04.004.001.003</v>
      </c>
      <c r="F514" s="230">
        <f ca="1">IF($B514="UNIDADE CONSTRUTIVA",OFFSET(F514,-1,0)+1,LARGE(F$10:F513,1))</f>
        <v>2</v>
      </c>
      <c r="G514" s="228" t="str">
        <f t="shared" ca="1" si="350"/>
        <v xml:space="preserve">   GERENCIAMENTO EXECUTIVO</v>
      </c>
      <c r="H514" s="230">
        <f t="shared" ca="1" si="365"/>
        <v>4</v>
      </c>
      <c r="I514" s="228" t="str">
        <f t="shared" ca="1" si="351"/>
        <v xml:space="preserve">   SUPRAESTRUTURA</v>
      </c>
      <c r="J514" s="230">
        <f t="shared" ca="1" si="366"/>
        <v>4</v>
      </c>
      <c r="K514" s="228" t="str">
        <f t="shared" ca="1" si="352"/>
        <v xml:space="preserve">   SUPRAESTRUTURA - 8º PAVIMENTO - COBERTURA</v>
      </c>
      <c r="L514" s="231">
        <f t="shared" ca="1" si="367"/>
        <v>1</v>
      </c>
      <c r="M514" s="228" t="str">
        <f t="shared" ca="1" si="353"/>
        <v xml:space="preserve">   Armadura</v>
      </c>
      <c r="N514" s="231">
        <f t="shared" ca="1" si="368"/>
        <v>3</v>
      </c>
      <c r="O514" s="228" t="str">
        <f t="shared" ca="1" si="354"/>
        <v>Armacao aco CA-50 ø 6.3mm para supraestrutura corte e dobra em indústria</v>
      </c>
      <c r="P514" s="232" t="str">
        <f>IF(S514="","",IF(Orçamento!$B514="INSUMO",S514,""))</f>
        <v>ESPACADOR CIRCULAR 40MM</v>
      </c>
      <c r="Q514" s="244" t="str">
        <f t="shared" si="355"/>
        <v/>
      </c>
      <c r="R514" s="234">
        <f t="shared" ca="1" si="356"/>
        <v>312.35050000000001</v>
      </c>
      <c r="S514" s="233" t="s">
        <v>162</v>
      </c>
      <c r="T514" s="242" t="str">
        <f>_xlfn.XLOOKUP(S514,Insumos!$A$3:$A$371,Insumos!$B$3:$B$371)</f>
        <v>UN</v>
      </c>
      <c r="U514" s="235">
        <f ca="1">IF($B514="insumo",R514,"")</f>
        <v>312.35050000000001</v>
      </c>
      <c r="V514" s="320">
        <v>1.19</v>
      </c>
      <c r="W514" s="236">
        <f>IFERROR(IF(B514="INSUMO",_xlfn.XLOOKUP(S514,Insumos!A:A,Insumos!C:C),""),"Inserir Preço")</f>
        <v>0.76</v>
      </c>
      <c r="X514" s="235">
        <f t="shared" ca="1" si="357"/>
        <v>371.69709499999999</v>
      </c>
      <c r="Y514" s="236">
        <f t="shared" si="334"/>
        <v>0.90439999999999998</v>
      </c>
      <c r="Z514" s="237">
        <f t="shared" ca="1" si="319"/>
        <v>282.48979220000001</v>
      </c>
      <c r="AA514" s="238"/>
      <c r="AB514" s="233" t="str">
        <f>IF(B514="insumo",_xlfn.XLOOKUP(S514,Insumos!A:A,Insumos!D:D),"")</f>
        <v xml:space="preserve"> </v>
      </c>
      <c r="AC514" s="239">
        <f t="shared" ca="1" si="320"/>
        <v>4.0525736208300929E-5</v>
      </c>
      <c r="AE514" s="240">
        <f ca="1">IFERROR(IF(OR(Z514="",Z514=0),"",IF(AF514="","",IF(AF514="R$/mês",Z514/OBRA!$D$12,IF(AF514="R$/m²",Z514/OBRA!$D$10,IF(AF514="R$/apto",Orçamento!Z514/OBRA!$D$11,""))))),"")</f>
        <v>0.14537125929509118</v>
      </c>
      <c r="AF514" s="241" t="s">
        <v>154</v>
      </c>
    </row>
    <row r="515" spans="1:32" s="10" customFormat="1" ht="13.15" hidden="1" customHeight="1" outlineLevel="4" x14ac:dyDescent="0.2">
      <c r="A515" s="227"/>
      <c r="B515" s="228" t="s">
        <v>4</v>
      </c>
      <c r="C515" s="229">
        <f t="shared" si="318"/>
        <v>5</v>
      </c>
      <c r="D515" s="227" t="str">
        <f t="shared" ca="1" si="349"/>
        <v>04.004.001.004</v>
      </c>
      <c r="E515" s="228" t="str">
        <f t="shared" ca="1" si="364"/>
        <v>04.004.001.004</v>
      </c>
      <c r="F515" s="230">
        <f ca="1">IF($B515="UNIDADE CONSTRUTIVA",OFFSET(F515,-1,0)+1,LARGE(F$10:F514,1))</f>
        <v>2</v>
      </c>
      <c r="G515" s="228" t="str">
        <f t="shared" ca="1" si="350"/>
        <v xml:space="preserve">   GERENCIAMENTO EXECUTIVO</v>
      </c>
      <c r="H515" s="230">
        <f t="shared" ca="1" si="365"/>
        <v>4</v>
      </c>
      <c r="I515" s="228" t="str">
        <f t="shared" ca="1" si="351"/>
        <v xml:space="preserve">   SUPRAESTRUTURA</v>
      </c>
      <c r="J515" s="230">
        <f t="shared" ca="1" si="366"/>
        <v>4</v>
      </c>
      <c r="K515" s="228" t="str">
        <f t="shared" ca="1" si="352"/>
        <v xml:space="preserve">   SUPRAESTRUTURA - 8º PAVIMENTO - COBERTURA</v>
      </c>
      <c r="L515" s="231">
        <f t="shared" ca="1" si="367"/>
        <v>1</v>
      </c>
      <c r="M515" s="228" t="str">
        <f t="shared" ca="1" si="353"/>
        <v xml:space="preserve">   Armadura</v>
      </c>
      <c r="N515" s="231">
        <f t="shared" ca="1" si="368"/>
        <v>4</v>
      </c>
      <c r="O515" s="228" t="str">
        <f t="shared" ca="1" si="354"/>
        <v>Armacao aco CA-50 ø 8.0mm para supraestrutura corte e dobra em indústria</v>
      </c>
      <c r="P515" s="232" t="str">
        <f>IF(S515="","",IF(Orçamento!$B515="INSUMO",S515,""))</f>
        <v/>
      </c>
      <c r="Q515" s="244" t="str">
        <f t="shared" si="355"/>
        <v>Armacao aco CA-50 ø 8.0mm para supraestrutura corte e dobra em indústria</v>
      </c>
      <c r="R515" s="234">
        <f t="shared" ca="1" si="356"/>
        <v>302.34378000000004</v>
      </c>
      <c r="S515" s="233" t="s">
        <v>187</v>
      </c>
      <c r="T515" s="242" t="s">
        <v>159</v>
      </c>
      <c r="U515" s="235">
        <v>302.34378000000004</v>
      </c>
      <c r="V515" s="320" t="s">
        <v>35</v>
      </c>
      <c r="W515" s="236" t="str">
        <f>IFERROR(IF(B515="INSUMO",_xlfn.XLOOKUP(S515,Insumos!A:A,Insumos!C:C),""),"Inserir Preço")</f>
        <v/>
      </c>
      <c r="X515" s="235">
        <f t="shared" ca="1" si="357"/>
        <v>302.34378000000004</v>
      </c>
      <c r="Y515" s="236">
        <f t="shared" ca="1" si="334"/>
        <v>7.0889300000000004</v>
      </c>
      <c r="Z515" s="237">
        <f t="shared" ca="1" si="319"/>
        <v>2143.2938923554002</v>
      </c>
      <c r="AA515" s="238"/>
      <c r="AB515" s="233" t="str">
        <f>IF(B515="insumo",_xlfn.XLOOKUP(S515,Insumos!A:A,Insumos!D:D),"")</f>
        <v/>
      </c>
      <c r="AC515" s="239">
        <f t="shared" ca="1" si="320"/>
        <v>3.0747504970714994E-4</v>
      </c>
      <c r="AE515" s="240">
        <f ca="1">IFERROR(IF(OR(Z515="",Z515=0),"",IF(AF515="","",IF(AF515="R$/mês",Z515/OBRA!$D$12,IF(AF515="R$/m²",Z515/OBRA!$D$10,IF(AF515="R$/apto",Orçamento!Z515/OBRA!$D$11,""))))),"")</f>
        <v>1.1029543040995662</v>
      </c>
      <c r="AF515" s="241" t="s">
        <v>154</v>
      </c>
    </row>
    <row r="516" spans="1:32" s="10" customFormat="1" ht="13.15" hidden="1" customHeight="1" outlineLevel="4" x14ac:dyDescent="0.2">
      <c r="A516" s="227"/>
      <c r="B516" s="228" t="s">
        <v>19</v>
      </c>
      <c r="C516" s="229">
        <f t="shared" si="318"/>
        <v>5</v>
      </c>
      <c r="D516" s="227" t="str">
        <f t="shared" si="349"/>
        <v/>
      </c>
      <c r="E516" s="228" t="str">
        <f t="shared" ca="1" si="364"/>
        <v>04.004.001.004</v>
      </c>
      <c r="F516" s="230">
        <f ca="1">IF($B516="UNIDADE CONSTRUTIVA",OFFSET(F516,-1,0)+1,LARGE(F$10:F515,1))</f>
        <v>2</v>
      </c>
      <c r="G516" s="228" t="str">
        <f t="shared" ca="1" si="350"/>
        <v xml:space="preserve">   GERENCIAMENTO EXECUTIVO</v>
      </c>
      <c r="H516" s="230">
        <f t="shared" ca="1" si="365"/>
        <v>4</v>
      </c>
      <c r="I516" s="228" t="str">
        <f t="shared" ca="1" si="351"/>
        <v xml:space="preserve">   SUPRAESTRUTURA</v>
      </c>
      <c r="J516" s="230">
        <f t="shared" ca="1" si="366"/>
        <v>4</v>
      </c>
      <c r="K516" s="228" t="str">
        <f t="shared" ca="1" si="352"/>
        <v xml:space="preserve">   SUPRAESTRUTURA - 8º PAVIMENTO - COBERTURA</v>
      </c>
      <c r="L516" s="231">
        <f t="shared" ca="1" si="367"/>
        <v>1</v>
      </c>
      <c r="M516" s="228" t="str">
        <f t="shared" ca="1" si="353"/>
        <v xml:space="preserve">   Armadura</v>
      </c>
      <c r="N516" s="231">
        <f t="shared" ca="1" si="368"/>
        <v>4</v>
      </c>
      <c r="O516" s="228" t="str">
        <f t="shared" ca="1" si="354"/>
        <v>Armacao aco CA-50 ø 8.0mm para supraestrutura corte e dobra em indústria</v>
      </c>
      <c r="P516" s="232" t="str">
        <f>IF(S516="","",IF(Orçamento!$B516="INSUMO",S516,""))</f>
        <v>ACO CA-50A 8,00 MM (5/16)</v>
      </c>
      <c r="Q516" s="244" t="str">
        <f t="shared" si="355"/>
        <v/>
      </c>
      <c r="R516" s="234">
        <f t="shared" ca="1" si="356"/>
        <v>302.34378000000004</v>
      </c>
      <c r="S516" s="233" t="s">
        <v>163</v>
      </c>
      <c r="T516" s="242" t="str">
        <f>_xlfn.XLOOKUP(S516,Insumos!$A$3:$A$371,Insumos!$B$3:$B$371)</f>
        <v>KG</v>
      </c>
      <c r="U516" s="235">
        <f ca="1">IF($B516="insumo",R516,"")</f>
        <v>302.34378000000004</v>
      </c>
      <c r="V516" s="320">
        <v>1.1000000000000001</v>
      </c>
      <c r="W516" s="236">
        <f>IFERROR(IF(B516="INSUMO",_xlfn.XLOOKUP(S516,Insumos!A:A,Insumos!C:C),""),"Inserir Preço")</f>
        <v>5.62</v>
      </c>
      <c r="X516" s="235">
        <f t="shared" ca="1" si="357"/>
        <v>332.57815800000009</v>
      </c>
      <c r="Y516" s="236">
        <f t="shared" si="334"/>
        <v>6.1820000000000004</v>
      </c>
      <c r="Z516" s="237">
        <f t="shared" ca="1" si="319"/>
        <v>1869.0892479600004</v>
      </c>
      <c r="AA516" s="238"/>
      <c r="AB516" s="233" t="str">
        <f>IF(B516="insumo",_xlfn.XLOOKUP(S516,Insumos!A:A,Insumos!D:D),"")</f>
        <v>KNORR</v>
      </c>
      <c r="AC516" s="239">
        <f t="shared" ca="1" si="320"/>
        <v>2.68137893488806E-4</v>
      </c>
      <c r="AE516" s="240">
        <f ca="1">IFERROR(IF(OR(Z516="",Z516=0),"",IF(AF516="","",IF(AF516="R$/mês",Z516/OBRA!$D$12,IF(AF516="R$/m²",Z516/OBRA!$D$10,IF(AF516="R$/apto",Orçamento!Z516/OBRA!$D$11,""))))),"")</f>
        <v>0.96184664088141925</v>
      </c>
      <c r="AF516" s="241" t="s">
        <v>154</v>
      </c>
    </row>
    <row r="517" spans="1:32" s="10" customFormat="1" ht="13.15" hidden="1" customHeight="1" outlineLevel="4" x14ac:dyDescent="0.2">
      <c r="A517" s="227"/>
      <c r="B517" s="228" t="s">
        <v>19</v>
      </c>
      <c r="C517" s="229">
        <f t="shared" si="318"/>
        <v>42</v>
      </c>
      <c r="D517" s="227" t="str">
        <f t="shared" si="349"/>
        <v/>
      </c>
      <c r="E517" s="228" t="str">
        <f t="shared" ca="1" si="364"/>
        <v>04.004.001.004</v>
      </c>
      <c r="F517" s="230">
        <f ca="1">IF($B517="UNIDADE CONSTRUTIVA",OFFSET(F517,-1,0)+1,LARGE(F$10:F516,1))</f>
        <v>2</v>
      </c>
      <c r="G517" s="228" t="str">
        <f t="shared" ca="1" si="350"/>
        <v xml:space="preserve">   GERENCIAMENTO EXECUTIVO</v>
      </c>
      <c r="H517" s="230">
        <f t="shared" ca="1" si="365"/>
        <v>4</v>
      </c>
      <c r="I517" s="228" t="str">
        <f t="shared" ca="1" si="351"/>
        <v xml:space="preserve">   SUPRAESTRUTURA</v>
      </c>
      <c r="J517" s="230">
        <f t="shared" ca="1" si="366"/>
        <v>4</v>
      </c>
      <c r="K517" s="228" t="str">
        <f t="shared" ca="1" si="352"/>
        <v xml:space="preserve">   SUPRAESTRUTURA - 8º PAVIMENTO - COBERTURA</v>
      </c>
      <c r="L517" s="231">
        <f t="shared" ca="1" si="367"/>
        <v>1</v>
      </c>
      <c r="M517" s="228" t="str">
        <f t="shared" ca="1" si="353"/>
        <v xml:space="preserve">   Armadura</v>
      </c>
      <c r="N517" s="231">
        <f t="shared" ca="1" si="368"/>
        <v>4</v>
      </c>
      <c r="O517" s="228" t="str">
        <f t="shared" ca="1" si="354"/>
        <v>Armacao aco CA-50 ø 8.0mm para supraestrutura corte e dobra em indústria</v>
      </c>
      <c r="P517" s="232" t="str">
        <f>IF(S517="","",IF(Orçamento!$B517="INSUMO",S517,""))</f>
        <v>ARAME RECOZIDO 18 BWG, 1,25MM (0,010 KG/M)</v>
      </c>
      <c r="Q517" s="244" t="str">
        <f t="shared" si="355"/>
        <v/>
      </c>
      <c r="R517" s="234">
        <f t="shared" ca="1" si="356"/>
        <v>302.34378000000004</v>
      </c>
      <c r="S517" s="233" t="s">
        <v>161</v>
      </c>
      <c r="T517" s="242" t="str">
        <f>_xlfn.XLOOKUP(S517,Insumos!$A$3:$A$371,Insumos!$B$3:$B$371)</f>
        <v>KG</v>
      </c>
      <c r="U517" s="235">
        <f ca="1">IF($B517="insumo",R517,"")</f>
        <v>302.34378000000004</v>
      </c>
      <c r="V517" s="320">
        <v>2.5000000000000001E-2</v>
      </c>
      <c r="W517" s="236">
        <f>IFERROR(IF(B517="INSUMO",_xlfn.XLOOKUP(S517,Insumos!A:A,Insumos!C:C),""),"Inserir Preço")</f>
        <v>13.69</v>
      </c>
      <c r="X517" s="235">
        <f t="shared" ca="1" si="357"/>
        <v>7.5585945000000017</v>
      </c>
      <c r="Y517" s="236">
        <f t="shared" si="334"/>
        <v>0.34225</v>
      </c>
      <c r="Z517" s="237">
        <f t="shared" ca="1" si="319"/>
        <v>103.47715870500002</v>
      </c>
      <c r="AA517" s="238"/>
      <c r="AB517" s="233" t="str">
        <f>IF(B517="insumo",_xlfn.XLOOKUP(S517,Insumos!A:A,Insumos!D:D),"")</f>
        <v>GERDAU</v>
      </c>
      <c r="AC517" s="239">
        <f t="shared" ca="1" si="320"/>
        <v>1.4844741838651544E-5</v>
      </c>
      <c r="AE517" s="240">
        <f ca="1">IFERROR(IF(OR(Z517="",Z517=0),"",IF(AF517="","",IF(AF517="R$/mês",Z517/OBRA!$D$12,IF(AF517="R$/m²",Z517/OBRA!$D$10,IF(AF517="R$/apto",Orçamento!Z517/OBRA!$D$11,""))))),"")</f>
        <v>5.3250082957241304E-2</v>
      </c>
      <c r="AF517" s="241" t="s">
        <v>154</v>
      </c>
    </row>
    <row r="518" spans="1:32" s="10" customFormat="1" ht="13.15" hidden="1" customHeight="1" outlineLevel="4" x14ac:dyDescent="0.2">
      <c r="A518" s="227"/>
      <c r="B518" s="228" t="s">
        <v>19</v>
      </c>
      <c r="C518" s="229">
        <f t="shared" si="318"/>
        <v>37</v>
      </c>
      <c r="D518" s="227" t="str">
        <f t="shared" si="349"/>
        <v/>
      </c>
      <c r="E518" s="228" t="str">
        <f t="shared" ca="1" si="364"/>
        <v>04.004.001.004</v>
      </c>
      <c r="F518" s="230">
        <f ca="1">IF($B518="UNIDADE CONSTRUTIVA",OFFSET(F518,-1,0)+1,LARGE(F$10:F517,1))</f>
        <v>2</v>
      </c>
      <c r="G518" s="228" t="str">
        <f t="shared" ca="1" si="350"/>
        <v xml:space="preserve">   GERENCIAMENTO EXECUTIVO</v>
      </c>
      <c r="H518" s="230">
        <f t="shared" ca="1" si="365"/>
        <v>4</v>
      </c>
      <c r="I518" s="228" t="str">
        <f t="shared" ca="1" si="351"/>
        <v xml:space="preserve">   SUPRAESTRUTURA</v>
      </c>
      <c r="J518" s="230">
        <f t="shared" ca="1" si="366"/>
        <v>4</v>
      </c>
      <c r="K518" s="228" t="str">
        <f t="shared" ca="1" si="352"/>
        <v xml:space="preserve">   SUPRAESTRUTURA - 8º PAVIMENTO - COBERTURA</v>
      </c>
      <c r="L518" s="231">
        <f t="shared" ca="1" si="367"/>
        <v>1</v>
      </c>
      <c r="M518" s="228" t="str">
        <f t="shared" ca="1" si="353"/>
        <v xml:space="preserve">   Armadura</v>
      </c>
      <c r="N518" s="231">
        <f t="shared" ca="1" si="368"/>
        <v>4</v>
      </c>
      <c r="O518" s="228" t="str">
        <f t="shared" ca="1" si="354"/>
        <v>Armacao aco CA-50 ø 8.0mm para supraestrutura corte e dobra em indústria</v>
      </c>
      <c r="P518" s="232" t="str">
        <f>IF(S518="","",IF(Orçamento!$B518="INSUMO",S518,""))</f>
        <v>ESPACADOR CIRCULAR 40MM</v>
      </c>
      <c r="Q518" s="244" t="str">
        <f t="shared" si="355"/>
        <v/>
      </c>
      <c r="R518" s="234">
        <f t="shared" ca="1" si="356"/>
        <v>302.34378000000004</v>
      </c>
      <c r="S518" s="233" t="s">
        <v>162</v>
      </c>
      <c r="T518" s="242" t="str">
        <f>_xlfn.XLOOKUP(S518,Insumos!$A$3:$A$371,Insumos!$B$3:$B$371)</f>
        <v>UN</v>
      </c>
      <c r="U518" s="235">
        <f ca="1">IF($B518="insumo",R518,"")</f>
        <v>302.34378000000004</v>
      </c>
      <c r="V518" s="320">
        <v>0.74299999999999999</v>
      </c>
      <c r="W518" s="236">
        <f>IFERROR(IF(B518="INSUMO",_xlfn.XLOOKUP(S518,Insumos!A:A,Insumos!C:C),""),"Inserir Preço")</f>
        <v>0.76</v>
      </c>
      <c r="X518" s="235">
        <f t="shared" ca="1" si="357"/>
        <v>224.64142854000002</v>
      </c>
      <c r="Y518" s="236">
        <f t="shared" si="334"/>
        <v>0.56467999999999996</v>
      </c>
      <c r="Z518" s="237">
        <f t="shared" ca="1" si="319"/>
        <v>170.72748569040002</v>
      </c>
      <c r="AA518" s="238"/>
      <c r="AB518" s="233" t="str">
        <f>IF(B518="insumo",_xlfn.XLOOKUP(S518,Insumos!A:A,Insumos!D:D),"")</f>
        <v xml:space="preserve"> </v>
      </c>
      <c r="AC518" s="239">
        <f t="shared" ca="1" si="320"/>
        <v>2.4492414379692484E-5</v>
      </c>
      <c r="AE518" s="240">
        <f ca="1">IFERROR(IF(OR(Z518="",Z518=0),"",IF(AF518="","",IF(AF518="R$/mês",Z518/OBRA!$D$12,IF(AF518="R$/m²",Z518/OBRA!$D$10,IF(AF518="R$/apto",Orçamento!Z518/OBRA!$D$11,""))))),"")</f>
        <v>8.7857580260905815E-2</v>
      </c>
      <c r="AF518" s="241" t="s">
        <v>154</v>
      </c>
    </row>
    <row r="519" spans="1:32" s="10" customFormat="1" ht="13.15" hidden="1" customHeight="1" outlineLevel="4" x14ac:dyDescent="0.2">
      <c r="A519" s="227"/>
      <c r="B519" s="228" t="s">
        <v>4</v>
      </c>
      <c r="C519" s="229">
        <f t="shared" si="318"/>
        <v>5</v>
      </c>
      <c r="D519" s="227" t="str">
        <f t="shared" ca="1" si="349"/>
        <v>04.004.001.005</v>
      </c>
      <c r="E519" s="228" t="str">
        <f t="shared" ca="1" si="364"/>
        <v>04.004.001.005</v>
      </c>
      <c r="F519" s="230">
        <f ca="1">IF($B519="UNIDADE CONSTRUTIVA",OFFSET(F519,-1,0)+1,LARGE(F$10:F518,1))</f>
        <v>2</v>
      </c>
      <c r="G519" s="228" t="str">
        <f t="shared" ca="1" si="350"/>
        <v xml:space="preserve">   GERENCIAMENTO EXECUTIVO</v>
      </c>
      <c r="H519" s="230">
        <f t="shared" ca="1" si="365"/>
        <v>4</v>
      </c>
      <c r="I519" s="228" t="str">
        <f t="shared" ca="1" si="351"/>
        <v xml:space="preserve">   SUPRAESTRUTURA</v>
      </c>
      <c r="J519" s="230">
        <f t="shared" ca="1" si="366"/>
        <v>4</v>
      </c>
      <c r="K519" s="228" t="str">
        <f t="shared" ca="1" si="352"/>
        <v xml:space="preserve">   SUPRAESTRUTURA - 8º PAVIMENTO - COBERTURA</v>
      </c>
      <c r="L519" s="231">
        <f t="shared" ca="1" si="367"/>
        <v>1</v>
      </c>
      <c r="M519" s="228" t="str">
        <f t="shared" ca="1" si="353"/>
        <v xml:space="preserve">   Armadura</v>
      </c>
      <c r="N519" s="231">
        <f t="shared" ca="1" si="368"/>
        <v>5</v>
      </c>
      <c r="O519" s="228" t="str">
        <f t="shared" ca="1" si="354"/>
        <v>Armacao aco CA-50 ø 10.0mm para supraestrutura corte e dobra em indústria</v>
      </c>
      <c r="P519" s="232" t="str">
        <f>IF(S519="","",IF(Orçamento!$B519="INSUMO",S519,""))</f>
        <v/>
      </c>
      <c r="Q519" s="244" t="str">
        <f t="shared" si="355"/>
        <v>Armacao aco CA-50 ø 10.0mm para supraestrutura corte e dobra em indústria</v>
      </c>
      <c r="R519" s="234">
        <f t="shared" ca="1" si="356"/>
        <v>552.17007999999998</v>
      </c>
      <c r="S519" s="233" t="s">
        <v>188</v>
      </c>
      <c r="T519" s="242" t="s">
        <v>159</v>
      </c>
      <c r="U519" s="235">
        <v>552.17007999999998</v>
      </c>
      <c r="V519" s="320" t="s">
        <v>35</v>
      </c>
      <c r="W519" s="236" t="str">
        <f>IFERROR(IF(B519="INSUMO",_xlfn.XLOOKUP(S519,Insumos!A:A,Insumos!C:C),""),"Inserir Preço")</f>
        <v/>
      </c>
      <c r="X519" s="235">
        <f t="shared" ca="1" si="357"/>
        <v>552.17007999999998</v>
      </c>
      <c r="Y519" s="236">
        <f t="shared" ca="1" si="334"/>
        <v>6.5920300000000012</v>
      </c>
      <c r="Z519" s="237">
        <f t="shared" ca="1" si="319"/>
        <v>3639.9217324624005</v>
      </c>
      <c r="AA519" s="238"/>
      <c r="AB519" s="233" t="str">
        <f>IF(B519="insumo",_xlfn.XLOOKUP(S519,Insumos!A:A,Insumos!D:D),"")</f>
        <v/>
      </c>
      <c r="AC519" s="239">
        <f t="shared" ca="1" si="320"/>
        <v>5.2217995843261106E-4</v>
      </c>
      <c r="AE519" s="240">
        <f ca="1">IFERROR(IF(OR(Z519="",Z519=0),"",IF(AF519="","",IF(AF519="R$/mês",Z519/OBRA!$D$12,IF(AF519="R$/m²",Z519/OBRA!$D$10,IF(AF519="R$/apto",Orçamento!Z519/OBRA!$D$11,""))))),"")</f>
        <v>1.8731296513857858</v>
      </c>
      <c r="AF519" s="241" t="s">
        <v>154</v>
      </c>
    </row>
    <row r="520" spans="1:32" s="10" customFormat="1" ht="13.15" hidden="1" customHeight="1" outlineLevel="4" x14ac:dyDescent="0.2">
      <c r="A520" s="227"/>
      <c r="B520" s="228" t="s">
        <v>19</v>
      </c>
      <c r="C520" s="229">
        <f t="shared" si="318"/>
        <v>6</v>
      </c>
      <c r="D520" s="227" t="str">
        <f t="shared" si="349"/>
        <v/>
      </c>
      <c r="E520" s="228" t="str">
        <f t="shared" ca="1" si="364"/>
        <v>04.004.001.005</v>
      </c>
      <c r="F520" s="230">
        <f ca="1">IF($B520="UNIDADE CONSTRUTIVA",OFFSET(F520,-1,0)+1,LARGE(F$10:F519,1))</f>
        <v>2</v>
      </c>
      <c r="G520" s="228" t="str">
        <f t="shared" ca="1" si="350"/>
        <v xml:space="preserve">   GERENCIAMENTO EXECUTIVO</v>
      </c>
      <c r="H520" s="230">
        <f t="shared" ca="1" si="365"/>
        <v>4</v>
      </c>
      <c r="I520" s="228" t="str">
        <f t="shared" ca="1" si="351"/>
        <v xml:space="preserve">   SUPRAESTRUTURA</v>
      </c>
      <c r="J520" s="230">
        <f t="shared" ca="1" si="366"/>
        <v>4</v>
      </c>
      <c r="K520" s="228" t="str">
        <f t="shared" ca="1" si="352"/>
        <v xml:space="preserve">   SUPRAESTRUTURA - 8º PAVIMENTO - COBERTURA</v>
      </c>
      <c r="L520" s="231">
        <f t="shared" ca="1" si="367"/>
        <v>1</v>
      </c>
      <c r="M520" s="228" t="str">
        <f t="shared" ca="1" si="353"/>
        <v xml:space="preserve">   Armadura</v>
      </c>
      <c r="N520" s="231">
        <f t="shared" ca="1" si="368"/>
        <v>5</v>
      </c>
      <c r="O520" s="228" t="str">
        <f t="shared" ca="1" si="354"/>
        <v>Armacao aco CA-50 ø 10.0mm para supraestrutura corte e dobra em indústria</v>
      </c>
      <c r="P520" s="232" t="str">
        <f>IF(S520="","",IF(Orçamento!$B520="INSUMO",S520,""))</f>
        <v>ACO CA-50A 10,00 MM (3/8)</v>
      </c>
      <c r="Q520" s="244" t="str">
        <f t="shared" si="355"/>
        <v/>
      </c>
      <c r="R520" s="234">
        <f t="shared" ca="1" si="356"/>
        <v>552.17007999999998</v>
      </c>
      <c r="S520" s="233" t="s">
        <v>177</v>
      </c>
      <c r="T520" s="242" t="str">
        <f>_xlfn.XLOOKUP(S520,Insumos!$A$3:$A$371,Insumos!$B$3:$B$371)</f>
        <v>KG</v>
      </c>
      <c r="U520" s="235">
        <f ca="1">IF($B520="insumo",R520,"")</f>
        <v>552.17007999999998</v>
      </c>
      <c r="V520" s="320">
        <v>1.1000000000000001</v>
      </c>
      <c r="W520" s="236">
        <f>IFERROR(IF(B520="INSUMO",_xlfn.XLOOKUP(S520,Insumos!A:A,Insumos!C:C),""),"Inserir Preço")</f>
        <v>5.36</v>
      </c>
      <c r="X520" s="235">
        <f t="shared" ca="1" si="357"/>
        <v>607.38708800000006</v>
      </c>
      <c r="Y520" s="236">
        <f t="shared" si="334"/>
        <v>5.8960000000000008</v>
      </c>
      <c r="Z520" s="237">
        <f t="shared" ca="1" si="319"/>
        <v>3255.5947916800005</v>
      </c>
      <c r="AA520" s="238"/>
      <c r="AB520" s="233" t="str">
        <f>IF(B520="insumo",_xlfn.XLOOKUP(S520,Insumos!A:A,Insumos!D:D),"")</f>
        <v>KNORR</v>
      </c>
      <c r="AC520" s="239">
        <f t="shared" ca="1" si="320"/>
        <v>4.6704475479005328E-4</v>
      </c>
      <c r="AE520" s="240">
        <f ca="1">IFERROR(IF(OR(Z520="",Z520=0),"",IF(AF520="","",IF(AF520="R$/mês",Z520/OBRA!$D$12,IF(AF520="R$/m²",Z520/OBRA!$D$10,IF(AF520="R$/apto",Orçamento!Z520/OBRA!$D$11,""))))),"")</f>
        <v>1.6753522700246499</v>
      </c>
      <c r="AF520" s="241" t="s">
        <v>154</v>
      </c>
    </row>
    <row r="521" spans="1:32" s="10" customFormat="1" ht="13.15" hidden="1" customHeight="1" outlineLevel="4" x14ac:dyDescent="0.2">
      <c r="A521" s="227"/>
      <c r="B521" s="228" t="s">
        <v>19</v>
      </c>
      <c r="C521" s="229">
        <f t="shared" si="318"/>
        <v>42</v>
      </c>
      <c r="D521" s="227" t="str">
        <f t="shared" si="349"/>
        <v/>
      </c>
      <c r="E521" s="228" t="str">
        <f t="shared" ca="1" si="364"/>
        <v>04.004.001.005</v>
      </c>
      <c r="F521" s="230">
        <f ca="1">IF($B521="UNIDADE CONSTRUTIVA",OFFSET(F521,-1,0)+1,LARGE(F$10:F520,1))</f>
        <v>2</v>
      </c>
      <c r="G521" s="228" t="str">
        <f t="shared" ca="1" si="350"/>
        <v xml:space="preserve">   GERENCIAMENTO EXECUTIVO</v>
      </c>
      <c r="H521" s="230">
        <f t="shared" ca="1" si="365"/>
        <v>4</v>
      </c>
      <c r="I521" s="228" t="str">
        <f t="shared" ca="1" si="351"/>
        <v xml:space="preserve">   SUPRAESTRUTURA</v>
      </c>
      <c r="J521" s="230">
        <f t="shared" ca="1" si="366"/>
        <v>4</v>
      </c>
      <c r="K521" s="228" t="str">
        <f t="shared" ca="1" si="352"/>
        <v xml:space="preserve">   SUPRAESTRUTURA - 8º PAVIMENTO - COBERTURA</v>
      </c>
      <c r="L521" s="231">
        <f t="shared" ca="1" si="367"/>
        <v>1</v>
      </c>
      <c r="M521" s="228" t="str">
        <f t="shared" ca="1" si="353"/>
        <v xml:space="preserve">   Armadura</v>
      </c>
      <c r="N521" s="231">
        <f t="shared" ca="1" si="368"/>
        <v>5</v>
      </c>
      <c r="O521" s="228" t="str">
        <f t="shared" ca="1" si="354"/>
        <v>Armacao aco CA-50 ø 10.0mm para supraestrutura corte e dobra em indústria</v>
      </c>
      <c r="P521" s="232" t="str">
        <f>IF(S521="","",IF(Orçamento!$B521="INSUMO",S521,""))</f>
        <v>ARAME RECOZIDO 18 BWG, 1,25MM (0,010 KG/M)</v>
      </c>
      <c r="Q521" s="244" t="str">
        <f t="shared" si="355"/>
        <v/>
      </c>
      <c r="R521" s="234">
        <f t="shared" ca="1" si="356"/>
        <v>552.17007999999998</v>
      </c>
      <c r="S521" s="233" t="s">
        <v>161</v>
      </c>
      <c r="T521" s="242" t="str">
        <f>_xlfn.XLOOKUP(S521,Insumos!$A$3:$A$371,Insumos!$B$3:$B$371)</f>
        <v>KG</v>
      </c>
      <c r="U521" s="235">
        <f ca="1">IF($B521="insumo",R521,"")</f>
        <v>552.17007999999998</v>
      </c>
      <c r="V521" s="320">
        <v>2.5000000000000001E-2</v>
      </c>
      <c r="W521" s="236">
        <f>IFERROR(IF(B521="INSUMO",_xlfn.XLOOKUP(S521,Insumos!A:A,Insumos!C:C),""),"Inserir Preço")</f>
        <v>13.69</v>
      </c>
      <c r="X521" s="235">
        <f t="shared" ca="1" si="357"/>
        <v>13.804252</v>
      </c>
      <c r="Y521" s="236">
        <f t="shared" si="334"/>
        <v>0.34225</v>
      </c>
      <c r="Z521" s="237">
        <f t="shared" ca="1" si="319"/>
        <v>188.98020987999999</v>
      </c>
      <c r="AA521" s="238"/>
      <c r="AB521" s="233" t="str">
        <f>IF(B521="insumo",_xlfn.XLOOKUP(S521,Insumos!A:A,Insumos!D:D),"")</f>
        <v>GERDAU</v>
      </c>
      <c r="AC521" s="239">
        <f t="shared" ca="1" si="320"/>
        <v>2.7110934078510123E-5</v>
      </c>
      <c r="AE521" s="240">
        <f ca="1">IFERROR(IF(OR(Z521="",Z521=0),"",IF(AF521="","",IF(AF521="R$/mês",Z521/OBRA!$D$12,IF(AF521="R$/m²",Z521/OBRA!$D$10,IF(AF521="R$/apto",Orçamento!Z521/OBRA!$D$11,""))))),"")</f>
        <v>9.7250562146529232E-2</v>
      </c>
      <c r="AF521" s="241" t="s">
        <v>154</v>
      </c>
    </row>
    <row r="522" spans="1:32" s="10" customFormat="1" ht="13.15" hidden="1" customHeight="1" outlineLevel="4" x14ac:dyDescent="0.2">
      <c r="A522" s="227"/>
      <c r="B522" s="228" t="s">
        <v>19</v>
      </c>
      <c r="C522" s="229">
        <f t="shared" si="318"/>
        <v>37</v>
      </c>
      <c r="D522" s="227" t="str">
        <f t="shared" si="349"/>
        <v/>
      </c>
      <c r="E522" s="228" t="str">
        <f t="shared" ca="1" si="364"/>
        <v>04.004.001.005</v>
      </c>
      <c r="F522" s="230">
        <f ca="1">IF($B522="UNIDADE CONSTRUTIVA",OFFSET(F522,-1,0)+1,LARGE(F$10:F521,1))</f>
        <v>2</v>
      </c>
      <c r="G522" s="228" t="str">
        <f t="shared" ca="1" si="350"/>
        <v xml:space="preserve">   GERENCIAMENTO EXECUTIVO</v>
      </c>
      <c r="H522" s="230">
        <f t="shared" ca="1" si="365"/>
        <v>4</v>
      </c>
      <c r="I522" s="228" t="str">
        <f t="shared" ca="1" si="351"/>
        <v xml:space="preserve">   SUPRAESTRUTURA</v>
      </c>
      <c r="J522" s="230">
        <f t="shared" ca="1" si="366"/>
        <v>4</v>
      </c>
      <c r="K522" s="228" t="str">
        <f t="shared" ca="1" si="352"/>
        <v xml:space="preserve">   SUPRAESTRUTURA - 8º PAVIMENTO - COBERTURA</v>
      </c>
      <c r="L522" s="231">
        <f t="shared" ca="1" si="367"/>
        <v>1</v>
      </c>
      <c r="M522" s="228" t="str">
        <f t="shared" ca="1" si="353"/>
        <v xml:space="preserve">   Armadura</v>
      </c>
      <c r="N522" s="231">
        <f t="shared" ca="1" si="368"/>
        <v>5</v>
      </c>
      <c r="O522" s="228" t="str">
        <f t="shared" ca="1" si="354"/>
        <v>Armacao aco CA-50 ø 10.0mm para supraestrutura corte e dobra em indústria</v>
      </c>
      <c r="P522" s="232" t="str">
        <f>IF(S522="","",IF(Orçamento!$B522="INSUMO",S522,""))</f>
        <v>ESPACADOR CIRCULAR 40MM</v>
      </c>
      <c r="Q522" s="244" t="str">
        <f t="shared" si="355"/>
        <v/>
      </c>
      <c r="R522" s="234">
        <f t="shared" ca="1" si="356"/>
        <v>552.17007999999998</v>
      </c>
      <c r="S522" s="233" t="s">
        <v>162</v>
      </c>
      <c r="T522" s="242" t="str">
        <f>_xlfn.XLOOKUP(S522,Insumos!$A$3:$A$371,Insumos!$B$3:$B$371)</f>
        <v>UN</v>
      </c>
      <c r="U522" s="235">
        <f ca="1">IF($B522="insumo",R522,"")</f>
        <v>552.17007999999998</v>
      </c>
      <c r="V522" s="320">
        <v>0.46550000000000002</v>
      </c>
      <c r="W522" s="236">
        <f>IFERROR(IF(B522="INSUMO",_xlfn.XLOOKUP(S522,Insumos!A:A,Insumos!C:C),""),"Inserir Preço")</f>
        <v>0.76</v>
      </c>
      <c r="X522" s="235">
        <f t="shared" ca="1" si="357"/>
        <v>257.03517224000001</v>
      </c>
      <c r="Y522" s="236">
        <f t="shared" si="334"/>
        <v>0.35378000000000004</v>
      </c>
      <c r="Z522" s="237">
        <f t="shared" ca="1" si="319"/>
        <v>195.3467309024</v>
      </c>
      <c r="AA522" s="238"/>
      <c r="AB522" s="233" t="str">
        <f>IF(B522="insumo",_xlfn.XLOOKUP(S522,Insumos!A:A,Insumos!D:D),"")</f>
        <v xml:space="preserve"> </v>
      </c>
      <c r="AC522" s="239">
        <f t="shared" ca="1" si="320"/>
        <v>2.8024269564047663E-5</v>
      </c>
      <c r="AE522" s="240">
        <f ca="1">IFERROR(IF(OR(Z522="",Z522=0),"",IF(AF522="","",IF(AF522="R$/mês",Z522/OBRA!$D$12,IF(AF522="R$/m²",Z522/OBRA!$D$10,IF(AF522="R$/apto",Orçamento!Z522/OBRA!$D$11,""))))),"")</f>
        <v>0.1005268192146066</v>
      </c>
      <c r="AF522" s="241" t="s">
        <v>154</v>
      </c>
    </row>
    <row r="523" spans="1:32" s="10" customFormat="1" ht="13.15" hidden="1" customHeight="1" outlineLevel="4" x14ac:dyDescent="0.2">
      <c r="A523" s="227"/>
      <c r="B523" s="228" t="s">
        <v>4</v>
      </c>
      <c r="C523" s="229">
        <f t="shared" si="318"/>
        <v>5</v>
      </c>
      <c r="D523" s="227" t="str">
        <f t="shared" ca="1" si="349"/>
        <v>04.004.001.006</v>
      </c>
      <c r="E523" s="228" t="str">
        <f t="shared" ca="1" si="364"/>
        <v>04.004.001.006</v>
      </c>
      <c r="F523" s="230">
        <f ca="1">IF($B523="UNIDADE CONSTRUTIVA",OFFSET(F523,-1,0)+1,LARGE(F$10:F522,1))</f>
        <v>2</v>
      </c>
      <c r="G523" s="228" t="str">
        <f t="shared" ca="1" si="350"/>
        <v xml:space="preserve">   GERENCIAMENTO EXECUTIVO</v>
      </c>
      <c r="H523" s="230">
        <f t="shared" ca="1" si="365"/>
        <v>4</v>
      </c>
      <c r="I523" s="228" t="str">
        <f t="shared" ca="1" si="351"/>
        <v xml:space="preserve">   SUPRAESTRUTURA</v>
      </c>
      <c r="J523" s="230">
        <f t="shared" ca="1" si="366"/>
        <v>4</v>
      </c>
      <c r="K523" s="228" t="str">
        <f t="shared" ca="1" si="352"/>
        <v xml:space="preserve">   SUPRAESTRUTURA - 8º PAVIMENTO - COBERTURA</v>
      </c>
      <c r="L523" s="231">
        <f t="shared" ca="1" si="367"/>
        <v>1</v>
      </c>
      <c r="M523" s="228" t="str">
        <f t="shared" ca="1" si="353"/>
        <v xml:space="preserve">   Armadura</v>
      </c>
      <c r="N523" s="231">
        <f t="shared" ca="1" si="368"/>
        <v>6</v>
      </c>
      <c r="O523" s="228" t="str">
        <f t="shared" ca="1" si="354"/>
        <v>Armacao aco CA-50 ø 12.5mm para supraestrutura corte e dobra em indústria</v>
      </c>
      <c r="P523" s="232" t="str">
        <f>IF(S523="","",IF(Orçamento!$B523="INSUMO",S523,""))</f>
        <v/>
      </c>
      <c r="Q523" s="244" t="str">
        <f t="shared" si="355"/>
        <v>Armacao aco CA-50 ø 12.5mm para supraestrutura corte e dobra em indústria</v>
      </c>
      <c r="R523" s="234">
        <f t="shared" ca="1" si="356"/>
        <v>327.89</v>
      </c>
      <c r="S523" s="233" t="s">
        <v>189</v>
      </c>
      <c r="T523" s="242" t="s">
        <v>159</v>
      </c>
      <c r="U523" s="235">
        <v>327.89</v>
      </c>
      <c r="V523" s="320" t="s">
        <v>35</v>
      </c>
      <c r="W523" s="236" t="str">
        <f>IFERROR(IF(B523="INSUMO",_xlfn.XLOOKUP(S523,Insumos!A:A,Insumos!C:C),""),"Inserir Preço")</f>
        <v/>
      </c>
      <c r="X523" s="235">
        <f t="shared" ca="1" si="357"/>
        <v>327.89</v>
      </c>
      <c r="Y523" s="236">
        <f t="shared" ca="1" si="334"/>
        <v>6.3411700000000009</v>
      </c>
      <c r="Z523" s="237">
        <f t="shared" ca="1" si="319"/>
        <v>2079.2062313000001</v>
      </c>
      <c r="AA523" s="238"/>
      <c r="AB523" s="233" t="str">
        <f>IF(B523="insumo",_xlfn.XLOOKUP(S523,Insumos!A:A,Insumos!D:D),"")</f>
        <v/>
      </c>
      <c r="AC523" s="239">
        <f t="shared" ca="1" si="320"/>
        <v>2.9828109042843965E-4</v>
      </c>
      <c r="AE523" s="240">
        <f ca="1">IFERROR(IF(OR(Z523="",Z523=0),"",IF(AF523="","",IF(AF523="R$/mês",Z523/OBRA!$D$12,IF(AF523="R$/m²",Z523/OBRA!$D$10,IF(AF523="R$/apto",Orçamento!Z523/OBRA!$D$11,""))))),"")</f>
        <v>1.0699743372117558</v>
      </c>
      <c r="AF523" s="241" t="s">
        <v>154</v>
      </c>
    </row>
    <row r="524" spans="1:32" s="10" customFormat="1" ht="13.15" hidden="1" customHeight="1" outlineLevel="4" x14ac:dyDescent="0.2">
      <c r="A524" s="227"/>
      <c r="B524" s="228" t="s">
        <v>19</v>
      </c>
      <c r="C524" s="229">
        <f t="shared" ref="C524:C587" si="369">IF(B524="INSUMO",COUNTIFS(B:B,"INSUMO",S:S,S524),IF(B524="SERVIÇO",COUNTIFS(B:B,"SERVIÇO",S:S,S524),""))</f>
        <v>5</v>
      </c>
      <c r="D524" s="227" t="str">
        <f t="shared" si="349"/>
        <v/>
      </c>
      <c r="E524" s="228" t="str">
        <f t="shared" ca="1" si="364"/>
        <v>04.004.001.006</v>
      </c>
      <c r="F524" s="230">
        <f ca="1">IF($B524="UNIDADE CONSTRUTIVA",OFFSET(F524,-1,0)+1,LARGE(F$10:F523,1))</f>
        <v>2</v>
      </c>
      <c r="G524" s="228" t="str">
        <f t="shared" ca="1" si="350"/>
        <v xml:space="preserve">   GERENCIAMENTO EXECUTIVO</v>
      </c>
      <c r="H524" s="230">
        <f t="shared" ca="1" si="365"/>
        <v>4</v>
      </c>
      <c r="I524" s="228" t="str">
        <f t="shared" ca="1" si="351"/>
        <v xml:space="preserve">   SUPRAESTRUTURA</v>
      </c>
      <c r="J524" s="230">
        <f t="shared" ca="1" si="366"/>
        <v>4</v>
      </c>
      <c r="K524" s="228" t="str">
        <f t="shared" ca="1" si="352"/>
        <v xml:space="preserve">   SUPRAESTRUTURA - 8º PAVIMENTO - COBERTURA</v>
      </c>
      <c r="L524" s="231">
        <f t="shared" ca="1" si="367"/>
        <v>1</v>
      </c>
      <c r="M524" s="228" t="str">
        <f t="shared" ca="1" si="353"/>
        <v xml:space="preserve">   Armadura</v>
      </c>
      <c r="N524" s="231">
        <f t="shared" ca="1" si="368"/>
        <v>6</v>
      </c>
      <c r="O524" s="228" t="str">
        <f t="shared" ca="1" si="354"/>
        <v>Armacao aco CA-50 ø 12.5mm para supraestrutura corte e dobra em indústria</v>
      </c>
      <c r="P524" s="232" t="str">
        <f>IF(S524="","",IF(Orçamento!$B524="INSUMO",S524,""))</f>
        <v>ACO CA-50A 12,50 MM (1/2)</v>
      </c>
      <c r="Q524" s="244" t="str">
        <f t="shared" si="355"/>
        <v/>
      </c>
      <c r="R524" s="234">
        <f t="shared" ca="1" si="356"/>
        <v>327.89</v>
      </c>
      <c r="S524" s="233" t="s">
        <v>164</v>
      </c>
      <c r="T524" s="242" t="str">
        <f>_xlfn.XLOOKUP(S524,Insumos!$A$3:$A$371,Insumos!$B$3:$B$371)</f>
        <v>KG</v>
      </c>
      <c r="U524" s="235">
        <f ca="1">IF($B524="insumo",R524,"")</f>
        <v>327.89</v>
      </c>
      <c r="V524" s="320">
        <v>1.1000000000000001</v>
      </c>
      <c r="W524" s="236">
        <f>IFERROR(IF(B524="INSUMO",_xlfn.XLOOKUP(S524,Insumos!A:A,Insumos!C:C),""),"Inserir Preço")</f>
        <v>5.2</v>
      </c>
      <c r="X524" s="235">
        <f t="shared" ca="1" si="357"/>
        <v>360.67900000000003</v>
      </c>
      <c r="Y524" s="236">
        <f t="shared" si="334"/>
        <v>5.7200000000000006</v>
      </c>
      <c r="Z524" s="237">
        <f t="shared" ref="Z524:Z587" ca="1" si="370">IFERROR(IF(B524="Unidade Construtiva",SUMIFS(Z:Z,B:B,"Célula Construtiva",G:G,G524),IF(B524="célula construtiva",SUMIFS(Z:Z,B:B,"Insumo",I:I,I524,G:G,G524),IF(B524="ETAPA",SUMIFS(Z:Z,B:B,"Insumo",K:K,K524,I:I,I524,G:G,G524),IF(B524="subetapa",SUMIFS(Z:Z,M:M,M524,B:B,"insumo",K:K,K524,I:I,I524,G:G,G524),IF(B524="complemento do insumo",V524*W524,IF(B524="INSUMO",R524*V524*W524,X524*Y524)))))),"")</f>
        <v>1875.5308000000002</v>
      </c>
      <c r="AA524" s="238"/>
      <c r="AB524" s="233" t="str">
        <f>IF(B524="insumo",_xlfn.XLOOKUP(S524,Insumos!A:A,Insumos!D:D),"")</f>
        <v>KNORR</v>
      </c>
      <c r="AC524" s="239">
        <f t="shared" ref="AC524:AC587" ca="1" si="371">IFERROR(IF(B524="","",Z524/SUMIF(B:B,"INSUMO",Z:Z)),0)</f>
        <v>2.6906199285789135E-4</v>
      </c>
      <c r="AE524" s="240">
        <f ca="1">IFERROR(IF(OR(Z524="",Z524=0),"",IF(AF524="","",IF(AF524="R$/mês",Z524/OBRA!$D$12,IF(AF524="R$/m²",Z524/OBRA!$D$10,IF(AF524="R$/apto",Orçamento!Z524/OBRA!$D$11,""))))),"")</f>
        <v>0.96516150944561385</v>
      </c>
      <c r="AF524" s="241" t="s">
        <v>154</v>
      </c>
    </row>
    <row r="525" spans="1:32" s="10" customFormat="1" ht="13.15" hidden="1" customHeight="1" outlineLevel="4" x14ac:dyDescent="0.2">
      <c r="A525" s="227"/>
      <c r="B525" s="228" t="s">
        <v>19</v>
      </c>
      <c r="C525" s="229">
        <f t="shared" si="369"/>
        <v>42</v>
      </c>
      <c r="D525" s="227" t="str">
        <f t="shared" si="349"/>
        <v/>
      </c>
      <c r="E525" s="228" t="str">
        <f t="shared" ca="1" si="364"/>
        <v>04.004.001.006</v>
      </c>
      <c r="F525" s="230">
        <f ca="1">IF($B525="UNIDADE CONSTRUTIVA",OFFSET(F525,-1,0)+1,LARGE(F$10:F524,1))</f>
        <v>2</v>
      </c>
      <c r="G525" s="228" t="str">
        <f t="shared" ca="1" si="350"/>
        <v xml:space="preserve">   GERENCIAMENTO EXECUTIVO</v>
      </c>
      <c r="H525" s="230">
        <f t="shared" ca="1" si="365"/>
        <v>4</v>
      </c>
      <c r="I525" s="228" t="str">
        <f t="shared" ca="1" si="351"/>
        <v xml:space="preserve">   SUPRAESTRUTURA</v>
      </c>
      <c r="J525" s="230">
        <f t="shared" ca="1" si="366"/>
        <v>4</v>
      </c>
      <c r="K525" s="228" t="str">
        <f t="shared" ca="1" si="352"/>
        <v xml:space="preserve">   SUPRAESTRUTURA - 8º PAVIMENTO - COBERTURA</v>
      </c>
      <c r="L525" s="231">
        <f t="shared" ca="1" si="367"/>
        <v>1</v>
      </c>
      <c r="M525" s="228" t="str">
        <f t="shared" ca="1" si="353"/>
        <v xml:space="preserve">   Armadura</v>
      </c>
      <c r="N525" s="231">
        <f t="shared" ca="1" si="368"/>
        <v>6</v>
      </c>
      <c r="O525" s="228" t="str">
        <f t="shared" ca="1" si="354"/>
        <v>Armacao aco CA-50 ø 12.5mm para supraestrutura corte e dobra em indústria</v>
      </c>
      <c r="P525" s="232" t="str">
        <f>IF(S525="","",IF(Orçamento!$B525="INSUMO",S525,""))</f>
        <v>ARAME RECOZIDO 18 BWG, 1,25MM (0,010 KG/M)</v>
      </c>
      <c r="Q525" s="244" t="str">
        <f t="shared" si="355"/>
        <v/>
      </c>
      <c r="R525" s="234">
        <f t="shared" ca="1" si="356"/>
        <v>327.89</v>
      </c>
      <c r="S525" s="233" t="s">
        <v>161</v>
      </c>
      <c r="T525" s="242" t="str">
        <f>_xlfn.XLOOKUP(S525,Insumos!$A$3:$A$371,Insumos!$B$3:$B$371)</f>
        <v>KG</v>
      </c>
      <c r="U525" s="235">
        <f ca="1">IF($B525="insumo",R525,"")</f>
        <v>327.89</v>
      </c>
      <c r="V525" s="320">
        <v>2.5000000000000001E-2</v>
      </c>
      <c r="W525" s="236">
        <f>IFERROR(IF(B525="INSUMO",_xlfn.XLOOKUP(S525,Insumos!A:A,Insumos!C:C),""),"Inserir Preço")</f>
        <v>13.69</v>
      </c>
      <c r="X525" s="235">
        <f t="shared" ca="1" si="357"/>
        <v>8.1972500000000004</v>
      </c>
      <c r="Y525" s="236">
        <f t="shared" si="334"/>
        <v>0.34225</v>
      </c>
      <c r="Z525" s="237">
        <f t="shared" ca="1" si="370"/>
        <v>112.2203525</v>
      </c>
      <c r="AA525" s="238"/>
      <c r="AB525" s="233" t="str">
        <f>IF(B525="insumo",_xlfn.XLOOKUP(S525,Insumos!A:A,Insumos!D:D),"")</f>
        <v>GERDAU</v>
      </c>
      <c r="AC525" s="239">
        <f t="shared" ca="1" si="371"/>
        <v>1.6099032702030299E-5</v>
      </c>
      <c r="AE525" s="240">
        <f ca="1">IFERROR(IF(OR(Z525="",Z525=0),"",IF(AF525="","",IF(AF525="R$/mês",Z525/OBRA!$D$12,IF(AF525="R$/m²",Z525/OBRA!$D$10,IF(AF525="R$/apto",Orçamento!Z525/OBRA!$D$11,""))))),"")</f>
        <v>5.7749392763594636E-2</v>
      </c>
      <c r="AF525" s="241" t="s">
        <v>154</v>
      </c>
    </row>
    <row r="526" spans="1:32" s="10" customFormat="1" ht="13.15" hidden="1" customHeight="1" outlineLevel="4" x14ac:dyDescent="0.2">
      <c r="A526" s="227"/>
      <c r="B526" s="228" t="s">
        <v>19</v>
      </c>
      <c r="C526" s="229">
        <f t="shared" si="369"/>
        <v>37</v>
      </c>
      <c r="D526" s="227" t="str">
        <f t="shared" si="349"/>
        <v/>
      </c>
      <c r="E526" s="228" t="str">
        <f t="shared" ca="1" si="364"/>
        <v>04.004.001.006</v>
      </c>
      <c r="F526" s="230">
        <f ca="1">IF($B526="UNIDADE CONSTRUTIVA",OFFSET(F526,-1,0)+1,LARGE(F$10:F525,1))</f>
        <v>2</v>
      </c>
      <c r="G526" s="228" t="str">
        <f t="shared" ca="1" si="350"/>
        <v xml:space="preserve">   GERENCIAMENTO EXECUTIVO</v>
      </c>
      <c r="H526" s="230">
        <f t="shared" ca="1" si="365"/>
        <v>4</v>
      </c>
      <c r="I526" s="228" t="str">
        <f t="shared" ca="1" si="351"/>
        <v xml:space="preserve">   SUPRAESTRUTURA</v>
      </c>
      <c r="J526" s="230">
        <f t="shared" ca="1" si="366"/>
        <v>4</v>
      </c>
      <c r="K526" s="228" t="str">
        <f t="shared" ca="1" si="352"/>
        <v xml:space="preserve">   SUPRAESTRUTURA - 8º PAVIMENTO - COBERTURA</v>
      </c>
      <c r="L526" s="231">
        <f t="shared" ca="1" si="367"/>
        <v>1</v>
      </c>
      <c r="M526" s="228" t="str">
        <f t="shared" ca="1" si="353"/>
        <v xml:space="preserve">   Armadura</v>
      </c>
      <c r="N526" s="231">
        <f t="shared" ca="1" si="368"/>
        <v>6</v>
      </c>
      <c r="O526" s="228" t="str">
        <f t="shared" ca="1" si="354"/>
        <v>Armacao aco CA-50 ø 12.5mm para supraestrutura corte e dobra em indústria</v>
      </c>
      <c r="P526" s="232" t="str">
        <f>IF(S526="","",IF(Orçamento!$B526="INSUMO",S526,""))</f>
        <v>ESPACADOR CIRCULAR 40MM</v>
      </c>
      <c r="Q526" s="244" t="str">
        <f t="shared" si="355"/>
        <v/>
      </c>
      <c r="R526" s="234">
        <f t="shared" ca="1" si="356"/>
        <v>327.89</v>
      </c>
      <c r="S526" s="233" t="s">
        <v>162</v>
      </c>
      <c r="T526" s="242" t="str">
        <f>_xlfn.XLOOKUP(S526,Insumos!$A$3:$A$371,Insumos!$B$3:$B$371)</f>
        <v>UN</v>
      </c>
      <c r="U526" s="235">
        <f ca="1">IF($B526="insumo",R526,"")</f>
        <v>327.89</v>
      </c>
      <c r="V526" s="320">
        <v>0.36699999999999999</v>
      </c>
      <c r="W526" s="236">
        <f>IFERROR(IF(B526="INSUMO",_xlfn.XLOOKUP(S526,Insumos!A:A,Insumos!C:C),""),"Inserir Preço")</f>
        <v>0.76</v>
      </c>
      <c r="X526" s="235">
        <f t="shared" ca="1" si="357"/>
        <v>120.33562999999999</v>
      </c>
      <c r="Y526" s="236">
        <f t="shared" si="334"/>
        <v>0.27892</v>
      </c>
      <c r="Z526" s="237">
        <f t="shared" ca="1" si="370"/>
        <v>91.455078799999995</v>
      </c>
      <c r="AA526" s="238"/>
      <c r="AB526" s="233" t="str">
        <f>IF(B526="insumo",_xlfn.XLOOKUP(S526,Insumos!A:A,Insumos!D:D),"")</f>
        <v xml:space="preserve"> </v>
      </c>
      <c r="AC526" s="239">
        <f t="shared" ca="1" si="371"/>
        <v>1.3120064868518014E-5</v>
      </c>
      <c r="AE526" s="240">
        <f ca="1">IFERROR(IF(OR(Z526="",Z526=0),"",IF(AF526="","",IF(AF526="R$/mês",Z526/OBRA!$D$12,IF(AF526="R$/m²",Z526/OBRA!$D$10,IF(AF526="R$/apto",Orçamento!Z526/OBRA!$D$11,""))))),"")</f>
        <v>4.7063435002547303E-2</v>
      </c>
      <c r="AF526" s="241" t="s">
        <v>154</v>
      </c>
    </row>
    <row r="527" spans="1:32" s="10" customFormat="1" ht="13.15" hidden="1" customHeight="1" outlineLevel="4" x14ac:dyDescent="0.2">
      <c r="A527" s="227"/>
      <c r="B527" s="228" t="s">
        <v>4</v>
      </c>
      <c r="C527" s="229">
        <f t="shared" si="369"/>
        <v>5</v>
      </c>
      <c r="D527" s="227" t="str">
        <f t="shared" ca="1" si="349"/>
        <v>04.004.001.007</v>
      </c>
      <c r="E527" s="228" t="str">
        <f t="shared" ca="1" si="364"/>
        <v>04.004.001.007</v>
      </c>
      <c r="F527" s="230">
        <f ca="1">IF($B527="UNIDADE CONSTRUTIVA",OFFSET(F527,-1,0)+1,LARGE(F$10:F526,1))</f>
        <v>2</v>
      </c>
      <c r="G527" s="228" t="str">
        <f t="shared" ca="1" si="350"/>
        <v xml:space="preserve">   GERENCIAMENTO EXECUTIVO</v>
      </c>
      <c r="H527" s="230">
        <f t="shared" ca="1" si="365"/>
        <v>4</v>
      </c>
      <c r="I527" s="228" t="str">
        <f t="shared" ca="1" si="351"/>
        <v xml:space="preserve">   SUPRAESTRUTURA</v>
      </c>
      <c r="J527" s="230">
        <f t="shared" ca="1" si="366"/>
        <v>4</v>
      </c>
      <c r="K527" s="228" t="str">
        <f t="shared" ca="1" si="352"/>
        <v xml:space="preserve">   SUPRAESTRUTURA - 8º PAVIMENTO - COBERTURA</v>
      </c>
      <c r="L527" s="231">
        <f t="shared" ca="1" si="367"/>
        <v>1</v>
      </c>
      <c r="M527" s="228" t="str">
        <f t="shared" ca="1" si="353"/>
        <v xml:space="preserve">   Armadura</v>
      </c>
      <c r="N527" s="231">
        <f t="shared" ca="1" si="368"/>
        <v>7</v>
      </c>
      <c r="O527" s="228" t="str">
        <f t="shared" ca="1" si="354"/>
        <v>Armacao aco CA-50 ø 16.0mm para supraestrutura corte e dobra em indústria</v>
      </c>
      <c r="P527" s="232" t="str">
        <f>IF(S527="","",IF(Orçamento!$B527="INSUMO",S527,""))</f>
        <v/>
      </c>
      <c r="Q527" s="244" t="str">
        <f t="shared" si="355"/>
        <v>Armacao aco CA-50 ø 16.0mm para supraestrutura corte e dobra em indústria</v>
      </c>
      <c r="R527" s="234">
        <f t="shared" ca="1" si="356"/>
        <v>556.33405999999991</v>
      </c>
      <c r="S527" s="233" t="s">
        <v>190</v>
      </c>
      <c r="T527" s="242" t="s">
        <v>159</v>
      </c>
      <c r="U527" s="235">
        <v>556.33405999999991</v>
      </c>
      <c r="V527" s="320" t="s">
        <v>35</v>
      </c>
      <c r="W527" s="236" t="str">
        <f>IFERROR(IF(B527="INSUMO",_xlfn.XLOOKUP(S527,Insumos!A:A,Insumos!C:C),""),"Inserir Preço")</f>
        <v/>
      </c>
      <c r="X527" s="235">
        <f t="shared" ca="1" si="357"/>
        <v>556.33405999999991</v>
      </c>
      <c r="Y527" s="236">
        <f t="shared" ca="1" si="334"/>
        <v>6.3602700000000008</v>
      </c>
      <c r="Z527" s="237">
        <f t="shared" ca="1" si="370"/>
        <v>3538.4348317961999</v>
      </c>
      <c r="AA527" s="238"/>
      <c r="AB527" s="233" t="str">
        <f>IF(B527="insumo",_xlfn.XLOOKUP(S527,Insumos!A:A,Insumos!D:D),"")</f>
        <v/>
      </c>
      <c r="AC527" s="239">
        <f t="shared" ca="1" si="371"/>
        <v>5.0762073725521485E-4</v>
      </c>
      <c r="AE527" s="240">
        <f ca="1">IFERROR(IF(OR(Z527="",Z527=0),"",IF(AF527="","",IF(AF527="R$/mês",Z527/OBRA!$D$12,IF(AF527="R$/m²",Z527/OBRA!$D$10,IF(AF527="R$/apto",Orçamento!Z527/OBRA!$D$11,""))))),"")</f>
        <v>1.8209037693923005</v>
      </c>
      <c r="AF527" s="241" t="s">
        <v>154</v>
      </c>
    </row>
    <row r="528" spans="1:32" s="10" customFormat="1" ht="13.15" hidden="1" customHeight="1" outlineLevel="4" x14ac:dyDescent="0.2">
      <c r="A528" s="227"/>
      <c r="B528" s="228" t="s">
        <v>19</v>
      </c>
      <c r="C528" s="229">
        <f t="shared" si="369"/>
        <v>6</v>
      </c>
      <c r="D528" s="227" t="str">
        <f t="shared" si="349"/>
        <v/>
      </c>
      <c r="E528" s="228" t="str">
        <f t="shared" ca="1" si="364"/>
        <v>04.004.001.007</v>
      </c>
      <c r="F528" s="230">
        <f ca="1">IF($B528="UNIDADE CONSTRUTIVA",OFFSET(F528,-1,0)+1,LARGE(F$10:F527,1))</f>
        <v>2</v>
      </c>
      <c r="G528" s="228" t="str">
        <f t="shared" ca="1" si="350"/>
        <v xml:space="preserve">   GERENCIAMENTO EXECUTIVO</v>
      </c>
      <c r="H528" s="230">
        <f t="shared" ca="1" si="365"/>
        <v>4</v>
      </c>
      <c r="I528" s="228" t="str">
        <f t="shared" ca="1" si="351"/>
        <v xml:space="preserve">   SUPRAESTRUTURA</v>
      </c>
      <c r="J528" s="230">
        <f t="shared" ca="1" si="366"/>
        <v>4</v>
      </c>
      <c r="K528" s="228" t="str">
        <f t="shared" ca="1" si="352"/>
        <v xml:space="preserve">   SUPRAESTRUTURA - 8º PAVIMENTO - COBERTURA</v>
      </c>
      <c r="L528" s="231">
        <f t="shared" ca="1" si="367"/>
        <v>1</v>
      </c>
      <c r="M528" s="228" t="str">
        <f t="shared" ca="1" si="353"/>
        <v xml:space="preserve">   Armadura</v>
      </c>
      <c r="N528" s="231">
        <f t="shared" ca="1" si="368"/>
        <v>7</v>
      </c>
      <c r="O528" s="228" t="str">
        <f t="shared" ca="1" si="354"/>
        <v>Armacao aco CA-50 ø 16.0mm para supraestrutura corte e dobra em indústria</v>
      </c>
      <c r="P528" s="232" t="str">
        <f>IF(S528="","",IF(Orçamento!$B528="INSUMO",S528,""))</f>
        <v>ACO CA-50A 16,00 MM (5/8)</v>
      </c>
      <c r="Q528" s="244" t="str">
        <f t="shared" si="355"/>
        <v/>
      </c>
      <c r="R528" s="234">
        <f t="shared" ca="1" si="356"/>
        <v>556.33405999999991</v>
      </c>
      <c r="S528" s="233" t="s">
        <v>178</v>
      </c>
      <c r="T528" s="242" t="str">
        <f>_xlfn.XLOOKUP(S528,Insumos!$A$3:$A$371,Insumos!$B$3:$B$371)</f>
        <v>KG</v>
      </c>
      <c r="U528" s="235">
        <f ca="1">IF($B528="insumo",R528,"")</f>
        <v>556.33405999999991</v>
      </c>
      <c r="V528" s="320">
        <v>1.1000000000000001</v>
      </c>
      <c r="W528" s="236">
        <f>IFERROR(IF(B528="INSUMO",_xlfn.XLOOKUP(S528,Insumos!A:A,Insumos!C:C),""),"Inserir Preço")</f>
        <v>5.2</v>
      </c>
      <c r="X528" s="235">
        <f t="shared" ca="1" si="357"/>
        <v>611.96746599999994</v>
      </c>
      <c r="Y528" s="236">
        <f t="shared" si="334"/>
        <v>5.7200000000000006</v>
      </c>
      <c r="Z528" s="237">
        <f t="shared" ca="1" si="370"/>
        <v>3182.2308232</v>
      </c>
      <c r="AA528" s="238"/>
      <c r="AB528" s="233" t="str">
        <f>IF(B528="insumo",_xlfn.XLOOKUP(S528,Insumos!A:A,Insumos!D:D),"")</f>
        <v>KNORR</v>
      </c>
      <c r="AC528" s="239">
        <f t="shared" ca="1" si="371"/>
        <v>4.5652002463729202E-4</v>
      </c>
      <c r="AE528" s="240">
        <f ca="1">IFERROR(IF(OR(Z528="",Z528=0),"",IF(AF528="","",IF(AF528="R$/mês",Z528/OBRA!$D$12,IF(AF528="R$/m²",Z528/OBRA!$D$10,IF(AF528="R$/apto",Orçamento!Z528/OBRA!$D$11,""))))),"")</f>
        <v>1.6375986492592229</v>
      </c>
      <c r="AF528" s="241" t="s">
        <v>154</v>
      </c>
    </row>
    <row r="529" spans="1:32" s="10" customFormat="1" ht="13.15" hidden="1" customHeight="1" outlineLevel="4" x14ac:dyDescent="0.2">
      <c r="A529" s="227"/>
      <c r="B529" s="228" t="s">
        <v>19</v>
      </c>
      <c r="C529" s="229">
        <f t="shared" si="369"/>
        <v>42</v>
      </c>
      <c r="D529" s="227" t="str">
        <f t="shared" si="349"/>
        <v/>
      </c>
      <c r="E529" s="228" t="str">
        <f t="shared" ca="1" si="364"/>
        <v>04.004.001.007</v>
      </c>
      <c r="F529" s="230">
        <f ca="1">IF($B529="UNIDADE CONSTRUTIVA",OFFSET(F529,-1,0)+1,LARGE(F$10:F528,1))</f>
        <v>2</v>
      </c>
      <c r="G529" s="228" t="str">
        <f t="shared" ca="1" si="350"/>
        <v xml:space="preserve">   GERENCIAMENTO EXECUTIVO</v>
      </c>
      <c r="H529" s="230">
        <f t="shared" ca="1" si="365"/>
        <v>4</v>
      </c>
      <c r="I529" s="228" t="str">
        <f t="shared" ca="1" si="351"/>
        <v xml:space="preserve">   SUPRAESTRUTURA</v>
      </c>
      <c r="J529" s="230">
        <f t="shared" ca="1" si="366"/>
        <v>4</v>
      </c>
      <c r="K529" s="228" t="str">
        <f t="shared" ca="1" si="352"/>
        <v xml:space="preserve">   SUPRAESTRUTURA - 8º PAVIMENTO - COBERTURA</v>
      </c>
      <c r="L529" s="231">
        <f t="shared" ca="1" si="367"/>
        <v>1</v>
      </c>
      <c r="M529" s="228" t="str">
        <f t="shared" ca="1" si="353"/>
        <v xml:space="preserve">   Armadura</v>
      </c>
      <c r="N529" s="231">
        <f t="shared" ca="1" si="368"/>
        <v>7</v>
      </c>
      <c r="O529" s="228" t="str">
        <f t="shared" ca="1" si="354"/>
        <v>Armacao aco CA-50 ø 16.0mm para supraestrutura corte e dobra em indústria</v>
      </c>
      <c r="P529" s="232" t="str">
        <f>IF(S529="","",IF(Orçamento!$B529="INSUMO",S529,""))</f>
        <v>ARAME RECOZIDO 18 BWG, 1,25MM (0,010 KG/M)</v>
      </c>
      <c r="Q529" s="244" t="str">
        <f t="shared" si="355"/>
        <v/>
      </c>
      <c r="R529" s="234">
        <f t="shared" ca="1" si="356"/>
        <v>556.33405999999991</v>
      </c>
      <c r="S529" s="233" t="s">
        <v>161</v>
      </c>
      <c r="T529" s="242" t="str">
        <f>_xlfn.XLOOKUP(S529,Insumos!$A$3:$A$371,Insumos!$B$3:$B$371)</f>
        <v>KG</v>
      </c>
      <c r="U529" s="235">
        <f ca="1">IF($B529="insumo",R529,"")</f>
        <v>556.33405999999991</v>
      </c>
      <c r="V529" s="320">
        <v>3.5000000000000003E-2</v>
      </c>
      <c r="W529" s="236">
        <f>IFERROR(IF(B529="INSUMO",_xlfn.XLOOKUP(S529,Insumos!A:A,Insumos!C:C),""),"Inserir Preço")</f>
        <v>13.69</v>
      </c>
      <c r="X529" s="235">
        <f t="shared" ca="1" si="357"/>
        <v>19.471692099999999</v>
      </c>
      <c r="Y529" s="236">
        <f t="shared" si="334"/>
        <v>0.47915000000000002</v>
      </c>
      <c r="Z529" s="237">
        <f t="shared" ca="1" si="370"/>
        <v>266.56746484899998</v>
      </c>
      <c r="AA529" s="238"/>
      <c r="AB529" s="233" t="str">
        <f>IF(B529="insumo",_xlfn.XLOOKUP(S529,Insumos!A:A,Insumos!D:D),"")</f>
        <v>GERDAU</v>
      </c>
      <c r="AC529" s="239">
        <f t="shared" ca="1" si="371"/>
        <v>3.8241533182685044E-5</v>
      </c>
      <c r="AE529" s="240">
        <f ca="1">IFERROR(IF(OR(Z529="",Z529=0),"",IF(AF529="","",IF(AF529="R$/mês",Z529/OBRA!$D$12,IF(AF529="R$/m²",Z529/OBRA!$D$10,IF(AF529="R$/apto",Orçamento!Z529/OBRA!$D$11,""))))),"")</f>
        <v>0.13717751622247493</v>
      </c>
      <c r="AF529" s="241" t="s">
        <v>154</v>
      </c>
    </row>
    <row r="530" spans="1:32" s="10" customFormat="1" ht="13.15" hidden="1" customHeight="1" outlineLevel="4" x14ac:dyDescent="0.2">
      <c r="A530" s="227"/>
      <c r="B530" s="228" t="s">
        <v>19</v>
      </c>
      <c r="C530" s="229">
        <f t="shared" si="369"/>
        <v>37</v>
      </c>
      <c r="D530" s="227" t="str">
        <f t="shared" si="349"/>
        <v/>
      </c>
      <c r="E530" s="228" t="str">
        <f t="shared" ca="1" si="364"/>
        <v>04.004.001.007</v>
      </c>
      <c r="F530" s="230">
        <f ca="1">IF($B530="UNIDADE CONSTRUTIVA",OFFSET(F530,-1,0)+1,LARGE(F$10:F529,1))</f>
        <v>2</v>
      </c>
      <c r="G530" s="228" t="str">
        <f t="shared" ca="1" si="350"/>
        <v xml:space="preserve">   GERENCIAMENTO EXECUTIVO</v>
      </c>
      <c r="H530" s="230">
        <f t="shared" ca="1" si="365"/>
        <v>4</v>
      </c>
      <c r="I530" s="228" t="str">
        <f t="shared" ca="1" si="351"/>
        <v xml:space="preserve">   SUPRAESTRUTURA</v>
      </c>
      <c r="J530" s="230">
        <f t="shared" ca="1" si="366"/>
        <v>4</v>
      </c>
      <c r="K530" s="228" t="str">
        <f t="shared" ca="1" si="352"/>
        <v xml:space="preserve">   SUPRAESTRUTURA - 8º PAVIMENTO - COBERTURA</v>
      </c>
      <c r="L530" s="231">
        <f t="shared" ca="1" si="367"/>
        <v>1</v>
      </c>
      <c r="M530" s="228" t="str">
        <f t="shared" ca="1" si="353"/>
        <v xml:space="preserve">   Armadura</v>
      </c>
      <c r="N530" s="231">
        <f t="shared" ca="1" si="368"/>
        <v>7</v>
      </c>
      <c r="O530" s="228" t="str">
        <f t="shared" ca="1" si="354"/>
        <v>Armacao aco CA-50 ø 16.0mm para supraestrutura corte e dobra em indústria</v>
      </c>
      <c r="P530" s="232" t="str">
        <f>IF(S530="","",IF(Orçamento!$B530="INSUMO",S530,""))</f>
        <v>ESPACADOR CIRCULAR 40MM</v>
      </c>
      <c r="Q530" s="244" t="str">
        <f t="shared" si="355"/>
        <v/>
      </c>
      <c r="R530" s="234">
        <f t="shared" ca="1" si="356"/>
        <v>556.33405999999991</v>
      </c>
      <c r="S530" s="233" t="s">
        <v>162</v>
      </c>
      <c r="T530" s="242" t="str">
        <f>_xlfn.XLOOKUP(S530,Insumos!$A$3:$A$371,Insumos!$B$3:$B$371)</f>
        <v>UN</v>
      </c>
      <c r="U530" s="235">
        <f ca="1">IF($B530="insumo",R530,"")</f>
        <v>556.33405999999991</v>
      </c>
      <c r="V530" s="320">
        <v>0.21199999999999999</v>
      </c>
      <c r="W530" s="236">
        <f>IFERROR(IF(B530="INSUMO",_xlfn.XLOOKUP(S530,Insumos!A:A,Insumos!C:C),""),"Inserir Preço")</f>
        <v>0.76</v>
      </c>
      <c r="X530" s="235">
        <f t="shared" ca="1" si="357"/>
        <v>117.94282071999997</v>
      </c>
      <c r="Y530" s="236">
        <f t="shared" si="334"/>
        <v>0.16111999999999999</v>
      </c>
      <c r="Z530" s="237">
        <f t="shared" ca="1" si="370"/>
        <v>89.63654374719998</v>
      </c>
      <c r="AA530" s="238"/>
      <c r="AB530" s="233" t="str">
        <f>IF(B530="insumo",_xlfn.XLOOKUP(S530,Insumos!A:A,Insumos!D:D),"")</f>
        <v xml:space="preserve"> </v>
      </c>
      <c r="AC530" s="239">
        <f t="shared" ca="1" si="371"/>
        <v>1.2859179435237844E-5</v>
      </c>
      <c r="AE530" s="240">
        <f ca="1">IFERROR(IF(OR(Z530="",Z530=0),"",IF(AF530="","",IF(AF530="R$/mês",Z530/OBRA!$D$12,IF(AF530="R$/m²",Z530/OBRA!$D$10,IF(AF530="R$/apto",Orçamento!Z530/OBRA!$D$11,""))))),"")</f>
        <v>4.6127603910602437E-2</v>
      </c>
      <c r="AF530" s="241" t="s">
        <v>154</v>
      </c>
    </row>
    <row r="531" spans="1:32" s="10" customFormat="1" ht="13.15" hidden="1" customHeight="1" outlineLevel="4" x14ac:dyDescent="0.2">
      <c r="A531" s="227"/>
      <c r="B531" s="228" t="s">
        <v>4</v>
      </c>
      <c r="C531" s="229">
        <f t="shared" si="369"/>
        <v>5</v>
      </c>
      <c r="D531" s="227" t="str">
        <f t="shared" ca="1" si="349"/>
        <v>04.004.001.008</v>
      </c>
      <c r="E531" s="228" t="str">
        <f t="shared" ca="1" si="364"/>
        <v>04.004.001.008</v>
      </c>
      <c r="F531" s="230">
        <f ca="1">IF($B531="UNIDADE CONSTRUTIVA",OFFSET(F531,-1,0)+1,LARGE(F$10:F530,1))</f>
        <v>2</v>
      </c>
      <c r="G531" s="228" t="str">
        <f t="shared" ca="1" si="350"/>
        <v xml:space="preserve">   GERENCIAMENTO EXECUTIVO</v>
      </c>
      <c r="H531" s="230">
        <f t="shared" ca="1" si="365"/>
        <v>4</v>
      </c>
      <c r="I531" s="228" t="str">
        <f t="shared" ca="1" si="351"/>
        <v xml:space="preserve">   SUPRAESTRUTURA</v>
      </c>
      <c r="J531" s="230">
        <f t="shared" ca="1" si="366"/>
        <v>4</v>
      </c>
      <c r="K531" s="228" t="str">
        <f t="shared" ca="1" si="352"/>
        <v xml:space="preserve">   SUPRAESTRUTURA - 8º PAVIMENTO - COBERTURA</v>
      </c>
      <c r="L531" s="231">
        <f t="shared" ca="1" si="367"/>
        <v>1</v>
      </c>
      <c r="M531" s="228" t="str">
        <f t="shared" ca="1" si="353"/>
        <v xml:space="preserve">   Armadura</v>
      </c>
      <c r="N531" s="231">
        <f t="shared" ca="1" si="368"/>
        <v>8</v>
      </c>
      <c r="O531" s="228" t="str">
        <f t="shared" ca="1" si="354"/>
        <v>Armacao aco CA-50 ø 20.0mm para supraestrutura corte e dobra em indústria</v>
      </c>
      <c r="P531" s="232" t="str">
        <f>IF(S531="","",IF(Orçamento!$B531="INSUMO",S531,""))</f>
        <v/>
      </c>
      <c r="Q531" s="244" t="str">
        <f t="shared" si="355"/>
        <v>Armacao aco CA-50 ø 20.0mm para supraestrutura corte e dobra em indústria</v>
      </c>
      <c r="R531" s="234">
        <f t="shared" ca="1" si="356"/>
        <v>330.85230000000001</v>
      </c>
      <c r="S531" s="233" t="s">
        <v>191</v>
      </c>
      <c r="T531" s="242" t="s">
        <v>159</v>
      </c>
      <c r="U531" s="235">
        <v>330.85230000000001</v>
      </c>
      <c r="V531" s="320" t="s">
        <v>35</v>
      </c>
      <c r="W531" s="236" t="str">
        <f>IFERROR(IF(B531="INSUMO",_xlfn.XLOOKUP(S531,Insumos!A:A,Insumos!C:C),""),"Inserir Preço")</f>
        <v/>
      </c>
      <c r="X531" s="235">
        <f t="shared" ca="1" si="357"/>
        <v>330.85230000000001</v>
      </c>
      <c r="Y531" s="236">
        <f t="shared" ca="1" si="334"/>
        <v>6.148130000000001</v>
      </c>
      <c r="Z531" s="237">
        <f t="shared" ca="1" si="370"/>
        <v>2034.1229511990005</v>
      </c>
      <c r="AA531" s="238"/>
      <c r="AB531" s="233" t="str">
        <f>IF(B531="insumo",_xlfn.XLOOKUP(S531,Insumos!A:A,Insumos!D:D),"")</f>
        <v/>
      </c>
      <c r="AC531" s="239">
        <f t="shared" ca="1" si="371"/>
        <v>2.91813482864466E-4</v>
      </c>
      <c r="AE531" s="240">
        <f ca="1">IFERROR(IF(OR(Z531="",Z531=0),"",IF(AF531="","",IF(AF531="R$/mês",Z531/OBRA!$D$12,IF(AF531="R$/m²",Z531/OBRA!$D$10,IF(AF531="R$/apto",Orçamento!Z531/OBRA!$D$11,""))))),"")</f>
        <v>1.0467741601349303</v>
      </c>
      <c r="AF531" s="241" t="s">
        <v>154</v>
      </c>
    </row>
    <row r="532" spans="1:32" s="10" customFormat="1" ht="13.15" hidden="1" customHeight="1" outlineLevel="4" x14ac:dyDescent="0.2">
      <c r="A532" s="227"/>
      <c r="B532" s="228" t="s">
        <v>19</v>
      </c>
      <c r="C532" s="229">
        <f t="shared" si="369"/>
        <v>5</v>
      </c>
      <c r="D532" s="227" t="str">
        <f t="shared" si="349"/>
        <v/>
      </c>
      <c r="E532" s="228" t="str">
        <f t="shared" ca="1" si="364"/>
        <v>04.004.001.008</v>
      </c>
      <c r="F532" s="230">
        <f ca="1">IF($B532="UNIDADE CONSTRUTIVA",OFFSET(F532,-1,0)+1,LARGE(F$10:F531,1))</f>
        <v>2</v>
      </c>
      <c r="G532" s="228" t="str">
        <f t="shared" ca="1" si="350"/>
        <v xml:space="preserve">   GERENCIAMENTO EXECUTIVO</v>
      </c>
      <c r="H532" s="230">
        <f t="shared" ca="1" si="365"/>
        <v>4</v>
      </c>
      <c r="I532" s="228" t="str">
        <f t="shared" ca="1" si="351"/>
        <v xml:space="preserve">   SUPRAESTRUTURA</v>
      </c>
      <c r="J532" s="230">
        <f t="shared" ca="1" si="366"/>
        <v>4</v>
      </c>
      <c r="K532" s="228" t="str">
        <f t="shared" ca="1" si="352"/>
        <v xml:space="preserve">   SUPRAESTRUTURA - 8º PAVIMENTO - COBERTURA</v>
      </c>
      <c r="L532" s="231">
        <f t="shared" ca="1" si="367"/>
        <v>1</v>
      </c>
      <c r="M532" s="228" t="str">
        <f t="shared" ca="1" si="353"/>
        <v xml:space="preserve">   Armadura</v>
      </c>
      <c r="N532" s="231">
        <f t="shared" ca="1" si="368"/>
        <v>8</v>
      </c>
      <c r="O532" s="228" t="str">
        <f t="shared" ca="1" si="354"/>
        <v>Armacao aco CA-50 ø 20.0mm para supraestrutura corte e dobra em indústria</v>
      </c>
      <c r="P532" s="232" t="str">
        <f>IF(S532="","",IF(Orçamento!$B532="INSUMO",S532,""))</f>
        <v>ACO CA-50A 20,00 MM (3/4)</v>
      </c>
      <c r="Q532" s="244" t="str">
        <f t="shared" si="355"/>
        <v/>
      </c>
      <c r="R532" s="234">
        <f t="shared" ca="1" si="356"/>
        <v>330.85230000000001</v>
      </c>
      <c r="S532" s="233" t="s">
        <v>165</v>
      </c>
      <c r="T532" s="242" t="str">
        <f>_xlfn.XLOOKUP(S532,Insumos!$A$3:$A$371,Insumos!$B$3:$B$371)</f>
        <v>KG</v>
      </c>
      <c r="U532" s="235">
        <f ca="1">IF($B532="insumo",R532,"")</f>
        <v>330.85230000000001</v>
      </c>
      <c r="V532" s="320">
        <v>1.1000000000000001</v>
      </c>
      <c r="W532" s="236">
        <f>IFERROR(IF(B532="INSUMO",_xlfn.XLOOKUP(S532,Insumos!A:A,Insumos!C:C),""),"Inserir Preço")</f>
        <v>5.2</v>
      </c>
      <c r="X532" s="235">
        <f t="shared" ca="1" si="357"/>
        <v>363.93753000000004</v>
      </c>
      <c r="Y532" s="236">
        <f t="shared" si="334"/>
        <v>5.7200000000000006</v>
      </c>
      <c r="Z532" s="237">
        <f t="shared" ca="1" si="370"/>
        <v>1892.4751560000002</v>
      </c>
      <c r="AA532" s="238"/>
      <c r="AB532" s="233" t="str">
        <f>IF(B532="insumo",_xlfn.XLOOKUP(S532,Insumos!A:A,Insumos!D:D),"")</f>
        <v>KNORR</v>
      </c>
      <c r="AC532" s="239">
        <f t="shared" ca="1" si="371"/>
        <v>2.7149281521125047E-4</v>
      </c>
      <c r="AE532" s="240">
        <f ca="1">IFERROR(IF(OR(Z532="",Z532=0),"",IF(AF532="","",IF(AF532="R$/mês",Z532/OBRA!$D$12,IF(AF532="R$/m²",Z532/OBRA!$D$10,IF(AF532="R$/apto",Orçamento!Z532/OBRA!$D$11,""))))),"")</f>
        <v>0.97388119574111154</v>
      </c>
      <c r="AF532" s="241" t="s">
        <v>154</v>
      </c>
    </row>
    <row r="533" spans="1:32" s="10" customFormat="1" ht="13.15" hidden="1" customHeight="1" outlineLevel="4" x14ac:dyDescent="0.2">
      <c r="A533" s="227"/>
      <c r="B533" s="228" t="s">
        <v>19</v>
      </c>
      <c r="C533" s="229">
        <f t="shared" si="369"/>
        <v>42</v>
      </c>
      <c r="D533" s="227" t="str">
        <f t="shared" si="349"/>
        <v/>
      </c>
      <c r="E533" s="228" t="str">
        <f t="shared" ca="1" si="364"/>
        <v>04.004.001.008</v>
      </c>
      <c r="F533" s="230">
        <f ca="1">IF($B533="UNIDADE CONSTRUTIVA",OFFSET(F533,-1,0)+1,LARGE(F$10:F532,1))</f>
        <v>2</v>
      </c>
      <c r="G533" s="228" t="str">
        <f t="shared" ca="1" si="350"/>
        <v xml:space="preserve">   GERENCIAMENTO EXECUTIVO</v>
      </c>
      <c r="H533" s="230">
        <f t="shared" ca="1" si="365"/>
        <v>4</v>
      </c>
      <c r="I533" s="228" t="str">
        <f t="shared" ca="1" si="351"/>
        <v xml:space="preserve">   SUPRAESTRUTURA</v>
      </c>
      <c r="J533" s="230">
        <f t="shared" ca="1" si="366"/>
        <v>4</v>
      </c>
      <c r="K533" s="228" t="str">
        <f t="shared" ca="1" si="352"/>
        <v xml:space="preserve">   SUPRAESTRUTURA - 8º PAVIMENTO - COBERTURA</v>
      </c>
      <c r="L533" s="231">
        <f t="shared" ca="1" si="367"/>
        <v>1</v>
      </c>
      <c r="M533" s="228" t="str">
        <f t="shared" ca="1" si="353"/>
        <v xml:space="preserve">   Armadura</v>
      </c>
      <c r="N533" s="231">
        <f t="shared" ca="1" si="368"/>
        <v>8</v>
      </c>
      <c r="O533" s="228" t="str">
        <f t="shared" ca="1" si="354"/>
        <v>Armacao aco CA-50 ø 20.0mm para supraestrutura corte e dobra em indústria</v>
      </c>
      <c r="P533" s="232" t="str">
        <f>IF(S533="","",IF(Orçamento!$B533="INSUMO",S533,""))</f>
        <v>ARAME RECOZIDO 18 BWG, 1,25MM (0,010 KG/M)</v>
      </c>
      <c r="Q533" s="244" t="str">
        <f t="shared" si="355"/>
        <v/>
      </c>
      <c r="R533" s="234">
        <f t="shared" ca="1" si="356"/>
        <v>330.85230000000001</v>
      </c>
      <c r="S533" s="233" t="s">
        <v>161</v>
      </c>
      <c r="T533" s="242" t="str">
        <f>_xlfn.XLOOKUP(S533,Insumos!$A$3:$A$371,Insumos!$B$3:$B$371)</f>
        <v>KG</v>
      </c>
      <c r="U533" s="235">
        <f ca="1">IF($B533="insumo",R533,"")</f>
        <v>330.85230000000001</v>
      </c>
      <c r="V533" s="320">
        <v>2.5000000000000001E-2</v>
      </c>
      <c r="W533" s="236">
        <f>IFERROR(IF(B533="INSUMO",_xlfn.XLOOKUP(S533,Insumos!A:A,Insumos!C:C),""),"Inserir Preço")</f>
        <v>13.69</v>
      </c>
      <c r="X533" s="235">
        <f t="shared" ca="1" si="357"/>
        <v>8.2713075000000007</v>
      </c>
      <c r="Y533" s="236">
        <f t="shared" si="334"/>
        <v>0.34225</v>
      </c>
      <c r="Z533" s="237">
        <f t="shared" ca="1" si="370"/>
        <v>113.234199675</v>
      </c>
      <c r="AA533" s="238"/>
      <c r="AB533" s="233" t="str">
        <f>IF(B533="insumo",_xlfn.XLOOKUP(S533,Insumos!A:A,Insumos!D:D),"")</f>
        <v>GERDAU</v>
      </c>
      <c r="AC533" s="239">
        <f t="shared" ca="1" si="371"/>
        <v>1.6244478322736097E-5</v>
      </c>
      <c r="AE533" s="240">
        <f ca="1">IFERROR(IF(OR(Z533="",Z533=0),"",IF(AF533="","",IF(AF533="R$/mês",Z533/OBRA!$D$12,IF(AF533="R$/m²",Z533/OBRA!$D$10,IF(AF533="R$/apto",Orçamento!Z533/OBRA!$D$11,""))))),"")</f>
        <v>5.8271125741677518E-2</v>
      </c>
      <c r="AF533" s="241" t="s">
        <v>154</v>
      </c>
    </row>
    <row r="534" spans="1:32" s="10" customFormat="1" ht="13.15" hidden="1" customHeight="1" outlineLevel="4" x14ac:dyDescent="0.2">
      <c r="A534" s="227"/>
      <c r="B534" s="228" t="s">
        <v>19</v>
      </c>
      <c r="C534" s="229">
        <f t="shared" si="369"/>
        <v>37</v>
      </c>
      <c r="D534" s="227" t="str">
        <f t="shared" si="349"/>
        <v/>
      </c>
      <c r="E534" s="228" t="str">
        <f t="shared" ca="1" si="364"/>
        <v>04.004.001.008</v>
      </c>
      <c r="F534" s="230">
        <f ca="1">IF($B534="UNIDADE CONSTRUTIVA",OFFSET(F534,-1,0)+1,LARGE(F$10:F533,1))</f>
        <v>2</v>
      </c>
      <c r="G534" s="228" t="str">
        <f t="shared" ca="1" si="350"/>
        <v xml:space="preserve">   GERENCIAMENTO EXECUTIVO</v>
      </c>
      <c r="H534" s="230">
        <f t="shared" ca="1" si="365"/>
        <v>4</v>
      </c>
      <c r="I534" s="228" t="str">
        <f t="shared" ca="1" si="351"/>
        <v xml:space="preserve">   SUPRAESTRUTURA</v>
      </c>
      <c r="J534" s="230">
        <f t="shared" ca="1" si="366"/>
        <v>4</v>
      </c>
      <c r="K534" s="228" t="str">
        <f t="shared" ca="1" si="352"/>
        <v xml:space="preserve">   SUPRAESTRUTURA - 8º PAVIMENTO - COBERTURA</v>
      </c>
      <c r="L534" s="231">
        <f t="shared" ca="1" si="367"/>
        <v>1</v>
      </c>
      <c r="M534" s="228" t="str">
        <f t="shared" ca="1" si="353"/>
        <v xml:space="preserve">   Armadura</v>
      </c>
      <c r="N534" s="231">
        <f t="shared" ca="1" si="368"/>
        <v>8</v>
      </c>
      <c r="O534" s="228" t="str">
        <f t="shared" ca="1" si="354"/>
        <v>Armacao aco CA-50 ø 20.0mm para supraestrutura corte e dobra em indústria</v>
      </c>
      <c r="P534" s="232" t="str">
        <f>IF(S534="","",IF(Orçamento!$B534="INSUMO",S534,""))</f>
        <v>ESPACADOR CIRCULAR 40MM</v>
      </c>
      <c r="Q534" s="244" t="str">
        <f t="shared" si="355"/>
        <v/>
      </c>
      <c r="R534" s="234">
        <f t="shared" ca="1" si="356"/>
        <v>330.85230000000001</v>
      </c>
      <c r="S534" s="233" t="s">
        <v>162</v>
      </c>
      <c r="T534" s="242" t="str">
        <f>_xlfn.XLOOKUP(S534,Insumos!$A$3:$A$371,Insumos!$B$3:$B$371)</f>
        <v>UN</v>
      </c>
      <c r="U534" s="235">
        <f ca="1">IF($B534="insumo",R534,"")</f>
        <v>330.85230000000001</v>
      </c>
      <c r="V534" s="320">
        <v>0.113</v>
      </c>
      <c r="W534" s="236">
        <f>IFERROR(IF(B534="INSUMO",_xlfn.XLOOKUP(S534,Insumos!A:A,Insumos!C:C),""),"Inserir Preço")</f>
        <v>0.76</v>
      </c>
      <c r="X534" s="235">
        <f t="shared" ca="1" si="357"/>
        <v>37.386309900000001</v>
      </c>
      <c r="Y534" s="236">
        <f t="shared" si="334"/>
        <v>8.5879999999999998E-2</v>
      </c>
      <c r="Z534" s="237">
        <f t="shared" ca="1" si="370"/>
        <v>28.413595524000002</v>
      </c>
      <c r="AA534" s="238"/>
      <c r="AB534" s="233" t="str">
        <f>IF(B534="insumo",_xlfn.XLOOKUP(S534,Insumos!A:A,Insumos!D:D),"")</f>
        <v xml:space="preserve"> </v>
      </c>
      <c r="AC534" s="239">
        <f t="shared" ca="1" si="371"/>
        <v>4.0761893304794038E-6</v>
      </c>
      <c r="AE534" s="240">
        <f ca="1">IFERROR(IF(OR(Z534="",Z534=0),"",IF(AF534="","",IF(AF534="R$/mês",Z534/OBRA!$D$12,IF(AF534="R$/m²",Z534/OBRA!$D$10,IF(AF534="R$/apto",Orçamento!Z534/OBRA!$D$11,""))))),"")</f>
        <v>1.4621838652141023E-2</v>
      </c>
      <c r="AF534" s="241" t="s">
        <v>154</v>
      </c>
    </row>
    <row r="535" spans="1:32" s="10" customFormat="1" ht="13.15" hidden="1" customHeight="1" outlineLevel="4" x14ac:dyDescent="0.2">
      <c r="A535" s="227"/>
      <c r="B535" s="228" t="s">
        <v>4</v>
      </c>
      <c r="C535" s="229">
        <f t="shared" si="369"/>
        <v>5</v>
      </c>
      <c r="D535" s="227" t="str">
        <f t="shared" ca="1" si="349"/>
        <v>04.004.001.009</v>
      </c>
      <c r="E535" s="228" t="str">
        <f t="shared" ca="1" si="364"/>
        <v>04.004.001.009</v>
      </c>
      <c r="F535" s="230">
        <f ca="1">IF($B535="UNIDADE CONSTRUTIVA",OFFSET(F535,-1,0)+1,LARGE(F$10:F534,1))</f>
        <v>2</v>
      </c>
      <c r="G535" s="228" t="str">
        <f t="shared" ca="1" si="350"/>
        <v xml:space="preserve">   GERENCIAMENTO EXECUTIVO</v>
      </c>
      <c r="H535" s="230">
        <f t="shared" ca="1" si="365"/>
        <v>4</v>
      </c>
      <c r="I535" s="228" t="str">
        <f t="shared" ca="1" si="351"/>
        <v xml:space="preserve">   SUPRAESTRUTURA</v>
      </c>
      <c r="J535" s="230">
        <f t="shared" ca="1" si="366"/>
        <v>4</v>
      </c>
      <c r="K535" s="228" t="str">
        <f t="shared" ca="1" si="352"/>
        <v xml:space="preserve">   SUPRAESTRUTURA - 8º PAVIMENTO - COBERTURA</v>
      </c>
      <c r="L535" s="231">
        <f t="shared" ca="1" si="367"/>
        <v>1</v>
      </c>
      <c r="M535" s="228" t="str">
        <f t="shared" ca="1" si="353"/>
        <v xml:space="preserve">   Armadura</v>
      </c>
      <c r="N535" s="231">
        <f t="shared" ca="1" si="368"/>
        <v>9</v>
      </c>
      <c r="O535" s="228" t="str">
        <f t="shared" ca="1" si="354"/>
        <v>Armacao aco CA-50 ø 25.0mm para supraestrutura corte e dobra em indústria</v>
      </c>
      <c r="P535" s="232" t="str">
        <f>IF(S535="","",IF(Orçamento!$B535="INSUMO",S535,""))</f>
        <v/>
      </c>
      <c r="Q535" s="244" t="str">
        <f t="shared" si="355"/>
        <v>Armacao aco CA-50 ø 25.0mm para supraestrutura corte e dobra em indústria</v>
      </c>
      <c r="R535" s="234">
        <f t="shared" ca="1" si="356"/>
        <v>26.957000000000001</v>
      </c>
      <c r="S535" s="233" t="s">
        <v>192</v>
      </c>
      <c r="T535" s="242" t="s">
        <v>159</v>
      </c>
      <c r="U535" s="235">
        <v>26.957000000000001</v>
      </c>
      <c r="V535" s="320" t="s">
        <v>35</v>
      </c>
      <c r="W535" s="236" t="str">
        <f>IFERROR(IF(B535="INSUMO",_xlfn.XLOOKUP(S535,Insumos!A:A,Insumos!C:C),""),"Inserir Preço")</f>
        <v/>
      </c>
      <c r="X535" s="235">
        <f t="shared" ca="1" si="357"/>
        <v>26.957000000000001</v>
      </c>
      <c r="Y535" s="236">
        <f t="shared" ca="1" si="334"/>
        <v>7.4571300000000003</v>
      </c>
      <c r="Z535" s="237">
        <f t="shared" ca="1" si="370"/>
        <v>201.02185341000001</v>
      </c>
      <c r="AA535" s="238"/>
      <c r="AB535" s="233" t="str">
        <f>IF(B535="insumo",_xlfn.XLOOKUP(S535,Insumos!A:A,Insumos!D:D),"")</f>
        <v/>
      </c>
      <c r="AC535" s="239">
        <f t="shared" ca="1" si="371"/>
        <v>2.8838417629015474E-5</v>
      </c>
      <c r="AE535" s="240">
        <f ca="1">IFERROR(IF(OR(Z535="",Z535=0),"",IF(AF535="","",IF(AF535="R$/mês",Z535/OBRA!$D$12,IF(AF535="R$/m²",Z535/OBRA!$D$10,IF(AF535="R$/apto",Orçamento!Z535/OBRA!$D$11,""))))),"")</f>
        <v>0.10344727768200368</v>
      </c>
      <c r="AF535" s="241" t="s">
        <v>154</v>
      </c>
    </row>
    <row r="536" spans="1:32" s="10" customFormat="1" ht="13.15" hidden="1" customHeight="1" outlineLevel="4" x14ac:dyDescent="0.2">
      <c r="A536" s="227"/>
      <c r="B536" s="228" t="s">
        <v>19</v>
      </c>
      <c r="C536" s="229">
        <f t="shared" si="369"/>
        <v>5</v>
      </c>
      <c r="D536" s="227" t="str">
        <f t="shared" si="349"/>
        <v/>
      </c>
      <c r="E536" s="228" t="str">
        <f t="shared" ca="1" si="364"/>
        <v>04.004.001.009</v>
      </c>
      <c r="F536" s="230">
        <f ca="1">IF($B536="UNIDADE CONSTRUTIVA",OFFSET(F536,-1,0)+1,LARGE(F$10:F535,1))</f>
        <v>2</v>
      </c>
      <c r="G536" s="228" t="str">
        <f t="shared" ca="1" si="350"/>
        <v xml:space="preserve">   GERENCIAMENTO EXECUTIVO</v>
      </c>
      <c r="H536" s="230">
        <f t="shared" ca="1" si="365"/>
        <v>4</v>
      </c>
      <c r="I536" s="228" t="str">
        <f t="shared" ca="1" si="351"/>
        <v xml:space="preserve">   SUPRAESTRUTURA</v>
      </c>
      <c r="J536" s="230">
        <f t="shared" ca="1" si="366"/>
        <v>4</v>
      </c>
      <c r="K536" s="228" t="str">
        <f t="shared" ca="1" si="352"/>
        <v xml:space="preserve">   SUPRAESTRUTURA - 8º PAVIMENTO - COBERTURA</v>
      </c>
      <c r="L536" s="231">
        <f t="shared" ca="1" si="367"/>
        <v>1</v>
      </c>
      <c r="M536" s="228" t="str">
        <f t="shared" ca="1" si="353"/>
        <v xml:space="preserve">   Armadura</v>
      </c>
      <c r="N536" s="231">
        <f t="shared" ca="1" si="368"/>
        <v>9</v>
      </c>
      <c r="O536" s="228" t="str">
        <f t="shared" ca="1" si="354"/>
        <v>Armacao aco CA-50 ø 25.0mm para supraestrutura corte e dobra em indústria</v>
      </c>
      <c r="P536" s="232" t="str">
        <f>IF(S536="","",IF(Orçamento!$B536="INSUMO",S536,""))</f>
        <v>Aco CA-50A 25,00 mm (1)</v>
      </c>
      <c r="Q536" s="244" t="str">
        <f t="shared" si="355"/>
        <v/>
      </c>
      <c r="R536" s="234">
        <f t="shared" ca="1" si="356"/>
        <v>26.957000000000001</v>
      </c>
      <c r="S536" s="233" t="s">
        <v>180</v>
      </c>
      <c r="T536" s="242" t="str">
        <f>_xlfn.XLOOKUP(S536,Insumos!$A$3:$A$371,Insumos!$B$3:$B$371)</f>
        <v>KG</v>
      </c>
      <c r="U536" s="235">
        <f ca="1">IF($B536="insumo",R536,"")</f>
        <v>26.957000000000001</v>
      </c>
      <c r="V536" s="320">
        <v>1.1000000000000001</v>
      </c>
      <c r="W536" s="236">
        <f>IFERROR(IF(B536="INSUMO",_xlfn.XLOOKUP(S536,Insumos!A:A,Insumos!C:C),""),"Inserir Preço")</f>
        <v>6.39</v>
      </c>
      <c r="X536" s="235">
        <f t="shared" ca="1" si="357"/>
        <v>29.652700000000003</v>
      </c>
      <c r="Y536" s="236">
        <f t="shared" si="334"/>
        <v>7.0289999999999999</v>
      </c>
      <c r="Z536" s="237">
        <f t="shared" ca="1" si="370"/>
        <v>189.48075300000002</v>
      </c>
      <c r="AA536" s="238"/>
      <c r="AB536" s="233" t="str">
        <f>IF(B536="insumo",_xlfn.XLOOKUP(S536,Insumos!A:A,Insumos!D:D),"")</f>
        <v>GERDAU</v>
      </c>
      <c r="AC536" s="239">
        <f t="shared" ca="1" si="371"/>
        <v>2.7182741552628126E-5</v>
      </c>
      <c r="AE536" s="240">
        <f ca="1">IFERROR(IF(OR(Z536="",Z536=0),"",IF(AF536="","",IF(AF536="R$/mês",Z536/OBRA!$D$12,IF(AF536="R$/m²",Z536/OBRA!$D$10,IF(AF536="R$/apto",Orçamento!Z536/OBRA!$D$11,""))))),"")</f>
        <v>9.7508145201545895E-2</v>
      </c>
      <c r="AF536" s="241" t="s">
        <v>154</v>
      </c>
    </row>
    <row r="537" spans="1:32" s="10" customFormat="1" ht="13.15" hidden="1" customHeight="1" outlineLevel="4" x14ac:dyDescent="0.2">
      <c r="A537" s="227"/>
      <c r="B537" s="228" t="s">
        <v>19</v>
      </c>
      <c r="C537" s="229">
        <f t="shared" si="369"/>
        <v>42</v>
      </c>
      <c r="D537" s="227" t="str">
        <f t="shared" si="349"/>
        <v/>
      </c>
      <c r="E537" s="228" t="str">
        <f t="shared" ca="1" si="364"/>
        <v>04.004.001.009</v>
      </c>
      <c r="F537" s="230">
        <f ca="1">IF($B537="UNIDADE CONSTRUTIVA",OFFSET(F537,-1,0)+1,LARGE(F$10:F536,1))</f>
        <v>2</v>
      </c>
      <c r="G537" s="228" t="str">
        <f t="shared" ca="1" si="350"/>
        <v xml:space="preserve">   GERENCIAMENTO EXECUTIVO</v>
      </c>
      <c r="H537" s="230">
        <f t="shared" ca="1" si="365"/>
        <v>4</v>
      </c>
      <c r="I537" s="228" t="str">
        <f t="shared" ca="1" si="351"/>
        <v xml:space="preserve">   SUPRAESTRUTURA</v>
      </c>
      <c r="J537" s="230">
        <f t="shared" ca="1" si="366"/>
        <v>4</v>
      </c>
      <c r="K537" s="228" t="str">
        <f t="shared" ca="1" si="352"/>
        <v xml:space="preserve">   SUPRAESTRUTURA - 8º PAVIMENTO - COBERTURA</v>
      </c>
      <c r="L537" s="231">
        <f t="shared" ca="1" si="367"/>
        <v>1</v>
      </c>
      <c r="M537" s="228" t="str">
        <f t="shared" ca="1" si="353"/>
        <v xml:space="preserve">   Armadura</v>
      </c>
      <c r="N537" s="231">
        <f t="shared" ca="1" si="368"/>
        <v>9</v>
      </c>
      <c r="O537" s="228" t="str">
        <f t="shared" ca="1" si="354"/>
        <v>Armacao aco CA-50 ø 25.0mm para supraestrutura corte e dobra em indústria</v>
      </c>
      <c r="P537" s="232" t="str">
        <f>IF(S537="","",IF(Orçamento!$B537="INSUMO",S537,""))</f>
        <v>ARAME RECOZIDO 18 BWG, 1,25MM (0,010 KG/M)</v>
      </c>
      <c r="Q537" s="244" t="str">
        <f t="shared" si="355"/>
        <v/>
      </c>
      <c r="R537" s="234">
        <f t="shared" ca="1" si="356"/>
        <v>26.957000000000001</v>
      </c>
      <c r="S537" s="233" t="s">
        <v>161</v>
      </c>
      <c r="T537" s="242" t="str">
        <f>_xlfn.XLOOKUP(S537,Insumos!$A$3:$A$371,Insumos!$B$3:$B$371)</f>
        <v>KG</v>
      </c>
      <c r="U537" s="235">
        <f ca="1">IF($B537="insumo",R537,"")</f>
        <v>26.957000000000001</v>
      </c>
      <c r="V537" s="320">
        <v>2.5000000000000001E-2</v>
      </c>
      <c r="W537" s="236">
        <f>IFERROR(IF(B537="INSUMO",_xlfn.XLOOKUP(S537,Insumos!A:A,Insumos!C:C),""),"Inserir Preço")</f>
        <v>13.69</v>
      </c>
      <c r="X537" s="235">
        <f t="shared" ca="1" si="357"/>
        <v>0.67392500000000011</v>
      </c>
      <c r="Y537" s="236">
        <f t="shared" si="334"/>
        <v>0.34225</v>
      </c>
      <c r="Z537" s="237">
        <f t="shared" ca="1" si="370"/>
        <v>9.2260332500000004</v>
      </c>
      <c r="AA537" s="238"/>
      <c r="AB537" s="233" t="str">
        <f>IF(B537="insumo",_xlfn.XLOOKUP(S537,Insumos!A:A,Insumos!D:D),"")</f>
        <v>GERDAU</v>
      </c>
      <c r="AC537" s="239">
        <f t="shared" ca="1" si="371"/>
        <v>1.3235585853445691E-6</v>
      </c>
      <c r="AE537" s="240">
        <f ca="1">IFERROR(IF(OR(Z537="",Z537=0),"",IF(AF537="","",IF(AF537="R$/mês",Z537/OBRA!$D$12,IF(AF537="R$/m²",Z537/OBRA!$D$10,IF(AF537="R$/apto",Orçamento!Z537/OBRA!$D$11,""))))),"")</f>
        <v>4.7477824292543862E-3</v>
      </c>
      <c r="AF537" s="241" t="s">
        <v>154</v>
      </c>
    </row>
    <row r="538" spans="1:32" s="10" customFormat="1" ht="13.15" hidden="1" customHeight="1" outlineLevel="4" x14ac:dyDescent="0.2">
      <c r="A538" s="227"/>
      <c r="B538" s="228" t="s">
        <v>19</v>
      </c>
      <c r="C538" s="229">
        <f t="shared" si="369"/>
        <v>37</v>
      </c>
      <c r="D538" s="227" t="str">
        <f t="shared" si="349"/>
        <v/>
      </c>
      <c r="E538" s="228" t="str">
        <f t="shared" ca="1" si="364"/>
        <v>04.004.001.009</v>
      </c>
      <c r="F538" s="230">
        <f ca="1">IF($B538="UNIDADE CONSTRUTIVA",OFFSET(F538,-1,0)+1,LARGE(F$10:F537,1))</f>
        <v>2</v>
      </c>
      <c r="G538" s="228" t="str">
        <f t="shared" ca="1" si="350"/>
        <v xml:space="preserve">   GERENCIAMENTO EXECUTIVO</v>
      </c>
      <c r="H538" s="230">
        <f t="shared" ca="1" si="365"/>
        <v>4</v>
      </c>
      <c r="I538" s="228" t="str">
        <f t="shared" ca="1" si="351"/>
        <v xml:space="preserve">   SUPRAESTRUTURA</v>
      </c>
      <c r="J538" s="230">
        <f t="shared" ca="1" si="366"/>
        <v>4</v>
      </c>
      <c r="K538" s="228" t="str">
        <f t="shared" ca="1" si="352"/>
        <v xml:space="preserve">   SUPRAESTRUTURA - 8º PAVIMENTO - COBERTURA</v>
      </c>
      <c r="L538" s="231">
        <f t="shared" ca="1" si="367"/>
        <v>1</v>
      </c>
      <c r="M538" s="228" t="str">
        <f t="shared" ca="1" si="353"/>
        <v xml:space="preserve">   Armadura</v>
      </c>
      <c r="N538" s="231">
        <f t="shared" ca="1" si="368"/>
        <v>9</v>
      </c>
      <c r="O538" s="228" t="str">
        <f t="shared" ca="1" si="354"/>
        <v>Armacao aco CA-50 ø 25.0mm para supraestrutura corte e dobra em indústria</v>
      </c>
      <c r="P538" s="232" t="str">
        <f>IF(S538="","",IF(Orçamento!$B538="INSUMO",S538,""))</f>
        <v>ESPACADOR CIRCULAR 40MM</v>
      </c>
      <c r="Q538" s="244" t="str">
        <f t="shared" si="355"/>
        <v/>
      </c>
      <c r="R538" s="234">
        <f t="shared" ca="1" si="356"/>
        <v>26.957000000000001</v>
      </c>
      <c r="S538" s="233" t="s">
        <v>162</v>
      </c>
      <c r="T538" s="242" t="str">
        <f>_xlfn.XLOOKUP(S538,Insumos!$A$3:$A$371,Insumos!$B$3:$B$371)</f>
        <v>UN</v>
      </c>
      <c r="U538" s="235">
        <f ca="1">IF($B538="insumo",R538,"")</f>
        <v>26.957000000000001</v>
      </c>
      <c r="V538" s="320">
        <v>0.113</v>
      </c>
      <c r="W538" s="236">
        <f>IFERROR(IF(B538="INSUMO",_xlfn.XLOOKUP(S538,Insumos!A:A,Insumos!C:C),""),"Inserir Preço")</f>
        <v>0.76</v>
      </c>
      <c r="X538" s="235">
        <f t="shared" ca="1" si="357"/>
        <v>3.046141</v>
      </c>
      <c r="Y538" s="236">
        <f t="shared" si="334"/>
        <v>8.5879999999999998E-2</v>
      </c>
      <c r="Z538" s="237">
        <f t="shared" ca="1" si="370"/>
        <v>2.3150671599999999</v>
      </c>
      <c r="AA538" s="238"/>
      <c r="AB538" s="233" t="str">
        <f>IF(B538="insumo",_xlfn.XLOOKUP(S538,Insumos!A:A,Insumos!D:D),"")</f>
        <v xml:space="preserve"> </v>
      </c>
      <c r="AC538" s="239">
        <f t="shared" ca="1" si="371"/>
        <v>3.3211749104278034E-7</v>
      </c>
      <c r="AE538" s="240">
        <f ca="1">IFERROR(IF(OR(Z538="",Z538=0),"",IF(AF538="","",IF(AF538="R$/mês",Z538/OBRA!$D$12,IF(AF538="R$/m²",Z538/OBRA!$D$10,IF(AF538="R$/apto",Orçamento!Z538/OBRA!$D$11,""))))),"")</f>
        <v>1.1913500512034088E-3</v>
      </c>
      <c r="AF538" s="241" t="s">
        <v>154</v>
      </c>
    </row>
    <row r="539" spans="1:32" s="10" customFormat="1" ht="13.15" hidden="1" customHeight="1" outlineLevel="4" x14ac:dyDescent="0.2">
      <c r="A539" s="227"/>
      <c r="B539" s="228" t="s">
        <v>4</v>
      </c>
      <c r="C539" s="229">
        <f t="shared" si="369"/>
        <v>3</v>
      </c>
      <c r="D539" s="227" t="str">
        <f ca="1">IF(B539="Unidade Construtiva",TEXT(F539,"00"),IF(B539="Célula Construtiva",TEXT(H539,"00"),IF(B539="Etapa",CONCATENATE(TEXT(H539,"00"),".",TEXT(J539,"000")),IF(B539="Subetapa",CONCATENATE(TEXT(H539,"00"),".",TEXT(J539,"000"),".",TEXT(L539,"000")),IF(B539="Serviço",CONCATENATE(TEXT(H539,"00"),".",TEXT(J539,"000"),".",TEXT(L539,"000"),".",TEXT(N539,"000")),"")))))</f>
        <v>04.004.001.010</v>
      </c>
      <c r="E539" s="228" t="str">
        <f t="shared" ca="1" si="364"/>
        <v>04.004.001.010</v>
      </c>
      <c r="F539" s="230">
        <f ca="1">IF($B539="UNIDADE CONSTRUTIVA",OFFSET(F539,-1,0)+1,LARGE(F$10:F538,1))</f>
        <v>2</v>
      </c>
      <c r="G539" s="228" t="str">
        <f ca="1">IF(B539="*","",IF(B539="UNIDADE CONSTRUTIVA",S539,OFFSET(G539,-1,0)))</f>
        <v xml:space="preserve">   GERENCIAMENTO EXECUTIVO</v>
      </c>
      <c r="H539" s="230">
        <f t="shared" ca="1" si="365"/>
        <v>4</v>
      </c>
      <c r="I539" s="228" t="str">
        <f ca="1">IF(B539="*","",IF(B539="CÉLULA CONSTRUTIVA",S539,OFFSET(I539,-1,0)))</f>
        <v xml:space="preserve">   SUPRAESTRUTURA</v>
      </c>
      <c r="J539" s="230">
        <f t="shared" ca="1" si="366"/>
        <v>4</v>
      </c>
      <c r="K539" s="228" t="str">
        <f ca="1">IF(B539="*","",IF(B539="ETAPA",S539,OFFSET(K539,-1,0)))</f>
        <v xml:space="preserve">   SUPRAESTRUTURA - 8º PAVIMENTO - COBERTURA</v>
      </c>
      <c r="L539" s="231">
        <f t="shared" ca="1" si="367"/>
        <v>1</v>
      </c>
      <c r="M539" s="228" t="str">
        <f ca="1">IF(B539="*","",IF(B539="SUBETAPA",S539,OFFSET(M539,-1,0)))</f>
        <v xml:space="preserve">   Armadura</v>
      </c>
      <c r="N539" s="231">
        <f t="shared" ca="1" si="368"/>
        <v>10</v>
      </c>
      <c r="O539" s="228" t="str">
        <f ca="1">IF(B539="*","",IF(B539="SERVIÇO",S539,OFFSET(O539,-1,0)))</f>
        <v>Armacao Tela Q61 para supraestrutura</v>
      </c>
      <c r="P539" s="232" t="str">
        <f>IF(S539="","",IF(Orçamento!$B539="INSUMO",S539,""))</f>
        <v/>
      </c>
      <c r="Q539" s="244" t="str">
        <f>IF(B539="","",IF(B539="Serviço",S539,""))</f>
        <v>Armacao Tela Q61 para supraestrutura</v>
      </c>
      <c r="R539" s="234">
        <f ca="1">IF(B539="serviço",U539,OFFSET(R539,-1,0))</f>
        <v>215</v>
      </c>
      <c r="S539" s="233" t="s">
        <v>606</v>
      </c>
      <c r="T539" s="242" t="s">
        <v>159</v>
      </c>
      <c r="U539" s="235">
        <v>215</v>
      </c>
      <c r="V539" s="320" t="s">
        <v>35</v>
      </c>
      <c r="W539" s="236" t="str">
        <f>IFERROR(IF(B539="INSUMO",_xlfn.XLOOKUP(S539,Insumos!A:A,Insumos!C:C),""),"Inserir Preço")</f>
        <v/>
      </c>
      <c r="X539" s="235">
        <f ca="1">IF(B539="Complemento do insumo",V539,IF(R539="","",IF(B539="serviço",R539,IF(OR(B539="insumo"),V539*R539,""))))</f>
        <v>215</v>
      </c>
      <c r="Y539" s="236">
        <f t="shared" ca="1" si="334"/>
        <v>7.0718999999999994</v>
      </c>
      <c r="Z539" s="237">
        <f t="shared" ca="1" si="370"/>
        <v>1520.4585</v>
      </c>
      <c r="AA539" s="238"/>
      <c r="AB539" s="233" t="str">
        <f>IF(B539="insumo",_xlfn.XLOOKUP(S539,Insumos!A:A,Insumos!D:D),"")</f>
        <v/>
      </c>
      <c r="AC539" s="239">
        <f t="shared" ca="1" si="371"/>
        <v>2.1812363415611203E-4</v>
      </c>
      <c r="AE539" s="240">
        <f ca="1">IFERROR(IF(OR(Z539="",Z539=0),"",IF(AF539="","",IF(AF539="R$/mês",Z539/OBRA!$D$12,IF(AF539="R$/m²",Z539/OBRA!$D$10,IF(AF539="R$/apto",Orçamento!Z539/OBRA!$D$11,""))))),"")</f>
        <v>0.78243877461751821</v>
      </c>
      <c r="AF539" s="241" t="s">
        <v>154</v>
      </c>
    </row>
    <row r="540" spans="1:32" s="10" customFormat="1" ht="13.15" hidden="1" customHeight="1" outlineLevel="4" x14ac:dyDescent="0.2">
      <c r="A540" s="227"/>
      <c r="B540" s="228" t="s">
        <v>19</v>
      </c>
      <c r="C540" s="229">
        <f t="shared" si="369"/>
        <v>3</v>
      </c>
      <c r="D540" s="227" t="str">
        <f>IF(B540="Unidade Construtiva",TEXT(F540,"00"),IF(B540="Célula Construtiva",TEXT(H540,"00"),IF(B540="Etapa",CONCATENATE(TEXT(H540,"00"),".",TEXT(J540,"000")),IF(B540="Subetapa",CONCATENATE(TEXT(H540,"00"),".",TEXT(J540,"000"),".",TEXT(L540,"000")),IF(B540="Serviço",CONCATENATE(TEXT(H540,"00"),".",TEXT(J540,"000"),".",TEXT(L540,"000"),".",TEXT(N540,"000")),"")))))</f>
        <v/>
      </c>
      <c r="E540" s="228" t="str">
        <f t="shared" ca="1" si="364"/>
        <v>04.004.001.010</v>
      </c>
      <c r="F540" s="230">
        <f ca="1">IF($B540="UNIDADE CONSTRUTIVA",OFFSET(F540,-1,0)+1,LARGE(F$10:F539,1))</f>
        <v>2</v>
      </c>
      <c r="G540" s="228" t="str">
        <f ca="1">IF(B540="*","",IF(B540="UNIDADE CONSTRUTIVA",S540,OFFSET(G540,-1,0)))</f>
        <v xml:space="preserve">   GERENCIAMENTO EXECUTIVO</v>
      </c>
      <c r="H540" s="230">
        <f t="shared" ca="1" si="365"/>
        <v>4</v>
      </c>
      <c r="I540" s="228" t="str">
        <f ca="1">IF(B540="*","",IF(B540="CÉLULA CONSTRUTIVA",S540,OFFSET(I540,-1,0)))</f>
        <v xml:space="preserve">   SUPRAESTRUTURA</v>
      </c>
      <c r="J540" s="230">
        <f t="shared" ca="1" si="366"/>
        <v>4</v>
      </c>
      <c r="K540" s="228" t="str">
        <f ca="1">IF(B540="*","",IF(B540="ETAPA",S540,OFFSET(K540,-1,0)))</f>
        <v xml:space="preserve">   SUPRAESTRUTURA - 8º PAVIMENTO - COBERTURA</v>
      </c>
      <c r="L540" s="231">
        <f t="shared" ca="1" si="367"/>
        <v>1</v>
      </c>
      <c r="M540" s="228" t="str">
        <f ca="1">IF(B540="*","",IF(B540="SUBETAPA",S540,OFFSET(M540,-1,0)))</f>
        <v xml:space="preserve">   Armadura</v>
      </c>
      <c r="N540" s="231">
        <f t="shared" ca="1" si="368"/>
        <v>10</v>
      </c>
      <c r="O540" s="228" t="str">
        <f ca="1">IF(B540="*","",IF(B540="SERVIÇO",S540,OFFSET(O540,-1,0)))</f>
        <v>Armacao Tela Q61 para supraestrutura</v>
      </c>
      <c r="P540" s="232" t="str">
        <f>IF(S540="","",IF(Orçamento!$B540="INSUMO",S540,""))</f>
        <v>TELA ACO CARBONO CA60 M.150X150MM F.03,4MM 245X600CM Q61 (14,26KG/UN)</v>
      </c>
      <c r="Q540" s="244" t="str">
        <f>IF(B540="","",IF(B540="Serviço",S540,""))</f>
        <v/>
      </c>
      <c r="R540" s="234">
        <f ca="1">IF(B540="serviço",U540,OFFSET(R540,-1,0))</f>
        <v>215</v>
      </c>
      <c r="S540" s="233" t="s">
        <v>609</v>
      </c>
      <c r="T540" s="242" t="str">
        <f>_xlfn.XLOOKUP(S540,Insumos!$A$3:$A$371,Insumos!$B$3:$B$371)</f>
        <v>KG</v>
      </c>
      <c r="U540" s="235">
        <f ca="1">IF($B540="insumo",R540,"")</f>
        <v>215</v>
      </c>
      <c r="V540" s="320">
        <v>1.1000000000000001</v>
      </c>
      <c r="W540" s="236">
        <f>IFERROR(IF(B540="INSUMO",_xlfn.XLOOKUP(S540,Insumos!A:A,Insumos!C:C),""),"Inserir Preço")</f>
        <v>6.1</v>
      </c>
      <c r="X540" s="235">
        <f ca="1">IF(B540="Complemento do insumo",V540,IF(R540="","",IF(B540="serviço",R540,IF(OR(B540="insumo"),V540*R540,""))))</f>
        <v>236.50000000000003</v>
      </c>
      <c r="Y540" s="236">
        <f t="shared" si="334"/>
        <v>6.71</v>
      </c>
      <c r="Z540" s="237">
        <f t="shared" ca="1" si="370"/>
        <v>1442.65</v>
      </c>
      <c r="AA540" s="238"/>
      <c r="AB540" s="233" t="str">
        <f>IF(B540="insumo",_xlfn.XLOOKUP(S540,Insumos!A:A,Insumos!D:D),"")</f>
        <v>Base de Dados</v>
      </c>
      <c r="AC540" s="239">
        <f t="shared" ca="1" si="371"/>
        <v>2.0696129543510398E-4</v>
      </c>
      <c r="AE540" s="240">
        <f ca="1">IFERROR(IF(OR(Z540="",Z540=0),"",IF(AF540="","",IF(AF540="R$/mês",Z540/OBRA!$D$12,IF(AF540="R$/m²",Z540/OBRA!$D$10,IF(AF540="R$/apto",Orçamento!Z540/OBRA!$D$11,""))))),"")</f>
        <v>0.7423979662726492</v>
      </c>
      <c r="AF540" s="241" t="s">
        <v>154</v>
      </c>
    </row>
    <row r="541" spans="1:32" s="10" customFormat="1" ht="13.15" hidden="1" customHeight="1" outlineLevel="4" x14ac:dyDescent="0.2">
      <c r="A541" s="227"/>
      <c r="B541" s="228" t="s">
        <v>19</v>
      </c>
      <c r="C541" s="229">
        <f t="shared" si="369"/>
        <v>42</v>
      </c>
      <c r="D541" s="227" t="str">
        <f>IF(B541="Unidade Construtiva",TEXT(F541,"00"),IF(B541="Célula Construtiva",TEXT(H541,"00"),IF(B541="Etapa",CONCATENATE(TEXT(H541,"00"),".",TEXT(J541,"000")),IF(B541="Subetapa",CONCATENATE(TEXT(H541,"00"),".",TEXT(J541,"000"),".",TEXT(L541,"000")),IF(B541="Serviço",CONCATENATE(TEXT(H541,"00"),".",TEXT(J541,"000"),".",TEXT(L541,"000"),".",TEXT(N541,"000")),"")))))</f>
        <v/>
      </c>
      <c r="E541" s="228" t="str">
        <f t="shared" ca="1" si="364"/>
        <v>04.004.001.010</v>
      </c>
      <c r="F541" s="230">
        <f ca="1">IF($B541="UNIDADE CONSTRUTIVA",OFFSET(F541,-1,0)+1,LARGE(F$10:F540,1))</f>
        <v>2</v>
      </c>
      <c r="G541" s="228" t="str">
        <f ca="1">IF(B541="*","",IF(B541="UNIDADE CONSTRUTIVA",S541,OFFSET(G541,-1,0)))</f>
        <v xml:space="preserve">   GERENCIAMENTO EXECUTIVO</v>
      </c>
      <c r="H541" s="230">
        <f t="shared" ca="1" si="365"/>
        <v>4</v>
      </c>
      <c r="I541" s="228" t="str">
        <f ca="1">IF(B541="*","",IF(B541="CÉLULA CONSTRUTIVA",S541,OFFSET(I541,-1,0)))</f>
        <v xml:space="preserve">   SUPRAESTRUTURA</v>
      </c>
      <c r="J541" s="230">
        <f t="shared" ca="1" si="366"/>
        <v>4</v>
      </c>
      <c r="K541" s="228" t="str">
        <f ca="1">IF(B541="*","",IF(B541="ETAPA",S541,OFFSET(K541,-1,0)))</f>
        <v xml:space="preserve">   SUPRAESTRUTURA - 8º PAVIMENTO - COBERTURA</v>
      </c>
      <c r="L541" s="231">
        <f t="shared" ca="1" si="367"/>
        <v>1</v>
      </c>
      <c r="M541" s="228" t="str">
        <f ca="1">IF(B541="*","",IF(B541="SUBETAPA",S541,OFFSET(M541,-1,0)))</f>
        <v xml:space="preserve">   Armadura</v>
      </c>
      <c r="N541" s="231">
        <f t="shared" ca="1" si="368"/>
        <v>10</v>
      </c>
      <c r="O541" s="228" t="str">
        <f ca="1">IF(B541="*","",IF(B541="SERVIÇO",S541,OFFSET(O541,-1,0)))</f>
        <v>Armacao Tela Q61 para supraestrutura</v>
      </c>
      <c r="P541" s="232" t="str">
        <f>IF(S541="","",IF(Orçamento!$B541="INSUMO",S541,""))</f>
        <v>ARAME RECOZIDO 18 BWG, 1,25MM (0,010 KG/M)</v>
      </c>
      <c r="Q541" s="244" t="str">
        <f>IF(B541="","",IF(B541="Serviço",S541,""))</f>
        <v/>
      </c>
      <c r="R541" s="234">
        <f ca="1">IF(B541="serviço",U541,OFFSET(R541,-1,0))</f>
        <v>215</v>
      </c>
      <c r="S541" s="233" t="s">
        <v>161</v>
      </c>
      <c r="T541" s="242" t="str">
        <f>_xlfn.XLOOKUP(S541,Insumos!$A$3:$A$371,Insumos!$B$3:$B$371)</f>
        <v>KG</v>
      </c>
      <c r="U541" s="235">
        <f ca="1">IF($B541="insumo",R541,"")</f>
        <v>215</v>
      </c>
      <c r="V541" s="320">
        <v>0.01</v>
      </c>
      <c r="W541" s="236">
        <f>IFERROR(IF(B541="INSUMO",_xlfn.XLOOKUP(S541,Insumos!A:A,Insumos!C:C),""),"Inserir Preço")</f>
        <v>13.69</v>
      </c>
      <c r="X541" s="235">
        <f ca="1">IF(B541="Complemento do insumo",V541,IF(R541="","",IF(B541="serviço",R541,IF(OR(B541="insumo"),V541*R541,""))))</f>
        <v>2.15</v>
      </c>
      <c r="Y541" s="236">
        <f t="shared" si="334"/>
        <v>0.13689999999999999</v>
      </c>
      <c r="Z541" s="237">
        <f t="shared" ca="1" si="370"/>
        <v>29.433499999999999</v>
      </c>
      <c r="AA541" s="238"/>
      <c r="AB541" s="233" t="str">
        <f>IF(B541="insumo",_xlfn.XLOOKUP(S541,Insumos!A:A,Insumos!D:D),"")</f>
        <v>GERDAU</v>
      </c>
      <c r="AC541" s="239">
        <f t="shared" ca="1" si="371"/>
        <v>4.2225039262393045E-6</v>
      </c>
      <c r="AE541" s="240">
        <f ca="1">IFERROR(IF(OR(Z541="",Z541=0),"",IF(AF541="","",IF(AF541="R$/mês",Z541/OBRA!$D$12,IF(AF541="R$/m²",Z541/OBRA!$D$10,IF(AF541="R$/apto",Orçamento!Z541/OBRA!$D$11,""))))),"")</f>
        <v>1.5146688760465821E-2</v>
      </c>
      <c r="AF541" s="241" t="s">
        <v>154</v>
      </c>
    </row>
    <row r="542" spans="1:32" s="10" customFormat="1" ht="13.15" hidden="1" customHeight="1" outlineLevel="4" x14ac:dyDescent="0.2">
      <c r="A542" s="227"/>
      <c r="B542" s="228" t="s">
        <v>19</v>
      </c>
      <c r="C542" s="229">
        <f t="shared" si="369"/>
        <v>5</v>
      </c>
      <c r="D542" s="227" t="str">
        <f>IF(B542="Unidade Construtiva",TEXT(F542,"00"),IF(B542="Célula Construtiva",TEXT(H542,"00"),IF(B542="Etapa",CONCATENATE(TEXT(H542,"00"),".",TEXT(J542,"000")),IF(B542="Subetapa",CONCATENATE(TEXT(H542,"00"),".",TEXT(J542,"000"),".",TEXT(L542,"000")),IF(B542="Serviço",CONCATENATE(TEXT(H542,"00"),".",TEXT(J542,"000"),".",TEXT(L542,"000"),".",TEXT(N542,"000")),"")))))</f>
        <v/>
      </c>
      <c r="E542" s="228" t="str">
        <f t="shared" ca="1" si="364"/>
        <v>04.004.001.010</v>
      </c>
      <c r="F542" s="230">
        <f ca="1">IF($B542="UNIDADE CONSTRUTIVA",OFFSET(F542,-1,0)+1,LARGE(F$10:F541,1))</f>
        <v>2</v>
      </c>
      <c r="G542" s="228" t="str">
        <f ca="1">IF(B542="*","",IF(B542="UNIDADE CONSTRUTIVA",S542,OFFSET(G542,-1,0)))</f>
        <v xml:space="preserve">   GERENCIAMENTO EXECUTIVO</v>
      </c>
      <c r="H542" s="230">
        <f t="shared" ca="1" si="365"/>
        <v>4</v>
      </c>
      <c r="I542" s="228" t="str">
        <f ca="1">IF(B542="*","",IF(B542="CÉLULA CONSTRUTIVA",S542,OFFSET(I542,-1,0)))</f>
        <v xml:space="preserve">   SUPRAESTRUTURA</v>
      </c>
      <c r="J542" s="230">
        <f t="shared" ca="1" si="366"/>
        <v>4</v>
      </c>
      <c r="K542" s="228" t="str">
        <f ca="1">IF(B542="*","",IF(B542="ETAPA",S542,OFFSET(K542,-1,0)))</f>
        <v xml:space="preserve">   SUPRAESTRUTURA - 8º PAVIMENTO - COBERTURA</v>
      </c>
      <c r="L542" s="231">
        <f t="shared" ca="1" si="367"/>
        <v>1</v>
      </c>
      <c r="M542" s="228" t="str">
        <f ca="1">IF(B542="*","",IF(B542="SUBETAPA",S542,OFFSET(M542,-1,0)))</f>
        <v xml:space="preserve">   Armadura</v>
      </c>
      <c r="N542" s="231">
        <f t="shared" ca="1" si="368"/>
        <v>10</v>
      </c>
      <c r="O542" s="228" t="str">
        <f ca="1">IF(B542="*","",IF(B542="SERVIÇO",S542,OFFSET(O542,-1,0)))</f>
        <v>Armacao Tela Q61 para supraestrutura</v>
      </c>
      <c r="P542" s="232" t="str">
        <f>IF(S542="","",IF(Orçamento!$B542="INSUMO",S542,""))</f>
        <v>ESPACADOR PVC CADEIRINHA HORIZONTAL ETP 25/30 NBR 6118</v>
      </c>
      <c r="Q542" s="244" t="str">
        <f>IF(B542="","",IF(B542="Serviço",S542,""))</f>
        <v/>
      </c>
      <c r="R542" s="234">
        <f ca="1">IF(B542="serviço",U542,OFFSET(R542,-1,0))</f>
        <v>215</v>
      </c>
      <c r="S542" s="233" t="s">
        <v>612</v>
      </c>
      <c r="T542" s="242" t="str">
        <f>_xlfn.XLOOKUP(S542,Insumos!$A$3:$A$371,Insumos!$B$3:$B$371)</f>
        <v>UN</v>
      </c>
      <c r="U542" s="235">
        <f ca="1">IF($B542="insumo",R542,"")</f>
        <v>215</v>
      </c>
      <c r="V542" s="320">
        <v>0.5</v>
      </c>
      <c r="W542" s="236">
        <f>IFERROR(IF(B542="INSUMO",_xlfn.XLOOKUP(S542,Insumos!A:A,Insumos!C:C),""),"Inserir Preço")</f>
        <v>0.45</v>
      </c>
      <c r="X542" s="235">
        <f ca="1">IF(B542="Complemento do insumo",V542,IF(R542="","",IF(B542="serviço",R542,IF(OR(B542="insumo"),V542*R542,""))))</f>
        <v>107.5</v>
      </c>
      <c r="Y542" s="236">
        <f t="shared" si="334"/>
        <v>0.22500000000000001</v>
      </c>
      <c r="Z542" s="237">
        <f t="shared" ca="1" si="370"/>
        <v>48.375</v>
      </c>
      <c r="AA542" s="238"/>
      <c r="AB542" s="233" t="str">
        <f>IF(B542="insumo",_xlfn.XLOOKUP(S542,Insumos!A:A,Insumos!D:D),"")</f>
        <v xml:space="preserve"> </v>
      </c>
      <c r="AC542" s="239">
        <f t="shared" ca="1" si="371"/>
        <v>6.9398347947687618E-6</v>
      </c>
      <c r="AE542" s="240">
        <f ca="1">IFERROR(IF(OR(Z542="",Z542=0),"",IF(AF542="","",IF(AF542="R$/mês",Z542/OBRA!$D$12,IF(AF542="R$/m²",Z542/OBRA!$D$10,IF(AF542="R$/apto",Orçamento!Z542/OBRA!$D$11,""))))),"")</f>
        <v>2.4894119584403285E-2</v>
      </c>
      <c r="AF542" s="241" t="s">
        <v>154</v>
      </c>
    </row>
    <row r="543" spans="1:32" s="10" customFormat="1" ht="13.15" hidden="1" customHeight="1" outlineLevel="3" collapsed="1" x14ac:dyDescent="0.2">
      <c r="A543" s="227"/>
      <c r="B543" s="228" t="s">
        <v>3</v>
      </c>
      <c r="C543" s="229" t="str">
        <f t="shared" si="369"/>
        <v/>
      </c>
      <c r="D543" s="227" t="str">
        <f ca="1">IF(B543="Unidade Construtiva",TEXT(F543,"00"),IF(B543="Célula Construtiva",TEXT(H543,"00"),IF(B543="Etapa",CONCATENATE(TEXT(H543,"00"),".",TEXT(J543,"000")),IF(B543="Subetapa",CONCATENATE(TEXT(H543,"00"),".",TEXT(J543,"000"),".",TEXT(L543,"000")),IF(B543="Serviço",CONCATENATE(TEXT(H543,"00"),".",TEXT(J543,"000"),".",TEXT(L543,"000"),".",TEXT(N543,"000")),"")))))</f>
        <v>04.004.002</v>
      </c>
      <c r="E543" s="228" t="str">
        <f t="shared" ca="1" si="364"/>
        <v>04.004.001.010</v>
      </c>
      <c r="F543" s="230">
        <f ca="1">IF($B543="UNIDADE CONSTRUTIVA",OFFSET(F543,-1,0)+1,LARGE(F$10:F542,1))</f>
        <v>2</v>
      </c>
      <c r="G543" s="228" t="str">
        <f ca="1">IF(B543="*","",IF(B543="UNIDADE CONSTRUTIVA",S543,OFFSET(G543,-1,0)))</f>
        <v xml:space="preserve">   GERENCIAMENTO EXECUTIVO</v>
      </c>
      <c r="H543" s="230">
        <f t="shared" ca="1" si="365"/>
        <v>4</v>
      </c>
      <c r="I543" s="228" t="str">
        <f ca="1">IF(B543="*","",IF(B543="CÉLULA CONSTRUTIVA",S543,OFFSET(I543,-1,0)))</f>
        <v xml:space="preserve">   SUPRAESTRUTURA</v>
      </c>
      <c r="J543" s="230">
        <f t="shared" ca="1" si="366"/>
        <v>4</v>
      </c>
      <c r="K543" s="228" t="str">
        <f ca="1">IF(B543="*","",IF(B543="ETAPA",S543,OFFSET(K543,-1,0)))</f>
        <v xml:space="preserve">   SUPRAESTRUTURA - 8º PAVIMENTO - COBERTURA</v>
      </c>
      <c r="L543" s="231">
        <f t="shared" ca="1" si="367"/>
        <v>2</v>
      </c>
      <c r="M543" s="228" t="str">
        <f ca="1">IF(B543="*","",IF(B543="SUBETAPA",S543,OFFSET(M543,-1,0)))</f>
        <v xml:space="preserve">   Forma</v>
      </c>
      <c r="N543" s="231">
        <f t="shared" ca="1" si="368"/>
        <v>0</v>
      </c>
      <c r="O543" s="228" t="str">
        <f ca="1">IF(B543="*","",IF(B543="SERVIÇO",S543,OFFSET(O543,-1,0)))</f>
        <v>Armacao Tela Q61 para supraestrutura</v>
      </c>
      <c r="P543" s="232" t="str">
        <f>IF(S543="","",IF(Orçamento!$B543="INSUMO",S543,""))</f>
        <v/>
      </c>
      <c r="Q543" s="244" t="str">
        <f>IF(B543="","",IF(B543="Serviço",S543,""))</f>
        <v/>
      </c>
      <c r="R543" s="234">
        <f ca="1">IF(B543="serviço",U543,OFFSET(R543,-1,0))</f>
        <v>215</v>
      </c>
      <c r="S543" s="233" t="s">
        <v>437</v>
      </c>
      <c r="T543" s="242" t="s">
        <v>35</v>
      </c>
      <c r="U543" s="235" t="str">
        <f>IF($B543="insumo",R543,"")</f>
        <v/>
      </c>
      <c r="V543" s="320" t="s">
        <v>35</v>
      </c>
      <c r="W543" s="236" t="str">
        <f>IFERROR(IF(B543="INSUMO",_xlfn.XLOOKUP(S543,Insumos!A:A,Insumos!C:C),""),"Inserir Preço")</f>
        <v/>
      </c>
      <c r="X543" s="235" t="str">
        <f ca="1">IF(B543="Complemento do insumo",V543,IF(R543="","",IF(B543="serviço",R543,IF(OR(B543="insumo"),V543*R543,""))))</f>
        <v/>
      </c>
      <c r="Y543" s="236" t="str">
        <f t="shared" si="334"/>
        <v/>
      </c>
      <c r="Z543" s="237">
        <f t="shared" ca="1" si="370"/>
        <v>31114.506966738318</v>
      </c>
      <c r="AA543" s="238"/>
      <c r="AB543" s="233" t="str">
        <f>IF(B543="insumo",_xlfn.XLOOKUP(S543,Insumos!A:A,Insumos!D:D),"")</f>
        <v/>
      </c>
      <c r="AC543" s="239">
        <f t="shared" ca="1" si="371"/>
        <v>4.4636597017022354E-3</v>
      </c>
      <c r="AE543" s="240">
        <f ca="1">IFERROR(IF(OR(Z543="",Z543=0),"",IF(AF543="","",IF(AF543="R$/mês",Z543/OBRA!$D$12,IF(AF543="R$/m²",Z543/OBRA!$D$10,IF(AF543="R$/apto",Orçamento!Z543/OBRA!$D$11,""))))),"")</f>
        <v>16.011746919684402</v>
      </c>
      <c r="AF543" s="241" t="s">
        <v>154</v>
      </c>
    </row>
    <row r="544" spans="1:32" s="10" customFormat="1" ht="13.15" hidden="1" customHeight="1" outlineLevel="4" x14ac:dyDescent="0.2">
      <c r="A544" s="227"/>
      <c r="B544" s="228" t="s">
        <v>4</v>
      </c>
      <c r="C544" s="229">
        <f t="shared" si="369"/>
        <v>5</v>
      </c>
      <c r="D544" s="227" t="str">
        <f t="shared" ref="D544:D585" ca="1" si="372">IF(B544="Unidade Construtiva",TEXT(F544,"00"),IF(B544="Célula Construtiva",TEXT(H544,"00"),IF(B544="Etapa",CONCATENATE(TEXT(H544,"00"),".",TEXT(J544,"000")),IF(B544="Subetapa",CONCATENATE(TEXT(H544,"00"),".",TEXT(J544,"000"),".",TEXT(L544,"000")),IF(B544="Serviço",CONCATENATE(TEXT(H544,"00"),".",TEXT(J544,"000"),".",TEXT(L544,"000"),".",TEXT(N544,"000")),"")))))</f>
        <v>04.004.002.001</v>
      </c>
      <c r="E544" s="228" t="str">
        <f t="shared" ref="E544:E585" ca="1" si="373">IF(B544="*","",IFERROR(IF(B544="SERVIÇO",D544,OFFSET(E544,-1,0)),""))</f>
        <v>04.004.002.001</v>
      </c>
      <c r="F544" s="230">
        <f ca="1">IF($B544="UNIDADE CONSTRUTIVA",OFFSET(F544,-1,0)+1,LARGE(F$10:F543,1))</f>
        <v>2</v>
      </c>
      <c r="G544" s="228" t="str">
        <f t="shared" ref="G544:G585" ca="1" si="374">IF(B544="*","",IF(B544="UNIDADE CONSTRUTIVA",S544,OFFSET(G544,-1,0)))</f>
        <v xml:space="preserve">   GERENCIAMENTO EXECUTIVO</v>
      </c>
      <c r="H544" s="230">
        <f t="shared" ref="H544:H585" ca="1" si="375">IF(B544="UNIDADE CONSTRUTIVA",0,IF(B544="CÉLULA CONSTRUTIVA",OFFSET(H544,-1,0)+1,OFFSET(H544,-1,0)))</f>
        <v>4</v>
      </c>
      <c r="I544" s="228" t="str">
        <f t="shared" ref="I544:I585" ca="1" si="376">IF(B544="*","",IF(B544="CÉLULA CONSTRUTIVA",S544,OFFSET(I544,-1,0)))</f>
        <v xml:space="preserve">   SUPRAESTRUTURA</v>
      </c>
      <c r="J544" s="230">
        <f t="shared" ref="J544:J585" ca="1" si="377">IF(B544="CÉLULA CONSTRUTIVA",0,IF(B544="ETAPA",OFFSET(J544,-1,0)+1,OFFSET(J544,-1,0)))</f>
        <v>4</v>
      </c>
      <c r="K544" s="228" t="str">
        <f t="shared" ref="K544:K585" ca="1" si="378">IF(B544="*","",IF(B544="ETAPA",S544,OFFSET(K544,-1,0)))</f>
        <v xml:space="preserve">   SUPRAESTRUTURA - 8º PAVIMENTO - COBERTURA</v>
      </c>
      <c r="L544" s="231">
        <f t="shared" ref="L544:L585" ca="1" si="379">IF(B544="ETAPA",0,IF(B544="SUBETAPA",OFFSET(L544,-1,0)+1,OFFSET(L544,-1,0)))</f>
        <v>2</v>
      </c>
      <c r="M544" s="228" t="str">
        <f t="shared" ref="M544:M585" ca="1" si="380">IF(B544="*","",IF(B544="SUBETAPA",S544,OFFSET(M544,-1,0)))</f>
        <v xml:space="preserve">   Forma</v>
      </c>
      <c r="N544" s="231">
        <f t="shared" ref="N544:N585" ca="1" si="381">IF(B544="Subetapa",0,IF(B544="serviço",OFFSET(N544,-1,0)+1,OFFSET(N544,-1,0)))</f>
        <v>1</v>
      </c>
      <c r="O544" s="228" t="str">
        <f t="shared" ref="O544:O585" ca="1" si="382">IF(B544="*","",IF(B544="SERVIÇO",S544,OFFSET(O544,-1,0)))</f>
        <v>Fabricação de fôrma para Pilares em chapa de madeira compensada plastificada e=14 mm - 2 jogos</v>
      </c>
      <c r="P544" s="232" t="str">
        <f>IF(S544="","",IF(Orçamento!$B544="INSUMO",S544,""))</f>
        <v/>
      </c>
      <c r="Q544" s="244" t="str">
        <f t="shared" ref="Q544:Q585" si="383">IF(B544="","",IF(B544="Serviço",S544,""))</f>
        <v>Fabricação de fôrma para Pilares em chapa de madeira compensada plastificada e=14 mm - 2 jogos</v>
      </c>
      <c r="R544" s="234">
        <f t="shared" ref="R544:R585" ca="1" si="384">IF(B544="serviço",U544,OFFSET(R544,-1,0))</f>
        <v>91.765800000000013</v>
      </c>
      <c r="S544" s="233" t="s">
        <v>950</v>
      </c>
      <c r="T544" s="242" t="s">
        <v>140</v>
      </c>
      <c r="U544" s="235">
        <f>U568</f>
        <v>91.765800000000013</v>
      </c>
      <c r="V544" s="320" t="s">
        <v>35</v>
      </c>
      <c r="W544" s="236" t="str">
        <f>IFERROR(IF(B544="INSUMO",_xlfn.XLOOKUP(S544,Insumos!A:A,Insumos!C:C),""),"Inserir Preço")</f>
        <v/>
      </c>
      <c r="X544" s="235">
        <f t="shared" ref="X544:X585" ca="1" si="385">IF(B544="Complemento do insumo",V544,IF(R544="","",IF(B544="serviço",R544,IF(OR(B544="insumo"),V544*R544,""))))</f>
        <v>91.765800000000013</v>
      </c>
      <c r="Y544" s="236">
        <f t="shared" ca="1" si="334"/>
        <v>108.24439999999998</v>
      </c>
      <c r="Z544" s="237">
        <f t="shared" ca="1" si="370"/>
        <v>9933.1339615199995</v>
      </c>
      <c r="AA544" s="238"/>
      <c r="AB544" s="233" t="str">
        <f>IF(B544="insumo",_xlfn.XLOOKUP(S544,Insumos!A:A,Insumos!D:D),"")</f>
        <v/>
      </c>
      <c r="AC544" s="239">
        <f t="shared" ca="1" si="371"/>
        <v>1.4249986291939177E-3</v>
      </c>
      <c r="AE544" s="240">
        <f ca="1">IFERROR(IF(OR(Z544="",Z544=0),"",IF(AF544="","",IF(AF544="R$/mês",Z544/OBRA!$D$12,IF(AF544="R$/m²",Z544/OBRA!$D$10,IF(AF544="R$/apto",Orçamento!Z544/OBRA!$D$11,""))))),"")</f>
        <v>5.1116614922165668</v>
      </c>
      <c r="AF544" s="241" t="s">
        <v>154</v>
      </c>
    </row>
    <row r="545" spans="1:32" s="10" customFormat="1" ht="13.15" hidden="1" customHeight="1" outlineLevel="4" x14ac:dyDescent="0.2">
      <c r="A545" s="227"/>
      <c r="B545" s="228" t="s">
        <v>19</v>
      </c>
      <c r="C545" s="229">
        <f t="shared" si="369"/>
        <v>21</v>
      </c>
      <c r="D545" s="227" t="str">
        <f t="shared" si="372"/>
        <v/>
      </c>
      <c r="E545" s="228" t="str">
        <f t="shared" ca="1" si="373"/>
        <v>04.004.002.001</v>
      </c>
      <c r="F545" s="230">
        <f ca="1">IF($B545="UNIDADE CONSTRUTIVA",OFFSET(F545,-1,0)+1,LARGE(F$10:F544,1))</f>
        <v>2</v>
      </c>
      <c r="G545" s="228" t="str">
        <f t="shared" ca="1" si="374"/>
        <v xml:space="preserve">   GERENCIAMENTO EXECUTIVO</v>
      </c>
      <c r="H545" s="230">
        <f t="shared" ca="1" si="375"/>
        <v>4</v>
      </c>
      <c r="I545" s="228" t="str">
        <f t="shared" ca="1" si="376"/>
        <v xml:space="preserve">   SUPRAESTRUTURA</v>
      </c>
      <c r="J545" s="230">
        <f t="shared" ca="1" si="377"/>
        <v>4</v>
      </c>
      <c r="K545" s="228" t="str">
        <f t="shared" ca="1" si="378"/>
        <v xml:space="preserve">   SUPRAESTRUTURA - 8º PAVIMENTO - COBERTURA</v>
      </c>
      <c r="L545" s="231">
        <f t="shared" ca="1" si="379"/>
        <v>2</v>
      </c>
      <c r="M545" s="228" t="str">
        <f t="shared" ca="1" si="380"/>
        <v xml:space="preserve">   Forma</v>
      </c>
      <c r="N545" s="231">
        <f t="shared" ca="1" si="381"/>
        <v>1</v>
      </c>
      <c r="O545" s="228" t="str">
        <f t="shared" ca="1" si="382"/>
        <v>Fabricação de fôrma para Pilares em chapa de madeira compensada plastificada e=14 mm - 2 jogos</v>
      </c>
      <c r="P545" s="232" t="str">
        <f>IF(S545="","",IF(Orçamento!$B545="INSUMO",S545,""))</f>
        <v>COMPENSADO MADEIRA TIPO PLASTIFICADO 2200X1100X14MM NBR 1096</v>
      </c>
      <c r="Q545" s="244" t="str">
        <f t="shared" si="383"/>
        <v/>
      </c>
      <c r="R545" s="234">
        <f t="shared" ca="1" si="384"/>
        <v>91.765800000000013</v>
      </c>
      <c r="S545" s="233" t="s">
        <v>804</v>
      </c>
      <c r="T545" s="242" t="str">
        <f>_xlfn.XLOOKUP(S545,Insumos!$A$3:$A$371,Insumos!$B$3:$B$371)</f>
        <v>CH</v>
      </c>
      <c r="U545" s="235">
        <f ca="1">IF($B545="insumo",R545,"")</f>
        <v>91.765800000000013</v>
      </c>
      <c r="V545" s="320">
        <f>ROUNDUP(1.3/(2.2*1.1),4)</f>
        <v>0.53720000000000001</v>
      </c>
      <c r="W545" s="236">
        <f>IFERROR(IF(B545="INSUMO",_xlfn.XLOOKUP(S545,Insumos!A:A,Insumos!C:C),""),"Inserir Preço")</f>
        <v>132</v>
      </c>
      <c r="X545" s="235">
        <f t="shared" ca="1" si="385"/>
        <v>49.296587760000008</v>
      </c>
      <c r="Y545" s="236">
        <f t="shared" si="334"/>
        <v>70.910399999999996</v>
      </c>
      <c r="Z545" s="237">
        <f t="shared" ca="1" si="370"/>
        <v>6507.1495843200009</v>
      </c>
      <c r="AA545" s="238"/>
      <c r="AB545" s="233" t="str">
        <f>IF(B545="insumo",_xlfn.XLOOKUP(S545,Insumos!A:A,Insumos!D:D),"")</f>
        <v xml:space="preserve"> </v>
      </c>
      <c r="AC545" s="239">
        <f t="shared" ca="1" si="371"/>
        <v>9.3350993488432101E-4</v>
      </c>
      <c r="AE545" s="240">
        <f ca="1">IFERROR(IF(OR(Z545="",Z545=0),"",IF(AF545="","",IF(AF545="R$/mês",Z545/OBRA!$D$12,IF(AF545="R$/m²",Z545/OBRA!$D$10,IF(AF545="R$/apto",Orçamento!Z545/OBRA!$D$11,""))))),"")</f>
        <v>3.3486255277656278</v>
      </c>
      <c r="AF545" s="241" t="s">
        <v>154</v>
      </c>
    </row>
    <row r="546" spans="1:32" s="10" customFormat="1" ht="13.15" hidden="1" customHeight="1" outlineLevel="4" x14ac:dyDescent="0.2">
      <c r="A546" s="227"/>
      <c r="B546" s="228" t="s">
        <v>19</v>
      </c>
      <c r="C546" s="229">
        <f t="shared" si="369"/>
        <v>26</v>
      </c>
      <c r="D546" s="227" t="str">
        <f t="shared" si="372"/>
        <v/>
      </c>
      <c r="E546" s="228" t="str">
        <f t="shared" ca="1" si="373"/>
        <v>04.004.002.001</v>
      </c>
      <c r="F546" s="230">
        <f ca="1">IF($B546="UNIDADE CONSTRUTIVA",OFFSET(F546,-1,0)+1,LARGE(F$10:F545,1))</f>
        <v>2</v>
      </c>
      <c r="G546" s="228" t="str">
        <f t="shared" ca="1" si="374"/>
        <v xml:space="preserve">   GERENCIAMENTO EXECUTIVO</v>
      </c>
      <c r="H546" s="230">
        <f t="shared" ca="1" si="375"/>
        <v>4</v>
      </c>
      <c r="I546" s="228" t="str">
        <f t="shared" ca="1" si="376"/>
        <v xml:space="preserve">   SUPRAESTRUTURA</v>
      </c>
      <c r="J546" s="230">
        <f t="shared" ca="1" si="377"/>
        <v>4</v>
      </c>
      <c r="K546" s="228" t="str">
        <f t="shared" ca="1" si="378"/>
        <v xml:space="preserve">   SUPRAESTRUTURA - 8º PAVIMENTO - COBERTURA</v>
      </c>
      <c r="L546" s="231">
        <f t="shared" ca="1" si="379"/>
        <v>2</v>
      </c>
      <c r="M546" s="228" t="str">
        <f t="shared" ca="1" si="380"/>
        <v xml:space="preserve">   Forma</v>
      </c>
      <c r="N546" s="231">
        <f t="shared" ca="1" si="381"/>
        <v>1</v>
      </c>
      <c r="O546" s="228" t="str">
        <f t="shared" ca="1" si="382"/>
        <v>Fabricação de fôrma para Pilares em chapa de madeira compensada plastificada e=14 mm - 2 jogos</v>
      </c>
      <c r="P546" s="232" t="str">
        <f>IF(S546="","",IF(Orçamento!$B546="INSUMO",S546,""))</f>
        <v>MADEIRA PINUS/SIMILAR - PONTALETE 75X75MM NBR 11700/15696</v>
      </c>
      <c r="Q546" s="244" t="str">
        <f t="shared" si="383"/>
        <v/>
      </c>
      <c r="R546" s="234">
        <f t="shared" ca="1" si="384"/>
        <v>91.765800000000013</v>
      </c>
      <c r="S546" s="233" t="s">
        <v>807</v>
      </c>
      <c r="T546" s="242" t="str">
        <f>_xlfn.XLOOKUP(S546,Insumos!$A$3:$A$371,Insumos!$B$3:$B$371)</f>
        <v>M</v>
      </c>
      <c r="U546" s="235">
        <f ca="1">IF($B546="insumo",R546,"")</f>
        <v>91.765800000000013</v>
      </c>
      <c r="V546" s="320">
        <v>2.3079999999999998</v>
      </c>
      <c r="W546" s="236">
        <f>IFERROR(IF(B546="INSUMO",_xlfn.XLOOKUP(S546,Insumos!A:A,Insumos!C:C),""),"Inserir Preço")</f>
        <v>7</v>
      </c>
      <c r="X546" s="235">
        <f t="shared" ca="1" si="385"/>
        <v>211.79546640000001</v>
      </c>
      <c r="Y546" s="236">
        <f t="shared" si="334"/>
        <v>16.155999999999999</v>
      </c>
      <c r="Z546" s="237">
        <f t="shared" ca="1" si="370"/>
        <v>1482.5682648000002</v>
      </c>
      <c r="AA546" s="238"/>
      <c r="AB546" s="233" t="str">
        <f>IF(B546="insumo",_xlfn.XLOOKUP(S546,Insumos!A:A,Insumos!D:D),"")</f>
        <v xml:space="preserve"> </v>
      </c>
      <c r="AC546" s="239">
        <f t="shared" ca="1" si="371"/>
        <v>2.1268793446364834E-4</v>
      </c>
      <c r="AE546" s="240">
        <f ca="1">IFERROR(IF(OR(Z546="",Z546=0),"",IF(AF546="","",IF(AF546="R$/mês",Z546/OBRA!$D$12,IF(AF546="R$/m²",Z546/OBRA!$D$10,IF(AF546="R$/apto",Orçamento!Z546/OBRA!$D$11,""))))),"")</f>
        <v>0.76294018968418564</v>
      </c>
      <c r="AF546" s="241" t="s">
        <v>154</v>
      </c>
    </row>
    <row r="547" spans="1:32" s="10" customFormat="1" ht="13.15" hidden="1" customHeight="1" outlineLevel="4" x14ac:dyDescent="0.2">
      <c r="A547" s="227"/>
      <c r="B547" s="228" t="s">
        <v>19</v>
      </c>
      <c r="C547" s="229">
        <f t="shared" si="369"/>
        <v>10</v>
      </c>
      <c r="D547" s="227" t="str">
        <f t="shared" ref="D547:D561" si="386">IF(B547="Unidade Construtiva",TEXT(F547,"00"),IF(B547="Célula Construtiva",TEXT(H547,"00"),IF(B547="Etapa",CONCATENATE(TEXT(H547,"00"),".",TEXT(J547,"000")),IF(B547="Subetapa",CONCATENATE(TEXT(H547,"00"),".",TEXT(J547,"000"),".",TEXT(L547,"000")),IF(B547="Serviço",CONCATENATE(TEXT(H547,"00"),".",TEXT(J547,"000"),".",TEXT(L547,"000"),".",TEXT(N547,"000")),"")))))</f>
        <v/>
      </c>
      <c r="E547" s="228" t="str">
        <f t="shared" ref="E547:E561" ca="1" si="387">IF(B547="*","",IFERROR(IF(B547="SERVIÇO",D547,OFFSET(E547,-1,0)),""))</f>
        <v>04.004.002.001</v>
      </c>
      <c r="F547" s="230">
        <f ca="1">IF($B547="UNIDADE CONSTRUTIVA",OFFSET(F547,-1,0)+1,LARGE(F$10:F546,1))</f>
        <v>2</v>
      </c>
      <c r="G547" s="228" t="str">
        <f t="shared" ref="G547:G561" ca="1" si="388">IF(B547="*","",IF(B547="UNIDADE CONSTRUTIVA",S547,OFFSET(G547,-1,0)))</f>
        <v xml:space="preserve">   GERENCIAMENTO EXECUTIVO</v>
      </c>
      <c r="H547" s="230">
        <f t="shared" ref="H547:H561" ca="1" si="389">IF(B547="UNIDADE CONSTRUTIVA",0,IF(B547="CÉLULA CONSTRUTIVA",OFFSET(H547,-1,0)+1,OFFSET(H547,-1,0)))</f>
        <v>4</v>
      </c>
      <c r="I547" s="228" t="str">
        <f t="shared" ref="I547:I561" ca="1" si="390">IF(B547="*","",IF(B547="CÉLULA CONSTRUTIVA",S547,OFFSET(I547,-1,0)))</f>
        <v xml:space="preserve">   SUPRAESTRUTURA</v>
      </c>
      <c r="J547" s="230">
        <f t="shared" ref="J547:J561" ca="1" si="391">IF(B547="CÉLULA CONSTRUTIVA",0,IF(B547="ETAPA",OFFSET(J547,-1,0)+1,OFFSET(J547,-1,0)))</f>
        <v>4</v>
      </c>
      <c r="K547" s="228" t="str">
        <f t="shared" ref="K547:K561" ca="1" si="392">IF(B547="*","",IF(B547="ETAPA",S547,OFFSET(K547,-1,0)))</f>
        <v xml:space="preserve">   SUPRAESTRUTURA - 8º PAVIMENTO - COBERTURA</v>
      </c>
      <c r="L547" s="231">
        <f t="shared" ref="L547:L561" ca="1" si="393">IF(B547="ETAPA",0,IF(B547="SUBETAPA",OFFSET(L547,-1,0)+1,OFFSET(L547,-1,0)))</f>
        <v>2</v>
      </c>
      <c r="M547" s="228" t="str">
        <f t="shared" ref="M547:M561" ca="1" si="394">IF(B547="*","",IF(B547="SUBETAPA",S547,OFFSET(M547,-1,0)))</f>
        <v xml:space="preserve">   Forma</v>
      </c>
      <c r="N547" s="231">
        <f t="shared" ref="N547:N561" ca="1" si="395">IF(B547="Subetapa",0,IF(B547="serviço",OFFSET(N547,-1,0)+1,OFFSET(N547,-1,0)))</f>
        <v>1</v>
      </c>
      <c r="O547" s="228" t="str">
        <f t="shared" ref="O547:O561" ca="1" si="396">IF(B547="*","",IF(B547="SERVIÇO",S547,OFFSET(O547,-1,0)))</f>
        <v>Fabricação de fôrma para Pilares em chapa de madeira compensada plastificada e=14 mm - 2 jogos</v>
      </c>
      <c r="P547" s="232" t="str">
        <f>IF(S547="","",IF(Orçamento!$B547="INSUMO",S547,""))</f>
        <v>MADEIRA PINUS/SIMILAR - SARRAFO PINUS 50X10MM NBR 11700</v>
      </c>
      <c r="Q547" s="244" t="str">
        <f t="shared" ref="Q547:Q561" si="397">IF(B547="","",IF(B547="Serviço",S547,""))</f>
        <v/>
      </c>
      <c r="R547" s="234">
        <f t="shared" ref="R547:R561" ca="1" si="398">IF(B547="serviço",U547,OFFSET(R547,-1,0))</f>
        <v>91.765800000000013</v>
      </c>
      <c r="S547" s="233" t="s">
        <v>806</v>
      </c>
      <c r="T547" s="242" t="str">
        <f>_xlfn.XLOOKUP(S547,Insumos!$A$3:$A$371,Insumos!$B$3:$B$371)</f>
        <v>M</v>
      </c>
      <c r="U547" s="235">
        <f ca="1">IF($B547="insumo",R547,"")</f>
        <v>91.765800000000013</v>
      </c>
      <c r="V547" s="320">
        <v>9.2370000000000001</v>
      </c>
      <c r="W547" s="236">
        <f>IFERROR(IF(B547="INSUMO",_xlfn.XLOOKUP(S547,Insumos!A:A,Insumos!C:C),""),"Inserir Preço")</f>
        <v>2</v>
      </c>
      <c r="X547" s="235">
        <f t="shared" ca="1" si="385"/>
        <v>847.64069460000007</v>
      </c>
      <c r="Y547" s="236">
        <f t="shared" si="334"/>
        <v>18.474</v>
      </c>
      <c r="Z547" s="237">
        <f t="shared" ca="1" si="370"/>
        <v>1695.2813892000001</v>
      </c>
      <c r="AA547" s="238"/>
      <c r="AB547" s="233" t="str">
        <f>IF(B547="insumo",_xlfn.XLOOKUP(S547,Insumos!A:A,Insumos!D:D),"")</f>
        <v>Base de Dados</v>
      </c>
      <c r="AC547" s="239">
        <f t="shared" ca="1" si="371"/>
        <v>2.4320357150788805E-4</v>
      </c>
      <c r="AE547" s="240">
        <f ca="1">IFERROR(IF(OR(Z547="",Z547=0),"",IF(AF547="","",IF(AF547="R$/mês",Z547/OBRA!$D$12,IF(AF547="R$/m²",Z547/OBRA!$D$10,IF(AF547="R$/apto",Orçamento!Z547/OBRA!$D$11,""))))),"")</f>
        <v>0.87240387869680902</v>
      </c>
      <c r="AF547" s="241" t="s">
        <v>154</v>
      </c>
    </row>
    <row r="548" spans="1:32" s="10" customFormat="1" ht="13.15" hidden="1" customHeight="1" outlineLevel="4" x14ac:dyDescent="0.2">
      <c r="A548" s="227"/>
      <c r="B548" s="228" t="s">
        <v>19</v>
      </c>
      <c r="C548" s="229">
        <f t="shared" si="369"/>
        <v>44</v>
      </c>
      <c r="D548" s="227" t="str">
        <f t="shared" si="386"/>
        <v/>
      </c>
      <c r="E548" s="228" t="str">
        <f t="shared" ca="1" si="387"/>
        <v>04.004.002.001</v>
      </c>
      <c r="F548" s="230">
        <f ca="1">IF($B548="UNIDADE CONSTRUTIVA",OFFSET(F548,-1,0)+1,LARGE(F$10:F547,1))</f>
        <v>2</v>
      </c>
      <c r="G548" s="228" t="str">
        <f t="shared" ca="1" si="388"/>
        <v xml:space="preserve">   GERENCIAMENTO EXECUTIVO</v>
      </c>
      <c r="H548" s="230">
        <f t="shared" ca="1" si="389"/>
        <v>4</v>
      </c>
      <c r="I548" s="228" t="str">
        <f t="shared" ca="1" si="390"/>
        <v xml:space="preserve">   SUPRAESTRUTURA</v>
      </c>
      <c r="J548" s="230">
        <f t="shared" ca="1" si="391"/>
        <v>4</v>
      </c>
      <c r="K548" s="228" t="str">
        <f t="shared" ca="1" si="392"/>
        <v xml:space="preserve">   SUPRAESTRUTURA - 8º PAVIMENTO - COBERTURA</v>
      </c>
      <c r="L548" s="231">
        <f t="shared" ca="1" si="393"/>
        <v>2</v>
      </c>
      <c r="M548" s="228" t="str">
        <f t="shared" ca="1" si="394"/>
        <v xml:space="preserve">   Forma</v>
      </c>
      <c r="N548" s="231">
        <f t="shared" ca="1" si="395"/>
        <v>1</v>
      </c>
      <c r="O548" s="228" t="str">
        <f t="shared" ca="1" si="396"/>
        <v>Fabricação de fôrma para Pilares em chapa de madeira compensada plastificada e=14 mm - 2 jogos</v>
      </c>
      <c r="P548" s="232" t="str">
        <f>IF(S548="","",IF(Orçamento!$B548="INSUMO",S548,""))</f>
        <v>PREGO 17 x 21 COM CABECA</v>
      </c>
      <c r="Q548" s="244" t="str">
        <f t="shared" si="397"/>
        <v/>
      </c>
      <c r="R548" s="234">
        <f t="shared" ca="1" si="398"/>
        <v>91.765800000000013</v>
      </c>
      <c r="S548" s="233" t="s">
        <v>173</v>
      </c>
      <c r="T548" s="242" t="str">
        <f>_xlfn.XLOOKUP(S548,Insumos!$A$3:$A$371,Insumos!$B$3:$B$371)</f>
        <v>KG</v>
      </c>
      <c r="U548" s="235">
        <f ca="1">IF($B548="insumo",R548,"")</f>
        <v>91.765800000000013</v>
      </c>
      <c r="V548" s="320">
        <v>0.20799999999999999</v>
      </c>
      <c r="W548" s="236">
        <f>IFERROR(IF(B548="INSUMO",_xlfn.XLOOKUP(S548,Insumos!A:A,Insumos!C:C),""),"Inserir Preço")</f>
        <v>13</v>
      </c>
      <c r="X548" s="235">
        <f t="shared" ca="1" si="385"/>
        <v>19.087286400000004</v>
      </c>
      <c r="Y548" s="236">
        <f t="shared" si="334"/>
        <v>2.7039999999999997</v>
      </c>
      <c r="Z548" s="237">
        <f t="shared" ca="1" si="370"/>
        <v>248.13472320000005</v>
      </c>
      <c r="AA548" s="238"/>
      <c r="AB548" s="233" t="str">
        <f>IF(B548="insumo",_xlfn.XLOOKUP(S548,Insumos!A:A,Insumos!D:D),"")</f>
        <v xml:space="preserve"> </v>
      </c>
      <c r="AC548" s="239">
        <f t="shared" ca="1" si="371"/>
        <v>3.5597188338060484E-5</v>
      </c>
      <c r="AE548" s="240">
        <f ca="1">IFERROR(IF(OR(Z548="",Z548=0),"",IF(AF548="","",IF(AF548="R$/mês",Z548/OBRA!$D$12,IF(AF548="R$/m²",Z548/OBRA!$D$10,IF(AF548="R$/apto",Orçamento!Z548/OBRA!$D$11,""))))),"")</f>
        <v>0.12769189606994544</v>
      </c>
      <c r="AF548" s="241" t="s">
        <v>154</v>
      </c>
    </row>
    <row r="549" spans="1:32" s="10" customFormat="1" ht="13.15" hidden="1" customHeight="1" outlineLevel="4" x14ac:dyDescent="0.2">
      <c r="A549" s="227"/>
      <c r="B549" s="228" t="s">
        <v>4</v>
      </c>
      <c r="C549" s="229">
        <f t="shared" si="369"/>
        <v>5</v>
      </c>
      <c r="D549" s="227" t="str">
        <f t="shared" ca="1" si="386"/>
        <v>04.004.002.002</v>
      </c>
      <c r="E549" s="228" t="str">
        <f t="shared" ca="1" si="387"/>
        <v>04.004.002.002</v>
      </c>
      <c r="F549" s="230">
        <f ca="1">IF($B549="UNIDADE CONSTRUTIVA",OFFSET(F549,-1,0)+1,LARGE(F$10:F548,1))</f>
        <v>2</v>
      </c>
      <c r="G549" s="228" t="str">
        <f t="shared" ca="1" si="388"/>
        <v xml:space="preserve">   GERENCIAMENTO EXECUTIVO</v>
      </c>
      <c r="H549" s="230">
        <f t="shared" ca="1" si="389"/>
        <v>4</v>
      </c>
      <c r="I549" s="228" t="str">
        <f t="shared" ca="1" si="390"/>
        <v xml:space="preserve">   SUPRAESTRUTURA</v>
      </c>
      <c r="J549" s="230">
        <f t="shared" ca="1" si="391"/>
        <v>4</v>
      </c>
      <c r="K549" s="228" t="str">
        <f t="shared" ca="1" si="392"/>
        <v xml:space="preserve">   SUPRAESTRUTURA - 8º PAVIMENTO - COBERTURA</v>
      </c>
      <c r="L549" s="231">
        <f t="shared" ca="1" si="393"/>
        <v>2</v>
      </c>
      <c r="M549" s="228" t="str">
        <f t="shared" ca="1" si="394"/>
        <v xml:space="preserve">   Forma</v>
      </c>
      <c r="N549" s="231">
        <f t="shared" ca="1" si="395"/>
        <v>2</v>
      </c>
      <c r="O549" s="228" t="str">
        <f t="shared" ca="1" si="396"/>
        <v>Fabricação de fôrma para vigas em chapa de madeira compensada plastificada e=14 mm - 2 jogos</v>
      </c>
      <c r="P549" s="232" t="str">
        <f>IF(S549="","",IF(Orçamento!$B549="INSUMO",S549,""))</f>
        <v/>
      </c>
      <c r="Q549" s="244" t="str">
        <f t="shared" si="397"/>
        <v>Fabricação de fôrma para vigas em chapa de madeira compensada plastificada e=14 mm - 2 jogos</v>
      </c>
      <c r="R549" s="234">
        <f t="shared" ca="1" si="398"/>
        <v>158.1759466</v>
      </c>
      <c r="S549" s="233" t="s">
        <v>952</v>
      </c>
      <c r="T549" s="242" t="s">
        <v>140</v>
      </c>
      <c r="U549" s="235">
        <f>U572</f>
        <v>158.1759466</v>
      </c>
      <c r="V549" s="320" t="s">
        <v>35</v>
      </c>
      <c r="W549" s="236" t="str">
        <f>IFERROR(IF(B549="INSUMO",_xlfn.XLOOKUP(S549,Insumos!A:A,Insumos!C:C),""),"Inserir Preço")</f>
        <v/>
      </c>
      <c r="X549" s="235">
        <f t="shared" ca="1" si="385"/>
        <v>158.1759466</v>
      </c>
      <c r="Y549" s="236">
        <f t="shared" ca="1" si="334"/>
        <v>88.057400000000001</v>
      </c>
      <c r="Z549" s="237">
        <f t="shared" ca="1" si="370"/>
        <v>13928.562600134841</v>
      </c>
      <c r="AA549" s="238"/>
      <c r="AB549" s="233" t="str">
        <f>IF(B549="insumo",_xlfn.XLOOKUP(S549,Insumos!A:A,Insumos!D:D),"")</f>
        <v/>
      </c>
      <c r="AC549" s="239">
        <f t="shared" ca="1" si="371"/>
        <v>1.9981792945432688E-3</v>
      </c>
      <c r="AE549" s="240">
        <f ca="1">IFERROR(IF(OR(Z549="",Z549=0),"",IF(AF549="","",IF(AF549="R$/mês",Z549/OBRA!$D$12,IF(AF549="R$/m²",Z549/OBRA!$D$10,IF(AF549="R$/apto",Orçamento!Z549/OBRA!$D$11,""))))),"")</f>
        <v>7.1677375298522774</v>
      </c>
      <c r="AF549" s="241" t="s">
        <v>154</v>
      </c>
    </row>
    <row r="550" spans="1:32" s="10" customFormat="1" ht="13.15" hidden="1" customHeight="1" outlineLevel="4" x14ac:dyDescent="0.2">
      <c r="A550" s="227"/>
      <c r="B550" s="228" t="s">
        <v>19</v>
      </c>
      <c r="C550" s="229">
        <f t="shared" si="369"/>
        <v>21</v>
      </c>
      <c r="D550" s="227" t="str">
        <f t="shared" si="386"/>
        <v/>
      </c>
      <c r="E550" s="228" t="str">
        <f t="shared" ca="1" si="387"/>
        <v>04.004.002.002</v>
      </c>
      <c r="F550" s="230">
        <f ca="1">IF($B550="UNIDADE CONSTRUTIVA",OFFSET(F550,-1,0)+1,LARGE(F$10:F549,1))</f>
        <v>2</v>
      </c>
      <c r="G550" s="228" t="str">
        <f t="shared" ca="1" si="388"/>
        <v xml:space="preserve">   GERENCIAMENTO EXECUTIVO</v>
      </c>
      <c r="H550" s="230">
        <f t="shared" ca="1" si="389"/>
        <v>4</v>
      </c>
      <c r="I550" s="228" t="str">
        <f t="shared" ca="1" si="390"/>
        <v xml:space="preserve">   SUPRAESTRUTURA</v>
      </c>
      <c r="J550" s="230">
        <f t="shared" ca="1" si="391"/>
        <v>4</v>
      </c>
      <c r="K550" s="228" t="str">
        <f t="shared" ca="1" si="392"/>
        <v xml:space="preserve">   SUPRAESTRUTURA - 8º PAVIMENTO - COBERTURA</v>
      </c>
      <c r="L550" s="231">
        <f t="shared" ca="1" si="393"/>
        <v>2</v>
      </c>
      <c r="M550" s="228" t="str">
        <f t="shared" ca="1" si="394"/>
        <v xml:space="preserve">   Forma</v>
      </c>
      <c r="N550" s="231">
        <f t="shared" ca="1" si="395"/>
        <v>2</v>
      </c>
      <c r="O550" s="228" t="str">
        <f t="shared" ca="1" si="396"/>
        <v>Fabricação de fôrma para vigas em chapa de madeira compensada plastificada e=14 mm - 2 jogos</v>
      </c>
      <c r="P550" s="232" t="str">
        <f>IF(S550="","",IF(Orçamento!$B550="INSUMO",S550,""))</f>
        <v>COMPENSADO MADEIRA TIPO PLASTIFICADO 2200X1100X14MM NBR 1096</v>
      </c>
      <c r="Q550" s="244" t="str">
        <f t="shared" si="397"/>
        <v/>
      </c>
      <c r="R550" s="234">
        <f t="shared" ca="1" si="398"/>
        <v>158.1759466</v>
      </c>
      <c r="S550" s="233" t="s">
        <v>804</v>
      </c>
      <c r="T550" s="242" t="str">
        <f>_xlfn.XLOOKUP(S550,Insumos!$A$3:$A$371,Insumos!$B$3:$B$371)</f>
        <v>CH</v>
      </c>
      <c r="U550" s="235">
        <f ca="1">IF($B550="insumo",R550,"")</f>
        <v>158.1759466</v>
      </c>
      <c r="V550" s="320">
        <f>ROUNDUP(1.3/(2.2*1.1),4)</f>
        <v>0.53720000000000001</v>
      </c>
      <c r="W550" s="236">
        <f>IFERROR(IF(B550="INSUMO",_xlfn.XLOOKUP(S550,Insumos!A:A,Insumos!C:C),""),"Inserir Preço")</f>
        <v>132</v>
      </c>
      <c r="X550" s="235">
        <f t="shared" ca="1" si="385"/>
        <v>84.972118513520002</v>
      </c>
      <c r="Y550" s="236">
        <f t="shared" si="334"/>
        <v>70.910399999999996</v>
      </c>
      <c r="Z550" s="237">
        <f t="shared" ca="1" si="370"/>
        <v>11216.31964378464</v>
      </c>
      <c r="AA550" s="238"/>
      <c r="AB550" s="233" t="str">
        <f>IF(B550="insumo",_xlfn.XLOOKUP(S550,Insumos!A:A,Insumos!D:D),"")</f>
        <v xml:space="preserve"> </v>
      </c>
      <c r="AC550" s="239">
        <f t="shared" ca="1" si="371"/>
        <v>1.6090833143810855E-3</v>
      </c>
      <c r="AE550" s="240">
        <f ca="1">IFERROR(IF(OR(Z550="",Z550=0),"",IF(AF550="","",IF(AF550="R$/mês",Z550/OBRA!$D$12,IF(AF550="R$/m²",Z550/OBRA!$D$10,IF(AF550="R$/apto",Orçamento!Z550/OBRA!$D$11,""))))),"")</f>
        <v>5.7719979846876797</v>
      </c>
      <c r="AF550" s="241" t="s">
        <v>154</v>
      </c>
    </row>
    <row r="551" spans="1:32" s="10" customFormat="1" ht="13.15" hidden="1" customHeight="1" outlineLevel="4" x14ac:dyDescent="0.2">
      <c r="A551" s="227"/>
      <c r="B551" s="228" t="s">
        <v>19</v>
      </c>
      <c r="C551" s="229">
        <f t="shared" si="369"/>
        <v>26</v>
      </c>
      <c r="D551" s="227" t="str">
        <f t="shared" si="386"/>
        <v/>
      </c>
      <c r="E551" s="228" t="str">
        <f t="shared" ca="1" si="387"/>
        <v>04.004.002.002</v>
      </c>
      <c r="F551" s="230">
        <f ca="1">IF($B551="UNIDADE CONSTRUTIVA",OFFSET(F551,-1,0)+1,LARGE(F$10:F550,1))</f>
        <v>2</v>
      </c>
      <c r="G551" s="228" t="str">
        <f t="shared" ca="1" si="388"/>
        <v xml:space="preserve">   GERENCIAMENTO EXECUTIVO</v>
      </c>
      <c r="H551" s="230">
        <f t="shared" ca="1" si="389"/>
        <v>4</v>
      </c>
      <c r="I551" s="228" t="str">
        <f t="shared" ca="1" si="390"/>
        <v xml:space="preserve">   SUPRAESTRUTURA</v>
      </c>
      <c r="J551" s="230">
        <f t="shared" ca="1" si="391"/>
        <v>4</v>
      </c>
      <c r="K551" s="228" t="str">
        <f t="shared" ca="1" si="392"/>
        <v xml:space="preserve">   SUPRAESTRUTURA - 8º PAVIMENTO - COBERTURA</v>
      </c>
      <c r="L551" s="231">
        <f t="shared" ca="1" si="393"/>
        <v>2</v>
      </c>
      <c r="M551" s="228" t="str">
        <f t="shared" ca="1" si="394"/>
        <v xml:space="preserve">   Forma</v>
      </c>
      <c r="N551" s="231">
        <f t="shared" ca="1" si="395"/>
        <v>2</v>
      </c>
      <c r="O551" s="228" t="str">
        <f t="shared" ca="1" si="396"/>
        <v>Fabricação de fôrma para vigas em chapa de madeira compensada plastificada e=14 mm - 2 jogos</v>
      </c>
      <c r="P551" s="232" t="str">
        <f>IF(S551="","",IF(Orçamento!$B551="INSUMO",S551,""))</f>
        <v>MADEIRA PINUS/SIMILAR - PONTALETE 75X75MM NBR 11700/15696</v>
      </c>
      <c r="Q551" s="244" t="str">
        <f t="shared" si="397"/>
        <v/>
      </c>
      <c r="R551" s="234">
        <f t="shared" ca="1" si="398"/>
        <v>158.1759466</v>
      </c>
      <c r="S551" s="233" t="s">
        <v>807</v>
      </c>
      <c r="T551" s="242" t="str">
        <f>_xlfn.XLOOKUP(S551,Insumos!$A$3:$A$371,Insumos!$B$3:$B$371)</f>
        <v>M</v>
      </c>
      <c r="U551" s="235">
        <f ca="1">IF($B551="insumo",R551,"")</f>
        <v>158.1759466</v>
      </c>
      <c r="V551" s="320">
        <v>0.16800000000000001</v>
      </c>
      <c r="W551" s="236">
        <f>IFERROR(IF(B551="INSUMO",_xlfn.XLOOKUP(S551,Insumos!A:A,Insumos!C:C),""),"Inserir Preço")</f>
        <v>7</v>
      </c>
      <c r="X551" s="235">
        <f t="shared" ca="1" si="385"/>
        <v>26.573559028800002</v>
      </c>
      <c r="Y551" s="236">
        <f t="shared" si="334"/>
        <v>1.1760000000000002</v>
      </c>
      <c r="Z551" s="237">
        <f t="shared" ca="1" si="370"/>
        <v>186.01491320160002</v>
      </c>
      <c r="AA551" s="238"/>
      <c r="AB551" s="233" t="str">
        <f>IF(B551="insumo",_xlfn.XLOOKUP(S551,Insumos!A:A,Insumos!D:D),"")</f>
        <v xml:space="preserve"> </v>
      </c>
      <c r="AC551" s="239">
        <f t="shared" ca="1" si="371"/>
        <v>2.6685535234777363E-5</v>
      </c>
      <c r="AE551" s="240">
        <f ca="1">IFERROR(IF(OR(Z551="",Z551=0),"",IF(AF551="","",IF(AF551="R$/mês",Z551/OBRA!$D$12,IF(AF551="R$/m²",Z551/OBRA!$D$10,IF(AF551="R$/apto",Orçamento!Z551/OBRA!$D$11,""))))),"")</f>
        <v>9.5724599353447626E-2</v>
      </c>
      <c r="AF551" s="241" t="s">
        <v>154</v>
      </c>
    </row>
    <row r="552" spans="1:32" s="10" customFormat="1" ht="13.15" hidden="1" customHeight="1" outlineLevel="4" x14ac:dyDescent="0.2">
      <c r="A552" s="227"/>
      <c r="B552" s="228" t="s">
        <v>19</v>
      </c>
      <c r="C552" s="229">
        <f t="shared" si="369"/>
        <v>10</v>
      </c>
      <c r="D552" s="227" t="str">
        <f t="shared" si="386"/>
        <v/>
      </c>
      <c r="E552" s="228" t="str">
        <f t="shared" ca="1" si="387"/>
        <v>04.004.002.002</v>
      </c>
      <c r="F552" s="230">
        <f ca="1">IF($B552="UNIDADE CONSTRUTIVA",OFFSET(F552,-1,0)+1,LARGE(F$10:F551,1))</f>
        <v>2</v>
      </c>
      <c r="G552" s="228" t="str">
        <f t="shared" ca="1" si="388"/>
        <v xml:space="preserve">   GERENCIAMENTO EXECUTIVO</v>
      </c>
      <c r="H552" s="230">
        <f t="shared" ca="1" si="389"/>
        <v>4</v>
      </c>
      <c r="I552" s="228" t="str">
        <f t="shared" ca="1" si="390"/>
        <v xml:space="preserve">   SUPRAESTRUTURA</v>
      </c>
      <c r="J552" s="230">
        <f t="shared" ca="1" si="391"/>
        <v>4</v>
      </c>
      <c r="K552" s="228" t="str">
        <f t="shared" ca="1" si="392"/>
        <v xml:space="preserve">   SUPRAESTRUTURA - 8º PAVIMENTO - COBERTURA</v>
      </c>
      <c r="L552" s="231">
        <f t="shared" ca="1" si="393"/>
        <v>2</v>
      </c>
      <c r="M552" s="228" t="str">
        <f t="shared" ca="1" si="394"/>
        <v xml:space="preserve">   Forma</v>
      </c>
      <c r="N552" s="231">
        <f t="shared" ca="1" si="395"/>
        <v>2</v>
      </c>
      <c r="O552" s="228" t="str">
        <f t="shared" ca="1" si="396"/>
        <v>Fabricação de fôrma para vigas em chapa de madeira compensada plastificada e=14 mm - 2 jogos</v>
      </c>
      <c r="P552" s="232" t="str">
        <f>IF(S552="","",IF(Orçamento!$B552="INSUMO",S552,""))</f>
        <v>MADEIRA PINUS/SIMILAR - SARRAFO PINUS 50X10MM NBR 11700</v>
      </c>
      <c r="Q552" s="244" t="str">
        <f t="shared" si="397"/>
        <v/>
      </c>
      <c r="R552" s="234">
        <f t="shared" ca="1" si="398"/>
        <v>158.1759466</v>
      </c>
      <c r="S552" s="233" t="s">
        <v>806</v>
      </c>
      <c r="T552" s="242" t="str">
        <f>_xlfn.XLOOKUP(S552,Insumos!$A$3:$A$371,Insumos!$B$3:$B$371)</f>
        <v>M</v>
      </c>
      <c r="U552" s="235">
        <f ca="1">IF($B552="insumo",R552,"")</f>
        <v>158.1759466</v>
      </c>
      <c r="V552" s="320">
        <v>6.952</v>
      </c>
      <c r="W552" s="236">
        <f>IFERROR(IF(B552="INSUMO",_xlfn.XLOOKUP(S552,Insumos!A:A,Insumos!C:C),""),"Inserir Preço")</f>
        <v>2</v>
      </c>
      <c r="X552" s="235">
        <f t="shared" ca="1" si="385"/>
        <v>1099.6391807632001</v>
      </c>
      <c r="Y552" s="236">
        <f t="shared" ref="Y552:Y615" si="399">IF(B552="insumo",W552*V552,IF(B552="serviço",SUMIFS(Y:Y,B:B,"insumo",E:E,E552,I:I,I552),""))</f>
        <v>13.904</v>
      </c>
      <c r="Z552" s="237">
        <f t="shared" ca="1" si="370"/>
        <v>2199.2783615264002</v>
      </c>
      <c r="AA552" s="238"/>
      <c r="AB552" s="233" t="str">
        <f>IF(B552="insumo",_xlfn.XLOOKUP(S552,Insumos!A:A,Insumos!D:D),"")</f>
        <v>Base de Dados</v>
      </c>
      <c r="AC552" s="239">
        <f t="shared" ca="1" si="371"/>
        <v>3.1550653223158542E-4</v>
      </c>
      <c r="AE552" s="240">
        <f ca="1">IFERROR(IF(OR(Z552="",Z552=0),"",IF(AF552="","",IF(AF552="R$/mês",Z552/OBRA!$D$12,IF(AF552="R$/m²",Z552/OBRA!$D$10,IF(AF552="R$/apto",Orçamento!Z552/OBRA!$D$11,""))))),"")</f>
        <v>1.1317643107230746</v>
      </c>
      <c r="AF552" s="241" t="s">
        <v>154</v>
      </c>
    </row>
    <row r="553" spans="1:32" s="10" customFormat="1" ht="13.15" hidden="1" customHeight="1" outlineLevel="4" x14ac:dyDescent="0.2">
      <c r="A553" s="227"/>
      <c r="B553" s="228" t="s">
        <v>19</v>
      </c>
      <c r="C553" s="229">
        <f t="shared" si="369"/>
        <v>44</v>
      </c>
      <c r="D553" s="227" t="str">
        <f t="shared" si="386"/>
        <v/>
      </c>
      <c r="E553" s="228" t="str">
        <f t="shared" ca="1" si="387"/>
        <v>04.004.002.002</v>
      </c>
      <c r="F553" s="230">
        <f ca="1">IF($B553="UNIDADE CONSTRUTIVA",OFFSET(F553,-1,0)+1,LARGE(F$10:F552,1))</f>
        <v>2</v>
      </c>
      <c r="G553" s="228" t="str">
        <f t="shared" ca="1" si="388"/>
        <v xml:space="preserve">   GERENCIAMENTO EXECUTIVO</v>
      </c>
      <c r="H553" s="230">
        <f t="shared" ca="1" si="389"/>
        <v>4</v>
      </c>
      <c r="I553" s="228" t="str">
        <f t="shared" ca="1" si="390"/>
        <v xml:space="preserve">   SUPRAESTRUTURA</v>
      </c>
      <c r="J553" s="230">
        <f t="shared" ca="1" si="391"/>
        <v>4</v>
      </c>
      <c r="K553" s="228" t="str">
        <f t="shared" ca="1" si="392"/>
        <v xml:space="preserve">   SUPRAESTRUTURA - 8º PAVIMENTO - COBERTURA</v>
      </c>
      <c r="L553" s="231">
        <f t="shared" ca="1" si="393"/>
        <v>2</v>
      </c>
      <c r="M553" s="228" t="str">
        <f t="shared" ca="1" si="394"/>
        <v xml:space="preserve">   Forma</v>
      </c>
      <c r="N553" s="231">
        <f t="shared" ca="1" si="395"/>
        <v>2</v>
      </c>
      <c r="O553" s="228" t="str">
        <f t="shared" ca="1" si="396"/>
        <v>Fabricação de fôrma para vigas em chapa de madeira compensada plastificada e=14 mm - 2 jogos</v>
      </c>
      <c r="P553" s="232" t="str">
        <f>IF(S553="","",IF(Orçamento!$B553="INSUMO",S553,""))</f>
        <v>PREGO 17 x 21 COM CABECA</v>
      </c>
      <c r="Q553" s="244" t="str">
        <f t="shared" si="397"/>
        <v/>
      </c>
      <c r="R553" s="234">
        <f t="shared" ca="1" si="398"/>
        <v>158.1759466</v>
      </c>
      <c r="S553" s="233" t="s">
        <v>173</v>
      </c>
      <c r="T553" s="242" t="str">
        <f>_xlfn.XLOOKUP(S553,Insumos!$A$3:$A$371,Insumos!$B$3:$B$371)</f>
        <v>KG</v>
      </c>
      <c r="U553" s="235">
        <f ca="1">IF($B553="insumo",R553,"")</f>
        <v>158.1759466</v>
      </c>
      <c r="V553" s="320">
        <v>0.159</v>
      </c>
      <c r="W553" s="236">
        <f>IFERROR(IF(B553="INSUMO",_xlfn.XLOOKUP(S553,Insumos!A:A,Insumos!C:C),""),"Inserir Preço")</f>
        <v>13</v>
      </c>
      <c r="X553" s="235">
        <f t="shared" ca="1" si="385"/>
        <v>25.149975509400001</v>
      </c>
      <c r="Y553" s="236">
        <f t="shared" si="399"/>
        <v>2.0670000000000002</v>
      </c>
      <c r="Z553" s="237">
        <f t="shared" ca="1" si="370"/>
        <v>326.94968162219999</v>
      </c>
      <c r="AA553" s="238"/>
      <c r="AB553" s="233" t="str">
        <f>IF(B553="insumo",_xlfn.XLOOKUP(S553,Insumos!A:A,Insumos!D:D),"")</f>
        <v xml:space="preserve"> </v>
      </c>
      <c r="AC553" s="239">
        <f t="shared" ca="1" si="371"/>
        <v>4.6903912695820412E-5</v>
      </c>
      <c r="AE553" s="240">
        <f ca="1">IFERROR(IF(OR(Z553="",Z553=0),"",IF(AF553="","",IF(AF553="R$/mês",Z553/OBRA!$D$12,IF(AF553="R$/m²",Z553/OBRA!$D$10,IF(AF553="R$/apto",Orçamento!Z553/OBRA!$D$11,""))))),"")</f>
        <v>0.168250635088075</v>
      </c>
      <c r="AF553" s="241" t="s">
        <v>154</v>
      </c>
    </row>
    <row r="554" spans="1:32" s="10" customFormat="1" ht="13.15" hidden="1" customHeight="1" outlineLevel="4" x14ac:dyDescent="0.2">
      <c r="A554" s="227"/>
      <c r="B554" s="228" t="s">
        <v>4</v>
      </c>
      <c r="C554" s="229">
        <f t="shared" si="369"/>
        <v>5</v>
      </c>
      <c r="D554" s="227" t="str">
        <f t="shared" ca="1" si="386"/>
        <v>04.004.002.003</v>
      </c>
      <c r="E554" s="228" t="str">
        <f t="shared" ca="1" si="387"/>
        <v>04.004.002.003</v>
      </c>
      <c r="F554" s="230">
        <f ca="1">IF($B554="UNIDADE CONSTRUTIVA",OFFSET(F554,-1,0)+1,LARGE(F$10:F553,1))</f>
        <v>2</v>
      </c>
      <c r="G554" s="228" t="str">
        <f t="shared" ca="1" si="388"/>
        <v xml:space="preserve">   GERENCIAMENTO EXECUTIVO</v>
      </c>
      <c r="H554" s="230">
        <f t="shared" ca="1" si="389"/>
        <v>4</v>
      </c>
      <c r="I554" s="228" t="str">
        <f t="shared" ca="1" si="390"/>
        <v xml:space="preserve">   SUPRAESTRUTURA</v>
      </c>
      <c r="J554" s="230">
        <f t="shared" ca="1" si="391"/>
        <v>4</v>
      </c>
      <c r="K554" s="228" t="str">
        <f t="shared" ca="1" si="392"/>
        <v xml:space="preserve">   SUPRAESTRUTURA - 8º PAVIMENTO - COBERTURA</v>
      </c>
      <c r="L554" s="231">
        <f t="shared" ca="1" si="393"/>
        <v>2</v>
      </c>
      <c r="M554" s="228" t="str">
        <f t="shared" ca="1" si="394"/>
        <v xml:space="preserve">   Forma</v>
      </c>
      <c r="N554" s="231">
        <f t="shared" ca="1" si="395"/>
        <v>3</v>
      </c>
      <c r="O554" s="228" t="str">
        <f t="shared" ca="1" si="396"/>
        <v>Fabricação de fôrma para Escadas em chapa de madeira compensada plastificada e=14 mm - 2 jogos</v>
      </c>
      <c r="P554" s="232" t="str">
        <f>IF(S554="","",IF(Orçamento!$B554="INSUMO",S554,""))</f>
        <v/>
      </c>
      <c r="Q554" s="244" t="str">
        <f t="shared" si="397"/>
        <v>Fabricação de fôrma para Escadas em chapa de madeira compensada plastificada e=14 mm - 2 jogos</v>
      </c>
      <c r="R554" s="234">
        <f t="shared" ca="1" si="398"/>
        <v>20.058600000000002</v>
      </c>
      <c r="S554" s="233" t="s">
        <v>951</v>
      </c>
      <c r="T554" s="242" t="s">
        <v>140</v>
      </c>
      <c r="U554" s="235">
        <f>U577</f>
        <v>20.058600000000002</v>
      </c>
      <c r="V554" s="320" t="s">
        <v>35</v>
      </c>
      <c r="W554" s="236" t="str">
        <f>IFERROR(IF(B554="INSUMO",_xlfn.XLOOKUP(S554,Insumos!A:A,Insumos!C:C),""),"Inserir Preço")</f>
        <v/>
      </c>
      <c r="X554" s="235">
        <f t="shared" ca="1" si="385"/>
        <v>20.058600000000002</v>
      </c>
      <c r="Y554" s="236">
        <f t="shared" ca="1" si="399"/>
        <v>186.96039999999999</v>
      </c>
      <c r="Z554" s="237">
        <f t="shared" ca="1" si="370"/>
        <v>3750.1638794400001</v>
      </c>
      <c r="AA554" s="238"/>
      <c r="AB554" s="233" t="str">
        <f>IF(B554="insumo",_xlfn.XLOOKUP(S554,Insumos!A:A,Insumos!D:D),"")</f>
        <v/>
      </c>
      <c r="AC554" s="239">
        <f t="shared" ca="1" si="371"/>
        <v>5.379951995167487E-4</v>
      </c>
      <c r="AE554" s="240">
        <f ca="1">IFERROR(IF(OR(Z554="",Z554=0),"",IF(AF554="","",IF(AF554="R$/mês",Z554/OBRA!$D$12,IF(AF554="R$/m²",Z554/OBRA!$D$10,IF(AF554="R$/apto",Orçamento!Z554/OBRA!$D$11,""))))),"")</f>
        <v>1.9298610454964158</v>
      </c>
      <c r="AF554" s="241" t="s">
        <v>154</v>
      </c>
    </row>
    <row r="555" spans="1:32" s="10" customFormat="1" ht="13.15" hidden="1" customHeight="1" outlineLevel="4" x14ac:dyDescent="0.2">
      <c r="A555" s="227"/>
      <c r="B555" s="228" t="s">
        <v>19</v>
      </c>
      <c r="C555" s="229">
        <f t="shared" si="369"/>
        <v>21</v>
      </c>
      <c r="D555" s="227" t="str">
        <f t="shared" si="386"/>
        <v/>
      </c>
      <c r="E555" s="228" t="str">
        <f t="shared" ca="1" si="387"/>
        <v>04.004.002.003</v>
      </c>
      <c r="F555" s="230">
        <f ca="1">IF($B555="UNIDADE CONSTRUTIVA",OFFSET(F555,-1,0)+1,LARGE(F$10:F554,1))</f>
        <v>2</v>
      </c>
      <c r="G555" s="228" t="str">
        <f t="shared" ca="1" si="388"/>
        <v xml:space="preserve">   GERENCIAMENTO EXECUTIVO</v>
      </c>
      <c r="H555" s="230">
        <f t="shared" ca="1" si="389"/>
        <v>4</v>
      </c>
      <c r="I555" s="228" t="str">
        <f t="shared" ca="1" si="390"/>
        <v xml:space="preserve">   SUPRAESTRUTURA</v>
      </c>
      <c r="J555" s="230">
        <f t="shared" ca="1" si="391"/>
        <v>4</v>
      </c>
      <c r="K555" s="228" t="str">
        <f t="shared" ca="1" si="392"/>
        <v xml:space="preserve">   SUPRAESTRUTURA - 8º PAVIMENTO - COBERTURA</v>
      </c>
      <c r="L555" s="231">
        <f t="shared" ca="1" si="393"/>
        <v>2</v>
      </c>
      <c r="M555" s="228" t="str">
        <f t="shared" ca="1" si="394"/>
        <v xml:space="preserve">   Forma</v>
      </c>
      <c r="N555" s="231">
        <f t="shared" ca="1" si="395"/>
        <v>3</v>
      </c>
      <c r="O555" s="228" t="str">
        <f t="shared" ca="1" si="396"/>
        <v>Fabricação de fôrma para Escadas em chapa de madeira compensada plastificada e=14 mm - 2 jogos</v>
      </c>
      <c r="P555" s="232" t="str">
        <f>IF(S555="","",IF(Orçamento!$B555="INSUMO",S555,""))</f>
        <v>COMPENSADO MADEIRA TIPO PLASTIFICADO 2200X1100X14MM NBR 1096</v>
      </c>
      <c r="Q555" s="244" t="str">
        <f t="shared" si="397"/>
        <v/>
      </c>
      <c r="R555" s="234">
        <f t="shared" ca="1" si="398"/>
        <v>20.058600000000002</v>
      </c>
      <c r="S555" s="233" t="s">
        <v>804</v>
      </c>
      <c r="T555" s="242" t="str">
        <f>_xlfn.XLOOKUP(S555,Insumos!$A$3:$A$371,Insumos!$B$3:$B$371)</f>
        <v>CH</v>
      </c>
      <c r="U555" s="235">
        <f ca="1">IF($B555="insumo",R555,"")</f>
        <v>20.058600000000002</v>
      </c>
      <c r="V555" s="320">
        <f>ROUNDUP(1.3/(2.2*1.1),4)</f>
        <v>0.53720000000000001</v>
      </c>
      <c r="W555" s="236">
        <f>IFERROR(IF(B555="INSUMO",_xlfn.XLOOKUP(S555,Insumos!A:A,Insumos!C:C),""),"Inserir Preço")</f>
        <v>132</v>
      </c>
      <c r="X555" s="235">
        <f t="shared" ca="1" si="385"/>
        <v>10.77547992</v>
      </c>
      <c r="Y555" s="236">
        <f t="shared" si="399"/>
        <v>70.910399999999996</v>
      </c>
      <c r="Z555" s="237">
        <f t="shared" ca="1" si="370"/>
        <v>1422.3633494400001</v>
      </c>
      <c r="AA555" s="238"/>
      <c r="AB555" s="233" t="str">
        <f>IF(B555="insumo",_xlfn.XLOOKUP(S555,Insumos!A:A,Insumos!D:D),"")</f>
        <v xml:space="preserve"> </v>
      </c>
      <c r="AC555" s="239">
        <f t="shared" ca="1" si="371"/>
        <v>2.0405099045472976E-4</v>
      </c>
      <c r="AE555" s="240">
        <f ca="1">IFERROR(IF(OR(Z555="",Z555=0),"",IF(AF555="","",IF(AF555="R$/mês",Z555/OBRA!$D$12,IF(AF555="R$/m²",Z555/OBRA!$D$10,IF(AF555="R$/apto",Orçamento!Z555/OBRA!$D$11,""))))),"")</f>
        <v>0.73195831138877032</v>
      </c>
      <c r="AF555" s="241" t="s">
        <v>154</v>
      </c>
    </row>
    <row r="556" spans="1:32" s="10" customFormat="1" ht="13.15" hidden="1" customHeight="1" outlineLevel="4" x14ac:dyDescent="0.2">
      <c r="A556" s="227"/>
      <c r="B556" s="228" t="s">
        <v>19</v>
      </c>
      <c r="C556" s="229">
        <f t="shared" si="369"/>
        <v>26</v>
      </c>
      <c r="D556" s="227" t="str">
        <f t="shared" si="386"/>
        <v/>
      </c>
      <c r="E556" s="228" t="str">
        <f t="shared" ca="1" si="387"/>
        <v>04.004.002.003</v>
      </c>
      <c r="F556" s="230">
        <f ca="1">IF($B556="UNIDADE CONSTRUTIVA",OFFSET(F556,-1,0)+1,LARGE(F$10:F555,1))</f>
        <v>2</v>
      </c>
      <c r="G556" s="228" t="str">
        <f t="shared" ca="1" si="388"/>
        <v xml:space="preserve">   GERENCIAMENTO EXECUTIVO</v>
      </c>
      <c r="H556" s="230">
        <f t="shared" ca="1" si="389"/>
        <v>4</v>
      </c>
      <c r="I556" s="228" t="str">
        <f t="shared" ca="1" si="390"/>
        <v xml:space="preserve">   SUPRAESTRUTURA</v>
      </c>
      <c r="J556" s="230">
        <f t="shared" ca="1" si="391"/>
        <v>4</v>
      </c>
      <c r="K556" s="228" t="str">
        <f t="shared" ca="1" si="392"/>
        <v xml:space="preserve">   SUPRAESTRUTURA - 8º PAVIMENTO - COBERTURA</v>
      </c>
      <c r="L556" s="231">
        <f t="shared" ca="1" si="393"/>
        <v>2</v>
      </c>
      <c r="M556" s="228" t="str">
        <f t="shared" ca="1" si="394"/>
        <v xml:space="preserve">   Forma</v>
      </c>
      <c r="N556" s="231">
        <f t="shared" ca="1" si="395"/>
        <v>3</v>
      </c>
      <c r="O556" s="228" t="str">
        <f t="shared" ca="1" si="396"/>
        <v>Fabricação de fôrma para Escadas em chapa de madeira compensada plastificada e=14 mm - 2 jogos</v>
      </c>
      <c r="P556" s="232" t="str">
        <f>IF(S556="","",IF(Orçamento!$B556="INSUMO",S556,""))</f>
        <v>MADEIRA PINUS/SIMILAR - PONTALETE 75X75MM NBR 11700/15696</v>
      </c>
      <c r="Q556" s="244" t="str">
        <f t="shared" si="397"/>
        <v/>
      </c>
      <c r="R556" s="234">
        <f t="shared" ca="1" si="398"/>
        <v>20.058600000000002</v>
      </c>
      <c r="S556" s="233" t="s">
        <v>807</v>
      </c>
      <c r="T556" s="242" t="str">
        <f>_xlfn.XLOOKUP(S556,Insumos!$A$3:$A$371,Insumos!$B$3:$B$371)</f>
        <v>M</v>
      </c>
      <c r="U556" s="235">
        <f ca="1">IF($B556="insumo",R556,"")</f>
        <v>20.058600000000002</v>
      </c>
      <c r="V556" s="320">
        <v>13.18</v>
      </c>
      <c r="W556" s="236">
        <f>IFERROR(IF(B556="INSUMO",_xlfn.XLOOKUP(S556,Insumos!A:A,Insumos!C:C),""),"Inserir Preço")</f>
        <v>7</v>
      </c>
      <c r="X556" s="235">
        <f t="shared" ca="1" si="385"/>
        <v>264.37234800000004</v>
      </c>
      <c r="Y556" s="236">
        <f t="shared" si="399"/>
        <v>92.259999999999991</v>
      </c>
      <c r="Z556" s="237">
        <f t="shared" ca="1" si="370"/>
        <v>1850.6064360000003</v>
      </c>
      <c r="AA556" s="238"/>
      <c r="AB556" s="233" t="str">
        <f>IF(B556="insumo",_xlfn.XLOOKUP(S556,Insumos!A:A,Insumos!D:D),"")</f>
        <v xml:space="preserve"> </v>
      </c>
      <c r="AC556" s="239">
        <f t="shared" ca="1" si="371"/>
        <v>2.6548636560156714E-4</v>
      </c>
      <c r="AE556" s="240">
        <f ca="1">IFERROR(IF(OR(Z556="",Z556=0),"",IF(AF556="","",IF(AF556="R$/mês",Z556/OBRA!$D$12,IF(AF556="R$/m²",Z556/OBRA!$D$10,IF(AF556="R$/apto",Orçamento!Z556/OBRA!$D$11,""))))),"")</f>
        <v>0.95233525419018861</v>
      </c>
      <c r="AF556" s="241" t="s">
        <v>154</v>
      </c>
    </row>
    <row r="557" spans="1:32" s="10" customFormat="1" ht="13.15" hidden="1" customHeight="1" outlineLevel="4" x14ac:dyDescent="0.2">
      <c r="A557" s="227"/>
      <c r="B557" s="228" t="s">
        <v>19</v>
      </c>
      <c r="C557" s="229">
        <f t="shared" si="369"/>
        <v>12</v>
      </c>
      <c r="D557" s="227" t="str">
        <f t="shared" si="386"/>
        <v/>
      </c>
      <c r="E557" s="228" t="str">
        <f t="shared" ca="1" si="387"/>
        <v>04.004.002.003</v>
      </c>
      <c r="F557" s="230">
        <f ca="1">IF($B557="UNIDADE CONSTRUTIVA",OFFSET(F557,-1,0)+1,LARGE(F$10:F556,1))</f>
        <v>2</v>
      </c>
      <c r="G557" s="228" t="str">
        <f t="shared" ca="1" si="388"/>
        <v xml:space="preserve">   GERENCIAMENTO EXECUTIVO</v>
      </c>
      <c r="H557" s="230">
        <f t="shared" ca="1" si="389"/>
        <v>4</v>
      </c>
      <c r="I557" s="228" t="str">
        <f t="shared" ca="1" si="390"/>
        <v xml:space="preserve">   SUPRAESTRUTURA</v>
      </c>
      <c r="J557" s="230">
        <f t="shared" ca="1" si="391"/>
        <v>4</v>
      </c>
      <c r="K557" s="228" t="str">
        <f t="shared" ca="1" si="392"/>
        <v xml:space="preserve">   SUPRAESTRUTURA - 8º PAVIMENTO - COBERTURA</v>
      </c>
      <c r="L557" s="231">
        <f t="shared" ca="1" si="393"/>
        <v>2</v>
      </c>
      <c r="M557" s="228" t="str">
        <f t="shared" ca="1" si="394"/>
        <v xml:space="preserve">   Forma</v>
      </c>
      <c r="N557" s="231">
        <f t="shared" ca="1" si="395"/>
        <v>3</v>
      </c>
      <c r="O557" s="228" t="str">
        <f t="shared" ca="1" si="396"/>
        <v>Fabricação de fôrma para Escadas em chapa de madeira compensada plastificada e=14 mm - 2 jogos</v>
      </c>
      <c r="P557" s="232" t="str">
        <f>IF(S557="","",IF(Orçamento!$B557="INSUMO",S557,""))</f>
        <v>SARRAFO DE MADEIRA 7,0 x 3 M</v>
      </c>
      <c r="Q557" s="244" t="str">
        <f t="shared" si="397"/>
        <v/>
      </c>
      <c r="R557" s="234">
        <f t="shared" ca="1" si="398"/>
        <v>20.058600000000002</v>
      </c>
      <c r="S557" s="233" t="s">
        <v>175</v>
      </c>
      <c r="T557" s="242" t="str">
        <f>_xlfn.XLOOKUP(S557,Insumos!$A$3:$A$371,Insumos!$B$3:$B$371)</f>
        <v>M3</v>
      </c>
      <c r="U557" s="235">
        <f ca="1">IF($B557="insumo",R557,"")</f>
        <v>20.058600000000002</v>
      </c>
      <c r="V557" s="320">
        <v>1.7299999999999999E-2</v>
      </c>
      <c r="W557" s="236">
        <f>IFERROR(IF(B557="INSUMO",_xlfn.XLOOKUP(S557,Insumos!A:A,Insumos!C:C),""),"Inserir Preço")</f>
        <v>1300</v>
      </c>
      <c r="X557" s="235">
        <f t="shared" ca="1" si="385"/>
        <v>0.34701378000000005</v>
      </c>
      <c r="Y557" s="236">
        <f t="shared" si="399"/>
        <v>22.49</v>
      </c>
      <c r="Z557" s="237">
        <f t="shared" ca="1" si="370"/>
        <v>451.11791400000004</v>
      </c>
      <c r="AA557" s="238"/>
      <c r="AB557" s="233" t="str">
        <f>IF(B557="insumo",_xlfn.XLOOKUP(S557,Insumos!A:A,Insumos!D:D),"")</f>
        <v xml:space="preserve"> </v>
      </c>
      <c r="AC557" s="239">
        <f t="shared" ca="1" si="371"/>
        <v>6.4716977697585579E-5</v>
      </c>
      <c r="AE557" s="240">
        <f ca="1">IFERROR(IF(OR(Z557="",Z557=0),"",IF(AF557="","",IF(AF557="R$/mês",Z557/OBRA!$D$12,IF(AF557="R$/m²",Z557/OBRA!$D$10,IF(AF557="R$/apto",Orçamento!Z557/OBRA!$D$11,""))))),"")</f>
        <v>0.2321484919438255</v>
      </c>
      <c r="AF557" s="241" t="s">
        <v>154</v>
      </c>
    </row>
    <row r="558" spans="1:32" s="10" customFormat="1" ht="13.15" hidden="1" customHeight="1" outlineLevel="4" x14ac:dyDescent="0.2">
      <c r="A558" s="227"/>
      <c r="B558" s="228" t="s">
        <v>19</v>
      </c>
      <c r="C558" s="229">
        <f t="shared" si="369"/>
        <v>44</v>
      </c>
      <c r="D558" s="227" t="str">
        <f t="shared" si="386"/>
        <v/>
      </c>
      <c r="E558" s="228" t="str">
        <f t="shared" ca="1" si="387"/>
        <v>04.004.002.003</v>
      </c>
      <c r="F558" s="230">
        <f ca="1">IF($B558="UNIDADE CONSTRUTIVA",OFFSET(F558,-1,0)+1,LARGE(F$10:F557,1))</f>
        <v>2</v>
      </c>
      <c r="G558" s="228" t="str">
        <f t="shared" ca="1" si="388"/>
        <v xml:space="preserve">   GERENCIAMENTO EXECUTIVO</v>
      </c>
      <c r="H558" s="230">
        <f t="shared" ca="1" si="389"/>
        <v>4</v>
      </c>
      <c r="I558" s="228" t="str">
        <f t="shared" ca="1" si="390"/>
        <v xml:space="preserve">   SUPRAESTRUTURA</v>
      </c>
      <c r="J558" s="230">
        <f t="shared" ca="1" si="391"/>
        <v>4</v>
      </c>
      <c r="K558" s="228" t="str">
        <f t="shared" ca="1" si="392"/>
        <v xml:space="preserve">   SUPRAESTRUTURA - 8º PAVIMENTO - COBERTURA</v>
      </c>
      <c r="L558" s="231">
        <f t="shared" ca="1" si="393"/>
        <v>2</v>
      </c>
      <c r="M558" s="228" t="str">
        <f t="shared" ca="1" si="394"/>
        <v xml:space="preserve">   Forma</v>
      </c>
      <c r="N558" s="231">
        <f t="shared" ca="1" si="395"/>
        <v>3</v>
      </c>
      <c r="O558" s="228" t="str">
        <f t="shared" ca="1" si="396"/>
        <v>Fabricação de fôrma para Escadas em chapa de madeira compensada plastificada e=14 mm - 2 jogos</v>
      </c>
      <c r="P558" s="232" t="str">
        <f>IF(S558="","",IF(Orçamento!$B558="INSUMO",S558,""))</f>
        <v>PREGO 17 x 21 COM CABECA</v>
      </c>
      <c r="Q558" s="244" t="str">
        <f t="shared" si="397"/>
        <v/>
      </c>
      <c r="R558" s="234">
        <f t="shared" ca="1" si="398"/>
        <v>20.058600000000002</v>
      </c>
      <c r="S558" s="233" t="s">
        <v>173</v>
      </c>
      <c r="T558" s="242" t="str">
        <f>_xlfn.XLOOKUP(S558,Insumos!$A$3:$A$371,Insumos!$B$3:$B$371)</f>
        <v>KG</v>
      </c>
      <c r="U558" s="235">
        <f ca="1">IF($B558="insumo",R558,"")</f>
        <v>20.058600000000002</v>
      </c>
      <c r="V558" s="320">
        <v>0.1</v>
      </c>
      <c r="W558" s="236">
        <f>IFERROR(IF(B558="INSUMO",_xlfn.XLOOKUP(S558,Insumos!A:A,Insumos!C:C),""),"Inserir Preço")</f>
        <v>13</v>
      </c>
      <c r="X558" s="235">
        <f t="shared" ca="1" si="385"/>
        <v>2.0058600000000002</v>
      </c>
      <c r="Y558" s="236">
        <f t="shared" si="399"/>
        <v>1.3</v>
      </c>
      <c r="Z558" s="237">
        <f t="shared" ca="1" si="370"/>
        <v>26.076180000000001</v>
      </c>
      <c r="AA558" s="238"/>
      <c r="AB558" s="233" t="str">
        <f>IF(B558="insumo",_xlfn.XLOOKUP(S558,Insumos!A:A,Insumos!D:D),"")</f>
        <v xml:space="preserve"> </v>
      </c>
      <c r="AC558" s="239">
        <f t="shared" ca="1" si="371"/>
        <v>3.740865762866218E-6</v>
      </c>
      <c r="AE558" s="240">
        <f ca="1">IFERROR(IF(OR(Z558="",Z558=0),"",IF(AF558="","",IF(AF558="R$/mês",Z558/OBRA!$D$12,IF(AF558="R$/m²",Z558/OBRA!$D$10,IF(AF558="R$/apto",Orçamento!Z558/OBRA!$D$11,""))))),"")</f>
        <v>1.3418987973631532E-2</v>
      </c>
      <c r="AF558" s="241" t="s">
        <v>154</v>
      </c>
    </row>
    <row r="559" spans="1:32" s="10" customFormat="1" ht="13.15" hidden="1" customHeight="1" outlineLevel="4" x14ac:dyDescent="0.2">
      <c r="A559" s="227"/>
      <c r="B559" s="228" t="s">
        <v>4</v>
      </c>
      <c r="C559" s="229">
        <f t="shared" si="369"/>
        <v>5</v>
      </c>
      <c r="D559" s="227" t="str">
        <f t="shared" ca="1" si="386"/>
        <v>04.004.002.004</v>
      </c>
      <c r="E559" s="228" t="str">
        <f t="shared" ca="1" si="387"/>
        <v>04.004.002.004</v>
      </c>
      <c r="F559" s="230">
        <f ca="1">IF($B559="UNIDADE CONSTRUTIVA",OFFSET(F559,-1,0)+1,LARGE(F$10:F558,1))</f>
        <v>2</v>
      </c>
      <c r="G559" s="228" t="str">
        <f t="shared" ca="1" si="388"/>
        <v xml:space="preserve">   GERENCIAMENTO EXECUTIVO</v>
      </c>
      <c r="H559" s="230">
        <f t="shared" ca="1" si="389"/>
        <v>4</v>
      </c>
      <c r="I559" s="228" t="str">
        <f t="shared" ca="1" si="390"/>
        <v xml:space="preserve">   SUPRAESTRUTURA</v>
      </c>
      <c r="J559" s="230">
        <f t="shared" ca="1" si="391"/>
        <v>4</v>
      </c>
      <c r="K559" s="228" t="str">
        <f t="shared" ca="1" si="392"/>
        <v xml:space="preserve">   SUPRAESTRUTURA - 8º PAVIMENTO - COBERTURA</v>
      </c>
      <c r="L559" s="231">
        <f t="shared" ca="1" si="393"/>
        <v>2</v>
      </c>
      <c r="M559" s="228" t="str">
        <f t="shared" ca="1" si="394"/>
        <v xml:space="preserve">   Forma</v>
      </c>
      <c r="N559" s="231">
        <f t="shared" ca="1" si="395"/>
        <v>4</v>
      </c>
      <c r="O559" s="228" t="str">
        <f t="shared" ca="1" si="396"/>
        <v>Fabricação de fôrma para laje em chapa de madeira compensada plastificada e=14 mm - 2 jogos</v>
      </c>
      <c r="P559" s="232" t="str">
        <f>IF(S559="","",IF(Orçamento!$B559="INSUMO",S559,""))</f>
        <v/>
      </c>
      <c r="Q559" s="244" t="str">
        <f t="shared" si="397"/>
        <v>Fabricação de fôrma para laje em chapa de madeira compensada plastificada e=14 mm - 2 jogos</v>
      </c>
      <c r="R559" s="234">
        <f t="shared" ca="1" si="398"/>
        <v>43.294499999999999</v>
      </c>
      <c r="S559" s="233" t="s">
        <v>194</v>
      </c>
      <c r="T559" s="242" t="s">
        <v>140</v>
      </c>
      <c r="U559" s="235">
        <f>U565</f>
        <v>43.294499999999999</v>
      </c>
      <c r="V559" s="320"/>
      <c r="W559" s="236" t="str">
        <f>IFERROR(IF(B559="INSUMO",_xlfn.XLOOKUP(S559,Insumos!A:A,Insumos!C:C),""),"Inserir Preço")</f>
        <v/>
      </c>
      <c r="X559" s="235">
        <f t="shared" ca="1" si="385"/>
        <v>43.294499999999999</v>
      </c>
      <c r="Y559" s="236">
        <f t="shared" ca="1" si="399"/>
        <v>59.341799999999999</v>
      </c>
      <c r="Z559" s="237">
        <f t="shared" ca="1" si="370"/>
        <v>2569.1735601</v>
      </c>
      <c r="AA559" s="238"/>
      <c r="AB559" s="233" t="str">
        <f>IF(B559="insumo",_xlfn.XLOOKUP(S559,Insumos!A:A,Insumos!D:D),"")</f>
        <v/>
      </c>
      <c r="AC559" s="239">
        <f t="shared" ca="1" si="371"/>
        <v>3.685713708771455E-4</v>
      </c>
      <c r="AE559" s="240">
        <f ca="1">IFERROR(IF(OR(Z559="",Z559=0),"",IF(AF559="","",IF(AF559="R$/mês",Z559/OBRA!$D$12,IF(AF559="R$/m²",Z559/OBRA!$D$10,IF(AF559="R$/apto",Orçamento!Z559/OBRA!$D$11,""))))),"")</f>
        <v>1.3221150147434941</v>
      </c>
      <c r="AF559" s="241" t="s">
        <v>154</v>
      </c>
    </row>
    <row r="560" spans="1:32" s="10" customFormat="1" ht="13.15" hidden="1" customHeight="1" outlineLevel="4" x14ac:dyDescent="0.2">
      <c r="A560" s="227"/>
      <c r="B560" s="228" t="s">
        <v>19</v>
      </c>
      <c r="C560" s="229">
        <f t="shared" si="369"/>
        <v>21</v>
      </c>
      <c r="D560" s="227" t="str">
        <f t="shared" si="386"/>
        <v/>
      </c>
      <c r="E560" s="228" t="str">
        <f t="shared" ca="1" si="387"/>
        <v>04.004.002.004</v>
      </c>
      <c r="F560" s="230">
        <f ca="1">IF($B560="UNIDADE CONSTRUTIVA",OFFSET(F560,-1,0)+1,LARGE(F$10:F559,1))</f>
        <v>2</v>
      </c>
      <c r="G560" s="228" t="str">
        <f t="shared" ca="1" si="388"/>
        <v xml:space="preserve">   GERENCIAMENTO EXECUTIVO</v>
      </c>
      <c r="H560" s="230">
        <f t="shared" ca="1" si="389"/>
        <v>4</v>
      </c>
      <c r="I560" s="228" t="str">
        <f t="shared" ca="1" si="390"/>
        <v xml:space="preserve">   SUPRAESTRUTURA</v>
      </c>
      <c r="J560" s="230">
        <f t="shared" ca="1" si="391"/>
        <v>4</v>
      </c>
      <c r="K560" s="228" t="str">
        <f t="shared" ca="1" si="392"/>
        <v xml:space="preserve">   SUPRAESTRUTURA - 8º PAVIMENTO - COBERTURA</v>
      </c>
      <c r="L560" s="231">
        <f t="shared" ca="1" si="393"/>
        <v>2</v>
      </c>
      <c r="M560" s="228" t="str">
        <f t="shared" ca="1" si="394"/>
        <v xml:space="preserve">   Forma</v>
      </c>
      <c r="N560" s="231">
        <f t="shared" ca="1" si="395"/>
        <v>4</v>
      </c>
      <c r="O560" s="228" t="str">
        <f t="shared" ca="1" si="396"/>
        <v>Fabricação de fôrma para laje em chapa de madeira compensada plastificada e=14 mm - 2 jogos</v>
      </c>
      <c r="P560" s="232" t="str">
        <f>IF(S560="","",IF(Orçamento!$B560="INSUMO",S560,""))</f>
        <v>COMPENSADO MADEIRA TIPO PLASTIFICADO 2200X1100X14MM NBR 1096</v>
      </c>
      <c r="Q560" s="244" t="str">
        <f t="shared" si="397"/>
        <v/>
      </c>
      <c r="R560" s="234">
        <f t="shared" ca="1" si="398"/>
        <v>43.294499999999999</v>
      </c>
      <c r="S560" s="233" t="s">
        <v>804</v>
      </c>
      <c r="T560" s="242" t="str">
        <f>_xlfn.XLOOKUP(S560,Insumos!$A$3:$A$371,Insumos!$B$3:$B$371)</f>
        <v>CH</v>
      </c>
      <c r="U560" s="235">
        <f ca="1">IF($B560="insumo",R560,"")</f>
        <v>43.294499999999999</v>
      </c>
      <c r="V560" s="320">
        <f>ROUNDUP(1.05/(2.2*1.1),4)</f>
        <v>0.43390000000000001</v>
      </c>
      <c r="W560" s="236">
        <f>IFERROR(IF(B560="INSUMO",_xlfn.XLOOKUP(S560,Insumos!A:A,Insumos!C:C),""),"Inserir Preço")</f>
        <v>132</v>
      </c>
      <c r="X560" s="235">
        <f t="shared" ca="1" si="385"/>
        <v>18.785483549999999</v>
      </c>
      <c r="Y560" s="236">
        <f t="shared" si="399"/>
        <v>57.274799999999999</v>
      </c>
      <c r="Z560" s="237">
        <f t="shared" ca="1" si="370"/>
        <v>2479.6838285999997</v>
      </c>
      <c r="AA560" s="238"/>
      <c r="AB560" s="233" t="str">
        <f>IF(B560="insumo",_xlfn.XLOOKUP(S560,Insumos!A:A,Insumos!D:D),"")</f>
        <v xml:space="preserve"> </v>
      </c>
      <c r="AC560" s="239">
        <f t="shared" ca="1" si="371"/>
        <v>3.5573325299728572E-4</v>
      </c>
      <c r="AE560" s="240">
        <f ca="1">IFERROR(IF(OR(Z560="",Z560=0),"",IF(AF560="","",IF(AF560="R$/mês",Z560/OBRA!$D$12,IF(AF560="R$/m²",Z560/OBRA!$D$10,IF(AF560="R$/apto",Orçamento!Z560/OBRA!$D$11,""))))),"")</f>
        <v>1.2760629614610723</v>
      </c>
      <c r="AF560" s="241" t="s">
        <v>154</v>
      </c>
    </row>
    <row r="561" spans="1:32" s="10" customFormat="1" ht="13.15" hidden="1" customHeight="1" outlineLevel="4" x14ac:dyDescent="0.2">
      <c r="A561" s="227"/>
      <c r="B561" s="228" t="s">
        <v>19</v>
      </c>
      <c r="C561" s="229">
        <f t="shared" si="369"/>
        <v>44</v>
      </c>
      <c r="D561" s="227" t="str">
        <f t="shared" si="386"/>
        <v/>
      </c>
      <c r="E561" s="228" t="str">
        <f t="shared" ca="1" si="387"/>
        <v>04.004.002.004</v>
      </c>
      <c r="F561" s="230">
        <f ca="1">IF($B561="UNIDADE CONSTRUTIVA",OFFSET(F561,-1,0)+1,LARGE(F$10:F560,1))</f>
        <v>2</v>
      </c>
      <c r="G561" s="228" t="str">
        <f t="shared" ca="1" si="388"/>
        <v xml:space="preserve">   GERENCIAMENTO EXECUTIVO</v>
      </c>
      <c r="H561" s="230">
        <f t="shared" ca="1" si="389"/>
        <v>4</v>
      </c>
      <c r="I561" s="228" t="str">
        <f t="shared" ca="1" si="390"/>
        <v xml:space="preserve">   SUPRAESTRUTURA</v>
      </c>
      <c r="J561" s="230">
        <f t="shared" ca="1" si="391"/>
        <v>4</v>
      </c>
      <c r="K561" s="228" t="str">
        <f t="shared" ca="1" si="392"/>
        <v xml:space="preserve">   SUPRAESTRUTURA - 8º PAVIMENTO - COBERTURA</v>
      </c>
      <c r="L561" s="231">
        <f t="shared" ca="1" si="393"/>
        <v>2</v>
      </c>
      <c r="M561" s="228" t="str">
        <f t="shared" ca="1" si="394"/>
        <v xml:space="preserve">   Forma</v>
      </c>
      <c r="N561" s="231">
        <f t="shared" ca="1" si="395"/>
        <v>4</v>
      </c>
      <c r="O561" s="228" t="str">
        <f t="shared" ca="1" si="396"/>
        <v>Fabricação de fôrma para laje em chapa de madeira compensada plastificada e=14 mm - 2 jogos</v>
      </c>
      <c r="P561" s="232" t="str">
        <f>IF(S561="","",IF(Orçamento!$B561="INSUMO",S561,""))</f>
        <v>PREGO 17 x 21 COM CABECA</v>
      </c>
      <c r="Q561" s="244" t="str">
        <f t="shared" si="397"/>
        <v/>
      </c>
      <c r="R561" s="234">
        <f t="shared" ca="1" si="398"/>
        <v>43.294499999999999</v>
      </c>
      <c r="S561" s="233" t="s">
        <v>173</v>
      </c>
      <c r="T561" s="242" t="str">
        <f>_xlfn.XLOOKUP(S561,Insumos!$A$3:$A$371,Insumos!$B$3:$B$371)</f>
        <v>KG</v>
      </c>
      <c r="U561" s="235">
        <f ca="1">IF($B561="insumo",R561,"")</f>
        <v>43.294499999999999</v>
      </c>
      <c r="V561" s="320">
        <v>0.159</v>
      </c>
      <c r="W561" s="236">
        <f>IFERROR(IF(B561="INSUMO",_xlfn.XLOOKUP(S561,Insumos!A:A,Insumos!C:C),""),"Inserir Preço")</f>
        <v>13</v>
      </c>
      <c r="X561" s="235">
        <f t="shared" ca="1" si="385"/>
        <v>6.8838255000000004</v>
      </c>
      <c r="Y561" s="236">
        <f t="shared" si="399"/>
        <v>2.0670000000000002</v>
      </c>
      <c r="Z561" s="237">
        <f t="shared" ca="1" si="370"/>
        <v>89.489731500000005</v>
      </c>
      <c r="AA561" s="238"/>
      <c r="AB561" s="233" t="str">
        <f>IF(B561="insumo",_xlfn.XLOOKUP(S561,Insumos!A:A,Insumos!D:D),"")</f>
        <v xml:space="preserve"> </v>
      </c>
      <c r="AC561" s="239">
        <f t="shared" ca="1" si="371"/>
        <v>1.2838117879859724E-5</v>
      </c>
      <c r="AE561" s="240">
        <f ca="1">IFERROR(IF(OR(Z561="",Z561=0),"",IF(AF561="","",IF(AF561="R$/mês",Z561/OBRA!$D$12,IF(AF561="R$/m²",Z561/OBRA!$D$10,IF(AF561="R$/apto",Orçamento!Z561/OBRA!$D$11,""))))),"")</f>
        <v>4.605205328242154E-2</v>
      </c>
      <c r="AF561" s="241" t="s">
        <v>154</v>
      </c>
    </row>
    <row r="562" spans="1:32" s="10" customFormat="1" ht="13.15" hidden="1" customHeight="1" outlineLevel="4" x14ac:dyDescent="0.2">
      <c r="A562" s="227"/>
      <c r="B562" s="228" t="s">
        <v>4</v>
      </c>
      <c r="C562" s="229">
        <f t="shared" si="369"/>
        <v>3</v>
      </c>
      <c r="D562" s="227" t="str">
        <f t="shared" ca="1" si="372"/>
        <v>04.004.002.005</v>
      </c>
      <c r="E562" s="228" t="str">
        <f t="shared" ca="1" si="373"/>
        <v>04.004.002.005</v>
      </c>
      <c r="F562" s="230">
        <f ca="1">IF($B562="UNIDADE CONSTRUTIVA",OFFSET(F562,-1,0)+1,LARGE(F$10:F561,1))</f>
        <v>2</v>
      </c>
      <c r="G562" s="228" t="str">
        <f t="shared" ca="1" si="374"/>
        <v xml:space="preserve">   GERENCIAMENTO EXECUTIVO</v>
      </c>
      <c r="H562" s="230">
        <f t="shared" ca="1" si="375"/>
        <v>4</v>
      </c>
      <c r="I562" s="228" t="str">
        <f t="shared" ca="1" si="376"/>
        <v xml:space="preserve">   SUPRAESTRUTURA</v>
      </c>
      <c r="J562" s="230">
        <f t="shared" ca="1" si="377"/>
        <v>4</v>
      </c>
      <c r="K562" s="228" t="str">
        <f t="shared" ca="1" si="378"/>
        <v xml:space="preserve">   SUPRAESTRUTURA - 8º PAVIMENTO - COBERTURA</v>
      </c>
      <c r="L562" s="231">
        <f t="shared" ca="1" si="379"/>
        <v>2</v>
      </c>
      <c r="M562" s="228" t="str">
        <f t="shared" ca="1" si="380"/>
        <v xml:space="preserve">   Forma</v>
      </c>
      <c r="N562" s="231">
        <f t="shared" ca="1" si="381"/>
        <v>5</v>
      </c>
      <c r="O562" s="228" t="str">
        <f t="shared" ca="1" si="382"/>
        <v>Montagem E Desmontagem De Fôrma De Laje Nervurada Com Cubeta E Assoalho, Pé-Direito Simples, Em Chapa De Madeira Compensada Resinada, 8 Utilizações. Af_09/2020</v>
      </c>
      <c r="P562" s="232" t="str">
        <f>IF(S562="","",IF(Orçamento!$B562="INSUMO",S562,""))</f>
        <v/>
      </c>
      <c r="Q562" s="244" t="str">
        <f t="shared" si="383"/>
        <v>Montagem E Desmontagem De Fôrma De Laje Nervurada Com Cubeta E Assoalho, Pé-Direito Simples, Em Chapa De Madeira Compensada Resinada, 8 Utilizações. Af_09/2020</v>
      </c>
      <c r="R562" s="234">
        <f t="shared" ca="1" si="384"/>
        <v>190.9</v>
      </c>
      <c r="S562" s="233" t="s">
        <v>615</v>
      </c>
      <c r="T562" s="242" t="s">
        <v>140</v>
      </c>
      <c r="U562" s="235">
        <v>190.9</v>
      </c>
      <c r="V562" s="320" t="s">
        <v>35</v>
      </c>
      <c r="W562" s="236" t="str">
        <f>IFERROR(IF(B562="INSUMO",_xlfn.XLOOKUP(S562,Insumos!A:A,Insumos!C:C),""),"Inserir Preço")</f>
        <v/>
      </c>
      <c r="X562" s="235">
        <f t="shared" ca="1" si="385"/>
        <v>190.9</v>
      </c>
      <c r="Y562" s="236">
        <f t="shared" ca="1" si="399"/>
        <v>1.6575200000000001</v>
      </c>
      <c r="Z562" s="237">
        <f t="shared" ca="1" si="370"/>
        <v>316.420568</v>
      </c>
      <c r="AA562" s="238"/>
      <c r="AB562" s="233" t="str">
        <f>IF(B562="insumo",_xlfn.XLOOKUP(S562,Insumos!A:A,Insumos!D:D),"")</f>
        <v/>
      </c>
      <c r="AC562" s="239">
        <f t="shared" ca="1" si="371"/>
        <v>4.5393415350633489E-5</v>
      </c>
      <c r="AE562" s="240">
        <f ca="1">IFERROR(IF(OR(Z562="",Z562=0),"",IF(AF562="","",IF(AF562="R$/mês",Z562/OBRA!$D$12,IF(AF562="R$/m²",Z562/OBRA!$D$10,IF(AF562="R$/apto",Orçamento!Z562/OBRA!$D$11,""))))),"")</f>
        <v>0.16283227821719509</v>
      </c>
      <c r="AF562" s="241" t="s">
        <v>154</v>
      </c>
    </row>
    <row r="563" spans="1:32" s="10" customFormat="1" ht="13.15" hidden="1" customHeight="1" outlineLevel="4" x14ac:dyDescent="0.2">
      <c r="A563" s="227"/>
      <c r="B563" s="228" t="s">
        <v>19</v>
      </c>
      <c r="C563" s="229">
        <f t="shared" si="369"/>
        <v>29</v>
      </c>
      <c r="D563" s="227" t="str">
        <f t="shared" si="372"/>
        <v/>
      </c>
      <c r="E563" s="228" t="str">
        <f t="shared" ca="1" si="373"/>
        <v>04.004.002.005</v>
      </c>
      <c r="F563" s="230">
        <f ca="1">IF($B563="UNIDADE CONSTRUTIVA",OFFSET(F563,-1,0)+1,LARGE(F$10:F562,1))</f>
        <v>2</v>
      </c>
      <c r="G563" s="228" t="str">
        <f t="shared" ca="1" si="374"/>
        <v xml:space="preserve">   GERENCIAMENTO EXECUTIVO</v>
      </c>
      <c r="H563" s="230">
        <f t="shared" ca="1" si="375"/>
        <v>4</v>
      </c>
      <c r="I563" s="228" t="str">
        <f t="shared" ca="1" si="376"/>
        <v xml:space="preserve">   SUPRAESTRUTURA</v>
      </c>
      <c r="J563" s="230">
        <f t="shared" ca="1" si="377"/>
        <v>4</v>
      </c>
      <c r="K563" s="228" t="str">
        <f t="shared" ca="1" si="378"/>
        <v xml:space="preserve">   SUPRAESTRUTURA - 8º PAVIMENTO - COBERTURA</v>
      </c>
      <c r="L563" s="231">
        <f t="shared" ca="1" si="379"/>
        <v>2</v>
      </c>
      <c r="M563" s="228" t="str">
        <f t="shared" ca="1" si="380"/>
        <v xml:space="preserve">   Forma</v>
      </c>
      <c r="N563" s="231">
        <f t="shared" ca="1" si="381"/>
        <v>5</v>
      </c>
      <c r="O563" s="228" t="str">
        <f t="shared" ca="1" si="382"/>
        <v>Montagem E Desmontagem De Fôrma De Laje Nervurada Com Cubeta E Assoalho, Pé-Direito Simples, Em Chapa De Madeira Compensada Resinada, 8 Utilizações. Af_09/2020</v>
      </c>
      <c r="P563" s="232" t="str">
        <f>IF(S563="","",IF(Orçamento!$B563="INSUMO",S563,""))</f>
        <v>DESMOLDANTE</v>
      </c>
      <c r="Q563" s="244" t="str">
        <f t="shared" si="383"/>
        <v/>
      </c>
      <c r="R563" s="234">
        <f t="shared" ca="1" si="384"/>
        <v>190.9</v>
      </c>
      <c r="S563" s="233" t="s">
        <v>171</v>
      </c>
      <c r="T563" s="242" t="str">
        <f>_xlfn.XLOOKUP(S563,Insumos!$A$3:$A$371,Insumos!$B$3:$B$371)</f>
        <v>L</v>
      </c>
      <c r="U563" s="235">
        <f ca="1">IF($B563="insumo",R563,"")</f>
        <v>190.9</v>
      </c>
      <c r="V563" s="320">
        <v>8.0000000000000002E-3</v>
      </c>
      <c r="W563" s="236">
        <f>IFERROR(IF(B563="INSUMO",_xlfn.XLOOKUP(S563,Insumos!A:A,Insumos!C:C),""),"Inserir Preço")</f>
        <v>6.34</v>
      </c>
      <c r="X563" s="235">
        <f t="shared" ca="1" si="385"/>
        <v>1.5272000000000001</v>
      </c>
      <c r="Y563" s="236">
        <f t="shared" si="399"/>
        <v>5.0720000000000001E-2</v>
      </c>
      <c r="Z563" s="237">
        <f t="shared" ca="1" si="370"/>
        <v>9.6824480000000008</v>
      </c>
      <c r="AA563" s="238"/>
      <c r="AB563" s="233" t="str">
        <f>IF(B563="insumo",_xlfn.XLOOKUP(S563,Insumos!A:A,Insumos!D:D),"")</f>
        <v xml:space="preserve"> </v>
      </c>
      <c r="AC563" s="239">
        <f t="shared" ca="1" si="371"/>
        <v>1.3890354424586918E-6</v>
      </c>
      <c r="AE563" s="240">
        <f ca="1">IFERROR(IF(OR(Z563="",Z563=0),"",IF(AF563="","",IF(AF563="R$/mês",Z563/OBRA!$D$12,IF(AF563="R$/m²",Z563/OBRA!$D$10,IF(AF563="R$/apto",Orçamento!Z563/OBRA!$D$11,""))))),"")</f>
        <v>4.9826567107341905E-3</v>
      </c>
      <c r="AF563" s="241" t="s">
        <v>154</v>
      </c>
    </row>
    <row r="564" spans="1:32" s="10" customFormat="1" ht="13.15" hidden="1" customHeight="1" outlineLevel="4" x14ac:dyDescent="0.2">
      <c r="A564" s="227"/>
      <c r="B564" s="228" t="s">
        <v>19</v>
      </c>
      <c r="C564" s="229">
        <f t="shared" si="369"/>
        <v>3</v>
      </c>
      <c r="D564" s="227" t="str">
        <f t="shared" si="372"/>
        <v/>
      </c>
      <c r="E564" s="228" t="str">
        <f t="shared" ca="1" si="373"/>
        <v>04.004.002.005</v>
      </c>
      <c r="F564" s="230">
        <f ca="1">IF($B564="UNIDADE CONSTRUTIVA",OFFSET(F564,-1,0)+1,LARGE(F$10:F563,1))</f>
        <v>2</v>
      </c>
      <c r="G564" s="228" t="str">
        <f t="shared" ca="1" si="374"/>
        <v xml:space="preserve">   GERENCIAMENTO EXECUTIVO</v>
      </c>
      <c r="H564" s="230">
        <f t="shared" ca="1" si="375"/>
        <v>4</v>
      </c>
      <c r="I564" s="228" t="str">
        <f t="shared" ca="1" si="376"/>
        <v xml:space="preserve">   SUPRAESTRUTURA</v>
      </c>
      <c r="J564" s="230">
        <f t="shared" ca="1" si="377"/>
        <v>4</v>
      </c>
      <c r="K564" s="228" t="str">
        <f t="shared" ca="1" si="378"/>
        <v xml:space="preserve">   SUPRAESTRUTURA - 8º PAVIMENTO - COBERTURA</v>
      </c>
      <c r="L564" s="231">
        <f t="shared" ca="1" si="379"/>
        <v>2</v>
      </c>
      <c r="M564" s="228" t="str">
        <f t="shared" ca="1" si="380"/>
        <v xml:space="preserve">   Forma</v>
      </c>
      <c r="N564" s="231">
        <f t="shared" ca="1" si="381"/>
        <v>5</v>
      </c>
      <c r="O564" s="228" t="str">
        <f t="shared" ca="1" si="382"/>
        <v>Montagem E Desmontagem De Fôrma De Laje Nervurada Com Cubeta E Assoalho, Pé-Direito Simples, Em Chapa De Madeira Compensada Resinada, 8 Utilizações. Af_09/2020</v>
      </c>
      <c r="P564" s="232" t="str">
        <f>IF(S564="","",IF(Orçamento!$B564="INSUMO",S564,""))</f>
        <v>LOCACAO DIARIA FORMA P/LAJE NERVURADA - CUBETA 800x200MM (AVULSO)</v>
      </c>
      <c r="Q564" s="244" t="str">
        <f t="shared" si="383"/>
        <v/>
      </c>
      <c r="R564" s="234">
        <f t="shared" ca="1" si="384"/>
        <v>190.9</v>
      </c>
      <c r="S564" s="233" t="s">
        <v>613</v>
      </c>
      <c r="T564" s="242" t="str">
        <f>_xlfn.XLOOKUP(S564,Insumos!$A$3:$A$371,Insumos!$B$3:$B$371)</f>
        <v>UN</v>
      </c>
      <c r="U564" s="235">
        <f ca="1">IF($B564="insumo",R564,"")</f>
        <v>190.9</v>
      </c>
      <c r="V564" s="320">
        <v>1.03</v>
      </c>
      <c r="W564" s="236">
        <f>IFERROR(IF(B564="INSUMO",_xlfn.XLOOKUP(S564,Insumos!A:A,Insumos!C:C),""),"Inserir Preço")</f>
        <v>1.56</v>
      </c>
      <c r="X564" s="235">
        <f t="shared" ca="1" si="385"/>
        <v>196.62700000000001</v>
      </c>
      <c r="Y564" s="236">
        <f t="shared" si="399"/>
        <v>1.6068</v>
      </c>
      <c r="Z564" s="237">
        <f t="shared" ca="1" si="370"/>
        <v>306.73812000000004</v>
      </c>
      <c r="AA564" s="238"/>
      <c r="AB564" s="233" t="str">
        <f>IF(B564="insumo",_xlfn.XLOOKUP(S564,Insumos!A:A,Insumos!D:D),"")</f>
        <v xml:space="preserve"> </v>
      </c>
      <c r="AC564" s="239">
        <f t="shared" ca="1" si="371"/>
        <v>4.4004379908174805E-5</v>
      </c>
      <c r="AE564" s="240">
        <f ca="1">IFERROR(IF(OR(Z564="",Z564=0),"",IF(AF564="","",IF(AF564="R$/mês",Z564/OBRA!$D$12,IF(AF564="R$/m²",Z564/OBRA!$D$10,IF(AF564="R$/apto",Orçamento!Z564/OBRA!$D$11,""))))),"")</f>
        <v>0.1578496215064609</v>
      </c>
      <c r="AF564" s="241" t="s">
        <v>154</v>
      </c>
    </row>
    <row r="565" spans="1:32" s="10" customFormat="1" ht="13.15" hidden="1" customHeight="1" outlineLevel="4" x14ac:dyDescent="0.2">
      <c r="A565" s="227"/>
      <c r="B565" s="228" t="s">
        <v>4</v>
      </c>
      <c r="C565" s="229">
        <f t="shared" si="369"/>
        <v>5</v>
      </c>
      <c r="D565" s="227" t="str">
        <f t="shared" ca="1" si="372"/>
        <v>04.004.002.006</v>
      </c>
      <c r="E565" s="228" t="str">
        <f t="shared" ca="1" si="373"/>
        <v>04.004.002.006</v>
      </c>
      <c r="F565" s="230">
        <f ca="1">IF($B565="UNIDADE CONSTRUTIVA",OFFSET(F565,-1,0)+1,LARGE(F$10:F564,1))</f>
        <v>2</v>
      </c>
      <c r="G565" s="228" t="str">
        <f t="shared" ca="1" si="374"/>
        <v xml:space="preserve">   GERENCIAMENTO EXECUTIVO</v>
      </c>
      <c r="H565" s="230">
        <f t="shared" ca="1" si="375"/>
        <v>4</v>
      </c>
      <c r="I565" s="228" t="str">
        <f t="shared" ca="1" si="376"/>
        <v xml:space="preserve">   SUPRAESTRUTURA</v>
      </c>
      <c r="J565" s="230">
        <f t="shared" ca="1" si="377"/>
        <v>4</v>
      </c>
      <c r="K565" s="228" t="str">
        <f t="shared" ca="1" si="378"/>
        <v xml:space="preserve">   SUPRAESTRUTURA - 8º PAVIMENTO - COBERTURA</v>
      </c>
      <c r="L565" s="231">
        <f t="shared" ca="1" si="379"/>
        <v>2</v>
      </c>
      <c r="M565" s="228" t="str">
        <f t="shared" ca="1" si="380"/>
        <v xml:space="preserve">   Forma</v>
      </c>
      <c r="N565" s="231">
        <f t="shared" ca="1" si="381"/>
        <v>6</v>
      </c>
      <c r="O565" s="228" t="str">
        <f t="shared" ca="1" si="382"/>
        <v>Montagem e desmontagem de fôrma para laje em chapa de madeira compensada plastificada</v>
      </c>
      <c r="P565" s="232" t="str">
        <f>IF(S565="","",IF(Orçamento!$B565="INSUMO",S565,""))</f>
        <v/>
      </c>
      <c r="Q565" s="244" t="str">
        <f t="shared" si="383"/>
        <v>Montagem e desmontagem de fôrma para laje em chapa de madeira compensada plastificada</v>
      </c>
      <c r="R565" s="234">
        <f t="shared" ca="1" si="384"/>
        <v>43.294499999999999</v>
      </c>
      <c r="S565" s="233" t="s">
        <v>195</v>
      </c>
      <c r="T565" s="242" t="s">
        <v>140</v>
      </c>
      <c r="U565" s="235">
        <v>43.294499999999999</v>
      </c>
      <c r="V565" s="320" t="s">
        <v>35</v>
      </c>
      <c r="W565" s="236" t="str">
        <f>IFERROR(IF(B565="INSUMO",_xlfn.XLOOKUP(S565,Insumos!A:A,Insumos!C:C),""),"Inserir Preço")</f>
        <v/>
      </c>
      <c r="X565" s="235">
        <f t="shared" ca="1" si="385"/>
        <v>43.294499999999999</v>
      </c>
      <c r="Y565" s="236">
        <f t="shared" ca="1" si="399"/>
        <v>0.79095000000000004</v>
      </c>
      <c r="Z565" s="237">
        <f t="shared" ca="1" si="370"/>
        <v>34.243784775000002</v>
      </c>
      <c r="AA565" s="238"/>
      <c r="AB565" s="233" t="str">
        <f>IF(B565="insumo",_xlfn.XLOOKUP(S565,Insumos!A:A,Insumos!D:D),"")</f>
        <v/>
      </c>
      <c r="AC565" s="239">
        <f t="shared" ca="1" si="371"/>
        <v>4.9125831335631582E-6</v>
      </c>
      <c r="AE565" s="240">
        <f ca="1">IFERROR(IF(OR(Z565="",Z565=0),"",IF(AF565="","",IF(AF565="R$/mês",Z565/OBRA!$D$12,IF(AF565="R$/m²",Z565/OBRA!$D$10,IF(AF565="R$/apto",Orçamento!Z565/OBRA!$D$11,""))))),"")</f>
        <v>1.7622095570261884E-2</v>
      </c>
      <c r="AF565" s="241" t="s">
        <v>154</v>
      </c>
    </row>
    <row r="566" spans="1:32" s="10" customFormat="1" ht="13.15" hidden="1" customHeight="1" outlineLevel="4" x14ac:dyDescent="0.2">
      <c r="A566" s="227"/>
      <c r="B566" s="228" t="s">
        <v>19</v>
      </c>
      <c r="C566" s="229">
        <f t="shared" si="369"/>
        <v>29</v>
      </c>
      <c r="D566" s="227" t="str">
        <f t="shared" si="372"/>
        <v/>
      </c>
      <c r="E566" s="228" t="str">
        <f t="shared" ca="1" si="373"/>
        <v>04.004.002.006</v>
      </c>
      <c r="F566" s="230">
        <f ca="1">IF($B566="UNIDADE CONSTRUTIVA",OFFSET(F566,-1,0)+1,LARGE(F$10:F565,1))</f>
        <v>2</v>
      </c>
      <c r="G566" s="228" t="str">
        <f t="shared" ca="1" si="374"/>
        <v xml:space="preserve">   GERENCIAMENTO EXECUTIVO</v>
      </c>
      <c r="H566" s="230">
        <f t="shared" ca="1" si="375"/>
        <v>4</v>
      </c>
      <c r="I566" s="228" t="str">
        <f t="shared" ca="1" si="376"/>
        <v xml:space="preserve">   SUPRAESTRUTURA</v>
      </c>
      <c r="J566" s="230">
        <f t="shared" ca="1" si="377"/>
        <v>4</v>
      </c>
      <c r="K566" s="228" t="str">
        <f t="shared" ca="1" si="378"/>
        <v xml:space="preserve">   SUPRAESTRUTURA - 8º PAVIMENTO - COBERTURA</v>
      </c>
      <c r="L566" s="231">
        <f t="shared" ca="1" si="379"/>
        <v>2</v>
      </c>
      <c r="M566" s="228" t="str">
        <f t="shared" ca="1" si="380"/>
        <v xml:space="preserve">   Forma</v>
      </c>
      <c r="N566" s="231">
        <f t="shared" ca="1" si="381"/>
        <v>6</v>
      </c>
      <c r="O566" s="228" t="str">
        <f t="shared" ca="1" si="382"/>
        <v>Montagem e desmontagem de fôrma para laje em chapa de madeira compensada plastificada</v>
      </c>
      <c r="P566" s="232" t="str">
        <f>IF(S566="","",IF(Orçamento!$B566="INSUMO",S566,""))</f>
        <v>DESMOLDANTE</v>
      </c>
      <c r="Q566" s="244" t="str">
        <f t="shared" si="383"/>
        <v/>
      </c>
      <c r="R566" s="234">
        <f t="shared" ca="1" si="384"/>
        <v>43.294499999999999</v>
      </c>
      <c r="S566" s="233" t="s">
        <v>171</v>
      </c>
      <c r="T566" s="242" t="str">
        <f>_xlfn.XLOOKUP(S566,Insumos!$A$3:$A$371,Insumos!$B$3:$B$371)</f>
        <v>L</v>
      </c>
      <c r="U566" s="235">
        <f ca="1">IF($B566="insumo",R566,"")</f>
        <v>43.294499999999999</v>
      </c>
      <c r="V566" s="320">
        <v>0.06</v>
      </c>
      <c r="W566" s="236">
        <f>IFERROR(IF(B566="INSUMO",_xlfn.XLOOKUP(S566,Insumos!A:A,Insumos!C:C),""),"Inserir Preço")</f>
        <v>6.34</v>
      </c>
      <c r="X566" s="235">
        <f t="shared" ca="1" si="385"/>
        <v>2.5976699999999999</v>
      </c>
      <c r="Y566" s="236">
        <f t="shared" si="399"/>
        <v>0.38039999999999996</v>
      </c>
      <c r="Z566" s="237">
        <f t="shared" ca="1" si="370"/>
        <v>16.469227799999999</v>
      </c>
      <c r="AA566" s="238"/>
      <c r="AB566" s="233" t="str">
        <f>IF(B566="insumo",_xlfn.XLOOKUP(S566,Insumos!A:A,Insumos!D:D),"")</f>
        <v xml:space="preserve"> </v>
      </c>
      <c r="AC566" s="239">
        <f t="shared" ca="1" si="371"/>
        <v>2.3626608812281751E-6</v>
      </c>
      <c r="AE566" s="240">
        <f ca="1">IFERROR(IF(OR(Z566="",Z566=0),"",IF(AF566="","",IF(AF566="R$/mês",Z566/OBRA!$D$12,IF(AF566="R$/m²",Z566/OBRA!$D$10,IF(AF566="R$/apto",Orçamento!Z566/OBRA!$D$11,""))))),"")</f>
        <v>8.4751819393484029E-3</v>
      </c>
      <c r="AF566" s="241" t="s">
        <v>154</v>
      </c>
    </row>
    <row r="567" spans="1:32" s="10" customFormat="1" ht="13.15" hidden="1" customHeight="1" outlineLevel="4" x14ac:dyDescent="0.2">
      <c r="A567" s="227"/>
      <c r="B567" s="228" t="s">
        <v>19</v>
      </c>
      <c r="C567" s="229">
        <f t="shared" si="369"/>
        <v>20</v>
      </c>
      <c r="D567" s="227" t="str">
        <f t="shared" si="372"/>
        <v/>
      </c>
      <c r="E567" s="228" t="str">
        <f t="shared" ca="1" si="373"/>
        <v>04.004.002.006</v>
      </c>
      <c r="F567" s="230">
        <f ca="1">IF($B567="UNIDADE CONSTRUTIVA",OFFSET(F567,-1,0)+1,LARGE(F$10:F566,1))</f>
        <v>2</v>
      </c>
      <c r="G567" s="228" t="str">
        <f t="shared" ca="1" si="374"/>
        <v xml:space="preserve">   GERENCIAMENTO EXECUTIVO</v>
      </c>
      <c r="H567" s="230">
        <f t="shared" ca="1" si="375"/>
        <v>4</v>
      </c>
      <c r="I567" s="228" t="str">
        <f t="shared" ca="1" si="376"/>
        <v xml:space="preserve">   SUPRAESTRUTURA</v>
      </c>
      <c r="J567" s="230">
        <f t="shared" ca="1" si="377"/>
        <v>4</v>
      </c>
      <c r="K567" s="228" t="str">
        <f t="shared" ca="1" si="378"/>
        <v xml:space="preserve">   SUPRAESTRUTURA - 8º PAVIMENTO - COBERTURA</v>
      </c>
      <c r="L567" s="231">
        <f t="shared" ca="1" si="379"/>
        <v>2</v>
      </c>
      <c r="M567" s="228" t="str">
        <f t="shared" ca="1" si="380"/>
        <v xml:space="preserve">   Forma</v>
      </c>
      <c r="N567" s="231">
        <f t="shared" ca="1" si="381"/>
        <v>6</v>
      </c>
      <c r="O567" s="228" t="str">
        <f t="shared" ca="1" si="382"/>
        <v>Montagem e desmontagem de fôrma para laje em chapa de madeira compensada plastificada</v>
      </c>
      <c r="P567" s="232" t="str">
        <f>IF(S567="","",IF(Orçamento!$B567="INSUMO",S567,""))</f>
        <v>Arame recozido 12 BWG</v>
      </c>
      <c r="Q567" s="244" t="str">
        <f t="shared" si="383"/>
        <v/>
      </c>
      <c r="R567" s="234">
        <f t="shared" ca="1" si="384"/>
        <v>43.294499999999999</v>
      </c>
      <c r="S567" s="233" t="s">
        <v>196</v>
      </c>
      <c r="T567" s="242" t="str">
        <f>_xlfn.XLOOKUP(S567,Insumos!$A$3:$A$371,Insumos!$B$3:$B$371)</f>
        <v>KG</v>
      </c>
      <c r="U567" s="235">
        <f ca="1">IF($B567="insumo",R567,"")</f>
        <v>43.294499999999999</v>
      </c>
      <c r="V567" s="320">
        <v>3.5700000000000003E-2</v>
      </c>
      <c r="W567" s="236">
        <f>IFERROR(IF(B567="INSUMO",_xlfn.XLOOKUP(S567,Insumos!A:A,Insumos!C:C),""),"Inserir Preço")</f>
        <v>11.5</v>
      </c>
      <c r="X567" s="235">
        <f t="shared" ca="1" si="385"/>
        <v>1.5456136500000002</v>
      </c>
      <c r="Y567" s="236">
        <f t="shared" si="399"/>
        <v>0.41055000000000003</v>
      </c>
      <c r="Z567" s="237">
        <f t="shared" ca="1" si="370"/>
        <v>17.774556975000003</v>
      </c>
      <c r="AA567" s="238"/>
      <c r="AB567" s="233" t="str">
        <f>IF(B567="insumo",_xlfn.XLOOKUP(S567,Insumos!A:A,Insumos!D:D),"")</f>
        <v>Base de Dados</v>
      </c>
      <c r="AC567" s="239">
        <f t="shared" ca="1" si="371"/>
        <v>2.5499222523349831E-6</v>
      </c>
      <c r="AE567" s="240">
        <f ca="1">IFERROR(IF(OR(Z567="",Z567=0),"",IF(AF567="","",IF(AF567="R$/mês",Z567/OBRA!$D$12,IF(AF567="R$/m²",Z567/OBRA!$D$10,IF(AF567="R$/apto",Orçamento!Z567/OBRA!$D$11,""))))),"")</f>
        <v>9.1469136309134808E-3</v>
      </c>
      <c r="AF567" s="241" t="s">
        <v>154</v>
      </c>
    </row>
    <row r="568" spans="1:32" s="10" customFormat="1" ht="13.15" hidden="1" customHeight="1" outlineLevel="4" x14ac:dyDescent="0.2">
      <c r="A568" s="227"/>
      <c r="B568" s="228" t="s">
        <v>4</v>
      </c>
      <c r="C568" s="229">
        <f t="shared" si="369"/>
        <v>5</v>
      </c>
      <c r="D568" s="227" t="str">
        <f t="shared" ca="1" si="372"/>
        <v>04.004.002.007</v>
      </c>
      <c r="E568" s="228" t="str">
        <f t="shared" ca="1" si="373"/>
        <v>04.004.002.007</v>
      </c>
      <c r="F568" s="230">
        <f ca="1">IF($B568="UNIDADE CONSTRUTIVA",OFFSET(F568,-1,0)+1,LARGE(F$10:F567,1))</f>
        <v>2</v>
      </c>
      <c r="G568" s="228" t="str">
        <f t="shared" ca="1" si="374"/>
        <v xml:space="preserve">   GERENCIAMENTO EXECUTIVO</v>
      </c>
      <c r="H568" s="230">
        <f t="shared" ca="1" si="375"/>
        <v>4</v>
      </c>
      <c r="I568" s="228" t="str">
        <f t="shared" ca="1" si="376"/>
        <v xml:space="preserve">   SUPRAESTRUTURA</v>
      </c>
      <c r="J568" s="230">
        <f t="shared" ca="1" si="377"/>
        <v>4</v>
      </c>
      <c r="K568" s="228" t="str">
        <f t="shared" ca="1" si="378"/>
        <v xml:space="preserve">   SUPRAESTRUTURA - 8º PAVIMENTO - COBERTURA</v>
      </c>
      <c r="L568" s="231">
        <f t="shared" ca="1" si="379"/>
        <v>2</v>
      </c>
      <c r="M568" s="228" t="str">
        <f t="shared" ca="1" si="380"/>
        <v xml:space="preserve">   Forma</v>
      </c>
      <c r="N568" s="231">
        <f t="shared" ca="1" si="381"/>
        <v>7</v>
      </c>
      <c r="O568" s="228" t="str">
        <f t="shared" ca="1" si="382"/>
        <v>Montagem e desmontagem de fôrma para pilares em chapa de madeira compensada plastificada</v>
      </c>
      <c r="P568" s="232" t="str">
        <f>IF(S568="","",IF(Orçamento!$B568="INSUMO",S568,""))</f>
        <v/>
      </c>
      <c r="Q568" s="244" t="str">
        <f t="shared" si="383"/>
        <v>Montagem e desmontagem de fôrma para pilares em chapa de madeira compensada plastificada</v>
      </c>
      <c r="R568" s="234">
        <f t="shared" ca="1" si="384"/>
        <v>91.765800000000013</v>
      </c>
      <c r="S568" s="233" t="s">
        <v>197</v>
      </c>
      <c r="T568" s="242" t="s">
        <v>140</v>
      </c>
      <c r="U568" s="235">
        <v>91.765800000000013</v>
      </c>
      <c r="V568" s="320" t="s">
        <v>35</v>
      </c>
      <c r="W568" s="236" t="str">
        <f>IFERROR(IF(B568="INSUMO",_xlfn.XLOOKUP(S568,Insumos!A:A,Insumos!C:C),""),"Inserir Preço")</f>
        <v/>
      </c>
      <c r="X568" s="235">
        <f t="shared" ca="1" si="385"/>
        <v>91.765800000000013</v>
      </c>
      <c r="Y568" s="236">
        <f t="shared" ca="1" si="399"/>
        <v>1.14195</v>
      </c>
      <c r="Z568" s="237">
        <f t="shared" ca="1" si="370"/>
        <v>104.79195531000002</v>
      </c>
      <c r="AA568" s="238"/>
      <c r="AB568" s="233" t="str">
        <f>IF(B568="insumo",_xlfn.XLOOKUP(S568,Insumos!A:A,Insumos!D:D),"")</f>
        <v/>
      </c>
      <c r="AC568" s="239">
        <f t="shared" ca="1" si="371"/>
        <v>1.5033361398908346E-5</v>
      </c>
      <c r="AE568" s="240">
        <f ca="1">IFERROR(IF(OR(Z568="",Z568=0),"",IF(AF568="","",IF(AF568="R$/mês",Z568/OBRA!$D$12,IF(AF568="R$/m²",Z568/OBRA!$D$10,IF(AF568="R$/apto",Orçamento!Z568/OBRA!$D$11,""))))),"")</f>
        <v>5.39266866557227E-2</v>
      </c>
      <c r="AF568" s="241" t="s">
        <v>154</v>
      </c>
    </row>
    <row r="569" spans="1:32" s="10" customFormat="1" ht="13.15" hidden="1" customHeight="1" outlineLevel="4" x14ac:dyDescent="0.2">
      <c r="A569" s="227"/>
      <c r="B569" s="228" t="s">
        <v>19</v>
      </c>
      <c r="C569" s="229">
        <f t="shared" si="369"/>
        <v>29</v>
      </c>
      <c r="D569" s="227" t="str">
        <f t="shared" si="372"/>
        <v/>
      </c>
      <c r="E569" s="228" t="str">
        <f t="shared" ca="1" si="373"/>
        <v>04.004.002.007</v>
      </c>
      <c r="F569" s="230">
        <f ca="1">IF($B569="UNIDADE CONSTRUTIVA",OFFSET(F569,-1,0)+1,LARGE(F$10:F568,1))</f>
        <v>2</v>
      </c>
      <c r="G569" s="228" t="str">
        <f t="shared" ca="1" si="374"/>
        <v xml:space="preserve">   GERENCIAMENTO EXECUTIVO</v>
      </c>
      <c r="H569" s="230">
        <f t="shared" ca="1" si="375"/>
        <v>4</v>
      </c>
      <c r="I569" s="228" t="str">
        <f t="shared" ca="1" si="376"/>
        <v xml:space="preserve">   SUPRAESTRUTURA</v>
      </c>
      <c r="J569" s="230">
        <f t="shared" ca="1" si="377"/>
        <v>4</v>
      </c>
      <c r="K569" s="228" t="str">
        <f t="shared" ca="1" si="378"/>
        <v xml:space="preserve">   SUPRAESTRUTURA - 8º PAVIMENTO - COBERTURA</v>
      </c>
      <c r="L569" s="231">
        <f t="shared" ca="1" si="379"/>
        <v>2</v>
      </c>
      <c r="M569" s="228" t="str">
        <f t="shared" ca="1" si="380"/>
        <v xml:space="preserve">   Forma</v>
      </c>
      <c r="N569" s="231">
        <f t="shared" ca="1" si="381"/>
        <v>7</v>
      </c>
      <c r="O569" s="228" t="str">
        <f t="shared" ca="1" si="382"/>
        <v>Montagem e desmontagem de fôrma para pilares em chapa de madeira compensada plastificada</v>
      </c>
      <c r="P569" s="232" t="str">
        <f>IF(S569="","",IF(Orçamento!$B569="INSUMO",S569,""))</f>
        <v>DESMOLDANTE</v>
      </c>
      <c r="Q569" s="244" t="str">
        <f t="shared" si="383"/>
        <v/>
      </c>
      <c r="R569" s="234">
        <f t="shared" ca="1" si="384"/>
        <v>91.765800000000013</v>
      </c>
      <c r="S569" s="233" t="s">
        <v>171</v>
      </c>
      <c r="T569" s="242" t="str">
        <f>_xlfn.XLOOKUP(S569,Insumos!$A$3:$A$371,Insumos!$B$3:$B$371)</f>
        <v>L</v>
      </c>
      <c r="U569" s="235">
        <f ca="1">IF($B569="insumo",R569,"")</f>
        <v>91.765800000000013</v>
      </c>
      <c r="V569" s="320">
        <v>0.06</v>
      </c>
      <c r="W569" s="236">
        <f>IFERROR(IF(B569="INSUMO",_xlfn.XLOOKUP(S569,Insumos!A:A,Insumos!C:C),""),"Inserir Preço")</f>
        <v>6.34</v>
      </c>
      <c r="X569" s="235">
        <f t="shared" ca="1" si="385"/>
        <v>5.505948000000001</v>
      </c>
      <c r="Y569" s="236">
        <f t="shared" si="399"/>
        <v>0.38039999999999996</v>
      </c>
      <c r="Z569" s="237">
        <f t="shared" ca="1" si="370"/>
        <v>34.907710320000007</v>
      </c>
      <c r="AA569" s="238"/>
      <c r="AB569" s="233" t="str">
        <f>IF(B569="insumo",_xlfn.XLOOKUP(S569,Insumos!A:A,Insumos!D:D),"")</f>
        <v xml:space="preserve"> </v>
      </c>
      <c r="AC569" s="239">
        <f t="shared" ca="1" si="371"/>
        <v>5.0078293061383907E-6</v>
      </c>
      <c r="AE569" s="240">
        <f ca="1">IFERROR(IF(OR(Z569="",Z569=0),"",IF(AF569="","",IF(AF569="R$/mês",Z569/OBRA!$D$12,IF(AF569="R$/m²",Z569/OBRA!$D$10,IF(AF569="R$/apto",Orçamento!Z569/OBRA!$D$11,""))))),"")</f>
        <v>1.7963756384987883E-2</v>
      </c>
      <c r="AF569" s="241" t="s">
        <v>154</v>
      </c>
    </row>
    <row r="570" spans="1:32" s="10" customFormat="1" ht="13.15" hidden="1" customHeight="1" outlineLevel="4" x14ac:dyDescent="0.2">
      <c r="A570" s="227"/>
      <c r="B570" s="228" t="s">
        <v>19</v>
      </c>
      <c r="C570" s="229">
        <f t="shared" si="369"/>
        <v>44</v>
      </c>
      <c r="D570" s="227" t="str">
        <f t="shared" si="372"/>
        <v/>
      </c>
      <c r="E570" s="228" t="str">
        <f t="shared" ca="1" si="373"/>
        <v>04.004.002.007</v>
      </c>
      <c r="F570" s="230">
        <f ca="1">IF($B570="UNIDADE CONSTRUTIVA",OFFSET(F570,-1,0)+1,LARGE(F$10:F569,1))</f>
        <v>2</v>
      </c>
      <c r="G570" s="228" t="str">
        <f t="shared" ca="1" si="374"/>
        <v xml:space="preserve">   GERENCIAMENTO EXECUTIVO</v>
      </c>
      <c r="H570" s="230">
        <f t="shared" ca="1" si="375"/>
        <v>4</v>
      </c>
      <c r="I570" s="228" t="str">
        <f t="shared" ca="1" si="376"/>
        <v xml:space="preserve">   SUPRAESTRUTURA</v>
      </c>
      <c r="J570" s="230">
        <f t="shared" ca="1" si="377"/>
        <v>4</v>
      </c>
      <c r="K570" s="228" t="str">
        <f t="shared" ca="1" si="378"/>
        <v xml:space="preserve">   SUPRAESTRUTURA - 8º PAVIMENTO - COBERTURA</v>
      </c>
      <c r="L570" s="231">
        <f t="shared" ca="1" si="379"/>
        <v>2</v>
      </c>
      <c r="M570" s="228" t="str">
        <f t="shared" ca="1" si="380"/>
        <v xml:space="preserve">   Forma</v>
      </c>
      <c r="N570" s="231">
        <f t="shared" ca="1" si="381"/>
        <v>7</v>
      </c>
      <c r="O570" s="228" t="str">
        <f t="shared" ca="1" si="382"/>
        <v>Montagem e desmontagem de fôrma para pilares em chapa de madeira compensada plastificada</v>
      </c>
      <c r="P570" s="232" t="str">
        <f>IF(S570="","",IF(Orçamento!$B570="INSUMO",S570,""))</f>
        <v>PREGO 17 x 21 COM CABECA</v>
      </c>
      <c r="Q570" s="244" t="str">
        <f t="shared" si="383"/>
        <v/>
      </c>
      <c r="R570" s="234">
        <f t="shared" ca="1" si="384"/>
        <v>91.765800000000013</v>
      </c>
      <c r="S570" s="233" t="s">
        <v>173</v>
      </c>
      <c r="T570" s="242" t="str">
        <f>_xlfn.XLOOKUP(S570,Insumos!$A$3:$A$371,Insumos!$B$3:$B$371)</f>
        <v>KG</v>
      </c>
      <c r="U570" s="235">
        <f ca="1">IF($B570="insumo",R570,"")</f>
        <v>91.765800000000013</v>
      </c>
      <c r="V570" s="320">
        <v>2.7E-2</v>
      </c>
      <c r="W570" s="236">
        <f>IFERROR(IF(B570="INSUMO",_xlfn.XLOOKUP(S570,Insumos!A:A,Insumos!C:C),""),"Inserir Preço")</f>
        <v>13</v>
      </c>
      <c r="X570" s="235">
        <f t="shared" ca="1" si="385"/>
        <v>2.4776766000000001</v>
      </c>
      <c r="Y570" s="236">
        <f t="shared" si="399"/>
        <v>0.35099999999999998</v>
      </c>
      <c r="Z570" s="237">
        <f t="shared" ca="1" si="370"/>
        <v>32.209795800000002</v>
      </c>
      <c r="AA570" s="238"/>
      <c r="AB570" s="233" t="str">
        <f>IF(B570="insumo",_xlfn.XLOOKUP(S570,Insumos!A:A,Insumos!D:D),"")</f>
        <v xml:space="preserve"> </v>
      </c>
      <c r="AC570" s="239">
        <f t="shared" ca="1" si="371"/>
        <v>4.6207888708059277E-6</v>
      </c>
      <c r="AE570" s="240">
        <f ca="1">IFERROR(IF(OR(Z570="",Z570=0),"",IF(AF570="","",IF(AF570="R$/mês",Z570/OBRA!$D$12,IF(AF570="R$/m²",Z570/OBRA!$D$10,IF(AF570="R$/apto",Orçamento!Z570/OBRA!$D$11,""))))),"")</f>
        <v>1.6575390355233297E-2</v>
      </c>
      <c r="AF570" s="241" t="s">
        <v>154</v>
      </c>
    </row>
    <row r="571" spans="1:32" s="10" customFormat="1" ht="13.15" hidden="1" customHeight="1" outlineLevel="4" x14ac:dyDescent="0.2">
      <c r="A571" s="227"/>
      <c r="B571" s="228" t="s">
        <v>19</v>
      </c>
      <c r="C571" s="229">
        <f t="shared" si="369"/>
        <v>20</v>
      </c>
      <c r="D571" s="227" t="str">
        <f t="shared" si="372"/>
        <v/>
      </c>
      <c r="E571" s="228" t="str">
        <f t="shared" ca="1" si="373"/>
        <v>04.004.002.007</v>
      </c>
      <c r="F571" s="230">
        <f ca="1">IF($B571="UNIDADE CONSTRUTIVA",OFFSET(F571,-1,0)+1,LARGE(F$10:F570,1))</f>
        <v>2</v>
      </c>
      <c r="G571" s="228" t="str">
        <f t="shared" ca="1" si="374"/>
        <v xml:space="preserve">   GERENCIAMENTO EXECUTIVO</v>
      </c>
      <c r="H571" s="230">
        <f t="shared" ca="1" si="375"/>
        <v>4</v>
      </c>
      <c r="I571" s="228" t="str">
        <f t="shared" ca="1" si="376"/>
        <v xml:space="preserve">   SUPRAESTRUTURA</v>
      </c>
      <c r="J571" s="230">
        <f t="shared" ca="1" si="377"/>
        <v>4</v>
      </c>
      <c r="K571" s="228" t="str">
        <f t="shared" ca="1" si="378"/>
        <v xml:space="preserve">   SUPRAESTRUTURA - 8º PAVIMENTO - COBERTURA</v>
      </c>
      <c r="L571" s="231">
        <f t="shared" ca="1" si="379"/>
        <v>2</v>
      </c>
      <c r="M571" s="228" t="str">
        <f t="shared" ca="1" si="380"/>
        <v xml:space="preserve">   Forma</v>
      </c>
      <c r="N571" s="231">
        <f t="shared" ca="1" si="381"/>
        <v>7</v>
      </c>
      <c r="O571" s="228" t="str">
        <f t="shared" ca="1" si="382"/>
        <v>Montagem e desmontagem de fôrma para pilares em chapa de madeira compensada plastificada</v>
      </c>
      <c r="P571" s="232" t="str">
        <f>IF(S571="","",IF(Orçamento!$B571="INSUMO",S571,""))</f>
        <v>Arame recozido 12 BWG</v>
      </c>
      <c r="Q571" s="244" t="str">
        <f t="shared" si="383"/>
        <v/>
      </c>
      <c r="R571" s="234">
        <f t="shared" ca="1" si="384"/>
        <v>91.765800000000013</v>
      </c>
      <c r="S571" s="233" t="s">
        <v>196</v>
      </c>
      <c r="T571" s="242" t="str">
        <f>_xlfn.XLOOKUP(S571,Insumos!$A$3:$A$371,Insumos!$B$3:$B$371)</f>
        <v>KG</v>
      </c>
      <c r="U571" s="235">
        <f ca="1">IF($B571="insumo",R571,"")</f>
        <v>91.765800000000013</v>
      </c>
      <c r="V571" s="320">
        <v>3.5700000000000003E-2</v>
      </c>
      <c r="W571" s="236">
        <f>IFERROR(IF(B571="INSUMO",_xlfn.XLOOKUP(S571,Insumos!A:A,Insumos!C:C),""),"Inserir Preço")</f>
        <v>11.5</v>
      </c>
      <c r="X571" s="235">
        <f t="shared" ca="1" si="385"/>
        <v>3.2760390600000009</v>
      </c>
      <c r="Y571" s="236">
        <f t="shared" si="399"/>
        <v>0.41055000000000003</v>
      </c>
      <c r="Z571" s="237">
        <f t="shared" ca="1" si="370"/>
        <v>37.674449190000011</v>
      </c>
      <c r="AA571" s="238"/>
      <c r="AB571" s="233" t="str">
        <f>IF(B571="insumo",_xlfn.XLOOKUP(S571,Insumos!A:A,Insumos!D:D),"")</f>
        <v>Base de Dados</v>
      </c>
      <c r="AC571" s="239">
        <f t="shared" ca="1" si="371"/>
        <v>5.4047432219640286E-6</v>
      </c>
      <c r="AE571" s="240">
        <f ca="1">IFERROR(IF(OR(Z571="",Z571=0),"",IF(AF571="","",IF(AF571="R$/mês",Z571/OBRA!$D$12,IF(AF571="R$/m²",Z571/OBRA!$D$10,IF(AF571="R$/apto",Orçamento!Z571/OBRA!$D$11,""))))),"")</f>
        <v>1.9387539915501517E-2</v>
      </c>
      <c r="AF571" s="241" t="s">
        <v>154</v>
      </c>
    </row>
    <row r="572" spans="1:32" s="10" customFormat="1" ht="13.15" hidden="1" customHeight="1" outlineLevel="4" x14ac:dyDescent="0.2">
      <c r="A572" s="227"/>
      <c r="B572" s="228" t="s">
        <v>4</v>
      </c>
      <c r="C572" s="229">
        <f t="shared" si="369"/>
        <v>5</v>
      </c>
      <c r="D572" s="227" t="str">
        <f t="shared" ca="1" si="372"/>
        <v>04.004.002.008</v>
      </c>
      <c r="E572" s="228" t="str">
        <f t="shared" ca="1" si="373"/>
        <v>04.004.002.008</v>
      </c>
      <c r="F572" s="230">
        <f ca="1">IF($B572="UNIDADE CONSTRUTIVA",OFFSET(F572,-1,0)+1,LARGE(F$10:F571,1))</f>
        <v>2</v>
      </c>
      <c r="G572" s="228" t="str">
        <f t="shared" ca="1" si="374"/>
        <v xml:space="preserve">   GERENCIAMENTO EXECUTIVO</v>
      </c>
      <c r="H572" s="230">
        <f t="shared" ca="1" si="375"/>
        <v>4</v>
      </c>
      <c r="I572" s="228" t="str">
        <f t="shared" ca="1" si="376"/>
        <v xml:space="preserve">   SUPRAESTRUTURA</v>
      </c>
      <c r="J572" s="230">
        <f t="shared" ca="1" si="377"/>
        <v>4</v>
      </c>
      <c r="K572" s="228" t="str">
        <f t="shared" ca="1" si="378"/>
        <v xml:space="preserve">   SUPRAESTRUTURA - 8º PAVIMENTO - COBERTURA</v>
      </c>
      <c r="L572" s="231">
        <f t="shared" ca="1" si="379"/>
        <v>2</v>
      </c>
      <c r="M572" s="228" t="str">
        <f t="shared" ca="1" si="380"/>
        <v xml:space="preserve">   Forma</v>
      </c>
      <c r="N572" s="231">
        <f t="shared" ca="1" si="381"/>
        <v>8</v>
      </c>
      <c r="O572" s="228" t="str">
        <f t="shared" ca="1" si="382"/>
        <v>Montagem e desmontagem de fôrma para vigas em chapa de madeira compensada plastificada</v>
      </c>
      <c r="P572" s="232" t="str">
        <f>IF(S572="","",IF(Orçamento!$B572="INSUMO",S572,""))</f>
        <v/>
      </c>
      <c r="Q572" s="244" t="str">
        <f t="shared" si="383"/>
        <v>Montagem e desmontagem de fôrma para vigas em chapa de madeira compensada plastificada</v>
      </c>
      <c r="R572" s="234">
        <f t="shared" ca="1" si="384"/>
        <v>158.1759466</v>
      </c>
      <c r="S572" s="233" t="s">
        <v>198</v>
      </c>
      <c r="T572" s="242" t="s">
        <v>140</v>
      </c>
      <c r="U572" s="235">
        <v>158.1759466</v>
      </c>
      <c r="V572" s="320" t="s">
        <v>35</v>
      </c>
      <c r="W572" s="236" t="str">
        <f>IFERROR(IF(B572="INSUMO",_xlfn.XLOOKUP(S572,Insumos!A:A,Insumos!C:C),""),"Inserir Preço")</f>
        <v/>
      </c>
      <c r="X572" s="235">
        <f t="shared" ca="1" si="385"/>
        <v>158.1759466</v>
      </c>
      <c r="Y572" s="236">
        <f t="shared" ca="1" si="399"/>
        <v>2.8129500000000003</v>
      </c>
      <c r="Z572" s="237">
        <f t="shared" ca="1" si="370"/>
        <v>444.94102898847007</v>
      </c>
      <c r="AA572" s="238"/>
      <c r="AB572" s="233" t="str">
        <f>IF(B572="insumo",_xlfn.XLOOKUP(S572,Insumos!A:A,Insumos!D:D),"")</f>
        <v/>
      </c>
      <c r="AC572" s="239">
        <f t="shared" ca="1" si="371"/>
        <v>6.3830847226757639E-5</v>
      </c>
      <c r="AE572" s="240">
        <f ca="1">IFERROR(IF(OR(Z572="",Z572=0),"",IF(AF572="","",IF(AF572="R$/mês",Z572/OBRA!$D$12,IF(AF572="R$/m²",Z572/OBRA!$D$10,IF(AF572="R$/apto",Orçamento!Z572/OBRA!$D$11,""))))),"")</f>
        <v>0.22896982291775553</v>
      </c>
      <c r="AF572" s="241" t="s">
        <v>154</v>
      </c>
    </row>
    <row r="573" spans="1:32" s="10" customFormat="1" ht="13.15" hidden="1" customHeight="1" outlineLevel="4" x14ac:dyDescent="0.2">
      <c r="A573" s="227"/>
      <c r="B573" s="228" t="s">
        <v>19</v>
      </c>
      <c r="C573" s="229">
        <f t="shared" si="369"/>
        <v>29</v>
      </c>
      <c r="D573" s="227" t="str">
        <f t="shared" si="372"/>
        <v/>
      </c>
      <c r="E573" s="228" t="str">
        <f t="shared" ca="1" si="373"/>
        <v>04.004.002.008</v>
      </c>
      <c r="F573" s="230">
        <f ca="1">IF($B573="UNIDADE CONSTRUTIVA",OFFSET(F573,-1,0)+1,LARGE(F$10:F572,1))</f>
        <v>2</v>
      </c>
      <c r="G573" s="228" t="str">
        <f t="shared" ca="1" si="374"/>
        <v xml:space="preserve">   GERENCIAMENTO EXECUTIVO</v>
      </c>
      <c r="H573" s="230">
        <f t="shared" ca="1" si="375"/>
        <v>4</v>
      </c>
      <c r="I573" s="228" t="str">
        <f t="shared" ca="1" si="376"/>
        <v xml:space="preserve">   SUPRAESTRUTURA</v>
      </c>
      <c r="J573" s="230">
        <f t="shared" ca="1" si="377"/>
        <v>4</v>
      </c>
      <c r="K573" s="228" t="str">
        <f t="shared" ca="1" si="378"/>
        <v xml:space="preserve">   SUPRAESTRUTURA - 8º PAVIMENTO - COBERTURA</v>
      </c>
      <c r="L573" s="231">
        <f t="shared" ca="1" si="379"/>
        <v>2</v>
      </c>
      <c r="M573" s="228" t="str">
        <f t="shared" ca="1" si="380"/>
        <v xml:space="preserve">   Forma</v>
      </c>
      <c r="N573" s="231">
        <f t="shared" ca="1" si="381"/>
        <v>8</v>
      </c>
      <c r="O573" s="228" t="str">
        <f t="shared" ca="1" si="382"/>
        <v>Montagem e desmontagem de fôrma para vigas em chapa de madeira compensada plastificada</v>
      </c>
      <c r="P573" s="232" t="str">
        <f>IF(S573="","",IF(Orçamento!$B573="INSUMO",S573,""))</f>
        <v>DESMOLDANTE</v>
      </c>
      <c r="Q573" s="244" t="str">
        <f t="shared" si="383"/>
        <v/>
      </c>
      <c r="R573" s="234">
        <f t="shared" ca="1" si="384"/>
        <v>158.1759466</v>
      </c>
      <c r="S573" s="233" t="s">
        <v>171</v>
      </c>
      <c r="T573" s="242" t="str">
        <f>_xlfn.XLOOKUP(S573,Insumos!$A$3:$A$371,Insumos!$B$3:$B$371)</f>
        <v>L</v>
      </c>
      <c r="U573" s="235">
        <f ca="1">IF($B573="insumo",R573,"")</f>
        <v>158.1759466</v>
      </c>
      <c r="V573" s="320">
        <v>0.06</v>
      </c>
      <c r="W573" s="236">
        <f>IFERROR(IF(B573="INSUMO",_xlfn.XLOOKUP(S573,Insumos!A:A,Insumos!C:C),""),"Inserir Preço")</f>
        <v>6.34</v>
      </c>
      <c r="X573" s="235">
        <f t="shared" ca="1" si="385"/>
        <v>9.4905567959999999</v>
      </c>
      <c r="Y573" s="236">
        <f t="shared" si="399"/>
        <v>0.38039999999999996</v>
      </c>
      <c r="Z573" s="237">
        <f t="shared" ca="1" si="370"/>
        <v>60.17013008664</v>
      </c>
      <c r="AA573" s="238"/>
      <c r="AB573" s="233" t="str">
        <f>IF(B573="insumo",_xlfn.XLOOKUP(S573,Insumos!A:A,Insumos!D:D),"")</f>
        <v xml:space="preserve"> </v>
      </c>
      <c r="AC573" s="239">
        <f t="shared" ca="1" si="371"/>
        <v>8.6319537443106354E-6</v>
      </c>
      <c r="AE573" s="240">
        <f ca="1">IFERROR(IF(OR(Z573="",Z573=0),"",IF(AF573="","",IF(AF573="R$/mês",Z573/OBRA!$D$12,IF(AF573="R$/m²",Z573/OBRA!$D$10,IF(AF573="R$/apto",Orçamento!Z573/OBRA!$D$11,""))))),"")</f>
        <v>3.0963977545962137E-2</v>
      </c>
      <c r="AF573" s="241" t="s">
        <v>154</v>
      </c>
    </row>
    <row r="574" spans="1:32" s="10" customFormat="1" ht="13.15" hidden="1" customHeight="1" outlineLevel="4" x14ac:dyDescent="0.2">
      <c r="A574" s="227"/>
      <c r="B574" s="228" t="s">
        <v>19</v>
      </c>
      <c r="C574" s="229">
        <f t="shared" si="369"/>
        <v>44</v>
      </c>
      <c r="D574" s="227" t="str">
        <f t="shared" si="372"/>
        <v/>
      </c>
      <c r="E574" s="228" t="str">
        <f t="shared" ca="1" si="373"/>
        <v>04.004.002.008</v>
      </c>
      <c r="F574" s="230">
        <f ca="1">IF($B574="UNIDADE CONSTRUTIVA",OFFSET(F574,-1,0)+1,LARGE(F$10:F573,1))</f>
        <v>2</v>
      </c>
      <c r="G574" s="228" t="str">
        <f t="shared" ca="1" si="374"/>
        <v xml:space="preserve">   GERENCIAMENTO EXECUTIVO</v>
      </c>
      <c r="H574" s="230">
        <f t="shared" ca="1" si="375"/>
        <v>4</v>
      </c>
      <c r="I574" s="228" t="str">
        <f t="shared" ca="1" si="376"/>
        <v xml:space="preserve">   SUPRAESTRUTURA</v>
      </c>
      <c r="J574" s="230">
        <f t="shared" ca="1" si="377"/>
        <v>4</v>
      </c>
      <c r="K574" s="228" t="str">
        <f t="shared" ca="1" si="378"/>
        <v xml:space="preserve">   SUPRAESTRUTURA - 8º PAVIMENTO - COBERTURA</v>
      </c>
      <c r="L574" s="231">
        <f t="shared" ca="1" si="379"/>
        <v>2</v>
      </c>
      <c r="M574" s="228" t="str">
        <f t="shared" ca="1" si="380"/>
        <v xml:space="preserve">   Forma</v>
      </c>
      <c r="N574" s="231">
        <f t="shared" ca="1" si="381"/>
        <v>8</v>
      </c>
      <c r="O574" s="228" t="str">
        <f t="shared" ca="1" si="382"/>
        <v>Montagem e desmontagem de fôrma para vigas em chapa de madeira compensada plastificada</v>
      </c>
      <c r="P574" s="232" t="str">
        <f>IF(S574="","",IF(Orçamento!$B574="INSUMO",S574,""))</f>
        <v>PREGO 17 x 21 COM CABECA</v>
      </c>
      <c r="Q574" s="244" t="str">
        <f t="shared" si="383"/>
        <v/>
      </c>
      <c r="R574" s="234">
        <f t="shared" ca="1" si="384"/>
        <v>158.1759466</v>
      </c>
      <c r="S574" s="233" t="s">
        <v>173</v>
      </c>
      <c r="T574" s="242" t="str">
        <f>_xlfn.XLOOKUP(S574,Insumos!$A$3:$A$371,Insumos!$B$3:$B$371)</f>
        <v>KG</v>
      </c>
      <c r="U574" s="235">
        <f ca="1">IF($B574="insumo",R574,"")</f>
        <v>158.1759466</v>
      </c>
      <c r="V574" s="320">
        <v>0.155</v>
      </c>
      <c r="W574" s="236">
        <f>IFERROR(IF(B574="INSUMO",_xlfn.XLOOKUP(S574,Insumos!A:A,Insumos!C:C),""),"Inserir Preço")</f>
        <v>13</v>
      </c>
      <c r="X574" s="235">
        <f t="shared" ca="1" si="385"/>
        <v>24.517271723</v>
      </c>
      <c r="Y574" s="236">
        <f t="shared" si="399"/>
        <v>2.0150000000000001</v>
      </c>
      <c r="Z574" s="237">
        <f t="shared" ca="1" si="370"/>
        <v>318.724532399</v>
      </c>
      <c r="AA574" s="238"/>
      <c r="AB574" s="233" t="str">
        <f>IF(B574="insumo",_xlfn.XLOOKUP(S574,Insumos!A:A,Insumos!D:D),"")</f>
        <v xml:space="preserve"> </v>
      </c>
      <c r="AC574" s="239">
        <f t="shared" ca="1" si="371"/>
        <v>4.5723940049384678E-5</v>
      </c>
      <c r="AE574" s="240">
        <f ca="1">IFERROR(IF(OR(Z574="",Z574=0),"",IF(AF574="","",IF(AF574="R$/mês",Z574/OBRA!$D$12,IF(AF574="R$/m²",Z574/OBRA!$D$10,IF(AF574="R$/apto",Orçamento!Z574/OBRA!$D$11,""))))),"")</f>
        <v>0.1640179147085008</v>
      </c>
      <c r="AF574" s="241" t="s">
        <v>154</v>
      </c>
    </row>
    <row r="575" spans="1:32" s="10" customFormat="1" ht="13.15" hidden="1" customHeight="1" outlineLevel="4" x14ac:dyDescent="0.2">
      <c r="A575" s="227"/>
      <c r="B575" s="228" t="s">
        <v>19</v>
      </c>
      <c r="C575" s="229">
        <f t="shared" si="369"/>
        <v>26</v>
      </c>
      <c r="D575" s="227" t="str">
        <f t="shared" si="372"/>
        <v/>
      </c>
      <c r="E575" s="228" t="str">
        <f t="shared" ca="1" si="373"/>
        <v>04.004.002.008</v>
      </c>
      <c r="F575" s="230">
        <f ca="1">IF($B575="UNIDADE CONSTRUTIVA",OFFSET(F575,-1,0)+1,LARGE(F$10:F574,1))</f>
        <v>2</v>
      </c>
      <c r="G575" s="228" t="str">
        <f t="shared" ca="1" si="374"/>
        <v xml:space="preserve">   GERENCIAMENTO EXECUTIVO</v>
      </c>
      <c r="H575" s="230">
        <f t="shared" ca="1" si="375"/>
        <v>4</v>
      </c>
      <c r="I575" s="228" t="str">
        <f t="shared" ca="1" si="376"/>
        <v xml:space="preserve">   SUPRAESTRUTURA</v>
      </c>
      <c r="J575" s="230">
        <f t="shared" ca="1" si="377"/>
        <v>4</v>
      </c>
      <c r="K575" s="228" t="str">
        <f t="shared" ca="1" si="378"/>
        <v xml:space="preserve">   SUPRAESTRUTURA - 8º PAVIMENTO - COBERTURA</v>
      </c>
      <c r="L575" s="231">
        <f t="shared" ca="1" si="379"/>
        <v>2</v>
      </c>
      <c r="M575" s="228" t="str">
        <f t="shared" ca="1" si="380"/>
        <v xml:space="preserve">   Forma</v>
      </c>
      <c r="N575" s="231">
        <f t="shared" ca="1" si="381"/>
        <v>8</v>
      </c>
      <c r="O575" s="228" t="str">
        <f t="shared" ca="1" si="382"/>
        <v>Montagem e desmontagem de fôrma para vigas em chapa de madeira compensada plastificada</v>
      </c>
      <c r="P575" s="232" t="str">
        <f>IF(S575="","",IF(Orçamento!$B575="INSUMO",S575,""))</f>
        <v>MADEIRA PINUS/SIMILAR - PONTALETE 75X75MM NBR 11700/15696</v>
      </c>
      <c r="Q575" s="244" t="str">
        <f t="shared" si="383"/>
        <v/>
      </c>
      <c r="R575" s="234">
        <f t="shared" ca="1" si="384"/>
        <v>158.1759466</v>
      </c>
      <c r="S575" s="233" t="s">
        <v>807</v>
      </c>
      <c r="T575" s="242" t="str">
        <f>_xlfn.XLOOKUP(S575,Insumos!$A$3:$A$371,Insumos!$B$3:$B$371)</f>
        <v>M</v>
      </c>
      <c r="U575" s="235">
        <f ca="1">IF($B575="insumo",R575,"")</f>
        <v>158.1759466</v>
      </c>
      <c r="V575" s="320">
        <v>1E-3</v>
      </c>
      <c r="W575" s="236">
        <f>IFERROR(IF(B575="INSUMO",_xlfn.XLOOKUP(S575,Insumos!A:A,Insumos!C:C),""),"Inserir Preço")</f>
        <v>7</v>
      </c>
      <c r="X575" s="235">
        <f t="shared" ca="1" si="385"/>
        <v>0.15817594660000001</v>
      </c>
      <c r="Y575" s="236">
        <f t="shared" si="399"/>
        <v>7.0000000000000001E-3</v>
      </c>
      <c r="Z575" s="237">
        <f t="shared" ca="1" si="370"/>
        <v>1.1072316261999999</v>
      </c>
      <c r="AA575" s="238"/>
      <c r="AB575" s="233" t="str">
        <f>IF(B575="insumo",_xlfn.XLOOKUP(S575,Insumos!A:A,Insumos!D:D),"")</f>
        <v xml:space="preserve"> </v>
      </c>
      <c r="AC575" s="239">
        <f t="shared" ca="1" si="371"/>
        <v>1.5884247163557951E-7</v>
      </c>
      <c r="AE575" s="240">
        <f ca="1">IFERROR(IF(OR(Z575="",Z575=0),"",IF(AF575="","",IF(AF575="R$/mês",Z575/OBRA!$D$12,IF(AF575="R$/m²",Z575/OBRA!$D$10,IF(AF575="R$/apto",Orçamento!Z575/OBRA!$D$11,""))))),"")</f>
        <v>5.6978928186575959E-4</v>
      </c>
      <c r="AF575" s="241" t="s">
        <v>154</v>
      </c>
    </row>
    <row r="576" spans="1:32" s="10" customFormat="1" ht="13.15" hidden="1" customHeight="1" outlineLevel="4" x14ac:dyDescent="0.2">
      <c r="A576" s="227"/>
      <c r="B576" s="228" t="s">
        <v>19</v>
      </c>
      <c r="C576" s="229">
        <f t="shared" si="369"/>
        <v>20</v>
      </c>
      <c r="D576" s="227" t="str">
        <f t="shared" si="372"/>
        <v/>
      </c>
      <c r="E576" s="228" t="str">
        <f t="shared" ca="1" si="373"/>
        <v>04.004.002.008</v>
      </c>
      <c r="F576" s="230">
        <f ca="1">IF($B576="UNIDADE CONSTRUTIVA",OFFSET(F576,-1,0)+1,LARGE(F$10:F575,1))</f>
        <v>2</v>
      </c>
      <c r="G576" s="228" t="str">
        <f t="shared" ca="1" si="374"/>
        <v xml:space="preserve">   GERENCIAMENTO EXECUTIVO</v>
      </c>
      <c r="H576" s="230">
        <f t="shared" ca="1" si="375"/>
        <v>4</v>
      </c>
      <c r="I576" s="228" t="str">
        <f t="shared" ca="1" si="376"/>
        <v xml:space="preserve">   SUPRAESTRUTURA</v>
      </c>
      <c r="J576" s="230">
        <f t="shared" ca="1" si="377"/>
        <v>4</v>
      </c>
      <c r="K576" s="228" t="str">
        <f t="shared" ca="1" si="378"/>
        <v xml:space="preserve">   SUPRAESTRUTURA - 8º PAVIMENTO - COBERTURA</v>
      </c>
      <c r="L576" s="231">
        <f t="shared" ca="1" si="379"/>
        <v>2</v>
      </c>
      <c r="M576" s="228" t="str">
        <f t="shared" ca="1" si="380"/>
        <v xml:space="preserve">   Forma</v>
      </c>
      <c r="N576" s="231">
        <f t="shared" ca="1" si="381"/>
        <v>8</v>
      </c>
      <c r="O576" s="228" t="str">
        <f t="shared" ca="1" si="382"/>
        <v>Montagem e desmontagem de fôrma para vigas em chapa de madeira compensada plastificada</v>
      </c>
      <c r="P576" s="232" t="str">
        <f>IF(S576="","",IF(Orçamento!$B576="INSUMO",S576,""))</f>
        <v>Arame recozido 12 BWG</v>
      </c>
      <c r="Q576" s="244" t="str">
        <f t="shared" si="383"/>
        <v/>
      </c>
      <c r="R576" s="234">
        <f t="shared" ca="1" si="384"/>
        <v>158.1759466</v>
      </c>
      <c r="S576" s="233" t="s">
        <v>196</v>
      </c>
      <c r="T576" s="242" t="str">
        <f>_xlfn.XLOOKUP(S576,Insumos!$A$3:$A$371,Insumos!$B$3:$B$371)</f>
        <v>KG</v>
      </c>
      <c r="U576" s="235">
        <f ca="1">IF($B576="insumo",R576,"")</f>
        <v>158.1759466</v>
      </c>
      <c r="V576" s="320">
        <v>3.5700000000000003E-2</v>
      </c>
      <c r="W576" s="236">
        <f>IFERROR(IF(B576="INSUMO",_xlfn.XLOOKUP(S576,Insumos!A:A,Insumos!C:C),""),"Inserir Preço")</f>
        <v>11.5</v>
      </c>
      <c r="X576" s="235">
        <f t="shared" ca="1" si="385"/>
        <v>5.6468812936200008</v>
      </c>
      <c r="Y576" s="236">
        <f t="shared" si="399"/>
        <v>0.41055000000000003</v>
      </c>
      <c r="Z576" s="237">
        <f t="shared" ca="1" si="370"/>
        <v>64.939134876630007</v>
      </c>
      <c r="AA576" s="238"/>
      <c r="AB576" s="233" t="str">
        <f>IF(B576="insumo",_xlfn.XLOOKUP(S576,Insumos!A:A,Insumos!D:D),"")</f>
        <v>Base de Dados</v>
      </c>
      <c r="AC576" s="239">
        <f t="shared" ca="1" si="371"/>
        <v>9.3161109614267402E-6</v>
      </c>
      <c r="AE576" s="240">
        <f ca="1">IFERROR(IF(OR(Z576="",Z576=0),"",IF(AF576="","",IF(AF576="R$/mês",Z576/OBRA!$D$12,IF(AF576="R$/m²",Z576/OBRA!$D$10,IF(AF576="R$/apto",Orçamento!Z576/OBRA!$D$11,""))))),"")</f>
        <v>3.3418141381426805E-2</v>
      </c>
      <c r="AF576" s="241" t="s">
        <v>154</v>
      </c>
    </row>
    <row r="577" spans="1:32" s="10" customFormat="1" ht="13.15" hidden="1" customHeight="1" outlineLevel="4" x14ac:dyDescent="0.2">
      <c r="A577" s="227"/>
      <c r="B577" s="228" t="s">
        <v>4</v>
      </c>
      <c r="C577" s="229">
        <f t="shared" si="369"/>
        <v>5</v>
      </c>
      <c r="D577" s="227" t="str">
        <f t="shared" ca="1" si="372"/>
        <v>04.004.002.009</v>
      </c>
      <c r="E577" s="228" t="str">
        <f t="shared" ca="1" si="373"/>
        <v>04.004.002.009</v>
      </c>
      <c r="F577" s="230">
        <f ca="1">IF($B577="UNIDADE CONSTRUTIVA",OFFSET(F577,-1,0)+1,LARGE(F$10:F576,1))</f>
        <v>2</v>
      </c>
      <c r="G577" s="228" t="str">
        <f t="shared" ca="1" si="374"/>
        <v xml:space="preserve">   GERENCIAMENTO EXECUTIVO</v>
      </c>
      <c r="H577" s="230">
        <f t="shared" ca="1" si="375"/>
        <v>4</v>
      </c>
      <c r="I577" s="228" t="str">
        <f t="shared" ca="1" si="376"/>
        <v xml:space="preserve">   SUPRAESTRUTURA</v>
      </c>
      <c r="J577" s="230">
        <f t="shared" ca="1" si="377"/>
        <v>4</v>
      </c>
      <c r="K577" s="228" t="str">
        <f t="shared" ca="1" si="378"/>
        <v xml:space="preserve">   SUPRAESTRUTURA - 8º PAVIMENTO - COBERTURA</v>
      </c>
      <c r="L577" s="231">
        <f t="shared" ca="1" si="379"/>
        <v>2</v>
      </c>
      <c r="M577" s="228" t="str">
        <f t="shared" ca="1" si="380"/>
        <v xml:space="preserve">   Forma</v>
      </c>
      <c r="N577" s="231">
        <f t="shared" ca="1" si="381"/>
        <v>9</v>
      </c>
      <c r="O577" s="228" t="str">
        <f t="shared" ca="1" si="382"/>
        <v>Montagem de fôrma para escadarias em chapa de madeira compensada plastificada e=14 mm - 2 jogos</v>
      </c>
      <c r="P577" s="232" t="str">
        <f>IF(S577="","",IF(Orçamento!$B577="INSUMO",S577,""))</f>
        <v/>
      </c>
      <c r="Q577" s="244" t="str">
        <f t="shared" si="383"/>
        <v>Montagem de fôrma para escadarias em chapa de madeira compensada plastificada e=14 mm - 2 jogos</v>
      </c>
      <c r="R577" s="234">
        <f t="shared" ca="1" si="384"/>
        <v>20.058600000000002</v>
      </c>
      <c r="S577" s="233" t="s">
        <v>199</v>
      </c>
      <c r="T577" s="242" t="s">
        <v>140</v>
      </c>
      <c r="U577" s="235">
        <v>20.058600000000002</v>
      </c>
      <c r="V577" s="320" t="s">
        <v>35</v>
      </c>
      <c r="W577" s="236" t="str">
        <f>IFERROR(IF(B577="INSUMO",_xlfn.XLOOKUP(S577,Insumos!A:A,Insumos!C:C),""),"Inserir Preço")</f>
        <v/>
      </c>
      <c r="X577" s="235">
        <f t="shared" ca="1" si="385"/>
        <v>20.058600000000002</v>
      </c>
      <c r="Y577" s="236">
        <f t="shared" ca="1" si="399"/>
        <v>1.6489499999999999</v>
      </c>
      <c r="Z577" s="237">
        <f t="shared" ca="1" si="370"/>
        <v>33.075628469999998</v>
      </c>
      <c r="AA577" s="238"/>
      <c r="AB577" s="233" t="str">
        <f>IF(B577="insumo",_xlfn.XLOOKUP(S577,Insumos!A:A,Insumos!D:D),"")</f>
        <v/>
      </c>
      <c r="AC577" s="239">
        <f t="shared" ca="1" si="371"/>
        <v>4.7450004612909611E-6</v>
      </c>
      <c r="AE577" s="240">
        <f ca="1">IFERROR(IF(OR(Z577="",Z577=0),"",IF(AF577="","",IF(AF577="R$/mês",Z577/OBRA!$D$12,IF(AF577="R$/m²",Z577/OBRA!$D$10,IF(AF577="R$/apto",Orçamento!Z577/OBRA!$D$11,""))))),"")</f>
        <v>1.7020954014707469E-2</v>
      </c>
      <c r="AF577" s="241" t="s">
        <v>154</v>
      </c>
    </row>
    <row r="578" spans="1:32" s="10" customFormat="1" ht="13.15" hidden="1" customHeight="1" outlineLevel="4" x14ac:dyDescent="0.2">
      <c r="A578" s="227"/>
      <c r="B578" s="228" t="s">
        <v>19</v>
      </c>
      <c r="C578" s="229">
        <f t="shared" si="369"/>
        <v>29</v>
      </c>
      <c r="D578" s="227" t="str">
        <f t="shared" si="372"/>
        <v/>
      </c>
      <c r="E578" s="228" t="str">
        <f t="shared" ca="1" si="373"/>
        <v>04.004.002.009</v>
      </c>
      <c r="F578" s="230">
        <f ca="1">IF($B578="UNIDADE CONSTRUTIVA",OFFSET(F578,-1,0)+1,LARGE(F$10:F577,1))</f>
        <v>2</v>
      </c>
      <c r="G578" s="228" t="str">
        <f t="shared" ca="1" si="374"/>
        <v xml:space="preserve">   GERENCIAMENTO EXECUTIVO</v>
      </c>
      <c r="H578" s="230">
        <f t="shared" ca="1" si="375"/>
        <v>4</v>
      </c>
      <c r="I578" s="228" t="str">
        <f t="shared" ca="1" si="376"/>
        <v xml:space="preserve">   SUPRAESTRUTURA</v>
      </c>
      <c r="J578" s="230">
        <f t="shared" ca="1" si="377"/>
        <v>4</v>
      </c>
      <c r="K578" s="228" t="str">
        <f t="shared" ca="1" si="378"/>
        <v xml:space="preserve">   SUPRAESTRUTURA - 8º PAVIMENTO - COBERTURA</v>
      </c>
      <c r="L578" s="231">
        <f t="shared" ca="1" si="379"/>
        <v>2</v>
      </c>
      <c r="M578" s="228" t="str">
        <f t="shared" ca="1" si="380"/>
        <v xml:space="preserve">   Forma</v>
      </c>
      <c r="N578" s="231">
        <f t="shared" ca="1" si="381"/>
        <v>9</v>
      </c>
      <c r="O578" s="228" t="str">
        <f t="shared" ca="1" si="382"/>
        <v>Montagem de fôrma para escadarias em chapa de madeira compensada plastificada e=14 mm - 2 jogos</v>
      </c>
      <c r="P578" s="232" t="str">
        <f>IF(S578="","",IF(Orçamento!$B578="INSUMO",S578,""))</f>
        <v>DESMOLDANTE</v>
      </c>
      <c r="Q578" s="244" t="str">
        <f t="shared" si="383"/>
        <v/>
      </c>
      <c r="R578" s="234">
        <f t="shared" ca="1" si="384"/>
        <v>20.058600000000002</v>
      </c>
      <c r="S578" s="233" t="s">
        <v>171</v>
      </c>
      <c r="T578" s="242" t="str">
        <f>_xlfn.XLOOKUP(S578,Insumos!$A$3:$A$371,Insumos!$B$3:$B$371)</f>
        <v>L</v>
      </c>
      <c r="U578" s="235">
        <f ca="1">IF($B578="insumo",R578,"")</f>
        <v>20.058600000000002</v>
      </c>
      <c r="V578" s="320">
        <v>0.06</v>
      </c>
      <c r="W578" s="236">
        <f>IFERROR(IF(B578="INSUMO",_xlfn.XLOOKUP(S578,Insumos!A:A,Insumos!C:C),""),"Inserir Preço")</f>
        <v>6.34</v>
      </c>
      <c r="X578" s="235">
        <f t="shared" ca="1" si="385"/>
        <v>1.203516</v>
      </c>
      <c r="Y578" s="236">
        <f t="shared" si="399"/>
        <v>0.38039999999999996</v>
      </c>
      <c r="Z578" s="237">
        <f t="shared" ca="1" si="370"/>
        <v>7.6302914399999997</v>
      </c>
      <c r="AA578" s="238"/>
      <c r="AB578" s="233" t="str">
        <f>IF(B578="insumo",_xlfn.XLOOKUP(S578,Insumos!A:A,Insumos!D:D),"")</f>
        <v xml:space="preserve"> </v>
      </c>
      <c r="AC578" s="239">
        <f t="shared" ca="1" si="371"/>
        <v>1.0946348739956225E-6</v>
      </c>
      <c r="AE578" s="240">
        <f ca="1">IFERROR(IF(OR(Z578="",Z578=0),"",IF(AF578="","",IF(AF578="R$/mês",Z578/OBRA!$D$12,IF(AF578="R$/m²",Z578/OBRA!$D$10,IF(AF578="R$/apto",Orçamento!Z578/OBRA!$D$11,""))))),"")</f>
        <v>3.9266023270534108E-3</v>
      </c>
      <c r="AF578" s="241" t="s">
        <v>154</v>
      </c>
    </row>
    <row r="579" spans="1:32" s="10" customFormat="1" ht="13.15" hidden="1" customHeight="1" outlineLevel="4" x14ac:dyDescent="0.2">
      <c r="A579" s="227"/>
      <c r="B579" s="228" t="s">
        <v>19</v>
      </c>
      <c r="C579" s="229">
        <f t="shared" si="369"/>
        <v>44</v>
      </c>
      <c r="D579" s="227" t="str">
        <f t="shared" si="372"/>
        <v/>
      </c>
      <c r="E579" s="228" t="str">
        <f t="shared" ca="1" si="373"/>
        <v>04.004.002.009</v>
      </c>
      <c r="F579" s="230">
        <f ca="1">IF($B579="UNIDADE CONSTRUTIVA",OFFSET(F579,-1,0)+1,LARGE(F$10:F578,1))</f>
        <v>2</v>
      </c>
      <c r="G579" s="228" t="str">
        <f t="shared" ca="1" si="374"/>
        <v xml:space="preserve">   GERENCIAMENTO EXECUTIVO</v>
      </c>
      <c r="H579" s="230">
        <f t="shared" ca="1" si="375"/>
        <v>4</v>
      </c>
      <c r="I579" s="228" t="str">
        <f t="shared" ca="1" si="376"/>
        <v xml:space="preserve">   SUPRAESTRUTURA</v>
      </c>
      <c r="J579" s="230">
        <f t="shared" ca="1" si="377"/>
        <v>4</v>
      </c>
      <c r="K579" s="228" t="str">
        <f t="shared" ca="1" si="378"/>
        <v xml:space="preserve">   SUPRAESTRUTURA - 8º PAVIMENTO - COBERTURA</v>
      </c>
      <c r="L579" s="231">
        <f t="shared" ca="1" si="379"/>
        <v>2</v>
      </c>
      <c r="M579" s="228" t="str">
        <f t="shared" ca="1" si="380"/>
        <v xml:space="preserve">   Forma</v>
      </c>
      <c r="N579" s="231">
        <f t="shared" ca="1" si="381"/>
        <v>9</v>
      </c>
      <c r="O579" s="228" t="str">
        <f t="shared" ca="1" si="382"/>
        <v>Montagem de fôrma para escadarias em chapa de madeira compensada plastificada e=14 mm - 2 jogos</v>
      </c>
      <c r="P579" s="232" t="str">
        <f>IF(S579="","",IF(Orçamento!$B579="INSUMO",S579,""))</f>
        <v>PREGO 17 x 21 COM CABECA</v>
      </c>
      <c r="Q579" s="244" t="str">
        <f t="shared" si="383"/>
        <v/>
      </c>
      <c r="R579" s="234">
        <f t="shared" ca="1" si="384"/>
        <v>20.058600000000002</v>
      </c>
      <c r="S579" s="233" t="s">
        <v>173</v>
      </c>
      <c r="T579" s="242" t="str">
        <f>_xlfn.XLOOKUP(S579,Insumos!$A$3:$A$371,Insumos!$B$3:$B$371)</f>
        <v>KG</v>
      </c>
      <c r="U579" s="235">
        <f ca="1">IF($B579="insumo",R579,"")</f>
        <v>20.058600000000002</v>
      </c>
      <c r="V579" s="320">
        <v>6.6000000000000003E-2</v>
      </c>
      <c r="W579" s="236">
        <f>IFERROR(IF(B579="INSUMO",_xlfn.XLOOKUP(S579,Insumos!A:A,Insumos!C:C),""),"Inserir Preço")</f>
        <v>13</v>
      </c>
      <c r="X579" s="235">
        <f t="shared" ca="1" si="385"/>
        <v>1.3238676000000003</v>
      </c>
      <c r="Y579" s="236">
        <f t="shared" si="399"/>
        <v>0.8580000000000001</v>
      </c>
      <c r="Z579" s="237">
        <f t="shared" ca="1" si="370"/>
        <v>17.210278800000005</v>
      </c>
      <c r="AA579" s="238"/>
      <c r="AB579" s="233" t="str">
        <f>IF(B579="insumo",_xlfn.XLOOKUP(S579,Insumos!A:A,Insumos!D:D),"")</f>
        <v xml:space="preserve"> </v>
      </c>
      <c r="AC579" s="239">
        <f t="shared" ca="1" si="371"/>
        <v>2.4689714034917044E-6</v>
      </c>
      <c r="AE579" s="240">
        <f ca="1">IFERROR(IF(OR(Z579="",Z579=0),"",IF(AF579="","",IF(AF579="R$/mês",Z579/OBRA!$D$12,IF(AF579="R$/m²",Z579/OBRA!$D$10,IF(AF579="R$/apto",Orçamento!Z579/OBRA!$D$11,""))))),"")</f>
        <v>8.8565320625968134E-3</v>
      </c>
      <c r="AF579" s="241" t="s">
        <v>154</v>
      </c>
    </row>
    <row r="580" spans="1:32" s="10" customFormat="1" ht="13.15" hidden="1" customHeight="1" outlineLevel="4" x14ac:dyDescent="0.2">
      <c r="A580" s="227"/>
      <c r="B580" s="228" t="s">
        <v>19</v>
      </c>
      <c r="C580" s="229">
        <f t="shared" si="369"/>
        <v>20</v>
      </c>
      <c r="D580" s="227" t="str">
        <f t="shared" si="372"/>
        <v/>
      </c>
      <c r="E580" s="228" t="str">
        <f t="shared" ca="1" si="373"/>
        <v>04.004.002.009</v>
      </c>
      <c r="F580" s="230">
        <f ca="1">IF($B580="UNIDADE CONSTRUTIVA",OFFSET(F580,-1,0)+1,LARGE(F$10:F579,1))</f>
        <v>2</v>
      </c>
      <c r="G580" s="228" t="str">
        <f t="shared" ca="1" si="374"/>
        <v xml:space="preserve">   GERENCIAMENTO EXECUTIVO</v>
      </c>
      <c r="H580" s="230">
        <f t="shared" ca="1" si="375"/>
        <v>4</v>
      </c>
      <c r="I580" s="228" t="str">
        <f t="shared" ca="1" si="376"/>
        <v xml:space="preserve">   SUPRAESTRUTURA</v>
      </c>
      <c r="J580" s="230">
        <f t="shared" ca="1" si="377"/>
        <v>4</v>
      </c>
      <c r="K580" s="228" t="str">
        <f t="shared" ca="1" si="378"/>
        <v xml:space="preserve">   SUPRAESTRUTURA - 8º PAVIMENTO - COBERTURA</v>
      </c>
      <c r="L580" s="231">
        <f t="shared" ca="1" si="379"/>
        <v>2</v>
      </c>
      <c r="M580" s="228" t="str">
        <f t="shared" ca="1" si="380"/>
        <v xml:space="preserve">   Forma</v>
      </c>
      <c r="N580" s="231">
        <f t="shared" ca="1" si="381"/>
        <v>9</v>
      </c>
      <c r="O580" s="228" t="str">
        <f t="shared" ca="1" si="382"/>
        <v>Montagem de fôrma para escadarias em chapa de madeira compensada plastificada e=14 mm - 2 jogos</v>
      </c>
      <c r="P580" s="232" t="str">
        <f>IF(S580="","",IF(Orçamento!$B580="INSUMO",S580,""))</f>
        <v>Arame recozido 12 BWG</v>
      </c>
      <c r="Q580" s="244" t="str">
        <f t="shared" si="383"/>
        <v/>
      </c>
      <c r="R580" s="234">
        <f t="shared" ca="1" si="384"/>
        <v>20.058600000000002</v>
      </c>
      <c r="S580" s="233" t="s">
        <v>196</v>
      </c>
      <c r="T580" s="242" t="str">
        <f>_xlfn.XLOOKUP(S580,Insumos!$A$3:$A$371,Insumos!$B$3:$B$371)</f>
        <v>KG</v>
      </c>
      <c r="U580" s="235">
        <f ca="1">IF($B580="insumo",R580,"")</f>
        <v>20.058600000000002</v>
      </c>
      <c r="V580" s="320">
        <v>3.5700000000000003E-2</v>
      </c>
      <c r="W580" s="236">
        <f>IFERROR(IF(B580="INSUMO",_xlfn.XLOOKUP(S580,Insumos!A:A,Insumos!C:C),""),"Inserir Preço")</f>
        <v>11.5</v>
      </c>
      <c r="X580" s="235">
        <f t="shared" ca="1" si="385"/>
        <v>0.71609202000000016</v>
      </c>
      <c r="Y580" s="236">
        <f t="shared" si="399"/>
        <v>0.41055000000000003</v>
      </c>
      <c r="Z580" s="237">
        <f t="shared" ca="1" si="370"/>
        <v>8.2350582300000017</v>
      </c>
      <c r="AA580" s="238"/>
      <c r="AB580" s="233" t="str">
        <f>IF(B580="insumo",_xlfn.XLOOKUP(S580,Insumos!A:A,Insumos!D:D),"")</f>
        <v>Base de Dados</v>
      </c>
      <c r="AC580" s="239">
        <f t="shared" ca="1" si="371"/>
        <v>1.1813941838036354E-6</v>
      </c>
      <c r="AE580" s="240">
        <f ca="1">IFERROR(IF(OR(Z580="",Z580=0),"",IF(AF580="","",IF(AF580="R$/mês",Z580/OBRA!$D$12,IF(AF580="R$/m²",Z580/OBRA!$D$10,IF(AF580="R$/apto",Orçamento!Z580/OBRA!$D$11,""))))),"")</f>
        <v>4.2378196250572511E-3</v>
      </c>
      <c r="AF580" s="241" t="s">
        <v>154</v>
      </c>
    </row>
    <row r="581" spans="1:32" s="10" customFormat="1" ht="13.15" hidden="1" customHeight="1" outlineLevel="3" collapsed="1" x14ac:dyDescent="0.2">
      <c r="A581" s="227"/>
      <c r="B581" s="228" t="s">
        <v>3</v>
      </c>
      <c r="C581" s="229" t="str">
        <f t="shared" si="369"/>
        <v/>
      </c>
      <c r="D581" s="227" t="str">
        <f t="shared" ca="1" si="372"/>
        <v>04.004.003</v>
      </c>
      <c r="E581" s="228" t="str">
        <f t="shared" ca="1" si="373"/>
        <v>04.004.002.009</v>
      </c>
      <c r="F581" s="230">
        <f ca="1">IF($B581="UNIDADE CONSTRUTIVA",OFFSET(F581,-1,0)+1,LARGE(F$10:F580,1))</f>
        <v>2</v>
      </c>
      <c r="G581" s="228" t="str">
        <f t="shared" ca="1" si="374"/>
        <v xml:space="preserve">   GERENCIAMENTO EXECUTIVO</v>
      </c>
      <c r="H581" s="230">
        <f t="shared" ca="1" si="375"/>
        <v>4</v>
      </c>
      <c r="I581" s="228" t="str">
        <f t="shared" ca="1" si="376"/>
        <v xml:space="preserve">   SUPRAESTRUTURA</v>
      </c>
      <c r="J581" s="230">
        <f t="shared" ca="1" si="377"/>
        <v>4</v>
      </c>
      <c r="K581" s="228" t="str">
        <f t="shared" ca="1" si="378"/>
        <v xml:space="preserve">   SUPRAESTRUTURA - 8º PAVIMENTO - COBERTURA</v>
      </c>
      <c r="L581" s="231">
        <f t="shared" ca="1" si="379"/>
        <v>3</v>
      </c>
      <c r="M581" s="228" t="str">
        <f t="shared" ca="1" si="380"/>
        <v xml:space="preserve">   Concreto</v>
      </c>
      <c r="N581" s="231">
        <f t="shared" ca="1" si="381"/>
        <v>0</v>
      </c>
      <c r="O581" s="228" t="str">
        <f t="shared" ca="1" si="382"/>
        <v>Montagem de fôrma para escadarias em chapa de madeira compensada plastificada e=14 mm - 2 jogos</v>
      </c>
      <c r="P581" s="232" t="str">
        <f>IF(S581="","",IF(Orçamento!$B581="INSUMO",S581,""))</f>
        <v/>
      </c>
      <c r="Q581" s="244" t="str">
        <f t="shared" si="383"/>
        <v/>
      </c>
      <c r="R581" s="234">
        <f t="shared" ca="1" si="384"/>
        <v>20.058600000000002</v>
      </c>
      <c r="S581" s="233" t="s">
        <v>435</v>
      </c>
      <c r="T581" s="242" t="s">
        <v>35</v>
      </c>
      <c r="U581" s="235" t="s">
        <v>566</v>
      </c>
      <c r="V581" s="320" t="s">
        <v>35</v>
      </c>
      <c r="W581" s="236" t="str">
        <f>IFERROR(IF(B581="INSUMO",_xlfn.XLOOKUP(S581,Insumos!A:A,Insumos!C:C),""),"Inserir Preço")</f>
        <v/>
      </c>
      <c r="X581" s="235" t="str">
        <f t="shared" ca="1" si="385"/>
        <v/>
      </c>
      <c r="Y581" s="236" t="str">
        <f t="shared" si="399"/>
        <v/>
      </c>
      <c r="Z581" s="237">
        <f t="shared" ca="1" si="370"/>
        <v>27536.942228265056</v>
      </c>
      <c r="AA581" s="238"/>
      <c r="AB581" s="233" t="str">
        <f>IF(B581="insumo",_xlfn.XLOOKUP(S581,Insumos!A:A,Insumos!D:D),"")</f>
        <v/>
      </c>
      <c r="AC581" s="239">
        <f t="shared" ca="1" si="371"/>
        <v>3.9504254225788335E-3</v>
      </c>
      <c r="AE581" s="240">
        <f ca="1">IFERROR(IF(OR(Z581="",Z581=0),"",IF(AF581="","",IF(AF581="R$/mês",Z581/OBRA!$D$12,IF(AF581="R$/m²",Z581/OBRA!$D$10,IF(AF581="R$/apto",Orçamento!Z581/OBRA!$D$11,""))))),"")</f>
        <v>14.170706621586254</v>
      </c>
      <c r="AF581" s="241" t="s">
        <v>154</v>
      </c>
    </row>
    <row r="582" spans="1:32" s="10" customFormat="1" ht="13.15" hidden="1" customHeight="1" outlineLevel="4" x14ac:dyDescent="0.2">
      <c r="A582" s="227"/>
      <c r="B582" s="228" t="s">
        <v>4</v>
      </c>
      <c r="C582" s="229">
        <f t="shared" si="369"/>
        <v>5</v>
      </c>
      <c r="D582" s="227" t="str">
        <f t="shared" ca="1" si="372"/>
        <v>04.004.003.001</v>
      </c>
      <c r="E582" s="228" t="str">
        <f t="shared" ca="1" si="373"/>
        <v>04.004.003.001</v>
      </c>
      <c r="F582" s="230">
        <f ca="1">IF($B582="UNIDADE CONSTRUTIVA",OFFSET(F582,-1,0)+1,LARGE(F$10:F581,1))</f>
        <v>2</v>
      </c>
      <c r="G582" s="228" t="str">
        <f t="shared" ca="1" si="374"/>
        <v xml:space="preserve">   GERENCIAMENTO EXECUTIVO</v>
      </c>
      <c r="H582" s="230">
        <f t="shared" ca="1" si="375"/>
        <v>4</v>
      </c>
      <c r="I582" s="228" t="str">
        <f t="shared" ca="1" si="376"/>
        <v xml:space="preserve">   SUPRAESTRUTURA</v>
      </c>
      <c r="J582" s="230">
        <f t="shared" ca="1" si="377"/>
        <v>4</v>
      </c>
      <c r="K582" s="228" t="str">
        <f t="shared" ca="1" si="378"/>
        <v xml:space="preserve">   SUPRAESTRUTURA - 8º PAVIMENTO - COBERTURA</v>
      </c>
      <c r="L582" s="231">
        <f t="shared" ca="1" si="379"/>
        <v>3</v>
      </c>
      <c r="M582" s="228" t="str">
        <f t="shared" ca="1" si="380"/>
        <v xml:space="preserve">   Concreto</v>
      </c>
      <c r="N582" s="231">
        <f t="shared" ca="1" si="381"/>
        <v>1</v>
      </c>
      <c r="O582" s="228" t="str">
        <f t="shared" ca="1" si="382"/>
        <v>Concreto usinado bombeavel para supraestrutura Fck 35MPa com Brita 0 SLUMP = 12 +/- 2 incluindo servico de bombeamento</v>
      </c>
      <c r="P582" s="232" t="str">
        <f>IF(S582="","",IF(Orçamento!$B582="INSUMO",S582,""))</f>
        <v/>
      </c>
      <c r="Q582" s="244" t="str">
        <f t="shared" si="383"/>
        <v>Concreto usinado bombeavel para supraestrutura Fck 35MPa com Brita 0 SLUMP = 12 +/- 2 incluindo servico de bombeamento</v>
      </c>
      <c r="R582" s="234">
        <f t="shared" ca="1" si="384"/>
        <v>53.967338154999993</v>
      </c>
      <c r="S582" s="233" t="s">
        <v>614</v>
      </c>
      <c r="T582" s="242" t="s">
        <v>166</v>
      </c>
      <c r="U582" s="235">
        <v>53.967338154999993</v>
      </c>
      <c r="V582" s="320" t="s">
        <v>35</v>
      </c>
      <c r="W582" s="236" t="str">
        <f>IFERROR(IF(B582="INSUMO",_xlfn.XLOOKUP(S582,Insumos!A:A,Insumos!C:C),""),"Inserir Preço")</f>
        <v/>
      </c>
      <c r="X582" s="235">
        <f t="shared" ca="1" si="385"/>
        <v>53.967338154999993</v>
      </c>
      <c r="Y582" s="236">
        <f t="shared" ca="1" si="399"/>
        <v>510.25200000000001</v>
      </c>
      <c r="Z582" s="237">
        <f t="shared" ca="1" si="370"/>
        <v>27536.942228265056</v>
      </c>
      <c r="AA582" s="238"/>
      <c r="AB582" s="233" t="str">
        <f>IF(B582="insumo",_xlfn.XLOOKUP(S582,Insumos!A:A,Insumos!D:D),"")</f>
        <v/>
      </c>
      <c r="AC582" s="239">
        <f t="shared" ca="1" si="371"/>
        <v>3.9504254225788335E-3</v>
      </c>
      <c r="AE582" s="240">
        <f ca="1">IFERROR(IF(OR(Z582="",Z582=0),"",IF(AF582="","",IF(AF582="R$/mês",Z582/OBRA!$D$12,IF(AF582="R$/m²",Z582/OBRA!$D$10,IF(AF582="R$/apto",Orçamento!Z582/OBRA!$D$11,""))))),"")</f>
        <v>14.170706621586254</v>
      </c>
      <c r="AF582" s="241" t="s">
        <v>154</v>
      </c>
    </row>
    <row r="583" spans="1:32" s="10" customFormat="1" ht="13.15" hidden="1" customHeight="1" outlineLevel="4" x14ac:dyDescent="0.2">
      <c r="A583" s="227"/>
      <c r="B583" s="228" t="s">
        <v>19</v>
      </c>
      <c r="C583" s="229">
        <f t="shared" si="369"/>
        <v>5</v>
      </c>
      <c r="D583" s="227" t="str">
        <f t="shared" si="372"/>
        <v/>
      </c>
      <c r="E583" s="228" t="str">
        <f t="shared" ca="1" si="373"/>
        <v>04.004.003.001</v>
      </c>
      <c r="F583" s="230">
        <f ca="1">IF($B583="UNIDADE CONSTRUTIVA",OFFSET(F583,-1,0)+1,LARGE(F$10:F582,1))</f>
        <v>2</v>
      </c>
      <c r="G583" s="228" t="str">
        <f t="shared" ca="1" si="374"/>
        <v xml:space="preserve">   GERENCIAMENTO EXECUTIVO</v>
      </c>
      <c r="H583" s="230">
        <f t="shared" ca="1" si="375"/>
        <v>4</v>
      </c>
      <c r="I583" s="228" t="str">
        <f t="shared" ca="1" si="376"/>
        <v xml:space="preserve">   SUPRAESTRUTURA</v>
      </c>
      <c r="J583" s="230">
        <f t="shared" ca="1" si="377"/>
        <v>4</v>
      </c>
      <c r="K583" s="228" t="str">
        <f t="shared" ca="1" si="378"/>
        <v xml:space="preserve">   SUPRAESTRUTURA - 8º PAVIMENTO - COBERTURA</v>
      </c>
      <c r="L583" s="231">
        <f t="shared" ca="1" si="379"/>
        <v>3</v>
      </c>
      <c r="M583" s="228" t="str">
        <f t="shared" ca="1" si="380"/>
        <v xml:space="preserve">   Concreto</v>
      </c>
      <c r="N583" s="231">
        <f t="shared" ca="1" si="381"/>
        <v>1</v>
      </c>
      <c r="O583" s="228" t="str">
        <f t="shared" ca="1" si="382"/>
        <v>Concreto usinado bombeavel para supraestrutura Fck 35MPa com Brita 0 SLUMP = 12 +/- 2 incluindo servico de bombeamento</v>
      </c>
      <c r="P583" s="232" t="str">
        <f>IF(S583="","",IF(Orçamento!$B583="INSUMO",S583,""))</f>
        <v>Cimento Portland CP II - E</v>
      </c>
      <c r="Q583" s="244" t="str">
        <f t="shared" si="383"/>
        <v/>
      </c>
      <c r="R583" s="234">
        <f t="shared" ca="1" si="384"/>
        <v>53.967338154999993</v>
      </c>
      <c r="S583" s="233" t="s">
        <v>201</v>
      </c>
      <c r="T583" s="242" t="str">
        <f>_xlfn.XLOOKUP(S583,Insumos!$A$3:$A$371,Insumos!$B$3:$B$371)</f>
        <v>KG</v>
      </c>
      <c r="U583" s="235">
        <f ca="1">IF($B583="insumo",R583,"")</f>
        <v>53.967338154999993</v>
      </c>
      <c r="V583" s="320">
        <v>1.67</v>
      </c>
      <c r="W583" s="236">
        <f>IFERROR(IF(B583="INSUMO",_xlfn.XLOOKUP(S583,Insumos!A:A,Insumos!C:C),""),"Inserir Preço")</f>
        <v>0.6</v>
      </c>
      <c r="X583" s="235">
        <f t="shared" ca="1" si="385"/>
        <v>90.12545471884998</v>
      </c>
      <c r="Y583" s="236">
        <f t="shared" si="399"/>
        <v>1.002</v>
      </c>
      <c r="Z583" s="237">
        <f t="shared" ca="1" si="370"/>
        <v>54.075272831309988</v>
      </c>
      <c r="AA583" s="238"/>
      <c r="AB583" s="233" t="str">
        <f>IF(B583="insumo",_xlfn.XLOOKUP(S583,Insumos!A:A,Insumos!D:D),"")</f>
        <v xml:space="preserve"> </v>
      </c>
      <c r="AC583" s="239">
        <f t="shared" ca="1" si="371"/>
        <v>7.7575909029734148E-6</v>
      </c>
      <c r="AE583" s="240">
        <f ca="1">IFERROR(IF(OR(Z583="",Z583=0),"",IF(AF583="","",IF(AF583="R$/mês",Z583/OBRA!$D$12,IF(AF583="R$/m²",Z583/OBRA!$D$10,IF(AF583="R$/apto",Orçamento!Z583/OBRA!$D$11,""))))),"")</f>
        <v>2.7827520587532094E-2</v>
      </c>
      <c r="AF583" s="241" t="s">
        <v>154</v>
      </c>
    </row>
    <row r="584" spans="1:32" s="10" customFormat="1" ht="13.15" hidden="1" customHeight="1" outlineLevel="4" x14ac:dyDescent="0.2">
      <c r="A584" s="227"/>
      <c r="B584" s="228" t="s">
        <v>19</v>
      </c>
      <c r="C584" s="229">
        <f t="shared" si="369"/>
        <v>6</v>
      </c>
      <c r="D584" s="227" t="str">
        <f t="shared" si="372"/>
        <v/>
      </c>
      <c r="E584" s="228" t="str">
        <f t="shared" ca="1" si="373"/>
        <v>04.004.003.001</v>
      </c>
      <c r="F584" s="230">
        <f ca="1">IF($B584="UNIDADE CONSTRUTIVA",OFFSET(F584,-1,0)+1,LARGE(F$10:F583,1))</f>
        <v>2</v>
      </c>
      <c r="G584" s="228" t="str">
        <f t="shared" ca="1" si="374"/>
        <v xml:space="preserve">   GERENCIAMENTO EXECUTIVO</v>
      </c>
      <c r="H584" s="230">
        <f t="shared" ca="1" si="375"/>
        <v>4</v>
      </c>
      <c r="I584" s="228" t="str">
        <f t="shared" ca="1" si="376"/>
        <v xml:space="preserve">   SUPRAESTRUTURA</v>
      </c>
      <c r="J584" s="230">
        <f t="shared" ca="1" si="377"/>
        <v>4</v>
      </c>
      <c r="K584" s="228" t="str">
        <f t="shared" ca="1" si="378"/>
        <v xml:space="preserve">   SUPRAESTRUTURA - 8º PAVIMENTO - COBERTURA</v>
      </c>
      <c r="L584" s="231">
        <f t="shared" ca="1" si="379"/>
        <v>3</v>
      </c>
      <c r="M584" s="228" t="str">
        <f t="shared" ca="1" si="380"/>
        <v xml:space="preserve">   Concreto</v>
      </c>
      <c r="N584" s="231">
        <f t="shared" ca="1" si="381"/>
        <v>1</v>
      </c>
      <c r="O584" s="228" t="str">
        <f t="shared" ca="1" si="382"/>
        <v>Concreto usinado bombeavel para supraestrutura Fck 35MPa com Brita 0 SLUMP = 12 +/- 2 incluindo servico de bombeamento</v>
      </c>
      <c r="P584" s="232" t="str">
        <f>IF(S584="","",IF(Orçamento!$B584="INSUMO",S584,""))</f>
        <v>BOMBEAMENTO DE CONCRETO USINADO</v>
      </c>
      <c r="Q584" s="244" t="str">
        <f t="shared" si="383"/>
        <v/>
      </c>
      <c r="R584" s="234">
        <f t="shared" ca="1" si="384"/>
        <v>53.967338154999993</v>
      </c>
      <c r="S584" s="233" t="s">
        <v>167</v>
      </c>
      <c r="T584" s="242" t="str">
        <f>_xlfn.XLOOKUP(S584,Insumos!$A$3:$A$371,Insumos!$B$3:$B$371)</f>
        <v>M3</v>
      </c>
      <c r="U584" s="235">
        <f ca="1">IF($B584="insumo",R584,"")</f>
        <v>53.967338154999993</v>
      </c>
      <c r="V584" s="320">
        <v>1.05</v>
      </c>
      <c r="W584" s="236">
        <f>IFERROR(IF(B584="INSUMO",_xlfn.XLOOKUP(S584,Insumos!A:A,Insumos!C:C),""),"Inserir Preço")</f>
        <v>35</v>
      </c>
      <c r="X584" s="235">
        <f t="shared" ca="1" si="385"/>
        <v>56.665705062749993</v>
      </c>
      <c r="Y584" s="236">
        <f t="shared" si="399"/>
        <v>36.75</v>
      </c>
      <c r="Z584" s="237">
        <f t="shared" ca="1" si="370"/>
        <v>1983.2996771962498</v>
      </c>
      <c r="AA584" s="238"/>
      <c r="AB584" s="233" t="str">
        <f>IF(B584="insumo",_xlfn.XLOOKUP(S584,Insumos!A:A,Insumos!D:D),"")</f>
        <v>Engemix</v>
      </c>
      <c r="AC584" s="239">
        <f t="shared" ca="1" si="371"/>
        <v>2.8452242084258788E-4</v>
      </c>
      <c r="AE584" s="240">
        <f ca="1">IFERROR(IF(OR(Z584="",Z584=0),"",IF(AF584="","",IF(AF584="R$/mês",Z584/OBRA!$D$12,IF(AF584="R$/m²",Z584/OBRA!$D$10,IF(AF584="R$/apto",Orçamento!Z584/OBRA!$D$11,""))))),"")</f>
        <v>1.0206201413091862</v>
      </c>
      <c r="AF584" s="241" t="s">
        <v>154</v>
      </c>
    </row>
    <row r="585" spans="1:32" s="10" customFormat="1" ht="13.15" hidden="1" customHeight="1" outlineLevel="4" x14ac:dyDescent="0.2">
      <c r="A585" s="227"/>
      <c r="B585" s="228" t="s">
        <v>19</v>
      </c>
      <c r="C585" s="229">
        <f t="shared" si="369"/>
        <v>6</v>
      </c>
      <c r="D585" s="227" t="str">
        <f t="shared" si="372"/>
        <v/>
      </c>
      <c r="E585" s="228" t="str">
        <f t="shared" ca="1" si="373"/>
        <v>04.004.003.001</v>
      </c>
      <c r="F585" s="230">
        <f ca="1">IF($B585="UNIDADE CONSTRUTIVA",OFFSET(F585,-1,0)+1,LARGE(F$10:F584,1))</f>
        <v>2</v>
      </c>
      <c r="G585" s="228" t="str">
        <f t="shared" ca="1" si="374"/>
        <v xml:space="preserve">   GERENCIAMENTO EXECUTIVO</v>
      </c>
      <c r="H585" s="230">
        <f t="shared" ca="1" si="375"/>
        <v>4</v>
      </c>
      <c r="I585" s="228" t="str">
        <f t="shared" ca="1" si="376"/>
        <v xml:space="preserve">   SUPRAESTRUTURA</v>
      </c>
      <c r="J585" s="230">
        <f t="shared" ca="1" si="377"/>
        <v>4</v>
      </c>
      <c r="K585" s="228" t="str">
        <f t="shared" ca="1" si="378"/>
        <v xml:space="preserve">   SUPRAESTRUTURA - 8º PAVIMENTO - COBERTURA</v>
      </c>
      <c r="L585" s="231">
        <f t="shared" ca="1" si="379"/>
        <v>3</v>
      </c>
      <c r="M585" s="228" t="str">
        <f t="shared" ca="1" si="380"/>
        <v xml:space="preserve">   Concreto</v>
      </c>
      <c r="N585" s="231">
        <f t="shared" ca="1" si="381"/>
        <v>1</v>
      </c>
      <c r="O585" s="228" t="str">
        <f t="shared" ca="1" si="382"/>
        <v>Concreto usinado bombeavel para supraestrutura Fck 35MPa com Brita 0 SLUMP = 12 +/- 2 incluindo servico de bombeamento</v>
      </c>
      <c r="P585" s="232" t="str">
        <f>IF(S585="","",IF(Orçamento!$B585="INSUMO",S585,""))</f>
        <v>Concreto 35 MPA, brita 1, slump 12+-2</v>
      </c>
      <c r="Q585" s="244" t="str">
        <f t="shared" si="383"/>
        <v/>
      </c>
      <c r="R585" s="234">
        <f t="shared" ca="1" si="384"/>
        <v>53.967338154999993</v>
      </c>
      <c r="S585" s="233" t="s">
        <v>820</v>
      </c>
      <c r="T585" s="242" t="str">
        <f>_xlfn.XLOOKUP(S585,Insumos!$A$3:$A$371,Insumos!$B$3:$B$371)</f>
        <v>M3</v>
      </c>
      <c r="U585" s="235">
        <f ca="1">IF($B585="insumo",R585,"")</f>
        <v>53.967338154999993</v>
      </c>
      <c r="V585" s="320">
        <v>1.05</v>
      </c>
      <c r="W585" s="236">
        <f>IFERROR(IF(B585="INSUMO",_xlfn.XLOOKUP(S585,Insumos!A:A,Insumos!C:C),""),"Inserir Preço")</f>
        <v>450</v>
      </c>
      <c r="X585" s="235">
        <f t="shared" ca="1" si="385"/>
        <v>56.665705062749993</v>
      </c>
      <c r="Y585" s="236">
        <f t="shared" si="399"/>
        <v>472.5</v>
      </c>
      <c r="Z585" s="237">
        <f t="shared" ca="1" si="370"/>
        <v>25499.567278237497</v>
      </c>
      <c r="AA585" s="238"/>
      <c r="AB585" s="233" t="str">
        <f>IF(B585="insumo",_xlfn.XLOOKUP(S585,Insumos!A:A,Insumos!D:D),"")</f>
        <v>Recebido Cliente</v>
      </c>
      <c r="AC585" s="239">
        <f t="shared" ca="1" si="371"/>
        <v>3.6581454108332726E-3</v>
      </c>
      <c r="AE585" s="240">
        <f ca="1">IFERROR(IF(OR(Z585="",Z585=0),"",IF(AF585="","",IF(AF585="R$/mês",Z585/OBRA!$D$12,IF(AF585="R$/m²",Z585/OBRA!$D$10,IF(AF585="R$/apto",Orçamento!Z585/OBRA!$D$11,""))))),"")</f>
        <v>13.122258959689535</v>
      </c>
      <c r="AF585" s="241" t="s">
        <v>154</v>
      </c>
    </row>
    <row r="586" spans="1:32" s="10" customFormat="1" ht="13.15" hidden="1" customHeight="1" outlineLevel="3" collapsed="1" x14ac:dyDescent="0.2">
      <c r="A586" s="227"/>
      <c r="B586" s="228" t="s">
        <v>3</v>
      </c>
      <c r="C586" s="229" t="str">
        <f t="shared" si="369"/>
        <v/>
      </c>
      <c r="D586" s="227" t="str">
        <f ca="1">IF(B586="Unidade Construtiva",TEXT(F586,"00"),IF(B586="Célula Construtiva",TEXT(H586,"00"),IF(B586="Etapa",CONCATENATE(TEXT(H586,"00"),".",TEXT(J586,"000")),IF(B586="Subetapa",CONCATENATE(TEXT(H586,"00"),".",TEXT(J586,"000"),".",TEXT(L586,"000")),IF(B586="Serviço",CONCATENATE(TEXT(H586,"00"),".",TEXT(J586,"000"),".",TEXT(L586,"000"),".",TEXT(N586,"000")),"")))))</f>
        <v>04.004.004</v>
      </c>
      <c r="E586" s="228" t="str">
        <f ca="1">IF(B586="*","",IFERROR(IF(B586="SERVIÇO",D586,OFFSET(E586,-1,0)),""))</f>
        <v>04.004.003.001</v>
      </c>
      <c r="F586" s="230">
        <f ca="1">IF($B586="UNIDADE CONSTRUTIVA",OFFSET(F586,-1,0)+1,LARGE(F$10:F585,1))</f>
        <v>2</v>
      </c>
      <c r="G586" s="228" t="str">
        <f ca="1">IF(B586="*","",IF(B586="UNIDADE CONSTRUTIVA",S586,OFFSET(G586,-1,0)))</f>
        <v xml:space="preserve">   GERENCIAMENTO EXECUTIVO</v>
      </c>
      <c r="H586" s="230">
        <f ca="1">IF(B586="UNIDADE CONSTRUTIVA",0,IF(B586="CÉLULA CONSTRUTIVA",OFFSET(H586,-1,0)+1,OFFSET(H586,-1,0)))</f>
        <v>4</v>
      </c>
      <c r="I586" s="228" t="str">
        <f ca="1">IF(B586="*","",IF(B586="CÉLULA CONSTRUTIVA",S586,OFFSET(I586,-1,0)))</f>
        <v xml:space="preserve">   SUPRAESTRUTURA</v>
      </c>
      <c r="J586" s="230">
        <f ca="1">IF(B586="CÉLULA CONSTRUTIVA",0,IF(B586="ETAPA",OFFSET(J586,-1,0)+1,OFFSET(J586,-1,0)))</f>
        <v>4</v>
      </c>
      <c r="K586" s="228" t="str">
        <f ca="1">IF(B586="*","",IF(B586="ETAPA",S586,OFFSET(K586,-1,0)))</f>
        <v xml:space="preserve">   SUPRAESTRUTURA - 8º PAVIMENTO - COBERTURA</v>
      </c>
      <c r="L586" s="231">
        <f ca="1">IF(B586="ETAPA",0,IF(B586="SUBETAPA",OFFSET(L586,-1,0)+1,OFFSET(L586,-1,0)))</f>
        <v>4</v>
      </c>
      <c r="M586" s="228" t="str">
        <f ca="1">IF(B586="*","",IF(B586="SUBETAPA",S586,OFFSET(M586,-1,0)))</f>
        <v xml:space="preserve">   Mão de Obra</v>
      </c>
      <c r="N586" s="231">
        <f ca="1">IF(B586="Subetapa",0,IF(B586="serviço",OFFSET(N586,-1,0)+1,OFFSET(N586,-1,0)))</f>
        <v>0</v>
      </c>
      <c r="O586" s="228" t="str">
        <f ca="1">IF(B586="*","",IF(B586="SERVIÇO",S586,OFFSET(O586,-1,0)))</f>
        <v>Concreto usinado bombeavel para supraestrutura Fck 35MPa com Brita 0 SLUMP = 12 +/- 2 incluindo servico de bombeamento</v>
      </c>
      <c r="P586" s="232" t="str">
        <f>IF(S586="","",IF(Orçamento!$B586="INSUMO",S586,""))</f>
        <v/>
      </c>
      <c r="Q586" s="244" t="str">
        <f>IF(B586="","",IF(B586="Serviço",S586,""))</f>
        <v/>
      </c>
      <c r="R586" s="234">
        <f ca="1">IF(B586="serviço",U586,OFFSET(R586,-1,0))</f>
        <v>53.967338154999993</v>
      </c>
      <c r="S586" s="233" t="s">
        <v>438</v>
      </c>
      <c r="T586" s="242" t="s">
        <v>35</v>
      </c>
      <c r="U586" s="235" t="str">
        <f>IF($B586="insumo",R586,"")</f>
        <v/>
      </c>
      <c r="V586" s="320" t="s">
        <v>35</v>
      </c>
      <c r="W586" s="236" t="str">
        <f>IFERROR(IF(B586="INSUMO",_xlfn.XLOOKUP(S586,Insumos!A:A,Insumos!C:C),""),"Inserir Preço")</f>
        <v/>
      </c>
      <c r="X586" s="235" t="str">
        <f ca="1">IF(B586="Complemento do insumo",V586,IF(R586="","",IF(B586="serviço",R586,IF(OR(B586="insumo"),V586*R586,""))))</f>
        <v/>
      </c>
      <c r="Y586" s="236" t="str">
        <f t="shared" si="399"/>
        <v/>
      </c>
      <c r="Z586" s="237">
        <f t="shared" ca="1" si="370"/>
        <v>77045.886848360969</v>
      </c>
      <c r="AA586" s="238"/>
      <c r="AB586" s="233" t="str">
        <f>IF(B586="insumo",_xlfn.XLOOKUP(S586,Insumos!A:A,Insumos!D:D),"")</f>
        <v/>
      </c>
      <c r="AC586" s="239">
        <f t="shared" ca="1" si="371"/>
        <v>1.1052934911505373E-2</v>
      </c>
      <c r="AE586" s="240">
        <f ca="1">IFERROR(IF(OR(Z586="",Z586=0),"",IF(AF586="","",IF(AF586="R$/mês",Z586/OBRA!$D$12,IF(AF586="R$/m²",Z586/OBRA!$D$10,IF(AF586="R$/apto",Orçamento!Z586/OBRA!$D$11,""))))),"")</f>
        <v>39.648362184795914</v>
      </c>
      <c r="AF586" s="241" t="s">
        <v>154</v>
      </c>
    </row>
    <row r="587" spans="1:32" s="10" customFormat="1" ht="13.15" hidden="1" customHeight="1" outlineLevel="4" x14ac:dyDescent="0.2">
      <c r="A587" s="227"/>
      <c r="B587" s="228" t="s">
        <v>4</v>
      </c>
      <c r="C587" s="229">
        <f t="shared" si="369"/>
        <v>5</v>
      </c>
      <c r="D587" s="227" t="str">
        <f ca="1">IF(B587="Unidade Construtiva",TEXT(F587,"00"),IF(B587="Célula Construtiva",TEXT(H587,"00"),IF(B587="Etapa",CONCATENATE(TEXT(H587,"00"),".",TEXT(J587,"000")),IF(B587="Subetapa",CONCATENATE(TEXT(H587,"00"),".",TEXT(J587,"000"),".",TEXT(L587,"000")),IF(B587="Serviço",CONCATENATE(TEXT(H587,"00"),".",TEXT(J587,"000"),".",TEXT(L587,"000"),".",TEXT(N587,"000")),"")))))</f>
        <v>04.004.004.001</v>
      </c>
      <c r="E587" s="228" t="str">
        <f ca="1">IF(B587="*","",IFERROR(IF(B587="SERVIÇO",D587,OFFSET(E587,-1,0)),""))</f>
        <v>04.004.004.001</v>
      </c>
      <c r="F587" s="230">
        <f ca="1">IF($B587="UNIDADE CONSTRUTIVA",OFFSET(F587,-1,0)+1,LARGE(F$10:F586,1))</f>
        <v>2</v>
      </c>
      <c r="G587" s="228" t="str">
        <f ca="1">IF(B587="*","",IF(B587="UNIDADE CONSTRUTIVA",S587,OFFSET(G587,-1,0)))</f>
        <v xml:space="preserve">   GERENCIAMENTO EXECUTIVO</v>
      </c>
      <c r="H587" s="230">
        <f ca="1">IF(B587="UNIDADE CONSTRUTIVA",0,IF(B587="CÉLULA CONSTRUTIVA",OFFSET(H587,-1,0)+1,OFFSET(H587,-1,0)))</f>
        <v>4</v>
      </c>
      <c r="I587" s="228" t="str">
        <f ca="1">IF(B587="*","",IF(B587="CÉLULA CONSTRUTIVA",S587,OFFSET(I587,-1,0)))</f>
        <v xml:space="preserve">   SUPRAESTRUTURA</v>
      </c>
      <c r="J587" s="230">
        <f ca="1">IF(B587="CÉLULA CONSTRUTIVA",0,IF(B587="ETAPA",OFFSET(J587,-1,0)+1,OFFSET(J587,-1,0)))</f>
        <v>4</v>
      </c>
      <c r="K587" s="228" t="str">
        <f ca="1">IF(B587="*","",IF(B587="ETAPA",S587,OFFSET(K587,-1,0)))</f>
        <v xml:space="preserve">   SUPRAESTRUTURA - 8º PAVIMENTO - COBERTURA</v>
      </c>
      <c r="L587" s="231">
        <f ca="1">IF(B587="ETAPA",0,IF(B587="SUBETAPA",OFFSET(L587,-1,0)+1,OFFSET(L587,-1,0)))</f>
        <v>4</v>
      </c>
      <c r="M587" s="228" t="str">
        <f ca="1">IF(B587="*","",IF(B587="SUBETAPA",S587,OFFSET(M587,-1,0)))</f>
        <v xml:space="preserve">   Mão de Obra</v>
      </c>
      <c r="N587" s="231">
        <f ca="1">IF(B587="Subetapa",0,IF(B587="serviço",OFFSET(N587,-1,0)+1,OFFSET(N587,-1,0)))</f>
        <v>1</v>
      </c>
      <c r="O587" s="228" t="str">
        <f ca="1">IF(B587="*","",IF(B587="SERVIÇO",S587,OFFSET(O587,-1,0)))</f>
        <v>Mao de obra  - para execucacao de estrutura de concreto armado em supraestrutura</v>
      </c>
      <c r="P587" s="232" t="str">
        <f>IF(S587="","",IF(Orçamento!$B587="INSUMO",S587,""))</f>
        <v/>
      </c>
      <c r="Q587" s="244" t="str">
        <f>IF(B587="","",IF(B587="Serviço",S587,""))</f>
        <v>Mao de obra  - para execucacao de estrutura de concreto armado em supraestrutura</v>
      </c>
      <c r="R587" s="234">
        <f ca="1">IF(B587="serviço",U587,OFFSET(R587,-1,0))</f>
        <v>234.19450000000001</v>
      </c>
      <c r="S587" s="233" t="s">
        <v>1167</v>
      </c>
      <c r="T587" s="242" t="s">
        <v>140</v>
      </c>
      <c r="U587" s="235">
        <f>U559+U562</f>
        <v>234.19450000000001</v>
      </c>
      <c r="V587" s="320" t="s">
        <v>35</v>
      </c>
      <c r="W587" s="236" t="str">
        <f>IFERROR(IF(B587="INSUMO",_xlfn.XLOOKUP(S587,Insumos!A:A,Insumos!C:C),""),"Inserir Preço")</f>
        <v/>
      </c>
      <c r="X587" s="235">
        <f ca="1">IF(B587="Complemento do insumo",V587,IF(R587="","",IF(B587="serviço",R587,IF(OR(B587="insumo"),V587*R587,""))))</f>
        <v>234.19450000000001</v>
      </c>
      <c r="Y587" s="236">
        <f t="shared" ca="1" si="399"/>
        <v>328.98247759174944</v>
      </c>
      <c r="Z587" s="237">
        <f t="shared" ca="1" si="370"/>
        <v>77045.886848360969</v>
      </c>
      <c r="AA587" s="238"/>
      <c r="AB587" s="233" t="str">
        <f>IF(B587="insumo",_xlfn.XLOOKUP(S587,Insumos!A:A,Insumos!D:D),"")</f>
        <v/>
      </c>
      <c r="AC587" s="239">
        <f t="shared" ca="1" si="371"/>
        <v>1.1052934911505373E-2</v>
      </c>
      <c r="AE587" s="240">
        <f ca="1">IFERROR(IF(OR(Z587="",Z587=0),"",IF(AF587="","",IF(AF587="R$/mês",Z587/OBRA!$D$12,IF(AF587="R$/m²",Z587/OBRA!$D$10,IF(AF587="R$/apto",Orçamento!Z587/OBRA!$D$11,""))))),"")</f>
        <v>39.648362184795914</v>
      </c>
      <c r="AF587" s="241" t="s">
        <v>154</v>
      </c>
    </row>
    <row r="588" spans="1:32" s="10" customFormat="1" ht="13.15" hidden="1" customHeight="1" outlineLevel="4" x14ac:dyDescent="0.2">
      <c r="A588" s="227"/>
      <c r="B588" s="228" t="s">
        <v>19</v>
      </c>
      <c r="C588" s="229">
        <f t="shared" ref="C588:C651" si="400">IF(B588="INSUMO",COUNTIFS(B:B,"INSUMO",S:S,S588),IF(B588="SERVIÇO",COUNTIFS(B:B,"SERVIÇO",S:S,S588),""))</f>
        <v>5</v>
      </c>
      <c r="D588" s="227" t="str">
        <f>IF(B588="Unidade Construtiva",TEXT(F588,"00"),IF(B588="Célula Construtiva",TEXT(H588,"00"),IF(B588="Etapa",CONCATENATE(TEXT(H588,"00"),".",TEXT(J588,"000")),IF(B588="Subetapa",CONCATENATE(TEXT(H588,"00"),".",TEXT(J588,"000"),".",TEXT(L588,"000")),IF(B588="Serviço",CONCATENATE(TEXT(H588,"00"),".",TEXT(J588,"000"),".",TEXT(L588,"000"),".",TEXT(N588,"000")),"")))))</f>
        <v/>
      </c>
      <c r="E588" s="228" t="str">
        <f ca="1">IF(B588="*","",IFERROR(IF(B588="SERVIÇO",D588,OFFSET(E588,-1,0)),""))</f>
        <v>04.004.004.001</v>
      </c>
      <c r="F588" s="230">
        <f ca="1">IF($B588="UNIDADE CONSTRUTIVA",OFFSET(F588,-1,0)+1,LARGE(F$10:F587,1))</f>
        <v>2</v>
      </c>
      <c r="G588" s="228" t="str">
        <f ca="1">IF(B588="*","",IF(B588="UNIDADE CONSTRUTIVA",S588,OFFSET(G588,-1,0)))</f>
        <v xml:space="preserve">   GERENCIAMENTO EXECUTIVO</v>
      </c>
      <c r="H588" s="230">
        <f ca="1">IF(B588="UNIDADE CONSTRUTIVA",0,IF(B588="CÉLULA CONSTRUTIVA",OFFSET(H588,-1,0)+1,OFFSET(H588,-1,0)))</f>
        <v>4</v>
      </c>
      <c r="I588" s="228" t="str">
        <f ca="1">IF(B588="*","",IF(B588="CÉLULA CONSTRUTIVA",S588,OFFSET(I588,-1,0)))</f>
        <v xml:space="preserve">   SUPRAESTRUTURA</v>
      </c>
      <c r="J588" s="230">
        <f ca="1">IF(B588="CÉLULA CONSTRUTIVA",0,IF(B588="ETAPA",OFFSET(J588,-1,0)+1,OFFSET(J588,-1,0)))</f>
        <v>4</v>
      </c>
      <c r="K588" s="228" t="str">
        <f ca="1">IF(B588="*","",IF(B588="ETAPA",S588,OFFSET(K588,-1,0)))</f>
        <v xml:space="preserve">   SUPRAESTRUTURA - 8º PAVIMENTO - COBERTURA</v>
      </c>
      <c r="L588" s="231">
        <f ca="1">IF(B588="ETAPA",0,IF(B588="SUBETAPA",OFFSET(L588,-1,0)+1,OFFSET(L588,-1,0)))</f>
        <v>4</v>
      </c>
      <c r="M588" s="228" t="str">
        <f ca="1">IF(B588="*","",IF(B588="SUBETAPA",S588,OFFSET(M588,-1,0)))</f>
        <v xml:space="preserve">   Mão de Obra</v>
      </c>
      <c r="N588" s="231">
        <f ca="1">IF(B588="Subetapa",0,IF(B588="serviço",OFFSET(N588,-1,0)+1,OFFSET(N588,-1,0)))</f>
        <v>1</v>
      </c>
      <c r="O588" s="228" t="str">
        <f ca="1">IF(B588="*","",IF(B588="SERVIÇO",S588,OFFSET(O588,-1,0)))</f>
        <v>Mao de obra  - para execucacao de estrutura de concreto armado em supraestrutura</v>
      </c>
      <c r="P588" s="232" t="str">
        <f>IF(S588="","",IF(Orçamento!$B588="INSUMO",S588,""))</f>
        <v>MAO DE OBRA PARA EXECUCAO DE SUPRAESTRUTURA EM CONCRETO ARMADO</v>
      </c>
      <c r="Q588" s="244" t="str">
        <f>IF(B588="","",IF(B588="Serviço",S588,""))</f>
        <v/>
      </c>
      <c r="R588" s="234">
        <f ca="1">IF(B588="serviço",U588,OFFSET(R588,-1,0))</f>
        <v>234.19450000000001</v>
      </c>
      <c r="S588" s="233" t="s">
        <v>204</v>
      </c>
      <c r="T588" s="242" t="str">
        <f>_xlfn.XLOOKUP(S588,Insumos!$A$3:$A$371,Insumos!$B$3:$B$371)</f>
        <v>M2</v>
      </c>
      <c r="U588" s="235">
        <f ca="1">IF($B588="insumo",R588,"")</f>
        <v>234.19450000000001</v>
      </c>
      <c r="V588" s="320">
        <v>1</v>
      </c>
      <c r="W588" s="236">
        <f>IFERROR(IF(B588="INSUMO",_xlfn.XLOOKUP(S588,Insumos!A:A,Insumos!C:C),""),"Inserir Preço")</f>
        <v>328.98247759174944</v>
      </c>
      <c r="X588" s="235">
        <f ca="1">IF(B588="Complemento do insumo",V588,IF(R588="","",IF(B588="serviço",R588,IF(OR(B588="insumo"),V588*R588,""))))</f>
        <v>234.19450000000001</v>
      </c>
      <c r="Y588" s="236">
        <f t="shared" si="399"/>
        <v>328.98247759174944</v>
      </c>
      <c r="Z588" s="237">
        <f t="shared" ref="Z588:Z651" ca="1" si="401">IFERROR(IF(B588="Unidade Construtiva",SUMIFS(Z:Z,B:B,"Célula Construtiva",G:G,G588),IF(B588="célula construtiva",SUMIFS(Z:Z,B:B,"Insumo",I:I,I588,G:G,G588),IF(B588="ETAPA",SUMIFS(Z:Z,B:B,"Insumo",K:K,K588,I:I,I588,G:G,G588),IF(B588="subetapa",SUMIFS(Z:Z,M:M,M588,B:B,"insumo",K:K,K588,I:I,I588,G:G,G588),IF(B588="complemento do insumo",V588*W588,IF(B588="INSUMO",R588*V588*W588,X588*Y588)))))),"")</f>
        <v>77045.886848360969</v>
      </c>
      <c r="AA588" s="238"/>
      <c r="AB588" s="233" t="str">
        <f>IF(B588="insumo",_xlfn.XLOOKUP(S588,Insumos!A:A,Insumos!D:D),"")</f>
        <v>Aba Custo Serviços</v>
      </c>
      <c r="AC588" s="239">
        <f t="shared" ref="AC588:AC651" ca="1" si="402">IFERROR(IF(B588="","",Z588/SUMIF(B:B,"INSUMO",Z:Z)),0)</f>
        <v>1.1052934911505373E-2</v>
      </c>
      <c r="AE588" s="240">
        <f ca="1">IFERROR(IF(OR(Z588="",Z588=0),"",IF(AF588="","",IF(AF588="R$/mês",Z588/OBRA!$D$12,IF(AF588="R$/m²",Z588/OBRA!$D$10,IF(AF588="R$/apto",Orçamento!Z588/OBRA!$D$11,""))))),"")</f>
        <v>39.648362184795914</v>
      </c>
      <c r="AF588" s="241" t="s">
        <v>154</v>
      </c>
    </row>
    <row r="589" spans="1:32" s="10" customFormat="1" ht="13.15" customHeight="1" outlineLevel="2" collapsed="1" x14ac:dyDescent="0.2">
      <c r="A589" s="227"/>
      <c r="B589" s="228" t="s">
        <v>2</v>
      </c>
      <c r="C589" s="229" t="str">
        <f t="shared" si="400"/>
        <v/>
      </c>
      <c r="D589" s="227" t="str">
        <f ca="1">IF(B589="Unidade Construtiva",TEXT(F589,"00"),IF(B589="Célula Construtiva",TEXT(H589,"00"),IF(B589="Etapa",CONCATENATE(TEXT(H589,"00"),".",TEXT(J589,"000")),IF(B589="Subetapa",CONCATENATE(TEXT(H589,"00"),".",TEXT(J589,"000"),".",TEXT(L589,"000")),IF(B589="Serviço",CONCATENATE(TEXT(H589,"00"),".",TEXT(J589,"000"),".",TEXT(L589,"000"),".",TEXT(N589,"000")),"")))))</f>
        <v>04.005</v>
      </c>
      <c r="E589" s="228" t="str">
        <f ca="1">IF(B589="*","",IFERROR(IF(B589="SERVIÇO",D589,OFFSET(E589,-1,0)),""))</f>
        <v>04.004.004.001</v>
      </c>
      <c r="F589" s="230">
        <f ca="1">IF($B589="UNIDADE CONSTRUTIVA",OFFSET(F589,-1,0)+1,LARGE(F$10:F588,1))</f>
        <v>2</v>
      </c>
      <c r="G589" s="228" t="str">
        <f t="shared" ref="G589:G619" ca="1" si="403">IF(B589="*","",IF(B589="UNIDADE CONSTRUTIVA",S589,OFFSET(G589,-1,0)))</f>
        <v xml:space="preserve">   GERENCIAMENTO EXECUTIVO</v>
      </c>
      <c r="H589" s="230">
        <f ca="1">IF(B589="UNIDADE CONSTRUTIVA",0,IF(B589="CÉLULA CONSTRUTIVA",OFFSET(H589,-1,0)+1,OFFSET(H589,-1,0)))</f>
        <v>4</v>
      </c>
      <c r="I589" s="228" t="str">
        <f t="shared" ref="I589:I619" ca="1" si="404">IF(B589="*","",IF(B589="CÉLULA CONSTRUTIVA",S589,OFFSET(I589,-1,0)))</f>
        <v xml:space="preserve">   SUPRAESTRUTURA</v>
      </c>
      <c r="J589" s="230">
        <f ca="1">IF(B589="CÉLULA CONSTRUTIVA",0,IF(B589="ETAPA",OFFSET(J589,-1,0)+1,OFFSET(J589,-1,0)))</f>
        <v>5</v>
      </c>
      <c r="K589" s="228" t="str">
        <f t="shared" ref="K589:K619" ca="1" si="405">IF(B589="*","",IF(B589="ETAPA",S589,OFFSET(K589,-1,0)))</f>
        <v xml:space="preserve">   SUPRAESTRUTURA - BARRILETE / CAIXA DÁGUA / CASA DE MÁQUINAS</v>
      </c>
      <c r="L589" s="231">
        <f ca="1">IF(B589="ETAPA",0,IF(B589="SUBETAPA",OFFSET(L589,-1,0)+1,OFFSET(L589,-1,0)))</f>
        <v>0</v>
      </c>
      <c r="M589" s="228" t="str">
        <f t="shared" ref="M589:M619" ca="1" si="406">IF(B589="*","",IF(B589="SUBETAPA",S589,OFFSET(M589,-1,0)))</f>
        <v xml:space="preserve">   Mão de Obra</v>
      </c>
      <c r="N589" s="231">
        <f ca="1">IF(B589="Subetapa",0,IF(B589="serviço",OFFSET(N589,-1,0)+1,OFFSET(N589,-1,0)))</f>
        <v>1</v>
      </c>
      <c r="O589" s="228" t="str">
        <f t="shared" ref="O589:O619" ca="1" si="407">IF(B589="*","",IF(B589="SERVIÇO",S589,OFFSET(O589,-1,0)))</f>
        <v>Mao de obra  - para execucacao de estrutura de concreto armado em supraestrutura</v>
      </c>
      <c r="P589" s="232" t="str">
        <f>IF(S589="","",IF(Orçamento!$B589="INSUMO",S589,""))</f>
        <v/>
      </c>
      <c r="Q589" s="244" t="str">
        <f t="shared" ref="Q589:Q619" si="408">IF(B589="","",IF(B589="Serviço",S589,""))</f>
        <v/>
      </c>
      <c r="R589" s="234">
        <f t="shared" ref="R589:R619" ca="1" si="409">IF(B589="serviço",U589,OFFSET(R589,-1,0))</f>
        <v>234.19450000000001</v>
      </c>
      <c r="S589" s="233" t="s">
        <v>658</v>
      </c>
      <c r="T589" s="242" t="s">
        <v>35</v>
      </c>
      <c r="U589" s="235" t="str">
        <f>IF($B589="insumo",R589,"")</f>
        <v/>
      </c>
      <c r="V589" s="320" t="s">
        <v>35</v>
      </c>
      <c r="W589" s="236" t="str">
        <f>IFERROR(IF(B589="INSUMO",_xlfn.XLOOKUP(S589,Insumos!A:A,Insumos!C:C),""),"Inserir Preço")</f>
        <v/>
      </c>
      <c r="X589" s="235" t="str">
        <f t="shared" ref="X589:X619" ca="1" si="410">IF(B589="Complemento do insumo",V589,IF(R589="","",IF(B589="serviço",R589,IF(OR(B589="insumo"),V589*R589,""))))</f>
        <v/>
      </c>
      <c r="Y589" s="236" t="str">
        <f t="shared" si="399"/>
        <v/>
      </c>
      <c r="Z589" s="237">
        <f t="shared" ca="1" si="401"/>
        <v>175430.05612283479</v>
      </c>
      <c r="AA589" s="238"/>
      <c r="AB589" s="233" t="str">
        <f>IF(B589="insumo",_xlfn.XLOOKUP(S589,Insumos!A:A,Insumos!D:D),"")</f>
        <v/>
      </c>
      <c r="AC589" s="239">
        <f t="shared" ca="1" si="402"/>
        <v>2.5167040982521666E-2</v>
      </c>
      <c r="AE589" s="240">
        <f ca="1">IFERROR(IF(OR(Z589="",Z589=0),"",IF(AF589="","",IF(AF589="R$/mês",Z589/OBRA!$D$12,IF(AF589="R$/m²",Z589/OBRA!$D$10,IF(AF589="R$/apto",Orçamento!Z589/OBRA!$D$11,""))))),"")</f>
        <v>90.277556502747899</v>
      </c>
      <c r="AF589" s="241" t="s">
        <v>154</v>
      </c>
    </row>
    <row r="590" spans="1:32" s="10" customFormat="1" ht="13.15" hidden="1" customHeight="1" outlineLevel="3" collapsed="1" x14ac:dyDescent="0.2">
      <c r="A590" s="227"/>
      <c r="B590" s="228" t="s">
        <v>3</v>
      </c>
      <c r="C590" s="229" t="str">
        <f t="shared" si="400"/>
        <v/>
      </c>
      <c r="D590" s="227" t="str">
        <f ca="1">IF(B590="Unidade Construtiva",TEXT(F590,"00"),IF(B590="Célula Construtiva",TEXT(H590,"00"),IF(B590="Etapa",CONCATENATE(TEXT(H590,"00"),".",TEXT(J590,"000")),IF(B590="Subetapa",CONCATENATE(TEXT(H590,"00"),".",TEXT(J590,"000"),".",TEXT(L590,"000")),IF(B590="Serviço",CONCATENATE(TEXT(H590,"00"),".",TEXT(J590,"000"),".",TEXT(L590,"000"),".",TEXT(N590,"000")),"")))))</f>
        <v>04.005.001</v>
      </c>
      <c r="E590" s="228" t="str">
        <f ca="1">IF(B590="*","",IFERROR(IF(B590="SERVIÇO",D590,OFFSET(E590,-1,0)),""))</f>
        <v>04.004.004.001</v>
      </c>
      <c r="F590" s="230">
        <f ca="1">IF($B590="UNIDADE CONSTRUTIVA",OFFSET(F590,-1,0)+1,LARGE(F$10:F589,1))</f>
        <v>2</v>
      </c>
      <c r="G590" s="228" t="str">
        <f t="shared" ca="1" si="403"/>
        <v xml:space="preserve">   GERENCIAMENTO EXECUTIVO</v>
      </c>
      <c r="H590" s="230">
        <f ca="1">IF(B590="UNIDADE CONSTRUTIVA",0,IF(B590="CÉLULA CONSTRUTIVA",OFFSET(H590,-1,0)+1,OFFSET(H590,-1,0)))</f>
        <v>4</v>
      </c>
      <c r="I590" s="228" t="str">
        <f t="shared" ca="1" si="404"/>
        <v xml:space="preserve">   SUPRAESTRUTURA</v>
      </c>
      <c r="J590" s="230">
        <f ca="1">IF(B590="CÉLULA CONSTRUTIVA",0,IF(B590="ETAPA",OFFSET(J590,-1,0)+1,OFFSET(J590,-1,0)))</f>
        <v>5</v>
      </c>
      <c r="K590" s="228" t="str">
        <f t="shared" ca="1" si="405"/>
        <v xml:space="preserve">   SUPRAESTRUTURA - BARRILETE / CAIXA DÁGUA / CASA DE MÁQUINAS</v>
      </c>
      <c r="L590" s="231">
        <f ca="1">IF(B590="ETAPA",0,IF(B590="SUBETAPA",OFFSET(L590,-1,0)+1,OFFSET(L590,-1,0)))</f>
        <v>1</v>
      </c>
      <c r="M590" s="228" t="str">
        <f t="shared" ca="1" si="406"/>
        <v xml:space="preserve">   Armadura</v>
      </c>
      <c r="N590" s="231">
        <f ca="1">IF(B590="Subetapa",0,IF(B590="serviço",OFFSET(N590,-1,0)+1,OFFSET(N590,-1,0)))</f>
        <v>0</v>
      </c>
      <c r="O590" s="228" t="str">
        <f t="shared" ca="1" si="407"/>
        <v>Mao de obra  - para execucacao de estrutura de concreto armado em supraestrutura</v>
      </c>
      <c r="P590" s="232" t="str">
        <f>IF(S590="","",IF(Orçamento!$B590="INSUMO",S590,""))</f>
        <v/>
      </c>
      <c r="Q590" s="244" t="str">
        <f t="shared" si="408"/>
        <v/>
      </c>
      <c r="R590" s="234">
        <f t="shared" ca="1" si="409"/>
        <v>234.19450000000001</v>
      </c>
      <c r="S590" s="233" t="s">
        <v>434</v>
      </c>
      <c r="T590" s="242" t="s">
        <v>35</v>
      </c>
      <c r="U590" s="235" t="str">
        <f>IF($B590="insumo",R590,"")</f>
        <v/>
      </c>
      <c r="V590" s="320" t="s">
        <v>35</v>
      </c>
      <c r="W590" s="236" t="str">
        <f>IFERROR(IF(B590="INSUMO",_xlfn.XLOOKUP(S590,Insumos!A:A,Insumos!C:C),""),"Inserir Preço")</f>
        <v/>
      </c>
      <c r="X590" s="235" t="str">
        <f t="shared" ca="1" si="410"/>
        <v/>
      </c>
      <c r="Y590" s="236" t="str">
        <f t="shared" si="399"/>
        <v/>
      </c>
      <c r="Z590" s="237">
        <f t="shared" ca="1" si="401"/>
        <v>27457.788564539493</v>
      </c>
      <c r="AA590" s="238"/>
      <c r="AB590" s="233" t="str">
        <f>IF(B590="insumo",_xlfn.XLOOKUP(S590,Insumos!A:A,Insumos!D:D),"")</f>
        <v/>
      </c>
      <c r="AC590" s="239">
        <f t="shared" ca="1" si="402"/>
        <v>3.9390701078572607E-3</v>
      </c>
      <c r="AE590" s="240">
        <f ca="1">IFERROR(IF(OR(Z590="",Z590=0),"",IF(AF590="","",IF(AF590="R$/mês",Z590/OBRA!$D$12,IF(AF590="R$/m²",Z590/OBRA!$D$10,IF(AF590="R$/apto",Orçamento!Z590/OBRA!$D$11,""))))),"")</f>
        <v>14.12997358240635</v>
      </c>
      <c r="AF590" s="241" t="s">
        <v>154</v>
      </c>
    </row>
    <row r="591" spans="1:32" s="10" customFormat="1" ht="13.15" hidden="1" customHeight="1" outlineLevel="4" x14ac:dyDescent="0.2">
      <c r="A591" s="227"/>
      <c r="B591" s="228" t="s">
        <v>4</v>
      </c>
      <c r="C591" s="229">
        <f t="shared" si="400"/>
        <v>5</v>
      </c>
      <c r="D591" s="227" t="str">
        <f t="shared" ref="D591:D673" ca="1" si="411">IF(B591="Unidade Construtiva",TEXT(F591,"00"),IF(B591="Célula Construtiva",TEXT(H591,"00"),IF(B591="Etapa",CONCATENATE(TEXT(H591,"00"),".",TEXT(J591,"000")),IF(B591="Subetapa",CONCATENATE(TEXT(H591,"00"),".",TEXT(J591,"000"),".",TEXT(L591,"000")),IF(B591="Serviço",CONCATENATE(TEXT(H591,"00"),".",TEXT(J591,"000"),".",TEXT(L591,"000"),".",TEXT(N591,"000")),"")))))</f>
        <v>04.005.001.001</v>
      </c>
      <c r="E591" s="228" t="str">
        <f t="shared" ref="E591:E673" ca="1" si="412">IF(B591="*","",IFERROR(IF(B591="SERVIÇO",D591,OFFSET(E591,-1,0)),""))</f>
        <v>04.005.001.001</v>
      </c>
      <c r="F591" s="230">
        <f ca="1">IF($B591="UNIDADE CONSTRUTIVA",OFFSET(F591,-1,0)+1,LARGE(F$10:F590,1))</f>
        <v>2</v>
      </c>
      <c r="G591" s="228" t="str">
        <f t="shared" ca="1" si="403"/>
        <v xml:space="preserve">   GERENCIAMENTO EXECUTIVO</v>
      </c>
      <c r="H591" s="230">
        <f t="shared" ref="H591:H673" ca="1" si="413">IF(B591="UNIDADE CONSTRUTIVA",0,IF(B591="CÉLULA CONSTRUTIVA",OFFSET(H591,-1,0)+1,OFFSET(H591,-1,0)))</f>
        <v>4</v>
      </c>
      <c r="I591" s="228" t="str">
        <f t="shared" ca="1" si="404"/>
        <v xml:space="preserve">   SUPRAESTRUTURA</v>
      </c>
      <c r="J591" s="230">
        <f t="shared" ref="J591:J673" ca="1" si="414">IF(B591="CÉLULA CONSTRUTIVA",0,IF(B591="ETAPA",OFFSET(J591,-1,0)+1,OFFSET(J591,-1,0)))</f>
        <v>5</v>
      </c>
      <c r="K591" s="228" t="str">
        <f t="shared" ca="1" si="405"/>
        <v xml:space="preserve">   SUPRAESTRUTURA - BARRILETE / CAIXA DÁGUA / CASA DE MÁQUINAS</v>
      </c>
      <c r="L591" s="231">
        <f t="shared" ref="L591:L673" ca="1" si="415">IF(B591="ETAPA",0,IF(B591="SUBETAPA",OFFSET(L591,-1,0)+1,OFFSET(L591,-1,0)))</f>
        <v>1</v>
      </c>
      <c r="M591" s="228" t="str">
        <f t="shared" ca="1" si="406"/>
        <v xml:space="preserve">   Armadura</v>
      </c>
      <c r="N591" s="231">
        <f t="shared" ref="N591:N673" ca="1" si="416">IF(B591="Subetapa",0,IF(B591="serviço",OFFSET(N591,-1,0)+1,OFFSET(N591,-1,0)))</f>
        <v>1</v>
      </c>
      <c r="O591" s="228" t="str">
        <f t="shared" ca="1" si="407"/>
        <v>Armacao aco CA-50 ø 6.3mm para supraestrutura corte e dobra em indústria</v>
      </c>
      <c r="P591" s="232" t="str">
        <f>IF(S591="","",IF(Orçamento!$B591="INSUMO",S591,""))</f>
        <v/>
      </c>
      <c r="Q591" s="244" t="str">
        <f t="shared" si="408"/>
        <v>Armacao aco CA-50 ø 6.3mm para supraestrutura corte e dobra em indústria</v>
      </c>
      <c r="R591" s="234">
        <f t="shared" ca="1" si="409"/>
        <v>448.01434999999998</v>
      </c>
      <c r="S591" s="233" t="s">
        <v>186</v>
      </c>
      <c r="T591" s="242" t="s">
        <v>159</v>
      </c>
      <c r="U591" s="235">
        <v>448.01434999999998</v>
      </c>
      <c r="V591" s="320" t="s">
        <v>35</v>
      </c>
      <c r="W591" s="236" t="str">
        <f>IFERROR(IF(B591="INSUMO",_xlfn.XLOOKUP(S591,Insumos!A:A,Insumos!C:C),""),"Inserir Preço")</f>
        <v/>
      </c>
      <c r="X591" s="235">
        <f t="shared" ca="1" si="410"/>
        <v>448.01434999999998</v>
      </c>
      <c r="Y591" s="236">
        <f t="shared" ca="1" si="399"/>
        <v>7.56555</v>
      </c>
      <c r="Z591" s="237">
        <f t="shared" ca="1" si="401"/>
        <v>3389.4749656424997</v>
      </c>
      <c r="AA591" s="238"/>
      <c r="AB591" s="233" t="str">
        <f>IF(B591="insumo",_xlfn.XLOOKUP(S591,Insumos!A:A,Insumos!D:D),"")</f>
        <v/>
      </c>
      <c r="AC591" s="239">
        <f t="shared" ca="1" si="402"/>
        <v>4.8625108635790123E-4</v>
      </c>
      <c r="AE591" s="240">
        <f ca="1">IFERROR(IF(OR(Z591="",Z591=0),"",IF(AF591="","",IF(AF591="R$/mês",Z591/OBRA!$D$12,IF(AF591="R$/m²",Z591/OBRA!$D$10,IF(AF591="R$/apto",Orçamento!Z591/OBRA!$D$11,""))))),"")</f>
        <v>1.7442479611999093</v>
      </c>
      <c r="AF591" s="241" t="s">
        <v>154</v>
      </c>
    </row>
    <row r="592" spans="1:32" s="10" customFormat="1" ht="13.15" hidden="1" customHeight="1" outlineLevel="4" x14ac:dyDescent="0.2">
      <c r="A592" s="227"/>
      <c r="B592" s="228" t="s">
        <v>19</v>
      </c>
      <c r="C592" s="229">
        <f t="shared" si="400"/>
        <v>6</v>
      </c>
      <c r="D592" s="227" t="str">
        <f t="shared" si="411"/>
        <v/>
      </c>
      <c r="E592" s="228" t="str">
        <f t="shared" ca="1" si="412"/>
        <v>04.005.001.001</v>
      </c>
      <c r="F592" s="230">
        <f ca="1">IF($B592="UNIDADE CONSTRUTIVA",OFFSET(F592,-1,0)+1,LARGE(F$10:F591,1))</f>
        <v>2</v>
      </c>
      <c r="G592" s="228" t="str">
        <f t="shared" ca="1" si="403"/>
        <v xml:space="preserve">   GERENCIAMENTO EXECUTIVO</v>
      </c>
      <c r="H592" s="230">
        <f t="shared" ca="1" si="413"/>
        <v>4</v>
      </c>
      <c r="I592" s="228" t="str">
        <f t="shared" ca="1" si="404"/>
        <v xml:space="preserve">   SUPRAESTRUTURA</v>
      </c>
      <c r="J592" s="230">
        <f t="shared" ca="1" si="414"/>
        <v>5</v>
      </c>
      <c r="K592" s="228" t="str">
        <f t="shared" ca="1" si="405"/>
        <v xml:space="preserve">   SUPRAESTRUTURA - BARRILETE / CAIXA DÁGUA / CASA DE MÁQUINAS</v>
      </c>
      <c r="L592" s="231">
        <f t="shared" ca="1" si="415"/>
        <v>1</v>
      </c>
      <c r="M592" s="228" t="str">
        <f t="shared" ca="1" si="406"/>
        <v xml:space="preserve">   Armadura</v>
      </c>
      <c r="N592" s="231">
        <f t="shared" ca="1" si="416"/>
        <v>1</v>
      </c>
      <c r="O592" s="228" t="str">
        <f t="shared" ca="1" si="407"/>
        <v>Armacao aco CA-50 ø 6.3mm para supraestrutura corte e dobra em indústria</v>
      </c>
      <c r="P592" s="232" t="str">
        <f>IF(S592="","",IF(Orçamento!$B592="INSUMO",S592,""))</f>
        <v>ACO CA-50A 6,30 MM (1/4)</v>
      </c>
      <c r="Q592" s="244" t="str">
        <f t="shared" si="408"/>
        <v/>
      </c>
      <c r="R592" s="234">
        <f t="shared" ca="1" si="409"/>
        <v>448.01434999999998</v>
      </c>
      <c r="S592" s="233" t="s">
        <v>160</v>
      </c>
      <c r="T592" s="242" t="str">
        <f>_xlfn.XLOOKUP(S592,Insumos!$A$3:$A$371,Insumos!$B$3:$B$371)</f>
        <v>KG</v>
      </c>
      <c r="U592" s="235">
        <f ca="1">IF($B592="insumo",R592,"")</f>
        <v>448.01434999999998</v>
      </c>
      <c r="V592" s="320">
        <v>1.1000000000000001</v>
      </c>
      <c r="W592" s="236">
        <f>IFERROR(IF(B592="INSUMO",_xlfn.XLOOKUP(S592,Insumos!A:A,Insumos!C:C),""),"Inserir Preço")</f>
        <v>5.62</v>
      </c>
      <c r="X592" s="235">
        <f t="shared" ca="1" si="410"/>
        <v>492.81578500000001</v>
      </c>
      <c r="Y592" s="236">
        <f t="shared" si="399"/>
        <v>6.1820000000000004</v>
      </c>
      <c r="Z592" s="237">
        <f t="shared" ca="1" si="401"/>
        <v>2769.6247117000003</v>
      </c>
      <c r="AA592" s="238"/>
      <c r="AB592" s="233" t="str">
        <f>IF(B592="insumo",_xlfn.XLOOKUP(S592,Insumos!A:A,Insumos!D:D),"")</f>
        <v>KNORR</v>
      </c>
      <c r="AC592" s="239">
        <f t="shared" ca="1" si="402"/>
        <v>3.973279161283114E-4</v>
      </c>
      <c r="AE592" s="240">
        <f ca="1">IFERROR(IF(OR(Z592="",Z592=0),"",IF(AF592="","",IF(AF592="R$/mês",Z592/OBRA!$D$12,IF(AF592="R$/m²",Z592/OBRA!$D$10,IF(AF592="R$/apto",Orçamento!Z592/OBRA!$D$11,""))))),"")</f>
        <v>1.4252686052088535</v>
      </c>
      <c r="AF592" s="241" t="s">
        <v>154</v>
      </c>
    </row>
    <row r="593" spans="1:32" s="10" customFormat="1" ht="13.15" hidden="1" customHeight="1" outlineLevel="4" x14ac:dyDescent="0.2">
      <c r="A593" s="227"/>
      <c r="B593" s="228" t="s">
        <v>19</v>
      </c>
      <c r="C593" s="229">
        <f t="shared" si="400"/>
        <v>42</v>
      </c>
      <c r="D593" s="227" t="str">
        <f t="shared" si="411"/>
        <v/>
      </c>
      <c r="E593" s="228" t="str">
        <f t="shared" ca="1" si="412"/>
        <v>04.005.001.001</v>
      </c>
      <c r="F593" s="230">
        <f ca="1">IF($B593="UNIDADE CONSTRUTIVA",OFFSET(F593,-1,0)+1,LARGE(F$10:F592,1))</f>
        <v>2</v>
      </c>
      <c r="G593" s="228" t="str">
        <f t="shared" ca="1" si="403"/>
        <v xml:space="preserve">   GERENCIAMENTO EXECUTIVO</v>
      </c>
      <c r="H593" s="230">
        <f t="shared" ca="1" si="413"/>
        <v>4</v>
      </c>
      <c r="I593" s="228" t="str">
        <f t="shared" ca="1" si="404"/>
        <v xml:space="preserve">   SUPRAESTRUTURA</v>
      </c>
      <c r="J593" s="230">
        <f t="shared" ca="1" si="414"/>
        <v>5</v>
      </c>
      <c r="K593" s="228" t="str">
        <f t="shared" ca="1" si="405"/>
        <v xml:space="preserve">   SUPRAESTRUTURA - BARRILETE / CAIXA DÁGUA / CASA DE MÁQUINAS</v>
      </c>
      <c r="L593" s="231">
        <f t="shared" ca="1" si="415"/>
        <v>1</v>
      </c>
      <c r="M593" s="228" t="str">
        <f t="shared" ca="1" si="406"/>
        <v xml:space="preserve">   Armadura</v>
      </c>
      <c r="N593" s="231">
        <f t="shared" ca="1" si="416"/>
        <v>1</v>
      </c>
      <c r="O593" s="228" t="str">
        <f t="shared" ca="1" si="407"/>
        <v>Armacao aco CA-50 ø 6.3mm para supraestrutura corte e dobra em indústria</v>
      </c>
      <c r="P593" s="232" t="str">
        <f>IF(S593="","",IF(Orçamento!$B593="INSUMO",S593,""))</f>
        <v>ARAME RECOZIDO 18 BWG, 1,25MM (0,010 KG/M)</v>
      </c>
      <c r="Q593" s="244" t="str">
        <f t="shared" si="408"/>
        <v/>
      </c>
      <c r="R593" s="234">
        <f t="shared" ca="1" si="409"/>
        <v>448.01434999999998</v>
      </c>
      <c r="S593" s="233" t="s">
        <v>161</v>
      </c>
      <c r="T593" s="242" t="str">
        <f>_xlfn.XLOOKUP(S593,Insumos!$A$3:$A$371,Insumos!$B$3:$B$371)</f>
        <v>KG</v>
      </c>
      <c r="U593" s="235">
        <f ca="1">IF($B593="insumo",R593,"")</f>
        <v>448.01434999999998</v>
      </c>
      <c r="V593" s="320">
        <v>3.5000000000000003E-2</v>
      </c>
      <c r="W593" s="236">
        <f>IFERROR(IF(B593="INSUMO",_xlfn.XLOOKUP(S593,Insumos!A:A,Insumos!C:C),""),"Inserir Preço")</f>
        <v>13.69</v>
      </c>
      <c r="X593" s="235">
        <f t="shared" ca="1" si="410"/>
        <v>15.68050225</v>
      </c>
      <c r="Y593" s="236">
        <f t="shared" si="399"/>
        <v>0.47915000000000002</v>
      </c>
      <c r="Z593" s="237">
        <f t="shared" ca="1" si="401"/>
        <v>214.66607580249999</v>
      </c>
      <c r="AA593" s="238"/>
      <c r="AB593" s="233" t="str">
        <f>IF(B593="insumo",_xlfn.XLOOKUP(S593,Insumos!A:A,Insumos!D:D),"")</f>
        <v>GERDAU</v>
      </c>
      <c r="AC593" s="239">
        <f t="shared" ca="1" si="402"/>
        <v>3.0795805728385696E-5</v>
      </c>
      <c r="AE593" s="240">
        <f ca="1">IFERROR(IF(OR(Z593="",Z593=0),"",IF(AF593="","",IF(AF593="R$/mês",Z593/OBRA!$D$12,IF(AF593="R$/m²",Z593/OBRA!$D$10,IF(AF593="R$/apto",Orçamento!Z593/OBRA!$D$11,""))))),"")</f>
        <v>0.11046869171559721</v>
      </c>
      <c r="AF593" s="241" t="s">
        <v>154</v>
      </c>
    </row>
    <row r="594" spans="1:32" s="10" customFormat="1" ht="13.15" hidden="1" customHeight="1" outlineLevel="4" x14ac:dyDescent="0.2">
      <c r="A594" s="227"/>
      <c r="B594" s="228" t="s">
        <v>19</v>
      </c>
      <c r="C594" s="229">
        <f t="shared" si="400"/>
        <v>37</v>
      </c>
      <c r="D594" s="227" t="str">
        <f t="shared" si="411"/>
        <v/>
      </c>
      <c r="E594" s="228" t="str">
        <f t="shared" ca="1" si="412"/>
        <v>04.005.001.001</v>
      </c>
      <c r="F594" s="230">
        <f ca="1">IF($B594="UNIDADE CONSTRUTIVA",OFFSET(F594,-1,0)+1,LARGE(F$10:F593,1))</f>
        <v>2</v>
      </c>
      <c r="G594" s="228" t="str">
        <f t="shared" ca="1" si="403"/>
        <v xml:space="preserve">   GERENCIAMENTO EXECUTIVO</v>
      </c>
      <c r="H594" s="230">
        <f t="shared" ca="1" si="413"/>
        <v>4</v>
      </c>
      <c r="I594" s="228" t="str">
        <f t="shared" ca="1" si="404"/>
        <v xml:space="preserve">   SUPRAESTRUTURA</v>
      </c>
      <c r="J594" s="230">
        <f t="shared" ca="1" si="414"/>
        <v>5</v>
      </c>
      <c r="K594" s="228" t="str">
        <f t="shared" ca="1" si="405"/>
        <v xml:space="preserve">   SUPRAESTRUTURA - BARRILETE / CAIXA DÁGUA / CASA DE MÁQUINAS</v>
      </c>
      <c r="L594" s="231">
        <f t="shared" ca="1" si="415"/>
        <v>1</v>
      </c>
      <c r="M594" s="228" t="str">
        <f t="shared" ca="1" si="406"/>
        <v xml:space="preserve">   Armadura</v>
      </c>
      <c r="N594" s="231">
        <f t="shared" ca="1" si="416"/>
        <v>1</v>
      </c>
      <c r="O594" s="228" t="str">
        <f t="shared" ca="1" si="407"/>
        <v>Armacao aco CA-50 ø 6.3mm para supraestrutura corte e dobra em indústria</v>
      </c>
      <c r="P594" s="232" t="str">
        <f>IF(S594="","",IF(Orçamento!$B594="INSUMO",S594,""))</f>
        <v>ESPACADOR CIRCULAR 40MM</v>
      </c>
      <c r="Q594" s="244" t="str">
        <f t="shared" si="408"/>
        <v/>
      </c>
      <c r="R594" s="234">
        <f t="shared" ca="1" si="409"/>
        <v>448.01434999999998</v>
      </c>
      <c r="S594" s="233" t="s">
        <v>162</v>
      </c>
      <c r="T594" s="242" t="str">
        <f>_xlfn.XLOOKUP(S594,Insumos!$A$3:$A$371,Insumos!$B$3:$B$371)</f>
        <v>UN</v>
      </c>
      <c r="U594" s="235">
        <f ca="1">IF($B594="insumo",R594,"")</f>
        <v>448.01434999999998</v>
      </c>
      <c r="V594" s="320">
        <v>1.19</v>
      </c>
      <c r="W594" s="236">
        <f>IFERROR(IF(B594="INSUMO",_xlfn.XLOOKUP(S594,Insumos!A:A,Insumos!C:C),""),"Inserir Preço")</f>
        <v>0.76</v>
      </c>
      <c r="X594" s="235">
        <f t="shared" ca="1" si="410"/>
        <v>533.13707649999992</v>
      </c>
      <c r="Y594" s="236">
        <f t="shared" si="399"/>
        <v>0.90439999999999998</v>
      </c>
      <c r="Z594" s="237">
        <f t="shared" ca="1" si="401"/>
        <v>405.18417813999997</v>
      </c>
      <c r="AA594" s="238"/>
      <c r="AB594" s="233" t="str">
        <f>IF(B594="insumo",_xlfn.XLOOKUP(S594,Insumos!A:A,Insumos!D:D),"")</f>
        <v xml:space="preserve"> </v>
      </c>
      <c r="AC594" s="239">
        <f t="shared" ca="1" si="402"/>
        <v>5.8127364501204259E-5</v>
      </c>
      <c r="AE594" s="240">
        <f ca="1">IFERROR(IF(OR(Z594="",Z594=0),"",IF(AF594="","",IF(AF594="R$/mês",Z594/OBRA!$D$12,IF(AF594="R$/m²",Z594/OBRA!$D$10,IF(AF594="R$/apto",Orçamento!Z594/OBRA!$D$11,""))))),"")</f>
        <v>0.20851066427545889</v>
      </c>
      <c r="AF594" s="241" t="s">
        <v>154</v>
      </c>
    </row>
    <row r="595" spans="1:32" s="10" customFormat="1" ht="13.15" hidden="1" customHeight="1" outlineLevel="4" x14ac:dyDescent="0.2">
      <c r="A595" s="227"/>
      <c r="B595" s="228" t="s">
        <v>4</v>
      </c>
      <c r="C595" s="229">
        <f t="shared" si="400"/>
        <v>5</v>
      </c>
      <c r="D595" s="227" t="str">
        <f t="shared" ca="1" si="411"/>
        <v>04.005.001.002</v>
      </c>
      <c r="E595" s="228" t="str">
        <f t="shared" ca="1" si="412"/>
        <v>04.005.001.002</v>
      </c>
      <c r="F595" s="230">
        <f ca="1">IF($B595="UNIDADE CONSTRUTIVA",OFFSET(F595,-1,0)+1,LARGE(F$10:F594,1))</f>
        <v>2</v>
      </c>
      <c r="G595" s="228" t="str">
        <f t="shared" ca="1" si="403"/>
        <v xml:space="preserve">   GERENCIAMENTO EXECUTIVO</v>
      </c>
      <c r="H595" s="230">
        <f t="shared" ca="1" si="413"/>
        <v>4</v>
      </c>
      <c r="I595" s="228" t="str">
        <f t="shared" ca="1" si="404"/>
        <v xml:space="preserve">   SUPRAESTRUTURA</v>
      </c>
      <c r="J595" s="230">
        <f t="shared" ca="1" si="414"/>
        <v>5</v>
      </c>
      <c r="K595" s="228" t="str">
        <f t="shared" ca="1" si="405"/>
        <v xml:space="preserve">   SUPRAESTRUTURA - BARRILETE / CAIXA DÁGUA / CASA DE MÁQUINAS</v>
      </c>
      <c r="L595" s="231">
        <f t="shared" ca="1" si="415"/>
        <v>1</v>
      </c>
      <c r="M595" s="228" t="str">
        <f t="shared" ca="1" si="406"/>
        <v xml:space="preserve">   Armadura</v>
      </c>
      <c r="N595" s="231">
        <f t="shared" ca="1" si="416"/>
        <v>2</v>
      </c>
      <c r="O595" s="228" t="str">
        <f t="shared" ca="1" si="407"/>
        <v>Armacao aco CA-50 ø 8.0mm para supraestrutura corte e dobra em indústria</v>
      </c>
      <c r="P595" s="232" t="str">
        <f>IF(S595="","",IF(Orçamento!$B595="INSUMO",S595,""))</f>
        <v/>
      </c>
      <c r="Q595" s="244" t="str">
        <f t="shared" si="408"/>
        <v>Armacao aco CA-50 ø 8.0mm para supraestrutura corte e dobra em indústria</v>
      </c>
      <c r="R595" s="234">
        <f t="shared" ca="1" si="409"/>
        <v>1421.9397199999999</v>
      </c>
      <c r="S595" s="233" t="s">
        <v>187</v>
      </c>
      <c r="T595" s="242" t="s">
        <v>159</v>
      </c>
      <c r="U595" s="235">
        <v>1421.9397199999999</v>
      </c>
      <c r="V595" s="320" t="s">
        <v>35</v>
      </c>
      <c r="W595" s="236" t="str">
        <f>IFERROR(IF(B595="INSUMO",_xlfn.XLOOKUP(S595,Insumos!A:A,Insumos!C:C),""),"Inserir Preço")</f>
        <v/>
      </c>
      <c r="X595" s="235">
        <f t="shared" ca="1" si="410"/>
        <v>1421.9397199999999</v>
      </c>
      <c r="Y595" s="236">
        <f t="shared" ca="1" si="399"/>
        <v>7.0889300000000004</v>
      </c>
      <c r="Z595" s="237">
        <f t="shared" ca="1" si="401"/>
        <v>10080.031139299599</v>
      </c>
      <c r="AA595" s="238"/>
      <c r="AB595" s="233" t="str">
        <f>IF(B595="insumo",_xlfn.XLOOKUP(S595,Insumos!A:A,Insumos!D:D),"")</f>
        <v/>
      </c>
      <c r="AC595" s="239">
        <f t="shared" ca="1" si="402"/>
        <v>1.4460723686380147E-3</v>
      </c>
      <c r="AE595" s="240">
        <f ca="1">IFERROR(IF(OR(Z595="",Z595=0),"",IF(AF595="","",IF(AF595="R$/mês",Z595/OBRA!$D$12,IF(AF595="R$/m²",Z595/OBRA!$D$10,IF(AF595="R$/apto",Orçamento!Z595/OBRA!$D$11,""))))),"")</f>
        <v>5.1872558262787214</v>
      </c>
      <c r="AF595" s="241" t="s">
        <v>154</v>
      </c>
    </row>
    <row r="596" spans="1:32" s="10" customFormat="1" ht="13.15" hidden="1" customHeight="1" outlineLevel="4" x14ac:dyDescent="0.2">
      <c r="A596" s="227"/>
      <c r="B596" s="228" t="s">
        <v>19</v>
      </c>
      <c r="C596" s="229">
        <f t="shared" si="400"/>
        <v>5</v>
      </c>
      <c r="D596" s="227" t="str">
        <f t="shared" si="411"/>
        <v/>
      </c>
      <c r="E596" s="228" t="str">
        <f t="shared" ca="1" si="412"/>
        <v>04.005.001.002</v>
      </c>
      <c r="F596" s="230">
        <f ca="1">IF($B596="UNIDADE CONSTRUTIVA",OFFSET(F596,-1,0)+1,LARGE(F$10:F595,1))</f>
        <v>2</v>
      </c>
      <c r="G596" s="228" t="str">
        <f t="shared" ca="1" si="403"/>
        <v xml:space="preserve">   GERENCIAMENTO EXECUTIVO</v>
      </c>
      <c r="H596" s="230">
        <f t="shared" ca="1" si="413"/>
        <v>4</v>
      </c>
      <c r="I596" s="228" t="str">
        <f t="shared" ca="1" si="404"/>
        <v xml:space="preserve">   SUPRAESTRUTURA</v>
      </c>
      <c r="J596" s="230">
        <f t="shared" ca="1" si="414"/>
        <v>5</v>
      </c>
      <c r="K596" s="228" t="str">
        <f t="shared" ca="1" si="405"/>
        <v xml:space="preserve">   SUPRAESTRUTURA - BARRILETE / CAIXA DÁGUA / CASA DE MÁQUINAS</v>
      </c>
      <c r="L596" s="231">
        <f t="shared" ca="1" si="415"/>
        <v>1</v>
      </c>
      <c r="M596" s="228" t="str">
        <f t="shared" ca="1" si="406"/>
        <v xml:space="preserve">   Armadura</v>
      </c>
      <c r="N596" s="231">
        <f t="shared" ca="1" si="416"/>
        <v>2</v>
      </c>
      <c r="O596" s="228" t="str">
        <f t="shared" ca="1" si="407"/>
        <v>Armacao aco CA-50 ø 8.0mm para supraestrutura corte e dobra em indústria</v>
      </c>
      <c r="P596" s="232" t="str">
        <f>IF(S596="","",IF(Orçamento!$B596="INSUMO",S596,""))</f>
        <v>ACO CA-50A 8,00 MM (5/16)</v>
      </c>
      <c r="Q596" s="244" t="str">
        <f t="shared" si="408"/>
        <v/>
      </c>
      <c r="R596" s="234">
        <f t="shared" ca="1" si="409"/>
        <v>1421.9397199999999</v>
      </c>
      <c r="S596" s="233" t="s">
        <v>163</v>
      </c>
      <c r="T596" s="242" t="str">
        <f>_xlfn.XLOOKUP(S596,Insumos!$A$3:$A$371,Insumos!$B$3:$B$371)</f>
        <v>KG</v>
      </c>
      <c r="U596" s="235">
        <f ca="1">IF($B596="insumo",R596,"")</f>
        <v>1421.9397199999999</v>
      </c>
      <c r="V596" s="320">
        <v>1.1000000000000001</v>
      </c>
      <c r="W596" s="236">
        <f>IFERROR(IF(B596="INSUMO",_xlfn.XLOOKUP(S596,Insumos!A:A,Insumos!C:C),""),"Inserir Preço")</f>
        <v>5.62</v>
      </c>
      <c r="X596" s="235">
        <f t="shared" ca="1" si="410"/>
        <v>1564.1336919999999</v>
      </c>
      <c r="Y596" s="236">
        <f t="shared" si="399"/>
        <v>6.1820000000000004</v>
      </c>
      <c r="Z596" s="237">
        <f t="shared" ca="1" si="401"/>
        <v>8790.43134904</v>
      </c>
      <c r="AA596" s="238"/>
      <c r="AB596" s="233" t="str">
        <f>IF(B596="insumo",_xlfn.XLOOKUP(S596,Insumos!A:A,Insumos!D:D),"")</f>
        <v>KNORR</v>
      </c>
      <c r="AC596" s="239">
        <f t="shared" ca="1" si="402"/>
        <v>1.2610675211802357E-3</v>
      </c>
      <c r="AE596" s="240">
        <f ca="1">IFERROR(IF(OR(Z596="",Z596=0),"",IF(AF596="","",IF(AF596="R$/mês",Z596/OBRA!$D$12,IF(AF596="R$/m²",Z596/OBRA!$D$10,IF(AF596="R$/apto",Orçamento!Z596/OBRA!$D$11,""))))),"")</f>
        <v>4.5236185881444815</v>
      </c>
      <c r="AF596" s="241" t="s">
        <v>154</v>
      </c>
    </row>
    <row r="597" spans="1:32" s="10" customFormat="1" ht="13.15" hidden="1" customHeight="1" outlineLevel="4" x14ac:dyDescent="0.2">
      <c r="A597" s="227"/>
      <c r="B597" s="228" t="s">
        <v>19</v>
      </c>
      <c r="C597" s="229">
        <f t="shared" si="400"/>
        <v>42</v>
      </c>
      <c r="D597" s="227" t="str">
        <f t="shared" si="411"/>
        <v/>
      </c>
      <c r="E597" s="228" t="str">
        <f t="shared" ca="1" si="412"/>
        <v>04.005.001.002</v>
      </c>
      <c r="F597" s="230">
        <f ca="1">IF($B597="UNIDADE CONSTRUTIVA",OFFSET(F597,-1,0)+1,LARGE(F$10:F596,1))</f>
        <v>2</v>
      </c>
      <c r="G597" s="228" t="str">
        <f t="shared" ca="1" si="403"/>
        <v xml:space="preserve">   GERENCIAMENTO EXECUTIVO</v>
      </c>
      <c r="H597" s="230">
        <f t="shared" ca="1" si="413"/>
        <v>4</v>
      </c>
      <c r="I597" s="228" t="str">
        <f t="shared" ca="1" si="404"/>
        <v xml:space="preserve">   SUPRAESTRUTURA</v>
      </c>
      <c r="J597" s="230">
        <f t="shared" ca="1" si="414"/>
        <v>5</v>
      </c>
      <c r="K597" s="228" t="str">
        <f t="shared" ca="1" si="405"/>
        <v xml:space="preserve">   SUPRAESTRUTURA - BARRILETE / CAIXA DÁGUA / CASA DE MÁQUINAS</v>
      </c>
      <c r="L597" s="231">
        <f t="shared" ca="1" si="415"/>
        <v>1</v>
      </c>
      <c r="M597" s="228" t="str">
        <f t="shared" ca="1" si="406"/>
        <v xml:space="preserve">   Armadura</v>
      </c>
      <c r="N597" s="231">
        <f t="shared" ca="1" si="416"/>
        <v>2</v>
      </c>
      <c r="O597" s="228" t="str">
        <f t="shared" ca="1" si="407"/>
        <v>Armacao aco CA-50 ø 8.0mm para supraestrutura corte e dobra em indústria</v>
      </c>
      <c r="P597" s="232" t="str">
        <f>IF(S597="","",IF(Orçamento!$B597="INSUMO",S597,""))</f>
        <v>ARAME RECOZIDO 18 BWG, 1,25MM (0,010 KG/M)</v>
      </c>
      <c r="Q597" s="244" t="str">
        <f t="shared" si="408"/>
        <v/>
      </c>
      <c r="R597" s="234">
        <f t="shared" ca="1" si="409"/>
        <v>1421.9397199999999</v>
      </c>
      <c r="S597" s="233" t="s">
        <v>161</v>
      </c>
      <c r="T597" s="242" t="str">
        <f>_xlfn.XLOOKUP(S597,Insumos!$A$3:$A$371,Insumos!$B$3:$B$371)</f>
        <v>KG</v>
      </c>
      <c r="U597" s="235">
        <f ca="1">IF($B597="insumo",R597,"")</f>
        <v>1421.9397199999999</v>
      </c>
      <c r="V597" s="320">
        <v>2.5000000000000001E-2</v>
      </c>
      <c r="W597" s="236">
        <f>IFERROR(IF(B597="INSUMO",_xlfn.XLOOKUP(S597,Insumos!A:A,Insumos!C:C),""),"Inserir Preço")</f>
        <v>13.69</v>
      </c>
      <c r="X597" s="235">
        <f t="shared" ca="1" si="410"/>
        <v>35.548493000000001</v>
      </c>
      <c r="Y597" s="236">
        <f t="shared" si="399"/>
        <v>0.34225</v>
      </c>
      <c r="Z597" s="237">
        <f t="shared" ca="1" si="401"/>
        <v>486.65886917</v>
      </c>
      <c r="AA597" s="238"/>
      <c r="AB597" s="233" t="str">
        <f>IF(B597="insumo",_xlfn.XLOOKUP(S597,Insumos!A:A,Insumos!D:D),"")</f>
        <v>GERDAU</v>
      </c>
      <c r="AC597" s="239">
        <f t="shared" ca="1" si="402"/>
        <v>6.9815651750879267E-5</v>
      </c>
      <c r="AE597" s="240">
        <f ca="1">IFERROR(IF(OR(Z597="",Z597=0),"",IF(AF597="","",IF(AF597="R$/mês",Z597/OBRA!$D$12,IF(AF597="R$/m²",Z597/OBRA!$D$10,IF(AF597="R$/apto",Orçamento!Z597/OBRA!$D$11,""))))),"")</f>
        <v>0.25043812063934789</v>
      </c>
      <c r="AF597" s="241" t="s">
        <v>154</v>
      </c>
    </row>
    <row r="598" spans="1:32" s="10" customFormat="1" ht="13.15" hidden="1" customHeight="1" outlineLevel="4" x14ac:dyDescent="0.2">
      <c r="A598" s="227"/>
      <c r="B598" s="228" t="s">
        <v>19</v>
      </c>
      <c r="C598" s="229">
        <f t="shared" si="400"/>
        <v>37</v>
      </c>
      <c r="D598" s="227" t="str">
        <f t="shared" si="411"/>
        <v/>
      </c>
      <c r="E598" s="228" t="str">
        <f t="shared" ca="1" si="412"/>
        <v>04.005.001.002</v>
      </c>
      <c r="F598" s="230">
        <f ca="1">IF($B598="UNIDADE CONSTRUTIVA",OFFSET(F598,-1,0)+1,LARGE(F$10:F597,1))</f>
        <v>2</v>
      </c>
      <c r="G598" s="228" t="str">
        <f t="shared" ca="1" si="403"/>
        <v xml:space="preserve">   GERENCIAMENTO EXECUTIVO</v>
      </c>
      <c r="H598" s="230">
        <f t="shared" ca="1" si="413"/>
        <v>4</v>
      </c>
      <c r="I598" s="228" t="str">
        <f t="shared" ca="1" si="404"/>
        <v xml:space="preserve">   SUPRAESTRUTURA</v>
      </c>
      <c r="J598" s="230">
        <f t="shared" ca="1" si="414"/>
        <v>5</v>
      </c>
      <c r="K598" s="228" t="str">
        <f t="shared" ca="1" si="405"/>
        <v xml:space="preserve">   SUPRAESTRUTURA - BARRILETE / CAIXA DÁGUA / CASA DE MÁQUINAS</v>
      </c>
      <c r="L598" s="231">
        <f t="shared" ca="1" si="415"/>
        <v>1</v>
      </c>
      <c r="M598" s="228" t="str">
        <f t="shared" ca="1" si="406"/>
        <v xml:space="preserve">   Armadura</v>
      </c>
      <c r="N598" s="231">
        <f t="shared" ca="1" si="416"/>
        <v>2</v>
      </c>
      <c r="O598" s="228" t="str">
        <f t="shared" ca="1" si="407"/>
        <v>Armacao aco CA-50 ø 8.0mm para supraestrutura corte e dobra em indústria</v>
      </c>
      <c r="P598" s="232" t="str">
        <f>IF(S598="","",IF(Orçamento!$B598="INSUMO",S598,""))</f>
        <v>ESPACADOR CIRCULAR 40MM</v>
      </c>
      <c r="Q598" s="244" t="str">
        <f t="shared" si="408"/>
        <v/>
      </c>
      <c r="R598" s="234">
        <f t="shared" ca="1" si="409"/>
        <v>1421.9397199999999</v>
      </c>
      <c r="S598" s="233" t="s">
        <v>162</v>
      </c>
      <c r="T598" s="242" t="str">
        <f>_xlfn.XLOOKUP(S598,Insumos!$A$3:$A$371,Insumos!$B$3:$B$371)</f>
        <v>UN</v>
      </c>
      <c r="U598" s="235">
        <f ca="1">IF($B598="insumo",R598,"")</f>
        <v>1421.9397199999999</v>
      </c>
      <c r="V598" s="320">
        <v>0.74299999999999999</v>
      </c>
      <c r="W598" s="236">
        <f>IFERROR(IF(B598="INSUMO",_xlfn.XLOOKUP(S598,Insumos!A:A,Insumos!C:C),""),"Inserir Preço")</f>
        <v>0.76</v>
      </c>
      <c r="X598" s="235">
        <f t="shared" ca="1" si="410"/>
        <v>1056.5012119599999</v>
      </c>
      <c r="Y598" s="236">
        <f t="shared" si="399"/>
        <v>0.56467999999999996</v>
      </c>
      <c r="Z598" s="237">
        <f t="shared" ca="1" si="401"/>
        <v>802.9409210895999</v>
      </c>
      <c r="AA598" s="238"/>
      <c r="AB598" s="233" t="str">
        <f>IF(B598="insumo",_xlfn.XLOOKUP(S598,Insumos!A:A,Insumos!D:D),"")</f>
        <v xml:space="preserve"> </v>
      </c>
      <c r="AC598" s="239">
        <f t="shared" ca="1" si="402"/>
        <v>1.1518919570689993E-4</v>
      </c>
      <c r="AE598" s="240">
        <f ca="1">IFERROR(IF(OR(Z598="",Z598=0),"",IF(AF598="","",IF(AF598="R$/mês",Z598/OBRA!$D$12,IF(AF598="R$/m²",Z598/OBRA!$D$10,IF(AF598="R$/apto",Orçamento!Z598/OBRA!$D$11,""))))),"")</f>
        <v>0.41319911749489246</v>
      </c>
      <c r="AF598" s="241" t="s">
        <v>154</v>
      </c>
    </row>
    <row r="599" spans="1:32" s="10" customFormat="1" ht="13.15" hidden="1" customHeight="1" outlineLevel="4" x14ac:dyDescent="0.2">
      <c r="A599" s="227"/>
      <c r="B599" s="228" t="s">
        <v>4</v>
      </c>
      <c r="C599" s="229">
        <f t="shared" si="400"/>
        <v>5</v>
      </c>
      <c r="D599" s="227" t="str">
        <f t="shared" ca="1" si="411"/>
        <v>04.005.001.003</v>
      </c>
      <c r="E599" s="228" t="str">
        <f t="shared" ca="1" si="412"/>
        <v>04.005.001.003</v>
      </c>
      <c r="F599" s="230">
        <f ca="1">IF($B599="UNIDADE CONSTRUTIVA",OFFSET(F599,-1,0)+1,LARGE(F$10:F598,1))</f>
        <v>2</v>
      </c>
      <c r="G599" s="228" t="str">
        <f t="shared" ca="1" si="403"/>
        <v xml:space="preserve">   GERENCIAMENTO EXECUTIVO</v>
      </c>
      <c r="H599" s="230">
        <f t="shared" ca="1" si="413"/>
        <v>4</v>
      </c>
      <c r="I599" s="228" t="str">
        <f t="shared" ca="1" si="404"/>
        <v xml:space="preserve">   SUPRAESTRUTURA</v>
      </c>
      <c r="J599" s="230">
        <f t="shared" ca="1" si="414"/>
        <v>5</v>
      </c>
      <c r="K599" s="228" t="str">
        <f t="shared" ca="1" si="405"/>
        <v xml:space="preserve">   SUPRAESTRUTURA - BARRILETE / CAIXA DÁGUA / CASA DE MÁQUINAS</v>
      </c>
      <c r="L599" s="231">
        <f t="shared" ca="1" si="415"/>
        <v>1</v>
      </c>
      <c r="M599" s="228" t="str">
        <f t="shared" ca="1" si="406"/>
        <v xml:space="preserve">   Armadura</v>
      </c>
      <c r="N599" s="231">
        <f t="shared" ca="1" si="416"/>
        <v>3</v>
      </c>
      <c r="O599" s="228" t="str">
        <f t="shared" ca="1" si="407"/>
        <v>Armacao aco CA-50 ø 10.0mm para supraestrutura corte e dobra em indústria</v>
      </c>
      <c r="P599" s="232" t="str">
        <f>IF(S599="","",IF(Orçamento!$B599="INSUMO",S599,""))</f>
        <v/>
      </c>
      <c r="Q599" s="244" t="str">
        <f t="shared" si="408"/>
        <v>Armacao aco CA-50 ø 10.0mm para supraestrutura corte e dobra em indústria</v>
      </c>
      <c r="R599" s="234">
        <f t="shared" ca="1" si="409"/>
        <v>503.58728000000002</v>
      </c>
      <c r="S599" s="233" t="s">
        <v>188</v>
      </c>
      <c r="T599" s="242" t="s">
        <v>159</v>
      </c>
      <c r="U599" s="235">
        <v>503.58728000000002</v>
      </c>
      <c r="V599" s="320" t="s">
        <v>35</v>
      </c>
      <c r="W599" s="236" t="str">
        <f>IFERROR(IF(B599="INSUMO",_xlfn.XLOOKUP(S599,Insumos!A:A,Insumos!C:C),""),"Inserir Preço")</f>
        <v/>
      </c>
      <c r="X599" s="235">
        <f t="shared" ca="1" si="410"/>
        <v>503.58728000000002</v>
      </c>
      <c r="Y599" s="236">
        <f t="shared" ca="1" si="399"/>
        <v>6.5920300000000012</v>
      </c>
      <c r="Z599" s="237">
        <f t="shared" ca="1" si="401"/>
        <v>3319.6624573784006</v>
      </c>
      <c r="AA599" s="238"/>
      <c r="AB599" s="233" t="str">
        <f>IF(B599="insumo",_xlfn.XLOOKUP(S599,Insumos!A:A,Insumos!D:D),"")</f>
        <v/>
      </c>
      <c r="AC599" s="239">
        <f t="shared" ca="1" si="402"/>
        <v>4.7623584555250018E-4</v>
      </c>
      <c r="AE599" s="240">
        <f ca="1">IFERROR(IF(OR(Z599="",Z599=0),"",IF(AF599="","",IF(AF599="R$/mês",Z599/OBRA!$D$12,IF(AF599="R$/m²",Z599/OBRA!$D$10,IF(AF599="R$/apto",Orçamento!Z599/OBRA!$D$11,""))))),"")</f>
        <v>1.7083219471593176</v>
      </c>
      <c r="AF599" s="241" t="s">
        <v>154</v>
      </c>
    </row>
    <row r="600" spans="1:32" s="10" customFormat="1" ht="13.15" hidden="1" customHeight="1" outlineLevel="4" x14ac:dyDescent="0.2">
      <c r="A600" s="227"/>
      <c r="B600" s="228" t="s">
        <v>19</v>
      </c>
      <c r="C600" s="229">
        <f t="shared" si="400"/>
        <v>6</v>
      </c>
      <c r="D600" s="227" t="str">
        <f t="shared" si="411"/>
        <v/>
      </c>
      <c r="E600" s="228" t="str">
        <f t="shared" ca="1" si="412"/>
        <v>04.005.001.003</v>
      </c>
      <c r="F600" s="230">
        <f ca="1">IF($B600="UNIDADE CONSTRUTIVA",OFFSET(F600,-1,0)+1,LARGE(F$10:F599,1))</f>
        <v>2</v>
      </c>
      <c r="G600" s="228" t="str">
        <f t="shared" ca="1" si="403"/>
        <v xml:space="preserve">   GERENCIAMENTO EXECUTIVO</v>
      </c>
      <c r="H600" s="230">
        <f t="shared" ca="1" si="413"/>
        <v>4</v>
      </c>
      <c r="I600" s="228" t="str">
        <f t="shared" ca="1" si="404"/>
        <v xml:space="preserve">   SUPRAESTRUTURA</v>
      </c>
      <c r="J600" s="230">
        <f t="shared" ca="1" si="414"/>
        <v>5</v>
      </c>
      <c r="K600" s="228" t="str">
        <f t="shared" ca="1" si="405"/>
        <v xml:space="preserve">   SUPRAESTRUTURA - BARRILETE / CAIXA DÁGUA / CASA DE MÁQUINAS</v>
      </c>
      <c r="L600" s="231">
        <f t="shared" ca="1" si="415"/>
        <v>1</v>
      </c>
      <c r="M600" s="228" t="str">
        <f t="shared" ca="1" si="406"/>
        <v xml:space="preserve">   Armadura</v>
      </c>
      <c r="N600" s="231">
        <f t="shared" ca="1" si="416"/>
        <v>3</v>
      </c>
      <c r="O600" s="228" t="str">
        <f t="shared" ca="1" si="407"/>
        <v>Armacao aco CA-50 ø 10.0mm para supraestrutura corte e dobra em indústria</v>
      </c>
      <c r="P600" s="232" t="str">
        <f>IF(S600="","",IF(Orçamento!$B600="INSUMO",S600,""))</f>
        <v>ACO CA-50A 10,00 MM (3/8)</v>
      </c>
      <c r="Q600" s="244" t="str">
        <f t="shared" si="408"/>
        <v/>
      </c>
      <c r="R600" s="234">
        <f t="shared" ca="1" si="409"/>
        <v>503.58728000000002</v>
      </c>
      <c r="S600" s="233" t="s">
        <v>177</v>
      </c>
      <c r="T600" s="242" t="str">
        <f>_xlfn.XLOOKUP(S600,Insumos!$A$3:$A$371,Insumos!$B$3:$B$371)</f>
        <v>KG</v>
      </c>
      <c r="U600" s="235">
        <f ca="1">IF($B600="insumo",R600,"")</f>
        <v>503.58728000000002</v>
      </c>
      <c r="V600" s="320">
        <v>1.1000000000000001</v>
      </c>
      <c r="W600" s="236">
        <f>IFERROR(IF(B600="INSUMO",_xlfn.XLOOKUP(S600,Insumos!A:A,Insumos!C:C),""),"Inserir Preço")</f>
        <v>5.36</v>
      </c>
      <c r="X600" s="235">
        <f t="shared" ca="1" si="410"/>
        <v>553.94600800000012</v>
      </c>
      <c r="Y600" s="236">
        <f t="shared" si="399"/>
        <v>5.8960000000000008</v>
      </c>
      <c r="Z600" s="237">
        <f t="shared" ca="1" si="401"/>
        <v>2969.1506028800009</v>
      </c>
      <c r="AA600" s="238"/>
      <c r="AB600" s="233" t="str">
        <f>IF(B600="insumo",_xlfn.XLOOKUP(S600,Insumos!A:A,Insumos!D:D),"")</f>
        <v>KNORR</v>
      </c>
      <c r="AC600" s="239">
        <f t="shared" ca="1" si="402"/>
        <v>4.2595172433643983E-4</v>
      </c>
      <c r="AE600" s="240">
        <f ca="1">IFERROR(IF(OR(Z600="",Z600=0),"",IF(AF600="","",IF(AF600="R$/mês",Z600/OBRA!$D$12,IF(AF600="R$/m²",Z600/OBRA!$D$10,IF(AF600="R$/apto",Orçamento!Z600/OBRA!$D$11,""))))),"")</f>
        <v>1.5279460500712736</v>
      </c>
      <c r="AF600" s="241" t="s">
        <v>154</v>
      </c>
    </row>
    <row r="601" spans="1:32" s="10" customFormat="1" ht="13.15" hidden="1" customHeight="1" outlineLevel="4" x14ac:dyDescent="0.2">
      <c r="A601" s="227"/>
      <c r="B601" s="228" t="s">
        <v>19</v>
      </c>
      <c r="C601" s="229">
        <f t="shared" si="400"/>
        <v>42</v>
      </c>
      <c r="D601" s="227" t="str">
        <f t="shared" si="411"/>
        <v/>
      </c>
      <c r="E601" s="228" t="str">
        <f t="shared" ca="1" si="412"/>
        <v>04.005.001.003</v>
      </c>
      <c r="F601" s="230">
        <f ca="1">IF($B601="UNIDADE CONSTRUTIVA",OFFSET(F601,-1,0)+1,LARGE(F$10:F600,1))</f>
        <v>2</v>
      </c>
      <c r="G601" s="228" t="str">
        <f t="shared" ca="1" si="403"/>
        <v xml:space="preserve">   GERENCIAMENTO EXECUTIVO</v>
      </c>
      <c r="H601" s="230">
        <f t="shared" ca="1" si="413"/>
        <v>4</v>
      </c>
      <c r="I601" s="228" t="str">
        <f t="shared" ca="1" si="404"/>
        <v xml:space="preserve">   SUPRAESTRUTURA</v>
      </c>
      <c r="J601" s="230">
        <f t="shared" ca="1" si="414"/>
        <v>5</v>
      </c>
      <c r="K601" s="228" t="str">
        <f t="shared" ca="1" si="405"/>
        <v xml:space="preserve">   SUPRAESTRUTURA - BARRILETE / CAIXA DÁGUA / CASA DE MÁQUINAS</v>
      </c>
      <c r="L601" s="231">
        <f t="shared" ca="1" si="415"/>
        <v>1</v>
      </c>
      <c r="M601" s="228" t="str">
        <f t="shared" ca="1" si="406"/>
        <v xml:space="preserve">   Armadura</v>
      </c>
      <c r="N601" s="231">
        <f t="shared" ca="1" si="416"/>
        <v>3</v>
      </c>
      <c r="O601" s="228" t="str">
        <f t="shared" ca="1" si="407"/>
        <v>Armacao aco CA-50 ø 10.0mm para supraestrutura corte e dobra em indústria</v>
      </c>
      <c r="P601" s="232" t="str">
        <f>IF(S601="","",IF(Orçamento!$B601="INSUMO",S601,""))</f>
        <v>ARAME RECOZIDO 18 BWG, 1,25MM (0,010 KG/M)</v>
      </c>
      <c r="Q601" s="244" t="str">
        <f t="shared" si="408"/>
        <v/>
      </c>
      <c r="R601" s="234">
        <f t="shared" ca="1" si="409"/>
        <v>503.58728000000002</v>
      </c>
      <c r="S601" s="233" t="s">
        <v>161</v>
      </c>
      <c r="T601" s="242" t="str">
        <f>_xlfn.XLOOKUP(S601,Insumos!$A$3:$A$371,Insumos!$B$3:$B$371)</f>
        <v>KG</v>
      </c>
      <c r="U601" s="235">
        <f ca="1">IF($B601="insumo",R601,"")</f>
        <v>503.58728000000002</v>
      </c>
      <c r="V601" s="320">
        <v>2.5000000000000001E-2</v>
      </c>
      <c r="W601" s="236">
        <f>IFERROR(IF(B601="INSUMO",_xlfn.XLOOKUP(S601,Insumos!A:A,Insumos!C:C),""),"Inserir Preço")</f>
        <v>13.69</v>
      </c>
      <c r="X601" s="235">
        <f t="shared" ca="1" si="410"/>
        <v>12.589682000000002</v>
      </c>
      <c r="Y601" s="236">
        <f t="shared" si="399"/>
        <v>0.34225</v>
      </c>
      <c r="Z601" s="237">
        <f t="shared" ca="1" si="401"/>
        <v>172.35274658</v>
      </c>
      <c r="AA601" s="238"/>
      <c r="AB601" s="233" t="str">
        <f>IF(B601="insumo",_xlfn.XLOOKUP(S601,Insumos!A:A,Insumos!D:D),"")</f>
        <v>GERDAU</v>
      </c>
      <c r="AC601" s="239">
        <f t="shared" ca="1" si="402"/>
        <v>2.4725572872141534E-5</v>
      </c>
      <c r="AE601" s="240">
        <f ca="1">IFERROR(IF(OR(Z601="",Z601=0),"",IF(AF601="","",IF(AF601="R$/mês",Z601/OBRA!$D$12,IF(AF601="R$/m²",Z601/OBRA!$D$10,IF(AF601="R$/apto",Orçamento!Z601/OBRA!$D$11,""))))),"")</f>
        <v>8.8693951091739012E-2</v>
      </c>
      <c r="AF601" s="241" t="s">
        <v>154</v>
      </c>
    </row>
    <row r="602" spans="1:32" s="10" customFormat="1" ht="13.15" hidden="1" customHeight="1" outlineLevel="4" x14ac:dyDescent="0.2">
      <c r="A602" s="227"/>
      <c r="B602" s="228" t="s">
        <v>19</v>
      </c>
      <c r="C602" s="229">
        <f t="shared" si="400"/>
        <v>37</v>
      </c>
      <c r="D602" s="227" t="str">
        <f t="shared" si="411"/>
        <v/>
      </c>
      <c r="E602" s="228" t="str">
        <f t="shared" ca="1" si="412"/>
        <v>04.005.001.003</v>
      </c>
      <c r="F602" s="230">
        <f ca="1">IF($B602="UNIDADE CONSTRUTIVA",OFFSET(F602,-1,0)+1,LARGE(F$10:F601,1))</f>
        <v>2</v>
      </c>
      <c r="G602" s="228" t="str">
        <f t="shared" ca="1" si="403"/>
        <v xml:space="preserve">   GERENCIAMENTO EXECUTIVO</v>
      </c>
      <c r="H602" s="230">
        <f t="shared" ca="1" si="413"/>
        <v>4</v>
      </c>
      <c r="I602" s="228" t="str">
        <f t="shared" ca="1" si="404"/>
        <v xml:space="preserve">   SUPRAESTRUTURA</v>
      </c>
      <c r="J602" s="230">
        <f t="shared" ca="1" si="414"/>
        <v>5</v>
      </c>
      <c r="K602" s="228" t="str">
        <f t="shared" ca="1" si="405"/>
        <v xml:space="preserve">   SUPRAESTRUTURA - BARRILETE / CAIXA DÁGUA / CASA DE MÁQUINAS</v>
      </c>
      <c r="L602" s="231">
        <f t="shared" ca="1" si="415"/>
        <v>1</v>
      </c>
      <c r="M602" s="228" t="str">
        <f t="shared" ca="1" si="406"/>
        <v xml:space="preserve">   Armadura</v>
      </c>
      <c r="N602" s="231">
        <f t="shared" ca="1" si="416"/>
        <v>3</v>
      </c>
      <c r="O602" s="228" t="str">
        <f t="shared" ca="1" si="407"/>
        <v>Armacao aco CA-50 ø 10.0mm para supraestrutura corte e dobra em indústria</v>
      </c>
      <c r="P602" s="232" t="str">
        <f>IF(S602="","",IF(Orçamento!$B602="INSUMO",S602,""))</f>
        <v>ESPACADOR CIRCULAR 40MM</v>
      </c>
      <c r="Q602" s="244" t="str">
        <f t="shared" si="408"/>
        <v/>
      </c>
      <c r="R602" s="234">
        <f t="shared" ca="1" si="409"/>
        <v>503.58728000000002</v>
      </c>
      <c r="S602" s="233" t="s">
        <v>162</v>
      </c>
      <c r="T602" s="242" t="str">
        <f>_xlfn.XLOOKUP(S602,Insumos!$A$3:$A$371,Insumos!$B$3:$B$371)</f>
        <v>UN</v>
      </c>
      <c r="U602" s="235">
        <f ca="1">IF($B602="insumo",R602,"")</f>
        <v>503.58728000000002</v>
      </c>
      <c r="V602" s="320">
        <v>0.46550000000000002</v>
      </c>
      <c r="W602" s="236">
        <f>IFERROR(IF(B602="INSUMO",_xlfn.XLOOKUP(S602,Insumos!A:A,Insumos!C:C),""),"Inserir Preço")</f>
        <v>0.76</v>
      </c>
      <c r="X602" s="235">
        <f t="shared" ca="1" si="410"/>
        <v>234.41987884000002</v>
      </c>
      <c r="Y602" s="236">
        <f t="shared" si="399"/>
        <v>0.35378000000000004</v>
      </c>
      <c r="Z602" s="237">
        <f t="shared" ca="1" si="401"/>
        <v>178.15910791840003</v>
      </c>
      <c r="AA602" s="238"/>
      <c r="AB602" s="233" t="str">
        <f>IF(B602="insumo",_xlfn.XLOOKUP(S602,Insumos!A:A,Insumos!D:D),"")</f>
        <v xml:space="preserve"> </v>
      </c>
      <c r="AC602" s="239">
        <f t="shared" ca="1" si="402"/>
        <v>2.5558548343918871E-5</v>
      </c>
      <c r="AE602" s="240">
        <f ca="1">IFERROR(IF(OR(Z602="",Z602=0),"",IF(AF602="","",IF(AF602="R$/mês",Z602/OBRA!$D$12,IF(AF602="R$/m²",Z602/OBRA!$D$10,IF(AF602="R$/apto",Orçamento!Z602/OBRA!$D$11,""))))),"")</f>
        <v>9.1681945996305136E-2</v>
      </c>
      <c r="AF602" s="241" t="s">
        <v>154</v>
      </c>
    </row>
    <row r="603" spans="1:32" s="10" customFormat="1" ht="13.15" hidden="1" customHeight="1" outlineLevel="4" x14ac:dyDescent="0.2">
      <c r="A603" s="227"/>
      <c r="B603" s="228" t="s">
        <v>4</v>
      </c>
      <c r="C603" s="229">
        <f t="shared" si="400"/>
        <v>5</v>
      </c>
      <c r="D603" s="227" t="str">
        <f t="shared" ca="1" si="411"/>
        <v>04.005.001.004</v>
      </c>
      <c r="E603" s="228" t="str">
        <f t="shared" ca="1" si="412"/>
        <v>04.005.001.004</v>
      </c>
      <c r="F603" s="230">
        <f ca="1">IF($B603="UNIDADE CONSTRUTIVA",OFFSET(F603,-1,0)+1,LARGE(F$10:F602,1))</f>
        <v>2</v>
      </c>
      <c r="G603" s="228" t="str">
        <f t="shared" ca="1" si="403"/>
        <v xml:space="preserve">   GERENCIAMENTO EXECUTIVO</v>
      </c>
      <c r="H603" s="230">
        <f t="shared" ca="1" si="413"/>
        <v>4</v>
      </c>
      <c r="I603" s="228" t="str">
        <f t="shared" ca="1" si="404"/>
        <v xml:space="preserve">   SUPRAESTRUTURA</v>
      </c>
      <c r="J603" s="230">
        <f t="shared" ca="1" si="414"/>
        <v>5</v>
      </c>
      <c r="K603" s="228" t="str">
        <f t="shared" ca="1" si="405"/>
        <v xml:space="preserve">   SUPRAESTRUTURA - BARRILETE / CAIXA DÁGUA / CASA DE MÁQUINAS</v>
      </c>
      <c r="L603" s="231">
        <f t="shared" ca="1" si="415"/>
        <v>1</v>
      </c>
      <c r="M603" s="228" t="str">
        <f t="shared" ca="1" si="406"/>
        <v xml:space="preserve">   Armadura</v>
      </c>
      <c r="N603" s="231">
        <f t="shared" ca="1" si="416"/>
        <v>4</v>
      </c>
      <c r="O603" s="228" t="str">
        <f t="shared" ca="1" si="407"/>
        <v>Armacao aco CA-50 ø 12.5mm para supraestrutura corte e dobra em indústria</v>
      </c>
      <c r="P603" s="232" t="str">
        <f>IF(S603="","",IF(Orçamento!$B603="INSUMO",S603,""))</f>
        <v/>
      </c>
      <c r="Q603" s="244" t="str">
        <f t="shared" si="408"/>
        <v>Armacao aco CA-50 ø 12.5mm para supraestrutura corte e dobra em indústria</v>
      </c>
      <c r="R603" s="234">
        <f t="shared" ca="1" si="409"/>
        <v>569</v>
      </c>
      <c r="S603" s="233" t="s">
        <v>189</v>
      </c>
      <c r="T603" s="242" t="s">
        <v>159</v>
      </c>
      <c r="U603" s="235">
        <v>569</v>
      </c>
      <c r="V603" s="320" t="s">
        <v>35</v>
      </c>
      <c r="W603" s="236" t="str">
        <f>IFERROR(IF(B603="INSUMO",_xlfn.XLOOKUP(S603,Insumos!A:A,Insumos!C:C),""),"Inserir Preço")</f>
        <v/>
      </c>
      <c r="X603" s="235">
        <f t="shared" ca="1" si="410"/>
        <v>569</v>
      </c>
      <c r="Y603" s="236">
        <f t="shared" ca="1" si="399"/>
        <v>6.3411700000000009</v>
      </c>
      <c r="Z603" s="237">
        <f t="shared" ca="1" si="401"/>
        <v>3608.1257300000007</v>
      </c>
      <c r="AA603" s="238"/>
      <c r="AB603" s="233" t="str">
        <f>IF(B603="insumo",_xlfn.XLOOKUP(S603,Insumos!A:A,Insumos!D:D),"")</f>
        <v/>
      </c>
      <c r="AC603" s="239">
        <f t="shared" ca="1" si="402"/>
        <v>5.1761853198872235E-4</v>
      </c>
      <c r="AE603" s="240">
        <f ca="1">IFERROR(IF(OR(Z603="",Z603=0),"",IF(AF603="","",IF(AF603="R$/mês",Z603/OBRA!$D$12,IF(AF603="R$/m²",Z603/OBRA!$D$10,IF(AF603="R$/apto",Orçamento!Z603/OBRA!$D$11,""))))),"")</f>
        <v>1.8567672020296109</v>
      </c>
      <c r="AF603" s="241" t="s">
        <v>154</v>
      </c>
    </row>
    <row r="604" spans="1:32" s="10" customFormat="1" ht="13.15" hidden="1" customHeight="1" outlineLevel="4" x14ac:dyDescent="0.2">
      <c r="A604" s="227"/>
      <c r="B604" s="228" t="s">
        <v>19</v>
      </c>
      <c r="C604" s="229">
        <f t="shared" si="400"/>
        <v>5</v>
      </c>
      <c r="D604" s="227" t="str">
        <f t="shared" si="411"/>
        <v/>
      </c>
      <c r="E604" s="228" t="str">
        <f t="shared" ca="1" si="412"/>
        <v>04.005.001.004</v>
      </c>
      <c r="F604" s="230">
        <f ca="1">IF($B604="UNIDADE CONSTRUTIVA",OFFSET(F604,-1,0)+1,LARGE(F$10:F603,1))</f>
        <v>2</v>
      </c>
      <c r="G604" s="228" t="str">
        <f t="shared" ca="1" si="403"/>
        <v xml:space="preserve">   GERENCIAMENTO EXECUTIVO</v>
      </c>
      <c r="H604" s="230">
        <f t="shared" ca="1" si="413"/>
        <v>4</v>
      </c>
      <c r="I604" s="228" t="str">
        <f t="shared" ca="1" si="404"/>
        <v xml:space="preserve">   SUPRAESTRUTURA</v>
      </c>
      <c r="J604" s="230">
        <f t="shared" ca="1" si="414"/>
        <v>5</v>
      </c>
      <c r="K604" s="228" t="str">
        <f t="shared" ca="1" si="405"/>
        <v xml:space="preserve">   SUPRAESTRUTURA - BARRILETE / CAIXA DÁGUA / CASA DE MÁQUINAS</v>
      </c>
      <c r="L604" s="231">
        <f t="shared" ca="1" si="415"/>
        <v>1</v>
      </c>
      <c r="M604" s="228" t="str">
        <f t="shared" ca="1" si="406"/>
        <v xml:space="preserve">   Armadura</v>
      </c>
      <c r="N604" s="231">
        <f t="shared" ca="1" si="416"/>
        <v>4</v>
      </c>
      <c r="O604" s="228" t="str">
        <f t="shared" ca="1" si="407"/>
        <v>Armacao aco CA-50 ø 12.5mm para supraestrutura corte e dobra em indústria</v>
      </c>
      <c r="P604" s="232" t="str">
        <f>IF(S604="","",IF(Orçamento!$B604="INSUMO",S604,""))</f>
        <v>ACO CA-50A 12,50 MM (1/2)</v>
      </c>
      <c r="Q604" s="244" t="str">
        <f t="shared" si="408"/>
        <v/>
      </c>
      <c r="R604" s="234">
        <f t="shared" ca="1" si="409"/>
        <v>569</v>
      </c>
      <c r="S604" s="233" t="s">
        <v>164</v>
      </c>
      <c r="T604" s="242" t="str">
        <f>_xlfn.XLOOKUP(S604,Insumos!$A$3:$A$371,Insumos!$B$3:$B$371)</f>
        <v>KG</v>
      </c>
      <c r="U604" s="235">
        <f ca="1">IF($B604="insumo",R604,"")</f>
        <v>569</v>
      </c>
      <c r="V604" s="320">
        <v>1.1000000000000001</v>
      </c>
      <c r="W604" s="236">
        <f>IFERROR(IF(B604="INSUMO",_xlfn.XLOOKUP(S604,Insumos!A:A,Insumos!C:C),""),"Inserir Preço")</f>
        <v>5.2</v>
      </c>
      <c r="X604" s="235">
        <f t="shared" ca="1" si="410"/>
        <v>625.90000000000009</v>
      </c>
      <c r="Y604" s="236">
        <f t="shared" si="399"/>
        <v>5.7200000000000006</v>
      </c>
      <c r="Z604" s="237">
        <f t="shared" ca="1" si="401"/>
        <v>3254.6800000000007</v>
      </c>
      <c r="AA604" s="238"/>
      <c r="AB604" s="233" t="str">
        <f>IF(B604="insumo",_xlfn.XLOOKUP(S604,Insumos!A:A,Insumos!D:D),"")</f>
        <v>KNORR</v>
      </c>
      <c r="AC604" s="239">
        <f t="shared" ca="1" si="402"/>
        <v>4.6691351958321446E-4</v>
      </c>
      <c r="AE604" s="240">
        <f ca="1">IFERROR(IF(OR(Z604="",Z604=0),"",IF(AF604="","",IF(AF604="R$/mês",Z604/OBRA!$D$12,IF(AF604="R$/m²",Z604/OBRA!$D$10,IF(AF604="R$/apto",Orçamento!Z604/OBRA!$D$11,""))))),"")</f>
        <v>1.6748815117098854</v>
      </c>
      <c r="AF604" s="241" t="s">
        <v>154</v>
      </c>
    </row>
    <row r="605" spans="1:32" s="10" customFormat="1" ht="13.15" hidden="1" customHeight="1" outlineLevel="4" x14ac:dyDescent="0.2">
      <c r="A605" s="227"/>
      <c r="B605" s="228" t="s">
        <v>19</v>
      </c>
      <c r="C605" s="229">
        <f t="shared" si="400"/>
        <v>42</v>
      </c>
      <c r="D605" s="227" t="str">
        <f t="shared" si="411"/>
        <v/>
      </c>
      <c r="E605" s="228" t="str">
        <f t="shared" ca="1" si="412"/>
        <v>04.005.001.004</v>
      </c>
      <c r="F605" s="230">
        <f ca="1">IF($B605="UNIDADE CONSTRUTIVA",OFFSET(F605,-1,0)+1,LARGE(F$10:F604,1))</f>
        <v>2</v>
      </c>
      <c r="G605" s="228" t="str">
        <f t="shared" ca="1" si="403"/>
        <v xml:space="preserve">   GERENCIAMENTO EXECUTIVO</v>
      </c>
      <c r="H605" s="230">
        <f t="shared" ca="1" si="413"/>
        <v>4</v>
      </c>
      <c r="I605" s="228" t="str">
        <f t="shared" ca="1" si="404"/>
        <v xml:space="preserve">   SUPRAESTRUTURA</v>
      </c>
      <c r="J605" s="230">
        <f t="shared" ca="1" si="414"/>
        <v>5</v>
      </c>
      <c r="K605" s="228" t="str">
        <f t="shared" ca="1" si="405"/>
        <v xml:space="preserve">   SUPRAESTRUTURA - BARRILETE / CAIXA DÁGUA / CASA DE MÁQUINAS</v>
      </c>
      <c r="L605" s="231">
        <f t="shared" ca="1" si="415"/>
        <v>1</v>
      </c>
      <c r="M605" s="228" t="str">
        <f t="shared" ca="1" si="406"/>
        <v xml:space="preserve">   Armadura</v>
      </c>
      <c r="N605" s="231">
        <f t="shared" ca="1" si="416"/>
        <v>4</v>
      </c>
      <c r="O605" s="228" t="str">
        <f t="shared" ca="1" si="407"/>
        <v>Armacao aco CA-50 ø 12.5mm para supraestrutura corte e dobra em indústria</v>
      </c>
      <c r="P605" s="232" t="str">
        <f>IF(S605="","",IF(Orçamento!$B605="INSUMO",S605,""))</f>
        <v>ARAME RECOZIDO 18 BWG, 1,25MM (0,010 KG/M)</v>
      </c>
      <c r="Q605" s="244" t="str">
        <f t="shared" si="408"/>
        <v/>
      </c>
      <c r="R605" s="234">
        <f t="shared" ca="1" si="409"/>
        <v>569</v>
      </c>
      <c r="S605" s="233" t="s">
        <v>161</v>
      </c>
      <c r="T605" s="242" t="str">
        <f>_xlfn.XLOOKUP(S605,Insumos!$A$3:$A$371,Insumos!$B$3:$B$371)</f>
        <v>KG</v>
      </c>
      <c r="U605" s="235">
        <f ca="1">IF($B605="insumo",R605,"")</f>
        <v>569</v>
      </c>
      <c r="V605" s="320">
        <v>2.5000000000000001E-2</v>
      </c>
      <c r="W605" s="236">
        <f>IFERROR(IF(B605="INSUMO",_xlfn.XLOOKUP(S605,Insumos!A:A,Insumos!C:C),""),"Inserir Preço")</f>
        <v>13.69</v>
      </c>
      <c r="X605" s="235">
        <f t="shared" ca="1" si="410"/>
        <v>14.225000000000001</v>
      </c>
      <c r="Y605" s="236">
        <f t="shared" si="399"/>
        <v>0.34225</v>
      </c>
      <c r="Z605" s="237">
        <f t="shared" ca="1" si="401"/>
        <v>194.74025</v>
      </c>
      <c r="AA605" s="238"/>
      <c r="AB605" s="233" t="str">
        <f>IF(B605="insumo",_xlfn.XLOOKUP(S605,Insumos!A:A,Insumos!D:D),"")</f>
        <v>GERDAU</v>
      </c>
      <c r="AC605" s="239">
        <f t="shared" ca="1" si="402"/>
        <v>2.7937264349187956E-5</v>
      </c>
      <c r="AE605" s="240">
        <f ca="1">IFERROR(IF(OR(Z605="",Z605=0),"",IF(AF605="","",IF(AF605="R$/mês",Z605/OBRA!$D$12,IF(AF605="R$/m²",Z605/OBRA!$D$10,IF(AF605="R$/apto",Orçamento!Z605/OBRA!$D$11,""))))),"")</f>
        <v>0.10021471982215178</v>
      </c>
      <c r="AF605" s="241" t="s">
        <v>154</v>
      </c>
    </row>
    <row r="606" spans="1:32" s="10" customFormat="1" ht="13.15" hidden="1" customHeight="1" outlineLevel="4" x14ac:dyDescent="0.2">
      <c r="A606" s="227"/>
      <c r="B606" s="228" t="s">
        <v>19</v>
      </c>
      <c r="C606" s="229">
        <f t="shared" si="400"/>
        <v>37</v>
      </c>
      <c r="D606" s="227" t="str">
        <f t="shared" si="411"/>
        <v/>
      </c>
      <c r="E606" s="228" t="str">
        <f t="shared" ca="1" si="412"/>
        <v>04.005.001.004</v>
      </c>
      <c r="F606" s="230">
        <f ca="1">IF($B606="UNIDADE CONSTRUTIVA",OFFSET(F606,-1,0)+1,LARGE(F$10:F605,1))</f>
        <v>2</v>
      </c>
      <c r="G606" s="228" t="str">
        <f t="shared" ca="1" si="403"/>
        <v xml:space="preserve">   GERENCIAMENTO EXECUTIVO</v>
      </c>
      <c r="H606" s="230">
        <f t="shared" ca="1" si="413"/>
        <v>4</v>
      </c>
      <c r="I606" s="228" t="str">
        <f t="shared" ca="1" si="404"/>
        <v xml:space="preserve">   SUPRAESTRUTURA</v>
      </c>
      <c r="J606" s="230">
        <f t="shared" ca="1" si="414"/>
        <v>5</v>
      </c>
      <c r="K606" s="228" t="str">
        <f t="shared" ca="1" si="405"/>
        <v xml:space="preserve">   SUPRAESTRUTURA - BARRILETE / CAIXA DÁGUA / CASA DE MÁQUINAS</v>
      </c>
      <c r="L606" s="231">
        <f t="shared" ca="1" si="415"/>
        <v>1</v>
      </c>
      <c r="M606" s="228" t="str">
        <f t="shared" ca="1" si="406"/>
        <v xml:space="preserve">   Armadura</v>
      </c>
      <c r="N606" s="231">
        <f t="shared" ca="1" si="416"/>
        <v>4</v>
      </c>
      <c r="O606" s="228" t="str">
        <f t="shared" ca="1" si="407"/>
        <v>Armacao aco CA-50 ø 12.5mm para supraestrutura corte e dobra em indústria</v>
      </c>
      <c r="P606" s="232" t="str">
        <f>IF(S606="","",IF(Orçamento!$B606="INSUMO",S606,""))</f>
        <v>ESPACADOR CIRCULAR 40MM</v>
      </c>
      <c r="Q606" s="244" t="str">
        <f t="shared" si="408"/>
        <v/>
      </c>
      <c r="R606" s="234">
        <f t="shared" ca="1" si="409"/>
        <v>569</v>
      </c>
      <c r="S606" s="233" t="s">
        <v>162</v>
      </c>
      <c r="T606" s="242" t="str">
        <f>_xlfn.XLOOKUP(S606,Insumos!$A$3:$A$371,Insumos!$B$3:$B$371)</f>
        <v>UN</v>
      </c>
      <c r="U606" s="235">
        <f ca="1">IF($B606="insumo",R606,"")</f>
        <v>569</v>
      </c>
      <c r="V606" s="320">
        <v>0.36699999999999999</v>
      </c>
      <c r="W606" s="236">
        <f>IFERROR(IF(B606="INSUMO",_xlfn.XLOOKUP(S606,Insumos!A:A,Insumos!C:C),""),"Inserir Preço")</f>
        <v>0.76</v>
      </c>
      <c r="X606" s="235">
        <f t="shared" ca="1" si="410"/>
        <v>208.82300000000001</v>
      </c>
      <c r="Y606" s="236">
        <f t="shared" si="399"/>
        <v>0.27892</v>
      </c>
      <c r="Z606" s="237">
        <f t="shared" ca="1" si="401"/>
        <v>158.70547999999999</v>
      </c>
      <c r="AA606" s="238"/>
      <c r="AB606" s="233" t="str">
        <f>IF(B606="insumo",_xlfn.XLOOKUP(S606,Insumos!A:A,Insumos!D:D),"")</f>
        <v xml:space="preserve"> </v>
      </c>
      <c r="AC606" s="239">
        <f t="shared" ca="1" si="402"/>
        <v>2.2767748056319956E-5</v>
      </c>
      <c r="AE606" s="240">
        <f ca="1">IFERROR(IF(OR(Z606="",Z606=0),"",IF(AF606="","",IF(AF606="R$/mês",Z606/OBRA!$D$12,IF(AF606="R$/m²",Z606/OBRA!$D$10,IF(AF606="R$/apto",Orçamento!Z606/OBRA!$D$11,""))))),"")</f>
        <v>8.1670970497573631E-2</v>
      </c>
      <c r="AF606" s="241" t="s">
        <v>154</v>
      </c>
    </row>
    <row r="607" spans="1:32" s="10" customFormat="1" ht="13.15" hidden="1" customHeight="1" outlineLevel="4" x14ac:dyDescent="0.2">
      <c r="A607" s="227"/>
      <c r="B607" s="228" t="s">
        <v>4</v>
      </c>
      <c r="C607" s="229">
        <f t="shared" si="400"/>
        <v>5</v>
      </c>
      <c r="D607" s="227" t="str">
        <f t="shared" ca="1" si="411"/>
        <v>04.005.001.005</v>
      </c>
      <c r="E607" s="228" t="str">
        <f t="shared" ca="1" si="412"/>
        <v>04.005.001.005</v>
      </c>
      <c r="F607" s="230">
        <f ca="1">IF($B607="UNIDADE CONSTRUTIVA",OFFSET(F607,-1,0)+1,LARGE(F$10:F606,1))</f>
        <v>2</v>
      </c>
      <c r="G607" s="228" t="str">
        <f t="shared" ca="1" si="403"/>
        <v xml:space="preserve">   GERENCIAMENTO EXECUTIVO</v>
      </c>
      <c r="H607" s="230">
        <f t="shared" ca="1" si="413"/>
        <v>4</v>
      </c>
      <c r="I607" s="228" t="str">
        <f t="shared" ca="1" si="404"/>
        <v xml:space="preserve">   SUPRAESTRUTURA</v>
      </c>
      <c r="J607" s="230">
        <f t="shared" ca="1" si="414"/>
        <v>5</v>
      </c>
      <c r="K607" s="228" t="str">
        <f t="shared" ca="1" si="405"/>
        <v xml:space="preserve">   SUPRAESTRUTURA - BARRILETE / CAIXA DÁGUA / CASA DE MÁQUINAS</v>
      </c>
      <c r="L607" s="231">
        <f t="shared" ca="1" si="415"/>
        <v>1</v>
      </c>
      <c r="M607" s="228" t="str">
        <f t="shared" ca="1" si="406"/>
        <v xml:space="preserve">   Armadura</v>
      </c>
      <c r="N607" s="231">
        <f t="shared" ca="1" si="416"/>
        <v>5</v>
      </c>
      <c r="O607" s="228" t="str">
        <f t="shared" ca="1" si="407"/>
        <v>Armacao aco CA-50 ø 16.0mm para supraestrutura corte e dobra em indústria</v>
      </c>
      <c r="P607" s="232" t="str">
        <f>IF(S607="","",IF(Orçamento!$B607="INSUMO",S607,""))</f>
        <v/>
      </c>
      <c r="Q607" s="244" t="str">
        <f t="shared" si="408"/>
        <v>Armacao aco CA-50 ø 16.0mm para supraestrutura corte e dobra em indústria</v>
      </c>
      <c r="R607" s="234">
        <f t="shared" ca="1" si="409"/>
        <v>785.10945000000004</v>
      </c>
      <c r="S607" s="233" t="s">
        <v>190</v>
      </c>
      <c r="T607" s="242" t="s">
        <v>159</v>
      </c>
      <c r="U607" s="235">
        <v>785.10945000000004</v>
      </c>
      <c r="V607" s="320" t="s">
        <v>35</v>
      </c>
      <c r="W607" s="236" t="str">
        <f>IFERROR(IF(B607="INSUMO",_xlfn.XLOOKUP(S607,Insumos!A:A,Insumos!C:C),""),"Inserir Preço")</f>
        <v/>
      </c>
      <c r="X607" s="235">
        <f t="shared" ca="1" si="410"/>
        <v>785.10945000000004</v>
      </c>
      <c r="Y607" s="236">
        <f t="shared" ca="1" si="399"/>
        <v>6.3602700000000008</v>
      </c>
      <c r="Z607" s="237">
        <f t="shared" ca="1" si="401"/>
        <v>4993.5080815515012</v>
      </c>
      <c r="AA607" s="238"/>
      <c r="AB607" s="233" t="str">
        <f>IF(B607="insumo",_xlfn.XLOOKUP(S607,Insumos!A:A,Insumos!D:D),"")</f>
        <v/>
      </c>
      <c r="AC607" s="239">
        <f t="shared" ca="1" si="402"/>
        <v>7.1636426113302562E-4</v>
      </c>
      <c r="AE607" s="240">
        <f ca="1">IFERROR(IF(OR(Z607="",Z607=0),"",IF(AF607="","",IF(AF607="R$/mês",Z607/OBRA!$D$12,IF(AF607="R$/m²",Z607/OBRA!$D$10,IF(AF607="R$/apto",Orçamento!Z607/OBRA!$D$11,""))))),"")</f>
        <v>2.5696948284822185</v>
      </c>
      <c r="AF607" s="241" t="s">
        <v>154</v>
      </c>
    </row>
    <row r="608" spans="1:32" s="10" customFormat="1" ht="13.15" hidden="1" customHeight="1" outlineLevel="4" x14ac:dyDescent="0.2">
      <c r="A608" s="227"/>
      <c r="B608" s="228" t="s">
        <v>19</v>
      </c>
      <c r="C608" s="229">
        <f t="shared" si="400"/>
        <v>6</v>
      </c>
      <c r="D608" s="227" t="str">
        <f t="shared" si="411"/>
        <v/>
      </c>
      <c r="E608" s="228" t="str">
        <f t="shared" ca="1" si="412"/>
        <v>04.005.001.005</v>
      </c>
      <c r="F608" s="230">
        <f ca="1">IF($B608="UNIDADE CONSTRUTIVA",OFFSET(F608,-1,0)+1,LARGE(F$10:F607,1))</f>
        <v>2</v>
      </c>
      <c r="G608" s="228" t="str">
        <f t="shared" ca="1" si="403"/>
        <v xml:space="preserve">   GERENCIAMENTO EXECUTIVO</v>
      </c>
      <c r="H608" s="230">
        <f t="shared" ca="1" si="413"/>
        <v>4</v>
      </c>
      <c r="I608" s="228" t="str">
        <f t="shared" ca="1" si="404"/>
        <v xml:space="preserve">   SUPRAESTRUTURA</v>
      </c>
      <c r="J608" s="230">
        <f t="shared" ca="1" si="414"/>
        <v>5</v>
      </c>
      <c r="K608" s="228" t="str">
        <f t="shared" ca="1" si="405"/>
        <v xml:space="preserve">   SUPRAESTRUTURA - BARRILETE / CAIXA DÁGUA / CASA DE MÁQUINAS</v>
      </c>
      <c r="L608" s="231">
        <f t="shared" ca="1" si="415"/>
        <v>1</v>
      </c>
      <c r="M608" s="228" t="str">
        <f t="shared" ca="1" si="406"/>
        <v xml:space="preserve">   Armadura</v>
      </c>
      <c r="N608" s="231">
        <f t="shared" ca="1" si="416"/>
        <v>5</v>
      </c>
      <c r="O608" s="228" t="str">
        <f t="shared" ca="1" si="407"/>
        <v>Armacao aco CA-50 ø 16.0mm para supraestrutura corte e dobra em indústria</v>
      </c>
      <c r="P608" s="232" t="str">
        <f>IF(S608="","",IF(Orçamento!$B608="INSUMO",S608,""))</f>
        <v>ACO CA-50A 16,00 MM (5/8)</v>
      </c>
      <c r="Q608" s="244" t="str">
        <f t="shared" si="408"/>
        <v/>
      </c>
      <c r="R608" s="234">
        <f t="shared" ca="1" si="409"/>
        <v>785.10945000000004</v>
      </c>
      <c r="S608" s="233" t="s">
        <v>178</v>
      </c>
      <c r="T608" s="242" t="str">
        <f>_xlfn.XLOOKUP(S608,Insumos!$A$3:$A$371,Insumos!$B$3:$B$371)</f>
        <v>KG</v>
      </c>
      <c r="U608" s="235">
        <f ca="1">IF($B608="insumo",R608,"")</f>
        <v>785.10945000000004</v>
      </c>
      <c r="V608" s="320">
        <v>1.1000000000000001</v>
      </c>
      <c r="W608" s="236">
        <f>IFERROR(IF(B608="INSUMO",_xlfn.XLOOKUP(S608,Insumos!A:A,Insumos!C:C),""),"Inserir Preço")</f>
        <v>5.2</v>
      </c>
      <c r="X608" s="235">
        <f t="shared" ca="1" si="410"/>
        <v>863.62039500000014</v>
      </c>
      <c r="Y608" s="236">
        <f t="shared" si="399"/>
        <v>5.7200000000000006</v>
      </c>
      <c r="Z608" s="237">
        <f t="shared" ca="1" si="401"/>
        <v>4490.826054000001</v>
      </c>
      <c r="AA608" s="238"/>
      <c r="AB608" s="233" t="str">
        <f>IF(B608="insumo",_xlfn.XLOOKUP(S608,Insumos!A:A,Insumos!D:D),"")</f>
        <v>KNORR</v>
      </c>
      <c r="AC608" s="239">
        <f t="shared" ca="1" si="402"/>
        <v>6.4424994122590814E-4</v>
      </c>
      <c r="AE608" s="240">
        <f ca="1">IFERROR(IF(OR(Z608="",Z608=0),"",IF(AF608="","",IF(AF608="R$/mês",Z608/OBRA!$D$12,IF(AF608="R$/m²",Z608/OBRA!$D$10,IF(AF608="R$/apto",Orçamento!Z608/OBRA!$D$11,""))))),"")</f>
        <v>2.3110110764037199</v>
      </c>
      <c r="AF608" s="241" t="s">
        <v>154</v>
      </c>
    </row>
    <row r="609" spans="1:32" s="10" customFormat="1" ht="13.15" hidden="1" customHeight="1" outlineLevel="4" x14ac:dyDescent="0.2">
      <c r="A609" s="227"/>
      <c r="B609" s="228" t="s">
        <v>19</v>
      </c>
      <c r="C609" s="229">
        <f t="shared" si="400"/>
        <v>42</v>
      </c>
      <c r="D609" s="227" t="str">
        <f t="shared" si="411"/>
        <v/>
      </c>
      <c r="E609" s="228" t="str">
        <f t="shared" ca="1" si="412"/>
        <v>04.005.001.005</v>
      </c>
      <c r="F609" s="230">
        <f ca="1">IF($B609="UNIDADE CONSTRUTIVA",OFFSET(F609,-1,0)+1,LARGE(F$10:F608,1))</f>
        <v>2</v>
      </c>
      <c r="G609" s="228" t="str">
        <f t="shared" ca="1" si="403"/>
        <v xml:space="preserve">   GERENCIAMENTO EXECUTIVO</v>
      </c>
      <c r="H609" s="230">
        <f t="shared" ca="1" si="413"/>
        <v>4</v>
      </c>
      <c r="I609" s="228" t="str">
        <f t="shared" ca="1" si="404"/>
        <v xml:space="preserve">   SUPRAESTRUTURA</v>
      </c>
      <c r="J609" s="230">
        <f t="shared" ca="1" si="414"/>
        <v>5</v>
      </c>
      <c r="K609" s="228" t="str">
        <f t="shared" ca="1" si="405"/>
        <v xml:space="preserve">   SUPRAESTRUTURA - BARRILETE / CAIXA DÁGUA / CASA DE MÁQUINAS</v>
      </c>
      <c r="L609" s="231">
        <f t="shared" ca="1" si="415"/>
        <v>1</v>
      </c>
      <c r="M609" s="228" t="str">
        <f t="shared" ca="1" si="406"/>
        <v xml:space="preserve">   Armadura</v>
      </c>
      <c r="N609" s="231">
        <f t="shared" ca="1" si="416"/>
        <v>5</v>
      </c>
      <c r="O609" s="228" t="str">
        <f t="shared" ca="1" si="407"/>
        <v>Armacao aco CA-50 ø 16.0mm para supraestrutura corte e dobra em indústria</v>
      </c>
      <c r="P609" s="232" t="str">
        <f>IF(S609="","",IF(Orçamento!$B609="INSUMO",S609,""))</f>
        <v>ARAME RECOZIDO 18 BWG, 1,25MM (0,010 KG/M)</v>
      </c>
      <c r="Q609" s="244" t="str">
        <f t="shared" si="408"/>
        <v/>
      </c>
      <c r="R609" s="234">
        <f t="shared" ca="1" si="409"/>
        <v>785.10945000000004</v>
      </c>
      <c r="S609" s="233" t="s">
        <v>161</v>
      </c>
      <c r="T609" s="242" t="str">
        <f>_xlfn.XLOOKUP(S609,Insumos!$A$3:$A$371,Insumos!$B$3:$B$371)</f>
        <v>KG</v>
      </c>
      <c r="U609" s="235">
        <f ca="1">IF($B609="insumo",R609,"")</f>
        <v>785.10945000000004</v>
      </c>
      <c r="V609" s="320">
        <v>3.5000000000000003E-2</v>
      </c>
      <c r="W609" s="236">
        <f>IFERROR(IF(B609="INSUMO",_xlfn.XLOOKUP(S609,Insumos!A:A,Insumos!C:C),""),"Inserir Preço")</f>
        <v>13.69</v>
      </c>
      <c r="X609" s="235">
        <f t="shared" ca="1" si="410"/>
        <v>27.478830750000004</v>
      </c>
      <c r="Y609" s="236">
        <f t="shared" si="399"/>
        <v>0.47915000000000002</v>
      </c>
      <c r="Z609" s="237">
        <f t="shared" ca="1" si="401"/>
        <v>376.18519296750003</v>
      </c>
      <c r="AA609" s="238"/>
      <c r="AB609" s="233" t="str">
        <f>IF(B609="insumo",_xlfn.XLOOKUP(S609,Insumos!A:A,Insumos!D:D),"")</f>
        <v>GERDAU</v>
      </c>
      <c r="AC609" s="239">
        <f t="shared" ca="1" si="402"/>
        <v>5.3967195688530389E-5</v>
      </c>
      <c r="AE609" s="240">
        <f ca="1">IFERROR(IF(OR(Z609="",Z609=0),"",IF(AF609="","",IF(AF609="R$/mês",Z609/OBRA!$D$12,IF(AF609="R$/m²",Z609/OBRA!$D$10,IF(AF609="R$/apto",Orçamento!Z609/OBRA!$D$11,""))))),"")</f>
        <v>0.19358757994035705</v>
      </c>
      <c r="AF609" s="241" t="s">
        <v>154</v>
      </c>
    </row>
    <row r="610" spans="1:32" s="10" customFormat="1" ht="13.15" hidden="1" customHeight="1" outlineLevel="4" x14ac:dyDescent="0.2">
      <c r="A610" s="227"/>
      <c r="B610" s="228" t="s">
        <v>19</v>
      </c>
      <c r="C610" s="229">
        <f t="shared" si="400"/>
        <v>37</v>
      </c>
      <c r="D610" s="227" t="str">
        <f t="shared" si="411"/>
        <v/>
      </c>
      <c r="E610" s="228" t="str">
        <f t="shared" ca="1" si="412"/>
        <v>04.005.001.005</v>
      </c>
      <c r="F610" s="230">
        <f ca="1">IF($B610="UNIDADE CONSTRUTIVA",OFFSET(F610,-1,0)+1,LARGE(F$10:F609,1))</f>
        <v>2</v>
      </c>
      <c r="G610" s="228" t="str">
        <f t="shared" ca="1" si="403"/>
        <v xml:space="preserve">   GERENCIAMENTO EXECUTIVO</v>
      </c>
      <c r="H610" s="230">
        <f t="shared" ca="1" si="413"/>
        <v>4</v>
      </c>
      <c r="I610" s="228" t="str">
        <f t="shared" ca="1" si="404"/>
        <v xml:space="preserve">   SUPRAESTRUTURA</v>
      </c>
      <c r="J610" s="230">
        <f t="shared" ca="1" si="414"/>
        <v>5</v>
      </c>
      <c r="K610" s="228" t="str">
        <f t="shared" ca="1" si="405"/>
        <v xml:space="preserve">   SUPRAESTRUTURA - BARRILETE / CAIXA DÁGUA / CASA DE MÁQUINAS</v>
      </c>
      <c r="L610" s="231">
        <f t="shared" ca="1" si="415"/>
        <v>1</v>
      </c>
      <c r="M610" s="228" t="str">
        <f t="shared" ca="1" si="406"/>
        <v xml:space="preserve">   Armadura</v>
      </c>
      <c r="N610" s="231">
        <f t="shared" ca="1" si="416"/>
        <v>5</v>
      </c>
      <c r="O610" s="228" t="str">
        <f t="shared" ca="1" si="407"/>
        <v>Armacao aco CA-50 ø 16.0mm para supraestrutura corte e dobra em indústria</v>
      </c>
      <c r="P610" s="232" t="str">
        <f>IF(S610="","",IF(Orçamento!$B610="INSUMO",S610,""))</f>
        <v>ESPACADOR CIRCULAR 40MM</v>
      </c>
      <c r="Q610" s="244" t="str">
        <f t="shared" si="408"/>
        <v/>
      </c>
      <c r="R610" s="234">
        <f t="shared" ca="1" si="409"/>
        <v>785.10945000000004</v>
      </c>
      <c r="S610" s="233" t="s">
        <v>162</v>
      </c>
      <c r="T610" s="242" t="str">
        <f>_xlfn.XLOOKUP(S610,Insumos!$A$3:$A$371,Insumos!$B$3:$B$371)</f>
        <v>UN</v>
      </c>
      <c r="U610" s="235">
        <f ca="1">IF($B610="insumo",R610,"")</f>
        <v>785.10945000000004</v>
      </c>
      <c r="V610" s="320">
        <v>0.21199999999999999</v>
      </c>
      <c r="W610" s="236">
        <f>IFERROR(IF(B610="INSUMO",_xlfn.XLOOKUP(S610,Insumos!A:A,Insumos!C:C),""),"Inserir Preço")</f>
        <v>0.76</v>
      </c>
      <c r="X610" s="235">
        <f t="shared" ca="1" si="410"/>
        <v>166.44320340000002</v>
      </c>
      <c r="Y610" s="236">
        <f t="shared" si="399"/>
        <v>0.16111999999999999</v>
      </c>
      <c r="Z610" s="237">
        <f t="shared" ca="1" si="401"/>
        <v>126.49683458400001</v>
      </c>
      <c r="AA610" s="238"/>
      <c r="AB610" s="233" t="str">
        <f>IF(B610="insumo",_xlfn.XLOOKUP(S610,Insumos!A:A,Insumos!D:D),"")</f>
        <v xml:space="preserve"> </v>
      </c>
      <c r="AC610" s="239">
        <f t="shared" ca="1" si="402"/>
        <v>1.8147124218587115E-5</v>
      </c>
      <c r="AE610" s="240">
        <f ca="1">IFERROR(IF(OR(Z610="",Z610=0),"",IF(AF610="","",IF(AF610="R$/mês",Z610/OBRA!$D$12,IF(AF610="R$/m²",Z610/OBRA!$D$10,IF(AF610="R$/apto",Orçamento!Z610/OBRA!$D$11,""))))),"")</f>
        <v>6.5096172138141145E-2</v>
      </c>
      <c r="AF610" s="241" t="s">
        <v>154</v>
      </c>
    </row>
    <row r="611" spans="1:32" s="10" customFormat="1" ht="13.15" hidden="1" customHeight="1" outlineLevel="4" x14ac:dyDescent="0.2">
      <c r="A611" s="227"/>
      <c r="B611" s="228" t="s">
        <v>4</v>
      </c>
      <c r="C611" s="229">
        <f t="shared" si="400"/>
        <v>5</v>
      </c>
      <c r="D611" s="227" t="str">
        <f t="shared" ca="1" si="411"/>
        <v>04.005.001.006</v>
      </c>
      <c r="E611" s="228" t="str">
        <f t="shared" ca="1" si="412"/>
        <v>04.005.001.006</v>
      </c>
      <c r="F611" s="230">
        <f ca="1">IF($B611="UNIDADE CONSTRUTIVA",OFFSET(F611,-1,0)+1,LARGE(F$10:F610,1))</f>
        <v>2</v>
      </c>
      <c r="G611" s="228" t="str">
        <f t="shared" ca="1" si="403"/>
        <v xml:space="preserve">   GERENCIAMENTO EXECUTIVO</v>
      </c>
      <c r="H611" s="230">
        <f t="shared" ca="1" si="413"/>
        <v>4</v>
      </c>
      <c r="I611" s="228" t="str">
        <f t="shared" ca="1" si="404"/>
        <v xml:space="preserve">   SUPRAESTRUTURA</v>
      </c>
      <c r="J611" s="230">
        <f t="shared" ca="1" si="414"/>
        <v>5</v>
      </c>
      <c r="K611" s="228" t="str">
        <f t="shared" ca="1" si="405"/>
        <v xml:space="preserve">   SUPRAESTRUTURA - BARRILETE / CAIXA DÁGUA / CASA DE MÁQUINAS</v>
      </c>
      <c r="L611" s="231">
        <f t="shared" ca="1" si="415"/>
        <v>1</v>
      </c>
      <c r="M611" s="228" t="str">
        <f t="shared" ca="1" si="406"/>
        <v xml:space="preserve">   Armadura</v>
      </c>
      <c r="N611" s="231">
        <f t="shared" ca="1" si="416"/>
        <v>6</v>
      </c>
      <c r="O611" s="228" t="str">
        <f t="shared" ca="1" si="407"/>
        <v>Armacao aco CA-50 ø 20.0mm para supraestrutura corte e dobra em indústria</v>
      </c>
      <c r="P611" s="232" t="str">
        <f>IF(S611="","",IF(Orçamento!$B611="INSUMO",S611,""))</f>
        <v/>
      </c>
      <c r="Q611" s="244" t="str">
        <f t="shared" si="408"/>
        <v>Armacao aco CA-50 ø 20.0mm para supraestrutura corte e dobra em indústria</v>
      </c>
      <c r="R611" s="234">
        <f t="shared" ca="1" si="409"/>
        <v>211.25049999999999</v>
      </c>
      <c r="S611" s="233" t="s">
        <v>191</v>
      </c>
      <c r="T611" s="242" t="s">
        <v>159</v>
      </c>
      <c r="U611" s="235">
        <v>211.25049999999999</v>
      </c>
      <c r="V611" s="320" t="s">
        <v>35</v>
      </c>
      <c r="W611" s="236" t="str">
        <f>IFERROR(IF(B611="INSUMO",_xlfn.XLOOKUP(S611,Insumos!A:A,Insumos!C:C),""),"Inserir Preço")</f>
        <v/>
      </c>
      <c r="X611" s="235">
        <f t="shared" ca="1" si="410"/>
        <v>211.25049999999999</v>
      </c>
      <c r="Y611" s="236">
        <f t="shared" ca="1" si="399"/>
        <v>6.148130000000001</v>
      </c>
      <c r="Z611" s="237">
        <f t="shared" ca="1" si="401"/>
        <v>1298.7955365650002</v>
      </c>
      <c r="AA611" s="238"/>
      <c r="AB611" s="233" t="str">
        <f>IF(B611="insumo",_xlfn.XLOOKUP(S611,Insumos!A:A,Insumos!D:D),"")</f>
        <v/>
      </c>
      <c r="AC611" s="239">
        <f t="shared" ca="1" si="402"/>
        <v>1.8632406110478868E-4</v>
      </c>
      <c r="AE611" s="240">
        <f ca="1">IFERROR(IF(OR(Z611="",Z611=0),"",IF(AF611="","",IF(AF611="R$/mês",Z611/OBRA!$D$12,IF(AF611="R$/m²",Z611/OBRA!$D$10,IF(AF611="R$/apto",Orçamento!Z611/OBRA!$D$11,""))))),"")</f>
        <v>0.66836943468606402</v>
      </c>
      <c r="AF611" s="241" t="s">
        <v>154</v>
      </c>
    </row>
    <row r="612" spans="1:32" s="10" customFormat="1" ht="13.15" hidden="1" customHeight="1" outlineLevel="4" x14ac:dyDescent="0.2">
      <c r="A612" s="227"/>
      <c r="B612" s="228" t="s">
        <v>19</v>
      </c>
      <c r="C612" s="229">
        <f t="shared" si="400"/>
        <v>5</v>
      </c>
      <c r="D612" s="227" t="str">
        <f t="shared" si="411"/>
        <v/>
      </c>
      <c r="E612" s="228" t="str">
        <f t="shared" ca="1" si="412"/>
        <v>04.005.001.006</v>
      </c>
      <c r="F612" s="230">
        <f ca="1">IF($B612="UNIDADE CONSTRUTIVA",OFFSET(F612,-1,0)+1,LARGE(F$10:F611,1))</f>
        <v>2</v>
      </c>
      <c r="G612" s="228" t="str">
        <f t="shared" ca="1" si="403"/>
        <v xml:space="preserve">   GERENCIAMENTO EXECUTIVO</v>
      </c>
      <c r="H612" s="230">
        <f t="shared" ca="1" si="413"/>
        <v>4</v>
      </c>
      <c r="I612" s="228" t="str">
        <f t="shared" ca="1" si="404"/>
        <v xml:space="preserve">   SUPRAESTRUTURA</v>
      </c>
      <c r="J612" s="230">
        <f t="shared" ca="1" si="414"/>
        <v>5</v>
      </c>
      <c r="K612" s="228" t="str">
        <f t="shared" ca="1" si="405"/>
        <v xml:space="preserve">   SUPRAESTRUTURA - BARRILETE / CAIXA DÁGUA / CASA DE MÁQUINAS</v>
      </c>
      <c r="L612" s="231">
        <f t="shared" ca="1" si="415"/>
        <v>1</v>
      </c>
      <c r="M612" s="228" t="str">
        <f t="shared" ca="1" si="406"/>
        <v xml:space="preserve">   Armadura</v>
      </c>
      <c r="N612" s="231">
        <f t="shared" ca="1" si="416"/>
        <v>6</v>
      </c>
      <c r="O612" s="228" t="str">
        <f t="shared" ca="1" si="407"/>
        <v>Armacao aco CA-50 ø 20.0mm para supraestrutura corte e dobra em indústria</v>
      </c>
      <c r="P612" s="232" t="str">
        <f>IF(S612="","",IF(Orçamento!$B612="INSUMO",S612,""))</f>
        <v>ACO CA-50A 20,00 MM (3/4)</v>
      </c>
      <c r="Q612" s="244" t="str">
        <f t="shared" si="408"/>
        <v/>
      </c>
      <c r="R612" s="234">
        <f t="shared" ca="1" si="409"/>
        <v>211.25049999999999</v>
      </c>
      <c r="S612" s="233" t="s">
        <v>165</v>
      </c>
      <c r="T612" s="242" t="str">
        <f>_xlfn.XLOOKUP(S612,Insumos!$A$3:$A$371,Insumos!$B$3:$B$371)</f>
        <v>KG</v>
      </c>
      <c r="U612" s="235">
        <f ca="1">IF($B612="insumo",R612,"")</f>
        <v>211.25049999999999</v>
      </c>
      <c r="V612" s="320">
        <v>1.1000000000000001</v>
      </c>
      <c r="W612" s="236">
        <f>IFERROR(IF(B612="INSUMO",_xlfn.XLOOKUP(S612,Insumos!A:A,Insumos!C:C),""),"Inserir Preço")</f>
        <v>5.2</v>
      </c>
      <c r="X612" s="235">
        <f t="shared" ca="1" si="410"/>
        <v>232.37555</v>
      </c>
      <c r="Y612" s="236">
        <f t="shared" si="399"/>
        <v>5.7200000000000006</v>
      </c>
      <c r="Z612" s="237">
        <f t="shared" ca="1" si="401"/>
        <v>1208.35286</v>
      </c>
      <c r="AA612" s="238"/>
      <c r="AB612" s="233" t="str">
        <f>IF(B612="insumo",_xlfn.XLOOKUP(S612,Insumos!A:A,Insumos!D:D),"")</f>
        <v>KNORR</v>
      </c>
      <c r="AC612" s="239">
        <f t="shared" ca="1" si="402"/>
        <v>1.7334923456715961E-4</v>
      </c>
      <c r="AE612" s="240">
        <f ca="1">IFERROR(IF(OR(Z612="",Z612=0),"",IF(AF612="","",IF(AF612="R$/mês",Z612/OBRA!$D$12,IF(AF612="R$/m²",Z612/OBRA!$D$10,IF(AF612="R$/apto",Orçamento!Z612/OBRA!$D$11,""))))),"")</f>
        <v>0.62182698908518286</v>
      </c>
      <c r="AF612" s="241" t="s">
        <v>154</v>
      </c>
    </row>
    <row r="613" spans="1:32" s="10" customFormat="1" ht="13.15" hidden="1" customHeight="1" outlineLevel="4" x14ac:dyDescent="0.2">
      <c r="A613" s="227"/>
      <c r="B613" s="228" t="s">
        <v>19</v>
      </c>
      <c r="C613" s="229">
        <f t="shared" si="400"/>
        <v>42</v>
      </c>
      <c r="D613" s="227" t="str">
        <f t="shared" si="411"/>
        <v/>
      </c>
      <c r="E613" s="228" t="str">
        <f t="shared" ca="1" si="412"/>
        <v>04.005.001.006</v>
      </c>
      <c r="F613" s="230">
        <f ca="1">IF($B613="UNIDADE CONSTRUTIVA",OFFSET(F613,-1,0)+1,LARGE(F$10:F612,1))</f>
        <v>2</v>
      </c>
      <c r="G613" s="228" t="str">
        <f t="shared" ca="1" si="403"/>
        <v xml:space="preserve">   GERENCIAMENTO EXECUTIVO</v>
      </c>
      <c r="H613" s="230">
        <f t="shared" ca="1" si="413"/>
        <v>4</v>
      </c>
      <c r="I613" s="228" t="str">
        <f t="shared" ca="1" si="404"/>
        <v xml:space="preserve">   SUPRAESTRUTURA</v>
      </c>
      <c r="J613" s="230">
        <f t="shared" ca="1" si="414"/>
        <v>5</v>
      </c>
      <c r="K613" s="228" t="str">
        <f t="shared" ca="1" si="405"/>
        <v xml:space="preserve">   SUPRAESTRUTURA - BARRILETE / CAIXA DÁGUA / CASA DE MÁQUINAS</v>
      </c>
      <c r="L613" s="231">
        <f t="shared" ca="1" si="415"/>
        <v>1</v>
      </c>
      <c r="M613" s="228" t="str">
        <f t="shared" ca="1" si="406"/>
        <v xml:space="preserve">   Armadura</v>
      </c>
      <c r="N613" s="231">
        <f t="shared" ca="1" si="416"/>
        <v>6</v>
      </c>
      <c r="O613" s="228" t="str">
        <f t="shared" ca="1" si="407"/>
        <v>Armacao aco CA-50 ø 20.0mm para supraestrutura corte e dobra em indústria</v>
      </c>
      <c r="P613" s="232" t="str">
        <f>IF(S613="","",IF(Orçamento!$B613="INSUMO",S613,""))</f>
        <v>ARAME RECOZIDO 18 BWG, 1,25MM (0,010 KG/M)</v>
      </c>
      <c r="Q613" s="244" t="str">
        <f t="shared" si="408"/>
        <v/>
      </c>
      <c r="R613" s="234">
        <f t="shared" ca="1" si="409"/>
        <v>211.25049999999999</v>
      </c>
      <c r="S613" s="233" t="s">
        <v>161</v>
      </c>
      <c r="T613" s="242" t="str">
        <f>_xlfn.XLOOKUP(S613,Insumos!$A$3:$A$371,Insumos!$B$3:$B$371)</f>
        <v>KG</v>
      </c>
      <c r="U613" s="235">
        <f ca="1">IF($B613="insumo",R613,"")</f>
        <v>211.25049999999999</v>
      </c>
      <c r="V613" s="320">
        <v>2.5000000000000001E-2</v>
      </c>
      <c r="W613" s="236">
        <f>IFERROR(IF(B613="INSUMO",_xlfn.XLOOKUP(S613,Insumos!A:A,Insumos!C:C),""),"Inserir Preço")</f>
        <v>13.69</v>
      </c>
      <c r="X613" s="235">
        <f t="shared" ca="1" si="410"/>
        <v>5.2812625000000004</v>
      </c>
      <c r="Y613" s="236">
        <f t="shared" si="399"/>
        <v>0.34225</v>
      </c>
      <c r="Z613" s="237">
        <f t="shared" ca="1" si="401"/>
        <v>72.300483624999998</v>
      </c>
      <c r="AA613" s="238"/>
      <c r="AB613" s="233" t="str">
        <f>IF(B613="insumo",_xlfn.XLOOKUP(S613,Insumos!A:A,Insumos!D:D),"")</f>
        <v>GERDAU</v>
      </c>
      <c r="AC613" s="239">
        <f t="shared" ca="1" si="402"/>
        <v>1.0372163554302514E-5</v>
      </c>
      <c r="AE613" s="240">
        <f ca="1">IFERROR(IF(OR(Z613="",Z613=0),"",IF(AF613="","",IF(AF613="R$/mês",Z613/OBRA!$D$12,IF(AF613="R$/m²",Z613/OBRA!$D$10,IF(AF613="R$/apto",Orçamento!Z613/OBRA!$D$11,""))))),"")</f>
        <v>3.7206343883637034E-2</v>
      </c>
      <c r="AF613" s="241" t="s">
        <v>154</v>
      </c>
    </row>
    <row r="614" spans="1:32" s="10" customFormat="1" ht="13.15" hidden="1" customHeight="1" outlineLevel="4" x14ac:dyDescent="0.2">
      <c r="A614" s="227"/>
      <c r="B614" s="228" t="s">
        <v>19</v>
      </c>
      <c r="C614" s="229">
        <f t="shared" si="400"/>
        <v>37</v>
      </c>
      <c r="D614" s="227" t="str">
        <f t="shared" si="411"/>
        <v/>
      </c>
      <c r="E614" s="228" t="str">
        <f t="shared" ca="1" si="412"/>
        <v>04.005.001.006</v>
      </c>
      <c r="F614" s="230">
        <f ca="1">IF($B614="UNIDADE CONSTRUTIVA",OFFSET(F614,-1,0)+1,LARGE(F$10:F613,1))</f>
        <v>2</v>
      </c>
      <c r="G614" s="228" t="str">
        <f t="shared" ca="1" si="403"/>
        <v xml:space="preserve">   GERENCIAMENTO EXECUTIVO</v>
      </c>
      <c r="H614" s="230">
        <f t="shared" ca="1" si="413"/>
        <v>4</v>
      </c>
      <c r="I614" s="228" t="str">
        <f t="shared" ca="1" si="404"/>
        <v xml:space="preserve">   SUPRAESTRUTURA</v>
      </c>
      <c r="J614" s="230">
        <f t="shared" ca="1" si="414"/>
        <v>5</v>
      </c>
      <c r="K614" s="228" t="str">
        <f t="shared" ca="1" si="405"/>
        <v xml:space="preserve">   SUPRAESTRUTURA - BARRILETE / CAIXA DÁGUA / CASA DE MÁQUINAS</v>
      </c>
      <c r="L614" s="231">
        <f t="shared" ca="1" si="415"/>
        <v>1</v>
      </c>
      <c r="M614" s="228" t="str">
        <f t="shared" ca="1" si="406"/>
        <v xml:space="preserve">   Armadura</v>
      </c>
      <c r="N614" s="231">
        <f t="shared" ca="1" si="416"/>
        <v>6</v>
      </c>
      <c r="O614" s="228" t="str">
        <f t="shared" ca="1" si="407"/>
        <v>Armacao aco CA-50 ø 20.0mm para supraestrutura corte e dobra em indústria</v>
      </c>
      <c r="P614" s="232" t="str">
        <f>IF(S614="","",IF(Orçamento!$B614="INSUMO",S614,""))</f>
        <v>ESPACADOR CIRCULAR 40MM</v>
      </c>
      <c r="Q614" s="244" t="str">
        <f t="shared" si="408"/>
        <v/>
      </c>
      <c r="R614" s="234">
        <f t="shared" ca="1" si="409"/>
        <v>211.25049999999999</v>
      </c>
      <c r="S614" s="233" t="s">
        <v>162</v>
      </c>
      <c r="T614" s="242" t="str">
        <f>_xlfn.XLOOKUP(S614,Insumos!$A$3:$A$371,Insumos!$B$3:$B$371)</f>
        <v>UN</v>
      </c>
      <c r="U614" s="235">
        <f ca="1">IF($B614="insumo",R614,"")</f>
        <v>211.25049999999999</v>
      </c>
      <c r="V614" s="320">
        <v>0.113</v>
      </c>
      <c r="W614" s="236">
        <f>IFERROR(IF(B614="INSUMO",_xlfn.XLOOKUP(S614,Insumos!A:A,Insumos!C:C),""),"Inserir Preço")</f>
        <v>0.76</v>
      </c>
      <c r="X614" s="235">
        <f t="shared" ca="1" si="410"/>
        <v>23.871306499999999</v>
      </c>
      <c r="Y614" s="236">
        <f t="shared" si="399"/>
        <v>8.5879999999999998E-2</v>
      </c>
      <c r="Z614" s="237">
        <f t="shared" ca="1" si="401"/>
        <v>18.142192940000001</v>
      </c>
      <c r="AA614" s="238"/>
      <c r="AB614" s="233" t="str">
        <f>IF(B614="insumo",_xlfn.XLOOKUP(S614,Insumos!A:A,Insumos!D:D),"")</f>
        <v xml:space="preserve"> </v>
      </c>
      <c r="AC614" s="239">
        <f t="shared" ca="1" si="402"/>
        <v>2.6026629833265157E-6</v>
      </c>
      <c r="AE614" s="240">
        <f ca="1">IFERROR(IF(OR(Z614="",Z614=0),"",IF(AF614="","",IF(AF614="R$/mês",Z614/OBRA!$D$12,IF(AF614="R$/m²",Z614/OBRA!$D$10,IF(AF614="R$/apto",Orçamento!Z614/OBRA!$D$11,""))))),"")</f>
        <v>9.3361017172439702E-3</v>
      </c>
      <c r="AF614" s="241" t="s">
        <v>154</v>
      </c>
    </row>
    <row r="615" spans="1:32" s="10" customFormat="1" ht="13.15" hidden="1" customHeight="1" outlineLevel="4" x14ac:dyDescent="0.2">
      <c r="A615" s="227"/>
      <c r="B615" s="228" t="s">
        <v>4</v>
      </c>
      <c r="C615" s="229">
        <f t="shared" si="400"/>
        <v>5</v>
      </c>
      <c r="D615" s="227" t="str">
        <f t="shared" ca="1" si="411"/>
        <v>04.005.001.007</v>
      </c>
      <c r="E615" s="228" t="str">
        <f t="shared" ca="1" si="412"/>
        <v>04.005.001.007</v>
      </c>
      <c r="F615" s="230">
        <f ca="1">IF($B615="UNIDADE CONSTRUTIVA",OFFSET(F615,-1,0)+1,LARGE(F$10:F614,1))</f>
        <v>2</v>
      </c>
      <c r="G615" s="228" t="str">
        <f t="shared" ca="1" si="403"/>
        <v xml:space="preserve">   GERENCIAMENTO EXECUTIVO</v>
      </c>
      <c r="H615" s="230">
        <f t="shared" ca="1" si="413"/>
        <v>4</v>
      </c>
      <c r="I615" s="228" t="str">
        <f t="shared" ca="1" si="404"/>
        <v xml:space="preserve">   SUPRAESTRUTURA</v>
      </c>
      <c r="J615" s="230">
        <f t="shared" ca="1" si="414"/>
        <v>5</v>
      </c>
      <c r="K615" s="228" t="str">
        <f t="shared" ca="1" si="405"/>
        <v xml:space="preserve">   SUPRAESTRUTURA - BARRILETE / CAIXA DÁGUA / CASA DE MÁQUINAS</v>
      </c>
      <c r="L615" s="231">
        <f t="shared" ca="1" si="415"/>
        <v>1</v>
      </c>
      <c r="M615" s="228" t="str">
        <f t="shared" ca="1" si="406"/>
        <v xml:space="preserve">   Armadura</v>
      </c>
      <c r="N615" s="231">
        <f t="shared" ca="1" si="416"/>
        <v>7</v>
      </c>
      <c r="O615" s="228" t="str">
        <f t="shared" ca="1" si="407"/>
        <v>Armacao aco CA-50 ø 25.0mm para supraestrutura corte e dobra em indústria</v>
      </c>
      <c r="P615" s="232" t="str">
        <f>IF(S615="","",IF(Orçamento!$B615="INSUMO",S615,""))</f>
        <v/>
      </c>
      <c r="Q615" s="244" t="str">
        <f t="shared" si="408"/>
        <v>Armacao aco CA-50 ø 25.0mm para supraestrutura corte e dobra em indústria</v>
      </c>
      <c r="R615" s="234">
        <f t="shared" ca="1" si="409"/>
        <v>103.01425</v>
      </c>
      <c r="S615" s="233" t="s">
        <v>192</v>
      </c>
      <c r="T615" s="242" t="s">
        <v>159</v>
      </c>
      <c r="U615" s="235">
        <v>103.01425</v>
      </c>
      <c r="V615" s="320" t="s">
        <v>35</v>
      </c>
      <c r="W615" s="236" t="str">
        <f>IFERROR(IF(B615="INSUMO",_xlfn.XLOOKUP(S615,Insumos!A:A,Insumos!C:C),""),"Inserir Preço")</f>
        <v/>
      </c>
      <c r="X615" s="235">
        <f t="shared" ca="1" si="410"/>
        <v>103.01425</v>
      </c>
      <c r="Y615" s="236">
        <f t="shared" ca="1" si="399"/>
        <v>7.4571300000000003</v>
      </c>
      <c r="Z615" s="237">
        <f t="shared" ca="1" si="401"/>
        <v>768.19065410250005</v>
      </c>
      <c r="AA615" s="238"/>
      <c r="AB615" s="233" t="str">
        <f>IF(B615="insumo",_xlfn.XLOOKUP(S615,Insumos!A:A,Insumos!D:D),"")</f>
        <v/>
      </c>
      <c r="AC615" s="239">
        <f t="shared" ca="1" si="402"/>
        <v>1.1020395308230913E-4</v>
      </c>
      <c r="AE615" s="240">
        <f ca="1">IFERROR(IF(OR(Z615="",Z615=0),"",IF(AF615="","",IF(AF615="R$/mês",Z615/OBRA!$D$12,IF(AF615="R$/m²",Z615/OBRA!$D$10,IF(AF615="R$/apto",Orçamento!Z615/OBRA!$D$11,""))))),"")</f>
        <v>0.39531638257051405</v>
      </c>
      <c r="AF615" s="241" t="s">
        <v>154</v>
      </c>
    </row>
    <row r="616" spans="1:32" s="10" customFormat="1" ht="13.15" hidden="1" customHeight="1" outlineLevel="4" x14ac:dyDescent="0.2">
      <c r="A616" s="227"/>
      <c r="B616" s="228" t="s">
        <v>19</v>
      </c>
      <c r="C616" s="229">
        <f t="shared" si="400"/>
        <v>5</v>
      </c>
      <c r="D616" s="227" t="str">
        <f t="shared" si="411"/>
        <v/>
      </c>
      <c r="E616" s="228" t="str">
        <f t="shared" ca="1" si="412"/>
        <v>04.005.001.007</v>
      </c>
      <c r="F616" s="230">
        <f ca="1">IF($B616="UNIDADE CONSTRUTIVA",OFFSET(F616,-1,0)+1,LARGE(F$10:F615,1))</f>
        <v>2</v>
      </c>
      <c r="G616" s="228" t="str">
        <f t="shared" ca="1" si="403"/>
        <v xml:space="preserve">   GERENCIAMENTO EXECUTIVO</v>
      </c>
      <c r="H616" s="230">
        <f t="shared" ca="1" si="413"/>
        <v>4</v>
      </c>
      <c r="I616" s="228" t="str">
        <f t="shared" ca="1" si="404"/>
        <v xml:space="preserve">   SUPRAESTRUTURA</v>
      </c>
      <c r="J616" s="230">
        <f t="shared" ca="1" si="414"/>
        <v>5</v>
      </c>
      <c r="K616" s="228" t="str">
        <f t="shared" ca="1" si="405"/>
        <v xml:space="preserve">   SUPRAESTRUTURA - BARRILETE / CAIXA DÁGUA / CASA DE MÁQUINAS</v>
      </c>
      <c r="L616" s="231">
        <f t="shared" ca="1" si="415"/>
        <v>1</v>
      </c>
      <c r="M616" s="228" t="str">
        <f t="shared" ca="1" si="406"/>
        <v xml:space="preserve">   Armadura</v>
      </c>
      <c r="N616" s="231">
        <f t="shared" ca="1" si="416"/>
        <v>7</v>
      </c>
      <c r="O616" s="228" t="str">
        <f t="shared" ca="1" si="407"/>
        <v>Armacao aco CA-50 ø 25.0mm para supraestrutura corte e dobra em indústria</v>
      </c>
      <c r="P616" s="232" t="str">
        <f>IF(S616="","",IF(Orçamento!$B616="INSUMO",S616,""))</f>
        <v>Aco CA-50A 25,00 mm (1)</v>
      </c>
      <c r="Q616" s="244" t="str">
        <f t="shared" si="408"/>
        <v/>
      </c>
      <c r="R616" s="234">
        <f t="shared" ca="1" si="409"/>
        <v>103.01425</v>
      </c>
      <c r="S616" s="233" t="s">
        <v>180</v>
      </c>
      <c r="T616" s="242" t="str">
        <f>_xlfn.XLOOKUP(S616,Insumos!$A$3:$A$371,Insumos!$B$3:$B$371)</f>
        <v>KG</v>
      </c>
      <c r="U616" s="235">
        <f ca="1">IF($B616="insumo",R616,"")</f>
        <v>103.01425</v>
      </c>
      <c r="V616" s="320">
        <v>1.1000000000000001</v>
      </c>
      <c r="W616" s="236">
        <f>IFERROR(IF(B616="INSUMO",_xlfn.XLOOKUP(S616,Insumos!A:A,Insumos!C:C),""),"Inserir Preço")</f>
        <v>6.39</v>
      </c>
      <c r="X616" s="235">
        <f t="shared" ca="1" si="410"/>
        <v>113.31567500000001</v>
      </c>
      <c r="Y616" s="236">
        <f t="shared" ref="Y616:Y679" si="417">IF(B616="insumo",W616*V616,IF(B616="serviço",SUMIFS(Y:Y,B:B,"insumo",E:E,E616,I:I,I616),""))</f>
        <v>7.0289999999999999</v>
      </c>
      <c r="Z616" s="237">
        <f t="shared" ca="1" si="401"/>
        <v>724.08716325</v>
      </c>
      <c r="AA616" s="238"/>
      <c r="AB616" s="233" t="str">
        <f>IF(B616="insumo",_xlfn.XLOOKUP(S616,Insumos!A:A,Insumos!D:D),"")</f>
        <v>GERDAU</v>
      </c>
      <c r="AC616" s="239">
        <f t="shared" ca="1" si="402"/>
        <v>1.0387690521897175E-4</v>
      </c>
      <c r="AE616" s="240">
        <f ca="1">IFERROR(IF(OR(Z616="",Z616=0),"",IF(AF616="","",IF(AF616="R$/mês",Z616/OBRA!$D$12,IF(AF616="R$/m²",Z616/OBRA!$D$10,IF(AF616="R$/apto",Orçamento!Z616/OBRA!$D$11,""))))),"")</f>
        <v>0.37262041202019319</v>
      </c>
      <c r="AF616" s="241" t="s">
        <v>154</v>
      </c>
    </row>
    <row r="617" spans="1:32" s="10" customFormat="1" ht="13.15" hidden="1" customHeight="1" outlineLevel="4" x14ac:dyDescent="0.2">
      <c r="A617" s="227"/>
      <c r="B617" s="228" t="s">
        <v>19</v>
      </c>
      <c r="C617" s="229">
        <f t="shared" si="400"/>
        <v>42</v>
      </c>
      <c r="D617" s="227" t="str">
        <f t="shared" si="411"/>
        <v/>
      </c>
      <c r="E617" s="228" t="str">
        <f t="shared" ca="1" si="412"/>
        <v>04.005.001.007</v>
      </c>
      <c r="F617" s="230">
        <f ca="1">IF($B617="UNIDADE CONSTRUTIVA",OFFSET(F617,-1,0)+1,LARGE(F$10:F616,1))</f>
        <v>2</v>
      </c>
      <c r="G617" s="228" t="str">
        <f t="shared" ca="1" si="403"/>
        <v xml:space="preserve">   GERENCIAMENTO EXECUTIVO</v>
      </c>
      <c r="H617" s="230">
        <f t="shared" ca="1" si="413"/>
        <v>4</v>
      </c>
      <c r="I617" s="228" t="str">
        <f t="shared" ca="1" si="404"/>
        <v xml:space="preserve">   SUPRAESTRUTURA</v>
      </c>
      <c r="J617" s="230">
        <f t="shared" ca="1" si="414"/>
        <v>5</v>
      </c>
      <c r="K617" s="228" t="str">
        <f t="shared" ca="1" si="405"/>
        <v xml:space="preserve">   SUPRAESTRUTURA - BARRILETE / CAIXA DÁGUA / CASA DE MÁQUINAS</v>
      </c>
      <c r="L617" s="231">
        <f t="shared" ca="1" si="415"/>
        <v>1</v>
      </c>
      <c r="M617" s="228" t="str">
        <f t="shared" ca="1" si="406"/>
        <v xml:space="preserve">   Armadura</v>
      </c>
      <c r="N617" s="231">
        <f t="shared" ca="1" si="416"/>
        <v>7</v>
      </c>
      <c r="O617" s="228" t="str">
        <f t="shared" ca="1" si="407"/>
        <v>Armacao aco CA-50 ø 25.0mm para supraestrutura corte e dobra em indústria</v>
      </c>
      <c r="P617" s="232" t="str">
        <f>IF(S617="","",IF(Orçamento!$B617="INSUMO",S617,""))</f>
        <v>ARAME RECOZIDO 18 BWG, 1,25MM (0,010 KG/M)</v>
      </c>
      <c r="Q617" s="244" t="str">
        <f t="shared" si="408"/>
        <v/>
      </c>
      <c r="R617" s="234">
        <f t="shared" ca="1" si="409"/>
        <v>103.01425</v>
      </c>
      <c r="S617" s="233" t="s">
        <v>161</v>
      </c>
      <c r="T617" s="242" t="str">
        <f>_xlfn.XLOOKUP(S617,Insumos!$A$3:$A$371,Insumos!$B$3:$B$371)</f>
        <v>KG</v>
      </c>
      <c r="U617" s="235">
        <f ca="1">IF($B617="insumo",R617,"")</f>
        <v>103.01425</v>
      </c>
      <c r="V617" s="320">
        <v>2.5000000000000001E-2</v>
      </c>
      <c r="W617" s="236">
        <f>IFERROR(IF(B617="INSUMO",_xlfn.XLOOKUP(S617,Insumos!A:A,Insumos!C:C),""),"Inserir Preço")</f>
        <v>13.69</v>
      </c>
      <c r="X617" s="235">
        <f t="shared" ca="1" si="410"/>
        <v>2.5753562500000005</v>
      </c>
      <c r="Y617" s="236">
        <f t="shared" si="417"/>
        <v>0.34225</v>
      </c>
      <c r="Z617" s="237">
        <f t="shared" ca="1" si="401"/>
        <v>35.256627062500002</v>
      </c>
      <c r="AA617" s="238"/>
      <c r="AB617" s="233" t="str">
        <f>IF(B617="insumo",_xlfn.XLOOKUP(S617,Insumos!A:A,Insumos!D:D),"")</f>
        <v>GERDAU</v>
      </c>
      <c r="AC617" s="239">
        <f t="shared" ca="1" si="402"/>
        <v>5.0578845939953169E-6</v>
      </c>
      <c r="AE617" s="240">
        <f ca="1">IFERROR(IF(OR(Z617="",Z617=0),"",IF(AF617="","",IF(AF617="R$/mês",Z617/OBRA!$D$12,IF(AF617="R$/m²",Z617/OBRA!$D$10,IF(AF617="R$/apto",Orçamento!Z617/OBRA!$D$11,""))))),"")</f>
        <v>1.8143311426079261E-2</v>
      </c>
      <c r="AF617" s="241" t="s">
        <v>154</v>
      </c>
    </row>
    <row r="618" spans="1:32" s="10" customFormat="1" ht="13.15" hidden="1" customHeight="1" outlineLevel="4" x14ac:dyDescent="0.2">
      <c r="A618" s="227"/>
      <c r="B618" s="228" t="s">
        <v>19</v>
      </c>
      <c r="C618" s="229">
        <f t="shared" si="400"/>
        <v>37</v>
      </c>
      <c r="D618" s="227" t="str">
        <f t="shared" si="411"/>
        <v/>
      </c>
      <c r="E618" s="228" t="str">
        <f t="shared" ca="1" si="412"/>
        <v>04.005.001.007</v>
      </c>
      <c r="F618" s="230">
        <f ca="1">IF($B618="UNIDADE CONSTRUTIVA",OFFSET(F618,-1,0)+1,LARGE(F$10:F617,1))</f>
        <v>2</v>
      </c>
      <c r="G618" s="228" t="str">
        <f t="shared" ca="1" si="403"/>
        <v xml:space="preserve">   GERENCIAMENTO EXECUTIVO</v>
      </c>
      <c r="H618" s="230">
        <f t="shared" ca="1" si="413"/>
        <v>4</v>
      </c>
      <c r="I618" s="228" t="str">
        <f t="shared" ca="1" si="404"/>
        <v xml:space="preserve">   SUPRAESTRUTURA</v>
      </c>
      <c r="J618" s="230">
        <f t="shared" ca="1" si="414"/>
        <v>5</v>
      </c>
      <c r="K618" s="228" t="str">
        <f t="shared" ca="1" si="405"/>
        <v xml:space="preserve">   SUPRAESTRUTURA - BARRILETE / CAIXA DÁGUA / CASA DE MÁQUINAS</v>
      </c>
      <c r="L618" s="231">
        <f t="shared" ca="1" si="415"/>
        <v>1</v>
      </c>
      <c r="M618" s="228" t="str">
        <f t="shared" ca="1" si="406"/>
        <v xml:space="preserve">   Armadura</v>
      </c>
      <c r="N618" s="231">
        <f t="shared" ca="1" si="416"/>
        <v>7</v>
      </c>
      <c r="O618" s="228" t="str">
        <f t="shared" ca="1" si="407"/>
        <v>Armacao aco CA-50 ø 25.0mm para supraestrutura corte e dobra em indústria</v>
      </c>
      <c r="P618" s="232" t="str">
        <f>IF(S618="","",IF(Orçamento!$B618="INSUMO",S618,""))</f>
        <v>ESPACADOR CIRCULAR 40MM</v>
      </c>
      <c r="Q618" s="244" t="str">
        <f t="shared" si="408"/>
        <v/>
      </c>
      <c r="R618" s="234">
        <f t="shared" ca="1" si="409"/>
        <v>103.01425</v>
      </c>
      <c r="S618" s="233" t="s">
        <v>162</v>
      </c>
      <c r="T618" s="242" t="str">
        <f>_xlfn.XLOOKUP(S618,Insumos!$A$3:$A$371,Insumos!$B$3:$B$371)</f>
        <v>UN</v>
      </c>
      <c r="U618" s="235">
        <f ca="1">IF($B618="insumo",R618,"")</f>
        <v>103.01425</v>
      </c>
      <c r="V618" s="320">
        <v>0.113</v>
      </c>
      <c r="W618" s="236">
        <f>IFERROR(IF(B618="INSUMO",_xlfn.XLOOKUP(S618,Insumos!A:A,Insumos!C:C),""),"Inserir Preço")</f>
        <v>0.76</v>
      </c>
      <c r="X618" s="235">
        <f t="shared" ca="1" si="410"/>
        <v>11.64061025</v>
      </c>
      <c r="Y618" s="236">
        <f t="shared" si="417"/>
        <v>8.5879999999999998E-2</v>
      </c>
      <c r="Z618" s="237">
        <f t="shared" ca="1" si="401"/>
        <v>8.8468637900000004</v>
      </c>
      <c r="AA618" s="238"/>
      <c r="AB618" s="233" t="str">
        <f>IF(B618="insumo",_xlfn.XLOOKUP(S618,Insumos!A:A,Insumos!D:D),"")</f>
        <v xml:space="preserve"> </v>
      </c>
      <c r="AC618" s="239">
        <f t="shared" ca="1" si="402"/>
        <v>1.2691632693420536E-6</v>
      </c>
      <c r="AE618" s="240">
        <f ca="1">IFERROR(IF(OR(Z618="",Z618=0),"",IF(AF618="","",IF(AF618="R$/mês",Z618/OBRA!$D$12,IF(AF618="R$/m²",Z618/OBRA!$D$10,IF(AF618="R$/apto",Orçamento!Z618/OBRA!$D$11,""))))),"")</f>
        <v>4.5526591242415976E-3</v>
      </c>
      <c r="AF618" s="241" t="s">
        <v>154</v>
      </c>
    </row>
    <row r="619" spans="1:32" s="10" customFormat="1" ht="13.15" hidden="1" customHeight="1" outlineLevel="3" collapsed="1" x14ac:dyDescent="0.2">
      <c r="A619" s="227"/>
      <c r="B619" s="228" t="s">
        <v>3</v>
      </c>
      <c r="C619" s="229" t="str">
        <f t="shared" si="400"/>
        <v/>
      </c>
      <c r="D619" s="227" t="str">
        <f t="shared" ca="1" si="411"/>
        <v>04.005.002</v>
      </c>
      <c r="E619" s="228" t="str">
        <f t="shared" ca="1" si="412"/>
        <v>04.005.001.007</v>
      </c>
      <c r="F619" s="230">
        <f ca="1">IF($B619="UNIDADE CONSTRUTIVA",OFFSET(F619,-1,0)+1,LARGE(F$10:F618,1))</f>
        <v>2</v>
      </c>
      <c r="G619" s="228" t="str">
        <f t="shared" ca="1" si="403"/>
        <v xml:space="preserve">   GERENCIAMENTO EXECUTIVO</v>
      </c>
      <c r="H619" s="230">
        <f t="shared" ca="1" si="413"/>
        <v>4</v>
      </c>
      <c r="I619" s="228" t="str">
        <f t="shared" ca="1" si="404"/>
        <v xml:space="preserve">   SUPRAESTRUTURA</v>
      </c>
      <c r="J619" s="230">
        <f t="shared" ca="1" si="414"/>
        <v>5</v>
      </c>
      <c r="K619" s="228" t="str">
        <f t="shared" ca="1" si="405"/>
        <v xml:space="preserve">   SUPRAESTRUTURA - BARRILETE / CAIXA DÁGUA / CASA DE MÁQUINAS</v>
      </c>
      <c r="L619" s="231">
        <f t="shared" ca="1" si="415"/>
        <v>2</v>
      </c>
      <c r="M619" s="228" t="str">
        <f t="shared" ca="1" si="406"/>
        <v xml:space="preserve">   Forma</v>
      </c>
      <c r="N619" s="231">
        <f t="shared" ca="1" si="416"/>
        <v>0</v>
      </c>
      <c r="O619" s="228" t="str">
        <f t="shared" ca="1" si="407"/>
        <v>Armacao aco CA-50 ø 25.0mm para supraestrutura corte e dobra em indústria</v>
      </c>
      <c r="P619" s="232" t="str">
        <f>IF(S619="","",IF(Orçamento!$B619="INSUMO",S619,""))</f>
        <v/>
      </c>
      <c r="Q619" s="244" t="str">
        <f t="shared" si="408"/>
        <v/>
      </c>
      <c r="R619" s="234">
        <f t="shared" ca="1" si="409"/>
        <v>103.01425</v>
      </c>
      <c r="S619" s="233" t="s">
        <v>437</v>
      </c>
      <c r="T619" s="242" t="s">
        <v>35</v>
      </c>
      <c r="U619" s="235" t="str">
        <f>IF($B619="insumo",R619,"")</f>
        <v/>
      </c>
      <c r="V619" s="320" t="s">
        <v>35</v>
      </c>
      <c r="W619" s="236" t="str">
        <f>IFERROR(IF(B619="INSUMO",_xlfn.XLOOKUP(S619,Insumos!A:A,Insumos!C:C),""),"Inserir Preço")</f>
        <v/>
      </c>
      <c r="X619" s="235" t="str">
        <f t="shared" ca="1" si="410"/>
        <v/>
      </c>
      <c r="Y619" s="236" t="str">
        <f t="shared" si="417"/>
        <v/>
      </c>
      <c r="Z619" s="237">
        <f t="shared" ca="1" si="401"/>
        <v>50988.968997753887</v>
      </c>
      <c r="AA619" s="238"/>
      <c r="AB619" s="233" t="str">
        <f>IF(B619="insumo",_xlfn.XLOOKUP(S619,Insumos!A:A,Insumos!D:D),"")</f>
        <v/>
      </c>
      <c r="AC619" s="239">
        <f t="shared" ca="1" si="402"/>
        <v>7.3148324795865244E-3</v>
      </c>
      <c r="AE619" s="240">
        <f ca="1">IFERROR(IF(OR(Z619="",Z619=0),"",IF(AF619="","",IF(AF619="R$/mês",Z619/OBRA!$D$12,IF(AF619="R$/m²",Z619/OBRA!$D$10,IF(AF619="R$/apto",Orçamento!Z619/OBRA!$D$11,""))))),"")</f>
        <v>26.239286650449966</v>
      </c>
      <c r="AF619" s="241" t="s">
        <v>154</v>
      </c>
    </row>
    <row r="620" spans="1:32" s="10" customFormat="1" ht="13.15" hidden="1" customHeight="1" outlineLevel="4" x14ac:dyDescent="0.2">
      <c r="A620" s="227"/>
      <c r="B620" s="228" t="s">
        <v>4</v>
      </c>
      <c r="C620" s="229">
        <f t="shared" si="400"/>
        <v>5</v>
      </c>
      <c r="D620" s="227" t="str">
        <f t="shared" ref="D620:D658" ca="1" si="418">IF(B620="Unidade Construtiva",TEXT(F620,"00"),IF(B620="Célula Construtiva",TEXT(H620,"00"),IF(B620="Etapa",CONCATENATE(TEXT(H620,"00"),".",TEXT(J620,"000")),IF(B620="Subetapa",CONCATENATE(TEXT(H620,"00"),".",TEXT(J620,"000"),".",TEXT(L620,"000")),IF(B620="Serviço",CONCATENATE(TEXT(H620,"00"),".",TEXT(J620,"000"),".",TEXT(L620,"000"),".",TEXT(N620,"000")),"")))))</f>
        <v>04.005.002.001</v>
      </c>
      <c r="E620" s="228" t="str">
        <f t="shared" ref="E620:E658" ca="1" si="419">IF(B620="*","",IFERROR(IF(B620="SERVIÇO",D620,OFFSET(E620,-1,0)),""))</f>
        <v>04.005.002.001</v>
      </c>
      <c r="F620" s="230">
        <f ca="1">IF($B620="UNIDADE CONSTRUTIVA",OFFSET(F620,-1,0)+1,LARGE(F$10:F619,1))</f>
        <v>2</v>
      </c>
      <c r="G620" s="228" t="str">
        <f t="shared" ref="G620:G658" ca="1" si="420">IF(B620="*","",IF(B620="UNIDADE CONSTRUTIVA",S620,OFFSET(G620,-1,0)))</f>
        <v xml:space="preserve">   GERENCIAMENTO EXECUTIVO</v>
      </c>
      <c r="H620" s="230">
        <f t="shared" ref="H620:H658" ca="1" si="421">IF(B620="UNIDADE CONSTRUTIVA",0,IF(B620="CÉLULA CONSTRUTIVA",OFFSET(H620,-1,0)+1,OFFSET(H620,-1,0)))</f>
        <v>4</v>
      </c>
      <c r="I620" s="228" t="str">
        <f t="shared" ref="I620:I658" ca="1" si="422">IF(B620="*","",IF(B620="CÉLULA CONSTRUTIVA",S620,OFFSET(I620,-1,0)))</f>
        <v xml:space="preserve">   SUPRAESTRUTURA</v>
      </c>
      <c r="J620" s="230">
        <f t="shared" ref="J620:J658" ca="1" si="423">IF(B620="CÉLULA CONSTRUTIVA",0,IF(B620="ETAPA",OFFSET(J620,-1,0)+1,OFFSET(J620,-1,0)))</f>
        <v>5</v>
      </c>
      <c r="K620" s="228" t="str">
        <f t="shared" ref="K620:K658" ca="1" si="424">IF(B620="*","",IF(B620="ETAPA",S620,OFFSET(K620,-1,0)))</f>
        <v xml:space="preserve">   SUPRAESTRUTURA - BARRILETE / CAIXA DÁGUA / CASA DE MÁQUINAS</v>
      </c>
      <c r="L620" s="231">
        <f t="shared" ref="L620:L658" ca="1" si="425">IF(B620="ETAPA",0,IF(B620="SUBETAPA",OFFSET(L620,-1,0)+1,OFFSET(L620,-1,0)))</f>
        <v>2</v>
      </c>
      <c r="M620" s="228" t="str">
        <f t="shared" ref="M620:M658" ca="1" si="426">IF(B620="*","",IF(B620="SUBETAPA",S620,OFFSET(M620,-1,0)))</f>
        <v xml:space="preserve">   Forma</v>
      </c>
      <c r="N620" s="231">
        <f t="shared" ref="N620:N658" ca="1" si="427">IF(B620="Subetapa",0,IF(B620="serviço",OFFSET(N620,-1,0)+1,OFFSET(N620,-1,0)))</f>
        <v>1</v>
      </c>
      <c r="O620" s="228" t="str">
        <f t="shared" ref="O620:O658" ca="1" si="428">IF(B620="*","",IF(B620="SERVIÇO",S620,OFFSET(O620,-1,0)))</f>
        <v>Fabricação de fôrma para Pilares em chapa de madeira compensada plastificada e=14 mm - 2 jogos</v>
      </c>
      <c r="P620" s="232" t="str">
        <f>IF(S620="","",IF(Orçamento!$B620="INSUMO",S620,""))</f>
        <v/>
      </c>
      <c r="Q620" s="244" t="str">
        <f t="shared" ref="Q620:Q658" si="429">IF(B620="","",IF(B620="Serviço",S620,""))</f>
        <v>Fabricação de fôrma para Pilares em chapa de madeira compensada plastificada e=14 mm - 2 jogos</v>
      </c>
      <c r="R620" s="234">
        <f t="shared" ref="R620:R658" ca="1" si="430">IF(B620="serviço",U620,OFFSET(R620,-1,0))</f>
        <v>117.70479999999996</v>
      </c>
      <c r="S620" s="233" t="s">
        <v>950</v>
      </c>
      <c r="T620" s="242" t="s">
        <v>140</v>
      </c>
      <c r="U620" s="235">
        <f>U641</f>
        <v>117.70479999999996</v>
      </c>
      <c r="V620" s="320" t="s">
        <v>35</v>
      </c>
      <c r="W620" s="236" t="str">
        <f>IFERROR(IF(B620="INSUMO",_xlfn.XLOOKUP(S620,Insumos!A:A,Insumos!C:C),""),"Inserir Preço")</f>
        <v/>
      </c>
      <c r="X620" s="235">
        <f t="shared" ref="X620:X658" ca="1" si="431">IF(B620="Complemento do insumo",V620,IF(R620="","",IF(B620="serviço",R620,IF(OR(B620="insumo"),V620*R620,""))))</f>
        <v>117.70479999999996</v>
      </c>
      <c r="Y620" s="236">
        <f t="shared" ca="1" si="417"/>
        <v>108.24439999999998</v>
      </c>
      <c r="Z620" s="237">
        <f t="shared" ca="1" si="401"/>
        <v>12740.885453119994</v>
      </c>
      <c r="AA620" s="238"/>
      <c r="AB620" s="233" t="str">
        <f>IF(B620="insumo",_xlfn.XLOOKUP(S620,Insumos!A:A,Insumos!D:D),"")</f>
        <v/>
      </c>
      <c r="AC620" s="239">
        <f t="shared" ca="1" si="402"/>
        <v>1.8277961795085333E-3</v>
      </c>
      <c r="AE620" s="240">
        <f ca="1">IFERROR(IF(OR(Z620="",Z620=0),"",IF(AF620="","",IF(AF620="R$/mês",Z620/OBRA!$D$12,IF(AF620="R$/m²",Z620/OBRA!$D$10,IF(AF620="R$/apto",Orçamento!Z620/OBRA!$D$11,""))))),"")</f>
        <v>6.5565504099463237</v>
      </c>
      <c r="AF620" s="241" t="s">
        <v>154</v>
      </c>
    </row>
    <row r="621" spans="1:32" s="10" customFormat="1" ht="13.15" hidden="1" customHeight="1" outlineLevel="4" x14ac:dyDescent="0.2">
      <c r="A621" s="227"/>
      <c r="B621" s="228" t="s">
        <v>19</v>
      </c>
      <c r="C621" s="229">
        <f t="shared" si="400"/>
        <v>21</v>
      </c>
      <c r="D621" s="227" t="str">
        <f t="shared" si="418"/>
        <v/>
      </c>
      <c r="E621" s="228" t="str">
        <f t="shared" ca="1" si="419"/>
        <v>04.005.002.001</v>
      </c>
      <c r="F621" s="230">
        <f ca="1">IF($B621="UNIDADE CONSTRUTIVA",OFFSET(F621,-1,0)+1,LARGE(F$10:F620,1))</f>
        <v>2</v>
      </c>
      <c r="G621" s="228" t="str">
        <f t="shared" ca="1" si="420"/>
        <v xml:space="preserve">   GERENCIAMENTO EXECUTIVO</v>
      </c>
      <c r="H621" s="230">
        <f t="shared" ca="1" si="421"/>
        <v>4</v>
      </c>
      <c r="I621" s="228" t="str">
        <f t="shared" ca="1" si="422"/>
        <v xml:space="preserve">   SUPRAESTRUTURA</v>
      </c>
      <c r="J621" s="230">
        <f t="shared" ca="1" si="423"/>
        <v>5</v>
      </c>
      <c r="K621" s="228" t="str">
        <f t="shared" ca="1" si="424"/>
        <v xml:space="preserve">   SUPRAESTRUTURA - BARRILETE / CAIXA DÁGUA / CASA DE MÁQUINAS</v>
      </c>
      <c r="L621" s="231">
        <f t="shared" ca="1" si="425"/>
        <v>2</v>
      </c>
      <c r="M621" s="228" t="str">
        <f t="shared" ca="1" si="426"/>
        <v xml:space="preserve">   Forma</v>
      </c>
      <c r="N621" s="231">
        <f t="shared" ca="1" si="427"/>
        <v>1</v>
      </c>
      <c r="O621" s="228" t="str">
        <f t="shared" ca="1" si="428"/>
        <v>Fabricação de fôrma para Pilares em chapa de madeira compensada plastificada e=14 mm - 2 jogos</v>
      </c>
      <c r="P621" s="232" t="str">
        <f>IF(S621="","",IF(Orçamento!$B621="INSUMO",S621,""))</f>
        <v>COMPENSADO MADEIRA TIPO PLASTIFICADO 2200X1100X14MM NBR 1096</v>
      </c>
      <c r="Q621" s="244" t="str">
        <f t="shared" si="429"/>
        <v/>
      </c>
      <c r="R621" s="234">
        <f t="shared" ca="1" si="430"/>
        <v>117.70479999999996</v>
      </c>
      <c r="S621" s="233" t="s">
        <v>804</v>
      </c>
      <c r="T621" s="242" t="str">
        <f>_xlfn.XLOOKUP(S621,Insumos!$A$3:$A$371,Insumos!$B$3:$B$371)</f>
        <v>CH</v>
      </c>
      <c r="U621" s="235">
        <f ca="1">IF($B621="insumo",R621,"")</f>
        <v>117.70479999999996</v>
      </c>
      <c r="V621" s="320">
        <f>ROUNDUP(1.3/(2.2*1.1),4)</f>
        <v>0.53720000000000001</v>
      </c>
      <c r="W621" s="236">
        <f>IFERROR(IF(B621="INSUMO",_xlfn.XLOOKUP(S621,Insumos!A:A,Insumos!C:C),""),"Inserir Preço")</f>
        <v>132</v>
      </c>
      <c r="X621" s="235">
        <f t="shared" ca="1" si="431"/>
        <v>63.231018559999981</v>
      </c>
      <c r="Y621" s="236">
        <f t="shared" si="417"/>
        <v>70.910399999999996</v>
      </c>
      <c r="Z621" s="237">
        <f t="shared" ca="1" si="401"/>
        <v>8346.4944499199974</v>
      </c>
      <c r="AA621" s="238"/>
      <c r="AB621" s="233" t="str">
        <f>IF(B621="insumo",_xlfn.XLOOKUP(S621,Insumos!A:A,Insumos!D:D),"")</f>
        <v xml:space="preserve"> </v>
      </c>
      <c r="AC621" s="239">
        <f t="shared" ca="1" si="402"/>
        <v>1.197380725537967E-3</v>
      </c>
      <c r="AE621" s="240">
        <f ca="1">IFERROR(IF(OR(Z621="",Z621=0),"",IF(AF621="","",IF(AF621="R$/mês",Z621/OBRA!$D$12,IF(AF621="R$/m²",Z621/OBRA!$D$10,IF(AF621="R$/apto",Orçamento!Z621/OBRA!$D$11,""))))),"")</f>
        <v>4.2951654976096485</v>
      </c>
      <c r="AF621" s="241" t="s">
        <v>154</v>
      </c>
    </row>
    <row r="622" spans="1:32" s="10" customFormat="1" ht="13.15" hidden="1" customHeight="1" outlineLevel="4" x14ac:dyDescent="0.2">
      <c r="A622" s="227"/>
      <c r="B622" s="228" t="s">
        <v>19</v>
      </c>
      <c r="C622" s="229">
        <f t="shared" si="400"/>
        <v>26</v>
      </c>
      <c r="D622" s="227" t="str">
        <f t="shared" si="418"/>
        <v/>
      </c>
      <c r="E622" s="228" t="str">
        <f t="shared" ca="1" si="419"/>
        <v>04.005.002.001</v>
      </c>
      <c r="F622" s="230">
        <f ca="1">IF($B622="UNIDADE CONSTRUTIVA",OFFSET(F622,-1,0)+1,LARGE(F$10:F621,1))</f>
        <v>2</v>
      </c>
      <c r="G622" s="228" t="str">
        <f t="shared" ca="1" si="420"/>
        <v xml:space="preserve">   GERENCIAMENTO EXECUTIVO</v>
      </c>
      <c r="H622" s="230">
        <f t="shared" ca="1" si="421"/>
        <v>4</v>
      </c>
      <c r="I622" s="228" t="str">
        <f t="shared" ca="1" si="422"/>
        <v xml:space="preserve">   SUPRAESTRUTURA</v>
      </c>
      <c r="J622" s="230">
        <f t="shared" ca="1" si="423"/>
        <v>5</v>
      </c>
      <c r="K622" s="228" t="str">
        <f t="shared" ca="1" si="424"/>
        <v xml:space="preserve">   SUPRAESTRUTURA - BARRILETE / CAIXA DÁGUA / CASA DE MÁQUINAS</v>
      </c>
      <c r="L622" s="231">
        <f t="shared" ca="1" si="425"/>
        <v>2</v>
      </c>
      <c r="M622" s="228" t="str">
        <f t="shared" ca="1" si="426"/>
        <v xml:space="preserve">   Forma</v>
      </c>
      <c r="N622" s="231">
        <f t="shared" ca="1" si="427"/>
        <v>1</v>
      </c>
      <c r="O622" s="228" t="str">
        <f t="shared" ca="1" si="428"/>
        <v>Fabricação de fôrma para Pilares em chapa de madeira compensada plastificada e=14 mm - 2 jogos</v>
      </c>
      <c r="P622" s="232" t="str">
        <f>IF(S622="","",IF(Orçamento!$B622="INSUMO",S622,""))</f>
        <v>MADEIRA PINUS/SIMILAR - PONTALETE 75X75MM NBR 11700/15696</v>
      </c>
      <c r="Q622" s="244" t="str">
        <f t="shared" si="429"/>
        <v/>
      </c>
      <c r="R622" s="234">
        <f t="shared" ca="1" si="430"/>
        <v>117.70479999999996</v>
      </c>
      <c r="S622" s="233" t="s">
        <v>807</v>
      </c>
      <c r="T622" s="242" t="str">
        <f>_xlfn.XLOOKUP(S622,Insumos!$A$3:$A$371,Insumos!$B$3:$B$371)</f>
        <v>M</v>
      </c>
      <c r="U622" s="235">
        <f ca="1">IF($B622="insumo",R622,"")</f>
        <v>117.70479999999996</v>
      </c>
      <c r="V622" s="320">
        <v>2.3079999999999998</v>
      </c>
      <c r="W622" s="236">
        <f>IFERROR(IF(B622="INSUMO",_xlfn.XLOOKUP(S622,Insumos!A:A,Insumos!C:C),""),"Inserir Preço")</f>
        <v>7</v>
      </c>
      <c r="X622" s="235">
        <f t="shared" ca="1" si="431"/>
        <v>271.66267839999989</v>
      </c>
      <c r="Y622" s="236">
        <f t="shared" si="417"/>
        <v>16.155999999999999</v>
      </c>
      <c r="Z622" s="237">
        <f t="shared" ca="1" si="401"/>
        <v>1901.6387487999991</v>
      </c>
      <c r="AA622" s="238"/>
      <c r="AB622" s="233" t="str">
        <f>IF(B622="insumo",_xlfn.XLOOKUP(S622,Insumos!A:A,Insumos!D:D),"")</f>
        <v xml:space="preserve"> </v>
      </c>
      <c r="AC622" s="239">
        <f t="shared" ca="1" si="402"/>
        <v>2.7280741614476006E-4</v>
      </c>
      <c r="AE622" s="240">
        <f ca="1">IFERROR(IF(OR(Z622="",Z622=0),"",IF(AF622="","",IF(AF622="R$/mês",Z622/OBRA!$D$12,IF(AF622="R$/m²",Z622/OBRA!$D$10,IF(AF622="R$/apto",Orçamento!Z622/OBRA!$D$11,""))))),"")</f>
        <v>0.97859684587002005</v>
      </c>
      <c r="AF622" s="241" t="s">
        <v>154</v>
      </c>
    </row>
    <row r="623" spans="1:32" s="10" customFormat="1" ht="13.15" hidden="1" customHeight="1" outlineLevel="4" x14ac:dyDescent="0.2">
      <c r="A623" s="227"/>
      <c r="B623" s="228" t="s">
        <v>19</v>
      </c>
      <c r="C623" s="229">
        <f t="shared" si="400"/>
        <v>10</v>
      </c>
      <c r="D623" s="227" t="str">
        <f t="shared" ref="D623:D637" si="432">IF(B623="Unidade Construtiva",TEXT(F623,"00"),IF(B623="Célula Construtiva",TEXT(H623,"00"),IF(B623="Etapa",CONCATENATE(TEXT(H623,"00"),".",TEXT(J623,"000")),IF(B623="Subetapa",CONCATENATE(TEXT(H623,"00"),".",TEXT(J623,"000"),".",TEXT(L623,"000")),IF(B623="Serviço",CONCATENATE(TEXT(H623,"00"),".",TEXT(J623,"000"),".",TEXT(L623,"000"),".",TEXT(N623,"000")),"")))))</f>
        <v/>
      </c>
      <c r="E623" s="228" t="str">
        <f t="shared" ref="E623:E637" ca="1" si="433">IF(B623="*","",IFERROR(IF(B623="SERVIÇO",D623,OFFSET(E623,-1,0)),""))</f>
        <v>04.005.002.001</v>
      </c>
      <c r="F623" s="230">
        <f ca="1">IF($B623="UNIDADE CONSTRUTIVA",OFFSET(F623,-1,0)+1,LARGE(F$10:F622,1))</f>
        <v>2</v>
      </c>
      <c r="G623" s="228" t="str">
        <f t="shared" ref="G623:G637" ca="1" si="434">IF(B623="*","",IF(B623="UNIDADE CONSTRUTIVA",S623,OFFSET(G623,-1,0)))</f>
        <v xml:space="preserve">   GERENCIAMENTO EXECUTIVO</v>
      </c>
      <c r="H623" s="230">
        <f t="shared" ref="H623:H637" ca="1" si="435">IF(B623="UNIDADE CONSTRUTIVA",0,IF(B623="CÉLULA CONSTRUTIVA",OFFSET(H623,-1,0)+1,OFFSET(H623,-1,0)))</f>
        <v>4</v>
      </c>
      <c r="I623" s="228" t="str">
        <f t="shared" ref="I623:I637" ca="1" si="436">IF(B623="*","",IF(B623="CÉLULA CONSTRUTIVA",S623,OFFSET(I623,-1,0)))</f>
        <v xml:space="preserve">   SUPRAESTRUTURA</v>
      </c>
      <c r="J623" s="230">
        <f t="shared" ref="J623:J637" ca="1" si="437">IF(B623="CÉLULA CONSTRUTIVA",0,IF(B623="ETAPA",OFFSET(J623,-1,0)+1,OFFSET(J623,-1,0)))</f>
        <v>5</v>
      </c>
      <c r="K623" s="228" t="str">
        <f t="shared" ref="K623:K637" ca="1" si="438">IF(B623="*","",IF(B623="ETAPA",S623,OFFSET(K623,-1,0)))</f>
        <v xml:space="preserve">   SUPRAESTRUTURA - BARRILETE / CAIXA DÁGUA / CASA DE MÁQUINAS</v>
      </c>
      <c r="L623" s="231">
        <f t="shared" ref="L623:L637" ca="1" si="439">IF(B623="ETAPA",0,IF(B623="SUBETAPA",OFFSET(L623,-1,0)+1,OFFSET(L623,-1,0)))</f>
        <v>2</v>
      </c>
      <c r="M623" s="228" t="str">
        <f t="shared" ref="M623:M637" ca="1" si="440">IF(B623="*","",IF(B623="SUBETAPA",S623,OFFSET(M623,-1,0)))</f>
        <v xml:space="preserve">   Forma</v>
      </c>
      <c r="N623" s="231">
        <f t="shared" ref="N623:N637" ca="1" si="441">IF(B623="Subetapa",0,IF(B623="serviço",OFFSET(N623,-1,0)+1,OFFSET(N623,-1,0)))</f>
        <v>1</v>
      </c>
      <c r="O623" s="228" t="str">
        <f t="shared" ref="O623:O637" ca="1" si="442">IF(B623="*","",IF(B623="SERVIÇO",S623,OFFSET(O623,-1,0)))</f>
        <v>Fabricação de fôrma para Pilares em chapa de madeira compensada plastificada e=14 mm - 2 jogos</v>
      </c>
      <c r="P623" s="232" t="str">
        <f>IF(S623="","",IF(Orçamento!$B623="INSUMO",S623,""))</f>
        <v>MADEIRA PINUS/SIMILAR - SARRAFO PINUS 50X10MM NBR 11700</v>
      </c>
      <c r="Q623" s="244" t="str">
        <f t="shared" ref="Q623:Q637" si="443">IF(B623="","",IF(B623="Serviço",S623,""))</f>
        <v/>
      </c>
      <c r="R623" s="234">
        <f t="shared" ref="R623:R637" ca="1" si="444">IF(B623="serviço",U623,OFFSET(R623,-1,0))</f>
        <v>117.70479999999996</v>
      </c>
      <c r="S623" s="233" t="s">
        <v>806</v>
      </c>
      <c r="T623" s="242" t="str">
        <f>_xlfn.XLOOKUP(S623,Insumos!$A$3:$A$371,Insumos!$B$3:$B$371)</f>
        <v>M</v>
      </c>
      <c r="U623" s="235">
        <f ca="1">IF($B623="insumo",R623,"")</f>
        <v>117.70479999999996</v>
      </c>
      <c r="V623" s="320">
        <v>9.2370000000000001</v>
      </c>
      <c r="W623" s="236">
        <f>IFERROR(IF(B623="INSUMO",_xlfn.XLOOKUP(S623,Insumos!A:A,Insumos!C:C),""),"Inserir Preço")</f>
        <v>2</v>
      </c>
      <c r="X623" s="235">
        <f t="shared" ca="1" si="431"/>
        <v>1087.2392375999996</v>
      </c>
      <c r="Y623" s="236">
        <f t="shared" si="417"/>
        <v>18.474</v>
      </c>
      <c r="Z623" s="237">
        <f t="shared" ca="1" si="401"/>
        <v>2174.4784751999991</v>
      </c>
      <c r="AA623" s="238"/>
      <c r="AB623" s="233" t="str">
        <f>IF(B623="insumo",_xlfn.XLOOKUP(S623,Insumos!A:A,Insumos!D:D),"")</f>
        <v>Base de Dados</v>
      </c>
      <c r="AC623" s="239">
        <f t="shared" ca="1" si="402"/>
        <v>3.119487624324274E-4</v>
      </c>
      <c r="AE623" s="240">
        <f ca="1">IFERROR(IF(OR(Z623="",Z623=0),"",IF(AF623="","",IF(AF623="R$/mês",Z623/OBRA!$D$12,IF(AF623="R$/m²",Z623/OBRA!$D$10,IF(AF623="R$/apto",Orçamento!Z623/OBRA!$D$11,""))))),"")</f>
        <v>1.1190021125651617</v>
      </c>
      <c r="AF623" s="241" t="s">
        <v>154</v>
      </c>
    </row>
    <row r="624" spans="1:32" s="10" customFormat="1" ht="13.15" hidden="1" customHeight="1" outlineLevel="4" x14ac:dyDescent="0.2">
      <c r="A624" s="227"/>
      <c r="B624" s="228" t="s">
        <v>19</v>
      </c>
      <c r="C624" s="229">
        <f t="shared" si="400"/>
        <v>44</v>
      </c>
      <c r="D624" s="227" t="str">
        <f t="shared" si="432"/>
        <v/>
      </c>
      <c r="E624" s="228" t="str">
        <f t="shared" ca="1" si="433"/>
        <v>04.005.002.001</v>
      </c>
      <c r="F624" s="230">
        <f ca="1">IF($B624="UNIDADE CONSTRUTIVA",OFFSET(F624,-1,0)+1,LARGE(F$10:F623,1))</f>
        <v>2</v>
      </c>
      <c r="G624" s="228" t="str">
        <f t="shared" ca="1" si="434"/>
        <v xml:space="preserve">   GERENCIAMENTO EXECUTIVO</v>
      </c>
      <c r="H624" s="230">
        <f t="shared" ca="1" si="435"/>
        <v>4</v>
      </c>
      <c r="I624" s="228" t="str">
        <f t="shared" ca="1" si="436"/>
        <v xml:space="preserve">   SUPRAESTRUTURA</v>
      </c>
      <c r="J624" s="230">
        <f t="shared" ca="1" si="437"/>
        <v>5</v>
      </c>
      <c r="K624" s="228" t="str">
        <f t="shared" ca="1" si="438"/>
        <v xml:space="preserve">   SUPRAESTRUTURA - BARRILETE / CAIXA DÁGUA / CASA DE MÁQUINAS</v>
      </c>
      <c r="L624" s="231">
        <f t="shared" ca="1" si="439"/>
        <v>2</v>
      </c>
      <c r="M624" s="228" t="str">
        <f t="shared" ca="1" si="440"/>
        <v xml:space="preserve">   Forma</v>
      </c>
      <c r="N624" s="231">
        <f t="shared" ca="1" si="441"/>
        <v>1</v>
      </c>
      <c r="O624" s="228" t="str">
        <f t="shared" ca="1" si="442"/>
        <v>Fabricação de fôrma para Pilares em chapa de madeira compensada plastificada e=14 mm - 2 jogos</v>
      </c>
      <c r="P624" s="232" t="str">
        <f>IF(S624="","",IF(Orçamento!$B624="INSUMO",S624,""))</f>
        <v>PREGO 17 x 21 COM CABECA</v>
      </c>
      <c r="Q624" s="244" t="str">
        <f t="shared" si="443"/>
        <v/>
      </c>
      <c r="R624" s="234">
        <f t="shared" ca="1" si="444"/>
        <v>117.70479999999996</v>
      </c>
      <c r="S624" s="233" t="s">
        <v>173</v>
      </c>
      <c r="T624" s="242" t="str">
        <f>_xlfn.XLOOKUP(S624,Insumos!$A$3:$A$371,Insumos!$B$3:$B$371)</f>
        <v>KG</v>
      </c>
      <c r="U624" s="235">
        <f ca="1">IF($B624="insumo",R624,"")</f>
        <v>117.70479999999996</v>
      </c>
      <c r="V624" s="320">
        <v>0.20799999999999999</v>
      </c>
      <c r="W624" s="236">
        <f>IFERROR(IF(B624="INSUMO",_xlfn.XLOOKUP(S624,Insumos!A:A,Insumos!C:C),""),"Inserir Preço")</f>
        <v>13</v>
      </c>
      <c r="X624" s="235">
        <f t="shared" ca="1" si="431"/>
        <v>24.48259839999999</v>
      </c>
      <c r="Y624" s="236">
        <f t="shared" si="417"/>
        <v>2.7039999999999997</v>
      </c>
      <c r="Z624" s="237">
        <f t="shared" ca="1" si="401"/>
        <v>318.27377919999986</v>
      </c>
      <c r="AA624" s="238"/>
      <c r="AB624" s="233" t="str">
        <f>IF(B624="insumo",_xlfn.XLOOKUP(S624,Insumos!A:A,Insumos!D:D),"")</f>
        <v xml:space="preserve"> </v>
      </c>
      <c r="AC624" s="239">
        <f t="shared" ca="1" si="402"/>
        <v>4.5659275393379004E-5</v>
      </c>
      <c r="AE624" s="240">
        <f ca="1">IFERROR(IF(OR(Z624="",Z624=0),"",IF(AF624="","",IF(AF624="R$/mês",Z624/OBRA!$D$12,IF(AF624="R$/m²",Z624/OBRA!$D$10,IF(AF624="R$/apto",Orçamento!Z624/OBRA!$D$11,""))))),"")</f>
        <v>0.16378595390149384</v>
      </c>
      <c r="AF624" s="241" t="s">
        <v>154</v>
      </c>
    </row>
    <row r="625" spans="1:32" s="10" customFormat="1" ht="13.15" hidden="1" customHeight="1" outlineLevel="4" x14ac:dyDescent="0.2">
      <c r="A625" s="227"/>
      <c r="B625" s="228" t="s">
        <v>4</v>
      </c>
      <c r="C625" s="229">
        <f t="shared" si="400"/>
        <v>5</v>
      </c>
      <c r="D625" s="227" t="str">
        <f t="shared" ca="1" si="432"/>
        <v>04.005.002.002</v>
      </c>
      <c r="E625" s="228" t="str">
        <f t="shared" ca="1" si="433"/>
        <v>04.005.002.002</v>
      </c>
      <c r="F625" s="230">
        <f ca="1">IF($B625="UNIDADE CONSTRUTIVA",OFFSET(F625,-1,0)+1,LARGE(F$10:F624,1))</f>
        <v>2</v>
      </c>
      <c r="G625" s="228" t="str">
        <f t="shared" ca="1" si="434"/>
        <v xml:space="preserve">   GERENCIAMENTO EXECUTIVO</v>
      </c>
      <c r="H625" s="230">
        <f t="shared" ca="1" si="435"/>
        <v>4</v>
      </c>
      <c r="I625" s="228" t="str">
        <f t="shared" ca="1" si="436"/>
        <v xml:space="preserve">   SUPRAESTRUTURA</v>
      </c>
      <c r="J625" s="230">
        <f t="shared" ca="1" si="437"/>
        <v>5</v>
      </c>
      <c r="K625" s="228" t="str">
        <f t="shared" ca="1" si="438"/>
        <v xml:space="preserve">   SUPRAESTRUTURA - BARRILETE / CAIXA DÁGUA / CASA DE MÁQUINAS</v>
      </c>
      <c r="L625" s="231">
        <f t="shared" ca="1" si="439"/>
        <v>2</v>
      </c>
      <c r="M625" s="228" t="str">
        <f t="shared" ca="1" si="440"/>
        <v xml:space="preserve">   Forma</v>
      </c>
      <c r="N625" s="231">
        <f t="shared" ca="1" si="441"/>
        <v>2</v>
      </c>
      <c r="O625" s="228" t="str">
        <f t="shared" ca="1" si="442"/>
        <v>Fabricação de fôrma para vigas em chapa de madeira compensada plastificada e=14 mm - 2 jogos</v>
      </c>
      <c r="P625" s="232" t="str">
        <f>IF(S625="","",IF(Orçamento!$B625="INSUMO",S625,""))</f>
        <v/>
      </c>
      <c r="Q625" s="244" t="str">
        <f t="shared" si="443"/>
        <v>Fabricação de fôrma para vigas em chapa de madeira compensada plastificada e=14 mm - 2 jogos</v>
      </c>
      <c r="R625" s="234">
        <f t="shared" ca="1" si="444"/>
        <v>248.86982400000002</v>
      </c>
      <c r="S625" s="233" t="s">
        <v>952</v>
      </c>
      <c r="T625" s="242" t="s">
        <v>140</v>
      </c>
      <c r="U625" s="235">
        <f>U645</f>
        <v>248.86982400000002</v>
      </c>
      <c r="V625" s="320" t="s">
        <v>35</v>
      </c>
      <c r="W625" s="236" t="str">
        <f>IFERROR(IF(B625="INSUMO",_xlfn.XLOOKUP(S625,Insumos!A:A,Insumos!C:C),""),"Inserir Preço")</f>
        <v/>
      </c>
      <c r="X625" s="235">
        <f t="shared" ca="1" si="431"/>
        <v>248.86982400000002</v>
      </c>
      <c r="Y625" s="236">
        <f t="shared" ca="1" si="417"/>
        <v>88.057400000000001</v>
      </c>
      <c r="Z625" s="237">
        <f t="shared" ca="1" si="401"/>
        <v>21914.829639897602</v>
      </c>
      <c r="AA625" s="238"/>
      <c r="AB625" s="233" t="str">
        <f>IF(B625="insumo",_xlfn.XLOOKUP(S625,Insumos!A:A,Insumos!D:D),"")</f>
        <v/>
      </c>
      <c r="AC625" s="239">
        <f t="shared" ca="1" si="402"/>
        <v>3.1438821138272074E-3</v>
      </c>
      <c r="AE625" s="240">
        <f ca="1">IFERROR(IF(OR(Z625="",Z625=0),"",IF(AF625="","",IF(AF625="R$/mês",Z625/OBRA!$D$12,IF(AF625="R$/m²",Z625/OBRA!$D$10,IF(AF625="R$/apto",Orçamento!Z625/OBRA!$D$11,""))))),"")</f>
        <v>11.277527436226078</v>
      </c>
      <c r="AF625" s="241" t="s">
        <v>154</v>
      </c>
    </row>
    <row r="626" spans="1:32" s="10" customFormat="1" ht="13.15" hidden="1" customHeight="1" outlineLevel="4" x14ac:dyDescent="0.2">
      <c r="A626" s="227"/>
      <c r="B626" s="228" t="s">
        <v>19</v>
      </c>
      <c r="C626" s="229">
        <f t="shared" si="400"/>
        <v>21</v>
      </c>
      <c r="D626" s="227" t="str">
        <f t="shared" si="432"/>
        <v/>
      </c>
      <c r="E626" s="228" t="str">
        <f t="shared" ca="1" si="433"/>
        <v>04.005.002.002</v>
      </c>
      <c r="F626" s="230">
        <f ca="1">IF($B626="UNIDADE CONSTRUTIVA",OFFSET(F626,-1,0)+1,LARGE(F$10:F625,1))</f>
        <v>2</v>
      </c>
      <c r="G626" s="228" t="str">
        <f t="shared" ca="1" si="434"/>
        <v xml:space="preserve">   GERENCIAMENTO EXECUTIVO</v>
      </c>
      <c r="H626" s="230">
        <f t="shared" ca="1" si="435"/>
        <v>4</v>
      </c>
      <c r="I626" s="228" t="str">
        <f t="shared" ca="1" si="436"/>
        <v xml:space="preserve">   SUPRAESTRUTURA</v>
      </c>
      <c r="J626" s="230">
        <f t="shared" ca="1" si="437"/>
        <v>5</v>
      </c>
      <c r="K626" s="228" t="str">
        <f t="shared" ca="1" si="438"/>
        <v xml:space="preserve">   SUPRAESTRUTURA - BARRILETE / CAIXA DÁGUA / CASA DE MÁQUINAS</v>
      </c>
      <c r="L626" s="231">
        <f t="shared" ca="1" si="439"/>
        <v>2</v>
      </c>
      <c r="M626" s="228" t="str">
        <f t="shared" ca="1" si="440"/>
        <v xml:space="preserve">   Forma</v>
      </c>
      <c r="N626" s="231">
        <f t="shared" ca="1" si="441"/>
        <v>2</v>
      </c>
      <c r="O626" s="228" t="str">
        <f t="shared" ca="1" si="442"/>
        <v>Fabricação de fôrma para vigas em chapa de madeira compensada plastificada e=14 mm - 2 jogos</v>
      </c>
      <c r="P626" s="232" t="str">
        <f>IF(S626="","",IF(Orçamento!$B626="INSUMO",S626,""))</f>
        <v>COMPENSADO MADEIRA TIPO PLASTIFICADO 2200X1100X14MM NBR 1096</v>
      </c>
      <c r="Q626" s="244" t="str">
        <f t="shared" si="443"/>
        <v/>
      </c>
      <c r="R626" s="234">
        <f t="shared" ca="1" si="444"/>
        <v>248.86982400000002</v>
      </c>
      <c r="S626" s="233" t="s">
        <v>804</v>
      </c>
      <c r="T626" s="242" t="str">
        <f>_xlfn.XLOOKUP(S626,Insumos!$A$3:$A$371,Insumos!$B$3:$B$371)</f>
        <v>CH</v>
      </c>
      <c r="U626" s="235">
        <f ca="1">IF($B626="insumo",R626,"")</f>
        <v>248.86982400000002</v>
      </c>
      <c r="V626" s="320">
        <f>ROUNDUP(1.3/(2.2*1.1),4)</f>
        <v>0.53720000000000001</v>
      </c>
      <c r="W626" s="236">
        <f>IFERROR(IF(B626="INSUMO",_xlfn.XLOOKUP(S626,Insumos!A:A,Insumos!C:C),""),"Inserir Preço")</f>
        <v>132</v>
      </c>
      <c r="X626" s="235">
        <f t="shared" ca="1" si="431"/>
        <v>133.69286945280001</v>
      </c>
      <c r="Y626" s="236">
        <f t="shared" si="417"/>
        <v>70.910399999999996</v>
      </c>
      <c r="Z626" s="237">
        <f t="shared" ca="1" si="401"/>
        <v>17647.4587677696</v>
      </c>
      <c r="AA626" s="238"/>
      <c r="AB626" s="233" t="str">
        <f>IF(B626="insumo",_xlfn.XLOOKUP(S626,Insumos!A:A,Insumos!D:D),"")</f>
        <v xml:space="preserve"> </v>
      </c>
      <c r="AC626" s="239">
        <f t="shared" ca="1" si="402"/>
        <v>2.5316888557274323E-3</v>
      </c>
      <c r="AE626" s="240">
        <f ca="1">IFERROR(IF(OR(Z626="",Z626=0),"",IF(AF626="","",IF(AF626="R$/mês",Z626/OBRA!$D$12,IF(AF626="R$/m²",Z626/OBRA!$D$10,IF(AF626="R$/apto",Orçamento!Z626/OBRA!$D$11,""))))),"")</f>
        <v>9.0815079881278074</v>
      </c>
      <c r="AF626" s="241" t="s">
        <v>154</v>
      </c>
    </row>
    <row r="627" spans="1:32" s="10" customFormat="1" ht="13.15" hidden="1" customHeight="1" outlineLevel="4" x14ac:dyDescent="0.2">
      <c r="A627" s="227"/>
      <c r="B627" s="228" t="s">
        <v>19</v>
      </c>
      <c r="C627" s="229">
        <f t="shared" si="400"/>
        <v>26</v>
      </c>
      <c r="D627" s="227" t="str">
        <f t="shared" si="432"/>
        <v/>
      </c>
      <c r="E627" s="228" t="str">
        <f t="shared" ca="1" si="433"/>
        <v>04.005.002.002</v>
      </c>
      <c r="F627" s="230">
        <f ca="1">IF($B627="UNIDADE CONSTRUTIVA",OFFSET(F627,-1,0)+1,LARGE(F$10:F626,1))</f>
        <v>2</v>
      </c>
      <c r="G627" s="228" t="str">
        <f t="shared" ca="1" si="434"/>
        <v xml:space="preserve">   GERENCIAMENTO EXECUTIVO</v>
      </c>
      <c r="H627" s="230">
        <f t="shared" ca="1" si="435"/>
        <v>4</v>
      </c>
      <c r="I627" s="228" t="str">
        <f t="shared" ca="1" si="436"/>
        <v xml:space="preserve">   SUPRAESTRUTURA</v>
      </c>
      <c r="J627" s="230">
        <f t="shared" ca="1" si="437"/>
        <v>5</v>
      </c>
      <c r="K627" s="228" t="str">
        <f t="shared" ca="1" si="438"/>
        <v xml:space="preserve">   SUPRAESTRUTURA - BARRILETE / CAIXA DÁGUA / CASA DE MÁQUINAS</v>
      </c>
      <c r="L627" s="231">
        <f t="shared" ca="1" si="439"/>
        <v>2</v>
      </c>
      <c r="M627" s="228" t="str">
        <f t="shared" ca="1" si="440"/>
        <v xml:space="preserve">   Forma</v>
      </c>
      <c r="N627" s="231">
        <f t="shared" ca="1" si="441"/>
        <v>2</v>
      </c>
      <c r="O627" s="228" t="str">
        <f t="shared" ca="1" si="442"/>
        <v>Fabricação de fôrma para vigas em chapa de madeira compensada plastificada e=14 mm - 2 jogos</v>
      </c>
      <c r="P627" s="232" t="str">
        <f>IF(S627="","",IF(Orçamento!$B627="INSUMO",S627,""))</f>
        <v>MADEIRA PINUS/SIMILAR - PONTALETE 75X75MM NBR 11700/15696</v>
      </c>
      <c r="Q627" s="244" t="str">
        <f t="shared" si="443"/>
        <v/>
      </c>
      <c r="R627" s="234">
        <f t="shared" ca="1" si="444"/>
        <v>248.86982400000002</v>
      </c>
      <c r="S627" s="233" t="s">
        <v>807</v>
      </c>
      <c r="T627" s="242" t="str">
        <f>_xlfn.XLOOKUP(S627,Insumos!$A$3:$A$371,Insumos!$B$3:$B$371)</f>
        <v>M</v>
      </c>
      <c r="U627" s="235">
        <f ca="1">IF($B627="insumo",R627,"")</f>
        <v>248.86982400000002</v>
      </c>
      <c r="V627" s="320">
        <v>0.16800000000000001</v>
      </c>
      <c r="W627" s="236">
        <f>IFERROR(IF(B627="INSUMO",_xlfn.XLOOKUP(S627,Insumos!A:A,Insumos!C:C),""),"Inserir Preço")</f>
        <v>7</v>
      </c>
      <c r="X627" s="235">
        <f t="shared" ca="1" si="431"/>
        <v>41.810130432000008</v>
      </c>
      <c r="Y627" s="236">
        <f t="shared" si="417"/>
        <v>1.1760000000000002</v>
      </c>
      <c r="Z627" s="237">
        <f t="shared" ca="1" si="401"/>
        <v>292.67091302400007</v>
      </c>
      <c r="AA627" s="238"/>
      <c r="AB627" s="233" t="str">
        <f>IF(B627="insumo",_xlfn.XLOOKUP(S627,Insumos!A:A,Insumos!D:D),"")</f>
        <v xml:space="preserve"> </v>
      </c>
      <c r="AC627" s="239">
        <f t="shared" ca="1" si="402"/>
        <v>4.1986310813864549E-5</v>
      </c>
      <c r="AE627" s="240">
        <f ca="1">IFERROR(IF(OR(Z627="",Z627=0),"",IF(AF627="","",IF(AF627="R$/mês",Z627/OBRA!$D$12,IF(AF627="R$/m²",Z627/OBRA!$D$10,IF(AF627="R$/apto",Orçamento!Z627/OBRA!$D$11,""))))),"")</f>
        <v>0.15061053659319795</v>
      </c>
      <c r="AF627" s="241" t="s">
        <v>154</v>
      </c>
    </row>
    <row r="628" spans="1:32" s="10" customFormat="1" ht="13.15" hidden="1" customHeight="1" outlineLevel="4" x14ac:dyDescent="0.2">
      <c r="A628" s="227"/>
      <c r="B628" s="228" t="s">
        <v>19</v>
      </c>
      <c r="C628" s="229">
        <f t="shared" si="400"/>
        <v>10</v>
      </c>
      <c r="D628" s="227" t="str">
        <f t="shared" si="432"/>
        <v/>
      </c>
      <c r="E628" s="228" t="str">
        <f t="shared" ca="1" si="433"/>
        <v>04.005.002.002</v>
      </c>
      <c r="F628" s="230">
        <f ca="1">IF($B628="UNIDADE CONSTRUTIVA",OFFSET(F628,-1,0)+1,LARGE(F$10:F627,1))</f>
        <v>2</v>
      </c>
      <c r="G628" s="228" t="str">
        <f t="shared" ca="1" si="434"/>
        <v xml:space="preserve">   GERENCIAMENTO EXECUTIVO</v>
      </c>
      <c r="H628" s="230">
        <f t="shared" ca="1" si="435"/>
        <v>4</v>
      </c>
      <c r="I628" s="228" t="str">
        <f t="shared" ca="1" si="436"/>
        <v xml:space="preserve">   SUPRAESTRUTURA</v>
      </c>
      <c r="J628" s="230">
        <f t="shared" ca="1" si="437"/>
        <v>5</v>
      </c>
      <c r="K628" s="228" t="str">
        <f t="shared" ca="1" si="438"/>
        <v xml:space="preserve">   SUPRAESTRUTURA - BARRILETE / CAIXA DÁGUA / CASA DE MÁQUINAS</v>
      </c>
      <c r="L628" s="231">
        <f t="shared" ca="1" si="439"/>
        <v>2</v>
      </c>
      <c r="M628" s="228" t="str">
        <f t="shared" ca="1" si="440"/>
        <v xml:space="preserve">   Forma</v>
      </c>
      <c r="N628" s="231">
        <f t="shared" ca="1" si="441"/>
        <v>2</v>
      </c>
      <c r="O628" s="228" t="str">
        <f t="shared" ca="1" si="442"/>
        <v>Fabricação de fôrma para vigas em chapa de madeira compensada plastificada e=14 mm - 2 jogos</v>
      </c>
      <c r="P628" s="232" t="str">
        <f>IF(S628="","",IF(Orçamento!$B628="INSUMO",S628,""))</f>
        <v>MADEIRA PINUS/SIMILAR - SARRAFO PINUS 50X10MM NBR 11700</v>
      </c>
      <c r="Q628" s="244" t="str">
        <f t="shared" si="443"/>
        <v/>
      </c>
      <c r="R628" s="234">
        <f t="shared" ca="1" si="444"/>
        <v>248.86982400000002</v>
      </c>
      <c r="S628" s="233" t="s">
        <v>806</v>
      </c>
      <c r="T628" s="242" t="str">
        <f>_xlfn.XLOOKUP(S628,Insumos!$A$3:$A$371,Insumos!$B$3:$B$371)</f>
        <v>M</v>
      </c>
      <c r="U628" s="235">
        <f ca="1">IF($B628="insumo",R628,"")</f>
        <v>248.86982400000002</v>
      </c>
      <c r="V628" s="320">
        <v>6.952</v>
      </c>
      <c r="W628" s="236">
        <f>IFERROR(IF(B628="INSUMO",_xlfn.XLOOKUP(S628,Insumos!A:A,Insumos!C:C),""),"Inserir Preço")</f>
        <v>2</v>
      </c>
      <c r="X628" s="235">
        <f t="shared" ca="1" si="431"/>
        <v>1730.1430164480003</v>
      </c>
      <c r="Y628" s="236">
        <f t="shared" si="417"/>
        <v>13.904</v>
      </c>
      <c r="Z628" s="237">
        <f t="shared" ca="1" si="401"/>
        <v>3460.2860328960005</v>
      </c>
      <c r="AA628" s="238"/>
      <c r="AB628" s="233" t="str">
        <f>IF(B628="insumo",_xlfn.XLOOKUP(S628,Insumos!A:A,Insumos!D:D),"")</f>
        <v>Base de Dados</v>
      </c>
      <c r="AC628" s="239">
        <f t="shared" ca="1" si="402"/>
        <v>4.9640957955439857E-4</v>
      </c>
      <c r="AE628" s="240">
        <f ca="1">IFERROR(IF(OR(Z628="",Z628=0),"",IF(AF628="","",IF(AF628="R$/mês",Z628/OBRA!$D$12,IF(AF628="R$/m²",Z628/OBRA!$D$10,IF(AF628="R$/apto",Orçamento!Z628/OBRA!$D$11,""))))),"")</f>
        <v>1.7806878408093743</v>
      </c>
      <c r="AF628" s="241" t="s">
        <v>154</v>
      </c>
    </row>
    <row r="629" spans="1:32" s="10" customFormat="1" ht="13.15" hidden="1" customHeight="1" outlineLevel="4" x14ac:dyDescent="0.2">
      <c r="A629" s="227"/>
      <c r="B629" s="228" t="s">
        <v>19</v>
      </c>
      <c r="C629" s="229">
        <f t="shared" si="400"/>
        <v>44</v>
      </c>
      <c r="D629" s="227" t="str">
        <f t="shared" si="432"/>
        <v/>
      </c>
      <c r="E629" s="228" t="str">
        <f t="shared" ca="1" si="433"/>
        <v>04.005.002.002</v>
      </c>
      <c r="F629" s="230">
        <f ca="1">IF($B629="UNIDADE CONSTRUTIVA",OFFSET(F629,-1,0)+1,LARGE(F$10:F628,1))</f>
        <v>2</v>
      </c>
      <c r="G629" s="228" t="str">
        <f t="shared" ca="1" si="434"/>
        <v xml:space="preserve">   GERENCIAMENTO EXECUTIVO</v>
      </c>
      <c r="H629" s="230">
        <f t="shared" ca="1" si="435"/>
        <v>4</v>
      </c>
      <c r="I629" s="228" t="str">
        <f t="shared" ca="1" si="436"/>
        <v xml:space="preserve">   SUPRAESTRUTURA</v>
      </c>
      <c r="J629" s="230">
        <f t="shared" ca="1" si="437"/>
        <v>5</v>
      </c>
      <c r="K629" s="228" t="str">
        <f t="shared" ca="1" si="438"/>
        <v xml:space="preserve">   SUPRAESTRUTURA - BARRILETE / CAIXA DÁGUA / CASA DE MÁQUINAS</v>
      </c>
      <c r="L629" s="231">
        <f t="shared" ca="1" si="439"/>
        <v>2</v>
      </c>
      <c r="M629" s="228" t="str">
        <f t="shared" ca="1" si="440"/>
        <v xml:space="preserve">   Forma</v>
      </c>
      <c r="N629" s="231">
        <f t="shared" ca="1" si="441"/>
        <v>2</v>
      </c>
      <c r="O629" s="228" t="str">
        <f t="shared" ca="1" si="442"/>
        <v>Fabricação de fôrma para vigas em chapa de madeira compensada plastificada e=14 mm - 2 jogos</v>
      </c>
      <c r="P629" s="232" t="str">
        <f>IF(S629="","",IF(Orçamento!$B629="INSUMO",S629,""))</f>
        <v>PREGO 17 x 21 COM CABECA</v>
      </c>
      <c r="Q629" s="244" t="str">
        <f t="shared" si="443"/>
        <v/>
      </c>
      <c r="R629" s="234">
        <f t="shared" ca="1" si="444"/>
        <v>248.86982400000002</v>
      </c>
      <c r="S629" s="233" t="s">
        <v>173</v>
      </c>
      <c r="T629" s="242" t="str">
        <f>_xlfn.XLOOKUP(S629,Insumos!$A$3:$A$371,Insumos!$B$3:$B$371)</f>
        <v>KG</v>
      </c>
      <c r="U629" s="235">
        <f ca="1">IF($B629="insumo",R629,"")</f>
        <v>248.86982400000002</v>
      </c>
      <c r="V629" s="320">
        <v>0.159</v>
      </c>
      <c r="W629" s="236">
        <f>IFERROR(IF(B629="INSUMO",_xlfn.XLOOKUP(S629,Insumos!A:A,Insumos!C:C),""),"Inserir Preço")</f>
        <v>13</v>
      </c>
      <c r="X629" s="235">
        <f t="shared" ca="1" si="431"/>
        <v>39.570302016000007</v>
      </c>
      <c r="Y629" s="236">
        <f t="shared" si="417"/>
        <v>2.0670000000000002</v>
      </c>
      <c r="Z629" s="237">
        <f t="shared" ca="1" si="401"/>
        <v>514.41392620800013</v>
      </c>
      <c r="AA629" s="238"/>
      <c r="AB629" s="233" t="str">
        <f>IF(B629="insumo",_xlfn.XLOOKUP(S629,Insumos!A:A,Insumos!D:D),"")</f>
        <v xml:space="preserve"> </v>
      </c>
      <c r="AC629" s="239">
        <f t="shared" ca="1" si="402"/>
        <v>7.3797367731511933E-5</v>
      </c>
      <c r="AE629" s="240">
        <f ca="1">IFERROR(IF(OR(Z629="",Z629=0),"",IF(AF629="","",IF(AF629="R$/mês",Z629/OBRA!$D$12,IF(AF629="R$/m²",Z629/OBRA!$D$10,IF(AF629="R$/apto",Orçamento!Z629/OBRA!$D$11,""))))),"")</f>
        <v>0.26472107069569745</v>
      </c>
      <c r="AF629" s="241" t="s">
        <v>154</v>
      </c>
    </row>
    <row r="630" spans="1:32" s="10" customFormat="1" ht="13.15" hidden="1" customHeight="1" outlineLevel="4" x14ac:dyDescent="0.2">
      <c r="A630" s="227"/>
      <c r="B630" s="228" t="s">
        <v>4</v>
      </c>
      <c r="C630" s="229">
        <f t="shared" si="400"/>
        <v>5</v>
      </c>
      <c r="D630" s="227" t="str">
        <f t="shared" ca="1" si="432"/>
        <v>04.005.002.003</v>
      </c>
      <c r="E630" s="228" t="str">
        <f t="shared" ca="1" si="433"/>
        <v>04.005.002.003</v>
      </c>
      <c r="F630" s="230">
        <f ca="1">IF($B630="UNIDADE CONSTRUTIVA",OFFSET(F630,-1,0)+1,LARGE(F$10:F629,1))</f>
        <v>2</v>
      </c>
      <c r="G630" s="228" t="str">
        <f t="shared" ca="1" si="434"/>
        <v xml:space="preserve">   GERENCIAMENTO EXECUTIVO</v>
      </c>
      <c r="H630" s="230">
        <f t="shared" ca="1" si="435"/>
        <v>4</v>
      </c>
      <c r="I630" s="228" t="str">
        <f t="shared" ca="1" si="436"/>
        <v xml:space="preserve">   SUPRAESTRUTURA</v>
      </c>
      <c r="J630" s="230">
        <f t="shared" ca="1" si="437"/>
        <v>5</v>
      </c>
      <c r="K630" s="228" t="str">
        <f t="shared" ca="1" si="438"/>
        <v xml:space="preserve">   SUPRAESTRUTURA - BARRILETE / CAIXA DÁGUA / CASA DE MÁQUINAS</v>
      </c>
      <c r="L630" s="231">
        <f t="shared" ca="1" si="439"/>
        <v>2</v>
      </c>
      <c r="M630" s="228" t="str">
        <f t="shared" ca="1" si="440"/>
        <v xml:space="preserve">   Forma</v>
      </c>
      <c r="N630" s="231">
        <f t="shared" ca="1" si="441"/>
        <v>3</v>
      </c>
      <c r="O630" s="228" t="str">
        <f t="shared" ca="1" si="442"/>
        <v>Fabricação de fôrma para Escadas em chapa de madeira compensada plastificada e=14 mm - 2 jogos</v>
      </c>
      <c r="P630" s="232" t="str">
        <f>IF(S630="","",IF(Orçamento!$B630="INSUMO",S630,""))</f>
        <v/>
      </c>
      <c r="Q630" s="244" t="str">
        <f t="shared" si="443"/>
        <v>Fabricação de fôrma para Escadas em chapa de madeira compensada plastificada e=14 mm - 2 jogos</v>
      </c>
      <c r="R630" s="234">
        <f t="shared" ca="1" si="444"/>
        <v>20.850280000000001</v>
      </c>
      <c r="S630" s="233" t="s">
        <v>951</v>
      </c>
      <c r="T630" s="242" t="s">
        <v>140</v>
      </c>
      <c r="U630" s="235">
        <f>U650</f>
        <v>20.850280000000001</v>
      </c>
      <c r="V630" s="320" t="s">
        <v>35</v>
      </c>
      <c r="W630" s="236" t="str">
        <f>IFERROR(IF(B630="INSUMO",_xlfn.XLOOKUP(S630,Insumos!A:A,Insumos!C:C),""),"Inserir Preço")</f>
        <v/>
      </c>
      <c r="X630" s="235">
        <f t="shared" ca="1" si="431"/>
        <v>20.850280000000001</v>
      </c>
      <c r="Y630" s="236">
        <f t="shared" ca="1" si="417"/>
        <v>186.96039999999999</v>
      </c>
      <c r="Z630" s="237">
        <f t="shared" ca="1" si="401"/>
        <v>3898.1766889119999</v>
      </c>
      <c r="AA630" s="238"/>
      <c r="AB630" s="233" t="str">
        <f>IF(B630="insumo",_xlfn.XLOOKUP(S630,Insumos!A:A,Insumos!D:D),"")</f>
        <v/>
      </c>
      <c r="AC630" s="239">
        <f t="shared" ca="1" si="402"/>
        <v>5.592289864985629E-4</v>
      </c>
      <c r="AE630" s="240">
        <f ca="1">IFERROR(IF(OR(Z630="",Z630=0),"",IF(AF630="","",IF(AF630="R$/mês",Z630/OBRA!$D$12,IF(AF630="R$/m²",Z630/OBRA!$D$10,IF(AF630="R$/apto",Orçamento!Z630/OBRA!$D$11,""))))),"")</f>
        <v>2.0060294915743375</v>
      </c>
      <c r="AF630" s="241" t="s">
        <v>154</v>
      </c>
    </row>
    <row r="631" spans="1:32" s="10" customFormat="1" ht="13.15" hidden="1" customHeight="1" outlineLevel="4" x14ac:dyDescent="0.2">
      <c r="A631" s="227"/>
      <c r="B631" s="228" t="s">
        <v>19</v>
      </c>
      <c r="C631" s="229">
        <f t="shared" si="400"/>
        <v>21</v>
      </c>
      <c r="D631" s="227" t="str">
        <f t="shared" si="432"/>
        <v/>
      </c>
      <c r="E631" s="228" t="str">
        <f t="shared" ca="1" si="433"/>
        <v>04.005.002.003</v>
      </c>
      <c r="F631" s="230">
        <f ca="1">IF($B631="UNIDADE CONSTRUTIVA",OFFSET(F631,-1,0)+1,LARGE(F$10:F630,1))</f>
        <v>2</v>
      </c>
      <c r="G631" s="228" t="str">
        <f t="shared" ca="1" si="434"/>
        <v xml:space="preserve">   GERENCIAMENTO EXECUTIVO</v>
      </c>
      <c r="H631" s="230">
        <f t="shared" ca="1" si="435"/>
        <v>4</v>
      </c>
      <c r="I631" s="228" t="str">
        <f t="shared" ca="1" si="436"/>
        <v xml:space="preserve">   SUPRAESTRUTURA</v>
      </c>
      <c r="J631" s="230">
        <f t="shared" ca="1" si="437"/>
        <v>5</v>
      </c>
      <c r="K631" s="228" t="str">
        <f t="shared" ca="1" si="438"/>
        <v xml:space="preserve">   SUPRAESTRUTURA - BARRILETE / CAIXA DÁGUA / CASA DE MÁQUINAS</v>
      </c>
      <c r="L631" s="231">
        <f t="shared" ca="1" si="439"/>
        <v>2</v>
      </c>
      <c r="M631" s="228" t="str">
        <f t="shared" ca="1" si="440"/>
        <v xml:space="preserve">   Forma</v>
      </c>
      <c r="N631" s="231">
        <f t="shared" ca="1" si="441"/>
        <v>3</v>
      </c>
      <c r="O631" s="228" t="str">
        <f t="shared" ca="1" si="442"/>
        <v>Fabricação de fôrma para Escadas em chapa de madeira compensada plastificada e=14 mm - 2 jogos</v>
      </c>
      <c r="P631" s="232" t="str">
        <f>IF(S631="","",IF(Orçamento!$B631="INSUMO",S631,""))</f>
        <v>COMPENSADO MADEIRA TIPO PLASTIFICADO 2200X1100X14MM NBR 1096</v>
      </c>
      <c r="Q631" s="244" t="str">
        <f t="shared" si="443"/>
        <v/>
      </c>
      <c r="R631" s="234">
        <f t="shared" ca="1" si="444"/>
        <v>20.850280000000001</v>
      </c>
      <c r="S631" s="233" t="s">
        <v>804</v>
      </c>
      <c r="T631" s="242" t="str">
        <f>_xlfn.XLOOKUP(S631,Insumos!$A$3:$A$371,Insumos!$B$3:$B$371)</f>
        <v>CH</v>
      </c>
      <c r="U631" s="235">
        <f ca="1">IF($B631="insumo",R631,"")</f>
        <v>20.850280000000001</v>
      </c>
      <c r="V631" s="320">
        <f>ROUNDUP(1.3/(2.2*1.1),4)</f>
        <v>0.53720000000000001</v>
      </c>
      <c r="W631" s="236">
        <f>IFERROR(IF(B631="INSUMO",_xlfn.XLOOKUP(S631,Insumos!A:A,Insumos!C:C),""),"Inserir Preço")</f>
        <v>132</v>
      </c>
      <c r="X631" s="235">
        <f t="shared" ca="1" si="431"/>
        <v>11.200770416000001</v>
      </c>
      <c r="Y631" s="236">
        <f t="shared" si="417"/>
        <v>70.910399999999996</v>
      </c>
      <c r="Z631" s="237">
        <f t="shared" ca="1" si="401"/>
        <v>1478.5016949120002</v>
      </c>
      <c r="AA631" s="238"/>
      <c r="AB631" s="233" t="str">
        <f>IF(B631="insumo",_xlfn.XLOOKUP(S631,Insumos!A:A,Insumos!D:D),"")</f>
        <v xml:space="preserve"> </v>
      </c>
      <c r="AC631" s="239">
        <f t="shared" ca="1" si="402"/>
        <v>2.1210454793746538E-4</v>
      </c>
      <c r="AE631" s="240">
        <f ca="1">IFERROR(IF(OR(Z631="",Z631=0),"",IF(AF631="","",IF(AF631="R$/mês",Z631/OBRA!$D$12,IF(AF631="R$/m²",Z631/OBRA!$D$10,IF(AF631="R$/apto",Orçamento!Z631/OBRA!$D$11,""))))),"")</f>
        <v>0.76084750385286359</v>
      </c>
      <c r="AF631" s="241" t="s">
        <v>154</v>
      </c>
    </row>
    <row r="632" spans="1:32" s="10" customFormat="1" ht="13.15" hidden="1" customHeight="1" outlineLevel="4" x14ac:dyDescent="0.2">
      <c r="A632" s="227"/>
      <c r="B632" s="228" t="s">
        <v>19</v>
      </c>
      <c r="C632" s="229">
        <f t="shared" si="400"/>
        <v>26</v>
      </c>
      <c r="D632" s="227" t="str">
        <f t="shared" si="432"/>
        <v/>
      </c>
      <c r="E632" s="228" t="str">
        <f t="shared" ca="1" si="433"/>
        <v>04.005.002.003</v>
      </c>
      <c r="F632" s="230">
        <f ca="1">IF($B632="UNIDADE CONSTRUTIVA",OFFSET(F632,-1,0)+1,LARGE(F$10:F631,1))</f>
        <v>2</v>
      </c>
      <c r="G632" s="228" t="str">
        <f t="shared" ca="1" si="434"/>
        <v xml:space="preserve">   GERENCIAMENTO EXECUTIVO</v>
      </c>
      <c r="H632" s="230">
        <f t="shared" ca="1" si="435"/>
        <v>4</v>
      </c>
      <c r="I632" s="228" t="str">
        <f t="shared" ca="1" si="436"/>
        <v xml:space="preserve">   SUPRAESTRUTURA</v>
      </c>
      <c r="J632" s="230">
        <f t="shared" ca="1" si="437"/>
        <v>5</v>
      </c>
      <c r="K632" s="228" t="str">
        <f t="shared" ca="1" si="438"/>
        <v xml:space="preserve">   SUPRAESTRUTURA - BARRILETE / CAIXA DÁGUA / CASA DE MÁQUINAS</v>
      </c>
      <c r="L632" s="231">
        <f t="shared" ca="1" si="439"/>
        <v>2</v>
      </c>
      <c r="M632" s="228" t="str">
        <f t="shared" ca="1" si="440"/>
        <v xml:space="preserve">   Forma</v>
      </c>
      <c r="N632" s="231">
        <f t="shared" ca="1" si="441"/>
        <v>3</v>
      </c>
      <c r="O632" s="228" t="str">
        <f t="shared" ca="1" si="442"/>
        <v>Fabricação de fôrma para Escadas em chapa de madeira compensada plastificada e=14 mm - 2 jogos</v>
      </c>
      <c r="P632" s="232" t="str">
        <f>IF(S632="","",IF(Orçamento!$B632="INSUMO",S632,""))</f>
        <v>MADEIRA PINUS/SIMILAR - PONTALETE 75X75MM NBR 11700/15696</v>
      </c>
      <c r="Q632" s="244" t="str">
        <f t="shared" si="443"/>
        <v/>
      </c>
      <c r="R632" s="234">
        <f t="shared" ca="1" si="444"/>
        <v>20.850280000000001</v>
      </c>
      <c r="S632" s="233" t="s">
        <v>807</v>
      </c>
      <c r="T632" s="242" t="str">
        <f>_xlfn.XLOOKUP(S632,Insumos!$A$3:$A$371,Insumos!$B$3:$B$371)</f>
        <v>M</v>
      </c>
      <c r="U632" s="235">
        <f ca="1">IF($B632="insumo",R632,"")</f>
        <v>20.850280000000001</v>
      </c>
      <c r="V632" s="320">
        <v>13.18</v>
      </c>
      <c r="W632" s="236">
        <f>IFERROR(IF(B632="INSUMO",_xlfn.XLOOKUP(S632,Insumos!A:A,Insumos!C:C),""),"Inserir Preço")</f>
        <v>7</v>
      </c>
      <c r="X632" s="235">
        <f t="shared" ca="1" si="431"/>
        <v>274.80669040000004</v>
      </c>
      <c r="Y632" s="236">
        <f t="shared" si="417"/>
        <v>92.259999999999991</v>
      </c>
      <c r="Z632" s="237">
        <f t="shared" ca="1" si="401"/>
        <v>1923.6468328000003</v>
      </c>
      <c r="AA632" s="238"/>
      <c r="AB632" s="233" t="str">
        <f>IF(B632="insumo",_xlfn.XLOOKUP(S632,Insumos!A:A,Insumos!D:D),"")</f>
        <v xml:space="preserve"> </v>
      </c>
      <c r="AC632" s="239">
        <f t="shared" ca="1" si="402"/>
        <v>2.759646764467632E-4</v>
      </c>
      <c r="AE632" s="240">
        <f ca="1">IFERROR(IF(OR(Z632="",Z632=0),"",IF(AF632="","",IF(AF632="R$/mês",Z632/OBRA!$D$12,IF(AF632="R$/m²",Z632/OBRA!$D$10,IF(AF632="R$/apto",Orçamento!Z632/OBRA!$D$11,""))))),"")</f>
        <v>0.98992236266422418</v>
      </c>
      <c r="AF632" s="241" t="s">
        <v>154</v>
      </c>
    </row>
    <row r="633" spans="1:32" s="10" customFormat="1" ht="13.15" hidden="1" customHeight="1" outlineLevel="4" x14ac:dyDescent="0.2">
      <c r="A633" s="227"/>
      <c r="B633" s="228" t="s">
        <v>19</v>
      </c>
      <c r="C633" s="229">
        <f t="shared" si="400"/>
        <v>12</v>
      </c>
      <c r="D633" s="227" t="str">
        <f t="shared" si="432"/>
        <v/>
      </c>
      <c r="E633" s="228" t="str">
        <f t="shared" ca="1" si="433"/>
        <v>04.005.002.003</v>
      </c>
      <c r="F633" s="230">
        <f ca="1">IF($B633="UNIDADE CONSTRUTIVA",OFFSET(F633,-1,0)+1,LARGE(F$10:F632,1))</f>
        <v>2</v>
      </c>
      <c r="G633" s="228" t="str">
        <f t="shared" ca="1" si="434"/>
        <v xml:space="preserve">   GERENCIAMENTO EXECUTIVO</v>
      </c>
      <c r="H633" s="230">
        <f t="shared" ca="1" si="435"/>
        <v>4</v>
      </c>
      <c r="I633" s="228" t="str">
        <f t="shared" ca="1" si="436"/>
        <v xml:space="preserve">   SUPRAESTRUTURA</v>
      </c>
      <c r="J633" s="230">
        <f t="shared" ca="1" si="437"/>
        <v>5</v>
      </c>
      <c r="K633" s="228" t="str">
        <f t="shared" ca="1" si="438"/>
        <v xml:space="preserve">   SUPRAESTRUTURA - BARRILETE / CAIXA DÁGUA / CASA DE MÁQUINAS</v>
      </c>
      <c r="L633" s="231">
        <f t="shared" ca="1" si="439"/>
        <v>2</v>
      </c>
      <c r="M633" s="228" t="str">
        <f t="shared" ca="1" si="440"/>
        <v xml:space="preserve">   Forma</v>
      </c>
      <c r="N633" s="231">
        <f t="shared" ca="1" si="441"/>
        <v>3</v>
      </c>
      <c r="O633" s="228" t="str">
        <f t="shared" ca="1" si="442"/>
        <v>Fabricação de fôrma para Escadas em chapa de madeira compensada plastificada e=14 mm - 2 jogos</v>
      </c>
      <c r="P633" s="232" t="str">
        <f>IF(S633="","",IF(Orçamento!$B633="INSUMO",S633,""))</f>
        <v>SARRAFO DE MADEIRA 7,0 x 3 M</v>
      </c>
      <c r="Q633" s="244" t="str">
        <f t="shared" si="443"/>
        <v/>
      </c>
      <c r="R633" s="234">
        <f t="shared" ca="1" si="444"/>
        <v>20.850280000000001</v>
      </c>
      <c r="S633" s="233" t="s">
        <v>175</v>
      </c>
      <c r="T633" s="242" t="str">
        <f>_xlfn.XLOOKUP(S633,Insumos!$A$3:$A$371,Insumos!$B$3:$B$371)</f>
        <v>M3</v>
      </c>
      <c r="U633" s="235">
        <f ca="1">IF($B633="insumo",R633,"")</f>
        <v>20.850280000000001</v>
      </c>
      <c r="V633" s="320">
        <v>1.7299999999999999E-2</v>
      </c>
      <c r="W633" s="236">
        <f>IFERROR(IF(B633="INSUMO",_xlfn.XLOOKUP(S633,Insumos!A:A,Insumos!C:C),""),"Inserir Preço")</f>
        <v>1300</v>
      </c>
      <c r="X633" s="235">
        <f t="shared" ca="1" si="431"/>
        <v>0.360709844</v>
      </c>
      <c r="Y633" s="236">
        <f t="shared" si="417"/>
        <v>22.49</v>
      </c>
      <c r="Z633" s="237">
        <f t="shared" ca="1" si="401"/>
        <v>468.92279719999999</v>
      </c>
      <c r="AA633" s="238"/>
      <c r="AB633" s="233" t="str">
        <f>IF(B633="insumo",_xlfn.XLOOKUP(S633,Insumos!A:A,Insumos!D:D),"")</f>
        <v xml:space="preserve"> </v>
      </c>
      <c r="AC633" s="239">
        <f t="shared" ca="1" si="402"/>
        <v>6.7271250523387192E-5</v>
      </c>
      <c r="AE633" s="240">
        <f ca="1">IFERROR(IF(OR(Z633="",Z633=0),"",IF(AF633="","",IF(AF633="R$/mês",Z633/OBRA!$D$12,IF(AF633="R$/m²",Z633/OBRA!$D$10,IF(AF633="R$/apto",Orçamento!Z633/OBRA!$D$11,""))))),"")</f>
        <v>0.24131101166614347</v>
      </c>
      <c r="AF633" s="241" t="s">
        <v>154</v>
      </c>
    </row>
    <row r="634" spans="1:32" s="10" customFormat="1" ht="13.15" hidden="1" customHeight="1" outlineLevel="4" x14ac:dyDescent="0.2">
      <c r="A634" s="227"/>
      <c r="B634" s="228" t="s">
        <v>19</v>
      </c>
      <c r="C634" s="229">
        <f t="shared" si="400"/>
        <v>44</v>
      </c>
      <c r="D634" s="227" t="str">
        <f t="shared" si="432"/>
        <v/>
      </c>
      <c r="E634" s="228" t="str">
        <f t="shared" ca="1" si="433"/>
        <v>04.005.002.003</v>
      </c>
      <c r="F634" s="230">
        <f ca="1">IF($B634="UNIDADE CONSTRUTIVA",OFFSET(F634,-1,0)+1,LARGE(F$10:F633,1))</f>
        <v>2</v>
      </c>
      <c r="G634" s="228" t="str">
        <f t="shared" ca="1" si="434"/>
        <v xml:space="preserve">   GERENCIAMENTO EXECUTIVO</v>
      </c>
      <c r="H634" s="230">
        <f t="shared" ca="1" si="435"/>
        <v>4</v>
      </c>
      <c r="I634" s="228" t="str">
        <f t="shared" ca="1" si="436"/>
        <v xml:space="preserve">   SUPRAESTRUTURA</v>
      </c>
      <c r="J634" s="230">
        <f t="shared" ca="1" si="437"/>
        <v>5</v>
      </c>
      <c r="K634" s="228" t="str">
        <f t="shared" ca="1" si="438"/>
        <v xml:space="preserve">   SUPRAESTRUTURA - BARRILETE / CAIXA DÁGUA / CASA DE MÁQUINAS</v>
      </c>
      <c r="L634" s="231">
        <f t="shared" ca="1" si="439"/>
        <v>2</v>
      </c>
      <c r="M634" s="228" t="str">
        <f t="shared" ca="1" si="440"/>
        <v xml:space="preserve">   Forma</v>
      </c>
      <c r="N634" s="231">
        <f t="shared" ca="1" si="441"/>
        <v>3</v>
      </c>
      <c r="O634" s="228" t="str">
        <f t="shared" ca="1" si="442"/>
        <v>Fabricação de fôrma para Escadas em chapa de madeira compensada plastificada e=14 mm - 2 jogos</v>
      </c>
      <c r="P634" s="232" t="str">
        <f>IF(S634="","",IF(Orçamento!$B634="INSUMO",S634,""))</f>
        <v>PREGO 17 x 21 COM CABECA</v>
      </c>
      <c r="Q634" s="244" t="str">
        <f t="shared" si="443"/>
        <v/>
      </c>
      <c r="R634" s="234">
        <f t="shared" ca="1" si="444"/>
        <v>20.850280000000001</v>
      </c>
      <c r="S634" s="233" t="s">
        <v>173</v>
      </c>
      <c r="T634" s="242" t="str">
        <f>_xlfn.XLOOKUP(S634,Insumos!$A$3:$A$371,Insumos!$B$3:$B$371)</f>
        <v>KG</v>
      </c>
      <c r="U634" s="235">
        <f ca="1">IF($B634="insumo",R634,"")</f>
        <v>20.850280000000001</v>
      </c>
      <c r="V634" s="320">
        <v>0.1</v>
      </c>
      <c r="W634" s="236">
        <f>IFERROR(IF(B634="INSUMO",_xlfn.XLOOKUP(S634,Insumos!A:A,Insumos!C:C),""),"Inserir Preço")</f>
        <v>13</v>
      </c>
      <c r="X634" s="235">
        <f t="shared" ca="1" si="431"/>
        <v>2.0850280000000003</v>
      </c>
      <c r="Y634" s="236">
        <f t="shared" si="417"/>
        <v>1.3</v>
      </c>
      <c r="Z634" s="237">
        <f t="shared" ca="1" si="401"/>
        <v>27.105364000000005</v>
      </c>
      <c r="AA634" s="238"/>
      <c r="AB634" s="233" t="str">
        <f>IF(B634="insumo",_xlfn.XLOOKUP(S634,Insumos!A:A,Insumos!D:D),"")</f>
        <v xml:space="preserve"> </v>
      </c>
      <c r="AC634" s="239">
        <f t="shared" ca="1" si="402"/>
        <v>3.8885115909472378E-6</v>
      </c>
      <c r="AE634" s="240">
        <f ca="1">IFERROR(IF(OR(Z634="",Z634=0),"",IF(AF634="","",IF(AF634="R$/mês",Z634/OBRA!$D$12,IF(AF634="R$/m²",Z634/OBRA!$D$10,IF(AF634="R$/apto",Orçamento!Z634/OBRA!$D$11,""))))),"")</f>
        <v>1.3948613391106562E-2</v>
      </c>
      <c r="AF634" s="241" t="s">
        <v>154</v>
      </c>
    </row>
    <row r="635" spans="1:32" s="10" customFormat="1" ht="13.15" hidden="1" customHeight="1" outlineLevel="4" x14ac:dyDescent="0.2">
      <c r="A635" s="227"/>
      <c r="B635" s="228" t="s">
        <v>4</v>
      </c>
      <c r="C635" s="229">
        <f t="shared" si="400"/>
        <v>5</v>
      </c>
      <c r="D635" s="227" t="str">
        <f t="shared" ca="1" si="432"/>
        <v>04.005.002.004</v>
      </c>
      <c r="E635" s="228" t="str">
        <f t="shared" ca="1" si="433"/>
        <v>04.005.002.004</v>
      </c>
      <c r="F635" s="230">
        <f ca="1">IF($B635="UNIDADE CONSTRUTIVA",OFFSET(F635,-1,0)+1,LARGE(F$10:F634,1))</f>
        <v>2</v>
      </c>
      <c r="G635" s="228" t="str">
        <f t="shared" ca="1" si="434"/>
        <v xml:space="preserve">   GERENCIAMENTO EXECUTIVO</v>
      </c>
      <c r="H635" s="230">
        <f t="shared" ca="1" si="435"/>
        <v>4</v>
      </c>
      <c r="I635" s="228" t="str">
        <f t="shared" ca="1" si="436"/>
        <v xml:space="preserve">   SUPRAESTRUTURA</v>
      </c>
      <c r="J635" s="230">
        <f t="shared" ca="1" si="437"/>
        <v>5</v>
      </c>
      <c r="K635" s="228" t="str">
        <f t="shared" ca="1" si="438"/>
        <v xml:space="preserve">   SUPRAESTRUTURA - BARRILETE / CAIXA DÁGUA / CASA DE MÁQUINAS</v>
      </c>
      <c r="L635" s="231">
        <f t="shared" ca="1" si="439"/>
        <v>2</v>
      </c>
      <c r="M635" s="228" t="str">
        <f t="shared" ca="1" si="440"/>
        <v xml:space="preserve">   Forma</v>
      </c>
      <c r="N635" s="231">
        <f t="shared" ca="1" si="441"/>
        <v>4</v>
      </c>
      <c r="O635" s="228" t="str">
        <f t="shared" ca="1" si="442"/>
        <v>Fabricação de fôrma para laje em chapa de madeira compensada plastificada e=14 mm - 2 jogos</v>
      </c>
      <c r="P635" s="232" t="str">
        <f>IF(S635="","",IF(Orçamento!$B635="INSUMO",S635,""))</f>
        <v/>
      </c>
      <c r="Q635" s="244" t="str">
        <f t="shared" si="443"/>
        <v>Fabricação de fôrma para laje em chapa de madeira compensada plastificada e=14 mm - 2 jogos</v>
      </c>
      <c r="R635" s="234">
        <f t="shared" ca="1" si="444"/>
        <v>192.34485000000001</v>
      </c>
      <c r="S635" s="233" t="s">
        <v>194</v>
      </c>
      <c r="T635" s="242" t="s">
        <v>140</v>
      </c>
      <c r="U635" s="235">
        <f>U638</f>
        <v>192.34485000000001</v>
      </c>
      <c r="V635" s="320"/>
      <c r="W635" s="236" t="str">
        <f>IFERROR(IF(B635="INSUMO",_xlfn.XLOOKUP(S635,Insumos!A:A,Insumos!C:C),""),"Inserir Preço")</f>
        <v/>
      </c>
      <c r="X635" s="235">
        <f t="shared" ca="1" si="431"/>
        <v>192.34485000000001</v>
      </c>
      <c r="Y635" s="236">
        <f t="shared" ca="1" si="417"/>
        <v>59.341799999999999</v>
      </c>
      <c r="Z635" s="237">
        <f t="shared" ca="1" si="401"/>
        <v>11414.089619730001</v>
      </c>
      <c r="AA635" s="238"/>
      <c r="AB635" s="233" t="str">
        <f>IF(B635="insumo",_xlfn.XLOOKUP(S635,Insumos!A:A,Insumos!D:D),"")</f>
        <v/>
      </c>
      <c r="AC635" s="239">
        <f t="shared" ca="1" si="402"/>
        <v>1.6374552205397665E-3</v>
      </c>
      <c r="AE635" s="240">
        <f ca="1">IFERROR(IF(OR(Z635="",Z635=0),"",IF(AF635="","",IF(AF635="R$/mês",Z635/OBRA!$D$12,IF(AF635="R$/m²",Z635/OBRA!$D$10,IF(AF635="R$/apto",Orçamento!Z635/OBRA!$D$11,""))))),"")</f>
        <v>5.8737718230626328</v>
      </c>
      <c r="AF635" s="241" t="s">
        <v>154</v>
      </c>
    </row>
    <row r="636" spans="1:32" s="10" customFormat="1" ht="13.15" hidden="1" customHeight="1" outlineLevel="4" x14ac:dyDescent="0.2">
      <c r="A636" s="227"/>
      <c r="B636" s="228" t="s">
        <v>19</v>
      </c>
      <c r="C636" s="229">
        <f t="shared" si="400"/>
        <v>21</v>
      </c>
      <c r="D636" s="227" t="str">
        <f t="shared" si="432"/>
        <v/>
      </c>
      <c r="E636" s="228" t="str">
        <f t="shared" ca="1" si="433"/>
        <v>04.005.002.004</v>
      </c>
      <c r="F636" s="230">
        <f ca="1">IF($B636="UNIDADE CONSTRUTIVA",OFFSET(F636,-1,0)+1,LARGE(F$10:F635,1))</f>
        <v>2</v>
      </c>
      <c r="G636" s="228" t="str">
        <f t="shared" ca="1" si="434"/>
        <v xml:space="preserve">   GERENCIAMENTO EXECUTIVO</v>
      </c>
      <c r="H636" s="230">
        <f t="shared" ca="1" si="435"/>
        <v>4</v>
      </c>
      <c r="I636" s="228" t="str">
        <f t="shared" ca="1" si="436"/>
        <v xml:space="preserve">   SUPRAESTRUTURA</v>
      </c>
      <c r="J636" s="230">
        <f t="shared" ca="1" si="437"/>
        <v>5</v>
      </c>
      <c r="K636" s="228" t="str">
        <f t="shared" ca="1" si="438"/>
        <v xml:space="preserve">   SUPRAESTRUTURA - BARRILETE / CAIXA DÁGUA / CASA DE MÁQUINAS</v>
      </c>
      <c r="L636" s="231">
        <f t="shared" ca="1" si="439"/>
        <v>2</v>
      </c>
      <c r="M636" s="228" t="str">
        <f t="shared" ca="1" si="440"/>
        <v xml:space="preserve">   Forma</v>
      </c>
      <c r="N636" s="231">
        <f t="shared" ca="1" si="441"/>
        <v>4</v>
      </c>
      <c r="O636" s="228" t="str">
        <f t="shared" ca="1" si="442"/>
        <v>Fabricação de fôrma para laje em chapa de madeira compensada plastificada e=14 mm - 2 jogos</v>
      </c>
      <c r="P636" s="232" t="str">
        <f>IF(S636="","",IF(Orçamento!$B636="INSUMO",S636,""))</f>
        <v>COMPENSADO MADEIRA TIPO PLASTIFICADO 2200X1100X14MM NBR 1096</v>
      </c>
      <c r="Q636" s="244" t="str">
        <f t="shared" si="443"/>
        <v/>
      </c>
      <c r="R636" s="234">
        <f t="shared" ca="1" si="444"/>
        <v>192.34485000000001</v>
      </c>
      <c r="S636" s="233" t="s">
        <v>804</v>
      </c>
      <c r="T636" s="242" t="str">
        <f>_xlfn.XLOOKUP(S636,Insumos!$A$3:$A$371,Insumos!$B$3:$B$371)</f>
        <v>CH</v>
      </c>
      <c r="U636" s="235">
        <f ca="1">IF($B636="insumo",R636,"")</f>
        <v>192.34485000000001</v>
      </c>
      <c r="V636" s="320">
        <f>ROUNDUP(1.05/(2.2*1.1),4)</f>
        <v>0.43390000000000001</v>
      </c>
      <c r="W636" s="236">
        <f>IFERROR(IF(B636="INSUMO",_xlfn.XLOOKUP(S636,Insumos!A:A,Insumos!C:C),""),"Inserir Preço")</f>
        <v>132</v>
      </c>
      <c r="X636" s="235">
        <f t="shared" ca="1" si="431"/>
        <v>83.458430415000009</v>
      </c>
      <c r="Y636" s="236">
        <f t="shared" si="417"/>
        <v>57.274799999999999</v>
      </c>
      <c r="Z636" s="237">
        <f t="shared" ca="1" si="401"/>
        <v>11016.512814780001</v>
      </c>
      <c r="AA636" s="238"/>
      <c r="AB636" s="233" t="str">
        <f>IF(B636="insumo",_xlfn.XLOOKUP(S636,Insumos!A:A,Insumos!D:D),"")</f>
        <v xml:space="preserve"> </v>
      </c>
      <c r="AC636" s="239">
        <f t="shared" ca="1" si="402"/>
        <v>1.580419203080645E-3</v>
      </c>
      <c r="AE636" s="240">
        <f ca="1">IFERROR(IF(OR(Z636="",Z636=0),"",IF(AF636="","",IF(AF636="R$/mês",Z636/OBRA!$D$12,IF(AF636="R$/m²",Z636/OBRA!$D$10,IF(AF636="R$/apto",Orçamento!Z636/OBRA!$D$11,""))))),"")</f>
        <v>5.6691759672195268</v>
      </c>
      <c r="AF636" s="241" t="s">
        <v>154</v>
      </c>
    </row>
    <row r="637" spans="1:32" s="10" customFormat="1" ht="13.15" hidden="1" customHeight="1" outlineLevel="4" x14ac:dyDescent="0.2">
      <c r="A637" s="227"/>
      <c r="B637" s="228" t="s">
        <v>19</v>
      </c>
      <c r="C637" s="229">
        <f t="shared" si="400"/>
        <v>44</v>
      </c>
      <c r="D637" s="227" t="str">
        <f t="shared" si="432"/>
        <v/>
      </c>
      <c r="E637" s="228" t="str">
        <f t="shared" ca="1" si="433"/>
        <v>04.005.002.004</v>
      </c>
      <c r="F637" s="230">
        <f ca="1">IF($B637="UNIDADE CONSTRUTIVA",OFFSET(F637,-1,0)+1,LARGE(F$10:F636,1))</f>
        <v>2</v>
      </c>
      <c r="G637" s="228" t="str">
        <f t="shared" ca="1" si="434"/>
        <v xml:space="preserve">   GERENCIAMENTO EXECUTIVO</v>
      </c>
      <c r="H637" s="230">
        <f t="shared" ca="1" si="435"/>
        <v>4</v>
      </c>
      <c r="I637" s="228" t="str">
        <f t="shared" ca="1" si="436"/>
        <v xml:space="preserve">   SUPRAESTRUTURA</v>
      </c>
      <c r="J637" s="230">
        <f t="shared" ca="1" si="437"/>
        <v>5</v>
      </c>
      <c r="K637" s="228" t="str">
        <f t="shared" ca="1" si="438"/>
        <v xml:space="preserve">   SUPRAESTRUTURA - BARRILETE / CAIXA DÁGUA / CASA DE MÁQUINAS</v>
      </c>
      <c r="L637" s="231">
        <f t="shared" ca="1" si="439"/>
        <v>2</v>
      </c>
      <c r="M637" s="228" t="str">
        <f t="shared" ca="1" si="440"/>
        <v xml:space="preserve">   Forma</v>
      </c>
      <c r="N637" s="231">
        <f t="shared" ca="1" si="441"/>
        <v>4</v>
      </c>
      <c r="O637" s="228" t="str">
        <f t="shared" ca="1" si="442"/>
        <v>Fabricação de fôrma para laje em chapa de madeira compensada plastificada e=14 mm - 2 jogos</v>
      </c>
      <c r="P637" s="232" t="str">
        <f>IF(S637="","",IF(Orçamento!$B637="INSUMO",S637,""))</f>
        <v>PREGO 17 x 21 COM CABECA</v>
      </c>
      <c r="Q637" s="244" t="str">
        <f t="shared" si="443"/>
        <v/>
      </c>
      <c r="R637" s="234">
        <f t="shared" ca="1" si="444"/>
        <v>192.34485000000001</v>
      </c>
      <c r="S637" s="233" t="s">
        <v>173</v>
      </c>
      <c r="T637" s="242" t="str">
        <f>_xlfn.XLOOKUP(S637,Insumos!$A$3:$A$371,Insumos!$B$3:$B$371)</f>
        <v>KG</v>
      </c>
      <c r="U637" s="235">
        <f ca="1">IF($B637="insumo",R637,"")</f>
        <v>192.34485000000001</v>
      </c>
      <c r="V637" s="320">
        <v>0.159</v>
      </c>
      <c r="W637" s="236">
        <f>IFERROR(IF(B637="INSUMO",_xlfn.XLOOKUP(S637,Insumos!A:A,Insumos!C:C),""),"Inserir Preço")</f>
        <v>13</v>
      </c>
      <c r="X637" s="235">
        <f t="shared" ca="1" si="431"/>
        <v>30.582831150000001</v>
      </c>
      <c r="Y637" s="236">
        <f t="shared" si="417"/>
        <v>2.0670000000000002</v>
      </c>
      <c r="Z637" s="237">
        <f t="shared" ca="1" si="401"/>
        <v>397.57680495</v>
      </c>
      <c r="AA637" s="238"/>
      <c r="AB637" s="233" t="str">
        <f>IF(B637="insumo",_xlfn.XLOOKUP(S637,Insumos!A:A,Insumos!D:D),"")</f>
        <v xml:space="preserve"> </v>
      </c>
      <c r="AC637" s="239">
        <f t="shared" ca="1" si="402"/>
        <v>5.7036017459121518E-5</v>
      </c>
      <c r="AE637" s="240">
        <f ca="1">IFERROR(IF(OR(Z637="",Z637=0),"",IF(AF637="","",IF(AF637="R$/mês",Z637/OBRA!$D$12,IF(AF637="R$/m²",Z637/OBRA!$D$10,IF(AF637="R$/apto",Orçamento!Z637/OBRA!$D$11,""))))),"")</f>
        <v>0.20459585584310658</v>
      </c>
      <c r="AF637" s="241" t="s">
        <v>154</v>
      </c>
    </row>
    <row r="638" spans="1:32" s="10" customFormat="1" ht="13.15" hidden="1" customHeight="1" outlineLevel="4" x14ac:dyDescent="0.2">
      <c r="A638" s="227"/>
      <c r="B638" s="228" t="s">
        <v>4</v>
      </c>
      <c r="C638" s="229">
        <f t="shared" si="400"/>
        <v>5</v>
      </c>
      <c r="D638" s="227" t="str">
        <f t="shared" ca="1" si="418"/>
        <v>04.005.002.005</v>
      </c>
      <c r="E638" s="228" t="str">
        <f t="shared" ca="1" si="419"/>
        <v>04.005.002.005</v>
      </c>
      <c r="F638" s="230">
        <f ca="1">IF($B638="UNIDADE CONSTRUTIVA",OFFSET(F638,-1,0)+1,LARGE(F$10:F637,1))</f>
        <v>2</v>
      </c>
      <c r="G638" s="228" t="str">
        <f t="shared" ca="1" si="420"/>
        <v xml:space="preserve">   GERENCIAMENTO EXECUTIVO</v>
      </c>
      <c r="H638" s="230">
        <f t="shared" ca="1" si="421"/>
        <v>4</v>
      </c>
      <c r="I638" s="228" t="str">
        <f t="shared" ca="1" si="422"/>
        <v xml:space="preserve">   SUPRAESTRUTURA</v>
      </c>
      <c r="J638" s="230">
        <f t="shared" ca="1" si="423"/>
        <v>5</v>
      </c>
      <c r="K638" s="228" t="str">
        <f t="shared" ca="1" si="424"/>
        <v xml:space="preserve">   SUPRAESTRUTURA - BARRILETE / CAIXA DÁGUA / CASA DE MÁQUINAS</v>
      </c>
      <c r="L638" s="231">
        <f t="shared" ca="1" si="425"/>
        <v>2</v>
      </c>
      <c r="M638" s="228" t="str">
        <f t="shared" ca="1" si="426"/>
        <v xml:space="preserve">   Forma</v>
      </c>
      <c r="N638" s="231">
        <f t="shared" ca="1" si="427"/>
        <v>5</v>
      </c>
      <c r="O638" s="228" t="str">
        <f t="shared" ca="1" si="428"/>
        <v>Montagem e desmontagem de fôrma para laje em chapa de madeira compensada plastificada</v>
      </c>
      <c r="P638" s="232" t="str">
        <f>IF(S638="","",IF(Orçamento!$B638="INSUMO",S638,""))</f>
        <v/>
      </c>
      <c r="Q638" s="244" t="str">
        <f t="shared" si="429"/>
        <v>Montagem e desmontagem de fôrma para laje em chapa de madeira compensada plastificada</v>
      </c>
      <c r="R638" s="234">
        <f t="shared" ca="1" si="430"/>
        <v>192.34485000000001</v>
      </c>
      <c r="S638" s="233" t="s">
        <v>195</v>
      </c>
      <c r="T638" s="242" t="s">
        <v>140</v>
      </c>
      <c r="U638" s="235">
        <v>192.34485000000001</v>
      </c>
      <c r="V638" s="320" t="s">
        <v>35</v>
      </c>
      <c r="W638" s="236" t="str">
        <f>IFERROR(IF(B638="INSUMO",_xlfn.XLOOKUP(S638,Insumos!A:A,Insumos!C:C),""),"Inserir Preço")</f>
        <v/>
      </c>
      <c r="X638" s="235">
        <f t="shared" ca="1" si="431"/>
        <v>192.34485000000001</v>
      </c>
      <c r="Y638" s="236">
        <f t="shared" ca="1" si="417"/>
        <v>0.79095000000000004</v>
      </c>
      <c r="Z638" s="237">
        <f t="shared" ca="1" si="401"/>
        <v>152.13515910750002</v>
      </c>
      <c r="AA638" s="238"/>
      <c r="AB638" s="233" t="str">
        <f>IF(B638="insumo",_xlfn.XLOOKUP(S638,Insumos!A:A,Insumos!D:D),"")</f>
        <v/>
      </c>
      <c r="AC638" s="239">
        <f t="shared" ca="1" si="402"/>
        <v>2.1825175621331478E-5</v>
      </c>
      <c r="AE638" s="240">
        <f ca="1">IFERROR(IF(OR(Z638="",Z638=0),"",IF(AF638="","",IF(AF638="R$/mês",Z638/OBRA!$D$12,IF(AF638="R$/m²",Z638/OBRA!$D$10,IF(AF638="R$/apto",Orçamento!Z638/OBRA!$D$11,""))))),"")</f>
        <v>7.8289836564637241E-2</v>
      </c>
      <c r="AF638" s="241" t="s">
        <v>154</v>
      </c>
    </row>
    <row r="639" spans="1:32" s="10" customFormat="1" ht="13.15" hidden="1" customHeight="1" outlineLevel="4" x14ac:dyDescent="0.2">
      <c r="A639" s="227"/>
      <c r="B639" s="228" t="s">
        <v>19</v>
      </c>
      <c r="C639" s="229">
        <f t="shared" si="400"/>
        <v>29</v>
      </c>
      <c r="D639" s="227" t="str">
        <f t="shared" si="418"/>
        <v/>
      </c>
      <c r="E639" s="228" t="str">
        <f t="shared" ca="1" si="419"/>
        <v>04.005.002.005</v>
      </c>
      <c r="F639" s="230">
        <f ca="1">IF($B639="UNIDADE CONSTRUTIVA",OFFSET(F639,-1,0)+1,LARGE(F$10:F638,1))</f>
        <v>2</v>
      </c>
      <c r="G639" s="228" t="str">
        <f t="shared" ca="1" si="420"/>
        <v xml:space="preserve">   GERENCIAMENTO EXECUTIVO</v>
      </c>
      <c r="H639" s="230">
        <f t="shared" ca="1" si="421"/>
        <v>4</v>
      </c>
      <c r="I639" s="228" t="str">
        <f t="shared" ca="1" si="422"/>
        <v xml:space="preserve">   SUPRAESTRUTURA</v>
      </c>
      <c r="J639" s="230">
        <f t="shared" ca="1" si="423"/>
        <v>5</v>
      </c>
      <c r="K639" s="228" t="str">
        <f t="shared" ca="1" si="424"/>
        <v xml:space="preserve">   SUPRAESTRUTURA - BARRILETE / CAIXA DÁGUA / CASA DE MÁQUINAS</v>
      </c>
      <c r="L639" s="231">
        <f t="shared" ca="1" si="425"/>
        <v>2</v>
      </c>
      <c r="M639" s="228" t="str">
        <f t="shared" ca="1" si="426"/>
        <v xml:space="preserve">   Forma</v>
      </c>
      <c r="N639" s="231">
        <f t="shared" ca="1" si="427"/>
        <v>5</v>
      </c>
      <c r="O639" s="228" t="str">
        <f t="shared" ca="1" si="428"/>
        <v>Montagem e desmontagem de fôrma para laje em chapa de madeira compensada plastificada</v>
      </c>
      <c r="P639" s="232" t="str">
        <f>IF(S639="","",IF(Orçamento!$B639="INSUMO",S639,""))</f>
        <v>DESMOLDANTE</v>
      </c>
      <c r="Q639" s="244" t="str">
        <f t="shared" si="429"/>
        <v/>
      </c>
      <c r="R639" s="234">
        <f t="shared" ca="1" si="430"/>
        <v>192.34485000000001</v>
      </c>
      <c r="S639" s="233" t="s">
        <v>171</v>
      </c>
      <c r="T639" s="242" t="str">
        <f>_xlfn.XLOOKUP(S639,Insumos!$A$3:$A$371,Insumos!$B$3:$B$371)</f>
        <v>L</v>
      </c>
      <c r="U639" s="235">
        <f ca="1">IF($B639="insumo",R639,"")</f>
        <v>192.34485000000001</v>
      </c>
      <c r="V639" s="320">
        <v>0.06</v>
      </c>
      <c r="W639" s="236">
        <f>IFERROR(IF(B639="INSUMO",_xlfn.XLOOKUP(S639,Insumos!A:A,Insumos!C:C),""),"Inserir Preço")</f>
        <v>6.34</v>
      </c>
      <c r="X639" s="235">
        <f t="shared" ca="1" si="431"/>
        <v>11.540691000000001</v>
      </c>
      <c r="Y639" s="236">
        <f t="shared" si="417"/>
        <v>0.38039999999999996</v>
      </c>
      <c r="Z639" s="237">
        <f t="shared" ca="1" si="401"/>
        <v>73.167980940000007</v>
      </c>
      <c r="AA639" s="238"/>
      <c r="AB639" s="233" t="str">
        <f>IF(B639="insumo",_xlfn.XLOOKUP(S639,Insumos!A:A,Insumos!D:D),"")</f>
        <v xml:space="preserve"> </v>
      </c>
      <c r="AC639" s="239">
        <f t="shared" ca="1" si="402"/>
        <v>1.0496613953289708E-5</v>
      </c>
      <c r="AE639" s="240">
        <f ca="1">IFERROR(IF(OR(Z639="",Z639=0),"",IF(AF639="","",IF(AF639="R$/mês",Z639/OBRA!$D$12,IF(AF639="R$/m²",Z639/OBRA!$D$10,IF(AF639="R$/apto",Orçamento!Z639/OBRA!$D$11,""))))),"")</f>
        <v>3.7652764181285797E-2</v>
      </c>
      <c r="AF639" s="241" t="s">
        <v>154</v>
      </c>
    </row>
    <row r="640" spans="1:32" s="10" customFormat="1" ht="13.15" hidden="1" customHeight="1" outlineLevel="4" x14ac:dyDescent="0.2">
      <c r="A640" s="227"/>
      <c r="B640" s="228" t="s">
        <v>19</v>
      </c>
      <c r="C640" s="229">
        <f t="shared" si="400"/>
        <v>20</v>
      </c>
      <c r="D640" s="227" t="str">
        <f t="shared" si="418"/>
        <v/>
      </c>
      <c r="E640" s="228" t="str">
        <f t="shared" ca="1" si="419"/>
        <v>04.005.002.005</v>
      </c>
      <c r="F640" s="230">
        <f ca="1">IF($B640="UNIDADE CONSTRUTIVA",OFFSET(F640,-1,0)+1,LARGE(F$10:F639,1))</f>
        <v>2</v>
      </c>
      <c r="G640" s="228" t="str">
        <f t="shared" ca="1" si="420"/>
        <v xml:space="preserve">   GERENCIAMENTO EXECUTIVO</v>
      </c>
      <c r="H640" s="230">
        <f t="shared" ca="1" si="421"/>
        <v>4</v>
      </c>
      <c r="I640" s="228" t="str">
        <f t="shared" ca="1" si="422"/>
        <v xml:space="preserve">   SUPRAESTRUTURA</v>
      </c>
      <c r="J640" s="230">
        <f t="shared" ca="1" si="423"/>
        <v>5</v>
      </c>
      <c r="K640" s="228" t="str">
        <f t="shared" ca="1" si="424"/>
        <v xml:space="preserve">   SUPRAESTRUTURA - BARRILETE / CAIXA DÁGUA / CASA DE MÁQUINAS</v>
      </c>
      <c r="L640" s="231">
        <f t="shared" ca="1" si="425"/>
        <v>2</v>
      </c>
      <c r="M640" s="228" t="str">
        <f t="shared" ca="1" si="426"/>
        <v xml:space="preserve">   Forma</v>
      </c>
      <c r="N640" s="231">
        <f t="shared" ca="1" si="427"/>
        <v>5</v>
      </c>
      <c r="O640" s="228" t="str">
        <f t="shared" ca="1" si="428"/>
        <v>Montagem e desmontagem de fôrma para laje em chapa de madeira compensada plastificada</v>
      </c>
      <c r="P640" s="232" t="str">
        <f>IF(S640="","",IF(Orçamento!$B640="INSUMO",S640,""))</f>
        <v>Arame recozido 12 BWG</v>
      </c>
      <c r="Q640" s="244" t="str">
        <f t="shared" si="429"/>
        <v/>
      </c>
      <c r="R640" s="234">
        <f t="shared" ca="1" si="430"/>
        <v>192.34485000000001</v>
      </c>
      <c r="S640" s="233" t="s">
        <v>196</v>
      </c>
      <c r="T640" s="242" t="str">
        <f>_xlfn.XLOOKUP(S640,Insumos!$A$3:$A$371,Insumos!$B$3:$B$371)</f>
        <v>KG</v>
      </c>
      <c r="U640" s="235">
        <f ca="1">IF($B640="insumo",R640,"")</f>
        <v>192.34485000000001</v>
      </c>
      <c r="V640" s="320">
        <v>3.5700000000000003E-2</v>
      </c>
      <c r="W640" s="236">
        <f>IFERROR(IF(B640="INSUMO",_xlfn.XLOOKUP(S640,Insumos!A:A,Insumos!C:C),""),"Inserir Preço")</f>
        <v>11.5</v>
      </c>
      <c r="X640" s="235">
        <f t="shared" ca="1" si="431"/>
        <v>6.8667111450000009</v>
      </c>
      <c r="Y640" s="236">
        <f t="shared" si="417"/>
        <v>0.41055000000000003</v>
      </c>
      <c r="Z640" s="237">
        <f t="shared" ca="1" si="401"/>
        <v>78.967178167500009</v>
      </c>
      <c r="AA640" s="238"/>
      <c r="AB640" s="233" t="str">
        <f>IF(B640="insumo",_xlfn.XLOOKUP(S640,Insumos!A:A,Insumos!D:D),"")</f>
        <v>Base de Dados</v>
      </c>
      <c r="AC640" s="239">
        <f t="shared" ca="1" si="402"/>
        <v>1.1328561668041772E-5</v>
      </c>
      <c r="AE640" s="240">
        <f ca="1">IFERROR(IF(OR(Z640="",Z640=0),"",IF(AF640="","",IF(AF640="R$/mês",Z640/OBRA!$D$12,IF(AF640="R$/m²",Z640/OBRA!$D$10,IF(AF640="R$/apto",Orçamento!Z640/OBRA!$D$11,""))))),"")</f>
        <v>4.0637072383351437E-2</v>
      </c>
      <c r="AF640" s="241" t="s">
        <v>154</v>
      </c>
    </row>
    <row r="641" spans="1:32" s="10" customFormat="1" ht="13.15" hidden="1" customHeight="1" outlineLevel="4" x14ac:dyDescent="0.2">
      <c r="A641" s="227"/>
      <c r="B641" s="228" t="s">
        <v>4</v>
      </c>
      <c r="C641" s="229">
        <f t="shared" si="400"/>
        <v>5</v>
      </c>
      <c r="D641" s="227" t="str">
        <f t="shared" ca="1" si="418"/>
        <v>04.005.002.006</v>
      </c>
      <c r="E641" s="228" t="str">
        <f t="shared" ca="1" si="419"/>
        <v>04.005.002.006</v>
      </c>
      <c r="F641" s="230">
        <f ca="1">IF($B641="UNIDADE CONSTRUTIVA",OFFSET(F641,-1,0)+1,LARGE(F$10:F640,1))</f>
        <v>2</v>
      </c>
      <c r="G641" s="228" t="str">
        <f t="shared" ca="1" si="420"/>
        <v xml:space="preserve">   GERENCIAMENTO EXECUTIVO</v>
      </c>
      <c r="H641" s="230">
        <f t="shared" ca="1" si="421"/>
        <v>4</v>
      </c>
      <c r="I641" s="228" t="str">
        <f t="shared" ca="1" si="422"/>
        <v xml:space="preserve">   SUPRAESTRUTURA</v>
      </c>
      <c r="J641" s="230">
        <f t="shared" ca="1" si="423"/>
        <v>5</v>
      </c>
      <c r="K641" s="228" t="str">
        <f t="shared" ca="1" si="424"/>
        <v xml:space="preserve">   SUPRAESTRUTURA - BARRILETE / CAIXA DÁGUA / CASA DE MÁQUINAS</v>
      </c>
      <c r="L641" s="231">
        <f t="shared" ca="1" si="425"/>
        <v>2</v>
      </c>
      <c r="M641" s="228" t="str">
        <f t="shared" ca="1" si="426"/>
        <v xml:space="preserve">   Forma</v>
      </c>
      <c r="N641" s="231">
        <f t="shared" ca="1" si="427"/>
        <v>6</v>
      </c>
      <c r="O641" s="228" t="str">
        <f t="shared" ca="1" si="428"/>
        <v>Montagem e desmontagem de fôrma para pilares em chapa de madeira compensada plastificada</v>
      </c>
      <c r="P641" s="232" t="str">
        <f>IF(S641="","",IF(Orçamento!$B641="INSUMO",S641,""))</f>
        <v/>
      </c>
      <c r="Q641" s="244" t="str">
        <f t="shared" si="429"/>
        <v>Montagem e desmontagem de fôrma para pilares em chapa de madeira compensada plastificada</v>
      </c>
      <c r="R641" s="234">
        <f t="shared" ca="1" si="430"/>
        <v>117.70479999999996</v>
      </c>
      <c r="S641" s="233" t="s">
        <v>197</v>
      </c>
      <c r="T641" s="242" t="s">
        <v>140</v>
      </c>
      <c r="U641" s="235">
        <v>117.70479999999996</v>
      </c>
      <c r="V641" s="320" t="s">
        <v>35</v>
      </c>
      <c r="W641" s="236" t="str">
        <f>IFERROR(IF(B641="INSUMO",_xlfn.XLOOKUP(S641,Insumos!A:A,Insumos!C:C),""),"Inserir Preço")</f>
        <v/>
      </c>
      <c r="X641" s="235">
        <f t="shared" ca="1" si="431"/>
        <v>117.70479999999996</v>
      </c>
      <c r="Y641" s="236">
        <f t="shared" ca="1" si="417"/>
        <v>1.14195</v>
      </c>
      <c r="Z641" s="237">
        <f t="shared" ca="1" si="401"/>
        <v>134.41299635999997</v>
      </c>
      <c r="AA641" s="238"/>
      <c r="AB641" s="233" t="str">
        <f>IF(B641="insumo",_xlfn.XLOOKUP(S641,Insumos!A:A,Insumos!D:D),"")</f>
        <v/>
      </c>
      <c r="AC641" s="239">
        <f t="shared" ca="1" si="402"/>
        <v>1.9282769798620254E-5</v>
      </c>
      <c r="AE641" s="240">
        <f ca="1">IFERROR(IF(OR(Z641="",Z641=0),"",IF(AF641="","",IF(AF641="R$/mês",Z641/OBRA!$D$12,IF(AF641="R$/m²",Z641/OBRA!$D$10,IF(AF641="R$/apto",Orçamento!Z641/OBRA!$D$11,""))))),"")</f>
        <v>6.9169885376409362E-2</v>
      </c>
      <c r="AF641" s="241" t="s">
        <v>154</v>
      </c>
    </row>
    <row r="642" spans="1:32" s="10" customFormat="1" ht="13.15" hidden="1" customHeight="1" outlineLevel="4" x14ac:dyDescent="0.2">
      <c r="A642" s="227"/>
      <c r="B642" s="228" t="s">
        <v>19</v>
      </c>
      <c r="C642" s="229">
        <f t="shared" si="400"/>
        <v>29</v>
      </c>
      <c r="D642" s="227" t="str">
        <f t="shared" si="418"/>
        <v/>
      </c>
      <c r="E642" s="228" t="str">
        <f t="shared" ca="1" si="419"/>
        <v>04.005.002.006</v>
      </c>
      <c r="F642" s="230">
        <f ca="1">IF($B642="UNIDADE CONSTRUTIVA",OFFSET(F642,-1,0)+1,LARGE(F$10:F641,1))</f>
        <v>2</v>
      </c>
      <c r="G642" s="228" t="str">
        <f t="shared" ca="1" si="420"/>
        <v xml:space="preserve">   GERENCIAMENTO EXECUTIVO</v>
      </c>
      <c r="H642" s="230">
        <f t="shared" ca="1" si="421"/>
        <v>4</v>
      </c>
      <c r="I642" s="228" t="str">
        <f t="shared" ca="1" si="422"/>
        <v xml:space="preserve">   SUPRAESTRUTURA</v>
      </c>
      <c r="J642" s="230">
        <f t="shared" ca="1" si="423"/>
        <v>5</v>
      </c>
      <c r="K642" s="228" t="str">
        <f t="shared" ca="1" si="424"/>
        <v xml:space="preserve">   SUPRAESTRUTURA - BARRILETE / CAIXA DÁGUA / CASA DE MÁQUINAS</v>
      </c>
      <c r="L642" s="231">
        <f t="shared" ca="1" si="425"/>
        <v>2</v>
      </c>
      <c r="M642" s="228" t="str">
        <f t="shared" ca="1" si="426"/>
        <v xml:space="preserve">   Forma</v>
      </c>
      <c r="N642" s="231">
        <f t="shared" ca="1" si="427"/>
        <v>6</v>
      </c>
      <c r="O642" s="228" t="str">
        <f t="shared" ca="1" si="428"/>
        <v>Montagem e desmontagem de fôrma para pilares em chapa de madeira compensada plastificada</v>
      </c>
      <c r="P642" s="232" t="str">
        <f>IF(S642="","",IF(Orçamento!$B642="INSUMO",S642,""))</f>
        <v>DESMOLDANTE</v>
      </c>
      <c r="Q642" s="244" t="str">
        <f t="shared" si="429"/>
        <v/>
      </c>
      <c r="R642" s="234">
        <f t="shared" ca="1" si="430"/>
        <v>117.70479999999996</v>
      </c>
      <c r="S642" s="233" t="s">
        <v>171</v>
      </c>
      <c r="T642" s="242" t="str">
        <f>_xlfn.XLOOKUP(S642,Insumos!$A$3:$A$371,Insumos!$B$3:$B$371)</f>
        <v>L</v>
      </c>
      <c r="U642" s="235">
        <f ca="1">IF($B642="insumo",R642,"")</f>
        <v>117.70479999999996</v>
      </c>
      <c r="V642" s="320">
        <v>0.06</v>
      </c>
      <c r="W642" s="236">
        <f>IFERROR(IF(B642="INSUMO",_xlfn.XLOOKUP(S642,Insumos!A:A,Insumos!C:C),""),"Inserir Preço")</f>
        <v>6.34</v>
      </c>
      <c r="X642" s="235">
        <f t="shared" ca="1" si="431"/>
        <v>7.0622879999999979</v>
      </c>
      <c r="Y642" s="236">
        <f t="shared" si="417"/>
        <v>0.38039999999999996</v>
      </c>
      <c r="Z642" s="237">
        <f t="shared" ca="1" si="401"/>
        <v>44.774905919999988</v>
      </c>
      <c r="AA642" s="238"/>
      <c r="AB642" s="233" t="str">
        <f>IF(B642="insumo",_xlfn.XLOOKUP(S642,Insumos!A:A,Insumos!D:D),"")</f>
        <v xml:space="preserve"> </v>
      </c>
      <c r="AC642" s="239">
        <f t="shared" ca="1" si="402"/>
        <v>6.4233684761987332E-6</v>
      </c>
      <c r="AE642" s="240">
        <f ca="1">IFERROR(IF(OR(Z642="",Z642=0),"",IF(AF642="","",IF(AF642="R$/mês",Z642/OBRA!$D$12,IF(AF642="R$/m²",Z642/OBRA!$D$10,IF(AF642="R$/apto",Orçamento!Z642/OBRA!$D$11,""))))),"")</f>
        <v>2.3041485526674652E-2</v>
      </c>
      <c r="AF642" s="241" t="s">
        <v>154</v>
      </c>
    </row>
    <row r="643" spans="1:32" s="10" customFormat="1" ht="13.15" hidden="1" customHeight="1" outlineLevel="4" x14ac:dyDescent="0.2">
      <c r="A643" s="227"/>
      <c r="B643" s="228" t="s">
        <v>19</v>
      </c>
      <c r="C643" s="229">
        <f t="shared" si="400"/>
        <v>44</v>
      </c>
      <c r="D643" s="227" t="str">
        <f t="shared" si="418"/>
        <v/>
      </c>
      <c r="E643" s="228" t="str">
        <f t="shared" ca="1" si="419"/>
        <v>04.005.002.006</v>
      </c>
      <c r="F643" s="230">
        <f ca="1">IF($B643="UNIDADE CONSTRUTIVA",OFFSET(F643,-1,0)+1,LARGE(F$10:F642,1))</f>
        <v>2</v>
      </c>
      <c r="G643" s="228" t="str">
        <f t="shared" ca="1" si="420"/>
        <v xml:space="preserve">   GERENCIAMENTO EXECUTIVO</v>
      </c>
      <c r="H643" s="230">
        <f t="shared" ca="1" si="421"/>
        <v>4</v>
      </c>
      <c r="I643" s="228" t="str">
        <f t="shared" ca="1" si="422"/>
        <v xml:space="preserve">   SUPRAESTRUTURA</v>
      </c>
      <c r="J643" s="230">
        <f t="shared" ca="1" si="423"/>
        <v>5</v>
      </c>
      <c r="K643" s="228" t="str">
        <f t="shared" ca="1" si="424"/>
        <v xml:space="preserve">   SUPRAESTRUTURA - BARRILETE / CAIXA DÁGUA / CASA DE MÁQUINAS</v>
      </c>
      <c r="L643" s="231">
        <f t="shared" ca="1" si="425"/>
        <v>2</v>
      </c>
      <c r="M643" s="228" t="str">
        <f t="shared" ca="1" si="426"/>
        <v xml:space="preserve">   Forma</v>
      </c>
      <c r="N643" s="231">
        <f t="shared" ca="1" si="427"/>
        <v>6</v>
      </c>
      <c r="O643" s="228" t="str">
        <f t="shared" ca="1" si="428"/>
        <v>Montagem e desmontagem de fôrma para pilares em chapa de madeira compensada plastificada</v>
      </c>
      <c r="P643" s="232" t="str">
        <f>IF(S643="","",IF(Orçamento!$B643="INSUMO",S643,""))</f>
        <v>PREGO 17 x 21 COM CABECA</v>
      </c>
      <c r="Q643" s="244" t="str">
        <f t="shared" si="429"/>
        <v/>
      </c>
      <c r="R643" s="234">
        <f t="shared" ca="1" si="430"/>
        <v>117.70479999999996</v>
      </c>
      <c r="S643" s="233" t="s">
        <v>173</v>
      </c>
      <c r="T643" s="242" t="str">
        <f>_xlfn.XLOOKUP(S643,Insumos!$A$3:$A$371,Insumos!$B$3:$B$371)</f>
        <v>KG</v>
      </c>
      <c r="U643" s="235">
        <f ca="1">IF($B643="insumo",R643,"")</f>
        <v>117.70479999999996</v>
      </c>
      <c r="V643" s="320">
        <v>2.7E-2</v>
      </c>
      <c r="W643" s="236">
        <f>IFERROR(IF(B643="INSUMO",_xlfn.XLOOKUP(S643,Insumos!A:A,Insumos!C:C),""),"Inserir Preço")</f>
        <v>13</v>
      </c>
      <c r="X643" s="235">
        <f t="shared" ca="1" si="431"/>
        <v>3.178029599999999</v>
      </c>
      <c r="Y643" s="236">
        <f t="shared" si="417"/>
        <v>0.35099999999999998</v>
      </c>
      <c r="Z643" s="237">
        <f t="shared" ca="1" si="401"/>
        <v>41.314384799999985</v>
      </c>
      <c r="AA643" s="238"/>
      <c r="AB643" s="233" t="str">
        <f>IF(B643="insumo",_xlfn.XLOOKUP(S643,Insumos!A:A,Insumos!D:D),"")</f>
        <v xml:space="preserve"> </v>
      </c>
      <c r="AC643" s="239">
        <f t="shared" ca="1" si="402"/>
        <v>5.9269251712559284E-6</v>
      </c>
      <c r="AE643" s="240">
        <f ca="1">IFERROR(IF(OR(Z643="",Z643=0),"",IF(AF643="","",IF(AF643="R$/mês",Z643/OBRA!$D$12,IF(AF643="R$/m²",Z643/OBRA!$D$10,IF(AF643="R$/apto",Orçamento!Z643/OBRA!$D$11,""))))),"")</f>
        <v>2.1260676708366989E-2</v>
      </c>
      <c r="AF643" s="241" t="s">
        <v>154</v>
      </c>
    </row>
    <row r="644" spans="1:32" s="10" customFormat="1" ht="13.15" hidden="1" customHeight="1" outlineLevel="4" x14ac:dyDescent="0.2">
      <c r="A644" s="227"/>
      <c r="B644" s="228" t="s">
        <v>19</v>
      </c>
      <c r="C644" s="229">
        <f t="shared" si="400"/>
        <v>20</v>
      </c>
      <c r="D644" s="227" t="str">
        <f t="shared" si="418"/>
        <v/>
      </c>
      <c r="E644" s="228" t="str">
        <f t="shared" ca="1" si="419"/>
        <v>04.005.002.006</v>
      </c>
      <c r="F644" s="230">
        <f ca="1">IF($B644="UNIDADE CONSTRUTIVA",OFFSET(F644,-1,0)+1,LARGE(F$10:F643,1))</f>
        <v>2</v>
      </c>
      <c r="G644" s="228" t="str">
        <f t="shared" ca="1" si="420"/>
        <v xml:space="preserve">   GERENCIAMENTO EXECUTIVO</v>
      </c>
      <c r="H644" s="230">
        <f t="shared" ca="1" si="421"/>
        <v>4</v>
      </c>
      <c r="I644" s="228" t="str">
        <f t="shared" ca="1" si="422"/>
        <v xml:space="preserve">   SUPRAESTRUTURA</v>
      </c>
      <c r="J644" s="230">
        <f t="shared" ca="1" si="423"/>
        <v>5</v>
      </c>
      <c r="K644" s="228" t="str">
        <f t="shared" ca="1" si="424"/>
        <v xml:space="preserve">   SUPRAESTRUTURA - BARRILETE / CAIXA DÁGUA / CASA DE MÁQUINAS</v>
      </c>
      <c r="L644" s="231">
        <f t="shared" ca="1" si="425"/>
        <v>2</v>
      </c>
      <c r="M644" s="228" t="str">
        <f t="shared" ca="1" si="426"/>
        <v xml:space="preserve">   Forma</v>
      </c>
      <c r="N644" s="231">
        <f t="shared" ca="1" si="427"/>
        <v>6</v>
      </c>
      <c r="O644" s="228" t="str">
        <f t="shared" ca="1" si="428"/>
        <v>Montagem e desmontagem de fôrma para pilares em chapa de madeira compensada plastificada</v>
      </c>
      <c r="P644" s="232" t="str">
        <f>IF(S644="","",IF(Orçamento!$B644="INSUMO",S644,""))</f>
        <v>Arame recozido 12 BWG</v>
      </c>
      <c r="Q644" s="244" t="str">
        <f t="shared" si="429"/>
        <v/>
      </c>
      <c r="R644" s="234">
        <f t="shared" ca="1" si="430"/>
        <v>117.70479999999996</v>
      </c>
      <c r="S644" s="233" t="s">
        <v>196</v>
      </c>
      <c r="T644" s="242" t="str">
        <f>_xlfn.XLOOKUP(S644,Insumos!$A$3:$A$371,Insumos!$B$3:$B$371)</f>
        <v>KG</v>
      </c>
      <c r="U644" s="235">
        <f ca="1">IF($B644="insumo",R644,"")</f>
        <v>117.70479999999996</v>
      </c>
      <c r="V644" s="320">
        <v>3.5700000000000003E-2</v>
      </c>
      <c r="W644" s="236">
        <f>IFERROR(IF(B644="INSUMO",_xlfn.XLOOKUP(S644,Insumos!A:A,Insumos!C:C),""),"Inserir Preço")</f>
        <v>11.5</v>
      </c>
      <c r="X644" s="235">
        <f t="shared" ca="1" si="431"/>
        <v>4.2020613599999992</v>
      </c>
      <c r="Y644" s="236">
        <f t="shared" si="417"/>
        <v>0.41055000000000003</v>
      </c>
      <c r="Z644" s="237">
        <f t="shared" ca="1" si="401"/>
        <v>48.323705639999993</v>
      </c>
      <c r="AA644" s="238"/>
      <c r="AB644" s="233" t="str">
        <f>IF(B644="insumo",_xlfn.XLOOKUP(S644,Insumos!A:A,Insumos!D:D),"")</f>
        <v>Base de Dados</v>
      </c>
      <c r="AC644" s="239">
        <f t="shared" ca="1" si="402"/>
        <v>6.9324761511655895E-6</v>
      </c>
      <c r="AE644" s="240">
        <f ca="1">IFERROR(IF(OR(Z644="",Z644=0),"",IF(AF644="","",IF(AF644="R$/mês",Z644/OBRA!$D$12,IF(AF644="R$/m²",Z644/OBRA!$D$10,IF(AF644="R$/apto",Orçamento!Z644/OBRA!$D$11,""))))),"")</f>
        <v>2.4867723141367717E-2</v>
      </c>
      <c r="AF644" s="241" t="s">
        <v>154</v>
      </c>
    </row>
    <row r="645" spans="1:32" s="10" customFormat="1" ht="13.15" hidden="1" customHeight="1" outlineLevel="4" x14ac:dyDescent="0.2">
      <c r="A645" s="227"/>
      <c r="B645" s="228" t="s">
        <v>4</v>
      </c>
      <c r="C645" s="229">
        <f t="shared" si="400"/>
        <v>5</v>
      </c>
      <c r="D645" s="227" t="str">
        <f t="shared" ca="1" si="418"/>
        <v>04.005.002.007</v>
      </c>
      <c r="E645" s="228" t="str">
        <f t="shared" ca="1" si="419"/>
        <v>04.005.002.007</v>
      </c>
      <c r="F645" s="230">
        <f ca="1">IF($B645="UNIDADE CONSTRUTIVA",OFFSET(F645,-1,0)+1,LARGE(F$10:F644,1))</f>
        <v>2</v>
      </c>
      <c r="G645" s="228" t="str">
        <f t="shared" ca="1" si="420"/>
        <v xml:space="preserve">   GERENCIAMENTO EXECUTIVO</v>
      </c>
      <c r="H645" s="230">
        <f t="shared" ca="1" si="421"/>
        <v>4</v>
      </c>
      <c r="I645" s="228" t="str">
        <f t="shared" ca="1" si="422"/>
        <v xml:space="preserve">   SUPRAESTRUTURA</v>
      </c>
      <c r="J645" s="230">
        <f t="shared" ca="1" si="423"/>
        <v>5</v>
      </c>
      <c r="K645" s="228" t="str">
        <f t="shared" ca="1" si="424"/>
        <v xml:space="preserve">   SUPRAESTRUTURA - BARRILETE / CAIXA DÁGUA / CASA DE MÁQUINAS</v>
      </c>
      <c r="L645" s="231">
        <f t="shared" ca="1" si="425"/>
        <v>2</v>
      </c>
      <c r="M645" s="228" t="str">
        <f t="shared" ca="1" si="426"/>
        <v xml:space="preserve">   Forma</v>
      </c>
      <c r="N645" s="231">
        <f t="shared" ca="1" si="427"/>
        <v>7</v>
      </c>
      <c r="O645" s="228" t="str">
        <f t="shared" ca="1" si="428"/>
        <v>Montagem e desmontagem de fôrma para vigas em chapa de madeira compensada plastificada</v>
      </c>
      <c r="P645" s="232" t="str">
        <f>IF(S645="","",IF(Orçamento!$B645="INSUMO",S645,""))</f>
        <v/>
      </c>
      <c r="Q645" s="244" t="str">
        <f t="shared" si="429"/>
        <v>Montagem e desmontagem de fôrma para vigas em chapa de madeira compensada plastificada</v>
      </c>
      <c r="R645" s="234">
        <f t="shared" ca="1" si="430"/>
        <v>248.86982400000002</v>
      </c>
      <c r="S645" s="233" t="s">
        <v>198</v>
      </c>
      <c r="T645" s="242" t="s">
        <v>140</v>
      </c>
      <c r="U645" s="235">
        <v>248.86982400000002</v>
      </c>
      <c r="V645" s="320" t="s">
        <v>35</v>
      </c>
      <c r="W645" s="236" t="str">
        <f>IFERROR(IF(B645="INSUMO",_xlfn.XLOOKUP(S645,Insumos!A:A,Insumos!C:C),""),"Inserir Preço")</f>
        <v/>
      </c>
      <c r="X645" s="235">
        <f t="shared" ca="1" si="431"/>
        <v>248.86982400000002</v>
      </c>
      <c r="Y645" s="236">
        <f t="shared" ca="1" si="417"/>
        <v>2.8129500000000003</v>
      </c>
      <c r="Z645" s="237">
        <f t="shared" ca="1" si="401"/>
        <v>700.05837142080009</v>
      </c>
      <c r="AA645" s="238"/>
      <c r="AB645" s="233" t="str">
        <f>IF(B645="insumo",_xlfn.XLOOKUP(S645,Insumos!A:A,Insumos!D:D),"")</f>
        <v/>
      </c>
      <c r="AC645" s="239">
        <f t="shared" ca="1" si="402"/>
        <v>1.004297559556635E-4</v>
      </c>
      <c r="AE645" s="240">
        <f ca="1">IFERROR(IF(OR(Z645="",Z645=0),"",IF(AF645="","",IF(AF645="R$/mês",Z645/OBRA!$D$12,IF(AF645="R$/m²",Z645/OBRA!$D$10,IF(AF645="R$/apto",Orçamento!Z645/OBRA!$D$11,""))))),"")</f>
        <v>0.36025502458319403</v>
      </c>
      <c r="AF645" s="241" t="s">
        <v>154</v>
      </c>
    </row>
    <row r="646" spans="1:32" s="10" customFormat="1" ht="13.15" hidden="1" customHeight="1" outlineLevel="4" x14ac:dyDescent="0.2">
      <c r="A646" s="227"/>
      <c r="B646" s="228" t="s">
        <v>19</v>
      </c>
      <c r="C646" s="229">
        <f t="shared" si="400"/>
        <v>29</v>
      </c>
      <c r="D646" s="227" t="str">
        <f t="shared" si="418"/>
        <v/>
      </c>
      <c r="E646" s="228" t="str">
        <f t="shared" ca="1" si="419"/>
        <v>04.005.002.007</v>
      </c>
      <c r="F646" s="230">
        <f ca="1">IF($B646="UNIDADE CONSTRUTIVA",OFFSET(F646,-1,0)+1,LARGE(F$10:F645,1))</f>
        <v>2</v>
      </c>
      <c r="G646" s="228" t="str">
        <f t="shared" ca="1" si="420"/>
        <v xml:space="preserve">   GERENCIAMENTO EXECUTIVO</v>
      </c>
      <c r="H646" s="230">
        <f t="shared" ca="1" si="421"/>
        <v>4</v>
      </c>
      <c r="I646" s="228" t="str">
        <f t="shared" ca="1" si="422"/>
        <v xml:space="preserve">   SUPRAESTRUTURA</v>
      </c>
      <c r="J646" s="230">
        <f t="shared" ca="1" si="423"/>
        <v>5</v>
      </c>
      <c r="K646" s="228" t="str">
        <f t="shared" ca="1" si="424"/>
        <v xml:space="preserve">   SUPRAESTRUTURA - BARRILETE / CAIXA DÁGUA / CASA DE MÁQUINAS</v>
      </c>
      <c r="L646" s="231">
        <f t="shared" ca="1" si="425"/>
        <v>2</v>
      </c>
      <c r="M646" s="228" t="str">
        <f t="shared" ca="1" si="426"/>
        <v xml:space="preserve">   Forma</v>
      </c>
      <c r="N646" s="231">
        <f t="shared" ca="1" si="427"/>
        <v>7</v>
      </c>
      <c r="O646" s="228" t="str">
        <f t="shared" ca="1" si="428"/>
        <v>Montagem e desmontagem de fôrma para vigas em chapa de madeira compensada plastificada</v>
      </c>
      <c r="P646" s="232" t="str">
        <f>IF(S646="","",IF(Orçamento!$B646="INSUMO",S646,""))</f>
        <v>DESMOLDANTE</v>
      </c>
      <c r="Q646" s="244" t="str">
        <f t="shared" si="429"/>
        <v/>
      </c>
      <c r="R646" s="234">
        <f t="shared" ca="1" si="430"/>
        <v>248.86982400000002</v>
      </c>
      <c r="S646" s="233" t="s">
        <v>171</v>
      </c>
      <c r="T646" s="242" t="str">
        <f>_xlfn.XLOOKUP(S646,Insumos!$A$3:$A$371,Insumos!$B$3:$B$371)</f>
        <v>L</v>
      </c>
      <c r="U646" s="235">
        <f ca="1">IF($B646="insumo",R646,"")</f>
        <v>248.86982400000002</v>
      </c>
      <c r="V646" s="320">
        <v>0.06</v>
      </c>
      <c r="W646" s="236">
        <f>IFERROR(IF(B646="INSUMO",_xlfn.XLOOKUP(S646,Insumos!A:A,Insumos!C:C),""),"Inserir Preço")</f>
        <v>6.34</v>
      </c>
      <c r="X646" s="235">
        <f t="shared" ca="1" si="431"/>
        <v>14.93218944</v>
      </c>
      <c r="Y646" s="236">
        <f t="shared" si="417"/>
        <v>0.38039999999999996</v>
      </c>
      <c r="Z646" s="237">
        <f t="shared" ca="1" si="401"/>
        <v>94.6700810496</v>
      </c>
      <c r="AA646" s="238"/>
      <c r="AB646" s="233" t="str">
        <f>IF(B646="insumo",_xlfn.XLOOKUP(S646,Insumos!A:A,Insumos!D:D),"")</f>
        <v xml:space="preserve"> </v>
      </c>
      <c r="AC646" s="239">
        <f t="shared" ca="1" si="402"/>
        <v>1.3581286253056184E-5</v>
      </c>
      <c r="AE646" s="240">
        <f ca="1">IFERROR(IF(OR(Z646="",Z646=0),"",IF(AF646="","",IF(AF646="R$/mês",Z646/OBRA!$D$12,IF(AF646="R$/m²",Z646/OBRA!$D$10,IF(AF646="R$/apto",Orçamento!Z646/OBRA!$D$11,""))))),"")</f>
        <v>4.8717898061269124E-2</v>
      </c>
      <c r="AF646" s="241" t="s">
        <v>154</v>
      </c>
    </row>
    <row r="647" spans="1:32" s="10" customFormat="1" ht="13.15" hidden="1" customHeight="1" outlineLevel="4" x14ac:dyDescent="0.2">
      <c r="A647" s="227"/>
      <c r="B647" s="228" t="s">
        <v>19</v>
      </c>
      <c r="C647" s="229">
        <f t="shared" si="400"/>
        <v>44</v>
      </c>
      <c r="D647" s="227" t="str">
        <f t="shared" si="418"/>
        <v/>
      </c>
      <c r="E647" s="228" t="str">
        <f t="shared" ca="1" si="419"/>
        <v>04.005.002.007</v>
      </c>
      <c r="F647" s="230">
        <f ca="1">IF($B647="UNIDADE CONSTRUTIVA",OFFSET(F647,-1,0)+1,LARGE(F$10:F646,1))</f>
        <v>2</v>
      </c>
      <c r="G647" s="228" t="str">
        <f t="shared" ca="1" si="420"/>
        <v xml:space="preserve">   GERENCIAMENTO EXECUTIVO</v>
      </c>
      <c r="H647" s="230">
        <f t="shared" ca="1" si="421"/>
        <v>4</v>
      </c>
      <c r="I647" s="228" t="str">
        <f t="shared" ca="1" si="422"/>
        <v xml:space="preserve">   SUPRAESTRUTURA</v>
      </c>
      <c r="J647" s="230">
        <f t="shared" ca="1" si="423"/>
        <v>5</v>
      </c>
      <c r="K647" s="228" t="str">
        <f t="shared" ca="1" si="424"/>
        <v xml:space="preserve">   SUPRAESTRUTURA - BARRILETE / CAIXA DÁGUA / CASA DE MÁQUINAS</v>
      </c>
      <c r="L647" s="231">
        <f t="shared" ca="1" si="425"/>
        <v>2</v>
      </c>
      <c r="M647" s="228" t="str">
        <f t="shared" ca="1" si="426"/>
        <v xml:space="preserve">   Forma</v>
      </c>
      <c r="N647" s="231">
        <f t="shared" ca="1" si="427"/>
        <v>7</v>
      </c>
      <c r="O647" s="228" t="str">
        <f t="shared" ca="1" si="428"/>
        <v>Montagem e desmontagem de fôrma para vigas em chapa de madeira compensada plastificada</v>
      </c>
      <c r="P647" s="232" t="str">
        <f>IF(S647="","",IF(Orçamento!$B647="INSUMO",S647,""))</f>
        <v>PREGO 17 x 21 COM CABECA</v>
      </c>
      <c r="Q647" s="244" t="str">
        <f t="shared" si="429"/>
        <v/>
      </c>
      <c r="R647" s="234">
        <f t="shared" ca="1" si="430"/>
        <v>248.86982400000002</v>
      </c>
      <c r="S647" s="233" t="s">
        <v>173</v>
      </c>
      <c r="T647" s="242" t="str">
        <f>_xlfn.XLOOKUP(S647,Insumos!$A$3:$A$371,Insumos!$B$3:$B$371)</f>
        <v>KG</v>
      </c>
      <c r="U647" s="235">
        <f ca="1">IF($B647="insumo",R647,"")</f>
        <v>248.86982400000002</v>
      </c>
      <c r="V647" s="320">
        <v>0.155</v>
      </c>
      <c r="W647" s="236">
        <f>IFERROR(IF(B647="INSUMO",_xlfn.XLOOKUP(S647,Insumos!A:A,Insumos!C:C),""),"Inserir Preço")</f>
        <v>13</v>
      </c>
      <c r="X647" s="235">
        <f t="shared" ca="1" si="431"/>
        <v>38.57482272</v>
      </c>
      <c r="Y647" s="236">
        <f t="shared" si="417"/>
        <v>2.0150000000000001</v>
      </c>
      <c r="Z647" s="237">
        <f t="shared" ca="1" si="401"/>
        <v>501.47269535999999</v>
      </c>
      <c r="AA647" s="238"/>
      <c r="AB647" s="233" t="str">
        <f>IF(B647="insumo",_xlfn.XLOOKUP(S647,Insumos!A:A,Insumos!D:D),"")</f>
        <v xml:space="preserve"> </v>
      </c>
      <c r="AC647" s="239">
        <f t="shared" ca="1" si="402"/>
        <v>7.1940830178517895E-5</v>
      </c>
      <c r="AE647" s="240">
        <f ca="1">IFERROR(IF(OR(Z647="",Z647=0),"",IF(AF647="","",IF(AF647="R$/mês",Z647/OBRA!$D$12,IF(AF647="R$/m²",Z647/OBRA!$D$10,IF(AF647="R$/apto",Orçamento!Z647/OBRA!$D$11,""))))),"")</f>
        <v>0.2580614211184471</v>
      </c>
      <c r="AF647" s="241" t="s">
        <v>154</v>
      </c>
    </row>
    <row r="648" spans="1:32" s="10" customFormat="1" ht="13.15" hidden="1" customHeight="1" outlineLevel="4" x14ac:dyDescent="0.2">
      <c r="A648" s="227"/>
      <c r="B648" s="228" t="s">
        <v>19</v>
      </c>
      <c r="C648" s="229">
        <f t="shared" si="400"/>
        <v>26</v>
      </c>
      <c r="D648" s="227" t="str">
        <f t="shared" si="418"/>
        <v/>
      </c>
      <c r="E648" s="228" t="str">
        <f t="shared" ca="1" si="419"/>
        <v>04.005.002.007</v>
      </c>
      <c r="F648" s="230">
        <f ca="1">IF($B648="UNIDADE CONSTRUTIVA",OFFSET(F648,-1,0)+1,LARGE(F$10:F647,1))</f>
        <v>2</v>
      </c>
      <c r="G648" s="228" t="str">
        <f t="shared" ca="1" si="420"/>
        <v xml:space="preserve">   GERENCIAMENTO EXECUTIVO</v>
      </c>
      <c r="H648" s="230">
        <f t="shared" ca="1" si="421"/>
        <v>4</v>
      </c>
      <c r="I648" s="228" t="str">
        <f t="shared" ca="1" si="422"/>
        <v xml:space="preserve">   SUPRAESTRUTURA</v>
      </c>
      <c r="J648" s="230">
        <f t="shared" ca="1" si="423"/>
        <v>5</v>
      </c>
      <c r="K648" s="228" t="str">
        <f t="shared" ca="1" si="424"/>
        <v xml:space="preserve">   SUPRAESTRUTURA - BARRILETE / CAIXA DÁGUA / CASA DE MÁQUINAS</v>
      </c>
      <c r="L648" s="231">
        <f t="shared" ca="1" si="425"/>
        <v>2</v>
      </c>
      <c r="M648" s="228" t="str">
        <f t="shared" ca="1" si="426"/>
        <v xml:space="preserve">   Forma</v>
      </c>
      <c r="N648" s="231">
        <f t="shared" ca="1" si="427"/>
        <v>7</v>
      </c>
      <c r="O648" s="228" t="str">
        <f t="shared" ca="1" si="428"/>
        <v>Montagem e desmontagem de fôrma para vigas em chapa de madeira compensada plastificada</v>
      </c>
      <c r="P648" s="232" t="str">
        <f>IF(S648="","",IF(Orçamento!$B648="INSUMO",S648,""))</f>
        <v>MADEIRA PINUS/SIMILAR - PONTALETE 75X75MM NBR 11700/15696</v>
      </c>
      <c r="Q648" s="244" t="str">
        <f t="shared" si="429"/>
        <v/>
      </c>
      <c r="R648" s="234">
        <f t="shared" ca="1" si="430"/>
        <v>248.86982400000002</v>
      </c>
      <c r="S648" s="233" t="s">
        <v>807</v>
      </c>
      <c r="T648" s="242" t="str">
        <f>_xlfn.XLOOKUP(S648,Insumos!$A$3:$A$371,Insumos!$B$3:$B$371)</f>
        <v>M</v>
      </c>
      <c r="U648" s="235">
        <f ca="1">IF($B648="insumo",R648,"")</f>
        <v>248.86982400000002</v>
      </c>
      <c r="V648" s="320">
        <v>1E-3</v>
      </c>
      <c r="W648" s="236">
        <f>IFERROR(IF(B648="INSUMO",_xlfn.XLOOKUP(S648,Insumos!A:A,Insumos!C:C),""),"Inserir Preço")</f>
        <v>7</v>
      </c>
      <c r="X648" s="235">
        <f t="shared" ca="1" si="431"/>
        <v>0.24886982400000002</v>
      </c>
      <c r="Y648" s="236">
        <f t="shared" si="417"/>
        <v>7.0000000000000001E-3</v>
      </c>
      <c r="Z648" s="237">
        <f t="shared" ca="1" si="401"/>
        <v>1.7420887680000001</v>
      </c>
      <c r="AA648" s="238"/>
      <c r="AB648" s="233" t="str">
        <f>IF(B648="insumo",_xlfn.XLOOKUP(S648,Insumos!A:A,Insumos!D:D),"")</f>
        <v xml:space="preserve"> </v>
      </c>
      <c r="AC648" s="239">
        <f t="shared" ca="1" si="402"/>
        <v>2.4991851674919373E-7</v>
      </c>
      <c r="AE648" s="240">
        <f ca="1">IFERROR(IF(OR(Z648="",Z648=0),"",IF(AF648="","",IF(AF648="R$/mês",Z648/OBRA!$D$12,IF(AF648="R$/m²",Z648/OBRA!$D$10,IF(AF648="R$/apto",Orçamento!Z648/OBRA!$D$11,""))))),"")</f>
        <v>8.9649128924522577E-4</v>
      </c>
      <c r="AF648" s="241" t="s">
        <v>154</v>
      </c>
    </row>
    <row r="649" spans="1:32" s="10" customFormat="1" ht="13.15" hidden="1" customHeight="1" outlineLevel="4" x14ac:dyDescent="0.2">
      <c r="A649" s="227"/>
      <c r="B649" s="228" t="s">
        <v>19</v>
      </c>
      <c r="C649" s="229">
        <f t="shared" si="400"/>
        <v>20</v>
      </c>
      <c r="D649" s="227" t="str">
        <f t="shared" si="418"/>
        <v/>
      </c>
      <c r="E649" s="228" t="str">
        <f t="shared" ca="1" si="419"/>
        <v>04.005.002.007</v>
      </c>
      <c r="F649" s="230">
        <f ca="1">IF($B649="UNIDADE CONSTRUTIVA",OFFSET(F649,-1,0)+1,LARGE(F$10:F648,1))</f>
        <v>2</v>
      </c>
      <c r="G649" s="228" t="str">
        <f t="shared" ca="1" si="420"/>
        <v xml:space="preserve">   GERENCIAMENTO EXECUTIVO</v>
      </c>
      <c r="H649" s="230">
        <f t="shared" ca="1" si="421"/>
        <v>4</v>
      </c>
      <c r="I649" s="228" t="str">
        <f t="shared" ca="1" si="422"/>
        <v xml:space="preserve">   SUPRAESTRUTURA</v>
      </c>
      <c r="J649" s="230">
        <f t="shared" ca="1" si="423"/>
        <v>5</v>
      </c>
      <c r="K649" s="228" t="str">
        <f t="shared" ca="1" si="424"/>
        <v xml:space="preserve">   SUPRAESTRUTURA - BARRILETE / CAIXA DÁGUA / CASA DE MÁQUINAS</v>
      </c>
      <c r="L649" s="231">
        <f t="shared" ca="1" si="425"/>
        <v>2</v>
      </c>
      <c r="M649" s="228" t="str">
        <f t="shared" ca="1" si="426"/>
        <v xml:space="preserve">   Forma</v>
      </c>
      <c r="N649" s="231">
        <f t="shared" ca="1" si="427"/>
        <v>7</v>
      </c>
      <c r="O649" s="228" t="str">
        <f t="shared" ca="1" si="428"/>
        <v>Montagem e desmontagem de fôrma para vigas em chapa de madeira compensada plastificada</v>
      </c>
      <c r="P649" s="232" t="str">
        <f>IF(S649="","",IF(Orçamento!$B649="INSUMO",S649,""))</f>
        <v>Arame recozido 12 BWG</v>
      </c>
      <c r="Q649" s="244" t="str">
        <f t="shared" si="429"/>
        <v/>
      </c>
      <c r="R649" s="234">
        <f t="shared" ca="1" si="430"/>
        <v>248.86982400000002</v>
      </c>
      <c r="S649" s="233" t="s">
        <v>196</v>
      </c>
      <c r="T649" s="242" t="str">
        <f>_xlfn.XLOOKUP(S649,Insumos!$A$3:$A$371,Insumos!$B$3:$B$371)</f>
        <v>KG</v>
      </c>
      <c r="U649" s="235">
        <f ca="1">IF($B649="insumo",R649,"")</f>
        <v>248.86982400000002</v>
      </c>
      <c r="V649" s="320">
        <v>3.5700000000000003E-2</v>
      </c>
      <c r="W649" s="236">
        <f>IFERROR(IF(B649="INSUMO",_xlfn.XLOOKUP(S649,Insumos!A:A,Insumos!C:C),""),"Inserir Preço")</f>
        <v>11.5</v>
      </c>
      <c r="X649" s="235">
        <f t="shared" ca="1" si="431"/>
        <v>8.8846527168000016</v>
      </c>
      <c r="Y649" s="236">
        <f t="shared" si="417"/>
        <v>0.41055000000000003</v>
      </c>
      <c r="Z649" s="237">
        <f t="shared" ca="1" si="401"/>
        <v>102.17350624320002</v>
      </c>
      <c r="AA649" s="238"/>
      <c r="AB649" s="233" t="str">
        <f>IF(B649="insumo",_xlfn.XLOOKUP(S649,Insumos!A:A,Insumos!D:D),"")</f>
        <v>Base de Dados</v>
      </c>
      <c r="AC649" s="239">
        <f t="shared" ca="1" si="402"/>
        <v>1.4657721007340214E-5</v>
      </c>
      <c r="AE649" s="240">
        <f ca="1">IFERROR(IF(OR(Z649="",Z649=0),"",IF(AF649="","",IF(AF649="R$/mês",Z649/OBRA!$D$12,IF(AF649="R$/m²",Z649/OBRA!$D$10,IF(AF649="R$/apto",Orçamento!Z649/OBRA!$D$11,""))))),"")</f>
        <v>5.2579214114232498E-2</v>
      </c>
      <c r="AF649" s="241" t="s">
        <v>154</v>
      </c>
    </row>
    <row r="650" spans="1:32" s="10" customFormat="1" ht="13.15" hidden="1" customHeight="1" outlineLevel="4" x14ac:dyDescent="0.2">
      <c r="A650" s="227"/>
      <c r="B650" s="228" t="s">
        <v>4</v>
      </c>
      <c r="C650" s="229">
        <f t="shared" si="400"/>
        <v>5</v>
      </c>
      <c r="D650" s="227" t="str">
        <f t="shared" ca="1" si="418"/>
        <v>04.005.002.008</v>
      </c>
      <c r="E650" s="228" t="str">
        <f t="shared" ca="1" si="419"/>
        <v>04.005.002.008</v>
      </c>
      <c r="F650" s="230">
        <f ca="1">IF($B650="UNIDADE CONSTRUTIVA",OFFSET(F650,-1,0)+1,LARGE(F$10:F649,1))</f>
        <v>2</v>
      </c>
      <c r="G650" s="228" t="str">
        <f t="shared" ca="1" si="420"/>
        <v xml:space="preserve">   GERENCIAMENTO EXECUTIVO</v>
      </c>
      <c r="H650" s="230">
        <f t="shared" ca="1" si="421"/>
        <v>4</v>
      </c>
      <c r="I650" s="228" t="str">
        <f t="shared" ca="1" si="422"/>
        <v xml:space="preserve">   SUPRAESTRUTURA</v>
      </c>
      <c r="J650" s="230">
        <f t="shared" ca="1" si="423"/>
        <v>5</v>
      </c>
      <c r="K650" s="228" t="str">
        <f t="shared" ca="1" si="424"/>
        <v xml:space="preserve">   SUPRAESTRUTURA - BARRILETE / CAIXA DÁGUA / CASA DE MÁQUINAS</v>
      </c>
      <c r="L650" s="231">
        <f t="shared" ca="1" si="425"/>
        <v>2</v>
      </c>
      <c r="M650" s="228" t="str">
        <f t="shared" ca="1" si="426"/>
        <v xml:space="preserve">   Forma</v>
      </c>
      <c r="N650" s="231">
        <f t="shared" ca="1" si="427"/>
        <v>8</v>
      </c>
      <c r="O650" s="228" t="str">
        <f t="shared" ca="1" si="428"/>
        <v>Montagem de fôrma para escadarias em chapa de madeira compensada plastificada e=14 mm - 2 jogos</v>
      </c>
      <c r="P650" s="232" t="str">
        <f>IF(S650="","",IF(Orçamento!$B650="INSUMO",S650,""))</f>
        <v/>
      </c>
      <c r="Q650" s="244" t="str">
        <f t="shared" si="429"/>
        <v>Montagem de fôrma para escadarias em chapa de madeira compensada plastificada e=14 mm - 2 jogos</v>
      </c>
      <c r="R650" s="234">
        <f t="shared" ca="1" si="430"/>
        <v>20.850280000000001</v>
      </c>
      <c r="S650" s="233" t="s">
        <v>199</v>
      </c>
      <c r="T650" s="242" t="s">
        <v>140</v>
      </c>
      <c r="U650" s="235">
        <v>20.850280000000001</v>
      </c>
      <c r="V650" s="320" t="s">
        <v>35</v>
      </c>
      <c r="W650" s="236" t="str">
        <f>IFERROR(IF(B650="INSUMO",_xlfn.XLOOKUP(S650,Insumos!A:A,Insumos!C:C),""),"Inserir Preço")</f>
        <v/>
      </c>
      <c r="X650" s="235">
        <f t="shared" ca="1" si="431"/>
        <v>20.850280000000001</v>
      </c>
      <c r="Y650" s="236">
        <f t="shared" ca="1" si="417"/>
        <v>1.6489499999999999</v>
      </c>
      <c r="Z650" s="237">
        <f t="shared" ca="1" si="401"/>
        <v>34.381069205999999</v>
      </c>
      <c r="AA650" s="238"/>
      <c r="AB650" s="233" t="str">
        <f>IF(B650="insumo",_xlfn.XLOOKUP(S650,Insumos!A:A,Insumos!D:D),"")</f>
        <v/>
      </c>
      <c r="AC650" s="239">
        <f t="shared" ca="1" si="402"/>
        <v>4.9322778368403429E-6</v>
      </c>
      <c r="AE650" s="240">
        <f ca="1">IFERROR(IF(OR(Z650="",Z650=0),"",IF(AF650="","",IF(AF650="R$/mês",Z650/OBRA!$D$12,IF(AF650="R$/m²",Z650/OBRA!$D$10,IF(AF650="R$/apto",Orçamento!Z650/OBRA!$D$11,""))))),"")</f>
        <v>1.7692743116357816E-2</v>
      </c>
      <c r="AF650" s="241" t="s">
        <v>154</v>
      </c>
    </row>
    <row r="651" spans="1:32" s="10" customFormat="1" ht="13.15" hidden="1" customHeight="1" outlineLevel="4" x14ac:dyDescent="0.2">
      <c r="A651" s="227"/>
      <c r="B651" s="228" t="s">
        <v>19</v>
      </c>
      <c r="C651" s="229">
        <f t="shared" si="400"/>
        <v>29</v>
      </c>
      <c r="D651" s="227" t="str">
        <f t="shared" si="418"/>
        <v/>
      </c>
      <c r="E651" s="228" t="str">
        <f t="shared" ca="1" si="419"/>
        <v>04.005.002.008</v>
      </c>
      <c r="F651" s="230">
        <f ca="1">IF($B651="UNIDADE CONSTRUTIVA",OFFSET(F651,-1,0)+1,LARGE(F$10:F650,1))</f>
        <v>2</v>
      </c>
      <c r="G651" s="228" t="str">
        <f t="shared" ca="1" si="420"/>
        <v xml:space="preserve">   GERENCIAMENTO EXECUTIVO</v>
      </c>
      <c r="H651" s="230">
        <f t="shared" ca="1" si="421"/>
        <v>4</v>
      </c>
      <c r="I651" s="228" t="str">
        <f t="shared" ca="1" si="422"/>
        <v xml:space="preserve">   SUPRAESTRUTURA</v>
      </c>
      <c r="J651" s="230">
        <f t="shared" ca="1" si="423"/>
        <v>5</v>
      </c>
      <c r="K651" s="228" t="str">
        <f t="shared" ca="1" si="424"/>
        <v xml:space="preserve">   SUPRAESTRUTURA - BARRILETE / CAIXA DÁGUA / CASA DE MÁQUINAS</v>
      </c>
      <c r="L651" s="231">
        <f t="shared" ca="1" si="425"/>
        <v>2</v>
      </c>
      <c r="M651" s="228" t="str">
        <f t="shared" ca="1" si="426"/>
        <v xml:space="preserve">   Forma</v>
      </c>
      <c r="N651" s="231">
        <f t="shared" ca="1" si="427"/>
        <v>8</v>
      </c>
      <c r="O651" s="228" t="str">
        <f t="shared" ca="1" si="428"/>
        <v>Montagem de fôrma para escadarias em chapa de madeira compensada plastificada e=14 mm - 2 jogos</v>
      </c>
      <c r="P651" s="232" t="str">
        <f>IF(S651="","",IF(Orçamento!$B651="INSUMO",S651,""))</f>
        <v>DESMOLDANTE</v>
      </c>
      <c r="Q651" s="244" t="str">
        <f t="shared" si="429"/>
        <v/>
      </c>
      <c r="R651" s="234">
        <f t="shared" ca="1" si="430"/>
        <v>20.850280000000001</v>
      </c>
      <c r="S651" s="233" t="s">
        <v>171</v>
      </c>
      <c r="T651" s="242" t="str">
        <f>_xlfn.XLOOKUP(S651,Insumos!$A$3:$A$371,Insumos!$B$3:$B$371)</f>
        <v>L</v>
      </c>
      <c r="U651" s="235">
        <f ca="1">IF($B651="insumo",R651,"")</f>
        <v>20.850280000000001</v>
      </c>
      <c r="V651" s="320">
        <v>0.06</v>
      </c>
      <c r="W651" s="236">
        <f>IFERROR(IF(B651="INSUMO",_xlfn.XLOOKUP(S651,Insumos!A:A,Insumos!C:C),""),"Inserir Preço")</f>
        <v>6.34</v>
      </c>
      <c r="X651" s="235">
        <f t="shared" ca="1" si="431"/>
        <v>1.2510168000000002</v>
      </c>
      <c r="Y651" s="236">
        <f t="shared" si="417"/>
        <v>0.38039999999999996</v>
      </c>
      <c r="Z651" s="237">
        <f t="shared" ca="1" si="401"/>
        <v>7.9314465120000008</v>
      </c>
      <c r="AA651" s="238"/>
      <c r="AB651" s="233" t="str">
        <f>IF(B651="insumo",_xlfn.XLOOKUP(S651,Insumos!A:A,Insumos!D:D),"")</f>
        <v xml:space="preserve"> </v>
      </c>
      <c r="AC651" s="239">
        <f t="shared" ca="1" si="402"/>
        <v>1.1378383147664071E-6</v>
      </c>
      <c r="AE651" s="240">
        <f ca="1">IFERROR(IF(OR(Z651="",Z651=0),"",IF(AF651="","",IF(AF651="R$/mês",Z651/OBRA!$D$12,IF(AF651="R$/m²",Z651/OBRA!$D$10,IF(AF651="R$/apto",Orçamento!Z651/OBRA!$D$11,""))))),"")</f>
        <v>4.081578872289951E-3</v>
      </c>
      <c r="AF651" s="241" t="s">
        <v>154</v>
      </c>
    </row>
    <row r="652" spans="1:32" s="10" customFormat="1" ht="13.15" hidden="1" customHeight="1" outlineLevel="4" x14ac:dyDescent="0.2">
      <c r="A652" s="227"/>
      <c r="B652" s="228" t="s">
        <v>19</v>
      </c>
      <c r="C652" s="229">
        <f t="shared" ref="C652:C715" si="445">IF(B652="INSUMO",COUNTIFS(B:B,"INSUMO",S:S,S652),IF(B652="SERVIÇO",COUNTIFS(B:B,"SERVIÇO",S:S,S652),""))</f>
        <v>44</v>
      </c>
      <c r="D652" s="227" t="str">
        <f t="shared" si="418"/>
        <v/>
      </c>
      <c r="E652" s="228" t="str">
        <f t="shared" ca="1" si="419"/>
        <v>04.005.002.008</v>
      </c>
      <c r="F652" s="230">
        <f ca="1">IF($B652="UNIDADE CONSTRUTIVA",OFFSET(F652,-1,0)+1,LARGE(F$10:F651,1))</f>
        <v>2</v>
      </c>
      <c r="G652" s="228" t="str">
        <f t="shared" ca="1" si="420"/>
        <v xml:space="preserve">   GERENCIAMENTO EXECUTIVO</v>
      </c>
      <c r="H652" s="230">
        <f t="shared" ca="1" si="421"/>
        <v>4</v>
      </c>
      <c r="I652" s="228" t="str">
        <f t="shared" ca="1" si="422"/>
        <v xml:space="preserve">   SUPRAESTRUTURA</v>
      </c>
      <c r="J652" s="230">
        <f t="shared" ca="1" si="423"/>
        <v>5</v>
      </c>
      <c r="K652" s="228" t="str">
        <f t="shared" ca="1" si="424"/>
        <v xml:space="preserve">   SUPRAESTRUTURA - BARRILETE / CAIXA DÁGUA / CASA DE MÁQUINAS</v>
      </c>
      <c r="L652" s="231">
        <f t="shared" ca="1" si="425"/>
        <v>2</v>
      </c>
      <c r="M652" s="228" t="str">
        <f t="shared" ca="1" si="426"/>
        <v xml:space="preserve">   Forma</v>
      </c>
      <c r="N652" s="231">
        <f t="shared" ca="1" si="427"/>
        <v>8</v>
      </c>
      <c r="O652" s="228" t="str">
        <f t="shared" ca="1" si="428"/>
        <v>Montagem de fôrma para escadarias em chapa de madeira compensada plastificada e=14 mm - 2 jogos</v>
      </c>
      <c r="P652" s="232" t="str">
        <f>IF(S652="","",IF(Orçamento!$B652="INSUMO",S652,""))</f>
        <v>PREGO 17 x 21 COM CABECA</v>
      </c>
      <c r="Q652" s="244" t="str">
        <f t="shared" si="429"/>
        <v/>
      </c>
      <c r="R652" s="234">
        <f t="shared" ca="1" si="430"/>
        <v>20.850280000000001</v>
      </c>
      <c r="S652" s="233" t="s">
        <v>173</v>
      </c>
      <c r="T652" s="242" t="str">
        <f>_xlfn.XLOOKUP(S652,Insumos!$A$3:$A$371,Insumos!$B$3:$B$371)</f>
        <v>KG</v>
      </c>
      <c r="U652" s="235">
        <f ca="1">IF($B652="insumo",R652,"")</f>
        <v>20.850280000000001</v>
      </c>
      <c r="V652" s="320">
        <v>6.6000000000000003E-2</v>
      </c>
      <c r="W652" s="236">
        <f>IFERROR(IF(B652="INSUMO",_xlfn.XLOOKUP(S652,Insumos!A:A,Insumos!C:C),""),"Inserir Preço")</f>
        <v>13</v>
      </c>
      <c r="X652" s="235">
        <f t="shared" ca="1" si="431"/>
        <v>1.3761184800000001</v>
      </c>
      <c r="Y652" s="236">
        <f t="shared" si="417"/>
        <v>0.8580000000000001</v>
      </c>
      <c r="Z652" s="237">
        <f t="shared" ref="Z652:Z715" ca="1" si="446">IFERROR(IF(B652="Unidade Construtiva",SUMIFS(Z:Z,B:B,"Célula Construtiva",G:G,G652),IF(B652="célula construtiva",SUMIFS(Z:Z,B:B,"Insumo",I:I,I652,G:G,G652),IF(B652="ETAPA",SUMIFS(Z:Z,B:B,"Insumo",K:K,K652,I:I,I652,G:G,G652),IF(B652="subetapa",SUMIFS(Z:Z,M:M,M652,B:B,"insumo",K:K,K652,I:I,I652,G:G,G652),IF(B652="complemento do insumo",V652*W652,IF(B652="INSUMO",R652*V652*W652,X652*Y652)))))),"")</f>
        <v>17.889540240000002</v>
      </c>
      <c r="AA652" s="238"/>
      <c r="AB652" s="233" t="str">
        <f>IF(B652="insumo",_xlfn.XLOOKUP(S652,Insumos!A:A,Insumos!D:D),"")</f>
        <v xml:space="preserve"> </v>
      </c>
      <c r="AC652" s="239">
        <f t="shared" ref="AC652:AC715" ca="1" si="447">IFERROR(IF(B652="","",Z652/SUMIF(B:B,"INSUMO",Z:Z)),0)</f>
        <v>2.5664176500251768E-6</v>
      </c>
      <c r="AE652" s="240">
        <f ca="1">IFERROR(IF(OR(Z652="",Z652=0),"",IF(AF652="","",IF(AF652="R$/mês",Z652/OBRA!$D$12,IF(AF652="R$/m²",Z652/OBRA!$D$10,IF(AF652="R$/apto",Orçamento!Z652/OBRA!$D$11,""))))),"")</f>
        <v>9.2060848381303306E-3</v>
      </c>
      <c r="AF652" s="241" t="s">
        <v>154</v>
      </c>
    </row>
    <row r="653" spans="1:32" s="10" customFormat="1" ht="13.15" hidden="1" customHeight="1" outlineLevel="4" x14ac:dyDescent="0.2">
      <c r="A653" s="227"/>
      <c r="B653" s="228" t="s">
        <v>19</v>
      </c>
      <c r="C653" s="229">
        <f t="shared" si="445"/>
        <v>20</v>
      </c>
      <c r="D653" s="227" t="str">
        <f t="shared" si="418"/>
        <v/>
      </c>
      <c r="E653" s="228" t="str">
        <f t="shared" ca="1" si="419"/>
        <v>04.005.002.008</v>
      </c>
      <c r="F653" s="230">
        <f ca="1">IF($B653="UNIDADE CONSTRUTIVA",OFFSET(F653,-1,0)+1,LARGE(F$10:F652,1))</f>
        <v>2</v>
      </c>
      <c r="G653" s="228" t="str">
        <f t="shared" ca="1" si="420"/>
        <v xml:space="preserve">   GERENCIAMENTO EXECUTIVO</v>
      </c>
      <c r="H653" s="230">
        <f t="shared" ca="1" si="421"/>
        <v>4</v>
      </c>
      <c r="I653" s="228" t="str">
        <f t="shared" ca="1" si="422"/>
        <v xml:space="preserve">   SUPRAESTRUTURA</v>
      </c>
      <c r="J653" s="230">
        <f t="shared" ca="1" si="423"/>
        <v>5</v>
      </c>
      <c r="K653" s="228" t="str">
        <f t="shared" ca="1" si="424"/>
        <v xml:space="preserve">   SUPRAESTRUTURA - BARRILETE / CAIXA DÁGUA / CASA DE MÁQUINAS</v>
      </c>
      <c r="L653" s="231">
        <f t="shared" ca="1" si="425"/>
        <v>2</v>
      </c>
      <c r="M653" s="228" t="str">
        <f t="shared" ca="1" si="426"/>
        <v xml:space="preserve">   Forma</v>
      </c>
      <c r="N653" s="231">
        <f t="shared" ca="1" si="427"/>
        <v>8</v>
      </c>
      <c r="O653" s="228" t="str">
        <f t="shared" ca="1" si="428"/>
        <v>Montagem de fôrma para escadarias em chapa de madeira compensada plastificada e=14 mm - 2 jogos</v>
      </c>
      <c r="P653" s="232" t="str">
        <f>IF(S653="","",IF(Orçamento!$B653="INSUMO",S653,""))</f>
        <v>Arame recozido 12 BWG</v>
      </c>
      <c r="Q653" s="244" t="str">
        <f t="shared" si="429"/>
        <v/>
      </c>
      <c r="R653" s="234">
        <f t="shared" ca="1" si="430"/>
        <v>20.850280000000001</v>
      </c>
      <c r="S653" s="233" t="s">
        <v>196</v>
      </c>
      <c r="T653" s="242" t="str">
        <f>_xlfn.XLOOKUP(S653,Insumos!$A$3:$A$371,Insumos!$B$3:$B$371)</f>
        <v>KG</v>
      </c>
      <c r="U653" s="235">
        <f ca="1">IF($B653="insumo",R653,"")</f>
        <v>20.850280000000001</v>
      </c>
      <c r="V653" s="320">
        <v>3.5700000000000003E-2</v>
      </c>
      <c r="W653" s="236">
        <f>IFERROR(IF(B653="INSUMO",_xlfn.XLOOKUP(S653,Insumos!A:A,Insumos!C:C),""),"Inserir Preço")</f>
        <v>11.5</v>
      </c>
      <c r="X653" s="235">
        <f t="shared" ca="1" si="431"/>
        <v>0.7443549960000001</v>
      </c>
      <c r="Y653" s="236">
        <f t="shared" si="417"/>
        <v>0.41055000000000003</v>
      </c>
      <c r="Z653" s="237">
        <f t="shared" ca="1" si="446"/>
        <v>8.5600824540000016</v>
      </c>
      <c r="AA653" s="238"/>
      <c r="AB653" s="233" t="str">
        <f>IF(B653="insumo",_xlfn.XLOOKUP(S653,Insumos!A:A,Insumos!D:D),"")</f>
        <v>Base de Dados</v>
      </c>
      <c r="AC653" s="239">
        <f t="shared" ca="1" si="447"/>
        <v>1.2280218720487604E-6</v>
      </c>
      <c r="AE653" s="240">
        <f ca="1">IFERROR(IF(OR(Z653="",Z653=0),"",IF(AF653="","",IF(AF653="R$/mês",Z653/OBRA!$D$12,IF(AF653="R$/m²",Z653/OBRA!$D$10,IF(AF653="R$/apto",Orçamento!Z653/OBRA!$D$11,""))))),"")</f>
        <v>4.405079405937538E-3</v>
      </c>
      <c r="AF653" s="241" t="s">
        <v>154</v>
      </c>
    </row>
    <row r="654" spans="1:32" s="10" customFormat="1" ht="13.15" hidden="1" customHeight="1" outlineLevel="3" collapsed="1" x14ac:dyDescent="0.2">
      <c r="A654" s="227"/>
      <c r="B654" s="228" t="s">
        <v>3</v>
      </c>
      <c r="C654" s="229" t="str">
        <f t="shared" si="445"/>
        <v/>
      </c>
      <c r="D654" s="227" t="str">
        <f t="shared" ca="1" si="418"/>
        <v>04.005.003</v>
      </c>
      <c r="E654" s="228" t="str">
        <f t="shared" ca="1" si="419"/>
        <v>04.005.002.008</v>
      </c>
      <c r="F654" s="230">
        <f ca="1">IF($B654="UNIDADE CONSTRUTIVA",OFFSET(F654,-1,0)+1,LARGE(F$10:F653,1))</f>
        <v>2</v>
      </c>
      <c r="G654" s="228" t="str">
        <f t="shared" ca="1" si="420"/>
        <v xml:space="preserve">   GERENCIAMENTO EXECUTIVO</v>
      </c>
      <c r="H654" s="230">
        <f t="shared" ca="1" si="421"/>
        <v>4</v>
      </c>
      <c r="I654" s="228" t="str">
        <f t="shared" ca="1" si="422"/>
        <v xml:space="preserve">   SUPRAESTRUTURA</v>
      </c>
      <c r="J654" s="230">
        <f t="shared" ca="1" si="423"/>
        <v>5</v>
      </c>
      <c r="K654" s="228" t="str">
        <f t="shared" ca="1" si="424"/>
        <v xml:space="preserve">   SUPRAESTRUTURA - BARRILETE / CAIXA DÁGUA / CASA DE MÁQUINAS</v>
      </c>
      <c r="L654" s="231">
        <f t="shared" ca="1" si="425"/>
        <v>3</v>
      </c>
      <c r="M654" s="228" t="str">
        <f t="shared" ca="1" si="426"/>
        <v xml:space="preserve">   Concreto</v>
      </c>
      <c r="N654" s="231">
        <f t="shared" ca="1" si="427"/>
        <v>0</v>
      </c>
      <c r="O654" s="228" t="str">
        <f t="shared" ca="1" si="428"/>
        <v>Montagem de fôrma para escadarias em chapa de madeira compensada plastificada e=14 mm - 2 jogos</v>
      </c>
      <c r="P654" s="232" t="str">
        <f>IF(S654="","",IF(Orçamento!$B654="INSUMO",S654,""))</f>
        <v/>
      </c>
      <c r="Q654" s="244" t="str">
        <f t="shared" si="429"/>
        <v/>
      </c>
      <c r="R654" s="234">
        <f t="shared" ca="1" si="430"/>
        <v>20.850280000000001</v>
      </c>
      <c r="S654" s="233" t="s">
        <v>435</v>
      </c>
      <c r="T654" s="242" t="s">
        <v>35</v>
      </c>
      <c r="U654" s="235" t="s">
        <v>566</v>
      </c>
      <c r="V654" s="320" t="s">
        <v>35</v>
      </c>
      <c r="W654" s="236" t="str">
        <f>IFERROR(IF(B654="INSUMO",_xlfn.XLOOKUP(S654,Insumos!A:A,Insumos!C:C),""),"Inserir Preço")</f>
        <v/>
      </c>
      <c r="X654" s="235" t="str">
        <f t="shared" ca="1" si="431"/>
        <v/>
      </c>
      <c r="Y654" s="236" t="str">
        <f t="shared" si="417"/>
        <v/>
      </c>
      <c r="Z654" s="237">
        <f t="shared" ca="1" si="446"/>
        <v>33705.213255528004</v>
      </c>
      <c r="AA654" s="238"/>
      <c r="AB654" s="233" t="str">
        <f>IF(B654="insumo",_xlfn.XLOOKUP(S654,Insumos!A:A,Insumos!D:D),"")</f>
        <v/>
      </c>
      <c r="AC654" s="239">
        <f t="shared" ca="1" si="447"/>
        <v>4.8353201388282073E-3</v>
      </c>
      <c r="AE654" s="240">
        <f ca="1">IFERROR(IF(OR(Z654="",Z654=0),"",IF(AF654="","",IF(AF654="R$/mês",Z654/OBRA!$D$12,IF(AF654="R$/m²",Z654/OBRA!$D$10,IF(AF654="R$/apto",Orçamento!Z654/OBRA!$D$11,""))))),"")</f>
        <v>17.344942829993364</v>
      </c>
      <c r="AF654" s="241" t="s">
        <v>154</v>
      </c>
    </row>
    <row r="655" spans="1:32" s="10" customFormat="1" ht="13.15" hidden="1" customHeight="1" outlineLevel="4" x14ac:dyDescent="0.2">
      <c r="A655" s="227"/>
      <c r="B655" s="228" t="s">
        <v>4</v>
      </c>
      <c r="C655" s="229">
        <f t="shared" si="445"/>
        <v>5</v>
      </c>
      <c r="D655" s="227" t="str">
        <f t="shared" ca="1" si="418"/>
        <v>04.005.003.001</v>
      </c>
      <c r="E655" s="228" t="str">
        <f t="shared" ca="1" si="419"/>
        <v>04.005.003.001</v>
      </c>
      <c r="F655" s="230">
        <f ca="1">IF($B655="UNIDADE CONSTRUTIVA",OFFSET(F655,-1,0)+1,LARGE(F$10:F654,1))</f>
        <v>2</v>
      </c>
      <c r="G655" s="228" t="str">
        <f t="shared" ca="1" si="420"/>
        <v xml:space="preserve">   GERENCIAMENTO EXECUTIVO</v>
      </c>
      <c r="H655" s="230">
        <f t="shared" ca="1" si="421"/>
        <v>4</v>
      </c>
      <c r="I655" s="228" t="str">
        <f t="shared" ca="1" si="422"/>
        <v xml:space="preserve">   SUPRAESTRUTURA</v>
      </c>
      <c r="J655" s="230">
        <f t="shared" ca="1" si="423"/>
        <v>5</v>
      </c>
      <c r="K655" s="228" t="str">
        <f t="shared" ca="1" si="424"/>
        <v xml:space="preserve">   SUPRAESTRUTURA - BARRILETE / CAIXA DÁGUA / CASA DE MÁQUINAS</v>
      </c>
      <c r="L655" s="231">
        <f t="shared" ca="1" si="425"/>
        <v>3</v>
      </c>
      <c r="M655" s="228" t="str">
        <f t="shared" ca="1" si="426"/>
        <v xml:space="preserve">   Concreto</v>
      </c>
      <c r="N655" s="231">
        <f t="shared" ca="1" si="427"/>
        <v>1</v>
      </c>
      <c r="O655" s="228" t="str">
        <f t="shared" ca="1" si="428"/>
        <v>Concreto usinado bombeavel para supraestrutura Fck 35MPa com Brita 0 SLUMP = 12 +/- 2 incluindo servico de bombeamento</v>
      </c>
      <c r="P655" s="232" t="str">
        <f>IF(S655="","",IF(Orçamento!$B655="INSUMO",S655,""))</f>
        <v/>
      </c>
      <c r="Q655" s="244" t="str">
        <f t="shared" si="429"/>
        <v>Concreto usinado bombeavel para supraestrutura Fck 35MPa com Brita 0 SLUMP = 12 +/- 2 incluindo servico de bombeamento</v>
      </c>
      <c r="R655" s="234">
        <f t="shared" ca="1" si="430"/>
        <v>66.056014000000005</v>
      </c>
      <c r="S655" s="233" t="s">
        <v>614</v>
      </c>
      <c r="T655" s="242" t="s">
        <v>166</v>
      </c>
      <c r="U655" s="235">
        <v>66.056014000000005</v>
      </c>
      <c r="V655" s="320" t="s">
        <v>35</v>
      </c>
      <c r="W655" s="236" t="str">
        <f>IFERROR(IF(B655="INSUMO",_xlfn.XLOOKUP(S655,Insumos!A:A,Insumos!C:C),""),"Inserir Preço")</f>
        <v/>
      </c>
      <c r="X655" s="235">
        <f t="shared" ca="1" si="431"/>
        <v>66.056014000000005</v>
      </c>
      <c r="Y655" s="236">
        <f t="shared" ca="1" si="417"/>
        <v>510.25200000000001</v>
      </c>
      <c r="Z655" s="237">
        <f t="shared" ca="1" si="446"/>
        <v>33705.213255528004</v>
      </c>
      <c r="AA655" s="238"/>
      <c r="AB655" s="233" t="str">
        <f>IF(B655="insumo",_xlfn.XLOOKUP(S655,Insumos!A:A,Insumos!D:D),"")</f>
        <v/>
      </c>
      <c r="AC655" s="239">
        <f t="shared" ca="1" si="447"/>
        <v>4.8353201388282073E-3</v>
      </c>
      <c r="AE655" s="240">
        <f ca="1">IFERROR(IF(OR(Z655="",Z655=0),"",IF(AF655="","",IF(AF655="R$/mês",Z655/OBRA!$D$12,IF(AF655="R$/m²",Z655/OBRA!$D$10,IF(AF655="R$/apto",Orçamento!Z655/OBRA!$D$11,""))))),"")</f>
        <v>17.344942829993364</v>
      </c>
      <c r="AF655" s="241" t="s">
        <v>154</v>
      </c>
    </row>
    <row r="656" spans="1:32" s="10" customFormat="1" ht="13.15" hidden="1" customHeight="1" outlineLevel="4" x14ac:dyDescent="0.2">
      <c r="A656" s="227"/>
      <c r="B656" s="228" t="s">
        <v>19</v>
      </c>
      <c r="C656" s="229">
        <f t="shared" si="445"/>
        <v>5</v>
      </c>
      <c r="D656" s="227" t="str">
        <f t="shared" si="418"/>
        <v/>
      </c>
      <c r="E656" s="228" t="str">
        <f t="shared" ca="1" si="419"/>
        <v>04.005.003.001</v>
      </c>
      <c r="F656" s="230">
        <f ca="1">IF($B656="UNIDADE CONSTRUTIVA",OFFSET(F656,-1,0)+1,LARGE(F$10:F655,1))</f>
        <v>2</v>
      </c>
      <c r="G656" s="228" t="str">
        <f t="shared" ca="1" si="420"/>
        <v xml:space="preserve">   GERENCIAMENTO EXECUTIVO</v>
      </c>
      <c r="H656" s="230">
        <f t="shared" ca="1" si="421"/>
        <v>4</v>
      </c>
      <c r="I656" s="228" t="str">
        <f t="shared" ca="1" si="422"/>
        <v xml:space="preserve">   SUPRAESTRUTURA</v>
      </c>
      <c r="J656" s="230">
        <f t="shared" ca="1" si="423"/>
        <v>5</v>
      </c>
      <c r="K656" s="228" t="str">
        <f t="shared" ca="1" si="424"/>
        <v xml:space="preserve">   SUPRAESTRUTURA - BARRILETE / CAIXA DÁGUA / CASA DE MÁQUINAS</v>
      </c>
      <c r="L656" s="231">
        <f t="shared" ca="1" si="425"/>
        <v>3</v>
      </c>
      <c r="M656" s="228" t="str">
        <f t="shared" ca="1" si="426"/>
        <v xml:space="preserve">   Concreto</v>
      </c>
      <c r="N656" s="231">
        <f t="shared" ca="1" si="427"/>
        <v>1</v>
      </c>
      <c r="O656" s="228" t="str">
        <f t="shared" ca="1" si="428"/>
        <v>Concreto usinado bombeavel para supraestrutura Fck 35MPa com Brita 0 SLUMP = 12 +/- 2 incluindo servico de bombeamento</v>
      </c>
      <c r="P656" s="232" t="str">
        <f>IF(S656="","",IF(Orçamento!$B656="INSUMO",S656,""))</f>
        <v>Cimento Portland CP II - E</v>
      </c>
      <c r="Q656" s="244" t="str">
        <f t="shared" si="429"/>
        <v/>
      </c>
      <c r="R656" s="234">
        <f t="shared" ca="1" si="430"/>
        <v>66.056014000000005</v>
      </c>
      <c r="S656" s="233" t="s">
        <v>201</v>
      </c>
      <c r="T656" s="242" t="str">
        <f>_xlfn.XLOOKUP(S656,Insumos!$A$3:$A$371,Insumos!$B$3:$B$371)</f>
        <v>KG</v>
      </c>
      <c r="U656" s="235">
        <f ca="1">IF($B656="insumo",R656,"")</f>
        <v>66.056014000000005</v>
      </c>
      <c r="V656" s="320">
        <v>1.67</v>
      </c>
      <c r="W656" s="236">
        <f>IFERROR(IF(B656="INSUMO",_xlfn.XLOOKUP(S656,Insumos!A:A,Insumos!C:C),""),"Inserir Preço")</f>
        <v>0.6</v>
      </c>
      <c r="X656" s="235">
        <f t="shared" ca="1" si="431"/>
        <v>110.31354338</v>
      </c>
      <c r="Y656" s="236">
        <f t="shared" si="417"/>
        <v>1.002</v>
      </c>
      <c r="Z656" s="237">
        <f t="shared" ca="1" si="446"/>
        <v>66.188126027999999</v>
      </c>
      <c r="AA656" s="238"/>
      <c r="AB656" s="233" t="str">
        <f>IF(B656="insumo",_xlfn.XLOOKUP(S656,Insumos!A:A,Insumos!D:D),"")</f>
        <v xml:space="preserve"> </v>
      </c>
      <c r="AC656" s="239">
        <f t="shared" ca="1" si="447"/>
        <v>9.4952901293985396E-6</v>
      </c>
      <c r="AE656" s="240">
        <f ca="1">IFERROR(IF(OR(Z656="",Z656=0),"",IF(AF656="","",IF(AF656="R$/mês",Z656/OBRA!$D$12,IF(AF656="R$/m²",Z656/OBRA!$D$10,IF(AF656="R$/apto",Orçamento!Z656/OBRA!$D$11,""))))),"")</f>
        <v>3.4060881124725328E-2</v>
      </c>
      <c r="AF656" s="241" t="s">
        <v>154</v>
      </c>
    </row>
    <row r="657" spans="1:32" s="10" customFormat="1" ht="13.15" hidden="1" customHeight="1" outlineLevel="4" x14ac:dyDescent="0.2">
      <c r="A657" s="227"/>
      <c r="B657" s="228" t="s">
        <v>19</v>
      </c>
      <c r="C657" s="229">
        <f t="shared" si="445"/>
        <v>6</v>
      </c>
      <c r="D657" s="227" t="str">
        <f t="shared" si="418"/>
        <v/>
      </c>
      <c r="E657" s="228" t="str">
        <f t="shared" ca="1" si="419"/>
        <v>04.005.003.001</v>
      </c>
      <c r="F657" s="230">
        <f ca="1">IF($B657="UNIDADE CONSTRUTIVA",OFFSET(F657,-1,0)+1,LARGE(F$10:F656,1))</f>
        <v>2</v>
      </c>
      <c r="G657" s="228" t="str">
        <f t="shared" ca="1" si="420"/>
        <v xml:space="preserve">   GERENCIAMENTO EXECUTIVO</v>
      </c>
      <c r="H657" s="230">
        <f t="shared" ca="1" si="421"/>
        <v>4</v>
      </c>
      <c r="I657" s="228" t="str">
        <f t="shared" ca="1" si="422"/>
        <v xml:space="preserve">   SUPRAESTRUTURA</v>
      </c>
      <c r="J657" s="230">
        <f t="shared" ca="1" si="423"/>
        <v>5</v>
      </c>
      <c r="K657" s="228" t="str">
        <f t="shared" ca="1" si="424"/>
        <v xml:space="preserve">   SUPRAESTRUTURA - BARRILETE / CAIXA DÁGUA / CASA DE MÁQUINAS</v>
      </c>
      <c r="L657" s="231">
        <f t="shared" ca="1" si="425"/>
        <v>3</v>
      </c>
      <c r="M657" s="228" t="str">
        <f t="shared" ca="1" si="426"/>
        <v xml:space="preserve">   Concreto</v>
      </c>
      <c r="N657" s="231">
        <f t="shared" ca="1" si="427"/>
        <v>1</v>
      </c>
      <c r="O657" s="228" t="str">
        <f t="shared" ca="1" si="428"/>
        <v>Concreto usinado bombeavel para supraestrutura Fck 35MPa com Brita 0 SLUMP = 12 +/- 2 incluindo servico de bombeamento</v>
      </c>
      <c r="P657" s="232" t="str">
        <f>IF(S657="","",IF(Orçamento!$B657="INSUMO",S657,""))</f>
        <v>BOMBEAMENTO DE CONCRETO USINADO</v>
      </c>
      <c r="Q657" s="244" t="str">
        <f t="shared" si="429"/>
        <v/>
      </c>
      <c r="R657" s="234">
        <f t="shared" ca="1" si="430"/>
        <v>66.056014000000005</v>
      </c>
      <c r="S657" s="233" t="s">
        <v>167</v>
      </c>
      <c r="T657" s="242" t="str">
        <f>_xlfn.XLOOKUP(S657,Insumos!$A$3:$A$371,Insumos!$B$3:$B$371)</f>
        <v>M3</v>
      </c>
      <c r="U657" s="235">
        <f ca="1">IF($B657="insumo",R657,"")</f>
        <v>66.056014000000005</v>
      </c>
      <c r="V657" s="320">
        <v>1.05</v>
      </c>
      <c r="W657" s="236">
        <f>IFERROR(IF(B657="INSUMO",_xlfn.XLOOKUP(S657,Insumos!A:A,Insumos!C:C),""),"Inserir Preço")</f>
        <v>35</v>
      </c>
      <c r="X657" s="235">
        <f t="shared" ca="1" si="431"/>
        <v>69.358814700000011</v>
      </c>
      <c r="Y657" s="236">
        <f t="shared" si="417"/>
        <v>36.75</v>
      </c>
      <c r="Z657" s="237">
        <f t="shared" ca="1" si="446"/>
        <v>2427.5585145000005</v>
      </c>
      <c r="AA657" s="238"/>
      <c r="AB657" s="233" t="str">
        <f>IF(B657="insumo",_xlfn.XLOOKUP(S657,Insumos!A:A,Insumos!D:D),"")</f>
        <v>Engemix</v>
      </c>
      <c r="AC657" s="239">
        <f t="shared" ca="1" si="447"/>
        <v>3.4825540145249137E-4</v>
      </c>
      <c r="AE657" s="240">
        <f ca="1">IFERROR(IF(OR(Z657="",Z657=0),"",IF(AF657="","",IF(AF657="R$/mês",Z657/OBRA!$D$12,IF(AF657="R$/m²",Z657/OBRA!$D$10,IF(AF657="R$/apto",Orçamento!Z657/OBRA!$D$11,""))))),"")</f>
        <v>1.2492389035266029</v>
      </c>
      <c r="AF657" s="241" t="s">
        <v>154</v>
      </c>
    </row>
    <row r="658" spans="1:32" s="10" customFormat="1" ht="13.15" hidden="1" customHeight="1" outlineLevel="4" x14ac:dyDescent="0.2">
      <c r="A658" s="227"/>
      <c r="B658" s="228" t="s">
        <v>19</v>
      </c>
      <c r="C658" s="229">
        <f t="shared" si="445"/>
        <v>6</v>
      </c>
      <c r="D658" s="227" t="str">
        <f t="shared" si="418"/>
        <v/>
      </c>
      <c r="E658" s="228" t="str">
        <f t="shared" ca="1" si="419"/>
        <v>04.005.003.001</v>
      </c>
      <c r="F658" s="230">
        <f ca="1">IF($B658="UNIDADE CONSTRUTIVA",OFFSET(F658,-1,0)+1,LARGE(F$10:F657,1))</f>
        <v>2</v>
      </c>
      <c r="G658" s="228" t="str">
        <f t="shared" ca="1" si="420"/>
        <v xml:space="preserve">   GERENCIAMENTO EXECUTIVO</v>
      </c>
      <c r="H658" s="230">
        <f t="shared" ca="1" si="421"/>
        <v>4</v>
      </c>
      <c r="I658" s="228" t="str">
        <f t="shared" ca="1" si="422"/>
        <v xml:space="preserve">   SUPRAESTRUTURA</v>
      </c>
      <c r="J658" s="230">
        <f t="shared" ca="1" si="423"/>
        <v>5</v>
      </c>
      <c r="K658" s="228" t="str">
        <f t="shared" ca="1" si="424"/>
        <v xml:space="preserve">   SUPRAESTRUTURA - BARRILETE / CAIXA DÁGUA / CASA DE MÁQUINAS</v>
      </c>
      <c r="L658" s="231">
        <f t="shared" ca="1" si="425"/>
        <v>3</v>
      </c>
      <c r="M658" s="228" t="str">
        <f t="shared" ca="1" si="426"/>
        <v xml:space="preserve">   Concreto</v>
      </c>
      <c r="N658" s="231">
        <f t="shared" ca="1" si="427"/>
        <v>1</v>
      </c>
      <c r="O658" s="228" t="str">
        <f t="shared" ca="1" si="428"/>
        <v>Concreto usinado bombeavel para supraestrutura Fck 35MPa com Brita 0 SLUMP = 12 +/- 2 incluindo servico de bombeamento</v>
      </c>
      <c r="P658" s="232" t="str">
        <f>IF(S658="","",IF(Orçamento!$B658="INSUMO",S658,""))</f>
        <v>Concreto 35 MPA, brita 1, slump 12+-2</v>
      </c>
      <c r="Q658" s="244" t="str">
        <f t="shared" si="429"/>
        <v/>
      </c>
      <c r="R658" s="234">
        <f t="shared" ca="1" si="430"/>
        <v>66.056014000000005</v>
      </c>
      <c r="S658" s="233" t="s">
        <v>820</v>
      </c>
      <c r="T658" s="242" t="str">
        <f>_xlfn.XLOOKUP(S658,Insumos!$A$3:$A$371,Insumos!$B$3:$B$371)</f>
        <v>M3</v>
      </c>
      <c r="U658" s="235">
        <f ca="1">IF($B658="insumo",R658,"")</f>
        <v>66.056014000000005</v>
      </c>
      <c r="V658" s="320">
        <v>1.05</v>
      </c>
      <c r="W658" s="236">
        <f>IFERROR(IF(B658="INSUMO",_xlfn.XLOOKUP(S658,Insumos!A:A,Insumos!C:C),""),"Inserir Preço")</f>
        <v>450</v>
      </c>
      <c r="X658" s="235">
        <f t="shared" ca="1" si="431"/>
        <v>69.358814700000011</v>
      </c>
      <c r="Y658" s="236">
        <f t="shared" si="417"/>
        <v>472.5</v>
      </c>
      <c r="Z658" s="237">
        <f t="shared" ca="1" si="446"/>
        <v>31211.466615000005</v>
      </c>
      <c r="AA658" s="238"/>
      <c r="AB658" s="233" t="str">
        <f>IF(B658="insumo",_xlfn.XLOOKUP(S658,Insumos!A:A,Insumos!D:D),"")</f>
        <v>Recebido Cliente</v>
      </c>
      <c r="AC658" s="239">
        <f t="shared" ca="1" si="447"/>
        <v>4.4775694472463179E-3</v>
      </c>
      <c r="AE658" s="240">
        <f ca="1">IFERROR(IF(OR(Z658="",Z658=0),"",IF(AF658="","",IF(AF658="R$/mês",Z658/OBRA!$D$12,IF(AF658="R$/m²",Z658/OBRA!$D$10,IF(AF658="R$/apto",Orçamento!Z658/OBRA!$D$11,""))))),"")</f>
        <v>16.061643045342034</v>
      </c>
      <c r="AF658" s="241" t="s">
        <v>154</v>
      </c>
    </row>
    <row r="659" spans="1:32" s="10" customFormat="1" ht="13.15" hidden="1" customHeight="1" outlineLevel="3" collapsed="1" x14ac:dyDescent="0.2">
      <c r="A659" s="227"/>
      <c r="B659" s="228" t="s">
        <v>3</v>
      </c>
      <c r="C659" s="229" t="str">
        <f t="shared" si="445"/>
        <v/>
      </c>
      <c r="D659" s="227" t="str">
        <f t="shared" ca="1" si="411"/>
        <v>04.005.004</v>
      </c>
      <c r="E659" s="228" t="str">
        <f t="shared" ca="1" si="412"/>
        <v>04.005.003.001</v>
      </c>
      <c r="F659" s="230">
        <f ca="1">IF($B659="UNIDADE CONSTRUTIVA",OFFSET(F659,-1,0)+1,LARGE(F$10:F658,1))</f>
        <v>2</v>
      </c>
      <c r="G659" s="228" t="str">
        <f t="shared" ref="G659:G692" ca="1" si="448">IF(B659="*","",IF(B659="UNIDADE CONSTRUTIVA",S659,OFFSET(G659,-1,0)))</f>
        <v xml:space="preserve">   GERENCIAMENTO EXECUTIVO</v>
      </c>
      <c r="H659" s="230">
        <f t="shared" ca="1" si="413"/>
        <v>4</v>
      </c>
      <c r="I659" s="228" t="str">
        <f t="shared" ref="I659:I692" ca="1" si="449">IF(B659="*","",IF(B659="CÉLULA CONSTRUTIVA",S659,OFFSET(I659,-1,0)))</f>
        <v xml:space="preserve">   SUPRAESTRUTURA</v>
      </c>
      <c r="J659" s="230">
        <f t="shared" ca="1" si="414"/>
        <v>5</v>
      </c>
      <c r="K659" s="228" t="str">
        <f t="shared" ref="K659:K692" ca="1" si="450">IF(B659="*","",IF(B659="ETAPA",S659,OFFSET(K659,-1,0)))</f>
        <v xml:space="preserve">   SUPRAESTRUTURA - BARRILETE / CAIXA DÁGUA / CASA DE MÁQUINAS</v>
      </c>
      <c r="L659" s="231">
        <f t="shared" ca="1" si="415"/>
        <v>4</v>
      </c>
      <c r="M659" s="228" t="str">
        <f t="shared" ref="M659:M692" ca="1" si="451">IF(B659="*","",IF(B659="SUBETAPA",S659,OFFSET(M659,-1,0)))</f>
        <v xml:space="preserve">   Mão de Obra</v>
      </c>
      <c r="N659" s="231">
        <f t="shared" ca="1" si="416"/>
        <v>0</v>
      </c>
      <c r="O659" s="228" t="str">
        <f t="shared" ref="O659:O692" ca="1" si="452">IF(B659="*","",IF(B659="SERVIÇO",S659,OFFSET(O659,-1,0)))</f>
        <v>Concreto usinado bombeavel para supraestrutura Fck 35MPa com Brita 0 SLUMP = 12 +/- 2 incluindo servico de bombeamento</v>
      </c>
      <c r="P659" s="232" t="str">
        <f>IF(S659="","",IF(Orçamento!$B659="INSUMO",S659,""))</f>
        <v/>
      </c>
      <c r="Q659" s="244" t="str">
        <f t="shared" ref="Q659:Q692" si="453">IF(B659="","",IF(B659="Serviço",S659,""))</f>
        <v/>
      </c>
      <c r="R659" s="234">
        <f t="shared" ref="R659:R692" ca="1" si="454">IF(B659="serviço",U659,OFFSET(R659,-1,0))</f>
        <v>66.056014000000005</v>
      </c>
      <c r="S659" s="233" t="s">
        <v>438</v>
      </c>
      <c r="T659" s="242" t="s">
        <v>35</v>
      </c>
      <c r="U659" s="235" t="str">
        <f>IF($B659="insumo",R659,"")</f>
        <v/>
      </c>
      <c r="V659" s="320" t="s">
        <v>35</v>
      </c>
      <c r="W659" s="236" t="str">
        <f>IFERROR(IF(B659="INSUMO",_xlfn.XLOOKUP(S659,Insumos!A:A,Insumos!C:C),""),"Inserir Preço")</f>
        <v/>
      </c>
      <c r="X659" s="235" t="str">
        <f t="shared" ref="X659:X692" ca="1" si="455">IF(B659="Complemento do insumo",V659,IF(R659="","",IF(B659="serviço",R659,IF(OR(B659="insumo"),V659*R659,""))))</f>
        <v/>
      </c>
      <c r="Y659" s="236" t="str">
        <f t="shared" si="417"/>
        <v/>
      </c>
      <c r="Z659" s="237">
        <f t="shared" ca="1" si="446"/>
        <v>63278.08530501341</v>
      </c>
      <c r="AA659" s="238"/>
      <c r="AB659" s="233" t="str">
        <f>IF(B659="insumo",_xlfn.XLOOKUP(S659,Insumos!A:A,Insumos!D:D),"")</f>
        <v/>
      </c>
      <c r="AC659" s="239">
        <f t="shared" ca="1" si="447"/>
        <v>9.0778182562496739E-3</v>
      </c>
      <c r="AE659" s="240">
        <f ca="1">IFERROR(IF(OR(Z659="",Z659=0),"",IF(AF659="","",IF(AF659="R$/mês",Z659/OBRA!$D$12,IF(AF659="R$/m²",Z659/OBRA!$D$10,IF(AF659="R$/apto",Orçamento!Z659/OBRA!$D$11,""))))),"")</f>
        <v>32.563353439898215</v>
      </c>
      <c r="AF659" s="241" t="s">
        <v>154</v>
      </c>
    </row>
    <row r="660" spans="1:32" s="10" customFormat="1" ht="13.15" hidden="1" customHeight="1" outlineLevel="4" x14ac:dyDescent="0.2">
      <c r="A660" s="227"/>
      <c r="B660" s="228" t="s">
        <v>4</v>
      </c>
      <c r="C660" s="229">
        <f t="shared" si="445"/>
        <v>5</v>
      </c>
      <c r="D660" s="227" t="str">
        <f t="shared" ca="1" si="411"/>
        <v>04.005.004.001</v>
      </c>
      <c r="E660" s="228" t="str">
        <f t="shared" ca="1" si="412"/>
        <v>04.005.004.001</v>
      </c>
      <c r="F660" s="230">
        <f ca="1">IF($B660="UNIDADE CONSTRUTIVA",OFFSET(F660,-1,0)+1,LARGE(F$10:F659,1))</f>
        <v>2</v>
      </c>
      <c r="G660" s="228" t="str">
        <f t="shared" ca="1" si="448"/>
        <v xml:space="preserve">   GERENCIAMENTO EXECUTIVO</v>
      </c>
      <c r="H660" s="230">
        <f t="shared" ca="1" si="413"/>
        <v>4</v>
      </c>
      <c r="I660" s="228" t="str">
        <f t="shared" ca="1" si="449"/>
        <v xml:space="preserve">   SUPRAESTRUTURA</v>
      </c>
      <c r="J660" s="230">
        <f t="shared" ca="1" si="414"/>
        <v>5</v>
      </c>
      <c r="K660" s="228" t="str">
        <f t="shared" ca="1" si="450"/>
        <v xml:space="preserve">   SUPRAESTRUTURA - BARRILETE / CAIXA DÁGUA / CASA DE MÁQUINAS</v>
      </c>
      <c r="L660" s="231">
        <f t="shared" ca="1" si="415"/>
        <v>4</v>
      </c>
      <c r="M660" s="228" t="str">
        <f t="shared" ca="1" si="451"/>
        <v xml:space="preserve">   Mão de Obra</v>
      </c>
      <c r="N660" s="231">
        <f t="shared" ca="1" si="416"/>
        <v>1</v>
      </c>
      <c r="O660" s="228" t="str">
        <f t="shared" ca="1" si="452"/>
        <v>Mao de obra  - para execucacao de estrutura de concreto armado em supraestrutura</v>
      </c>
      <c r="P660" s="232" t="str">
        <f>IF(S660="","",IF(Orçamento!$B660="INSUMO",S660,""))</f>
        <v/>
      </c>
      <c r="Q660" s="244" t="str">
        <f t="shared" si="453"/>
        <v>Mao de obra  - para execucacao de estrutura de concreto armado em supraestrutura</v>
      </c>
      <c r="R660" s="234">
        <f t="shared" ca="1" si="454"/>
        <v>192.34485000000001</v>
      </c>
      <c r="S660" s="233" t="s">
        <v>1167</v>
      </c>
      <c r="T660" s="242" t="s">
        <v>140</v>
      </c>
      <c r="U660" s="235">
        <f>U635</f>
        <v>192.34485000000001</v>
      </c>
      <c r="V660" s="320" t="s">
        <v>35</v>
      </c>
      <c r="W660" s="236" t="str">
        <f>IFERROR(IF(B660="INSUMO",_xlfn.XLOOKUP(S660,Insumos!A:A,Insumos!C:C),""),"Inserir Preço")</f>
        <v/>
      </c>
      <c r="X660" s="235">
        <f t="shared" ca="1" si="455"/>
        <v>192.34485000000001</v>
      </c>
      <c r="Y660" s="236">
        <f t="shared" ca="1" si="417"/>
        <v>328.98247759174944</v>
      </c>
      <c r="Z660" s="237">
        <f t="shared" ca="1" si="446"/>
        <v>63278.08530501341</v>
      </c>
      <c r="AA660" s="238"/>
      <c r="AB660" s="233" t="str">
        <f>IF(B660="insumo",_xlfn.XLOOKUP(S660,Insumos!A:A,Insumos!D:D),"")</f>
        <v/>
      </c>
      <c r="AC660" s="239">
        <f t="shared" ca="1" si="447"/>
        <v>9.0778182562496739E-3</v>
      </c>
      <c r="AE660" s="240">
        <f ca="1">IFERROR(IF(OR(Z660="",Z660=0),"",IF(AF660="","",IF(AF660="R$/mês",Z660/OBRA!$D$12,IF(AF660="R$/m²",Z660/OBRA!$D$10,IF(AF660="R$/apto",Orçamento!Z660/OBRA!$D$11,""))))),"")</f>
        <v>32.563353439898215</v>
      </c>
      <c r="AF660" s="241" t="s">
        <v>154</v>
      </c>
    </row>
    <row r="661" spans="1:32" s="10" customFormat="1" ht="13.15" hidden="1" customHeight="1" outlineLevel="4" x14ac:dyDescent="0.2">
      <c r="A661" s="227"/>
      <c r="B661" s="228" t="s">
        <v>19</v>
      </c>
      <c r="C661" s="229">
        <f t="shared" si="445"/>
        <v>5</v>
      </c>
      <c r="D661" s="227" t="str">
        <f t="shared" si="411"/>
        <v/>
      </c>
      <c r="E661" s="228" t="str">
        <f t="shared" ca="1" si="412"/>
        <v>04.005.004.001</v>
      </c>
      <c r="F661" s="230">
        <f ca="1">IF($B661="UNIDADE CONSTRUTIVA",OFFSET(F661,-1,0)+1,LARGE(F$10:F660,1))</f>
        <v>2</v>
      </c>
      <c r="G661" s="228" t="str">
        <f t="shared" ca="1" si="448"/>
        <v xml:space="preserve">   GERENCIAMENTO EXECUTIVO</v>
      </c>
      <c r="H661" s="230">
        <f t="shared" ca="1" si="413"/>
        <v>4</v>
      </c>
      <c r="I661" s="228" t="str">
        <f t="shared" ca="1" si="449"/>
        <v xml:space="preserve">   SUPRAESTRUTURA</v>
      </c>
      <c r="J661" s="230">
        <f t="shared" ca="1" si="414"/>
        <v>5</v>
      </c>
      <c r="K661" s="228" t="str">
        <f t="shared" ca="1" si="450"/>
        <v xml:space="preserve">   SUPRAESTRUTURA - BARRILETE / CAIXA DÁGUA / CASA DE MÁQUINAS</v>
      </c>
      <c r="L661" s="231">
        <f t="shared" ca="1" si="415"/>
        <v>4</v>
      </c>
      <c r="M661" s="228" t="str">
        <f t="shared" ca="1" si="451"/>
        <v xml:space="preserve">   Mão de Obra</v>
      </c>
      <c r="N661" s="231">
        <f t="shared" ca="1" si="416"/>
        <v>1</v>
      </c>
      <c r="O661" s="228" t="str">
        <f t="shared" ca="1" si="452"/>
        <v>Mao de obra  - para execucacao de estrutura de concreto armado em supraestrutura</v>
      </c>
      <c r="P661" s="232" t="str">
        <f>IF(S661="","",IF(Orçamento!$B661="INSUMO",S661,""))</f>
        <v>MAO DE OBRA PARA EXECUCAO DE SUPRAESTRUTURA EM CONCRETO ARMADO</v>
      </c>
      <c r="Q661" s="244" t="str">
        <f t="shared" si="453"/>
        <v/>
      </c>
      <c r="R661" s="234">
        <f t="shared" ca="1" si="454"/>
        <v>192.34485000000001</v>
      </c>
      <c r="S661" s="233" t="s">
        <v>204</v>
      </c>
      <c r="T661" s="242" t="str">
        <f>_xlfn.XLOOKUP(S661,Insumos!$A$3:$A$371,Insumos!$B$3:$B$371)</f>
        <v>M2</v>
      </c>
      <c r="U661" s="235">
        <f ca="1">IF($B661="insumo",R661,"")</f>
        <v>192.34485000000001</v>
      </c>
      <c r="V661" s="320">
        <v>1</v>
      </c>
      <c r="W661" s="236">
        <f>IFERROR(IF(B661="INSUMO",_xlfn.XLOOKUP(S661,Insumos!A:A,Insumos!C:C),""),"Inserir Preço")</f>
        <v>328.98247759174944</v>
      </c>
      <c r="X661" s="235">
        <f t="shared" ca="1" si="455"/>
        <v>192.34485000000001</v>
      </c>
      <c r="Y661" s="236">
        <f t="shared" si="417"/>
        <v>328.98247759174944</v>
      </c>
      <c r="Z661" s="237">
        <f t="shared" ca="1" si="446"/>
        <v>63278.08530501341</v>
      </c>
      <c r="AA661" s="238"/>
      <c r="AB661" s="233" t="str">
        <f>IF(B661="insumo",_xlfn.XLOOKUP(S661,Insumos!A:A,Insumos!D:D),"")</f>
        <v>Aba Custo Serviços</v>
      </c>
      <c r="AC661" s="239">
        <f t="shared" ca="1" si="447"/>
        <v>9.0778182562496739E-3</v>
      </c>
      <c r="AE661" s="240">
        <f ca="1">IFERROR(IF(OR(Z661="",Z661=0),"",IF(AF661="","",IF(AF661="R$/mês",Z661/OBRA!$D$12,IF(AF661="R$/m²",Z661/OBRA!$D$10,IF(AF661="R$/apto",Orçamento!Z661/OBRA!$D$11,""))))),"")</f>
        <v>32.563353439898215</v>
      </c>
      <c r="AF661" s="241" t="s">
        <v>154</v>
      </c>
    </row>
    <row r="662" spans="1:32" s="10" customFormat="1" ht="13.15" customHeight="1" outlineLevel="1" x14ac:dyDescent="0.2">
      <c r="A662" s="227"/>
      <c r="B662" s="228" t="s">
        <v>1</v>
      </c>
      <c r="C662" s="229" t="str">
        <f t="shared" si="445"/>
        <v/>
      </c>
      <c r="D662" s="227" t="str">
        <f t="shared" ca="1" si="411"/>
        <v>05</v>
      </c>
      <c r="E662" s="228" t="str">
        <f ca="1">IF(B662="*","",IFERROR(IF(B662="SERVIÇO",D662,OFFSET(E662,-1,0)),""))</f>
        <v>04.005.004.001</v>
      </c>
      <c r="F662" s="230">
        <f ca="1">IF($B662="UNIDADE CONSTRUTIVA",OFFSET(F662,-1,0)+1,LARGE(F$10:F661,1))</f>
        <v>2</v>
      </c>
      <c r="G662" s="228" t="str">
        <f t="shared" ca="1" si="448"/>
        <v xml:space="preserve">   GERENCIAMENTO EXECUTIVO</v>
      </c>
      <c r="H662" s="230">
        <f ca="1">IF(B662="UNIDADE CONSTRUTIVA",0,IF(B662="CÉLULA CONSTRUTIVA",OFFSET(H662,-1,0)+1,OFFSET(H662,-1,0)))</f>
        <v>5</v>
      </c>
      <c r="I662" s="228" t="str">
        <f t="shared" ca="1" si="449"/>
        <v xml:space="preserve">   ALVENARIA | VEDAÇÕES | DIVISÓRIAS</v>
      </c>
      <c r="J662" s="230">
        <f ca="1">IF(B662="CÉLULA CONSTRUTIVA",0,IF(B662="ETAPA",OFFSET(J662,-1,0)+1,OFFSET(J662,-1,0)))</f>
        <v>0</v>
      </c>
      <c r="K662" s="228" t="str">
        <f t="shared" ca="1" si="450"/>
        <v xml:space="preserve">   SUPRAESTRUTURA - BARRILETE / CAIXA DÁGUA / CASA DE MÁQUINAS</v>
      </c>
      <c r="L662" s="231">
        <f ca="1">IF(B662="ETAPA",0,IF(B662="SUBETAPA",OFFSET(L662,-1,0)+1,OFFSET(L662,-1,0)))</f>
        <v>4</v>
      </c>
      <c r="M662" s="228" t="str">
        <f t="shared" ca="1" si="451"/>
        <v xml:space="preserve">   Mão de Obra</v>
      </c>
      <c r="N662" s="231">
        <f ca="1">IF(B662="Subetapa",0,IF(B662="serviço",OFFSET(N662,-1,0)+1,OFFSET(N662,-1,0)))</f>
        <v>1</v>
      </c>
      <c r="O662" s="228" t="str">
        <f t="shared" ca="1" si="452"/>
        <v>Mao de obra  - para execucacao de estrutura de concreto armado em supraestrutura</v>
      </c>
      <c r="P662" s="232" t="str">
        <f>IF(S662="","",IF(Orçamento!$B662="INSUMO",S662,""))</f>
        <v/>
      </c>
      <c r="Q662" s="244" t="str">
        <f t="shared" si="453"/>
        <v/>
      </c>
      <c r="R662" s="234">
        <f t="shared" ca="1" si="454"/>
        <v>192.34485000000001</v>
      </c>
      <c r="S662" s="233" t="s">
        <v>545</v>
      </c>
      <c r="T662" s="242" t="s">
        <v>35</v>
      </c>
      <c r="U662" s="235" t="str">
        <f>IF($B662="insumo",R662,"")</f>
        <v/>
      </c>
      <c r="V662" s="320" t="s">
        <v>35</v>
      </c>
      <c r="W662" s="236" t="str">
        <f>IFERROR(IF(B662="INSUMO",_xlfn.XLOOKUP(S662,Insumos!A:A,Insumos!C:C),""),"Inserir Preço")</f>
        <v/>
      </c>
      <c r="X662" s="235" t="str">
        <f t="shared" ca="1" si="455"/>
        <v/>
      </c>
      <c r="Y662" s="236" t="str">
        <f t="shared" si="417"/>
        <v/>
      </c>
      <c r="Z662" s="237">
        <f t="shared" ca="1" si="446"/>
        <v>261393.66178810003</v>
      </c>
      <c r="AA662" s="238"/>
      <c r="AB662" s="233" t="str">
        <f>IF(B662="insumo",_xlfn.XLOOKUP(S662,Insumos!A:A,Insumos!D:D),"")</f>
        <v/>
      </c>
      <c r="AC662" s="239">
        <f t="shared" ca="1" si="447"/>
        <v>3.7499303962978278E-2</v>
      </c>
      <c r="AE662" s="240">
        <f ca="1">IFERROR(IF(OR(Z662="",Z662=0),"",IF(AF662="","",IF(AF662="R$/mês",Z662/OBRA!$D$12,IF(AF662="R$/m²",Z662/OBRA!$D$10,IF(AF662="R$/apto",Orçamento!Z662/OBRA!$D$11,""))))),"")</f>
        <v>134.51504031334429</v>
      </c>
      <c r="AF662" s="241" t="s">
        <v>154</v>
      </c>
    </row>
    <row r="663" spans="1:32" s="10" customFormat="1" ht="13.15" customHeight="1" outlineLevel="2" collapsed="1" x14ac:dyDescent="0.2">
      <c r="A663" s="227"/>
      <c r="B663" s="228" t="s">
        <v>2</v>
      </c>
      <c r="C663" s="229" t="str">
        <f t="shared" si="445"/>
        <v/>
      </c>
      <c r="D663" s="227" t="str">
        <f t="shared" ca="1" si="411"/>
        <v>05.001</v>
      </c>
      <c r="E663" s="228" t="str">
        <f t="shared" ca="1" si="412"/>
        <v>04.005.004.001</v>
      </c>
      <c r="F663" s="230">
        <f ca="1">IF($B663="UNIDADE CONSTRUTIVA",OFFSET(F663,-1,0)+1,LARGE(F$10:F662,1))</f>
        <v>2</v>
      </c>
      <c r="G663" s="228" t="str">
        <f t="shared" ca="1" si="448"/>
        <v xml:space="preserve">   GERENCIAMENTO EXECUTIVO</v>
      </c>
      <c r="H663" s="230">
        <f t="shared" ca="1" si="413"/>
        <v>5</v>
      </c>
      <c r="I663" s="228" t="str">
        <f t="shared" ca="1" si="449"/>
        <v xml:space="preserve">   ALVENARIA | VEDAÇÕES | DIVISÓRIAS</v>
      </c>
      <c r="J663" s="230">
        <f t="shared" ca="1" si="414"/>
        <v>1</v>
      </c>
      <c r="K663" s="228" t="str">
        <f t="shared" ca="1" si="450"/>
        <v xml:space="preserve">   ALVENARIA | VEDAÇÕES | DIVISÓRIAS - 1º PAVIMENTO - SUBSOLO</v>
      </c>
      <c r="L663" s="231">
        <f t="shared" ca="1" si="415"/>
        <v>0</v>
      </c>
      <c r="M663" s="228" t="str">
        <f t="shared" ca="1" si="451"/>
        <v xml:space="preserve">   Mão de Obra</v>
      </c>
      <c r="N663" s="231">
        <f t="shared" ca="1" si="416"/>
        <v>1</v>
      </c>
      <c r="O663" s="228" t="str">
        <f t="shared" ca="1" si="452"/>
        <v>Mao de obra  - para execucacao de estrutura de concreto armado em supraestrutura</v>
      </c>
      <c r="P663" s="232" t="str">
        <f>IF(S663="","",IF(Orçamento!$B663="INSUMO",S663,""))</f>
        <v/>
      </c>
      <c r="Q663" s="244" t="str">
        <f t="shared" si="453"/>
        <v/>
      </c>
      <c r="R663" s="234">
        <f t="shared" ca="1" si="454"/>
        <v>192.34485000000001</v>
      </c>
      <c r="S663" s="233" t="s">
        <v>677</v>
      </c>
      <c r="T663" s="242" t="s">
        <v>35</v>
      </c>
      <c r="U663" s="235" t="str">
        <f>IF($B663="insumo",R663,"")</f>
        <v/>
      </c>
      <c r="V663" s="320" t="s">
        <v>35</v>
      </c>
      <c r="W663" s="236" t="str">
        <f>IFERROR(IF(B663="INSUMO",_xlfn.XLOOKUP(S663,Insumos!A:A,Insumos!C:C),""),"Inserir Preço")</f>
        <v/>
      </c>
      <c r="X663" s="235" t="str">
        <f t="shared" ca="1" si="455"/>
        <v/>
      </c>
      <c r="Y663" s="236" t="str">
        <f t="shared" si="417"/>
        <v/>
      </c>
      <c r="Z663" s="237">
        <f t="shared" ca="1" si="446"/>
        <v>15240.254407900153</v>
      </c>
      <c r="AA663" s="238"/>
      <c r="AB663" s="233" t="str">
        <f>IF(B663="insumo",_xlfn.XLOOKUP(S663,Insumos!A:A,Insumos!D:D),"")</f>
        <v/>
      </c>
      <c r="AC663" s="239">
        <f t="shared" ca="1" si="447"/>
        <v>2.1863534433296844E-3</v>
      </c>
      <c r="AE663" s="240">
        <f ca="1">IFERROR(IF(OR(Z663="",Z663=0),"",IF(AF663="","",IF(AF663="R$/mês",Z663/OBRA!$D$12,IF(AF663="R$/m²",Z663/OBRA!$D$10,IF(AF663="R$/apto",Orçamento!Z663/OBRA!$D$11,""))))),"")</f>
        <v>7.8427434775606351</v>
      </c>
      <c r="AF663" s="241" t="s">
        <v>154</v>
      </c>
    </row>
    <row r="664" spans="1:32" s="10" customFormat="1" ht="13.15" hidden="1" customHeight="1" outlineLevel="3" collapsed="1" x14ac:dyDescent="0.2">
      <c r="A664" s="227"/>
      <c r="B664" s="228" t="s">
        <v>3</v>
      </c>
      <c r="C664" s="229" t="str">
        <f t="shared" si="445"/>
        <v/>
      </c>
      <c r="D664" s="227" t="str">
        <f t="shared" ca="1" si="411"/>
        <v>05.001.001</v>
      </c>
      <c r="E664" s="228" t="str">
        <f t="shared" ca="1" si="412"/>
        <v>04.005.004.001</v>
      </c>
      <c r="F664" s="230">
        <f ca="1">IF($B664="UNIDADE CONSTRUTIVA",OFFSET(F664,-1,0)+1,LARGE(F$10:F663,1))</f>
        <v>2</v>
      </c>
      <c r="G664" s="228" t="str">
        <f t="shared" ca="1" si="448"/>
        <v xml:space="preserve">   GERENCIAMENTO EXECUTIVO</v>
      </c>
      <c r="H664" s="230">
        <f t="shared" ca="1" si="413"/>
        <v>5</v>
      </c>
      <c r="I664" s="228" t="str">
        <f t="shared" ca="1" si="449"/>
        <v xml:space="preserve">   ALVENARIA | VEDAÇÕES | DIVISÓRIAS</v>
      </c>
      <c r="J664" s="230">
        <f t="shared" ca="1" si="414"/>
        <v>1</v>
      </c>
      <c r="K664" s="228" t="str">
        <f t="shared" ca="1" si="450"/>
        <v xml:space="preserve">   ALVENARIA | VEDAÇÕES | DIVISÓRIAS - 1º PAVIMENTO - SUBSOLO</v>
      </c>
      <c r="L664" s="231">
        <f t="shared" ca="1" si="415"/>
        <v>1</v>
      </c>
      <c r="M664" s="228" t="str">
        <f t="shared" ca="1" si="451"/>
        <v xml:space="preserve">   Alvenaria de Vedação com Blocos Cerâmicos</v>
      </c>
      <c r="N664" s="231">
        <f t="shared" ca="1" si="416"/>
        <v>0</v>
      </c>
      <c r="O664" s="228" t="str">
        <f t="shared" ca="1" si="452"/>
        <v>Mao de obra  - para execucacao de estrutura de concreto armado em supraestrutura</v>
      </c>
      <c r="P664" s="232" t="str">
        <f>IF(S664="","",IF(Orçamento!$B664="INSUMO",S664,""))</f>
        <v/>
      </c>
      <c r="Q664" s="244" t="str">
        <f t="shared" si="453"/>
        <v/>
      </c>
      <c r="R664" s="234">
        <f t="shared" ca="1" si="454"/>
        <v>192.34485000000001</v>
      </c>
      <c r="S664" s="233" t="s">
        <v>439</v>
      </c>
      <c r="T664" s="242" t="s">
        <v>35</v>
      </c>
      <c r="U664" s="235" t="str">
        <f>IF($B664="insumo",R664,"")</f>
        <v/>
      </c>
      <c r="V664" s="320" t="s">
        <v>35</v>
      </c>
      <c r="W664" s="236" t="str">
        <f>IFERROR(IF(B664="INSUMO",_xlfn.XLOOKUP(S664,Insumos!A:A,Insumos!C:C),""),"Inserir Preço")</f>
        <v/>
      </c>
      <c r="X664" s="235" t="str">
        <f t="shared" ca="1" si="455"/>
        <v/>
      </c>
      <c r="Y664" s="236" t="str">
        <f t="shared" si="417"/>
        <v/>
      </c>
      <c r="Z664" s="237">
        <f t="shared" ca="1" si="446"/>
        <v>4698.4002660000006</v>
      </c>
      <c r="AA664" s="238"/>
      <c r="AB664" s="233" t="str">
        <f>IF(B664="insumo",_xlfn.XLOOKUP(S664,Insumos!A:A,Insumos!D:D),"")</f>
        <v/>
      </c>
      <c r="AC664" s="239">
        <f t="shared" ca="1" si="447"/>
        <v>6.740283544338524E-4</v>
      </c>
      <c r="AE664" s="240">
        <f ca="1">IFERROR(IF(OR(Z664="",Z664=0),"",IF(AF664="","",IF(AF664="R$/mês",Z664/OBRA!$D$12,IF(AF664="R$/m²",Z664/OBRA!$D$10,IF(AF664="R$/apto",Orçamento!Z664/OBRA!$D$11,""))))),"")</f>
        <v>2.4178302444898443</v>
      </c>
      <c r="AF664" s="241" t="s">
        <v>154</v>
      </c>
    </row>
    <row r="665" spans="1:32" s="10" customFormat="1" ht="13.15" hidden="1" customHeight="1" outlineLevel="4" x14ac:dyDescent="0.2">
      <c r="A665" s="227"/>
      <c r="B665" s="228" t="s">
        <v>4</v>
      </c>
      <c r="C665" s="229">
        <f t="shared" si="445"/>
        <v>4</v>
      </c>
      <c r="D665" s="227" t="str">
        <f t="shared" ca="1" si="411"/>
        <v>05.001.001.001</v>
      </c>
      <c r="E665" s="228" t="str">
        <f t="shared" ca="1" si="412"/>
        <v>05.001.001.001</v>
      </c>
      <c r="F665" s="230">
        <f ca="1">IF($B665="UNIDADE CONSTRUTIVA",OFFSET(F665,-1,0)+1,LARGE(F$10:F664,1))</f>
        <v>2</v>
      </c>
      <c r="G665" s="228" t="str">
        <f t="shared" ca="1" si="448"/>
        <v xml:space="preserve">   GERENCIAMENTO EXECUTIVO</v>
      </c>
      <c r="H665" s="230">
        <f t="shared" ca="1" si="413"/>
        <v>5</v>
      </c>
      <c r="I665" s="228" t="str">
        <f t="shared" ca="1" si="449"/>
        <v xml:space="preserve">   ALVENARIA | VEDAÇÕES | DIVISÓRIAS</v>
      </c>
      <c r="J665" s="230">
        <f t="shared" ca="1" si="414"/>
        <v>1</v>
      </c>
      <c r="K665" s="228" t="str">
        <f t="shared" ca="1" si="450"/>
        <v xml:space="preserve">   ALVENARIA | VEDAÇÕES | DIVISÓRIAS - 1º PAVIMENTO - SUBSOLO</v>
      </c>
      <c r="L665" s="231">
        <f t="shared" ca="1" si="415"/>
        <v>1</v>
      </c>
      <c r="M665" s="228" t="str">
        <f t="shared" ca="1" si="451"/>
        <v xml:space="preserve">   Alvenaria de Vedação com Blocos Cerâmicos</v>
      </c>
      <c r="N665" s="231">
        <f t="shared" ca="1" si="416"/>
        <v>1</v>
      </c>
      <c r="O665" s="228" t="str">
        <f t="shared" ca="1" si="452"/>
        <v>Alvenaria de vedacao de blocos ceramicos furados na horizontal de  9 X 19 X 29 cm (espessura 9cm) com argamassa industrializada de assentamento</v>
      </c>
      <c r="P665" s="232" t="str">
        <f>IF(S665="","",IF(Orçamento!$B665="INSUMO",S665,""))</f>
        <v/>
      </c>
      <c r="Q665" s="244" t="str">
        <f t="shared" si="453"/>
        <v>Alvenaria de vedacao de blocos ceramicos furados na horizontal de  9 X 19 X 29 cm (espessura 9cm) com argamassa industrializada de assentamento</v>
      </c>
      <c r="R665" s="234">
        <f t="shared" ca="1" si="454"/>
        <v>2.29</v>
      </c>
      <c r="S665" s="233" t="s">
        <v>690</v>
      </c>
      <c r="T665" s="242" t="s">
        <v>140</v>
      </c>
      <c r="U665" s="235">
        <v>2.29</v>
      </c>
      <c r="V665" s="320" t="s">
        <v>35</v>
      </c>
      <c r="W665" s="236" t="str">
        <f>IFERROR(IF(B665="INSUMO",_xlfn.XLOOKUP(S665,Insumos!A:A,Insumos!C:C),""),"Inserir Preço")</f>
        <v/>
      </c>
      <c r="X665" s="235">
        <f t="shared" ca="1" si="455"/>
        <v>2.29</v>
      </c>
      <c r="Y665" s="236">
        <f t="shared" ca="1" si="417"/>
        <v>29.162700000000001</v>
      </c>
      <c r="Z665" s="237">
        <f t="shared" ca="1" si="446"/>
        <v>66.782583000000002</v>
      </c>
      <c r="AA665" s="238"/>
      <c r="AB665" s="233" t="str">
        <f>IF(B665="insumo",_xlfn.XLOOKUP(S665,Insumos!A:A,Insumos!D:D),"")</f>
        <v/>
      </c>
      <c r="AC665" s="239">
        <f t="shared" ca="1" si="447"/>
        <v>9.5805704018177331E-6</v>
      </c>
      <c r="AE665" s="240">
        <f ca="1">IFERROR(IF(OR(Z665="",Z665=0),"",IF(AF665="","",IF(AF665="R$/mês",Z665/OBRA!$D$12,IF(AF665="R$/m²",Z665/OBRA!$D$10,IF(AF665="R$/apto",Orçamento!Z665/OBRA!$D$11,""))))),"")</f>
        <v>3.436679291694756E-2</v>
      </c>
      <c r="AF665" s="241" t="s">
        <v>154</v>
      </c>
    </row>
    <row r="666" spans="1:32" s="10" customFormat="1" ht="13.15" hidden="1" customHeight="1" outlineLevel="4" x14ac:dyDescent="0.2">
      <c r="A666" s="227"/>
      <c r="B666" s="228" t="s">
        <v>19</v>
      </c>
      <c r="C666" s="229">
        <f t="shared" si="445"/>
        <v>19</v>
      </c>
      <c r="D666" s="227" t="str">
        <f t="shared" si="411"/>
        <v/>
      </c>
      <c r="E666" s="228" t="str">
        <f t="shared" ca="1" si="412"/>
        <v>05.001.001.001</v>
      </c>
      <c r="F666" s="230">
        <f ca="1">IF($B666="UNIDADE CONSTRUTIVA",OFFSET(F666,-1,0)+1,LARGE(F$10:F665,1))</f>
        <v>2</v>
      </c>
      <c r="G666" s="228" t="str">
        <f t="shared" ca="1" si="448"/>
        <v xml:space="preserve">   GERENCIAMENTO EXECUTIVO</v>
      </c>
      <c r="H666" s="230">
        <f t="shared" ca="1" si="413"/>
        <v>5</v>
      </c>
      <c r="I666" s="228" t="str">
        <f t="shared" ca="1" si="449"/>
        <v xml:space="preserve">   ALVENARIA | VEDAÇÕES | DIVISÓRIAS</v>
      </c>
      <c r="J666" s="230">
        <f t="shared" ca="1" si="414"/>
        <v>1</v>
      </c>
      <c r="K666" s="228" t="str">
        <f t="shared" ca="1" si="450"/>
        <v xml:space="preserve">   ALVENARIA | VEDAÇÕES | DIVISÓRIAS - 1º PAVIMENTO - SUBSOLO</v>
      </c>
      <c r="L666" s="231">
        <f t="shared" ca="1" si="415"/>
        <v>1</v>
      </c>
      <c r="M666" s="228" t="str">
        <f t="shared" ca="1" si="451"/>
        <v xml:space="preserve">   Alvenaria de Vedação com Blocos Cerâmicos</v>
      </c>
      <c r="N666" s="231">
        <f t="shared" ca="1" si="416"/>
        <v>1</v>
      </c>
      <c r="O666" s="228" t="str">
        <f t="shared" ca="1" si="452"/>
        <v>Alvenaria de vedacao de blocos ceramicos furados na horizontal de  9 X 19 X 29 cm (espessura 9cm) com argamassa industrializada de assentamento</v>
      </c>
      <c r="P666" s="232" t="str">
        <f>IF(S666="","",IF(Orçamento!$B666="INSUMO",S666,""))</f>
        <v>ARGAMASSA ESTABILIZADA P/ ASSENTAMENTO</v>
      </c>
      <c r="Q666" s="244" t="str">
        <f t="shared" si="453"/>
        <v/>
      </c>
      <c r="R666" s="234">
        <f t="shared" ca="1" si="454"/>
        <v>2.29</v>
      </c>
      <c r="S666" s="233" t="s">
        <v>206</v>
      </c>
      <c r="T666" s="242" t="str">
        <f>_xlfn.XLOOKUP(S666,Insumos!$A$3:$A$371,Insumos!$B$3:$B$371)</f>
        <v>M3</v>
      </c>
      <c r="U666" s="235">
        <f ca="1">IF($B666="insumo",R666,"")</f>
        <v>2.29</v>
      </c>
      <c r="V666" s="320">
        <v>1.8683999999999999E-2</v>
      </c>
      <c r="W666" s="236">
        <f>IFERROR(IF(B666="INSUMO",_xlfn.XLOOKUP(S666,Insumos!A:A,Insumos!C:C),""),"Inserir Preço")</f>
        <v>425</v>
      </c>
      <c r="X666" s="235">
        <f t="shared" ca="1" si="455"/>
        <v>4.2786359999999996E-2</v>
      </c>
      <c r="Y666" s="236">
        <f t="shared" si="417"/>
        <v>7.9406999999999996</v>
      </c>
      <c r="Z666" s="237">
        <f t="shared" ca="1" si="446"/>
        <v>18.184202999999997</v>
      </c>
      <c r="AA666" s="238"/>
      <c r="AB666" s="233" t="str">
        <f>IF(B666="insumo",_xlfn.XLOOKUP(S666,Insumos!A:A,Insumos!D:D),"")</f>
        <v xml:space="preserve"> </v>
      </c>
      <c r="AC666" s="239">
        <f t="shared" ca="1" si="447"/>
        <v>2.6086897094478237E-6</v>
      </c>
      <c r="AE666" s="240">
        <f ca="1">IFERROR(IF(OR(Z666="",Z666=0),"",IF(AF666="","",IF(AF666="R$/mês",Z666/OBRA!$D$12,IF(AF666="R$/m²",Z666/OBRA!$D$10,IF(AF666="R$/apto",Orçamento!Z666/OBRA!$D$11,""))))),"")</f>
        <v>9.3577203933656837E-3</v>
      </c>
      <c r="AF666" s="241" t="s">
        <v>154</v>
      </c>
    </row>
    <row r="667" spans="1:32" s="10" customFormat="1" ht="13.15" hidden="1" customHeight="1" outlineLevel="4" x14ac:dyDescent="0.2">
      <c r="A667" s="227"/>
      <c r="B667" s="228" t="s">
        <v>19</v>
      </c>
      <c r="C667" s="229">
        <f t="shared" si="445"/>
        <v>4</v>
      </c>
      <c r="D667" s="227" t="str">
        <f t="shared" si="411"/>
        <v/>
      </c>
      <c r="E667" s="228" t="str">
        <f t="shared" ca="1" si="412"/>
        <v>05.001.001.001</v>
      </c>
      <c r="F667" s="230">
        <f ca="1">IF($B667="UNIDADE CONSTRUTIVA",OFFSET(F667,-1,0)+1,LARGE(F$10:F666,1))</f>
        <v>2</v>
      </c>
      <c r="G667" s="228" t="str">
        <f t="shared" ca="1" si="448"/>
        <v xml:space="preserve">   GERENCIAMENTO EXECUTIVO</v>
      </c>
      <c r="H667" s="230">
        <f t="shared" ca="1" si="413"/>
        <v>5</v>
      </c>
      <c r="I667" s="228" t="str">
        <f t="shared" ca="1" si="449"/>
        <v xml:space="preserve">   ALVENARIA | VEDAÇÕES | DIVISÓRIAS</v>
      </c>
      <c r="J667" s="230">
        <f t="shared" ca="1" si="414"/>
        <v>1</v>
      </c>
      <c r="K667" s="228" t="str">
        <f t="shared" ca="1" si="450"/>
        <v xml:space="preserve">   ALVENARIA | VEDAÇÕES | DIVISÓRIAS - 1º PAVIMENTO - SUBSOLO</v>
      </c>
      <c r="L667" s="231">
        <f t="shared" ca="1" si="415"/>
        <v>1</v>
      </c>
      <c r="M667" s="228" t="str">
        <f t="shared" ca="1" si="451"/>
        <v xml:space="preserve">   Alvenaria de Vedação com Blocos Cerâmicos</v>
      </c>
      <c r="N667" s="231">
        <f t="shared" ca="1" si="416"/>
        <v>1</v>
      </c>
      <c r="O667" s="228" t="str">
        <f t="shared" ca="1" si="452"/>
        <v>Alvenaria de vedacao de blocos ceramicos furados na horizontal de  9 X 19 X 29 cm (espessura 9cm) com argamassa industrializada de assentamento</v>
      </c>
      <c r="P667" s="232" t="str">
        <f>IF(S667="","",IF(Orçamento!$B667="INSUMO",S667,""))</f>
        <v>BLOCO CERAMICO VEDACAO 9 X 19 X 29 CM - FUROS NA HORIZONTAL</v>
      </c>
      <c r="Q667" s="244" t="str">
        <f t="shared" si="453"/>
        <v/>
      </c>
      <c r="R667" s="234">
        <f t="shared" ca="1" si="454"/>
        <v>2.29</v>
      </c>
      <c r="S667" s="233" t="s">
        <v>389</v>
      </c>
      <c r="T667" s="242" t="str">
        <f>_xlfn.XLOOKUP(S667,Insumos!$A$3:$A$371,Insumos!$B$3:$B$371)</f>
        <v>UN</v>
      </c>
      <c r="U667" s="235">
        <f ca="1">IF($B667="insumo",R667,"")</f>
        <v>2.29</v>
      </c>
      <c r="V667" s="320">
        <v>18</v>
      </c>
      <c r="W667" s="236">
        <f>IFERROR(IF(B667="INSUMO",_xlfn.XLOOKUP(S667,Insumos!A:A,Insumos!C:C),""),"Inserir Preço")</f>
        <v>1.179</v>
      </c>
      <c r="X667" s="235">
        <f t="shared" ca="1" si="455"/>
        <v>41.22</v>
      </c>
      <c r="Y667" s="236">
        <f t="shared" si="417"/>
        <v>21.222000000000001</v>
      </c>
      <c r="Z667" s="237">
        <f t="shared" ca="1" si="446"/>
        <v>48.598379999999999</v>
      </c>
      <c r="AA667" s="238"/>
      <c r="AB667" s="233" t="str">
        <f>IF(B667="insumo",_xlfn.XLOOKUP(S667,Insumos!A:A,Insumos!D:D),"")</f>
        <v xml:space="preserve"> </v>
      </c>
      <c r="AC667" s="239">
        <f t="shared" ca="1" si="447"/>
        <v>6.9718806923699077E-6</v>
      </c>
      <c r="AE667" s="240">
        <f ca="1">IFERROR(IF(OR(Z667="",Z667=0),"",IF(AF667="","",IF(AF667="R$/mês",Z667/OBRA!$D$12,IF(AF667="R$/m²",Z667/OBRA!$D$10,IF(AF667="R$/apto",Orçamento!Z667/OBRA!$D$11,""))))),"")</f>
        <v>2.5009072523581869E-2</v>
      </c>
      <c r="AF667" s="241" t="s">
        <v>154</v>
      </c>
    </row>
    <row r="668" spans="1:32" s="10" customFormat="1" ht="13.15" hidden="1" customHeight="1" outlineLevel="4" x14ac:dyDescent="0.2">
      <c r="A668" s="227"/>
      <c r="B668" s="228" t="s">
        <v>4</v>
      </c>
      <c r="C668" s="229">
        <f t="shared" si="445"/>
        <v>4</v>
      </c>
      <c r="D668" s="227" t="str">
        <f ca="1">IF(B668="Unidade Construtiva",TEXT(F668,"00"),IF(B668="Célula Construtiva",TEXT(H668,"00"),IF(B668="Etapa",CONCATENATE(TEXT(H668,"00"),".",TEXT(J668,"000")),IF(B668="Subetapa",CONCATENATE(TEXT(H668,"00"),".",TEXT(J668,"000"),".",TEXT(L668,"000")),IF(B668="Serviço",CONCATENATE(TEXT(H668,"00"),".",TEXT(J668,"000"),".",TEXT(L668,"000"),".",TEXT(N668,"000")),"")))))</f>
        <v>05.001.001.002</v>
      </c>
      <c r="E668" s="228" t="str">
        <f ca="1">IF(B668="*","",IFERROR(IF(B668="SERVIÇO",D668,OFFSET(E668,-1,0)),""))</f>
        <v>05.001.001.002</v>
      </c>
      <c r="F668" s="230">
        <f ca="1">IF($B668="UNIDADE CONSTRUTIVA",OFFSET(F668,-1,0)+1,LARGE(F$10:F667,1))</f>
        <v>2</v>
      </c>
      <c r="G668" s="228" t="str">
        <f ca="1">IF(B668="*","",IF(B668="UNIDADE CONSTRUTIVA",S668,OFFSET(G668,-1,0)))</f>
        <v xml:space="preserve">   GERENCIAMENTO EXECUTIVO</v>
      </c>
      <c r="H668" s="230">
        <f ca="1">IF(B668="UNIDADE CONSTRUTIVA",0,IF(B668="CÉLULA CONSTRUTIVA",OFFSET(H668,-1,0)+1,OFFSET(H668,-1,0)))</f>
        <v>5</v>
      </c>
      <c r="I668" s="228" t="str">
        <f ca="1">IF(B668="*","",IF(B668="CÉLULA CONSTRUTIVA",S668,OFFSET(I668,-1,0)))</f>
        <v xml:space="preserve">   ALVENARIA | VEDAÇÕES | DIVISÓRIAS</v>
      </c>
      <c r="J668" s="230">
        <f ca="1">IF(B668="CÉLULA CONSTRUTIVA",0,IF(B668="ETAPA",OFFSET(J668,-1,0)+1,OFFSET(J668,-1,0)))</f>
        <v>1</v>
      </c>
      <c r="K668" s="228" t="str">
        <f ca="1">IF(B668="*","",IF(B668="ETAPA",S668,OFFSET(K668,-1,0)))</f>
        <v xml:space="preserve">   ALVENARIA | VEDAÇÕES | DIVISÓRIAS - 1º PAVIMENTO - SUBSOLO</v>
      </c>
      <c r="L668" s="231">
        <f ca="1">IF(B668="ETAPA",0,IF(B668="SUBETAPA",OFFSET(L668,-1,0)+1,OFFSET(L668,-1,0)))</f>
        <v>1</v>
      </c>
      <c r="M668" s="228" t="str">
        <f ca="1">IF(B668="*","",IF(B668="SUBETAPA",S668,OFFSET(M668,-1,0)))</f>
        <v xml:space="preserve">   Alvenaria de Vedação com Blocos Cerâmicos</v>
      </c>
      <c r="N668" s="231">
        <f ca="1">IF(B668="Subetapa",0,IF(B668="serviço",OFFSET(N668,-1,0)+1,OFFSET(N668,-1,0)))</f>
        <v>2</v>
      </c>
      <c r="O668" s="228" t="str">
        <f ca="1">IF(B668="*","",IF(B668="SERVIÇO",S668,OFFSET(O668,-1,0)))</f>
        <v>Alvenaria de vedacao de blocos ceramicos furados na horizontal de 11.5x19x29cm (espessura 11.5cm) com argamassa industrializada de assentamento</v>
      </c>
      <c r="P668" s="232" t="str">
        <f>IF(S668="","",IF(Orçamento!$B668="INSUMO",S668,""))</f>
        <v/>
      </c>
      <c r="Q668" s="244" t="str">
        <f>IF(B668="","",IF(B668="Serviço",S668,""))</f>
        <v>Alvenaria de vedacao de blocos ceramicos furados na horizontal de 11.5x19x29cm (espessura 11.5cm) com argamassa industrializada de assentamento</v>
      </c>
      <c r="R668" s="234">
        <f ca="1">IF(B668="serviço",U668,OFFSET(R668,-1,0))</f>
        <v>35.74</v>
      </c>
      <c r="S668" s="233" t="s">
        <v>205</v>
      </c>
      <c r="T668" s="242" t="s">
        <v>140</v>
      </c>
      <c r="U668" s="235">
        <v>35.74</v>
      </c>
      <c r="V668" s="320" t="s">
        <v>35</v>
      </c>
      <c r="W668" s="236" t="str">
        <f>IFERROR(IF(B668="INSUMO",_xlfn.XLOOKUP(S668,Insumos!A:A,Insumos!C:C),""),"Inserir Preço")</f>
        <v/>
      </c>
      <c r="X668" s="235">
        <f ca="1">IF(B668="Complemento do insumo",V668,IF(R668="","",IF(B668="serviço",R668,IF(OR(B668="insumo"),V668*R668,""))))</f>
        <v>35.74</v>
      </c>
      <c r="Y668" s="236">
        <f t="shared" ca="1" si="417"/>
        <v>48.809699999999999</v>
      </c>
      <c r="Z668" s="237">
        <f t="shared" ca="1" si="446"/>
        <v>1744.458678</v>
      </c>
      <c r="AA668" s="238"/>
      <c r="AB668" s="233" t="str">
        <f>IF(B668="insumo",_xlfn.XLOOKUP(S668,Insumos!A:A,Insumos!D:D),"")</f>
        <v/>
      </c>
      <c r="AC668" s="239">
        <f t="shared" ca="1" si="447"/>
        <v>2.5025850194564786E-4</v>
      </c>
      <c r="AE668" s="240">
        <f ca="1">IFERROR(IF(OR(Z668="",Z668=0),"",IF(AF668="","",IF(AF668="R$/mês",Z668/OBRA!$D$12,IF(AF668="R$/m²",Z668/OBRA!$D$10,IF(AF668="R$/apto",Orçamento!Z668/OBRA!$D$11,""))))),"")</f>
        <v>0.89771086181254922</v>
      </c>
      <c r="AF668" s="241" t="s">
        <v>154</v>
      </c>
    </row>
    <row r="669" spans="1:32" s="10" customFormat="1" ht="13.15" hidden="1" customHeight="1" outlineLevel="4" x14ac:dyDescent="0.2">
      <c r="A669" s="227"/>
      <c r="B669" s="228" t="s">
        <v>19</v>
      </c>
      <c r="C669" s="229">
        <f t="shared" si="445"/>
        <v>19</v>
      </c>
      <c r="D669" s="227" t="str">
        <f>IF(B669="Unidade Construtiva",TEXT(F669,"00"),IF(B669="Célula Construtiva",TEXT(H669,"00"),IF(B669="Etapa",CONCATENATE(TEXT(H669,"00"),".",TEXT(J669,"000")),IF(B669="Subetapa",CONCATENATE(TEXT(H669,"00"),".",TEXT(J669,"000"),".",TEXT(L669,"000")),IF(B669="Serviço",CONCATENATE(TEXT(H669,"00"),".",TEXT(J669,"000"),".",TEXT(L669,"000"),".",TEXT(N669,"000")),"")))))</f>
        <v/>
      </c>
      <c r="E669" s="228" t="str">
        <f ca="1">IF(B669="*","",IFERROR(IF(B669="SERVIÇO",D669,OFFSET(E669,-1,0)),""))</f>
        <v>05.001.001.002</v>
      </c>
      <c r="F669" s="230">
        <f ca="1">IF($B669="UNIDADE CONSTRUTIVA",OFFSET(F669,-1,0)+1,LARGE(F$10:F668,1))</f>
        <v>2</v>
      </c>
      <c r="G669" s="228" t="str">
        <f ca="1">IF(B669="*","",IF(B669="UNIDADE CONSTRUTIVA",S669,OFFSET(G669,-1,0)))</f>
        <v xml:space="preserve">   GERENCIAMENTO EXECUTIVO</v>
      </c>
      <c r="H669" s="230">
        <f ca="1">IF(B669="UNIDADE CONSTRUTIVA",0,IF(B669="CÉLULA CONSTRUTIVA",OFFSET(H669,-1,0)+1,OFFSET(H669,-1,0)))</f>
        <v>5</v>
      </c>
      <c r="I669" s="228" t="str">
        <f ca="1">IF(B669="*","",IF(B669="CÉLULA CONSTRUTIVA",S669,OFFSET(I669,-1,0)))</f>
        <v xml:space="preserve">   ALVENARIA | VEDAÇÕES | DIVISÓRIAS</v>
      </c>
      <c r="J669" s="230">
        <f ca="1">IF(B669="CÉLULA CONSTRUTIVA",0,IF(B669="ETAPA",OFFSET(J669,-1,0)+1,OFFSET(J669,-1,0)))</f>
        <v>1</v>
      </c>
      <c r="K669" s="228" t="str">
        <f ca="1">IF(B669="*","",IF(B669="ETAPA",S669,OFFSET(K669,-1,0)))</f>
        <v xml:space="preserve">   ALVENARIA | VEDAÇÕES | DIVISÓRIAS - 1º PAVIMENTO - SUBSOLO</v>
      </c>
      <c r="L669" s="231">
        <f ca="1">IF(B669="ETAPA",0,IF(B669="SUBETAPA",OFFSET(L669,-1,0)+1,OFFSET(L669,-1,0)))</f>
        <v>1</v>
      </c>
      <c r="M669" s="228" t="str">
        <f ca="1">IF(B669="*","",IF(B669="SUBETAPA",S669,OFFSET(M669,-1,0)))</f>
        <v xml:space="preserve">   Alvenaria de Vedação com Blocos Cerâmicos</v>
      </c>
      <c r="N669" s="231">
        <f ca="1">IF(B669="Subetapa",0,IF(B669="serviço",OFFSET(N669,-1,0)+1,OFFSET(N669,-1,0)))</f>
        <v>2</v>
      </c>
      <c r="O669" s="228" t="str">
        <f ca="1">IF(B669="*","",IF(B669="SERVIÇO",S669,OFFSET(O669,-1,0)))</f>
        <v>Alvenaria de vedacao de blocos ceramicos furados na horizontal de 11.5x19x29cm (espessura 11.5cm) com argamassa industrializada de assentamento</v>
      </c>
      <c r="P669" s="232" t="str">
        <f>IF(S669="","",IF(Orçamento!$B669="INSUMO",S669,""))</f>
        <v>ARGAMASSA ESTABILIZADA P/ ASSENTAMENTO</v>
      </c>
      <c r="Q669" s="244" t="str">
        <f>IF(B669="","",IF(B669="Serviço",S669,""))</f>
        <v/>
      </c>
      <c r="R669" s="234">
        <f ca="1">IF(B669="serviço",U669,OFFSET(R669,-1,0))</f>
        <v>35.74</v>
      </c>
      <c r="S669" s="233" t="s">
        <v>206</v>
      </c>
      <c r="T669" s="242" t="str">
        <f>_xlfn.XLOOKUP(S669,Insumos!$A$3:$A$371,Insumos!$B$3:$B$371)</f>
        <v>M3</v>
      </c>
      <c r="U669" s="235">
        <f ca="1">IF($B669="insumo",R669,"")</f>
        <v>35.74</v>
      </c>
      <c r="V669" s="320">
        <v>1.8683999999999999E-2</v>
      </c>
      <c r="W669" s="236">
        <f>IFERROR(IF(B669="INSUMO",_xlfn.XLOOKUP(S669,Insumos!A:A,Insumos!C:C),""),"Inserir Preço")</f>
        <v>425</v>
      </c>
      <c r="X669" s="235">
        <f ca="1">IF(B669="Complemento do insumo",V669,IF(R669="","",IF(B669="serviço",R669,IF(OR(B669="insumo"),V669*R669,""))))</f>
        <v>0.66776616</v>
      </c>
      <c r="Y669" s="236">
        <f t="shared" si="417"/>
        <v>7.9406999999999996</v>
      </c>
      <c r="Z669" s="237">
        <f t="shared" ca="1" si="446"/>
        <v>283.80061799999999</v>
      </c>
      <c r="AA669" s="238"/>
      <c r="AB669" s="233" t="str">
        <f>IF(B669="insumo",_xlfn.XLOOKUP(S669,Insumos!A:A,Insumos!D:D),"")</f>
        <v xml:space="preserve"> </v>
      </c>
      <c r="AC669" s="239">
        <f t="shared" ca="1" si="447"/>
        <v>4.0713786120377834E-5</v>
      </c>
      <c r="AE669" s="240">
        <f ca="1">IFERROR(IF(OR(Z669="",Z669=0),"",IF(AF669="","",IF(AF669="R$/mês",Z669/OBRA!$D$12,IF(AF669="R$/m²",Z669/OBRA!$D$10,IF(AF669="R$/apto",Orçamento!Z669/OBRA!$D$11,""))))),"")</f>
        <v>0.14604581958903473</v>
      </c>
      <c r="AF669" s="241" t="s">
        <v>154</v>
      </c>
    </row>
    <row r="670" spans="1:32" s="10" customFormat="1" ht="13.15" hidden="1" customHeight="1" outlineLevel="4" x14ac:dyDescent="0.2">
      <c r="A670" s="227"/>
      <c r="B670" s="228" t="s">
        <v>19</v>
      </c>
      <c r="C670" s="229">
        <f t="shared" si="445"/>
        <v>4</v>
      </c>
      <c r="D670" s="227" t="str">
        <f>IF(B670="Unidade Construtiva",TEXT(F670,"00"),IF(B670="Célula Construtiva",TEXT(H670,"00"),IF(B670="Etapa",CONCATENATE(TEXT(H670,"00"),".",TEXT(J670,"000")),IF(B670="Subetapa",CONCATENATE(TEXT(H670,"00"),".",TEXT(J670,"000"),".",TEXT(L670,"000")),IF(B670="Serviço",CONCATENATE(TEXT(H670,"00"),".",TEXT(J670,"000"),".",TEXT(L670,"000"),".",TEXT(N670,"000")),"")))))</f>
        <v/>
      </c>
      <c r="E670" s="228" t="str">
        <f ca="1">IF(B670="*","",IFERROR(IF(B670="SERVIÇO",D670,OFFSET(E670,-1,0)),""))</f>
        <v>05.001.001.002</v>
      </c>
      <c r="F670" s="230">
        <f ca="1">IF($B670="UNIDADE CONSTRUTIVA",OFFSET(F670,-1,0)+1,LARGE(F$10:F669,1))</f>
        <v>2</v>
      </c>
      <c r="G670" s="228" t="str">
        <f ca="1">IF(B670="*","",IF(B670="UNIDADE CONSTRUTIVA",S670,OFFSET(G670,-1,0)))</f>
        <v xml:space="preserve">   GERENCIAMENTO EXECUTIVO</v>
      </c>
      <c r="H670" s="230">
        <f ca="1">IF(B670="UNIDADE CONSTRUTIVA",0,IF(B670="CÉLULA CONSTRUTIVA",OFFSET(H670,-1,0)+1,OFFSET(H670,-1,0)))</f>
        <v>5</v>
      </c>
      <c r="I670" s="228" t="str">
        <f ca="1">IF(B670="*","",IF(B670="CÉLULA CONSTRUTIVA",S670,OFFSET(I670,-1,0)))</f>
        <v xml:space="preserve">   ALVENARIA | VEDAÇÕES | DIVISÓRIAS</v>
      </c>
      <c r="J670" s="230">
        <f ca="1">IF(B670="CÉLULA CONSTRUTIVA",0,IF(B670="ETAPA",OFFSET(J670,-1,0)+1,OFFSET(J670,-1,0)))</f>
        <v>1</v>
      </c>
      <c r="K670" s="228" t="str">
        <f ca="1">IF(B670="*","",IF(B670="ETAPA",S670,OFFSET(K670,-1,0)))</f>
        <v xml:space="preserve">   ALVENARIA | VEDAÇÕES | DIVISÓRIAS - 1º PAVIMENTO - SUBSOLO</v>
      </c>
      <c r="L670" s="231">
        <f ca="1">IF(B670="ETAPA",0,IF(B670="SUBETAPA",OFFSET(L670,-1,0)+1,OFFSET(L670,-1,0)))</f>
        <v>1</v>
      </c>
      <c r="M670" s="228" t="str">
        <f ca="1">IF(B670="*","",IF(B670="SUBETAPA",S670,OFFSET(M670,-1,0)))</f>
        <v xml:space="preserve">   Alvenaria de Vedação com Blocos Cerâmicos</v>
      </c>
      <c r="N670" s="231">
        <f ca="1">IF(B670="Subetapa",0,IF(B670="serviço",OFFSET(N670,-1,0)+1,OFFSET(N670,-1,0)))</f>
        <v>2</v>
      </c>
      <c r="O670" s="228" t="str">
        <f ca="1">IF(B670="*","",IF(B670="SERVIÇO",S670,OFFSET(O670,-1,0)))</f>
        <v>Alvenaria de vedacao de blocos ceramicos furados na horizontal de 11.5x19x29cm (espessura 11.5cm) com argamassa industrializada de assentamento</v>
      </c>
      <c r="P670" s="232" t="str">
        <f>IF(S670="","",IF(Orçamento!$B670="INSUMO",S670,""))</f>
        <v>BLOCO CERAMICO VEDACAO 11,5 X 19 X 29 CM - FUROS NA HORIZONTAL</v>
      </c>
      <c r="Q670" s="244" t="str">
        <f>IF(B670="","",IF(B670="Serviço",S670,""))</f>
        <v/>
      </c>
      <c r="R670" s="234">
        <f ca="1">IF(B670="serviço",U670,OFFSET(R670,-1,0))</f>
        <v>35.74</v>
      </c>
      <c r="S670" s="233" t="s">
        <v>207</v>
      </c>
      <c r="T670" s="242" t="str">
        <f>_xlfn.XLOOKUP(S670,Insumos!$A$3:$A$371,Insumos!$B$3:$B$371)</f>
        <v>UN</v>
      </c>
      <c r="U670" s="235">
        <f ca="1">IF($B670="insumo",R670,"")</f>
        <v>35.74</v>
      </c>
      <c r="V670" s="320">
        <v>18</v>
      </c>
      <c r="W670" s="236">
        <f>IFERROR(IF(B670="INSUMO",_xlfn.XLOOKUP(S670,Insumos!A:A,Insumos!C:C),""),"Inserir Preço")</f>
        <v>2.2705000000000002</v>
      </c>
      <c r="X670" s="235">
        <f ca="1">IF(B670="Complemento do insumo",V670,IF(R670="","",IF(B670="serviço",R670,IF(OR(B670="insumo"),V670*R670,""))))</f>
        <v>643.32000000000005</v>
      </c>
      <c r="Y670" s="236">
        <f t="shared" si="417"/>
        <v>40.869</v>
      </c>
      <c r="Z670" s="237">
        <f t="shared" ca="1" si="446"/>
        <v>1460.6580600000002</v>
      </c>
      <c r="AA670" s="238"/>
      <c r="AB670" s="233" t="str">
        <f>IF(B670="insumo",_xlfn.XLOOKUP(S670,Insumos!A:A,Insumos!D:D),"")</f>
        <v>Tupi Gurani Cerâmica</v>
      </c>
      <c r="AC670" s="239">
        <f t="shared" ca="1" si="447"/>
        <v>2.0954471582527006E-4</v>
      </c>
      <c r="AE670" s="240">
        <f ca="1">IFERROR(IF(OR(Z670="",Z670=0),"",IF(AF670="","",IF(AF670="R$/mês",Z670/OBRA!$D$12,IF(AF670="R$/m²",Z670/OBRA!$D$10,IF(AF670="R$/apto",Orçamento!Z670/OBRA!$D$11,""))))),"")</f>
        <v>0.7516650422235146</v>
      </c>
      <c r="AF670" s="241" t="s">
        <v>154</v>
      </c>
    </row>
    <row r="671" spans="1:32" s="10" customFormat="1" ht="13.15" hidden="1" customHeight="1" outlineLevel="4" x14ac:dyDescent="0.2">
      <c r="A671" s="227"/>
      <c r="B671" s="228" t="s">
        <v>4</v>
      </c>
      <c r="C671" s="229">
        <f t="shared" si="445"/>
        <v>5</v>
      </c>
      <c r="D671" s="227" t="str">
        <f t="shared" ca="1" si="411"/>
        <v>05.001.001.003</v>
      </c>
      <c r="E671" s="228" t="str">
        <f t="shared" ca="1" si="412"/>
        <v>05.001.001.003</v>
      </c>
      <c r="F671" s="230">
        <f ca="1">IF($B671="UNIDADE CONSTRUTIVA",OFFSET(F671,-1,0)+1,LARGE(F$10:F670,1))</f>
        <v>2</v>
      </c>
      <c r="G671" s="228" t="str">
        <f t="shared" ca="1" si="448"/>
        <v xml:space="preserve">   GERENCIAMENTO EXECUTIVO</v>
      </c>
      <c r="H671" s="230">
        <f t="shared" ca="1" si="413"/>
        <v>5</v>
      </c>
      <c r="I671" s="228" t="str">
        <f t="shared" ca="1" si="449"/>
        <v xml:space="preserve">   ALVENARIA | VEDAÇÕES | DIVISÓRIAS</v>
      </c>
      <c r="J671" s="230">
        <f t="shared" ca="1" si="414"/>
        <v>1</v>
      </c>
      <c r="K671" s="228" t="str">
        <f t="shared" ca="1" si="450"/>
        <v xml:space="preserve">   ALVENARIA | VEDAÇÕES | DIVISÓRIAS - 1º PAVIMENTO - SUBSOLO</v>
      </c>
      <c r="L671" s="231">
        <f t="shared" ca="1" si="415"/>
        <v>1</v>
      </c>
      <c r="M671" s="228" t="str">
        <f t="shared" ca="1" si="451"/>
        <v xml:space="preserve">   Alvenaria de Vedação com Blocos Cerâmicos</v>
      </c>
      <c r="N671" s="231">
        <f t="shared" ca="1" si="416"/>
        <v>3</v>
      </c>
      <c r="O671" s="228" t="str">
        <f t="shared" ca="1" si="452"/>
        <v>Alvenaria de vedacao de blocos ceramicos furados na horizontal de 14x19x29cm (espessura 14cm) com argamassa industrializada de assentamento</v>
      </c>
      <c r="P671" s="232" t="str">
        <f>IF(S671="","",IF(Orçamento!$B671="INSUMO",S671,""))</f>
        <v/>
      </c>
      <c r="Q671" s="244" t="str">
        <f t="shared" si="453"/>
        <v>Alvenaria de vedacao de blocos ceramicos furados na horizontal de 14x19x29cm (espessura 14cm) com argamassa industrializada de assentamento</v>
      </c>
      <c r="R671" s="234">
        <f t="shared" ca="1" si="454"/>
        <v>77.650000000000006</v>
      </c>
      <c r="S671" s="233" t="s">
        <v>208</v>
      </c>
      <c r="T671" s="242" t="s">
        <v>140</v>
      </c>
      <c r="U671" s="235">
        <v>77.650000000000006</v>
      </c>
      <c r="V671" s="320" t="s">
        <v>35</v>
      </c>
      <c r="W671" s="236" t="str">
        <f>IFERROR(IF(B671="INSUMO",_xlfn.XLOOKUP(S671,Insumos!A:A,Insumos!C:C),""),"Inserir Preço")</f>
        <v/>
      </c>
      <c r="X671" s="235">
        <f t="shared" ca="1" si="455"/>
        <v>77.650000000000006</v>
      </c>
      <c r="Y671" s="236">
        <f t="shared" ca="1" si="417"/>
        <v>37.181699999999999</v>
      </c>
      <c r="Z671" s="237">
        <f t="shared" ca="1" si="446"/>
        <v>2887.159005</v>
      </c>
      <c r="AA671" s="238"/>
      <c r="AB671" s="233" t="str">
        <f>IF(B671="insumo",_xlfn.XLOOKUP(S671,Insumos!A:A,Insumos!D:D),"")</f>
        <v/>
      </c>
      <c r="AC671" s="239">
        <f t="shared" ca="1" si="447"/>
        <v>4.1418928208638672E-4</v>
      </c>
      <c r="AE671" s="240">
        <f ca="1">IFERROR(IF(OR(Z671="",Z671=0),"",IF(AF671="","",IF(AF671="R$/mês",Z671/OBRA!$D$12,IF(AF671="R$/m²",Z671/OBRA!$D$10,IF(AF671="R$/apto",Orçamento!Z671/OBRA!$D$11,""))))),"")</f>
        <v>1.4857525897603474</v>
      </c>
      <c r="AF671" s="241" t="s">
        <v>154</v>
      </c>
    </row>
    <row r="672" spans="1:32" s="10" customFormat="1" ht="13.15" hidden="1" customHeight="1" outlineLevel="4" x14ac:dyDescent="0.2">
      <c r="A672" s="227"/>
      <c r="B672" s="228" t="s">
        <v>19</v>
      </c>
      <c r="C672" s="229">
        <f t="shared" si="445"/>
        <v>19</v>
      </c>
      <c r="D672" s="227" t="str">
        <f t="shared" si="411"/>
        <v/>
      </c>
      <c r="E672" s="228" t="str">
        <f t="shared" ca="1" si="412"/>
        <v>05.001.001.003</v>
      </c>
      <c r="F672" s="230">
        <f ca="1">IF($B672="UNIDADE CONSTRUTIVA",OFFSET(F672,-1,0)+1,LARGE(F$10:F671,1))</f>
        <v>2</v>
      </c>
      <c r="G672" s="228" t="str">
        <f t="shared" ca="1" si="448"/>
        <v xml:space="preserve">   GERENCIAMENTO EXECUTIVO</v>
      </c>
      <c r="H672" s="230">
        <f t="shared" ca="1" si="413"/>
        <v>5</v>
      </c>
      <c r="I672" s="228" t="str">
        <f t="shared" ca="1" si="449"/>
        <v xml:space="preserve">   ALVENARIA | VEDAÇÕES | DIVISÓRIAS</v>
      </c>
      <c r="J672" s="230">
        <f t="shared" ca="1" si="414"/>
        <v>1</v>
      </c>
      <c r="K672" s="228" t="str">
        <f t="shared" ca="1" si="450"/>
        <v xml:space="preserve">   ALVENARIA | VEDAÇÕES | DIVISÓRIAS - 1º PAVIMENTO - SUBSOLO</v>
      </c>
      <c r="L672" s="231">
        <f t="shared" ca="1" si="415"/>
        <v>1</v>
      </c>
      <c r="M672" s="228" t="str">
        <f t="shared" ca="1" si="451"/>
        <v xml:space="preserve">   Alvenaria de Vedação com Blocos Cerâmicos</v>
      </c>
      <c r="N672" s="231">
        <f t="shared" ca="1" si="416"/>
        <v>3</v>
      </c>
      <c r="O672" s="228" t="str">
        <f t="shared" ca="1" si="452"/>
        <v>Alvenaria de vedacao de blocos ceramicos furados na horizontal de 14x19x29cm (espessura 14cm) com argamassa industrializada de assentamento</v>
      </c>
      <c r="P672" s="232" t="str">
        <f>IF(S672="","",IF(Orçamento!$B672="INSUMO",S672,""))</f>
        <v>ARGAMASSA ESTABILIZADA P/ ASSENTAMENTO</v>
      </c>
      <c r="Q672" s="244" t="str">
        <f t="shared" si="453"/>
        <v/>
      </c>
      <c r="R672" s="234">
        <f t="shared" ca="1" si="454"/>
        <v>77.650000000000006</v>
      </c>
      <c r="S672" s="233" t="s">
        <v>206</v>
      </c>
      <c r="T672" s="242" t="str">
        <f>_xlfn.XLOOKUP(S672,Insumos!$A$3:$A$371,Insumos!$B$3:$B$371)</f>
        <v>M3</v>
      </c>
      <c r="U672" s="235">
        <f ca="1">IF($B672="insumo",R672,"")</f>
        <v>77.650000000000006</v>
      </c>
      <c r="V672" s="320">
        <v>1.8683999999999999E-2</v>
      </c>
      <c r="W672" s="236">
        <f>IFERROR(IF(B672="INSUMO",_xlfn.XLOOKUP(S672,Insumos!A:A,Insumos!C:C),""),"Inserir Preço")</f>
        <v>425</v>
      </c>
      <c r="X672" s="235">
        <f t="shared" ca="1" si="455"/>
        <v>1.4508126000000001</v>
      </c>
      <c r="Y672" s="236">
        <f t="shared" si="417"/>
        <v>7.9406999999999996</v>
      </c>
      <c r="Z672" s="237">
        <f t="shared" ca="1" si="446"/>
        <v>616.59535500000004</v>
      </c>
      <c r="AA672" s="238"/>
      <c r="AB672" s="233" t="str">
        <f>IF(B672="insumo",_xlfn.XLOOKUP(S672,Insumos!A:A,Insumos!D:D),"")</f>
        <v xml:space="preserve"> </v>
      </c>
      <c r="AC672" s="239">
        <f t="shared" ca="1" si="447"/>
        <v>8.8456225300708979E-5</v>
      </c>
      <c r="AE672" s="240">
        <f ca="1">IFERROR(IF(OR(Z672="",Z672=0),"",IF(AF672="","",IF(AF672="R$/mês",Z672/OBRA!$D$12,IF(AF672="R$/m²",Z672/OBRA!$D$10,IF(AF672="R$/apto",Orçamento!Z672/OBRA!$D$11,""))))),"")</f>
        <v>0.31730436180997618</v>
      </c>
      <c r="AF672" s="241" t="s">
        <v>154</v>
      </c>
    </row>
    <row r="673" spans="1:32" s="10" customFormat="1" ht="13.15" hidden="1" customHeight="1" outlineLevel="4" x14ac:dyDescent="0.2">
      <c r="A673" s="227"/>
      <c r="B673" s="228" t="s">
        <v>19</v>
      </c>
      <c r="C673" s="229">
        <f t="shared" si="445"/>
        <v>5</v>
      </c>
      <c r="D673" s="227" t="str">
        <f t="shared" si="411"/>
        <v/>
      </c>
      <c r="E673" s="228" t="str">
        <f t="shared" ca="1" si="412"/>
        <v>05.001.001.003</v>
      </c>
      <c r="F673" s="230">
        <f ca="1">IF($B673="UNIDADE CONSTRUTIVA",OFFSET(F673,-1,0)+1,LARGE(F$10:F672,1))</f>
        <v>2</v>
      </c>
      <c r="G673" s="228" t="str">
        <f t="shared" ca="1" si="448"/>
        <v xml:space="preserve">   GERENCIAMENTO EXECUTIVO</v>
      </c>
      <c r="H673" s="230">
        <f t="shared" ca="1" si="413"/>
        <v>5</v>
      </c>
      <c r="I673" s="228" t="str">
        <f t="shared" ca="1" si="449"/>
        <v xml:space="preserve">   ALVENARIA | VEDAÇÕES | DIVISÓRIAS</v>
      </c>
      <c r="J673" s="230">
        <f t="shared" ca="1" si="414"/>
        <v>1</v>
      </c>
      <c r="K673" s="228" t="str">
        <f t="shared" ca="1" si="450"/>
        <v xml:space="preserve">   ALVENARIA | VEDAÇÕES | DIVISÓRIAS - 1º PAVIMENTO - SUBSOLO</v>
      </c>
      <c r="L673" s="231">
        <f t="shared" ca="1" si="415"/>
        <v>1</v>
      </c>
      <c r="M673" s="228" t="str">
        <f t="shared" ca="1" si="451"/>
        <v xml:space="preserve">   Alvenaria de Vedação com Blocos Cerâmicos</v>
      </c>
      <c r="N673" s="231">
        <f t="shared" ca="1" si="416"/>
        <v>3</v>
      </c>
      <c r="O673" s="228" t="str">
        <f t="shared" ca="1" si="452"/>
        <v>Alvenaria de vedacao de blocos ceramicos furados na horizontal de 14x19x29cm (espessura 14cm) com argamassa industrializada de assentamento</v>
      </c>
      <c r="P673" s="232" t="str">
        <f>IF(S673="","",IF(Orçamento!$B673="INSUMO",S673,""))</f>
        <v>BLOCO CERAMICO VEDACAO 14 X 19 X 29 CM - FUROS NA HORIZONTAL</v>
      </c>
      <c r="Q673" s="244" t="str">
        <f t="shared" si="453"/>
        <v/>
      </c>
      <c r="R673" s="234">
        <f t="shared" ca="1" si="454"/>
        <v>77.650000000000006</v>
      </c>
      <c r="S673" s="233" t="s">
        <v>209</v>
      </c>
      <c r="T673" s="242" t="str">
        <f>_xlfn.XLOOKUP(S673,Insumos!$A$3:$A$371,Insumos!$B$3:$B$371)</f>
        <v>UN</v>
      </c>
      <c r="U673" s="235">
        <f ca="1">IF($B673="insumo",R673,"")</f>
        <v>77.650000000000006</v>
      </c>
      <c r="V673" s="320">
        <v>18</v>
      </c>
      <c r="W673" s="236">
        <f>IFERROR(IF(B673="INSUMO",_xlfn.XLOOKUP(S673,Insumos!A:A,Insumos!C:C),""),"Inserir Preço")</f>
        <v>1.6245000000000001</v>
      </c>
      <c r="X673" s="235">
        <f t="shared" ca="1" si="455"/>
        <v>1397.7</v>
      </c>
      <c r="Y673" s="236">
        <f t="shared" si="417"/>
        <v>29.241</v>
      </c>
      <c r="Z673" s="237">
        <f t="shared" ca="1" si="446"/>
        <v>2270.5636500000001</v>
      </c>
      <c r="AA673" s="238"/>
      <c r="AB673" s="233" t="str">
        <f>IF(B673="insumo",_xlfn.XLOOKUP(S673,Insumos!A:A,Insumos!D:D),"")</f>
        <v>Tupi Gurani Cerâmica</v>
      </c>
      <c r="AC673" s="239">
        <f t="shared" ca="1" si="447"/>
        <v>3.2573305678567776E-4</v>
      </c>
      <c r="AE673" s="240">
        <f ca="1">IFERROR(IF(OR(Z673="",Z673=0),"",IF(AF673="","",IF(AF673="R$/mês",Z673/OBRA!$D$12,IF(AF673="R$/m²",Z673/OBRA!$D$10,IF(AF673="R$/apto",Orçamento!Z673/OBRA!$D$11,""))))),"")</f>
        <v>1.1684482279503714</v>
      </c>
      <c r="AF673" s="241" t="s">
        <v>154</v>
      </c>
    </row>
    <row r="674" spans="1:32" s="10" customFormat="1" ht="13.15" hidden="1" customHeight="1" outlineLevel="3" collapsed="1" x14ac:dyDescent="0.2">
      <c r="A674" s="227"/>
      <c r="B674" s="228" t="s">
        <v>3</v>
      </c>
      <c r="C674" s="229" t="str">
        <f t="shared" si="445"/>
        <v/>
      </c>
      <c r="D674" s="227" t="str">
        <f t="shared" ref="D674:D696" ca="1" si="456">IF(B674="Unidade Construtiva",TEXT(F674,"00"),IF(B674="Célula Construtiva",TEXT(H674,"00"),IF(B674="Etapa",CONCATENATE(TEXT(H674,"00"),".",TEXT(J674,"000")),IF(B674="Subetapa",CONCATENATE(TEXT(H674,"00"),".",TEXT(J674,"000"),".",TEXT(L674,"000")),IF(B674="Serviço",CONCATENATE(TEXT(H674,"00"),".",TEXT(J674,"000"),".",TEXT(L674,"000"),".",TEXT(N674,"000")),"")))))</f>
        <v>05.001.002</v>
      </c>
      <c r="E674" s="228" t="str">
        <f t="shared" ref="E674:E696" ca="1" si="457">IF(B674="*","",IFERROR(IF(B674="SERVIÇO",D674,OFFSET(E674,-1,0)),""))</f>
        <v>05.001.001.003</v>
      </c>
      <c r="F674" s="230">
        <f ca="1">IF($B674="UNIDADE CONSTRUTIVA",OFFSET(F674,-1,0)+1,LARGE(F$10:F673,1))</f>
        <v>2</v>
      </c>
      <c r="G674" s="228" t="str">
        <f t="shared" ca="1" si="448"/>
        <v xml:space="preserve">   GERENCIAMENTO EXECUTIVO</v>
      </c>
      <c r="H674" s="230">
        <f t="shared" ref="H674:H696" ca="1" si="458">IF(B674="UNIDADE CONSTRUTIVA",0,IF(B674="CÉLULA CONSTRUTIVA",OFFSET(H674,-1,0)+1,OFFSET(H674,-1,0)))</f>
        <v>5</v>
      </c>
      <c r="I674" s="228" t="str">
        <f t="shared" ca="1" si="449"/>
        <v xml:space="preserve">   ALVENARIA | VEDAÇÕES | DIVISÓRIAS</v>
      </c>
      <c r="J674" s="230">
        <f t="shared" ref="J674:J696" ca="1" si="459">IF(B674="CÉLULA CONSTRUTIVA",0,IF(B674="ETAPA",OFFSET(J674,-1,0)+1,OFFSET(J674,-1,0)))</f>
        <v>1</v>
      </c>
      <c r="K674" s="228" t="str">
        <f t="shared" ca="1" si="450"/>
        <v xml:space="preserve">   ALVENARIA | VEDAÇÕES | DIVISÓRIAS - 1º PAVIMENTO - SUBSOLO</v>
      </c>
      <c r="L674" s="231">
        <f t="shared" ref="L674:L696" ca="1" si="460">IF(B674="ETAPA",0,IF(B674="SUBETAPA",OFFSET(L674,-1,0)+1,OFFSET(L674,-1,0)))</f>
        <v>2</v>
      </c>
      <c r="M674" s="228" t="str">
        <f t="shared" ca="1" si="451"/>
        <v xml:space="preserve">   Serviços Complementares</v>
      </c>
      <c r="N674" s="231">
        <f t="shared" ref="N674:N696" ca="1" si="461">IF(B674="Subetapa",0,IF(B674="serviço",OFFSET(N674,-1,0)+1,OFFSET(N674,-1,0)))</f>
        <v>0</v>
      </c>
      <c r="O674" s="228" t="str">
        <f t="shared" ca="1" si="452"/>
        <v>Alvenaria de vedacao de blocos ceramicos furados na horizontal de 14x19x29cm (espessura 14cm) com argamassa industrializada de assentamento</v>
      </c>
      <c r="P674" s="232" t="str">
        <f>IF(S674="","",IF(Orçamento!$B674="INSUMO",S674,""))</f>
        <v/>
      </c>
      <c r="Q674" s="244" t="str">
        <f t="shared" si="453"/>
        <v/>
      </c>
      <c r="R674" s="234">
        <f t="shared" ca="1" si="454"/>
        <v>77.650000000000006</v>
      </c>
      <c r="S674" s="233" t="s">
        <v>441</v>
      </c>
      <c r="T674" s="242" t="s">
        <v>35</v>
      </c>
      <c r="U674" s="235" t="str">
        <f>IF($B674="insumo",R674,"")</f>
        <v/>
      </c>
      <c r="V674" s="320" t="s">
        <v>35</v>
      </c>
      <c r="W674" s="236" t="str">
        <f>IFERROR(IF(B674="INSUMO",_xlfn.XLOOKUP(S674,Insumos!A:A,Insumos!C:C),""),"Inserir Preço")</f>
        <v/>
      </c>
      <c r="X674" s="235" t="str">
        <f t="shared" ca="1" si="455"/>
        <v/>
      </c>
      <c r="Y674" s="236" t="str">
        <f t="shared" si="417"/>
        <v/>
      </c>
      <c r="Z674" s="237">
        <f t="shared" ca="1" si="446"/>
        <v>3724.783965600001</v>
      </c>
      <c r="AA674" s="238"/>
      <c r="AB674" s="233" t="str">
        <f>IF(B674="insumo",_xlfn.XLOOKUP(S674,Insumos!A:A,Insumos!D:D),"")</f>
        <v/>
      </c>
      <c r="AC674" s="239">
        <f t="shared" ca="1" si="447"/>
        <v>5.3435421948253557E-4</v>
      </c>
      <c r="AE674" s="240">
        <f ca="1">IFERROR(IF(OR(Z674="",Z674=0),"",IF(AF674="","",IF(AF674="R$/mês",Z674/OBRA!$D$12,IF(AF674="R$/m²",Z674/OBRA!$D$10,IF(AF674="R$/apto",Orçamento!Z674/OBRA!$D$11,""))))),"")</f>
        <v>1.9168003610483582</v>
      </c>
      <c r="AF674" s="241" t="s">
        <v>154</v>
      </c>
    </row>
    <row r="675" spans="1:32" s="10" customFormat="1" ht="13.15" hidden="1" customHeight="1" outlineLevel="4" x14ac:dyDescent="0.2">
      <c r="A675" s="227"/>
      <c r="B675" s="228" t="s">
        <v>4</v>
      </c>
      <c r="C675" s="229">
        <f t="shared" si="445"/>
        <v>5</v>
      </c>
      <c r="D675" s="227" t="str">
        <f t="shared" ca="1" si="456"/>
        <v>05.001.002.001</v>
      </c>
      <c r="E675" s="228" t="str">
        <f t="shared" ca="1" si="457"/>
        <v>05.001.002.001</v>
      </c>
      <c r="F675" s="230">
        <f ca="1">IF($B675="UNIDADE CONSTRUTIVA",OFFSET(F675,-1,0)+1,LARGE(F$10:F674,1))</f>
        <v>2</v>
      </c>
      <c r="G675" s="228" t="str">
        <f t="shared" ca="1" si="448"/>
        <v xml:space="preserve">   GERENCIAMENTO EXECUTIVO</v>
      </c>
      <c r="H675" s="230">
        <f t="shared" ca="1" si="458"/>
        <v>5</v>
      </c>
      <c r="I675" s="228" t="str">
        <f t="shared" ca="1" si="449"/>
        <v xml:space="preserve">   ALVENARIA | VEDAÇÕES | DIVISÓRIAS</v>
      </c>
      <c r="J675" s="230">
        <f t="shared" ca="1" si="459"/>
        <v>1</v>
      </c>
      <c r="K675" s="228" t="str">
        <f t="shared" ca="1" si="450"/>
        <v xml:space="preserve">   ALVENARIA | VEDAÇÕES | DIVISÓRIAS - 1º PAVIMENTO - SUBSOLO</v>
      </c>
      <c r="L675" s="231">
        <f t="shared" ca="1" si="460"/>
        <v>2</v>
      </c>
      <c r="M675" s="228" t="str">
        <f t="shared" ca="1" si="451"/>
        <v xml:space="preserve">   Serviços Complementares</v>
      </c>
      <c r="N675" s="231">
        <f t="shared" ca="1" si="461"/>
        <v>1</v>
      </c>
      <c r="O675" s="228" t="str">
        <f t="shared" ca="1" si="452"/>
        <v>Verga/contraverga de concreto, moldada in loco</v>
      </c>
      <c r="P675" s="232" t="str">
        <f>IF(S675="","",IF(Orçamento!$B675="INSUMO",S675,""))</f>
        <v/>
      </c>
      <c r="Q675" s="244" t="str">
        <f t="shared" si="453"/>
        <v>Verga/contraverga de concreto, moldada in loco</v>
      </c>
      <c r="R675" s="234">
        <f t="shared" ca="1" si="454"/>
        <v>75.240000000000009</v>
      </c>
      <c r="S675" s="233" t="s">
        <v>210</v>
      </c>
      <c r="T675" s="242" t="s">
        <v>158</v>
      </c>
      <c r="U675" s="235">
        <v>75.240000000000009</v>
      </c>
      <c r="V675" s="320" t="s">
        <v>35</v>
      </c>
      <c r="W675" s="236" t="str">
        <f>IFERROR(IF(B675="INSUMO",_xlfn.XLOOKUP(S675,Insumos!A:A,Insumos!C:C),""),"Inserir Preço")</f>
        <v/>
      </c>
      <c r="X675" s="235">
        <f t="shared" ca="1" si="455"/>
        <v>75.240000000000009</v>
      </c>
      <c r="Y675" s="236">
        <f t="shared" ca="1" si="417"/>
        <v>44.891940000000005</v>
      </c>
      <c r="Z675" s="237">
        <f t="shared" ca="1" si="446"/>
        <v>3377.6695656000006</v>
      </c>
      <c r="AA675" s="238"/>
      <c r="AB675" s="233" t="str">
        <f>IF(B675="insumo",_xlfn.XLOOKUP(S675,Insumos!A:A,Insumos!D:D),"")</f>
        <v/>
      </c>
      <c r="AC675" s="239">
        <f t="shared" ca="1" si="447"/>
        <v>4.845574940895581E-4</v>
      </c>
      <c r="AE675" s="240">
        <f ca="1">IFERROR(IF(OR(Z675="",Z675=0),"",IF(AF675="","",IF(AF675="R$/mês",Z675/OBRA!$D$12,IF(AF675="R$/m²",Z675/OBRA!$D$10,IF(AF675="R$/apto",Orçamento!Z675/OBRA!$D$11,""))))),"")</f>
        <v>1.7381728182459104</v>
      </c>
      <c r="AF675" s="241" t="s">
        <v>154</v>
      </c>
    </row>
    <row r="676" spans="1:32" s="10" customFormat="1" ht="13.15" hidden="1" customHeight="1" outlineLevel="4" x14ac:dyDescent="0.2">
      <c r="A676" s="227"/>
      <c r="B676" s="228" t="s">
        <v>19</v>
      </c>
      <c r="C676" s="229">
        <f t="shared" si="445"/>
        <v>29</v>
      </c>
      <c r="D676" s="227" t="str">
        <f t="shared" si="456"/>
        <v/>
      </c>
      <c r="E676" s="228" t="str">
        <f t="shared" ca="1" si="457"/>
        <v>05.001.002.001</v>
      </c>
      <c r="F676" s="230">
        <f ca="1">IF($B676="UNIDADE CONSTRUTIVA",OFFSET(F676,-1,0)+1,LARGE(F$10:F675,1))</f>
        <v>2</v>
      </c>
      <c r="G676" s="228" t="str">
        <f t="shared" ca="1" si="448"/>
        <v xml:space="preserve">   GERENCIAMENTO EXECUTIVO</v>
      </c>
      <c r="H676" s="230">
        <f t="shared" ca="1" si="458"/>
        <v>5</v>
      </c>
      <c r="I676" s="228" t="str">
        <f t="shared" ca="1" si="449"/>
        <v xml:space="preserve">   ALVENARIA | VEDAÇÕES | DIVISÓRIAS</v>
      </c>
      <c r="J676" s="230">
        <f t="shared" ca="1" si="459"/>
        <v>1</v>
      </c>
      <c r="K676" s="228" t="str">
        <f t="shared" ca="1" si="450"/>
        <v xml:space="preserve">   ALVENARIA | VEDAÇÕES | DIVISÓRIAS - 1º PAVIMENTO - SUBSOLO</v>
      </c>
      <c r="L676" s="231">
        <f t="shared" ca="1" si="460"/>
        <v>2</v>
      </c>
      <c r="M676" s="228" t="str">
        <f t="shared" ca="1" si="451"/>
        <v xml:space="preserve">   Serviços Complementares</v>
      </c>
      <c r="N676" s="231">
        <f t="shared" ca="1" si="461"/>
        <v>1</v>
      </c>
      <c r="O676" s="228" t="str">
        <f t="shared" ca="1" si="452"/>
        <v>Verga/contraverga de concreto, moldada in loco</v>
      </c>
      <c r="P676" s="232" t="str">
        <f>IF(S676="","",IF(Orçamento!$B676="INSUMO",S676,""))</f>
        <v>DESMOLDANTE</v>
      </c>
      <c r="Q676" s="244" t="str">
        <f t="shared" si="453"/>
        <v/>
      </c>
      <c r="R676" s="234">
        <f t="shared" ca="1" si="454"/>
        <v>75.240000000000009</v>
      </c>
      <c r="S676" s="233" t="s">
        <v>171</v>
      </c>
      <c r="T676" s="242" t="str">
        <f>_xlfn.XLOOKUP(S676,Insumos!$A$3:$A$371,Insumos!$B$3:$B$371)</f>
        <v>L</v>
      </c>
      <c r="U676" s="235">
        <f t="shared" ref="U676:U682" ca="1" si="462">IF($B676="insumo",R676,"")</f>
        <v>75.240000000000009</v>
      </c>
      <c r="V676" s="320">
        <v>6.0000000000000001E-3</v>
      </c>
      <c r="W676" s="236">
        <f>IFERROR(IF(B676="INSUMO",_xlfn.XLOOKUP(S676,Insumos!A:A,Insumos!C:C),""),"Inserir Preço")</f>
        <v>6.34</v>
      </c>
      <c r="X676" s="235">
        <f t="shared" ca="1" si="455"/>
        <v>0.45144000000000006</v>
      </c>
      <c r="Y676" s="236">
        <f t="shared" si="417"/>
        <v>3.8039999999999997E-2</v>
      </c>
      <c r="Z676" s="237">
        <f t="shared" ca="1" si="446"/>
        <v>2.8621296000000003</v>
      </c>
      <c r="AA676" s="238"/>
      <c r="AB676" s="233" t="str">
        <f>IF(B676="insumo",_xlfn.XLOOKUP(S676,Insumos!A:A,Insumos!D:D),"")</f>
        <v xml:space="preserve"> </v>
      </c>
      <c r="AC676" s="239">
        <f t="shared" ca="1" si="447"/>
        <v>4.1059858574093232E-7</v>
      </c>
      <c r="AE676" s="240">
        <f ca="1">IFERROR(IF(OR(Z676="",Z676=0),"",IF(AF676="","",IF(AF676="R$/mês",Z676/OBRA!$D$12,IF(AF676="R$/m²",Z676/OBRA!$D$10,IF(AF676="R$/apto",Orçamento!Z676/OBRA!$D$11,""))))),"")</f>
        <v>1.4728722796580951E-3</v>
      </c>
      <c r="AF676" s="241" t="s">
        <v>154</v>
      </c>
    </row>
    <row r="677" spans="1:32" s="10" customFormat="1" ht="13.15" hidden="1" customHeight="1" outlineLevel="4" x14ac:dyDescent="0.2">
      <c r="A677" s="227"/>
      <c r="B677" s="228" t="s">
        <v>19</v>
      </c>
      <c r="C677" s="229">
        <f t="shared" si="445"/>
        <v>5</v>
      </c>
      <c r="D677" s="227" t="str">
        <f t="shared" si="456"/>
        <v/>
      </c>
      <c r="E677" s="228" t="str">
        <f t="shared" ca="1" si="457"/>
        <v>05.001.002.001</v>
      </c>
      <c r="F677" s="230">
        <f ca="1">IF($B677="UNIDADE CONSTRUTIVA",OFFSET(F677,-1,0)+1,LARGE(F$10:F676,1))</f>
        <v>2</v>
      </c>
      <c r="G677" s="228" t="str">
        <f t="shared" ca="1" si="448"/>
        <v xml:space="preserve">   GERENCIAMENTO EXECUTIVO</v>
      </c>
      <c r="H677" s="230">
        <f t="shared" ca="1" si="458"/>
        <v>5</v>
      </c>
      <c r="I677" s="228" t="str">
        <f t="shared" ca="1" si="449"/>
        <v xml:space="preserve">   ALVENARIA | VEDAÇÕES | DIVISÓRIAS</v>
      </c>
      <c r="J677" s="230">
        <f t="shared" ca="1" si="459"/>
        <v>1</v>
      </c>
      <c r="K677" s="228" t="str">
        <f t="shared" ca="1" si="450"/>
        <v xml:space="preserve">   ALVENARIA | VEDAÇÕES | DIVISÓRIAS - 1º PAVIMENTO - SUBSOLO</v>
      </c>
      <c r="L677" s="231">
        <f t="shared" ca="1" si="460"/>
        <v>2</v>
      </c>
      <c r="M677" s="228" t="str">
        <f t="shared" ca="1" si="451"/>
        <v xml:space="preserve">   Serviços Complementares</v>
      </c>
      <c r="N677" s="231">
        <f t="shared" ca="1" si="461"/>
        <v>1</v>
      </c>
      <c r="O677" s="228" t="str">
        <f t="shared" ca="1" si="452"/>
        <v>Verga/contraverga de concreto, moldada in loco</v>
      </c>
      <c r="P677" s="232" t="str">
        <f>IF(S677="","",IF(Orçamento!$B677="INSUMO",S677,""))</f>
        <v>ACO CA-60 5,00 MM</v>
      </c>
      <c r="Q677" s="244" t="str">
        <f t="shared" si="453"/>
        <v/>
      </c>
      <c r="R677" s="234">
        <f t="shared" ca="1" si="454"/>
        <v>75.240000000000009</v>
      </c>
      <c r="S677" s="233" t="s">
        <v>179</v>
      </c>
      <c r="T677" s="242" t="str">
        <f>_xlfn.XLOOKUP(S677,Insumos!$A$3:$A$371,Insumos!$B$3:$B$371)</f>
        <v>KG</v>
      </c>
      <c r="U677" s="235">
        <f t="shared" ca="1" si="462"/>
        <v>75.240000000000009</v>
      </c>
      <c r="V677" s="320">
        <v>0.49</v>
      </c>
      <c r="W677" s="236">
        <f>IFERROR(IF(B677="INSUMO",_xlfn.XLOOKUP(S677,Insumos!A:A,Insumos!C:C),""),"Inserir Preço")</f>
        <v>6.11</v>
      </c>
      <c r="X677" s="235">
        <f t="shared" ca="1" si="455"/>
        <v>36.867600000000003</v>
      </c>
      <c r="Y677" s="236">
        <f t="shared" si="417"/>
        <v>2.9939</v>
      </c>
      <c r="Z677" s="237">
        <f t="shared" ca="1" si="446"/>
        <v>225.26103600000002</v>
      </c>
      <c r="AA677" s="238"/>
      <c r="AB677" s="233" t="str">
        <f>IF(B677="insumo",_xlfn.XLOOKUP(S677,Insumos!A:A,Insumos!D:D),"")</f>
        <v>BENDERTEC</v>
      </c>
      <c r="AC677" s="239">
        <f t="shared" ca="1" si="447"/>
        <v>3.2315749365136097E-5</v>
      </c>
      <c r="AE677" s="240">
        <f ca="1">IFERROR(IF(OR(Z677="",Z677=0),"",IF(AF677="","",IF(AF677="R$/mês",Z677/OBRA!$D$12,IF(AF677="R$/m²",Z677/OBRA!$D$10,IF(AF677="R$/apto",Orçamento!Z677/OBRA!$D$11,""))))),"")</f>
        <v>0.11592093370316432</v>
      </c>
      <c r="AF677" s="241" t="s">
        <v>154</v>
      </c>
    </row>
    <row r="678" spans="1:32" s="10" customFormat="1" ht="13.15" hidden="1" customHeight="1" outlineLevel="4" x14ac:dyDescent="0.2">
      <c r="A678" s="227"/>
      <c r="B678" s="228" t="s">
        <v>19</v>
      </c>
      <c r="C678" s="229">
        <f t="shared" si="445"/>
        <v>44</v>
      </c>
      <c r="D678" s="227" t="str">
        <f t="shared" si="456"/>
        <v/>
      </c>
      <c r="E678" s="228" t="str">
        <f t="shared" ca="1" si="457"/>
        <v>05.001.002.001</v>
      </c>
      <c r="F678" s="230">
        <f ca="1">IF($B678="UNIDADE CONSTRUTIVA",OFFSET(F678,-1,0)+1,LARGE(F$10:F677,1))</f>
        <v>2</v>
      </c>
      <c r="G678" s="228" t="str">
        <f t="shared" ca="1" si="448"/>
        <v xml:space="preserve">   GERENCIAMENTO EXECUTIVO</v>
      </c>
      <c r="H678" s="230">
        <f t="shared" ca="1" si="458"/>
        <v>5</v>
      </c>
      <c r="I678" s="228" t="str">
        <f t="shared" ca="1" si="449"/>
        <v xml:space="preserve">   ALVENARIA | VEDAÇÕES | DIVISÓRIAS</v>
      </c>
      <c r="J678" s="230">
        <f t="shared" ca="1" si="459"/>
        <v>1</v>
      </c>
      <c r="K678" s="228" t="str">
        <f t="shared" ca="1" si="450"/>
        <v xml:space="preserve">   ALVENARIA | VEDAÇÕES | DIVISÓRIAS - 1º PAVIMENTO - SUBSOLO</v>
      </c>
      <c r="L678" s="231">
        <f t="shared" ca="1" si="460"/>
        <v>2</v>
      </c>
      <c r="M678" s="228" t="str">
        <f t="shared" ca="1" si="451"/>
        <v xml:space="preserve">   Serviços Complementares</v>
      </c>
      <c r="N678" s="231">
        <f t="shared" ca="1" si="461"/>
        <v>1</v>
      </c>
      <c r="O678" s="228" t="str">
        <f t="shared" ca="1" si="452"/>
        <v>Verga/contraverga de concreto, moldada in loco</v>
      </c>
      <c r="P678" s="232" t="str">
        <f>IF(S678="","",IF(Orçamento!$B678="INSUMO",S678,""))</f>
        <v>PREGO 17 x 21 COM CABECA</v>
      </c>
      <c r="Q678" s="244" t="str">
        <f t="shared" si="453"/>
        <v/>
      </c>
      <c r="R678" s="234">
        <f t="shared" ca="1" si="454"/>
        <v>75.240000000000009</v>
      </c>
      <c r="S678" s="233" t="s">
        <v>173</v>
      </c>
      <c r="T678" s="242" t="str">
        <f>_xlfn.XLOOKUP(S678,Insumos!$A$3:$A$371,Insumos!$B$3:$B$371)</f>
        <v>KG</v>
      </c>
      <c r="U678" s="235">
        <f t="shared" ca="1" si="462"/>
        <v>75.240000000000009</v>
      </c>
      <c r="V678" s="320">
        <v>5.4000000000000003E-3</v>
      </c>
      <c r="W678" s="236">
        <f>IFERROR(IF(B678="INSUMO",_xlfn.XLOOKUP(S678,Insumos!A:A,Insumos!C:C),""),"Inserir Preço")</f>
        <v>13</v>
      </c>
      <c r="X678" s="235">
        <f t="shared" ca="1" si="455"/>
        <v>0.40629600000000005</v>
      </c>
      <c r="Y678" s="236">
        <f t="shared" si="417"/>
        <v>7.0199999999999999E-2</v>
      </c>
      <c r="Z678" s="237">
        <f t="shared" ca="1" si="446"/>
        <v>5.281848000000001</v>
      </c>
      <c r="AA678" s="238"/>
      <c r="AB678" s="233" t="str">
        <f>IF(B678="insumo",_xlfn.XLOOKUP(S678,Insumos!A:A,Insumos!D:D),"")</f>
        <v xml:space="preserve"> </v>
      </c>
      <c r="AC678" s="239">
        <f t="shared" ca="1" si="447"/>
        <v>7.5772925128847134E-7</v>
      </c>
      <c r="AE678" s="240">
        <f ca="1">IFERROR(IF(OR(Z678="",Z678=0),"",IF(AF678="","",IF(AF678="R$/mês",Z678/OBRA!$D$12,IF(AF678="R$/m²",Z678/OBRA!$D$10,IF(AF678="R$/apto",Orçamento!Z678/OBRA!$D$11,""))))),"")</f>
        <v>2.7180766044163588E-3</v>
      </c>
      <c r="AF678" s="241" t="s">
        <v>154</v>
      </c>
    </row>
    <row r="679" spans="1:32" s="10" customFormat="1" ht="13.15" hidden="1" customHeight="1" outlineLevel="4" x14ac:dyDescent="0.2">
      <c r="A679" s="227"/>
      <c r="B679" s="228" t="s">
        <v>19</v>
      </c>
      <c r="C679" s="229">
        <f t="shared" si="445"/>
        <v>7</v>
      </c>
      <c r="D679" s="227" t="str">
        <f t="shared" si="456"/>
        <v/>
      </c>
      <c r="E679" s="228" t="str">
        <f t="shared" ca="1" si="457"/>
        <v>05.001.002.001</v>
      </c>
      <c r="F679" s="230">
        <f ca="1">IF($B679="UNIDADE CONSTRUTIVA",OFFSET(F679,-1,0)+1,LARGE(F$10:F678,1))</f>
        <v>2</v>
      </c>
      <c r="G679" s="228" t="str">
        <f t="shared" ca="1" si="448"/>
        <v xml:space="preserve">   GERENCIAMENTO EXECUTIVO</v>
      </c>
      <c r="H679" s="230">
        <f t="shared" ca="1" si="458"/>
        <v>5</v>
      </c>
      <c r="I679" s="228" t="str">
        <f t="shared" ca="1" si="449"/>
        <v xml:space="preserve">   ALVENARIA | VEDAÇÕES | DIVISÓRIAS</v>
      </c>
      <c r="J679" s="230">
        <f t="shared" ca="1" si="459"/>
        <v>1</v>
      </c>
      <c r="K679" s="228" t="str">
        <f t="shared" ca="1" si="450"/>
        <v xml:space="preserve">   ALVENARIA | VEDAÇÕES | DIVISÓRIAS - 1º PAVIMENTO - SUBSOLO</v>
      </c>
      <c r="L679" s="231">
        <f t="shared" ca="1" si="460"/>
        <v>2</v>
      </c>
      <c r="M679" s="228" t="str">
        <f t="shared" ca="1" si="451"/>
        <v xml:space="preserve">   Serviços Complementares</v>
      </c>
      <c r="N679" s="231">
        <f t="shared" ca="1" si="461"/>
        <v>1</v>
      </c>
      <c r="O679" s="228" t="str">
        <f t="shared" ca="1" si="452"/>
        <v>Verga/contraverga de concreto, moldada in loco</v>
      </c>
      <c r="P679" s="232" t="str">
        <f>IF(S679="","",IF(Orçamento!$B679="INSUMO",S679,""))</f>
        <v>Tabua de pinus 20x2,5x300cm</v>
      </c>
      <c r="Q679" s="244" t="str">
        <f t="shared" si="453"/>
        <v/>
      </c>
      <c r="R679" s="234">
        <f t="shared" ca="1" si="454"/>
        <v>75.240000000000009</v>
      </c>
      <c r="S679" s="233" t="s">
        <v>174</v>
      </c>
      <c r="T679" s="242" t="str">
        <f>_xlfn.XLOOKUP(S679,Insumos!$A$3:$A$371,Insumos!$B$3:$B$371)</f>
        <v>M3</v>
      </c>
      <c r="U679" s="235">
        <f t="shared" ca="1" si="462"/>
        <v>75.240000000000009</v>
      </c>
      <c r="V679" s="320">
        <v>1.2E-2</v>
      </c>
      <c r="W679" s="236">
        <f>IFERROR(IF(B679="INSUMO",_xlfn.XLOOKUP(S679,Insumos!A:A,Insumos!C:C),""),"Inserir Preço")</f>
        <v>1410</v>
      </c>
      <c r="X679" s="235">
        <f t="shared" ca="1" si="455"/>
        <v>0.90288000000000013</v>
      </c>
      <c r="Y679" s="236">
        <f t="shared" si="417"/>
        <v>16.920000000000002</v>
      </c>
      <c r="Z679" s="237">
        <f t="shared" ca="1" si="446"/>
        <v>1273.0608000000002</v>
      </c>
      <c r="AA679" s="238"/>
      <c r="AB679" s="233" t="str">
        <f>IF(B679="insumo",_xlfn.XLOOKUP(S679,Insumos!A:A,Insumos!D:D),"")</f>
        <v xml:space="preserve"> </v>
      </c>
      <c r="AC679" s="239">
        <f t="shared" ca="1" si="447"/>
        <v>1.8263217851568282E-4</v>
      </c>
      <c r="AE679" s="240">
        <f ca="1">IFERROR(IF(OR(Z679="",Z679=0),"",IF(AF679="","",IF(AF679="R$/mês",Z679/OBRA!$D$12,IF(AF679="R$/m²",Z679/OBRA!$D$10,IF(AF679="R$/apto",Orçamento!Z679/OBRA!$D$11,""))))),"")</f>
        <v>0.65512615593625056</v>
      </c>
      <c r="AF679" s="241" t="s">
        <v>154</v>
      </c>
    </row>
    <row r="680" spans="1:32" s="10" customFormat="1" ht="13.15" hidden="1" customHeight="1" outlineLevel="4" x14ac:dyDescent="0.2">
      <c r="A680" s="227"/>
      <c r="B680" s="228" t="s">
        <v>19</v>
      </c>
      <c r="C680" s="229">
        <f t="shared" si="445"/>
        <v>12</v>
      </c>
      <c r="D680" s="227" t="str">
        <f t="shared" si="456"/>
        <v/>
      </c>
      <c r="E680" s="228" t="str">
        <f t="shared" ca="1" si="457"/>
        <v>05.001.002.001</v>
      </c>
      <c r="F680" s="230">
        <f ca="1">IF($B680="UNIDADE CONSTRUTIVA",OFFSET(F680,-1,0)+1,LARGE(F$10:F679,1))</f>
        <v>2</v>
      </c>
      <c r="G680" s="228" t="str">
        <f t="shared" ca="1" si="448"/>
        <v xml:space="preserve">   GERENCIAMENTO EXECUTIVO</v>
      </c>
      <c r="H680" s="230">
        <f t="shared" ca="1" si="458"/>
        <v>5</v>
      </c>
      <c r="I680" s="228" t="str">
        <f t="shared" ca="1" si="449"/>
        <v xml:space="preserve">   ALVENARIA | VEDAÇÕES | DIVISÓRIAS</v>
      </c>
      <c r="J680" s="230">
        <f t="shared" ca="1" si="459"/>
        <v>1</v>
      </c>
      <c r="K680" s="228" t="str">
        <f t="shared" ca="1" si="450"/>
        <v xml:space="preserve">   ALVENARIA | VEDAÇÕES | DIVISÓRIAS - 1º PAVIMENTO - SUBSOLO</v>
      </c>
      <c r="L680" s="231">
        <f t="shared" ca="1" si="460"/>
        <v>2</v>
      </c>
      <c r="M680" s="228" t="str">
        <f t="shared" ca="1" si="451"/>
        <v xml:space="preserve">   Serviços Complementares</v>
      </c>
      <c r="N680" s="231">
        <f t="shared" ca="1" si="461"/>
        <v>1</v>
      </c>
      <c r="O680" s="228" t="str">
        <f t="shared" ca="1" si="452"/>
        <v>Verga/contraverga de concreto, moldada in loco</v>
      </c>
      <c r="P680" s="232" t="str">
        <f>IF(S680="","",IF(Orçamento!$B680="INSUMO",S680,""))</f>
        <v>SARRAFO DE MADEIRA 7,0 x 3 M</v>
      </c>
      <c r="Q680" s="244" t="str">
        <f t="shared" si="453"/>
        <v/>
      </c>
      <c r="R680" s="234">
        <f t="shared" ca="1" si="454"/>
        <v>75.240000000000009</v>
      </c>
      <c r="S680" s="233" t="s">
        <v>175</v>
      </c>
      <c r="T680" s="242" t="str">
        <f>_xlfn.XLOOKUP(S680,Insumos!$A$3:$A$371,Insumos!$B$3:$B$371)</f>
        <v>M3</v>
      </c>
      <c r="U680" s="235">
        <f t="shared" ca="1" si="462"/>
        <v>75.240000000000009</v>
      </c>
      <c r="V680" s="320">
        <v>7.9000000000000008E-3</v>
      </c>
      <c r="W680" s="236">
        <f>IFERROR(IF(B680="INSUMO",_xlfn.XLOOKUP(S680,Insumos!A:A,Insumos!C:C),""),"Inserir Preço")</f>
        <v>1300</v>
      </c>
      <c r="X680" s="235">
        <f t="shared" ca="1" si="455"/>
        <v>0.59439600000000015</v>
      </c>
      <c r="Y680" s="236">
        <f t="shared" ref="Y680:Y743" si="463">IF(B680="insumo",W680*V680,IF(B680="serviço",SUMIFS(Y:Y,B:B,"insumo",E:E,E680,I:I,I680),""))</f>
        <v>10.270000000000001</v>
      </c>
      <c r="Z680" s="237">
        <f t="shared" ca="1" si="446"/>
        <v>772.7148000000002</v>
      </c>
      <c r="AA680" s="238"/>
      <c r="AB680" s="233" t="str">
        <f>IF(B680="insumo",_xlfn.XLOOKUP(S680,Insumos!A:A,Insumos!D:D),"")</f>
        <v xml:space="preserve"> </v>
      </c>
      <c r="AC680" s="239">
        <f t="shared" ca="1" si="447"/>
        <v>1.1085298305886897E-4</v>
      </c>
      <c r="AE680" s="240">
        <f ca="1">IFERROR(IF(OR(Z680="",Z680=0),"",IF(AF680="","",IF(AF680="R$/mês",Z680/OBRA!$D$12,IF(AF680="R$/m²",Z680/OBRA!$D$10,IF(AF680="R$/apto",Orçamento!Z680/OBRA!$D$11,""))))),"")</f>
        <v>0.3976445402757266</v>
      </c>
      <c r="AF680" s="241" t="s">
        <v>154</v>
      </c>
    </row>
    <row r="681" spans="1:32" s="10" customFormat="1" ht="13.15" hidden="1" customHeight="1" outlineLevel="4" x14ac:dyDescent="0.2">
      <c r="A681" s="227"/>
      <c r="B681" s="228" t="s">
        <v>19</v>
      </c>
      <c r="C681" s="229">
        <f t="shared" si="445"/>
        <v>26</v>
      </c>
      <c r="D681" s="227" t="str">
        <f t="shared" si="456"/>
        <v/>
      </c>
      <c r="E681" s="228" t="str">
        <f t="shared" ca="1" si="457"/>
        <v>05.001.002.001</v>
      </c>
      <c r="F681" s="230">
        <f ca="1">IF($B681="UNIDADE CONSTRUTIVA",OFFSET(F681,-1,0)+1,LARGE(F$10:F680,1))</f>
        <v>2</v>
      </c>
      <c r="G681" s="228" t="str">
        <f t="shared" ca="1" si="448"/>
        <v xml:space="preserve">   GERENCIAMENTO EXECUTIVO</v>
      </c>
      <c r="H681" s="230">
        <f t="shared" ca="1" si="458"/>
        <v>5</v>
      </c>
      <c r="I681" s="228" t="str">
        <f t="shared" ca="1" si="449"/>
        <v xml:space="preserve">   ALVENARIA | VEDAÇÕES | DIVISÓRIAS</v>
      </c>
      <c r="J681" s="230">
        <f t="shared" ca="1" si="459"/>
        <v>1</v>
      </c>
      <c r="K681" s="228" t="str">
        <f t="shared" ca="1" si="450"/>
        <v xml:space="preserve">   ALVENARIA | VEDAÇÕES | DIVISÓRIAS - 1º PAVIMENTO - SUBSOLO</v>
      </c>
      <c r="L681" s="231">
        <f t="shared" ca="1" si="460"/>
        <v>2</v>
      </c>
      <c r="M681" s="228" t="str">
        <f t="shared" ca="1" si="451"/>
        <v xml:space="preserve">   Serviços Complementares</v>
      </c>
      <c r="N681" s="231">
        <f t="shared" ca="1" si="461"/>
        <v>1</v>
      </c>
      <c r="O681" s="228" t="str">
        <f t="shared" ca="1" si="452"/>
        <v>Verga/contraverga de concreto, moldada in loco</v>
      </c>
      <c r="P681" s="232" t="str">
        <f>IF(S681="","",IF(Orçamento!$B681="INSUMO",S681,""))</f>
        <v>MADEIRA PINUS/SIMILAR - PONTALETE 75X75MM NBR 11700/15696</v>
      </c>
      <c r="Q681" s="244" t="str">
        <f t="shared" si="453"/>
        <v/>
      </c>
      <c r="R681" s="234">
        <f t="shared" ca="1" si="454"/>
        <v>75.240000000000009</v>
      </c>
      <c r="S681" s="233" t="s">
        <v>807</v>
      </c>
      <c r="T681" s="242" t="str">
        <f>_xlfn.XLOOKUP(S681,Insumos!$A$3:$A$371,Insumos!$B$3:$B$371)</f>
        <v>M</v>
      </c>
      <c r="U681" s="235">
        <f t="shared" ca="1" si="462"/>
        <v>75.240000000000009</v>
      </c>
      <c r="V681" s="320">
        <v>0.37140000000000001</v>
      </c>
      <c r="W681" s="236">
        <f>IFERROR(IF(B681="INSUMO",_xlfn.XLOOKUP(S681,Insumos!A:A,Insumos!C:C),""),"Inserir Preço")</f>
        <v>7</v>
      </c>
      <c r="X681" s="235">
        <f t="shared" ca="1" si="455"/>
        <v>27.944136000000004</v>
      </c>
      <c r="Y681" s="236">
        <f t="shared" si="463"/>
        <v>2.5998000000000001</v>
      </c>
      <c r="Z681" s="237">
        <f t="shared" ca="1" si="446"/>
        <v>195.60895200000002</v>
      </c>
      <c r="AA681" s="238"/>
      <c r="AB681" s="233" t="str">
        <f>IF(B681="insumo",_xlfn.XLOOKUP(S681,Insumos!A:A,Insumos!D:D),"")</f>
        <v xml:space="preserve"> </v>
      </c>
      <c r="AC681" s="239">
        <f t="shared" ca="1" si="447"/>
        <v>2.8061887571221761E-5</v>
      </c>
      <c r="AE681" s="240">
        <f ca="1">IFERROR(IF(OR(Z681="",Z681=0),"",IF(AF681="","",IF(AF681="R$/mês",Z681/OBRA!$D$12,IF(AF681="R$/m²",Z681/OBRA!$D$10,IF(AF681="R$/apto",Orçamento!Z681/OBRA!$D$11,""))))),"")</f>
        <v>0.10066176005928275</v>
      </c>
      <c r="AF681" s="241" t="s">
        <v>154</v>
      </c>
    </row>
    <row r="682" spans="1:32" s="10" customFormat="1" ht="13.15" hidden="1" customHeight="1" outlineLevel="4" x14ac:dyDescent="0.2">
      <c r="A682" s="227"/>
      <c r="B682" s="228" t="s">
        <v>19</v>
      </c>
      <c r="C682" s="229">
        <f t="shared" si="445"/>
        <v>5</v>
      </c>
      <c r="D682" s="227" t="str">
        <f t="shared" si="456"/>
        <v/>
      </c>
      <c r="E682" s="228" t="str">
        <f t="shared" ca="1" si="457"/>
        <v>05.001.002.001</v>
      </c>
      <c r="F682" s="230">
        <f ca="1">IF($B682="UNIDADE CONSTRUTIVA",OFFSET(F682,-1,0)+1,LARGE(F$10:F681,1))</f>
        <v>2</v>
      </c>
      <c r="G682" s="228" t="str">
        <f t="shared" ca="1" si="448"/>
        <v xml:space="preserve">   GERENCIAMENTO EXECUTIVO</v>
      </c>
      <c r="H682" s="230">
        <f t="shared" ca="1" si="458"/>
        <v>5</v>
      </c>
      <c r="I682" s="228" t="str">
        <f t="shared" ca="1" si="449"/>
        <v xml:space="preserve">   ALVENARIA | VEDAÇÕES | DIVISÓRIAS</v>
      </c>
      <c r="J682" s="230">
        <f t="shared" ca="1" si="459"/>
        <v>1</v>
      </c>
      <c r="K682" s="228" t="str">
        <f t="shared" ca="1" si="450"/>
        <v xml:space="preserve">   ALVENARIA | VEDAÇÕES | DIVISÓRIAS - 1º PAVIMENTO - SUBSOLO</v>
      </c>
      <c r="L682" s="231">
        <f t="shared" ca="1" si="460"/>
        <v>2</v>
      </c>
      <c r="M682" s="228" t="str">
        <f t="shared" ca="1" si="451"/>
        <v xml:space="preserve">   Serviços Complementares</v>
      </c>
      <c r="N682" s="231">
        <f t="shared" ca="1" si="461"/>
        <v>1</v>
      </c>
      <c r="O682" s="228" t="str">
        <f t="shared" ca="1" si="452"/>
        <v>Verga/contraverga de concreto, moldada in loco</v>
      </c>
      <c r="P682" s="232" t="str">
        <f>IF(S682="","",IF(Orçamento!$B682="INSUMO",S682,""))</f>
        <v>CONCRETO USINADO BOMBEAVEL FCK 20 MPA BRITA 0+1 SLUMP 14+/-2</v>
      </c>
      <c r="Q682" s="244" t="str">
        <f t="shared" si="453"/>
        <v/>
      </c>
      <c r="R682" s="234">
        <f t="shared" ca="1" si="454"/>
        <v>75.240000000000009</v>
      </c>
      <c r="S682" s="233" t="s">
        <v>211</v>
      </c>
      <c r="T682" s="242" t="str">
        <f>_xlfn.XLOOKUP(S682,Insumos!$A$3:$A$371,Insumos!$B$3:$B$371)</f>
        <v>M3</v>
      </c>
      <c r="U682" s="235">
        <f t="shared" ca="1" si="462"/>
        <v>75.240000000000009</v>
      </c>
      <c r="V682" s="320">
        <v>2.5000000000000001E-2</v>
      </c>
      <c r="W682" s="236">
        <f>IFERROR(IF(B682="INSUMO",_xlfn.XLOOKUP(S682,Insumos!A:A,Insumos!C:C),""),"Inserir Preço")</f>
        <v>480</v>
      </c>
      <c r="X682" s="235">
        <f t="shared" ca="1" si="455"/>
        <v>1.8810000000000002</v>
      </c>
      <c r="Y682" s="236">
        <f t="shared" si="463"/>
        <v>12</v>
      </c>
      <c r="Z682" s="237">
        <f t="shared" ca="1" si="446"/>
        <v>902.88000000000011</v>
      </c>
      <c r="AA682" s="238"/>
      <c r="AB682" s="233" t="str">
        <f>IF(B682="insumo",_xlfn.XLOOKUP(S682,Insumos!A:A,Insumos!D:D),"")</f>
        <v xml:space="preserve"> </v>
      </c>
      <c r="AC682" s="239">
        <f t="shared" ca="1" si="447"/>
        <v>1.2952636774161904E-4</v>
      </c>
      <c r="AE682" s="240">
        <f ca="1">IFERROR(IF(OR(Z682="",Z682=0),"",IF(AF682="","",IF(AF682="R$/mês",Z682/OBRA!$D$12,IF(AF682="R$/m²",Z682/OBRA!$D$10,IF(AF682="R$/apto",Orçamento!Z682/OBRA!$D$11,""))))),"")</f>
        <v>0.46462847938741175</v>
      </c>
      <c r="AF682" s="241" t="s">
        <v>154</v>
      </c>
    </row>
    <row r="683" spans="1:32" s="10" customFormat="1" ht="13.15" hidden="1" customHeight="1" outlineLevel="4" x14ac:dyDescent="0.2">
      <c r="A683" s="227"/>
      <c r="B683" s="228" t="s">
        <v>4</v>
      </c>
      <c r="C683" s="229">
        <f t="shared" si="445"/>
        <v>5</v>
      </c>
      <c r="D683" s="227" t="str">
        <f t="shared" ca="1" si="456"/>
        <v>05.001.002.002</v>
      </c>
      <c r="E683" s="228" t="str">
        <f t="shared" ca="1" si="457"/>
        <v>05.001.002.002</v>
      </c>
      <c r="F683" s="230">
        <f ca="1">IF($B683="UNIDADE CONSTRUTIVA",OFFSET(F683,-1,0)+1,LARGE(F$10:F682,1))</f>
        <v>2</v>
      </c>
      <c r="G683" s="228" t="str">
        <f t="shared" ca="1" si="448"/>
        <v xml:space="preserve">   GERENCIAMENTO EXECUTIVO</v>
      </c>
      <c r="H683" s="230">
        <f t="shared" ca="1" si="458"/>
        <v>5</v>
      </c>
      <c r="I683" s="228" t="str">
        <f t="shared" ca="1" si="449"/>
        <v xml:space="preserve">   ALVENARIA | VEDAÇÕES | DIVISÓRIAS</v>
      </c>
      <c r="J683" s="230">
        <f t="shared" ca="1" si="459"/>
        <v>1</v>
      </c>
      <c r="K683" s="228" t="str">
        <f t="shared" ca="1" si="450"/>
        <v xml:space="preserve">   ALVENARIA | VEDAÇÕES | DIVISÓRIAS - 1º PAVIMENTO - SUBSOLO</v>
      </c>
      <c r="L683" s="231">
        <f t="shared" ca="1" si="460"/>
        <v>2</v>
      </c>
      <c r="M683" s="228" t="str">
        <f t="shared" ca="1" si="451"/>
        <v xml:space="preserve">   Serviços Complementares</v>
      </c>
      <c r="N683" s="231">
        <f t="shared" ca="1" si="461"/>
        <v>2</v>
      </c>
      <c r="O683" s="228" t="str">
        <f t="shared" ca="1" si="452"/>
        <v>Tela soldada para ligacao alvenaria/estrutura - para blocos de 9 a 14cm</v>
      </c>
      <c r="P683" s="232" t="str">
        <f>IF(S683="","",IF(Orçamento!$B683="INSUMO",S683,""))</f>
        <v/>
      </c>
      <c r="Q683" s="244" t="str">
        <f t="shared" si="453"/>
        <v>Tela soldada para ligacao alvenaria/estrutura - para blocos de 9 a 14cm</v>
      </c>
      <c r="R683" s="234">
        <f t="shared" ca="1" si="454"/>
        <v>68</v>
      </c>
      <c r="S683" s="233" t="s">
        <v>212</v>
      </c>
      <c r="T683" s="242" t="s">
        <v>142</v>
      </c>
      <c r="U683" s="235">
        <f>ROUNDUP((U665+U668+U671)*0.58,0)</f>
        <v>68</v>
      </c>
      <c r="V683" s="320" t="s">
        <v>35</v>
      </c>
      <c r="W683" s="236" t="str">
        <f>IFERROR(IF(B683="INSUMO",_xlfn.XLOOKUP(S683,Insumos!A:A,Insumos!C:C),""),"Inserir Preço")</f>
        <v/>
      </c>
      <c r="X683" s="235">
        <f t="shared" ca="1" si="455"/>
        <v>68</v>
      </c>
      <c r="Y683" s="236">
        <f t="shared" ca="1" si="463"/>
        <v>1.7000000000000002</v>
      </c>
      <c r="Z683" s="237">
        <f t="shared" ca="1" si="446"/>
        <v>115.60000000000001</v>
      </c>
      <c r="AA683" s="238"/>
      <c r="AB683" s="233" t="str">
        <f>IF(B683="insumo",_xlfn.XLOOKUP(S683,Insumos!A:A,Insumos!D:D),"")</f>
        <v/>
      </c>
      <c r="AC683" s="239">
        <f t="shared" ca="1" si="447"/>
        <v>1.6583873948842769E-5</v>
      </c>
      <c r="AE683" s="240">
        <f ca="1">IFERROR(IF(OR(Z683="",Z683=0),"",IF(AF683="","",IF(AF683="R$/mês",Z683/OBRA!$D$12,IF(AF683="R$/m²",Z683/OBRA!$D$10,IF(AF683="R$/apto",Orçamento!Z683/OBRA!$D$11,""))))),"")</f>
        <v>5.9488583440971993E-2</v>
      </c>
      <c r="AF683" s="241" t="s">
        <v>154</v>
      </c>
    </row>
    <row r="684" spans="1:32" s="10" customFormat="1" ht="13.15" hidden="1" customHeight="1" outlineLevel="4" x14ac:dyDescent="0.2">
      <c r="A684" s="227"/>
      <c r="B684" s="228" t="s">
        <v>19</v>
      </c>
      <c r="C684" s="229">
        <f t="shared" si="445"/>
        <v>6</v>
      </c>
      <c r="D684" s="227" t="str">
        <f t="shared" si="456"/>
        <v/>
      </c>
      <c r="E684" s="228" t="str">
        <f t="shared" ca="1" si="457"/>
        <v>05.001.002.002</v>
      </c>
      <c r="F684" s="230">
        <f ca="1">IF($B684="UNIDADE CONSTRUTIVA",OFFSET(F684,-1,0)+1,LARGE(F$10:F683,1))</f>
        <v>2</v>
      </c>
      <c r="G684" s="228" t="str">
        <f t="shared" ca="1" si="448"/>
        <v xml:space="preserve">   GERENCIAMENTO EXECUTIVO</v>
      </c>
      <c r="H684" s="230">
        <f t="shared" ca="1" si="458"/>
        <v>5</v>
      </c>
      <c r="I684" s="228" t="str">
        <f t="shared" ca="1" si="449"/>
        <v xml:space="preserve">   ALVENARIA | VEDAÇÕES | DIVISÓRIAS</v>
      </c>
      <c r="J684" s="230">
        <f t="shared" ca="1" si="459"/>
        <v>1</v>
      </c>
      <c r="K684" s="228" t="str">
        <f t="shared" ca="1" si="450"/>
        <v xml:space="preserve">   ALVENARIA | VEDAÇÕES | DIVISÓRIAS - 1º PAVIMENTO - SUBSOLO</v>
      </c>
      <c r="L684" s="231">
        <f t="shared" ca="1" si="460"/>
        <v>2</v>
      </c>
      <c r="M684" s="228" t="str">
        <f t="shared" ca="1" si="451"/>
        <v xml:space="preserve">   Serviços Complementares</v>
      </c>
      <c r="N684" s="231">
        <f t="shared" ca="1" si="461"/>
        <v>2</v>
      </c>
      <c r="O684" s="228" t="str">
        <f t="shared" ca="1" si="452"/>
        <v>Tela soldada para ligacao alvenaria/estrutura - para blocos de 9 a 14cm</v>
      </c>
      <c r="P684" s="232" t="str">
        <f>IF(S684="","",IF(Orçamento!$B684="INSUMO",S684,""))</f>
        <v>TELA AMARRAÇÃO MALHA 15 X 15MM - 7,5 X 50CM D= 1,24MM</v>
      </c>
      <c r="Q684" s="244" t="str">
        <f t="shared" si="453"/>
        <v/>
      </c>
      <c r="R684" s="234">
        <f t="shared" ca="1" si="454"/>
        <v>68</v>
      </c>
      <c r="S684" s="233" t="s">
        <v>213</v>
      </c>
      <c r="T684" s="242" t="str">
        <f>_xlfn.XLOOKUP(S684,Insumos!$A$3:$A$371,Insumos!$B$3:$B$371)</f>
        <v>UN</v>
      </c>
      <c r="U684" s="235">
        <f ca="1">IF($B684="insumo",R684,"")</f>
        <v>68</v>
      </c>
      <c r="V684" s="320">
        <v>1</v>
      </c>
      <c r="W684" s="236">
        <f>IFERROR(IF(B684="INSUMO",_xlfn.XLOOKUP(S684,Insumos!A:A,Insumos!C:C),""),"Inserir Preço")</f>
        <v>1.1000000000000001</v>
      </c>
      <c r="X684" s="235">
        <f t="shared" ca="1" si="455"/>
        <v>68</v>
      </c>
      <c r="Y684" s="236">
        <f t="shared" si="463"/>
        <v>1.1000000000000001</v>
      </c>
      <c r="Z684" s="237">
        <f t="shared" ca="1" si="446"/>
        <v>74.800000000000011</v>
      </c>
      <c r="AA684" s="238"/>
      <c r="AB684" s="233" t="str">
        <f>IF(B684="insumo",_xlfn.XLOOKUP(S684,Insumos!A:A,Insumos!D:D),"")</f>
        <v>Base de dados</v>
      </c>
      <c r="AC684" s="239">
        <f t="shared" ca="1" si="447"/>
        <v>1.0730741966898263E-5</v>
      </c>
      <c r="AE684" s="240">
        <f ca="1">IFERROR(IF(OR(Z684="",Z684=0),"",IF(AF684="","",IF(AF684="R$/mês",Z684/OBRA!$D$12,IF(AF684="R$/m²",Z684/OBRA!$D$10,IF(AF684="R$/apto",Orçamento!Z684/OBRA!$D$11,""))))),"")</f>
        <v>3.8492612814746585E-2</v>
      </c>
      <c r="AF684" s="241" t="s">
        <v>154</v>
      </c>
    </row>
    <row r="685" spans="1:32" s="10" customFormat="1" ht="13.15" hidden="1" customHeight="1" outlineLevel="4" x14ac:dyDescent="0.2">
      <c r="A685" s="227"/>
      <c r="B685" s="228" t="s">
        <v>19</v>
      </c>
      <c r="C685" s="229">
        <f t="shared" si="445"/>
        <v>6</v>
      </c>
      <c r="D685" s="227" t="str">
        <f t="shared" si="456"/>
        <v/>
      </c>
      <c r="E685" s="228" t="str">
        <f t="shared" ca="1" si="457"/>
        <v>05.001.002.002</v>
      </c>
      <c r="F685" s="230">
        <f ca="1">IF($B685="UNIDADE CONSTRUTIVA",OFFSET(F685,-1,0)+1,LARGE(F$10:F684,1))</f>
        <v>2</v>
      </c>
      <c r="G685" s="228" t="str">
        <f t="shared" ca="1" si="448"/>
        <v xml:space="preserve">   GERENCIAMENTO EXECUTIVO</v>
      </c>
      <c r="H685" s="230">
        <f t="shared" ca="1" si="458"/>
        <v>5</v>
      </c>
      <c r="I685" s="228" t="str">
        <f t="shared" ca="1" si="449"/>
        <v xml:space="preserve">   ALVENARIA | VEDAÇÕES | DIVISÓRIAS</v>
      </c>
      <c r="J685" s="230">
        <f t="shared" ca="1" si="459"/>
        <v>1</v>
      </c>
      <c r="K685" s="228" t="str">
        <f t="shared" ca="1" si="450"/>
        <v xml:space="preserve">   ALVENARIA | VEDAÇÕES | DIVISÓRIAS - 1º PAVIMENTO - SUBSOLO</v>
      </c>
      <c r="L685" s="231">
        <f t="shared" ca="1" si="460"/>
        <v>2</v>
      </c>
      <c r="M685" s="228" t="str">
        <f t="shared" ca="1" si="451"/>
        <v xml:space="preserve">   Serviços Complementares</v>
      </c>
      <c r="N685" s="231">
        <f t="shared" ca="1" si="461"/>
        <v>2</v>
      </c>
      <c r="O685" s="228" t="str">
        <f t="shared" ca="1" si="452"/>
        <v>Tela soldada para ligacao alvenaria/estrutura - para blocos de 9 a 14cm</v>
      </c>
      <c r="P685" s="232" t="str">
        <f>IF(S685="","",IF(Orçamento!$B685="INSUMO",S685,""))</f>
        <v>PINO LISO EM ACO GALVANIZADO 1/2 X 22MM COM ARRUELA</v>
      </c>
      <c r="Q685" s="244" t="str">
        <f t="shared" si="453"/>
        <v/>
      </c>
      <c r="R685" s="234">
        <f t="shared" ca="1" si="454"/>
        <v>68</v>
      </c>
      <c r="S685" s="233" t="s">
        <v>214</v>
      </c>
      <c r="T685" s="242" t="str">
        <f>_xlfn.XLOOKUP(S685,Insumos!$A$3:$A$371,Insumos!$B$3:$B$371)</f>
        <v>UN</v>
      </c>
      <c r="U685" s="235">
        <f ca="1">IF($B685="insumo",R685,"")</f>
        <v>68</v>
      </c>
      <c r="V685" s="320">
        <v>1</v>
      </c>
      <c r="W685" s="236">
        <f>IFERROR(IF(B685="INSUMO",_xlfn.XLOOKUP(S685,Insumos!A:A,Insumos!C:C),""),"Inserir Preço")</f>
        <v>0.3</v>
      </c>
      <c r="X685" s="235">
        <f t="shared" ca="1" si="455"/>
        <v>68</v>
      </c>
      <c r="Y685" s="236">
        <f t="shared" si="463"/>
        <v>0.3</v>
      </c>
      <c r="Z685" s="237">
        <f t="shared" ca="1" si="446"/>
        <v>20.399999999999999</v>
      </c>
      <c r="AA685" s="238"/>
      <c r="AB685" s="233" t="str">
        <f>IF(B685="insumo",_xlfn.XLOOKUP(S685,Insumos!A:A,Insumos!D:D),"")</f>
        <v xml:space="preserve"> </v>
      </c>
      <c r="AC685" s="239">
        <f t="shared" ca="1" si="447"/>
        <v>2.9265659909722529E-6</v>
      </c>
      <c r="AE685" s="240">
        <f ca="1">IFERROR(IF(OR(Z685="",Z685=0),"",IF(AF685="","",IF(AF685="R$/mês",Z685/OBRA!$D$12,IF(AF685="R$/m²",Z685/OBRA!$D$10,IF(AF685="R$/apto",Orçamento!Z685/OBRA!$D$11,""))))),"")</f>
        <v>1.0497985313112704E-2</v>
      </c>
      <c r="AF685" s="241" t="s">
        <v>154</v>
      </c>
    </row>
    <row r="686" spans="1:32" s="10" customFormat="1" ht="13.15" hidden="1" customHeight="1" outlineLevel="4" x14ac:dyDescent="0.2">
      <c r="A686" s="227"/>
      <c r="B686" s="228" t="s">
        <v>19</v>
      </c>
      <c r="C686" s="229">
        <f t="shared" si="445"/>
        <v>6</v>
      </c>
      <c r="D686" s="227" t="str">
        <f t="shared" si="456"/>
        <v/>
      </c>
      <c r="E686" s="228" t="str">
        <f t="shared" ca="1" si="457"/>
        <v>05.001.002.002</v>
      </c>
      <c r="F686" s="230">
        <f ca="1">IF($B686="UNIDADE CONSTRUTIVA",OFFSET(F686,-1,0)+1,LARGE(F$10:F685,1))</f>
        <v>2</v>
      </c>
      <c r="G686" s="228" t="str">
        <f t="shared" ca="1" si="448"/>
        <v xml:space="preserve">   GERENCIAMENTO EXECUTIVO</v>
      </c>
      <c r="H686" s="230">
        <f t="shared" ca="1" si="458"/>
        <v>5</v>
      </c>
      <c r="I686" s="228" t="str">
        <f t="shared" ca="1" si="449"/>
        <v xml:space="preserve">   ALVENARIA | VEDAÇÕES | DIVISÓRIAS</v>
      </c>
      <c r="J686" s="230">
        <f t="shared" ca="1" si="459"/>
        <v>1</v>
      </c>
      <c r="K686" s="228" t="str">
        <f t="shared" ca="1" si="450"/>
        <v xml:space="preserve">   ALVENARIA | VEDAÇÕES | DIVISÓRIAS - 1º PAVIMENTO - SUBSOLO</v>
      </c>
      <c r="L686" s="231">
        <f t="shared" ca="1" si="460"/>
        <v>2</v>
      </c>
      <c r="M686" s="228" t="str">
        <f t="shared" ca="1" si="451"/>
        <v xml:space="preserve">   Serviços Complementares</v>
      </c>
      <c r="N686" s="231">
        <f t="shared" ca="1" si="461"/>
        <v>2</v>
      </c>
      <c r="O686" s="228" t="str">
        <f t="shared" ca="1" si="452"/>
        <v>Tela soldada para ligacao alvenaria/estrutura - para blocos de 9 a 14cm</v>
      </c>
      <c r="P686" s="232" t="str">
        <f>IF(S686="","",IF(Orçamento!$B686="INSUMO",S686,""))</f>
        <v>CARTUCHO 22 - CARGA LEVE PARA FINCA PINO A POLVORA</v>
      </c>
      <c r="Q686" s="244" t="str">
        <f t="shared" si="453"/>
        <v/>
      </c>
      <c r="R686" s="234">
        <f t="shared" ca="1" si="454"/>
        <v>68</v>
      </c>
      <c r="S686" s="233" t="s">
        <v>215</v>
      </c>
      <c r="T686" s="242" t="str">
        <f>_xlfn.XLOOKUP(S686,Insumos!$A$3:$A$371,Insumos!$B$3:$B$371)</f>
        <v>UN</v>
      </c>
      <c r="U686" s="235">
        <f ca="1">IF($B686="insumo",R686,"")</f>
        <v>68</v>
      </c>
      <c r="V686" s="320">
        <v>1</v>
      </c>
      <c r="W686" s="236">
        <f>IFERROR(IF(B686="INSUMO",_xlfn.XLOOKUP(S686,Insumos!A:A,Insumos!C:C),""),"Inserir Preço")</f>
        <v>0.3</v>
      </c>
      <c r="X686" s="235">
        <f t="shared" ca="1" si="455"/>
        <v>68</v>
      </c>
      <c r="Y686" s="236">
        <f t="shared" si="463"/>
        <v>0.3</v>
      </c>
      <c r="Z686" s="237">
        <f t="shared" ca="1" si="446"/>
        <v>20.399999999999999</v>
      </c>
      <c r="AA686" s="238"/>
      <c r="AB686" s="233" t="str">
        <f>IF(B686="insumo",_xlfn.XLOOKUP(S686,Insumos!A:A,Insumos!D:D),"")</f>
        <v xml:space="preserve"> </v>
      </c>
      <c r="AC686" s="239">
        <f t="shared" ca="1" si="447"/>
        <v>2.9265659909722529E-6</v>
      </c>
      <c r="AE686" s="240">
        <f ca="1">IFERROR(IF(OR(Z686="",Z686=0),"",IF(AF686="","",IF(AF686="R$/mês",Z686/OBRA!$D$12,IF(AF686="R$/m²",Z686/OBRA!$D$10,IF(AF686="R$/apto",Orçamento!Z686/OBRA!$D$11,""))))),"")</f>
        <v>1.0497985313112704E-2</v>
      </c>
      <c r="AF686" s="241" t="s">
        <v>154</v>
      </c>
    </row>
    <row r="687" spans="1:32" s="10" customFormat="1" ht="13.15" hidden="1" customHeight="1" outlineLevel="4" x14ac:dyDescent="0.2">
      <c r="A687" s="227"/>
      <c r="B687" s="228" t="s">
        <v>4</v>
      </c>
      <c r="C687" s="229">
        <f t="shared" si="445"/>
        <v>5</v>
      </c>
      <c r="D687" s="227" t="str">
        <f t="shared" ca="1" si="456"/>
        <v>05.001.002.003</v>
      </c>
      <c r="E687" s="228" t="str">
        <f t="shared" ca="1" si="457"/>
        <v>05.001.002.003</v>
      </c>
      <c r="F687" s="230">
        <f ca="1">IF($B687="UNIDADE CONSTRUTIVA",OFFSET(F687,-1,0)+1,LARGE(F$10:F686,1))</f>
        <v>2</v>
      </c>
      <c r="G687" s="228" t="str">
        <f t="shared" ca="1" si="448"/>
        <v xml:space="preserve">   GERENCIAMENTO EXECUTIVO</v>
      </c>
      <c r="H687" s="230">
        <f t="shared" ca="1" si="458"/>
        <v>5</v>
      </c>
      <c r="I687" s="228" t="str">
        <f t="shared" ca="1" si="449"/>
        <v xml:space="preserve">   ALVENARIA | VEDAÇÕES | DIVISÓRIAS</v>
      </c>
      <c r="J687" s="230">
        <f t="shared" ca="1" si="459"/>
        <v>1</v>
      </c>
      <c r="K687" s="228" t="str">
        <f t="shared" ca="1" si="450"/>
        <v xml:space="preserve">   ALVENARIA | VEDAÇÕES | DIVISÓRIAS - 1º PAVIMENTO - SUBSOLO</v>
      </c>
      <c r="L687" s="231">
        <f t="shared" ca="1" si="460"/>
        <v>2</v>
      </c>
      <c r="M687" s="228" t="str">
        <f t="shared" ca="1" si="451"/>
        <v xml:space="preserve">   Serviços Complementares</v>
      </c>
      <c r="N687" s="231">
        <f t="shared" ca="1" si="461"/>
        <v>3</v>
      </c>
      <c r="O687" s="228" t="str">
        <f t="shared" ca="1" si="452"/>
        <v>Encunhamento de alvenaria de vedacao com argamassa expansiva</v>
      </c>
      <c r="P687" s="232" t="str">
        <f>IF(S687="","",IF(Orçamento!$B687="INSUMO",S687,""))</f>
        <v/>
      </c>
      <c r="Q687" s="244" t="str">
        <f t="shared" si="453"/>
        <v>Encunhamento de alvenaria de vedacao com argamassa expansiva</v>
      </c>
      <c r="R687" s="234">
        <f t="shared" ca="1" si="454"/>
        <v>51.22</v>
      </c>
      <c r="S687" s="233" t="s">
        <v>216</v>
      </c>
      <c r="T687" s="242" t="s">
        <v>158</v>
      </c>
      <c r="U687" s="235">
        <v>51.22</v>
      </c>
      <c r="V687" s="320" t="s">
        <v>35</v>
      </c>
      <c r="W687" s="236" t="str">
        <f>IFERROR(IF(B687="INSUMO",_xlfn.XLOOKUP(S687,Insumos!A:A,Insumos!C:C),""),"Inserir Preço")</f>
        <v/>
      </c>
      <c r="X687" s="235">
        <f t="shared" ca="1" si="455"/>
        <v>51.22</v>
      </c>
      <c r="Y687" s="236">
        <f t="shared" ca="1" si="463"/>
        <v>4.5200000000000005</v>
      </c>
      <c r="Z687" s="237">
        <f t="shared" ca="1" si="446"/>
        <v>231.51440000000002</v>
      </c>
      <c r="AA687" s="238"/>
      <c r="AB687" s="233" t="str">
        <f>IF(B687="insumo",_xlfn.XLOOKUP(S687,Insumos!A:A,Insumos!D:D),"")</f>
        <v/>
      </c>
      <c r="AC687" s="239">
        <f t="shared" ca="1" si="447"/>
        <v>3.3212851444134639E-5</v>
      </c>
      <c r="AE687" s="240">
        <f ca="1">IFERROR(IF(OR(Z687="",Z687=0),"",IF(AF687="","",IF(AF687="R$/mês",Z687/OBRA!$D$12,IF(AF687="R$/m²",Z687/OBRA!$D$10,IF(AF687="R$/apto",Orçamento!Z687/OBRA!$D$11,""))))),"")</f>
        <v>0.11913895936147549</v>
      </c>
      <c r="AF687" s="241" t="s">
        <v>154</v>
      </c>
    </row>
    <row r="688" spans="1:32" s="10" customFormat="1" ht="13.15" hidden="1" customHeight="1" outlineLevel="4" x14ac:dyDescent="0.2">
      <c r="A688" s="227"/>
      <c r="B688" s="228" t="s">
        <v>19</v>
      </c>
      <c r="C688" s="229">
        <f t="shared" si="445"/>
        <v>5</v>
      </c>
      <c r="D688" s="227" t="str">
        <f t="shared" si="456"/>
        <v/>
      </c>
      <c r="E688" s="228" t="str">
        <f t="shared" ca="1" si="457"/>
        <v>05.001.002.003</v>
      </c>
      <c r="F688" s="230">
        <f ca="1">IF($B688="UNIDADE CONSTRUTIVA",OFFSET(F688,-1,0)+1,LARGE(F$10:F687,1))</f>
        <v>2</v>
      </c>
      <c r="G688" s="228" t="str">
        <f t="shared" ca="1" si="448"/>
        <v xml:space="preserve">   GERENCIAMENTO EXECUTIVO</v>
      </c>
      <c r="H688" s="230">
        <f t="shared" ca="1" si="458"/>
        <v>5</v>
      </c>
      <c r="I688" s="228" t="str">
        <f t="shared" ca="1" si="449"/>
        <v xml:space="preserve">   ALVENARIA | VEDAÇÕES | DIVISÓRIAS</v>
      </c>
      <c r="J688" s="230">
        <f t="shared" ca="1" si="459"/>
        <v>1</v>
      </c>
      <c r="K688" s="228" t="str">
        <f t="shared" ca="1" si="450"/>
        <v xml:space="preserve">   ALVENARIA | VEDAÇÕES | DIVISÓRIAS - 1º PAVIMENTO - SUBSOLO</v>
      </c>
      <c r="L688" s="231">
        <f t="shared" ca="1" si="460"/>
        <v>2</v>
      </c>
      <c r="M688" s="228" t="str">
        <f t="shared" ca="1" si="451"/>
        <v xml:space="preserve">   Serviços Complementares</v>
      </c>
      <c r="N688" s="231">
        <f t="shared" ca="1" si="461"/>
        <v>3</v>
      </c>
      <c r="O688" s="228" t="str">
        <f t="shared" ca="1" si="452"/>
        <v>Encunhamento de alvenaria de vedacao com argamassa expansiva</v>
      </c>
      <c r="P688" s="232" t="str">
        <f>IF(S688="","",IF(Orçamento!$B688="INSUMO",S688,""))</f>
        <v>ARGAMASSA PARA ENCUNHAMENTO</v>
      </c>
      <c r="Q688" s="244" t="str">
        <f t="shared" si="453"/>
        <v/>
      </c>
      <c r="R688" s="234">
        <f t="shared" ca="1" si="454"/>
        <v>51.22</v>
      </c>
      <c r="S688" s="233" t="s">
        <v>217</v>
      </c>
      <c r="T688" s="242" t="str">
        <f>_xlfn.XLOOKUP(S688,Insumos!$A$3:$A$371,Insumos!$B$3:$B$371)</f>
        <v>KG</v>
      </c>
      <c r="U688" s="235">
        <f ca="1">IF($B688="insumo",R688,"")</f>
        <v>51.22</v>
      </c>
      <c r="V688" s="320">
        <v>2</v>
      </c>
      <c r="W688" s="236">
        <f>IFERROR(IF(B688="INSUMO",_xlfn.XLOOKUP(S688,Insumos!A:A,Insumos!C:C),""),"Inserir Preço")</f>
        <v>2.2600000000000002</v>
      </c>
      <c r="X688" s="235">
        <f t="shared" ca="1" si="455"/>
        <v>102.44</v>
      </c>
      <c r="Y688" s="236">
        <f t="shared" si="463"/>
        <v>4.5200000000000005</v>
      </c>
      <c r="Z688" s="237">
        <f t="shared" ca="1" si="446"/>
        <v>231.51440000000002</v>
      </c>
      <c r="AA688" s="238"/>
      <c r="AB688" s="233" t="str">
        <f>IF(B688="insumo",_xlfn.XLOOKUP(S688,Insumos!A:A,Insumos!D:D),"")</f>
        <v xml:space="preserve"> </v>
      </c>
      <c r="AC688" s="239">
        <f t="shared" ca="1" si="447"/>
        <v>3.3212851444134639E-5</v>
      </c>
      <c r="AE688" s="240">
        <f ca="1">IFERROR(IF(OR(Z688="",Z688=0),"",IF(AF688="","",IF(AF688="R$/mês",Z688/OBRA!$D$12,IF(AF688="R$/m²",Z688/OBRA!$D$10,IF(AF688="R$/apto",Orçamento!Z688/OBRA!$D$11,""))))),"")</f>
        <v>0.11913895936147549</v>
      </c>
      <c r="AF688" s="241" t="s">
        <v>154</v>
      </c>
    </row>
    <row r="689" spans="1:32" s="10" customFormat="1" ht="13.15" hidden="1" customHeight="1" outlineLevel="3" collapsed="1" x14ac:dyDescent="0.2">
      <c r="A689" s="227"/>
      <c r="B689" s="228" t="s">
        <v>3</v>
      </c>
      <c r="C689" s="229" t="str">
        <f t="shared" si="445"/>
        <v/>
      </c>
      <c r="D689" s="227" t="str">
        <f t="shared" ca="1" si="456"/>
        <v>05.001.003</v>
      </c>
      <c r="E689" s="228" t="str">
        <f t="shared" ca="1" si="457"/>
        <v>05.001.002.003</v>
      </c>
      <c r="F689" s="230">
        <f ca="1">IF($B689="UNIDADE CONSTRUTIVA",OFFSET(F689,-1,0)+1,LARGE(F$10:F688,1))</f>
        <v>2</v>
      </c>
      <c r="G689" s="228" t="str">
        <f t="shared" ca="1" si="448"/>
        <v xml:space="preserve">   GERENCIAMENTO EXECUTIVO</v>
      </c>
      <c r="H689" s="230">
        <f t="shared" ca="1" si="458"/>
        <v>5</v>
      </c>
      <c r="I689" s="228" t="str">
        <f t="shared" ca="1" si="449"/>
        <v xml:space="preserve">   ALVENARIA | VEDAÇÕES | DIVISÓRIAS</v>
      </c>
      <c r="J689" s="230">
        <f t="shared" ca="1" si="459"/>
        <v>1</v>
      </c>
      <c r="K689" s="228" t="str">
        <f t="shared" ca="1" si="450"/>
        <v xml:space="preserve">   ALVENARIA | VEDAÇÕES | DIVISÓRIAS - 1º PAVIMENTO - SUBSOLO</v>
      </c>
      <c r="L689" s="231">
        <f t="shared" ca="1" si="460"/>
        <v>3</v>
      </c>
      <c r="M689" s="228" t="str">
        <f t="shared" ca="1" si="451"/>
        <v xml:space="preserve">   Mão de Obra</v>
      </c>
      <c r="N689" s="231">
        <f t="shared" ca="1" si="461"/>
        <v>0</v>
      </c>
      <c r="O689" s="228" t="str">
        <f t="shared" ca="1" si="452"/>
        <v>Encunhamento de alvenaria de vedacao com argamassa expansiva</v>
      </c>
      <c r="P689" s="232" t="str">
        <f>IF(S689="","",IF(Orçamento!$B689="INSUMO",S689,""))</f>
        <v/>
      </c>
      <c r="Q689" s="244" t="str">
        <f t="shared" si="453"/>
        <v/>
      </c>
      <c r="R689" s="234">
        <f t="shared" ca="1" si="454"/>
        <v>51.22</v>
      </c>
      <c r="S689" s="233" t="s">
        <v>438</v>
      </c>
      <c r="T689" s="242" t="s">
        <v>35</v>
      </c>
      <c r="U689" s="235" t="str">
        <f>IF($B689="insumo",R689,"")</f>
        <v/>
      </c>
      <c r="V689" s="320" t="s">
        <v>35</v>
      </c>
      <c r="W689" s="236" t="str">
        <f>IFERROR(IF(B689="INSUMO",_xlfn.XLOOKUP(S689,Insumos!A:A,Insumos!C:C),""),"Inserir Preço")</f>
        <v/>
      </c>
      <c r="X689" s="235" t="str">
        <f t="shared" ca="1" si="455"/>
        <v/>
      </c>
      <c r="Y689" s="236" t="str">
        <f t="shared" si="463"/>
        <v/>
      </c>
      <c r="Z689" s="237">
        <f t="shared" ca="1" si="446"/>
        <v>6817.0701763001516</v>
      </c>
      <c r="AA689" s="238"/>
      <c r="AB689" s="233" t="str">
        <f>IF(B689="insumo",_xlfn.XLOOKUP(S689,Insumos!A:A,Insumos!D:D),"")</f>
        <v/>
      </c>
      <c r="AC689" s="239">
        <f t="shared" ca="1" si="447"/>
        <v>9.7797086941329623E-4</v>
      </c>
      <c r="AE689" s="240">
        <f ca="1">IFERROR(IF(OR(Z689="",Z689=0),"",IF(AF689="","",IF(AF689="R$/mês",Z689/OBRA!$D$12,IF(AF689="R$/m²",Z689/OBRA!$D$10,IF(AF689="R$/apto",Orçamento!Z689/OBRA!$D$11,""))))),"")</f>
        <v>3.5081128720224326</v>
      </c>
      <c r="AF689" s="241" t="s">
        <v>154</v>
      </c>
    </row>
    <row r="690" spans="1:32" s="10" customFormat="1" ht="13.15" hidden="1" customHeight="1" outlineLevel="4" x14ac:dyDescent="0.2">
      <c r="A690" s="227"/>
      <c r="B690" s="228" t="s">
        <v>4</v>
      </c>
      <c r="C690" s="229">
        <f t="shared" si="445"/>
        <v>5</v>
      </c>
      <c r="D690" s="227" t="str">
        <f t="shared" ca="1" si="456"/>
        <v>05.001.003.001</v>
      </c>
      <c r="E690" s="228" t="str">
        <f t="shared" ca="1" si="457"/>
        <v>05.001.003.001</v>
      </c>
      <c r="F690" s="230">
        <f ca="1">IF($B690="UNIDADE CONSTRUTIVA",OFFSET(F690,-1,0)+1,LARGE(F$10:F689,1))</f>
        <v>2</v>
      </c>
      <c r="G690" s="228" t="str">
        <f t="shared" ca="1" si="448"/>
        <v xml:space="preserve">   GERENCIAMENTO EXECUTIVO</v>
      </c>
      <c r="H690" s="230">
        <f t="shared" ca="1" si="458"/>
        <v>5</v>
      </c>
      <c r="I690" s="228" t="str">
        <f t="shared" ca="1" si="449"/>
        <v xml:space="preserve">   ALVENARIA | VEDAÇÕES | DIVISÓRIAS</v>
      </c>
      <c r="J690" s="230">
        <f t="shared" ca="1" si="459"/>
        <v>1</v>
      </c>
      <c r="K690" s="228" t="str">
        <f t="shared" ca="1" si="450"/>
        <v xml:space="preserve">   ALVENARIA | VEDAÇÕES | DIVISÓRIAS - 1º PAVIMENTO - SUBSOLO</v>
      </c>
      <c r="L690" s="231">
        <f t="shared" ca="1" si="460"/>
        <v>3</v>
      </c>
      <c r="M690" s="228" t="str">
        <f t="shared" ca="1" si="451"/>
        <v xml:space="preserve">   Mão de Obra</v>
      </c>
      <c r="N690" s="231">
        <f t="shared" ca="1" si="461"/>
        <v>1</v>
      </c>
      <c r="O690" s="228" t="str">
        <f t="shared" ca="1" si="452"/>
        <v>Mao de obra empreitada vedacoes internas e externas - assentamento blocos ceramicos</v>
      </c>
      <c r="P690" s="232" t="str">
        <f>IF(S690="","",IF(Orçamento!$B690="INSUMO",S690,""))</f>
        <v/>
      </c>
      <c r="Q690" s="244" t="str">
        <f t="shared" si="453"/>
        <v>Mao de obra empreitada vedacoes internas e externas - assentamento blocos ceramicos</v>
      </c>
      <c r="R690" s="234">
        <f t="shared" ca="1" si="454"/>
        <v>115.68</v>
      </c>
      <c r="S690" s="233" t="s">
        <v>218</v>
      </c>
      <c r="T690" s="242" t="s">
        <v>140</v>
      </c>
      <c r="U690" s="235">
        <f>U665+U668+U671</f>
        <v>115.68</v>
      </c>
      <c r="V690" s="320" t="s">
        <v>35</v>
      </c>
      <c r="W690" s="236" t="str">
        <f>IFERROR(IF(B690="INSUMO",_xlfn.XLOOKUP(S690,Insumos!A:A,Insumos!C:C),""),"Inserir Preço")</f>
        <v/>
      </c>
      <c r="X690" s="235">
        <f t="shared" ca="1" si="455"/>
        <v>115.68</v>
      </c>
      <c r="Y690" s="236">
        <f t="shared" ca="1" si="463"/>
        <v>58.930413003977797</v>
      </c>
      <c r="Z690" s="237">
        <f t="shared" ca="1" si="446"/>
        <v>6817.0701763001516</v>
      </c>
      <c r="AA690" s="238"/>
      <c r="AB690" s="233" t="str">
        <f>IF(B690="insumo",_xlfn.XLOOKUP(S690,Insumos!A:A,Insumos!D:D),"")</f>
        <v/>
      </c>
      <c r="AC690" s="239">
        <f t="shared" ca="1" si="447"/>
        <v>9.7797086941329623E-4</v>
      </c>
      <c r="AE690" s="240">
        <f ca="1">IFERROR(IF(OR(Z690="",Z690=0),"",IF(AF690="","",IF(AF690="R$/mês",Z690/OBRA!$D$12,IF(AF690="R$/m²",Z690/OBRA!$D$10,IF(AF690="R$/apto",Orçamento!Z690/OBRA!$D$11,""))))),"")</f>
        <v>3.5081128720224326</v>
      </c>
      <c r="AF690" s="241" t="s">
        <v>154</v>
      </c>
    </row>
    <row r="691" spans="1:32" s="10" customFormat="1" ht="13.15" hidden="1" customHeight="1" outlineLevel="4" x14ac:dyDescent="0.2">
      <c r="A691" s="227"/>
      <c r="B691" s="228" t="s">
        <v>19</v>
      </c>
      <c r="C691" s="229">
        <f t="shared" si="445"/>
        <v>5</v>
      </c>
      <c r="D691" s="227" t="str">
        <f t="shared" si="456"/>
        <v/>
      </c>
      <c r="E691" s="228" t="str">
        <f t="shared" ca="1" si="457"/>
        <v>05.001.003.001</v>
      </c>
      <c r="F691" s="230">
        <f ca="1">IF($B691="UNIDADE CONSTRUTIVA",OFFSET(F691,-1,0)+1,LARGE(F$10:F690,1))</f>
        <v>2</v>
      </c>
      <c r="G691" s="228" t="str">
        <f t="shared" ca="1" si="448"/>
        <v xml:space="preserve">   GERENCIAMENTO EXECUTIVO</v>
      </c>
      <c r="H691" s="230">
        <f t="shared" ca="1" si="458"/>
        <v>5</v>
      </c>
      <c r="I691" s="228" t="str">
        <f t="shared" ca="1" si="449"/>
        <v xml:space="preserve">   ALVENARIA | VEDAÇÕES | DIVISÓRIAS</v>
      </c>
      <c r="J691" s="230">
        <f t="shared" ca="1" si="459"/>
        <v>1</v>
      </c>
      <c r="K691" s="228" t="str">
        <f t="shared" ca="1" si="450"/>
        <v xml:space="preserve">   ALVENARIA | VEDAÇÕES | DIVISÓRIAS - 1º PAVIMENTO - SUBSOLO</v>
      </c>
      <c r="L691" s="231">
        <f t="shared" ca="1" si="460"/>
        <v>3</v>
      </c>
      <c r="M691" s="228" t="str">
        <f t="shared" ca="1" si="451"/>
        <v xml:space="preserve">   Mão de Obra</v>
      </c>
      <c r="N691" s="231">
        <f t="shared" ca="1" si="461"/>
        <v>1</v>
      </c>
      <c r="O691" s="228" t="str">
        <f t="shared" ca="1" si="452"/>
        <v>Mao de obra empreitada vedacoes internas e externas - assentamento blocos ceramicos</v>
      </c>
      <c r="P691" s="232" t="str">
        <f>IF(S691="","",IF(Orçamento!$B691="INSUMO",S691,""))</f>
        <v>MAO DE OBRA ASSENTAMENTO DE BLOCOS</v>
      </c>
      <c r="Q691" s="244" t="str">
        <f t="shared" si="453"/>
        <v/>
      </c>
      <c r="R691" s="234">
        <f t="shared" ca="1" si="454"/>
        <v>115.68</v>
      </c>
      <c r="S691" s="233" t="s">
        <v>693</v>
      </c>
      <c r="T691" s="242" t="str">
        <f>_xlfn.XLOOKUP(S691,Insumos!$A$3:$A$371,Insumos!$B$3:$B$371)</f>
        <v>M2</v>
      </c>
      <c r="U691" s="235">
        <f ca="1">IF($B691="insumo",R691,"")</f>
        <v>115.68</v>
      </c>
      <c r="V691" s="320">
        <v>1</v>
      </c>
      <c r="W691" s="236">
        <f>IFERROR(IF(B691="INSUMO",_xlfn.XLOOKUP(S691,Insumos!A:A,Insumos!C:C),""),"Inserir Preço")</f>
        <v>58.930413003977797</v>
      </c>
      <c r="X691" s="235">
        <f t="shared" ca="1" si="455"/>
        <v>115.68</v>
      </c>
      <c r="Y691" s="236">
        <f t="shared" si="463"/>
        <v>58.930413003977797</v>
      </c>
      <c r="Z691" s="237">
        <f t="shared" ca="1" si="446"/>
        <v>6817.0701763001516</v>
      </c>
      <c r="AA691" s="238"/>
      <c r="AB691" s="233" t="str">
        <f>IF(B691="insumo",_xlfn.XLOOKUP(S691,Insumos!A:A,Insumos!D:D),"")</f>
        <v>Aba Custo Serviços</v>
      </c>
      <c r="AC691" s="239">
        <f t="shared" ca="1" si="447"/>
        <v>9.7797086941329623E-4</v>
      </c>
      <c r="AE691" s="240">
        <f ca="1">IFERROR(IF(OR(Z691="",Z691=0),"",IF(AF691="","",IF(AF691="R$/mês",Z691/OBRA!$D$12,IF(AF691="R$/m²",Z691/OBRA!$D$10,IF(AF691="R$/apto",Orçamento!Z691/OBRA!$D$11,""))))),"")</f>
        <v>3.5081128720224326</v>
      </c>
      <c r="AF691" s="241" t="s">
        <v>154</v>
      </c>
    </row>
    <row r="692" spans="1:32" s="10" customFormat="1" ht="13.15" customHeight="1" outlineLevel="2" collapsed="1" x14ac:dyDescent="0.2">
      <c r="A692" s="227"/>
      <c r="B692" s="228" t="s">
        <v>2</v>
      </c>
      <c r="C692" s="229" t="str">
        <f t="shared" si="445"/>
        <v/>
      </c>
      <c r="D692" s="227" t="str">
        <f t="shared" ca="1" si="456"/>
        <v>05.002</v>
      </c>
      <c r="E692" s="228" t="str">
        <f t="shared" ca="1" si="457"/>
        <v>05.001.003.001</v>
      </c>
      <c r="F692" s="230">
        <f ca="1">IF($B692="UNIDADE CONSTRUTIVA",OFFSET(F692,-1,0)+1,LARGE(F$10:F691,1))</f>
        <v>2</v>
      </c>
      <c r="G692" s="228" t="str">
        <f t="shared" ca="1" si="448"/>
        <v xml:space="preserve">   GERENCIAMENTO EXECUTIVO</v>
      </c>
      <c r="H692" s="230">
        <f t="shared" ca="1" si="458"/>
        <v>5</v>
      </c>
      <c r="I692" s="228" t="str">
        <f t="shared" ca="1" si="449"/>
        <v xml:space="preserve">   ALVENARIA | VEDAÇÕES | DIVISÓRIAS</v>
      </c>
      <c r="J692" s="230">
        <f t="shared" ca="1" si="459"/>
        <v>2</v>
      </c>
      <c r="K692" s="228" t="str">
        <f t="shared" ca="1" si="450"/>
        <v xml:space="preserve">   ALVENARIA | VEDAÇÕES | DIVISÓRIAS - 2º PAVIMENTO - TÉRREO</v>
      </c>
      <c r="L692" s="231">
        <f t="shared" ca="1" si="460"/>
        <v>0</v>
      </c>
      <c r="M692" s="228" t="str">
        <f t="shared" ca="1" si="451"/>
        <v xml:space="preserve">   Mão de Obra</v>
      </c>
      <c r="N692" s="231">
        <f t="shared" ca="1" si="461"/>
        <v>1</v>
      </c>
      <c r="O692" s="228" t="str">
        <f t="shared" ca="1" si="452"/>
        <v>Mao de obra empreitada vedacoes internas e externas - assentamento blocos ceramicos</v>
      </c>
      <c r="P692" s="232" t="str">
        <f>IF(S692="","",IF(Orçamento!$B692="INSUMO",S692,""))</f>
        <v/>
      </c>
      <c r="Q692" s="244" t="str">
        <f t="shared" si="453"/>
        <v/>
      </c>
      <c r="R692" s="234">
        <f t="shared" ca="1" si="454"/>
        <v>115.68</v>
      </c>
      <c r="S692" s="233" t="s">
        <v>642</v>
      </c>
      <c r="T692" s="242" t="s">
        <v>35</v>
      </c>
      <c r="U692" s="235" t="str">
        <f>IF($B692="insumo",R692,"")</f>
        <v/>
      </c>
      <c r="V692" s="320" t="s">
        <v>35</v>
      </c>
      <c r="W692" s="236" t="str">
        <f>IFERROR(IF(B692="INSUMO",_xlfn.XLOOKUP(S692,Insumos!A:A,Insumos!C:C),""),"Inserir Preço")</f>
        <v/>
      </c>
      <c r="X692" s="235" t="str">
        <f t="shared" ca="1" si="455"/>
        <v/>
      </c>
      <c r="Y692" s="236" t="str">
        <f t="shared" si="463"/>
        <v/>
      </c>
      <c r="Z692" s="237">
        <f t="shared" ca="1" si="446"/>
        <v>44675.932963342791</v>
      </c>
      <c r="AA692" s="238"/>
      <c r="AB692" s="233" t="str">
        <f>IF(B692="insumo",_xlfn.XLOOKUP(S692,Insumos!A:A,Insumos!D:D),"")</f>
        <v/>
      </c>
      <c r="AC692" s="239">
        <f t="shared" ca="1" si="447"/>
        <v>6.4091699032095707E-3</v>
      </c>
      <c r="AE692" s="240">
        <f ca="1">IFERROR(IF(OR(Z692="",Z692=0),"",IF(AF692="","",IF(AF692="R$/mês",Z692/OBRA!$D$12,IF(AF692="R$/m²",Z692/OBRA!$D$10,IF(AF692="R$/apto",Orçamento!Z692/OBRA!$D$11,""))))),"")</f>
        <v>22.990553338175506</v>
      </c>
      <c r="AF692" s="241" t="s">
        <v>154</v>
      </c>
    </row>
    <row r="693" spans="1:32" s="10" customFormat="1" ht="13.15" hidden="1" customHeight="1" outlineLevel="3" collapsed="1" x14ac:dyDescent="0.2">
      <c r="A693" s="227"/>
      <c r="B693" s="228" t="s">
        <v>3</v>
      </c>
      <c r="C693" s="229" t="str">
        <f t="shared" si="445"/>
        <v/>
      </c>
      <c r="D693" s="227" t="str">
        <f t="shared" ca="1" si="456"/>
        <v>05.002.001</v>
      </c>
      <c r="E693" s="228" t="str">
        <f t="shared" ca="1" si="457"/>
        <v>05.001.003.001</v>
      </c>
      <c r="F693" s="230">
        <f ca="1">IF($B693="UNIDADE CONSTRUTIVA",OFFSET(F693,-1,0)+1,LARGE(F$10:F692,1))</f>
        <v>2</v>
      </c>
      <c r="G693" s="228" t="str">
        <f t="shared" ref="G693:G699" ca="1" si="464">IF(B693="*","",IF(B693="UNIDADE CONSTRUTIVA",S693,OFFSET(G693,-1,0)))</f>
        <v xml:space="preserve">   GERENCIAMENTO EXECUTIVO</v>
      </c>
      <c r="H693" s="230">
        <f t="shared" ca="1" si="458"/>
        <v>5</v>
      </c>
      <c r="I693" s="228" t="str">
        <f t="shared" ref="I693:I699" ca="1" si="465">IF(B693="*","",IF(B693="CÉLULA CONSTRUTIVA",S693,OFFSET(I693,-1,0)))</f>
        <v xml:space="preserve">   ALVENARIA | VEDAÇÕES | DIVISÓRIAS</v>
      </c>
      <c r="J693" s="230">
        <f t="shared" ca="1" si="459"/>
        <v>2</v>
      </c>
      <c r="K693" s="228" t="str">
        <f t="shared" ref="K693:K699" ca="1" si="466">IF(B693="*","",IF(B693="ETAPA",S693,OFFSET(K693,-1,0)))</f>
        <v xml:space="preserve">   ALVENARIA | VEDAÇÕES | DIVISÓRIAS - 2º PAVIMENTO - TÉRREO</v>
      </c>
      <c r="L693" s="231">
        <f t="shared" ca="1" si="460"/>
        <v>1</v>
      </c>
      <c r="M693" s="228" t="str">
        <f t="shared" ref="M693:M699" ca="1" si="467">IF(B693="*","",IF(B693="SUBETAPA",S693,OFFSET(M693,-1,0)))</f>
        <v xml:space="preserve">   Alvenaria de Vedação com Blocos Cerâmicos</v>
      </c>
      <c r="N693" s="231">
        <f t="shared" ca="1" si="461"/>
        <v>0</v>
      </c>
      <c r="O693" s="228" t="str">
        <f t="shared" ref="O693:O699" ca="1" si="468">IF(B693="*","",IF(B693="SERVIÇO",S693,OFFSET(O693,-1,0)))</f>
        <v>Mao de obra empreitada vedacoes internas e externas - assentamento blocos ceramicos</v>
      </c>
      <c r="P693" s="232" t="str">
        <f>IF(S693="","",IF(Orçamento!$B693="INSUMO",S693,""))</f>
        <v/>
      </c>
      <c r="Q693" s="244" t="str">
        <f t="shared" ref="Q693:Q699" si="469">IF(B693="","",IF(B693="Serviço",S693,""))</f>
        <v/>
      </c>
      <c r="R693" s="234">
        <f t="shared" ref="R693:R699" ca="1" si="470">IF(B693="serviço",U693,OFFSET(R693,-1,0))</f>
        <v>115.68</v>
      </c>
      <c r="S693" s="233" t="s">
        <v>439</v>
      </c>
      <c r="T693" s="242" t="s">
        <v>35</v>
      </c>
      <c r="U693" s="235" t="str">
        <f>IF($B693="insumo",R693,"")</f>
        <v/>
      </c>
      <c r="V693" s="320" t="s">
        <v>35</v>
      </c>
      <c r="W693" s="236" t="str">
        <f>IFERROR(IF(B693="INSUMO",_xlfn.XLOOKUP(S693,Insumos!A:A,Insumos!C:C),""),"Inserir Preço")</f>
        <v/>
      </c>
      <c r="X693" s="235" t="str">
        <f t="shared" ref="X693:X699" ca="1" si="471">IF(B693="Complemento do insumo",V693,IF(R693="","",IF(B693="serviço",R693,IF(OR(B693="insumo"),V693*R693,""))))</f>
        <v/>
      </c>
      <c r="Y693" s="236" t="str">
        <f t="shared" si="463"/>
        <v/>
      </c>
      <c r="Z693" s="237">
        <f t="shared" ca="1" si="446"/>
        <v>14838.494788800002</v>
      </c>
      <c r="AA693" s="238"/>
      <c r="AB693" s="233" t="str">
        <f>IF(B693="insumo",_xlfn.XLOOKUP(S693,Insumos!A:A,Insumos!D:D),"")</f>
        <v/>
      </c>
      <c r="AC693" s="239">
        <f t="shared" ca="1" si="447"/>
        <v>2.1287173630451517E-3</v>
      </c>
      <c r="AE693" s="240">
        <f ca="1">IFERROR(IF(OR(Z693="",Z693=0),"",IF(AF693="","",IF(AF693="R$/mês",Z693/OBRA!$D$12,IF(AF693="R$/m²",Z693/OBRA!$D$10,IF(AF693="R$/apto",Orçamento!Z693/OBRA!$D$11,""))))),"")</f>
        <v>7.6359951157608732</v>
      </c>
      <c r="AF693" s="241" t="s">
        <v>154</v>
      </c>
    </row>
    <row r="694" spans="1:32" s="10" customFormat="1" ht="13.15" hidden="1" customHeight="1" outlineLevel="4" x14ac:dyDescent="0.2">
      <c r="A694" s="227"/>
      <c r="B694" s="228" t="s">
        <v>4</v>
      </c>
      <c r="C694" s="229">
        <f t="shared" si="445"/>
        <v>4</v>
      </c>
      <c r="D694" s="227" t="str">
        <f t="shared" ca="1" si="456"/>
        <v>05.002.001.001</v>
      </c>
      <c r="E694" s="228" t="str">
        <f t="shared" ca="1" si="457"/>
        <v>05.002.001.001</v>
      </c>
      <c r="F694" s="230">
        <f ca="1">IF($B694="UNIDADE CONSTRUTIVA",OFFSET(F694,-1,0)+1,LARGE(F$10:F693,1))</f>
        <v>2</v>
      </c>
      <c r="G694" s="228" t="str">
        <f t="shared" ca="1" si="464"/>
        <v xml:space="preserve">   GERENCIAMENTO EXECUTIVO</v>
      </c>
      <c r="H694" s="230">
        <f t="shared" ca="1" si="458"/>
        <v>5</v>
      </c>
      <c r="I694" s="228" t="str">
        <f t="shared" ca="1" si="465"/>
        <v xml:space="preserve">   ALVENARIA | VEDAÇÕES | DIVISÓRIAS</v>
      </c>
      <c r="J694" s="230">
        <f t="shared" ca="1" si="459"/>
        <v>2</v>
      </c>
      <c r="K694" s="228" t="str">
        <f t="shared" ca="1" si="466"/>
        <v xml:space="preserve">   ALVENARIA | VEDAÇÕES | DIVISÓRIAS - 2º PAVIMENTO - TÉRREO</v>
      </c>
      <c r="L694" s="231">
        <f t="shared" ca="1" si="460"/>
        <v>1</v>
      </c>
      <c r="M694" s="228" t="str">
        <f t="shared" ca="1" si="467"/>
        <v xml:space="preserve">   Alvenaria de Vedação com Blocos Cerâmicos</v>
      </c>
      <c r="N694" s="231">
        <f t="shared" ca="1" si="461"/>
        <v>1</v>
      </c>
      <c r="O694" s="228" t="str">
        <f t="shared" ca="1" si="468"/>
        <v>Alvenaria de vedacao de blocos ceramicos furados na horizontal de  9 X 19 X 29 cm (espessura 9cm) com argamassa industrializada de assentamento</v>
      </c>
      <c r="P694" s="232" t="str">
        <f>IF(S694="","",IF(Orçamento!$B694="INSUMO",S694,""))</f>
        <v/>
      </c>
      <c r="Q694" s="244" t="str">
        <f t="shared" si="469"/>
        <v>Alvenaria de vedacao de blocos ceramicos furados na horizontal de  9 X 19 X 29 cm (espessura 9cm) com argamassa industrializada de assentamento</v>
      </c>
      <c r="R694" s="234">
        <f t="shared" ca="1" si="470"/>
        <v>2.29</v>
      </c>
      <c r="S694" s="233" t="s">
        <v>690</v>
      </c>
      <c r="T694" s="242" t="s">
        <v>140</v>
      </c>
      <c r="U694" s="235">
        <v>2.29</v>
      </c>
      <c r="V694" s="320" t="s">
        <v>35</v>
      </c>
      <c r="W694" s="236" t="str">
        <f>IFERROR(IF(B694="INSUMO",_xlfn.XLOOKUP(S694,Insumos!A:A,Insumos!C:C),""),"Inserir Preço")</f>
        <v/>
      </c>
      <c r="X694" s="235">
        <f t="shared" ca="1" si="471"/>
        <v>2.29</v>
      </c>
      <c r="Y694" s="236">
        <f t="shared" ca="1" si="463"/>
        <v>29.162700000000001</v>
      </c>
      <c r="Z694" s="237">
        <f t="shared" ca="1" si="446"/>
        <v>66.782583000000002</v>
      </c>
      <c r="AA694" s="238"/>
      <c r="AB694" s="233" t="str">
        <f>IF(B694="insumo",_xlfn.XLOOKUP(S694,Insumos!A:A,Insumos!D:D),"")</f>
        <v/>
      </c>
      <c r="AC694" s="239">
        <f t="shared" ca="1" si="447"/>
        <v>9.5805704018177331E-6</v>
      </c>
      <c r="AE694" s="240">
        <f ca="1">IFERROR(IF(OR(Z694="",Z694=0),"",IF(AF694="","",IF(AF694="R$/mês",Z694/OBRA!$D$12,IF(AF694="R$/m²",Z694/OBRA!$D$10,IF(AF694="R$/apto",Orçamento!Z694/OBRA!$D$11,""))))),"")</f>
        <v>3.436679291694756E-2</v>
      </c>
      <c r="AF694" s="241" t="s">
        <v>154</v>
      </c>
    </row>
    <row r="695" spans="1:32" s="10" customFormat="1" ht="13.15" hidden="1" customHeight="1" outlineLevel="4" x14ac:dyDescent="0.2">
      <c r="A695" s="227"/>
      <c r="B695" s="228" t="s">
        <v>19</v>
      </c>
      <c r="C695" s="229">
        <f t="shared" si="445"/>
        <v>19</v>
      </c>
      <c r="D695" s="227" t="str">
        <f t="shared" si="456"/>
        <v/>
      </c>
      <c r="E695" s="228" t="str">
        <f t="shared" ca="1" si="457"/>
        <v>05.002.001.001</v>
      </c>
      <c r="F695" s="230">
        <f ca="1">IF($B695="UNIDADE CONSTRUTIVA",OFFSET(F695,-1,0)+1,LARGE(F$10:F694,1))</f>
        <v>2</v>
      </c>
      <c r="G695" s="228" t="str">
        <f t="shared" ca="1" si="464"/>
        <v xml:space="preserve">   GERENCIAMENTO EXECUTIVO</v>
      </c>
      <c r="H695" s="230">
        <f t="shared" ca="1" si="458"/>
        <v>5</v>
      </c>
      <c r="I695" s="228" t="str">
        <f t="shared" ca="1" si="465"/>
        <v xml:space="preserve">   ALVENARIA | VEDAÇÕES | DIVISÓRIAS</v>
      </c>
      <c r="J695" s="230">
        <f t="shared" ca="1" si="459"/>
        <v>2</v>
      </c>
      <c r="K695" s="228" t="str">
        <f t="shared" ca="1" si="466"/>
        <v xml:space="preserve">   ALVENARIA | VEDAÇÕES | DIVISÓRIAS - 2º PAVIMENTO - TÉRREO</v>
      </c>
      <c r="L695" s="231">
        <f t="shared" ca="1" si="460"/>
        <v>1</v>
      </c>
      <c r="M695" s="228" t="str">
        <f t="shared" ca="1" si="467"/>
        <v xml:space="preserve">   Alvenaria de Vedação com Blocos Cerâmicos</v>
      </c>
      <c r="N695" s="231">
        <f t="shared" ca="1" si="461"/>
        <v>1</v>
      </c>
      <c r="O695" s="228" t="str">
        <f t="shared" ca="1" si="468"/>
        <v>Alvenaria de vedacao de blocos ceramicos furados na horizontal de  9 X 19 X 29 cm (espessura 9cm) com argamassa industrializada de assentamento</v>
      </c>
      <c r="P695" s="232" t="str">
        <f>IF(S695="","",IF(Orçamento!$B695="INSUMO",S695,""))</f>
        <v>ARGAMASSA ESTABILIZADA P/ ASSENTAMENTO</v>
      </c>
      <c r="Q695" s="244" t="str">
        <f t="shared" si="469"/>
        <v/>
      </c>
      <c r="R695" s="234">
        <f t="shared" ca="1" si="470"/>
        <v>2.29</v>
      </c>
      <c r="S695" s="233" t="s">
        <v>206</v>
      </c>
      <c r="T695" s="242" t="str">
        <f>_xlfn.XLOOKUP(S695,Insumos!$A$3:$A$371,Insumos!$B$3:$B$371)</f>
        <v>M3</v>
      </c>
      <c r="U695" s="235">
        <f ca="1">IF($B695="insumo",R695,"")</f>
        <v>2.29</v>
      </c>
      <c r="V695" s="320">
        <v>1.8683999999999999E-2</v>
      </c>
      <c r="W695" s="236">
        <f>IFERROR(IF(B695="INSUMO",_xlfn.XLOOKUP(S695,Insumos!A:A,Insumos!C:C),""),"Inserir Preço")</f>
        <v>425</v>
      </c>
      <c r="X695" s="235">
        <f t="shared" ca="1" si="471"/>
        <v>4.2786359999999996E-2</v>
      </c>
      <c r="Y695" s="236">
        <f t="shared" si="463"/>
        <v>7.9406999999999996</v>
      </c>
      <c r="Z695" s="237">
        <f t="shared" ca="1" si="446"/>
        <v>18.184202999999997</v>
      </c>
      <c r="AA695" s="238"/>
      <c r="AB695" s="233" t="str">
        <f>IF(B695="insumo",_xlfn.XLOOKUP(S695,Insumos!A:A,Insumos!D:D),"")</f>
        <v xml:space="preserve"> </v>
      </c>
      <c r="AC695" s="239">
        <f t="shared" ca="1" si="447"/>
        <v>2.6086897094478237E-6</v>
      </c>
      <c r="AE695" s="240">
        <f ca="1">IFERROR(IF(OR(Z695="",Z695=0),"",IF(AF695="","",IF(AF695="R$/mês",Z695/OBRA!$D$12,IF(AF695="R$/m²",Z695/OBRA!$D$10,IF(AF695="R$/apto",Orçamento!Z695/OBRA!$D$11,""))))),"")</f>
        <v>9.3577203933656837E-3</v>
      </c>
      <c r="AF695" s="241" t="s">
        <v>154</v>
      </c>
    </row>
    <row r="696" spans="1:32" s="10" customFormat="1" ht="13.15" hidden="1" customHeight="1" outlineLevel="4" x14ac:dyDescent="0.2">
      <c r="A696" s="227"/>
      <c r="B696" s="228" t="s">
        <v>19</v>
      </c>
      <c r="C696" s="229">
        <f t="shared" si="445"/>
        <v>4</v>
      </c>
      <c r="D696" s="227" t="str">
        <f t="shared" si="456"/>
        <v/>
      </c>
      <c r="E696" s="228" t="str">
        <f t="shared" ca="1" si="457"/>
        <v>05.002.001.001</v>
      </c>
      <c r="F696" s="230">
        <f ca="1">IF($B696="UNIDADE CONSTRUTIVA",OFFSET(F696,-1,0)+1,LARGE(F$10:F695,1))</f>
        <v>2</v>
      </c>
      <c r="G696" s="228" t="str">
        <f t="shared" ca="1" si="464"/>
        <v xml:space="preserve">   GERENCIAMENTO EXECUTIVO</v>
      </c>
      <c r="H696" s="230">
        <f t="shared" ca="1" si="458"/>
        <v>5</v>
      </c>
      <c r="I696" s="228" t="str">
        <f t="shared" ca="1" si="465"/>
        <v xml:space="preserve">   ALVENARIA | VEDAÇÕES | DIVISÓRIAS</v>
      </c>
      <c r="J696" s="230">
        <f t="shared" ca="1" si="459"/>
        <v>2</v>
      </c>
      <c r="K696" s="228" t="str">
        <f t="shared" ca="1" si="466"/>
        <v xml:space="preserve">   ALVENARIA | VEDAÇÕES | DIVISÓRIAS - 2º PAVIMENTO - TÉRREO</v>
      </c>
      <c r="L696" s="231">
        <f t="shared" ca="1" si="460"/>
        <v>1</v>
      </c>
      <c r="M696" s="228" t="str">
        <f t="shared" ca="1" si="467"/>
        <v xml:space="preserve">   Alvenaria de Vedação com Blocos Cerâmicos</v>
      </c>
      <c r="N696" s="231">
        <f t="shared" ca="1" si="461"/>
        <v>1</v>
      </c>
      <c r="O696" s="228" t="str">
        <f t="shared" ca="1" si="468"/>
        <v>Alvenaria de vedacao de blocos ceramicos furados na horizontal de  9 X 19 X 29 cm (espessura 9cm) com argamassa industrializada de assentamento</v>
      </c>
      <c r="P696" s="232" t="str">
        <f>IF(S696="","",IF(Orçamento!$B696="INSUMO",S696,""))</f>
        <v>BLOCO CERAMICO VEDACAO 9 X 19 X 29 CM - FUROS NA HORIZONTAL</v>
      </c>
      <c r="Q696" s="244" t="str">
        <f t="shared" si="469"/>
        <v/>
      </c>
      <c r="R696" s="234">
        <f t="shared" ca="1" si="470"/>
        <v>2.29</v>
      </c>
      <c r="S696" s="233" t="s">
        <v>389</v>
      </c>
      <c r="T696" s="242" t="str">
        <f>_xlfn.XLOOKUP(S696,Insumos!$A$3:$A$371,Insumos!$B$3:$B$371)</f>
        <v>UN</v>
      </c>
      <c r="U696" s="235">
        <f ca="1">IF($B696="insumo",R696,"")</f>
        <v>2.29</v>
      </c>
      <c r="V696" s="320">
        <v>18</v>
      </c>
      <c r="W696" s="236">
        <f>IFERROR(IF(B696="INSUMO",_xlfn.XLOOKUP(S696,Insumos!A:A,Insumos!C:C),""),"Inserir Preço")</f>
        <v>1.179</v>
      </c>
      <c r="X696" s="235">
        <f t="shared" ca="1" si="471"/>
        <v>41.22</v>
      </c>
      <c r="Y696" s="236">
        <f t="shared" si="463"/>
        <v>21.222000000000001</v>
      </c>
      <c r="Z696" s="237">
        <f t="shared" ca="1" si="446"/>
        <v>48.598379999999999</v>
      </c>
      <c r="AA696" s="238"/>
      <c r="AB696" s="233" t="str">
        <f>IF(B696="insumo",_xlfn.XLOOKUP(S696,Insumos!A:A,Insumos!D:D),"")</f>
        <v xml:space="preserve"> </v>
      </c>
      <c r="AC696" s="239">
        <f t="shared" ca="1" si="447"/>
        <v>6.9718806923699077E-6</v>
      </c>
      <c r="AE696" s="240">
        <f ca="1">IFERROR(IF(OR(Z696="",Z696=0),"",IF(AF696="","",IF(AF696="R$/mês",Z696/OBRA!$D$12,IF(AF696="R$/m²",Z696/OBRA!$D$10,IF(AF696="R$/apto",Orçamento!Z696/OBRA!$D$11,""))))),"")</f>
        <v>2.5009072523581869E-2</v>
      </c>
      <c r="AF696" s="241" t="s">
        <v>154</v>
      </c>
    </row>
    <row r="697" spans="1:32" s="10" customFormat="1" ht="13.15" hidden="1" customHeight="1" outlineLevel="4" x14ac:dyDescent="0.2">
      <c r="A697" s="227"/>
      <c r="B697" s="228" t="s">
        <v>4</v>
      </c>
      <c r="C697" s="229">
        <f t="shared" si="445"/>
        <v>4</v>
      </c>
      <c r="D697" s="227" t="str">
        <f ca="1">IF(B697="Unidade Construtiva",TEXT(F697,"00"),IF(B697="Célula Construtiva",TEXT(H697,"00"),IF(B697="Etapa",CONCATENATE(TEXT(H697,"00"),".",TEXT(J697,"000")),IF(B697="Subetapa",CONCATENATE(TEXT(H697,"00"),".",TEXT(J697,"000"),".",TEXT(L697,"000")),IF(B697="Serviço",CONCATENATE(TEXT(H697,"00"),".",TEXT(J697,"000"),".",TEXT(L697,"000"),".",TEXT(N697,"000")),"")))))</f>
        <v>05.002.001.002</v>
      </c>
      <c r="E697" s="228" t="str">
        <f ca="1">IF(B697="*","",IFERROR(IF(B697="SERVIÇO",D697,OFFSET(E697,-1,0)),""))</f>
        <v>05.002.001.002</v>
      </c>
      <c r="F697" s="230">
        <f ca="1">IF($B697="UNIDADE CONSTRUTIVA",OFFSET(F697,-1,0)+1,LARGE(F$10:F696,1))</f>
        <v>2</v>
      </c>
      <c r="G697" s="228" t="str">
        <f t="shared" ca="1" si="464"/>
        <v xml:space="preserve">   GERENCIAMENTO EXECUTIVO</v>
      </c>
      <c r="H697" s="230">
        <f ca="1">IF(B697="UNIDADE CONSTRUTIVA",0,IF(B697="CÉLULA CONSTRUTIVA",OFFSET(H697,-1,0)+1,OFFSET(H697,-1,0)))</f>
        <v>5</v>
      </c>
      <c r="I697" s="228" t="str">
        <f t="shared" ca="1" si="465"/>
        <v xml:space="preserve">   ALVENARIA | VEDAÇÕES | DIVISÓRIAS</v>
      </c>
      <c r="J697" s="230">
        <f ca="1">IF(B697="CÉLULA CONSTRUTIVA",0,IF(B697="ETAPA",OFFSET(J697,-1,0)+1,OFFSET(J697,-1,0)))</f>
        <v>2</v>
      </c>
      <c r="K697" s="228" t="str">
        <f t="shared" ca="1" si="466"/>
        <v xml:space="preserve">   ALVENARIA | VEDAÇÕES | DIVISÓRIAS - 2º PAVIMENTO - TÉRREO</v>
      </c>
      <c r="L697" s="231">
        <f ca="1">IF(B697="ETAPA",0,IF(B697="SUBETAPA",OFFSET(L697,-1,0)+1,OFFSET(L697,-1,0)))</f>
        <v>1</v>
      </c>
      <c r="M697" s="228" t="str">
        <f t="shared" ca="1" si="467"/>
        <v xml:space="preserve">   Alvenaria de Vedação com Blocos Cerâmicos</v>
      </c>
      <c r="N697" s="231">
        <f ca="1">IF(B697="Subetapa",0,IF(B697="serviço",OFFSET(N697,-1,0)+1,OFFSET(N697,-1,0)))</f>
        <v>2</v>
      </c>
      <c r="O697" s="228" t="str">
        <f t="shared" ca="1" si="468"/>
        <v>Alvenaria de vedacao de blocos ceramicos furados na horizontal de 11.5x19x29cm (espessura 11.5cm) com argamassa industrializada de assentamento</v>
      </c>
      <c r="P697" s="232" t="str">
        <f>IF(S697="","",IF(Orçamento!$B697="INSUMO",S697,""))</f>
        <v/>
      </c>
      <c r="Q697" s="244" t="str">
        <f t="shared" si="469"/>
        <v>Alvenaria de vedacao de blocos ceramicos furados na horizontal de 11.5x19x29cm (espessura 11.5cm) com argamassa industrializada de assentamento</v>
      </c>
      <c r="R697" s="234">
        <f t="shared" ca="1" si="470"/>
        <v>28.684000000000001</v>
      </c>
      <c r="S697" s="233" t="s">
        <v>205</v>
      </c>
      <c r="T697" s="242" t="s">
        <v>140</v>
      </c>
      <c r="U697" s="235">
        <v>28.684000000000001</v>
      </c>
      <c r="V697" s="320" t="s">
        <v>35</v>
      </c>
      <c r="W697" s="236" t="str">
        <f>IFERROR(IF(B697="INSUMO",_xlfn.XLOOKUP(S697,Insumos!A:A,Insumos!C:C),""),"Inserir Preço")</f>
        <v/>
      </c>
      <c r="X697" s="235">
        <f t="shared" ca="1" si="471"/>
        <v>28.684000000000001</v>
      </c>
      <c r="Y697" s="236">
        <f t="shared" ca="1" si="463"/>
        <v>48.809699999999999</v>
      </c>
      <c r="Z697" s="237">
        <f t="shared" ca="1" si="446"/>
        <v>1400.0574348</v>
      </c>
      <c r="AA697" s="238"/>
      <c r="AB697" s="233" t="str">
        <f>IF(B697="insumo",_xlfn.XLOOKUP(S697,Insumos!A:A,Insumos!D:D),"")</f>
        <v/>
      </c>
      <c r="AC697" s="239">
        <f t="shared" ca="1" si="447"/>
        <v>2.0085100363203591E-4</v>
      </c>
      <c r="AE697" s="240">
        <f ca="1">IFERROR(IF(OR(Z697="",Z697=0),"",IF(AF697="","",IF(AF697="R$/mês",Z697/OBRA!$D$12,IF(AF697="R$/m²",Z697/OBRA!$D$10,IF(AF697="R$/apto",Orçamento!Z697/OBRA!$D$11,""))))),"")</f>
        <v>0.72047952882571797</v>
      </c>
      <c r="AF697" s="241" t="s">
        <v>154</v>
      </c>
    </row>
    <row r="698" spans="1:32" s="10" customFormat="1" ht="13.15" hidden="1" customHeight="1" outlineLevel="4" x14ac:dyDescent="0.2">
      <c r="A698" s="227"/>
      <c r="B698" s="228" t="s">
        <v>19</v>
      </c>
      <c r="C698" s="229">
        <f t="shared" si="445"/>
        <v>19</v>
      </c>
      <c r="D698" s="227" t="str">
        <f>IF(B698="Unidade Construtiva",TEXT(F698,"00"),IF(B698="Célula Construtiva",TEXT(H698,"00"),IF(B698="Etapa",CONCATENATE(TEXT(H698,"00"),".",TEXT(J698,"000")),IF(B698="Subetapa",CONCATENATE(TEXT(H698,"00"),".",TEXT(J698,"000"),".",TEXT(L698,"000")),IF(B698="Serviço",CONCATENATE(TEXT(H698,"00"),".",TEXT(J698,"000"),".",TEXT(L698,"000"),".",TEXT(N698,"000")),"")))))</f>
        <v/>
      </c>
      <c r="E698" s="228" t="str">
        <f ca="1">IF(B698="*","",IFERROR(IF(B698="SERVIÇO",D698,OFFSET(E698,-1,0)),""))</f>
        <v>05.002.001.002</v>
      </c>
      <c r="F698" s="230">
        <f ca="1">IF($B698="UNIDADE CONSTRUTIVA",OFFSET(F698,-1,0)+1,LARGE(F$10:F697,1))</f>
        <v>2</v>
      </c>
      <c r="G698" s="228" t="str">
        <f t="shared" ca="1" si="464"/>
        <v xml:space="preserve">   GERENCIAMENTO EXECUTIVO</v>
      </c>
      <c r="H698" s="230">
        <f ca="1">IF(B698="UNIDADE CONSTRUTIVA",0,IF(B698="CÉLULA CONSTRUTIVA",OFFSET(H698,-1,0)+1,OFFSET(H698,-1,0)))</f>
        <v>5</v>
      </c>
      <c r="I698" s="228" t="str">
        <f t="shared" ca="1" si="465"/>
        <v xml:space="preserve">   ALVENARIA | VEDAÇÕES | DIVISÓRIAS</v>
      </c>
      <c r="J698" s="230">
        <f ca="1">IF(B698="CÉLULA CONSTRUTIVA",0,IF(B698="ETAPA",OFFSET(J698,-1,0)+1,OFFSET(J698,-1,0)))</f>
        <v>2</v>
      </c>
      <c r="K698" s="228" t="str">
        <f t="shared" ca="1" si="466"/>
        <v xml:space="preserve">   ALVENARIA | VEDAÇÕES | DIVISÓRIAS - 2º PAVIMENTO - TÉRREO</v>
      </c>
      <c r="L698" s="231">
        <f ca="1">IF(B698="ETAPA",0,IF(B698="SUBETAPA",OFFSET(L698,-1,0)+1,OFFSET(L698,-1,0)))</f>
        <v>1</v>
      </c>
      <c r="M698" s="228" t="str">
        <f t="shared" ca="1" si="467"/>
        <v xml:space="preserve">   Alvenaria de Vedação com Blocos Cerâmicos</v>
      </c>
      <c r="N698" s="231">
        <f ca="1">IF(B698="Subetapa",0,IF(B698="serviço",OFFSET(N698,-1,0)+1,OFFSET(N698,-1,0)))</f>
        <v>2</v>
      </c>
      <c r="O698" s="228" t="str">
        <f t="shared" ca="1" si="468"/>
        <v>Alvenaria de vedacao de blocos ceramicos furados na horizontal de 11.5x19x29cm (espessura 11.5cm) com argamassa industrializada de assentamento</v>
      </c>
      <c r="P698" s="232" t="str">
        <f>IF(S698="","",IF(Orçamento!$B698="INSUMO",S698,""))</f>
        <v>ARGAMASSA ESTABILIZADA P/ ASSENTAMENTO</v>
      </c>
      <c r="Q698" s="244" t="str">
        <f t="shared" si="469"/>
        <v/>
      </c>
      <c r="R698" s="234">
        <f t="shared" ca="1" si="470"/>
        <v>28.684000000000001</v>
      </c>
      <c r="S698" s="233" t="s">
        <v>206</v>
      </c>
      <c r="T698" s="242" t="str">
        <f>_xlfn.XLOOKUP(S698,Insumos!$A$3:$A$371,Insumos!$B$3:$B$371)</f>
        <v>M3</v>
      </c>
      <c r="U698" s="235">
        <f ca="1">IF($B698="insumo",R698,"")</f>
        <v>28.684000000000001</v>
      </c>
      <c r="V698" s="320">
        <v>1.8683999999999999E-2</v>
      </c>
      <c r="W698" s="236">
        <f>IFERROR(IF(B698="INSUMO",_xlfn.XLOOKUP(S698,Insumos!A:A,Insumos!C:C),""),"Inserir Preço")</f>
        <v>425</v>
      </c>
      <c r="X698" s="235">
        <f t="shared" ca="1" si="471"/>
        <v>0.53593185600000004</v>
      </c>
      <c r="Y698" s="236">
        <f t="shared" si="463"/>
        <v>7.9406999999999996</v>
      </c>
      <c r="Z698" s="237">
        <f t="shared" ca="1" si="446"/>
        <v>227.77103880000001</v>
      </c>
      <c r="AA698" s="238"/>
      <c r="AB698" s="233" t="str">
        <f>IF(B698="insumo",_xlfn.XLOOKUP(S698,Insumos!A:A,Insumos!D:D),"")</f>
        <v xml:space="preserve"> </v>
      </c>
      <c r="AC698" s="239">
        <f t="shared" ca="1" si="447"/>
        <v>3.2675832151004979E-5</v>
      </c>
      <c r="AE698" s="240">
        <f ca="1">IFERROR(IF(OR(Z698="",Z698=0),"",IF(AF698="","",IF(AF698="R$/mês",Z698/OBRA!$D$12,IF(AF698="R$/m²",Z698/OBRA!$D$10,IF(AF698="R$/apto",Orçamento!Z698/OBRA!$D$11,""))))),"")</f>
        <v>0.11721259902327569</v>
      </c>
      <c r="AF698" s="241" t="s">
        <v>154</v>
      </c>
    </row>
    <row r="699" spans="1:32" s="10" customFormat="1" ht="13.15" hidden="1" customHeight="1" outlineLevel="4" x14ac:dyDescent="0.2">
      <c r="A699" s="227"/>
      <c r="B699" s="228" t="s">
        <v>19</v>
      </c>
      <c r="C699" s="229">
        <f t="shared" si="445"/>
        <v>4</v>
      </c>
      <c r="D699" s="227" t="str">
        <f>IF(B699="Unidade Construtiva",TEXT(F699,"00"),IF(B699="Célula Construtiva",TEXT(H699,"00"),IF(B699="Etapa",CONCATENATE(TEXT(H699,"00"),".",TEXT(J699,"000")),IF(B699="Subetapa",CONCATENATE(TEXT(H699,"00"),".",TEXT(J699,"000"),".",TEXT(L699,"000")),IF(B699="Serviço",CONCATENATE(TEXT(H699,"00"),".",TEXT(J699,"000"),".",TEXT(L699,"000"),".",TEXT(N699,"000")),"")))))</f>
        <v/>
      </c>
      <c r="E699" s="228" t="str">
        <f ca="1">IF(B699="*","",IFERROR(IF(B699="SERVIÇO",D699,OFFSET(E699,-1,0)),""))</f>
        <v>05.002.001.002</v>
      </c>
      <c r="F699" s="230">
        <f ca="1">IF($B699="UNIDADE CONSTRUTIVA",OFFSET(F699,-1,0)+1,LARGE(F$10:F698,1))</f>
        <v>2</v>
      </c>
      <c r="G699" s="228" t="str">
        <f t="shared" ca="1" si="464"/>
        <v xml:space="preserve">   GERENCIAMENTO EXECUTIVO</v>
      </c>
      <c r="H699" s="230">
        <f ca="1">IF(B699="UNIDADE CONSTRUTIVA",0,IF(B699="CÉLULA CONSTRUTIVA",OFFSET(H699,-1,0)+1,OFFSET(H699,-1,0)))</f>
        <v>5</v>
      </c>
      <c r="I699" s="228" t="str">
        <f t="shared" ca="1" si="465"/>
        <v xml:space="preserve">   ALVENARIA | VEDAÇÕES | DIVISÓRIAS</v>
      </c>
      <c r="J699" s="230">
        <f ca="1">IF(B699="CÉLULA CONSTRUTIVA",0,IF(B699="ETAPA",OFFSET(J699,-1,0)+1,OFFSET(J699,-1,0)))</f>
        <v>2</v>
      </c>
      <c r="K699" s="228" t="str">
        <f t="shared" ca="1" si="466"/>
        <v xml:space="preserve">   ALVENARIA | VEDAÇÕES | DIVISÓRIAS - 2º PAVIMENTO - TÉRREO</v>
      </c>
      <c r="L699" s="231">
        <f ca="1">IF(B699="ETAPA",0,IF(B699="SUBETAPA",OFFSET(L699,-1,0)+1,OFFSET(L699,-1,0)))</f>
        <v>1</v>
      </c>
      <c r="M699" s="228" t="str">
        <f t="shared" ca="1" si="467"/>
        <v xml:space="preserve">   Alvenaria de Vedação com Blocos Cerâmicos</v>
      </c>
      <c r="N699" s="231">
        <f ca="1">IF(B699="Subetapa",0,IF(B699="serviço",OFFSET(N699,-1,0)+1,OFFSET(N699,-1,0)))</f>
        <v>2</v>
      </c>
      <c r="O699" s="228" t="str">
        <f t="shared" ca="1" si="468"/>
        <v>Alvenaria de vedacao de blocos ceramicos furados na horizontal de 11.5x19x29cm (espessura 11.5cm) com argamassa industrializada de assentamento</v>
      </c>
      <c r="P699" s="232" t="str">
        <f>IF(S699="","",IF(Orçamento!$B699="INSUMO",S699,""))</f>
        <v>BLOCO CERAMICO VEDACAO 11,5 X 19 X 29 CM - FUROS NA HORIZONTAL</v>
      </c>
      <c r="Q699" s="244" t="str">
        <f t="shared" si="469"/>
        <v/>
      </c>
      <c r="R699" s="234">
        <f t="shared" ca="1" si="470"/>
        <v>28.684000000000001</v>
      </c>
      <c r="S699" s="233" t="s">
        <v>207</v>
      </c>
      <c r="T699" s="242" t="str">
        <f>_xlfn.XLOOKUP(S699,Insumos!$A$3:$A$371,Insumos!$B$3:$B$371)</f>
        <v>UN</v>
      </c>
      <c r="U699" s="235">
        <f ca="1">IF($B699="insumo",R699,"")</f>
        <v>28.684000000000001</v>
      </c>
      <c r="V699" s="320">
        <v>18</v>
      </c>
      <c r="W699" s="236">
        <f>IFERROR(IF(B699="INSUMO",_xlfn.XLOOKUP(S699,Insumos!A:A,Insumos!C:C),""),"Inserir Preço")</f>
        <v>2.2705000000000002</v>
      </c>
      <c r="X699" s="235">
        <f t="shared" ca="1" si="471"/>
        <v>516.31200000000001</v>
      </c>
      <c r="Y699" s="236">
        <f t="shared" si="463"/>
        <v>40.869</v>
      </c>
      <c r="Z699" s="237">
        <f t="shared" ca="1" si="446"/>
        <v>1172.2863960000002</v>
      </c>
      <c r="AA699" s="238"/>
      <c r="AB699" s="233" t="str">
        <f>IF(B699="insumo",_xlfn.XLOOKUP(S699,Insumos!A:A,Insumos!D:D),"")</f>
        <v>Tupi Gurani Cerâmica</v>
      </c>
      <c r="AC699" s="239">
        <f t="shared" ca="1" si="447"/>
        <v>1.6817517148103096E-4</v>
      </c>
      <c r="AE699" s="240">
        <f ca="1">IFERROR(IF(OR(Z699="",Z699=0),"",IF(AF699="","",IF(AF699="R$/mês",Z699/OBRA!$D$12,IF(AF699="R$/m²",Z699/OBRA!$D$10,IF(AF699="R$/apto",Orçamento!Z699/OBRA!$D$11,""))))),"")</f>
        <v>0.60326692980244245</v>
      </c>
      <c r="AF699" s="241" t="s">
        <v>154</v>
      </c>
    </row>
    <row r="700" spans="1:32" s="10" customFormat="1" ht="13.15" hidden="1" customHeight="1" outlineLevel="4" x14ac:dyDescent="0.2">
      <c r="A700" s="227"/>
      <c r="B700" s="228" t="s">
        <v>4</v>
      </c>
      <c r="C700" s="229">
        <f t="shared" si="445"/>
        <v>5</v>
      </c>
      <c r="D700" s="227" t="str">
        <f t="shared" ref="D700:D724" ca="1" si="472">IF(B700="Unidade Construtiva",TEXT(F700,"00"),IF(B700="Célula Construtiva",TEXT(H700,"00"),IF(B700="Etapa",CONCATENATE(TEXT(H700,"00"),".",TEXT(J700,"000")),IF(B700="Subetapa",CONCATENATE(TEXT(H700,"00"),".",TEXT(J700,"000"),".",TEXT(L700,"000")),IF(B700="Serviço",CONCATENATE(TEXT(H700,"00"),".",TEXT(J700,"000"),".",TEXT(L700,"000"),".",TEXT(N700,"000")),"")))))</f>
        <v>05.002.001.003</v>
      </c>
      <c r="E700" s="228" t="str">
        <f t="shared" ref="E700:E724" ca="1" si="473">IF(B700="*","",IFERROR(IF(B700="SERVIÇO",D700,OFFSET(E700,-1,0)),""))</f>
        <v>05.002.001.003</v>
      </c>
      <c r="F700" s="230">
        <f ca="1">IF($B700="UNIDADE CONSTRUTIVA",OFFSET(F700,-1,0)+1,LARGE(F$10:F699,1))</f>
        <v>2</v>
      </c>
      <c r="G700" s="228" t="str">
        <f t="shared" ref="G700:G724" ca="1" si="474">IF(B700="*","",IF(B700="UNIDADE CONSTRUTIVA",S700,OFFSET(G700,-1,0)))</f>
        <v xml:space="preserve">   GERENCIAMENTO EXECUTIVO</v>
      </c>
      <c r="H700" s="230">
        <f t="shared" ref="H700:H724" ca="1" si="475">IF(B700="UNIDADE CONSTRUTIVA",0,IF(B700="CÉLULA CONSTRUTIVA",OFFSET(H700,-1,0)+1,OFFSET(H700,-1,0)))</f>
        <v>5</v>
      </c>
      <c r="I700" s="228" t="str">
        <f t="shared" ref="I700:I724" ca="1" si="476">IF(B700="*","",IF(B700="CÉLULA CONSTRUTIVA",S700,OFFSET(I700,-1,0)))</f>
        <v xml:space="preserve">   ALVENARIA | VEDAÇÕES | DIVISÓRIAS</v>
      </c>
      <c r="J700" s="230">
        <f t="shared" ref="J700:J724" ca="1" si="477">IF(B700="CÉLULA CONSTRUTIVA",0,IF(B700="ETAPA",OFFSET(J700,-1,0)+1,OFFSET(J700,-1,0)))</f>
        <v>2</v>
      </c>
      <c r="K700" s="228" t="str">
        <f t="shared" ref="K700:K724" ca="1" si="478">IF(B700="*","",IF(B700="ETAPA",S700,OFFSET(K700,-1,0)))</f>
        <v xml:space="preserve">   ALVENARIA | VEDAÇÕES | DIVISÓRIAS - 2º PAVIMENTO - TÉRREO</v>
      </c>
      <c r="L700" s="231">
        <f t="shared" ref="L700:L724" ca="1" si="479">IF(B700="ETAPA",0,IF(B700="SUBETAPA",OFFSET(L700,-1,0)+1,OFFSET(L700,-1,0)))</f>
        <v>1</v>
      </c>
      <c r="M700" s="228" t="str">
        <f t="shared" ref="M700:M724" ca="1" si="480">IF(B700="*","",IF(B700="SUBETAPA",S700,OFFSET(M700,-1,0)))</f>
        <v xml:space="preserve">   Alvenaria de Vedação com Blocos Cerâmicos</v>
      </c>
      <c r="N700" s="231">
        <f t="shared" ref="N700:N724" ca="1" si="481">IF(B700="Subetapa",0,IF(B700="serviço",OFFSET(N700,-1,0)+1,OFFSET(N700,-1,0)))</f>
        <v>3</v>
      </c>
      <c r="O700" s="228" t="str">
        <f t="shared" ref="O700:O724" ca="1" si="482">IF(B700="*","",IF(B700="SERVIÇO",S700,OFFSET(O700,-1,0)))</f>
        <v>Alvenaria de vedacao de blocos ceramicos furados na horizontal de 14x19x29cm (espessura 14cm) com argamassa industrializada de assentamento</v>
      </c>
      <c r="P700" s="232" t="str">
        <f>IF(S700="","",IF(Orçamento!$B700="INSUMO",S700,""))</f>
        <v/>
      </c>
      <c r="Q700" s="244" t="str">
        <f t="shared" ref="Q700:Q724" si="483">IF(B700="","",IF(B700="Serviço",S700,""))</f>
        <v>Alvenaria de vedacao de blocos ceramicos furados na horizontal de 14x19x29cm (espessura 14cm) com argamassa industrializada de assentamento</v>
      </c>
      <c r="R700" s="234">
        <f t="shared" ref="R700:R724" ca="1" si="484">IF(B700="serviço",U700,OFFSET(R700,-1,0))</f>
        <v>359.63</v>
      </c>
      <c r="S700" s="233" t="s">
        <v>208</v>
      </c>
      <c r="T700" s="242" t="s">
        <v>140</v>
      </c>
      <c r="U700" s="235">
        <v>359.63</v>
      </c>
      <c r="V700" s="320" t="s">
        <v>35</v>
      </c>
      <c r="W700" s="236" t="str">
        <f>IFERROR(IF(B700="INSUMO",_xlfn.XLOOKUP(S700,Insumos!A:A,Insumos!C:C),""),"Inserir Preço")</f>
        <v/>
      </c>
      <c r="X700" s="235">
        <f t="shared" ref="X700:X724" ca="1" si="485">IF(B700="Complemento do insumo",V700,IF(R700="","",IF(B700="serviço",R700,IF(OR(B700="insumo"),V700*R700,""))))</f>
        <v>359.63</v>
      </c>
      <c r="Y700" s="236">
        <f t="shared" ca="1" si="463"/>
        <v>37.181699999999999</v>
      </c>
      <c r="Z700" s="237">
        <f t="shared" ca="1" si="446"/>
        <v>13371.654771</v>
      </c>
      <c r="AA700" s="238"/>
      <c r="AB700" s="233" t="str">
        <f>IF(B700="insumo",_xlfn.XLOOKUP(S700,Insumos!A:A,Insumos!D:D),"")</f>
        <v/>
      </c>
      <c r="AC700" s="239">
        <f t="shared" ca="1" si="447"/>
        <v>1.9182857890112975E-3</v>
      </c>
      <c r="AE700" s="240">
        <f ca="1">IFERROR(IF(OR(Z700="",Z700=0),"",IF(AF700="","",IF(AF700="R$/mês",Z700/OBRA!$D$12,IF(AF700="R$/m²",Z700/OBRA!$D$10,IF(AF700="R$/apto",Orçamento!Z700/OBRA!$D$11,""))))),"")</f>
        <v>6.8811487940182063</v>
      </c>
      <c r="AF700" s="241" t="s">
        <v>154</v>
      </c>
    </row>
    <row r="701" spans="1:32" s="10" customFormat="1" ht="13.15" hidden="1" customHeight="1" outlineLevel="4" x14ac:dyDescent="0.2">
      <c r="A701" s="227"/>
      <c r="B701" s="228" t="s">
        <v>19</v>
      </c>
      <c r="C701" s="229">
        <f t="shared" si="445"/>
        <v>19</v>
      </c>
      <c r="D701" s="227" t="str">
        <f t="shared" si="472"/>
        <v/>
      </c>
      <c r="E701" s="228" t="str">
        <f t="shared" ca="1" si="473"/>
        <v>05.002.001.003</v>
      </c>
      <c r="F701" s="230">
        <f ca="1">IF($B701="UNIDADE CONSTRUTIVA",OFFSET(F701,-1,0)+1,LARGE(F$10:F700,1))</f>
        <v>2</v>
      </c>
      <c r="G701" s="228" t="str">
        <f t="shared" ca="1" si="474"/>
        <v xml:space="preserve">   GERENCIAMENTO EXECUTIVO</v>
      </c>
      <c r="H701" s="230">
        <f t="shared" ca="1" si="475"/>
        <v>5</v>
      </c>
      <c r="I701" s="228" t="str">
        <f t="shared" ca="1" si="476"/>
        <v xml:space="preserve">   ALVENARIA | VEDAÇÕES | DIVISÓRIAS</v>
      </c>
      <c r="J701" s="230">
        <f t="shared" ca="1" si="477"/>
        <v>2</v>
      </c>
      <c r="K701" s="228" t="str">
        <f t="shared" ca="1" si="478"/>
        <v xml:space="preserve">   ALVENARIA | VEDAÇÕES | DIVISÓRIAS - 2º PAVIMENTO - TÉRREO</v>
      </c>
      <c r="L701" s="231">
        <f t="shared" ca="1" si="479"/>
        <v>1</v>
      </c>
      <c r="M701" s="228" t="str">
        <f t="shared" ca="1" si="480"/>
        <v xml:space="preserve">   Alvenaria de Vedação com Blocos Cerâmicos</v>
      </c>
      <c r="N701" s="231">
        <f t="shared" ca="1" si="481"/>
        <v>3</v>
      </c>
      <c r="O701" s="228" t="str">
        <f t="shared" ca="1" si="482"/>
        <v>Alvenaria de vedacao de blocos ceramicos furados na horizontal de 14x19x29cm (espessura 14cm) com argamassa industrializada de assentamento</v>
      </c>
      <c r="P701" s="232" t="str">
        <f>IF(S701="","",IF(Orçamento!$B701="INSUMO",S701,""))</f>
        <v>ARGAMASSA ESTABILIZADA P/ ASSENTAMENTO</v>
      </c>
      <c r="Q701" s="244" t="str">
        <f t="shared" si="483"/>
        <v/>
      </c>
      <c r="R701" s="234">
        <f t="shared" ca="1" si="484"/>
        <v>359.63</v>
      </c>
      <c r="S701" s="233" t="s">
        <v>206</v>
      </c>
      <c r="T701" s="242" t="str">
        <f>_xlfn.XLOOKUP(S701,Insumos!$A$3:$A$371,Insumos!$B$3:$B$371)</f>
        <v>M3</v>
      </c>
      <c r="U701" s="235">
        <f ca="1">IF($B701="insumo",R701,"")</f>
        <v>359.63</v>
      </c>
      <c r="V701" s="320">
        <v>1.8683999999999999E-2</v>
      </c>
      <c r="W701" s="236">
        <f>IFERROR(IF(B701="INSUMO",_xlfn.XLOOKUP(S701,Insumos!A:A,Insumos!C:C),""),"Inserir Preço")</f>
        <v>425</v>
      </c>
      <c r="X701" s="235">
        <f t="shared" ca="1" si="485"/>
        <v>6.7193269199999994</v>
      </c>
      <c r="Y701" s="236">
        <f t="shared" si="463"/>
        <v>7.9406999999999996</v>
      </c>
      <c r="Z701" s="237">
        <f t="shared" ca="1" si="446"/>
        <v>2855.713941</v>
      </c>
      <c r="AA701" s="238"/>
      <c r="AB701" s="233" t="str">
        <f>IF(B701="insumo",_xlfn.XLOOKUP(S701,Insumos!A:A,Insumos!D:D),"")</f>
        <v xml:space="preserve"> </v>
      </c>
      <c r="AC701" s="239">
        <f t="shared" ca="1" si="447"/>
        <v>4.0967820096450704E-4</v>
      </c>
      <c r="AE701" s="240">
        <f ca="1">IFERROR(IF(OR(Z701="",Z701=0),"",IF(AF701="","",IF(AF701="R$/mês",Z701/OBRA!$D$12,IF(AF701="R$/m²",Z701/OBRA!$D$10,IF(AF701="R$/apto",Orçamento!Z701/OBRA!$D$11,""))))),"")</f>
        <v>1.4695707358367254</v>
      </c>
      <c r="AF701" s="241" t="s">
        <v>154</v>
      </c>
    </row>
    <row r="702" spans="1:32" s="10" customFormat="1" ht="13.15" hidden="1" customHeight="1" outlineLevel="4" x14ac:dyDescent="0.2">
      <c r="A702" s="227"/>
      <c r="B702" s="228" t="s">
        <v>19</v>
      </c>
      <c r="C702" s="229">
        <f t="shared" si="445"/>
        <v>5</v>
      </c>
      <c r="D702" s="227" t="str">
        <f t="shared" si="472"/>
        <v/>
      </c>
      <c r="E702" s="228" t="str">
        <f t="shared" ca="1" si="473"/>
        <v>05.002.001.003</v>
      </c>
      <c r="F702" s="230">
        <f ca="1">IF($B702="UNIDADE CONSTRUTIVA",OFFSET(F702,-1,0)+1,LARGE(F$10:F701,1))</f>
        <v>2</v>
      </c>
      <c r="G702" s="228" t="str">
        <f t="shared" ca="1" si="474"/>
        <v xml:space="preserve">   GERENCIAMENTO EXECUTIVO</v>
      </c>
      <c r="H702" s="230">
        <f t="shared" ca="1" si="475"/>
        <v>5</v>
      </c>
      <c r="I702" s="228" t="str">
        <f t="shared" ca="1" si="476"/>
        <v xml:space="preserve">   ALVENARIA | VEDAÇÕES | DIVISÓRIAS</v>
      </c>
      <c r="J702" s="230">
        <f t="shared" ca="1" si="477"/>
        <v>2</v>
      </c>
      <c r="K702" s="228" t="str">
        <f t="shared" ca="1" si="478"/>
        <v xml:space="preserve">   ALVENARIA | VEDAÇÕES | DIVISÓRIAS - 2º PAVIMENTO - TÉRREO</v>
      </c>
      <c r="L702" s="231">
        <f t="shared" ca="1" si="479"/>
        <v>1</v>
      </c>
      <c r="M702" s="228" t="str">
        <f t="shared" ca="1" si="480"/>
        <v xml:space="preserve">   Alvenaria de Vedação com Blocos Cerâmicos</v>
      </c>
      <c r="N702" s="231">
        <f t="shared" ca="1" si="481"/>
        <v>3</v>
      </c>
      <c r="O702" s="228" t="str">
        <f t="shared" ca="1" si="482"/>
        <v>Alvenaria de vedacao de blocos ceramicos furados na horizontal de 14x19x29cm (espessura 14cm) com argamassa industrializada de assentamento</v>
      </c>
      <c r="P702" s="232" t="str">
        <f>IF(S702="","",IF(Orçamento!$B702="INSUMO",S702,""))</f>
        <v>BLOCO CERAMICO VEDACAO 14 X 19 X 29 CM - FUROS NA HORIZONTAL</v>
      </c>
      <c r="Q702" s="244" t="str">
        <f t="shared" si="483"/>
        <v/>
      </c>
      <c r="R702" s="234">
        <f t="shared" ca="1" si="484"/>
        <v>359.63</v>
      </c>
      <c r="S702" s="233" t="s">
        <v>209</v>
      </c>
      <c r="T702" s="242" t="str">
        <f>_xlfn.XLOOKUP(S702,Insumos!$A$3:$A$371,Insumos!$B$3:$B$371)</f>
        <v>UN</v>
      </c>
      <c r="U702" s="235">
        <f ca="1">IF($B702="insumo",R702,"")</f>
        <v>359.63</v>
      </c>
      <c r="V702" s="320">
        <v>18</v>
      </c>
      <c r="W702" s="236">
        <f>IFERROR(IF(B702="INSUMO",_xlfn.XLOOKUP(S702,Insumos!A:A,Insumos!C:C),""),"Inserir Preço")</f>
        <v>1.6245000000000001</v>
      </c>
      <c r="X702" s="235">
        <f t="shared" ca="1" si="485"/>
        <v>6473.34</v>
      </c>
      <c r="Y702" s="236">
        <f t="shared" si="463"/>
        <v>29.241</v>
      </c>
      <c r="Z702" s="237">
        <f t="shared" ca="1" si="446"/>
        <v>10515.940830000001</v>
      </c>
      <c r="AA702" s="238"/>
      <c r="AB702" s="233" t="str">
        <f>IF(B702="insumo",_xlfn.XLOOKUP(S702,Insumos!A:A,Insumos!D:D),"")</f>
        <v>Tupi Gurani Cerâmica</v>
      </c>
      <c r="AC702" s="239">
        <f t="shared" ca="1" si="447"/>
        <v>1.5086075880467909E-3</v>
      </c>
      <c r="AE702" s="240">
        <f ca="1">IFERROR(IF(OR(Z702="",Z702=0),"",IF(AF702="","",IF(AF702="R$/mês",Z702/OBRA!$D$12,IF(AF702="R$/m²",Z702/OBRA!$D$10,IF(AF702="R$/apto",Orçamento!Z702/OBRA!$D$11,""))))),"")</f>
        <v>5.4115780581814823</v>
      </c>
      <c r="AF702" s="241" t="s">
        <v>154</v>
      </c>
    </row>
    <row r="703" spans="1:32" s="10" customFormat="1" ht="13.15" hidden="1" customHeight="1" outlineLevel="3" collapsed="1" x14ac:dyDescent="0.2">
      <c r="A703" s="227"/>
      <c r="B703" s="228" t="s">
        <v>3</v>
      </c>
      <c r="C703" s="229" t="str">
        <f t="shared" si="445"/>
        <v/>
      </c>
      <c r="D703" s="227" t="str">
        <f t="shared" ca="1" si="472"/>
        <v>05.002.002</v>
      </c>
      <c r="E703" s="228" t="str">
        <f t="shared" ca="1" si="473"/>
        <v>05.002.001.003</v>
      </c>
      <c r="F703" s="230">
        <f ca="1">IF($B703="UNIDADE CONSTRUTIVA",OFFSET(F703,-1,0)+1,LARGE(F$10:F702,1))</f>
        <v>2</v>
      </c>
      <c r="G703" s="228" t="str">
        <f t="shared" ca="1" si="474"/>
        <v xml:space="preserve">   GERENCIAMENTO EXECUTIVO</v>
      </c>
      <c r="H703" s="230">
        <f t="shared" ca="1" si="475"/>
        <v>5</v>
      </c>
      <c r="I703" s="228" t="str">
        <f t="shared" ca="1" si="476"/>
        <v xml:space="preserve">   ALVENARIA | VEDAÇÕES | DIVISÓRIAS</v>
      </c>
      <c r="J703" s="230">
        <f t="shared" ca="1" si="477"/>
        <v>2</v>
      </c>
      <c r="K703" s="228" t="str">
        <f t="shared" ca="1" si="478"/>
        <v xml:space="preserve">   ALVENARIA | VEDAÇÕES | DIVISÓRIAS - 2º PAVIMENTO - TÉRREO</v>
      </c>
      <c r="L703" s="231">
        <f t="shared" ca="1" si="479"/>
        <v>2</v>
      </c>
      <c r="M703" s="228" t="str">
        <f t="shared" ca="1" si="480"/>
        <v xml:space="preserve">   Alvenaria de Vedação com Blocos de Concreto</v>
      </c>
      <c r="N703" s="231">
        <f t="shared" ca="1" si="481"/>
        <v>0</v>
      </c>
      <c r="O703" s="228" t="str">
        <f t="shared" ca="1" si="482"/>
        <v>Alvenaria de vedacao de blocos ceramicos furados na horizontal de 14x19x29cm (espessura 14cm) com argamassa industrializada de assentamento</v>
      </c>
      <c r="P703" s="232" t="str">
        <f>IF(S703="","",IF(Orçamento!$B703="INSUMO",S703,""))</f>
        <v/>
      </c>
      <c r="Q703" s="244" t="str">
        <f t="shared" si="483"/>
        <v/>
      </c>
      <c r="R703" s="234">
        <f t="shared" ca="1" si="484"/>
        <v>359.63</v>
      </c>
      <c r="S703" s="233" t="s">
        <v>440</v>
      </c>
      <c r="T703" s="242" t="s">
        <v>35</v>
      </c>
      <c r="U703" s="235" t="str">
        <f>IF($B703="insumo",R703,"")</f>
        <v/>
      </c>
      <c r="V703" s="320" t="s">
        <v>35</v>
      </c>
      <c r="W703" s="236" t="str">
        <f>IFERROR(IF(B703="INSUMO",_xlfn.XLOOKUP(S703,Insumos!A:A,Insumos!C:C),""),"Inserir Preço")</f>
        <v/>
      </c>
      <c r="X703" s="235" t="str">
        <f t="shared" ca="1" si="485"/>
        <v/>
      </c>
      <c r="Y703" s="236" t="str">
        <f t="shared" si="463"/>
        <v/>
      </c>
      <c r="Z703" s="237">
        <f t="shared" ca="1" si="446"/>
        <v>1024.0869600000001</v>
      </c>
      <c r="AA703" s="238"/>
      <c r="AB703" s="233" t="str">
        <f>IF(B703="insumo",_xlfn.XLOOKUP(S703,Insumos!A:A,Insumos!D:D),"")</f>
        <v/>
      </c>
      <c r="AC703" s="239">
        <f t="shared" ca="1" si="447"/>
        <v>1.4691461122226285E-4</v>
      </c>
      <c r="AE703" s="240">
        <f ca="1">IFERROR(IF(OR(Z703="",Z703=0),"",IF(AF703="","",IF(AF703="R$/mês",Z703/OBRA!$D$12,IF(AF703="R$/m²",Z703/OBRA!$D$10,IF(AF703="R$/apto",Orçamento!Z703/OBRA!$D$11,""))))),"")</f>
        <v>0.52700244438383526</v>
      </c>
      <c r="AF703" s="241" t="s">
        <v>154</v>
      </c>
    </row>
    <row r="704" spans="1:32" s="10" customFormat="1" ht="13.15" hidden="1" customHeight="1" outlineLevel="4" x14ac:dyDescent="0.2">
      <c r="A704" s="227"/>
      <c r="B704" s="228" t="s">
        <v>4</v>
      </c>
      <c r="C704" s="229">
        <f t="shared" si="445"/>
        <v>1</v>
      </c>
      <c r="D704" s="227" t="str">
        <f t="shared" ca="1" si="472"/>
        <v>05.002.002.001</v>
      </c>
      <c r="E704" s="228" t="str">
        <f t="shared" ca="1" si="473"/>
        <v>05.002.002.001</v>
      </c>
      <c r="F704" s="230">
        <f ca="1">IF($B704="UNIDADE CONSTRUTIVA",OFFSET(F704,-1,0)+1,LARGE(F$10:F703,1))</f>
        <v>2</v>
      </c>
      <c r="G704" s="228" t="str">
        <f t="shared" ca="1" si="474"/>
        <v xml:space="preserve">   GERENCIAMENTO EXECUTIVO</v>
      </c>
      <c r="H704" s="230">
        <f t="shared" ca="1" si="475"/>
        <v>5</v>
      </c>
      <c r="I704" s="228" t="str">
        <f t="shared" ca="1" si="476"/>
        <v xml:space="preserve">   ALVENARIA | VEDAÇÕES | DIVISÓRIAS</v>
      </c>
      <c r="J704" s="230">
        <f t="shared" ca="1" si="477"/>
        <v>2</v>
      </c>
      <c r="K704" s="228" t="str">
        <f t="shared" ca="1" si="478"/>
        <v xml:space="preserve">   ALVENARIA | VEDAÇÕES | DIVISÓRIAS - 2º PAVIMENTO - TÉRREO</v>
      </c>
      <c r="L704" s="231">
        <f t="shared" ca="1" si="479"/>
        <v>2</v>
      </c>
      <c r="M704" s="228" t="str">
        <f t="shared" ca="1" si="480"/>
        <v xml:space="preserve">   Alvenaria de Vedação com Blocos de Concreto</v>
      </c>
      <c r="N704" s="231">
        <f t="shared" ca="1" si="481"/>
        <v>1</v>
      </c>
      <c r="O704" s="228" t="str">
        <f t="shared" ca="1" si="482"/>
        <v>Alvenaria de vedacao de blocos Concreto de 14x19x29cm (espessura 14cm) com argamassa industrializada de assentamento</v>
      </c>
      <c r="P704" s="232" t="str">
        <f>IF(S704="","",IF(Orçamento!$B704="INSUMO",S704,""))</f>
        <v/>
      </c>
      <c r="Q704" s="244" t="str">
        <f t="shared" si="483"/>
        <v>Alvenaria de vedacao de blocos Concreto de 14x19x29cm (espessura 14cm) com argamassa industrializada de assentamento</v>
      </c>
      <c r="R704" s="234">
        <f t="shared" ca="1" si="484"/>
        <v>26.91</v>
      </c>
      <c r="S704" s="233" t="s">
        <v>692</v>
      </c>
      <c r="T704" s="242" t="s">
        <v>140</v>
      </c>
      <c r="U704" s="235">
        <v>26.91</v>
      </c>
      <c r="V704" s="320" t="s">
        <v>35</v>
      </c>
      <c r="W704" s="236" t="str">
        <f>IFERROR(IF(B704="INSUMO",_xlfn.XLOOKUP(S704,Insumos!A:A,Insumos!C:C),""),"Inserir Preço")</f>
        <v/>
      </c>
      <c r="X704" s="235">
        <f t="shared" ca="1" si="485"/>
        <v>26.91</v>
      </c>
      <c r="Y704" s="236">
        <f t="shared" ca="1" si="463"/>
        <v>38.055999999999997</v>
      </c>
      <c r="Z704" s="237">
        <f t="shared" ca="1" si="446"/>
        <v>1024.0869599999999</v>
      </c>
      <c r="AA704" s="238"/>
      <c r="AB704" s="233" t="str">
        <f>IF(B704="insumo",_xlfn.XLOOKUP(S704,Insumos!A:A,Insumos!D:D),"")</f>
        <v/>
      </c>
      <c r="AC704" s="239">
        <f t="shared" ca="1" si="447"/>
        <v>1.4691461122226282E-4</v>
      </c>
      <c r="AE704" s="240">
        <f ca="1">IFERROR(IF(OR(Z704="",Z704=0),"",IF(AF704="","",IF(AF704="R$/mês",Z704/OBRA!$D$12,IF(AF704="R$/m²",Z704/OBRA!$D$10,IF(AF704="R$/apto",Orçamento!Z704/OBRA!$D$11,""))))),"")</f>
        <v>0.52700244438383503</v>
      </c>
      <c r="AF704" s="241" t="s">
        <v>154</v>
      </c>
    </row>
    <row r="705" spans="1:32" s="10" customFormat="1" ht="13.15" hidden="1" customHeight="1" outlineLevel="4" x14ac:dyDescent="0.2">
      <c r="A705" s="227"/>
      <c r="B705" s="228" t="s">
        <v>19</v>
      </c>
      <c r="C705" s="229">
        <f t="shared" si="445"/>
        <v>19</v>
      </c>
      <c r="D705" s="227" t="str">
        <f t="shared" si="472"/>
        <v/>
      </c>
      <c r="E705" s="228" t="str">
        <f t="shared" ca="1" si="473"/>
        <v>05.002.002.001</v>
      </c>
      <c r="F705" s="230">
        <f ca="1">IF($B705="UNIDADE CONSTRUTIVA",OFFSET(F705,-1,0)+1,LARGE(F$10:F704,1))</f>
        <v>2</v>
      </c>
      <c r="G705" s="228" t="str">
        <f t="shared" ca="1" si="474"/>
        <v xml:space="preserve">   GERENCIAMENTO EXECUTIVO</v>
      </c>
      <c r="H705" s="230">
        <f t="shared" ca="1" si="475"/>
        <v>5</v>
      </c>
      <c r="I705" s="228" t="str">
        <f t="shared" ca="1" si="476"/>
        <v xml:space="preserve">   ALVENARIA | VEDAÇÕES | DIVISÓRIAS</v>
      </c>
      <c r="J705" s="230">
        <f t="shared" ca="1" si="477"/>
        <v>2</v>
      </c>
      <c r="K705" s="228" t="str">
        <f t="shared" ca="1" si="478"/>
        <v xml:space="preserve">   ALVENARIA | VEDAÇÕES | DIVISÓRIAS - 2º PAVIMENTO - TÉRREO</v>
      </c>
      <c r="L705" s="231">
        <f t="shared" ca="1" si="479"/>
        <v>2</v>
      </c>
      <c r="M705" s="228" t="str">
        <f t="shared" ca="1" si="480"/>
        <v xml:space="preserve">   Alvenaria de Vedação com Blocos de Concreto</v>
      </c>
      <c r="N705" s="231">
        <f t="shared" ca="1" si="481"/>
        <v>1</v>
      </c>
      <c r="O705" s="228" t="str">
        <f t="shared" ca="1" si="482"/>
        <v>Alvenaria de vedacao de blocos Concreto de 14x19x29cm (espessura 14cm) com argamassa industrializada de assentamento</v>
      </c>
      <c r="P705" s="232" t="str">
        <f>IF(S705="","",IF(Orçamento!$B705="INSUMO",S705,""))</f>
        <v>ARGAMASSA ESTABILIZADA P/ ASSENTAMENTO</v>
      </c>
      <c r="Q705" s="244" t="str">
        <f t="shared" si="483"/>
        <v/>
      </c>
      <c r="R705" s="234">
        <f t="shared" ca="1" si="484"/>
        <v>26.91</v>
      </c>
      <c r="S705" s="233" t="s">
        <v>206</v>
      </c>
      <c r="T705" s="242" t="str">
        <f>_xlfn.XLOOKUP(S705,Insumos!$A$3:$A$371,Insumos!$B$3:$B$371)</f>
        <v>M3</v>
      </c>
      <c r="U705" s="235">
        <f ca="1">IF($B705="insumo",R705,"")</f>
        <v>26.91</v>
      </c>
      <c r="V705" s="320">
        <v>0.02</v>
      </c>
      <c r="W705" s="236">
        <f>IFERROR(IF(B705="INSUMO",_xlfn.XLOOKUP(S705,Insumos!A:A,Insumos!C:C),""),"Inserir Preço")</f>
        <v>425</v>
      </c>
      <c r="X705" s="235">
        <f t="shared" ca="1" si="485"/>
        <v>0.53820000000000001</v>
      </c>
      <c r="Y705" s="236">
        <f t="shared" si="463"/>
        <v>8.5</v>
      </c>
      <c r="Z705" s="237">
        <f t="shared" ca="1" si="446"/>
        <v>228.73500000000001</v>
      </c>
      <c r="AA705" s="238"/>
      <c r="AB705" s="233" t="str">
        <f>IF(B705="insumo",_xlfn.XLOOKUP(S705,Insumos!A:A,Insumos!D:D),"")</f>
        <v xml:space="preserve"> </v>
      </c>
      <c r="AC705" s="239">
        <f t="shared" ca="1" si="447"/>
        <v>3.2814121173776391E-5</v>
      </c>
      <c r="AE705" s="240">
        <f ca="1">IFERROR(IF(OR(Z705="",Z705=0),"",IF(AF705="","",IF(AF705="R$/mês",Z705/OBRA!$D$12,IF(AF705="R$/m²",Z705/OBRA!$D$10,IF(AF705="R$/apto",Orçamento!Z705/OBRA!$D$11,""))))),"")</f>
        <v>0.1177086603232762</v>
      </c>
      <c r="AF705" s="241" t="s">
        <v>154</v>
      </c>
    </row>
    <row r="706" spans="1:32" s="10" customFormat="1" ht="13.15" hidden="1" customHeight="1" outlineLevel="4" x14ac:dyDescent="0.2">
      <c r="A706" s="227"/>
      <c r="B706" s="228" t="s">
        <v>19</v>
      </c>
      <c r="C706" s="229">
        <f t="shared" si="445"/>
        <v>1</v>
      </c>
      <c r="D706" s="227" t="str">
        <f t="shared" si="472"/>
        <v/>
      </c>
      <c r="E706" s="228" t="str">
        <f t="shared" ca="1" si="473"/>
        <v>05.002.002.001</v>
      </c>
      <c r="F706" s="230">
        <f ca="1">IF($B706="UNIDADE CONSTRUTIVA",OFFSET(F706,-1,0)+1,LARGE(F$10:F705,1))</f>
        <v>2</v>
      </c>
      <c r="G706" s="228" t="str">
        <f t="shared" ca="1" si="474"/>
        <v xml:space="preserve">   GERENCIAMENTO EXECUTIVO</v>
      </c>
      <c r="H706" s="230">
        <f t="shared" ca="1" si="475"/>
        <v>5</v>
      </c>
      <c r="I706" s="228" t="str">
        <f t="shared" ca="1" si="476"/>
        <v xml:space="preserve">   ALVENARIA | VEDAÇÕES | DIVISÓRIAS</v>
      </c>
      <c r="J706" s="230">
        <f t="shared" ca="1" si="477"/>
        <v>2</v>
      </c>
      <c r="K706" s="228" t="str">
        <f t="shared" ca="1" si="478"/>
        <v xml:space="preserve">   ALVENARIA | VEDAÇÕES | DIVISÓRIAS - 2º PAVIMENTO - TÉRREO</v>
      </c>
      <c r="L706" s="231">
        <f t="shared" ca="1" si="479"/>
        <v>2</v>
      </c>
      <c r="M706" s="228" t="str">
        <f t="shared" ca="1" si="480"/>
        <v xml:space="preserve">   Alvenaria de Vedação com Blocos de Concreto</v>
      </c>
      <c r="N706" s="231">
        <f t="shared" ca="1" si="481"/>
        <v>1</v>
      </c>
      <c r="O706" s="228" t="str">
        <f t="shared" ca="1" si="482"/>
        <v>Alvenaria de vedacao de blocos Concreto de 14x19x29cm (espessura 14cm) com argamassa industrializada de assentamento</v>
      </c>
      <c r="P706" s="232" t="str">
        <f>IF(S706="","",IF(Orçamento!$B706="INSUMO",S706,""))</f>
        <v>BLOCO CONCRETO VEDACAO 14 X 19 X 29 CM</v>
      </c>
      <c r="Q706" s="244" t="str">
        <f t="shared" si="483"/>
        <v/>
      </c>
      <c r="R706" s="234">
        <f t="shared" ca="1" si="484"/>
        <v>26.91</v>
      </c>
      <c r="S706" s="233" t="s">
        <v>691</v>
      </c>
      <c r="T706" s="242" t="str">
        <f>_xlfn.XLOOKUP(S706,Insumos!$A$3:$A$371,Insumos!$B$3:$B$371)</f>
        <v>UN</v>
      </c>
      <c r="U706" s="235">
        <f ca="1">IF($B706="insumo",R706,"")</f>
        <v>26.91</v>
      </c>
      <c r="V706" s="320">
        <v>18</v>
      </c>
      <c r="W706" s="236">
        <f>IFERROR(IF(B706="INSUMO",_xlfn.XLOOKUP(S706,Insumos!A:A,Insumos!C:C),""),"Inserir Preço")</f>
        <v>1.6420000000000001</v>
      </c>
      <c r="X706" s="235">
        <f t="shared" ca="1" si="485"/>
        <v>484.38</v>
      </c>
      <c r="Y706" s="236">
        <f t="shared" si="463"/>
        <v>29.556000000000001</v>
      </c>
      <c r="Z706" s="237">
        <f t="shared" ca="1" si="446"/>
        <v>795.35196000000008</v>
      </c>
      <c r="AA706" s="238"/>
      <c r="AB706" s="233" t="str">
        <f>IF(B706="insumo",_xlfn.XLOOKUP(S706,Insumos!A:A,Insumos!D:D),"")</f>
        <v xml:space="preserve"> </v>
      </c>
      <c r="AC706" s="239">
        <f t="shared" ca="1" si="447"/>
        <v>1.1410049004848647E-4</v>
      </c>
      <c r="AE706" s="240">
        <f ca="1">IFERROR(IF(OR(Z706="",Z706=0),"",IF(AF706="","",IF(AF706="R$/mês",Z706/OBRA!$D$12,IF(AF706="R$/m²",Z706/OBRA!$D$10,IF(AF706="R$/apto",Orçamento!Z706/OBRA!$D$11,""))))),"")</f>
        <v>0.409293784060559</v>
      </c>
      <c r="AF706" s="241" t="s">
        <v>154</v>
      </c>
    </row>
    <row r="707" spans="1:32" s="10" customFormat="1" ht="13.15" hidden="1" customHeight="1" outlineLevel="3" collapsed="1" x14ac:dyDescent="0.2">
      <c r="A707" s="227"/>
      <c r="B707" s="228" t="s">
        <v>3</v>
      </c>
      <c r="C707" s="229" t="str">
        <f t="shared" si="445"/>
        <v/>
      </c>
      <c r="D707" s="227" t="str">
        <f t="shared" ca="1" si="472"/>
        <v>05.002.003</v>
      </c>
      <c r="E707" s="228" t="str">
        <f t="shared" ca="1" si="473"/>
        <v>05.002.002.001</v>
      </c>
      <c r="F707" s="230">
        <f ca="1">IF($B707="UNIDADE CONSTRUTIVA",OFFSET(F707,-1,0)+1,LARGE(F$10:F706,1))</f>
        <v>2</v>
      </c>
      <c r="G707" s="228" t="str">
        <f t="shared" ca="1" si="474"/>
        <v xml:space="preserve">   GERENCIAMENTO EXECUTIVO</v>
      </c>
      <c r="H707" s="230">
        <f t="shared" ca="1" si="475"/>
        <v>5</v>
      </c>
      <c r="I707" s="228" t="str">
        <f t="shared" ca="1" si="476"/>
        <v xml:space="preserve">   ALVENARIA | VEDAÇÕES | DIVISÓRIAS</v>
      </c>
      <c r="J707" s="230">
        <f t="shared" ca="1" si="477"/>
        <v>2</v>
      </c>
      <c r="K707" s="228" t="str">
        <f t="shared" ca="1" si="478"/>
        <v xml:space="preserve">   ALVENARIA | VEDAÇÕES | DIVISÓRIAS - 2º PAVIMENTO - TÉRREO</v>
      </c>
      <c r="L707" s="231">
        <f t="shared" ca="1" si="479"/>
        <v>3</v>
      </c>
      <c r="M707" s="228" t="str">
        <f t="shared" ca="1" si="480"/>
        <v xml:space="preserve">   Serviços Complementares</v>
      </c>
      <c r="N707" s="231">
        <f t="shared" ca="1" si="481"/>
        <v>0</v>
      </c>
      <c r="O707" s="228" t="str">
        <f t="shared" ca="1" si="482"/>
        <v>Alvenaria de vedacao de blocos Concreto de 14x19x29cm (espessura 14cm) com argamassa industrializada de assentamento</v>
      </c>
      <c r="P707" s="232" t="str">
        <f>IF(S707="","",IF(Orçamento!$B707="INSUMO",S707,""))</f>
        <v/>
      </c>
      <c r="Q707" s="244" t="str">
        <f t="shared" si="483"/>
        <v/>
      </c>
      <c r="R707" s="234">
        <f t="shared" ca="1" si="484"/>
        <v>26.91</v>
      </c>
      <c r="S707" s="233" t="s">
        <v>441</v>
      </c>
      <c r="T707" s="242" t="s">
        <v>35</v>
      </c>
      <c r="U707" s="235" t="str">
        <f>IF($B707="insumo",R707,"")</f>
        <v/>
      </c>
      <c r="V707" s="320" t="s">
        <v>35</v>
      </c>
      <c r="W707" s="236" t="str">
        <f>IFERROR(IF(B707="INSUMO",_xlfn.XLOOKUP(S707,Insumos!A:A,Insumos!C:C),""),"Inserir Preço")</f>
        <v/>
      </c>
      <c r="X707" s="235" t="str">
        <f t="shared" ca="1" si="485"/>
        <v/>
      </c>
      <c r="Y707" s="236" t="str">
        <f t="shared" si="463"/>
        <v/>
      </c>
      <c r="Z707" s="237">
        <f t="shared" ca="1" si="446"/>
        <v>4209.0787596000009</v>
      </c>
      <c r="AA707" s="238"/>
      <c r="AB707" s="233" t="str">
        <f>IF(B707="insumo",_xlfn.XLOOKUP(S707,Insumos!A:A,Insumos!D:D),"")</f>
        <v/>
      </c>
      <c r="AC707" s="239">
        <f t="shared" ca="1" si="447"/>
        <v>6.0383072309652154E-4</v>
      </c>
      <c r="AE707" s="240">
        <f ca="1">IFERROR(IF(OR(Z707="",Z707=0),"",IF(AF707="","",IF(AF707="R$/mês",Z707/OBRA!$D$12,IF(AF707="R$/m²",Z707/OBRA!$D$10,IF(AF707="R$/apto",Orçamento!Z707/OBRA!$D$11,""))))),"")</f>
        <v>2.1660219117654633</v>
      </c>
      <c r="AF707" s="241" t="s">
        <v>154</v>
      </c>
    </row>
    <row r="708" spans="1:32" s="10" customFormat="1" ht="13.15" hidden="1" customHeight="1" outlineLevel="4" x14ac:dyDescent="0.2">
      <c r="A708" s="227"/>
      <c r="B708" s="228" t="s">
        <v>4</v>
      </c>
      <c r="C708" s="229">
        <f t="shared" si="445"/>
        <v>5</v>
      </c>
      <c r="D708" s="227" t="str">
        <f t="shared" ca="1" si="472"/>
        <v>05.002.003.001</v>
      </c>
      <c r="E708" s="228" t="str">
        <f t="shared" ca="1" si="473"/>
        <v>05.002.003.001</v>
      </c>
      <c r="F708" s="230">
        <f ca="1">IF($B708="UNIDADE CONSTRUTIVA",OFFSET(F708,-1,0)+1,LARGE(F$10:F707,1))</f>
        <v>2</v>
      </c>
      <c r="G708" s="228" t="str">
        <f t="shared" ca="1" si="474"/>
        <v xml:space="preserve">   GERENCIAMENTO EXECUTIVO</v>
      </c>
      <c r="H708" s="230">
        <f t="shared" ca="1" si="475"/>
        <v>5</v>
      </c>
      <c r="I708" s="228" t="str">
        <f t="shared" ca="1" si="476"/>
        <v xml:space="preserve">   ALVENARIA | VEDAÇÕES | DIVISÓRIAS</v>
      </c>
      <c r="J708" s="230">
        <f t="shared" ca="1" si="477"/>
        <v>2</v>
      </c>
      <c r="K708" s="228" t="str">
        <f t="shared" ca="1" si="478"/>
        <v xml:space="preserve">   ALVENARIA | VEDAÇÕES | DIVISÓRIAS - 2º PAVIMENTO - TÉRREO</v>
      </c>
      <c r="L708" s="231">
        <f t="shared" ca="1" si="479"/>
        <v>3</v>
      </c>
      <c r="M708" s="228" t="str">
        <f t="shared" ca="1" si="480"/>
        <v xml:space="preserve">   Serviços Complementares</v>
      </c>
      <c r="N708" s="231">
        <f t="shared" ca="1" si="481"/>
        <v>1</v>
      </c>
      <c r="O708" s="228" t="str">
        <f t="shared" ca="1" si="482"/>
        <v>Verga/contraverga de concreto, moldada in loco</v>
      </c>
      <c r="P708" s="232" t="str">
        <f>IF(S708="","",IF(Orçamento!$B708="INSUMO",S708,""))</f>
        <v/>
      </c>
      <c r="Q708" s="244" t="str">
        <f t="shared" si="483"/>
        <v>Verga/contraverga de concreto, moldada in loco</v>
      </c>
      <c r="R708" s="234">
        <f t="shared" ca="1" si="484"/>
        <v>55.34</v>
      </c>
      <c r="S708" s="233" t="s">
        <v>210</v>
      </c>
      <c r="T708" s="242" t="s">
        <v>158</v>
      </c>
      <c r="U708" s="235">
        <v>55.34</v>
      </c>
      <c r="V708" s="320" t="s">
        <v>35</v>
      </c>
      <c r="W708" s="236" t="str">
        <f>IFERROR(IF(B708="INSUMO",_xlfn.XLOOKUP(S708,Insumos!A:A,Insumos!C:C),""),"Inserir Preço")</f>
        <v/>
      </c>
      <c r="X708" s="235">
        <f t="shared" ca="1" si="485"/>
        <v>55.34</v>
      </c>
      <c r="Y708" s="236">
        <f t="shared" ca="1" si="463"/>
        <v>44.891940000000005</v>
      </c>
      <c r="Z708" s="237">
        <f t="shared" ca="1" si="446"/>
        <v>2484.3199596000004</v>
      </c>
      <c r="AA708" s="238"/>
      <c r="AB708" s="233" t="str">
        <f>IF(B708="insumo",_xlfn.XLOOKUP(S708,Insumos!A:A,Insumos!D:D),"")</f>
        <v/>
      </c>
      <c r="AC708" s="239">
        <f t="shared" ca="1" si="447"/>
        <v>3.5639834825779035E-4</v>
      </c>
      <c r="AE708" s="240">
        <f ca="1">IFERROR(IF(OR(Z708="",Z708=0),"",IF(AF708="","",IF(AF708="R$/mês",Z708/OBRA!$D$12,IF(AF708="R$/m²",Z708/OBRA!$D$10,IF(AF708="R$/apto",Orçamento!Z708/OBRA!$D$11,""))))),"")</f>
        <v>1.2784487474977231</v>
      </c>
      <c r="AF708" s="241" t="s">
        <v>154</v>
      </c>
    </row>
    <row r="709" spans="1:32" s="10" customFormat="1" ht="13.15" hidden="1" customHeight="1" outlineLevel="4" x14ac:dyDescent="0.2">
      <c r="A709" s="227"/>
      <c r="B709" s="228" t="s">
        <v>19</v>
      </c>
      <c r="C709" s="229">
        <f t="shared" si="445"/>
        <v>29</v>
      </c>
      <c r="D709" s="227" t="str">
        <f t="shared" si="472"/>
        <v/>
      </c>
      <c r="E709" s="228" t="str">
        <f t="shared" ca="1" si="473"/>
        <v>05.002.003.001</v>
      </c>
      <c r="F709" s="230">
        <f ca="1">IF($B709="UNIDADE CONSTRUTIVA",OFFSET(F709,-1,0)+1,LARGE(F$10:F708,1))</f>
        <v>2</v>
      </c>
      <c r="G709" s="228" t="str">
        <f t="shared" ca="1" si="474"/>
        <v xml:space="preserve">   GERENCIAMENTO EXECUTIVO</v>
      </c>
      <c r="H709" s="230">
        <f t="shared" ca="1" si="475"/>
        <v>5</v>
      </c>
      <c r="I709" s="228" t="str">
        <f t="shared" ca="1" si="476"/>
        <v xml:space="preserve">   ALVENARIA | VEDAÇÕES | DIVISÓRIAS</v>
      </c>
      <c r="J709" s="230">
        <f t="shared" ca="1" si="477"/>
        <v>2</v>
      </c>
      <c r="K709" s="228" t="str">
        <f t="shared" ca="1" si="478"/>
        <v xml:space="preserve">   ALVENARIA | VEDAÇÕES | DIVISÓRIAS - 2º PAVIMENTO - TÉRREO</v>
      </c>
      <c r="L709" s="231">
        <f t="shared" ca="1" si="479"/>
        <v>3</v>
      </c>
      <c r="M709" s="228" t="str">
        <f t="shared" ca="1" si="480"/>
        <v xml:space="preserve">   Serviços Complementares</v>
      </c>
      <c r="N709" s="231">
        <f t="shared" ca="1" si="481"/>
        <v>1</v>
      </c>
      <c r="O709" s="228" t="str">
        <f t="shared" ca="1" si="482"/>
        <v>Verga/contraverga de concreto, moldada in loco</v>
      </c>
      <c r="P709" s="232" t="str">
        <f>IF(S709="","",IF(Orçamento!$B709="INSUMO",S709,""))</f>
        <v>DESMOLDANTE</v>
      </c>
      <c r="Q709" s="244" t="str">
        <f t="shared" si="483"/>
        <v/>
      </c>
      <c r="R709" s="234">
        <f t="shared" ca="1" si="484"/>
        <v>55.34</v>
      </c>
      <c r="S709" s="233" t="s">
        <v>171</v>
      </c>
      <c r="T709" s="242" t="str">
        <f>_xlfn.XLOOKUP(S709,Insumos!$A$3:$A$371,Insumos!$B$3:$B$371)</f>
        <v>L</v>
      </c>
      <c r="U709" s="235">
        <f t="shared" ref="U709:U715" ca="1" si="486">IF($B709="insumo",R709,"")</f>
        <v>55.34</v>
      </c>
      <c r="V709" s="320">
        <v>6.0000000000000001E-3</v>
      </c>
      <c r="W709" s="236">
        <f>IFERROR(IF(B709="INSUMO",_xlfn.XLOOKUP(S709,Insumos!A:A,Insumos!C:C),""),"Inserir Preço")</f>
        <v>6.34</v>
      </c>
      <c r="X709" s="235">
        <f t="shared" ca="1" si="485"/>
        <v>0.33204</v>
      </c>
      <c r="Y709" s="236">
        <f t="shared" si="463"/>
        <v>3.8039999999999997E-2</v>
      </c>
      <c r="Z709" s="237">
        <f t="shared" ca="1" si="446"/>
        <v>2.1051335999999998</v>
      </c>
      <c r="AA709" s="238"/>
      <c r="AB709" s="233" t="str">
        <f>IF(B709="insumo",_xlfn.XLOOKUP(S709,Insumos!A:A,Insumos!D:D),"")</f>
        <v xml:space="preserve"> </v>
      </c>
      <c r="AC709" s="239">
        <f t="shared" ca="1" si="447"/>
        <v>3.0200060785357777E-7</v>
      </c>
      <c r="AE709" s="240">
        <f ca="1">IFERROR(IF(OR(Z709="",Z709=0),"",IF(AF709="","",IF(AF709="R$/mês",Z709/OBRA!$D$12,IF(AF709="R$/m²",Z709/OBRA!$D$10,IF(AF709="R$/apto",Orçamento!Z709/OBRA!$D$11,""))))),"")</f>
        <v>1.0833167458303957E-3</v>
      </c>
      <c r="AF709" s="241" t="s">
        <v>154</v>
      </c>
    </row>
    <row r="710" spans="1:32" s="10" customFormat="1" ht="13.15" hidden="1" customHeight="1" outlineLevel="4" x14ac:dyDescent="0.2">
      <c r="A710" s="227"/>
      <c r="B710" s="228" t="s">
        <v>19</v>
      </c>
      <c r="C710" s="229">
        <f t="shared" si="445"/>
        <v>5</v>
      </c>
      <c r="D710" s="227" t="str">
        <f t="shared" si="472"/>
        <v/>
      </c>
      <c r="E710" s="228" t="str">
        <f t="shared" ca="1" si="473"/>
        <v>05.002.003.001</v>
      </c>
      <c r="F710" s="230">
        <f ca="1">IF($B710="UNIDADE CONSTRUTIVA",OFFSET(F710,-1,0)+1,LARGE(F$10:F709,1))</f>
        <v>2</v>
      </c>
      <c r="G710" s="228" t="str">
        <f t="shared" ca="1" si="474"/>
        <v xml:space="preserve">   GERENCIAMENTO EXECUTIVO</v>
      </c>
      <c r="H710" s="230">
        <f t="shared" ca="1" si="475"/>
        <v>5</v>
      </c>
      <c r="I710" s="228" t="str">
        <f t="shared" ca="1" si="476"/>
        <v xml:space="preserve">   ALVENARIA | VEDAÇÕES | DIVISÓRIAS</v>
      </c>
      <c r="J710" s="230">
        <f t="shared" ca="1" si="477"/>
        <v>2</v>
      </c>
      <c r="K710" s="228" t="str">
        <f t="shared" ca="1" si="478"/>
        <v xml:space="preserve">   ALVENARIA | VEDAÇÕES | DIVISÓRIAS - 2º PAVIMENTO - TÉRREO</v>
      </c>
      <c r="L710" s="231">
        <f t="shared" ca="1" si="479"/>
        <v>3</v>
      </c>
      <c r="M710" s="228" t="str">
        <f t="shared" ca="1" si="480"/>
        <v xml:space="preserve">   Serviços Complementares</v>
      </c>
      <c r="N710" s="231">
        <f t="shared" ca="1" si="481"/>
        <v>1</v>
      </c>
      <c r="O710" s="228" t="str">
        <f t="shared" ca="1" si="482"/>
        <v>Verga/contraverga de concreto, moldada in loco</v>
      </c>
      <c r="P710" s="232" t="str">
        <f>IF(S710="","",IF(Orçamento!$B710="INSUMO",S710,""))</f>
        <v>ACO CA-60 5,00 MM</v>
      </c>
      <c r="Q710" s="244" t="str">
        <f t="shared" si="483"/>
        <v/>
      </c>
      <c r="R710" s="234">
        <f t="shared" ca="1" si="484"/>
        <v>55.34</v>
      </c>
      <c r="S710" s="233" t="s">
        <v>179</v>
      </c>
      <c r="T710" s="242" t="str">
        <f>_xlfn.XLOOKUP(S710,Insumos!$A$3:$A$371,Insumos!$B$3:$B$371)</f>
        <v>KG</v>
      </c>
      <c r="U710" s="235">
        <f t="shared" ca="1" si="486"/>
        <v>55.34</v>
      </c>
      <c r="V710" s="320">
        <v>0.49</v>
      </c>
      <c r="W710" s="236">
        <f>IFERROR(IF(B710="INSUMO",_xlfn.XLOOKUP(S710,Insumos!A:A,Insumos!C:C),""),"Inserir Preço")</f>
        <v>6.11</v>
      </c>
      <c r="X710" s="235">
        <f t="shared" ca="1" si="485"/>
        <v>27.116600000000002</v>
      </c>
      <c r="Y710" s="236">
        <f t="shared" si="463"/>
        <v>2.9939</v>
      </c>
      <c r="Z710" s="237">
        <f t="shared" ca="1" si="446"/>
        <v>165.68242600000002</v>
      </c>
      <c r="AA710" s="238"/>
      <c r="AB710" s="233" t="str">
        <f>IF(B710="insumo",_xlfn.XLOOKUP(S710,Insumos!A:A,Insumos!D:D),"")</f>
        <v>BENDERTEC</v>
      </c>
      <c r="AC710" s="239">
        <f t="shared" ca="1" si="447"/>
        <v>2.3768654570263582E-5</v>
      </c>
      <c r="AE710" s="240">
        <f ca="1">IFERROR(IF(OR(Z710="",Z710=0),"",IF(AF710="","",IF(AF710="R$/mês",Z710/OBRA!$D$12,IF(AF710="R$/m²",Z710/OBRA!$D$10,IF(AF710="R$/apto",Orçamento!Z710/OBRA!$D$11,""))))),"")</f>
        <v>8.5261356607298167E-2</v>
      </c>
      <c r="AF710" s="241" t="s">
        <v>154</v>
      </c>
    </row>
    <row r="711" spans="1:32" s="10" customFormat="1" ht="13.15" hidden="1" customHeight="1" outlineLevel="4" x14ac:dyDescent="0.2">
      <c r="A711" s="227"/>
      <c r="B711" s="228" t="s">
        <v>19</v>
      </c>
      <c r="C711" s="229">
        <f t="shared" si="445"/>
        <v>44</v>
      </c>
      <c r="D711" s="227" t="str">
        <f t="shared" si="472"/>
        <v/>
      </c>
      <c r="E711" s="228" t="str">
        <f t="shared" ca="1" si="473"/>
        <v>05.002.003.001</v>
      </c>
      <c r="F711" s="230">
        <f ca="1">IF($B711="UNIDADE CONSTRUTIVA",OFFSET(F711,-1,0)+1,LARGE(F$10:F710,1))</f>
        <v>2</v>
      </c>
      <c r="G711" s="228" t="str">
        <f t="shared" ca="1" si="474"/>
        <v xml:space="preserve">   GERENCIAMENTO EXECUTIVO</v>
      </c>
      <c r="H711" s="230">
        <f t="shared" ca="1" si="475"/>
        <v>5</v>
      </c>
      <c r="I711" s="228" t="str">
        <f t="shared" ca="1" si="476"/>
        <v xml:space="preserve">   ALVENARIA | VEDAÇÕES | DIVISÓRIAS</v>
      </c>
      <c r="J711" s="230">
        <f t="shared" ca="1" si="477"/>
        <v>2</v>
      </c>
      <c r="K711" s="228" t="str">
        <f t="shared" ca="1" si="478"/>
        <v xml:space="preserve">   ALVENARIA | VEDAÇÕES | DIVISÓRIAS - 2º PAVIMENTO - TÉRREO</v>
      </c>
      <c r="L711" s="231">
        <f t="shared" ca="1" si="479"/>
        <v>3</v>
      </c>
      <c r="M711" s="228" t="str">
        <f t="shared" ca="1" si="480"/>
        <v xml:space="preserve">   Serviços Complementares</v>
      </c>
      <c r="N711" s="231">
        <f t="shared" ca="1" si="481"/>
        <v>1</v>
      </c>
      <c r="O711" s="228" t="str">
        <f t="shared" ca="1" si="482"/>
        <v>Verga/contraverga de concreto, moldada in loco</v>
      </c>
      <c r="P711" s="232" t="str">
        <f>IF(S711="","",IF(Orçamento!$B711="INSUMO",S711,""))</f>
        <v>PREGO 17 x 21 COM CABECA</v>
      </c>
      <c r="Q711" s="244" t="str">
        <f t="shared" si="483"/>
        <v/>
      </c>
      <c r="R711" s="234">
        <f t="shared" ca="1" si="484"/>
        <v>55.34</v>
      </c>
      <c r="S711" s="233" t="s">
        <v>173</v>
      </c>
      <c r="T711" s="242" t="str">
        <f>_xlfn.XLOOKUP(S711,Insumos!$A$3:$A$371,Insumos!$B$3:$B$371)</f>
        <v>KG</v>
      </c>
      <c r="U711" s="235">
        <f t="shared" ca="1" si="486"/>
        <v>55.34</v>
      </c>
      <c r="V711" s="320">
        <v>5.4000000000000003E-3</v>
      </c>
      <c r="W711" s="236">
        <f>IFERROR(IF(B711="INSUMO",_xlfn.XLOOKUP(S711,Insumos!A:A,Insumos!C:C),""),"Inserir Preço")</f>
        <v>13</v>
      </c>
      <c r="X711" s="235">
        <f t="shared" ca="1" si="485"/>
        <v>0.29883600000000005</v>
      </c>
      <c r="Y711" s="236">
        <f t="shared" si="463"/>
        <v>7.0199999999999999E-2</v>
      </c>
      <c r="Z711" s="237">
        <f t="shared" ca="1" si="446"/>
        <v>3.8848680000000004</v>
      </c>
      <c r="AA711" s="238"/>
      <c r="AB711" s="233" t="str">
        <f>IF(B711="insumo",_xlfn.XLOOKUP(S711,Insumos!A:A,Insumos!D:D),"")</f>
        <v xml:space="preserve"> </v>
      </c>
      <c r="AC711" s="239">
        <f t="shared" ca="1" si="447"/>
        <v>5.5731973373609784E-7</v>
      </c>
      <c r="AE711" s="240">
        <f ca="1">IFERROR(IF(OR(Z711="",Z711=0),"",IF(AF711="","",IF(AF711="R$/mês",Z711/OBRA!$D$12,IF(AF711="R$/m²",Z711/OBRA!$D$10,IF(AF711="R$/apto",Orçamento!Z711/OBRA!$D$11,""))))),"")</f>
        <v>1.9991807454598789E-3</v>
      </c>
      <c r="AF711" s="241" t="s">
        <v>154</v>
      </c>
    </row>
    <row r="712" spans="1:32" s="10" customFormat="1" ht="13.15" hidden="1" customHeight="1" outlineLevel="4" x14ac:dyDescent="0.2">
      <c r="A712" s="227"/>
      <c r="B712" s="228" t="s">
        <v>19</v>
      </c>
      <c r="C712" s="229">
        <f t="shared" si="445"/>
        <v>7</v>
      </c>
      <c r="D712" s="227" t="str">
        <f t="shared" si="472"/>
        <v/>
      </c>
      <c r="E712" s="228" t="str">
        <f t="shared" ca="1" si="473"/>
        <v>05.002.003.001</v>
      </c>
      <c r="F712" s="230">
        <f ca="1">IF($B712="UNIDADE CONSTRUTIVA",OFFSET(F712,-1,0)+1,LARGE(F$10:F711,1))</f>
        <v>2</v>
      </c>
      <c r="G712" s="228" t="str">
        <f t="shared" ca="1" si="474"/>
        <v xml:space="preserve">   GERENCIAMENTO EXECUTIVO</v>
      </c>
      <c r="H712" s="230">
        <f t="shared" ca="1" si="475"/>
        <v>5</v>
      </c>
      <c r="I712" s="228" t="str">
        <f t="shared" ca="1" si="476"/>
        <v xml:space="preserve">   ALVENARIA | VEDAÇÕES | DIVISÓRIAS</v>
      </c>
      <c r="J712" s="230">
        <f t="shared" ca="1" si="477"/>
        <v>2</v>
      </c>
      <c r="K712" s="228" t="str">
        <f t="shared" ca="1" si="478"/>
        <v xml:space="preserve">   ALVENARIA | VEDAÇÕES | DIVISÓRIAS - 2º PAVIMENTO - TÉRREO</v>
      </c>
      <c r="L712" s="231">
        <f t="shared" ca="1" si="479"/>
        <v>3</v>
      </c>
      <c r="M712" s="228" t="str">
        <f t="shared" ca="1" si="480"/>
        <v xml:space="preserve">   Serviços Complementares</v>
      </c>
      <c r="N712" s="231">
        <f t="shared" ca="1" si="481"/>
        <v>1</v>
      </c>
      <c r="O712" s="228" t="str">
        <f t="shared" ca="1" si="482"/>
        <v>Verga/contraverga de concreto, moldada in loco</v>
      </c>
      <c r="P712" s="232" t="str">
        <f>IF(S712="","",IF(Orçamento!$B712="INSUMO",S712,""))</f>
        <v>Tabua de pinus 20x2,5x300cm</v>
      </c>
      <c r="Q712" s="244" t="str">
        <f t="shared" si="483"/>
        <v/>
      </c>
      <c r="R712" s="234">
        <f t="shared" ca="1" si="484"/>
        <v>55.34</v>
      </c>
      <c r="S712" s="233" t="s">
        <v>174</v>
      </c>
      <c r="T712" s="242" t="str">
        <f>_xlfn.XLOOKUP(S712,Insumos!$A$3:$A$371,Insumos!$B$3:$B$371)</f>
        <v>M3</v>
      </c>
      <c r="U712" s="235">
        <f t="shared" ca="1" si="486"/>
        <v>55.34</v>
      </c>
      <c r="V712" s="320">
        <v>1.2E-2</v>
      </c>
      <c r="W712" s="236">
        <f>IFERROR(IF(B712="INSUMO",_xlfn.XLOOKUP(S712,Insumos!A:A,Insumos!C:C),""),"Inserir Preço")</f>
        <v>1410</v>
      </c>
      <c r="X712" s="235">
        <f t="shared" ca="1" si="485"/>
        <v>0.66408</v>
      </c>
      <c r="Y712" s="236">
        <f t="shared" si="463"/>
        <v>16.920000000000002</v>
      </c>
      <c r="Z712" s="237">
        <f t="shared" ca="1" si="446"/>
        <v>936.3528</v>
      </c>
      <c r="AA712" s="238"/>
      <c r="AB712" s="233" t="str">
        <f>IF(B712="insumo",_xlfn.XLOOKUP(S712,Insumos!A:A,Insumos!D:D),"")</f>
        <v xml:space="preserve"> </v>
      </c>
      <c r="AC712" s="239">
        <f t="shared" ca="1" si="447"/>
        <v>1.3432834607998253E-4</v>
      </c>
      <c r="AE712" s="240">
        <f ca="1">IFERROR(IF(OR(Z712="",Z712=0),"",IF(AF712="","",IF(AF712="R$/mês",Z712/OBRA!$D$12,IF(AF712="R$/m²",Z712/OBRA!$D$10,IF(AF712="R$/apto",Orçamento!Z712/OBRA!$D$11,""))))),"")</f>
        <v>0.48185382070058613</v>
      </c>
      <c r="AF712" s="241" t="s">
        <v>154</v>
      </c>
    </row>
    <row r="713" spans="1:32" s="10" customFormat="1" ht="13.15" hidden="1" customHeight="1" outlineLevel="4" x14ac:dyDescent="0.2">
      <c r="A713" s="227"/>
      <c r="B713" s="228" t="s">
        <v>19</v>
      </c>
      <c r="C713" s="229">
        <f t="shared" si="445"/>
        <v>12</v>
      </c>
      <c r="D713" s="227" t="str">
        <f t="shared" si="472"/>
        <v/>
      </c>
      <c r="E713" s="228" t="str">
        <f t="shared" ca="1" si="473"/>
        <v>05.002.003.001</v>
      </c>
      <c r="F713" s="230">
        <f ca="1">IF($B713="UNIDADE CONSTRUTIVA",OFFSET(F713,-1,0)+1,LARGE(F$10:F712,1))</f>
        <v>2</v>
      </c>
      <c r="G713" s="228" t="str">
        <f t="shared" ca="1" si="474"/>
        <v xml:space="preserve">   GERENCIAMENTO EXECUTIVO</v>
      </c>
      <c r="H713" s="230">
        <f t="shared" ca="1" si="475"/>
        <v>5</v>
      </c>
      <c r="I713" s="228" t="str">
        <f t="shared" ca="1" si="476"/>
        <v xml:space="preserve">   ALVENARIA | VEDAÇÕES | DIVISÓRIAS</v>
      </c>
      <c r="J713" s="230">
        <f t="shared" ca="1" si="477"/>
        <v>2</v>
      </c>
      <c r="K713" s="228" t="str">
        <f t="shared" ca="1" si="478"/>
        <v xml:space="preserve">   ALVENARIA | VEDAÇÕES | DIVISÓRIAS - 2º PAVIMENTO - TÉRREO</v>
      </c>
      <c r="L713" s="231">
        <f t="shared" ca="1" si="479"/>
        <v>3</v>
      </c>
      <c r="M713" s="228" t="str">
        <f t="shared" ca="1" si="480"/>
        <v xml:space="preserve">   Serviços Complementares</v>
      </c>
      <c r="N713" s="231">
        <f t="shared" ca="1" si="481"/>
        <v>1</v>
      </c>
      <c r="O713" s="228" t="str">
        <f t="shared" ca="1" si="482"/>
        <v>Verga/contraverga de concreto, moldada in loco</v>
      </c>
      <c r="P713" s="232" t="str">
        <f>IF(S713="","",IF(Orçamento!$B713="INSUMO",S713,""))</f>
        <v>SARRAFO DE MADEIRA 7,0 x 3 M</v>
      </c>
      <c r="Q713" s="244" t="str">
        <f t="shared" si="483"/>
        <v/>
      </c>
      <c r="R713" s="234">
        <f t="shared" ca="1" si="484"/>
        <v>55.34</v>
      </c>
      <c r="S713" s="233" t="s">
        <v>175</v>
      </c>
      <c r="T713" s="242" t="str">
        <f>_xlfn.XLOOKUP(S713,Insumos!$A$3:$A$371,Insumos!$B$3:$B$371)</f>
        <v>M3</v>
      </c>
      <c r="U713" s="235">
        <f t="shared" ca="1" si="486"/>
        <v>55.34</v>
      </c>
      <c r="V713" s="320">
        <v>7.9000000000000008E-3</v>
      </c>
      <c r="W713" s="236">
        <f>IFERROR(IF(B713="INSUMO",_xlfn.XLOOKUP(S713,Insumos!A:A,Insumos!C:C),""),"Inserir Preço")</f>
        <v>1300</v>
      </c>
      <c r="X713" s="235">
        <f t="shared" ca="1" si="485"/>
        <v>0.43718600000000007</v>
      </c>
      <c r="Y713" s="236">
        <f t="shared" si="463"/>
        <v>10.270000000000001</v>
      </c>
      <c r="Z713" s="237">
        <f t="shared" ca="1" si="446"/>
        <v>568.34180000000015</v>
      </c>
      <c r="AA713" s="238"/>
      <c r="AB713" s="233" t="str">
        <f>IF(B713="insumo",_xlfn.XLOOKUP(S713,Insumos!A:A,Insumos!D:D),"")</f>
        <v xml:space="preserve"> </v>
      </c>
      <c r="AC713" s="239">
        <f t="shared" ca="1" si="447"/>
        <v>8.1533812898429146E-5</v>
      </c>
      <c r="AE713" s="240">
        <f ca="1">IFERROR(IF(OR(Z713="",Z713=0),"",IF(AF713="","",IF(AF713="R$/mês",Z713/OBRA!$D$12,IF(AF713="R$/m²",Z713/OBRA!$D$10,IF(AF713="R$/apto",Orçamento!Z713/OBRA!$D$11,""))))),"")</f>
        <v>0.292472738687649</v>
      </c>
      <c r="AF713" s="241" t="s">
        <v>154</v>
      </c>
    </row>
    <row r="714" spans="1:32" s="10" customFormat="1" ht="13.15" hidden="1" customHeight="1" outlineLevel="4" x14ac:dyDescent="0.2">
      <c r="A714" s="227"/>
      <c r="B714" s="228" t="s">
        <v>19</v>
      </c>
      <c r="C714" s="229">
        <f t="shared" si="445"/>
        <v>26</v>
      </c>
      <c r="D714" s="227" t="str">
        <f t="shared" si="472"/>
        <v/>
      </c>
      <c r="E714" s="228" t="str">
        <f t="shared" ca="1" si="473"/>
        <v>05.002.003.001</v>
      </c>
      <c r="F714" s="230">
        <f ca="1">IF($B714="UNIDADE CONSTRUTIVA",OFFSET(F714,-1,0)+1,LARGE(F$10:F713,1))</f>
        <v>2</v>
      </c>
      <c r="G714" s="228" t="str">
        <f t="shared" ca="1" si="474"/>
        <v xml:space="preserve">   GERENCIAMENTO EXECUTIVO</v>
      </c>
      <c r="H714" s="230">
        <f t="shared" ca="1" si="475"/>
        <v>5</v>
      </c>
      <c r="I714" s="228" t="str">
        <f t="shared" ca="1" si="476"/>
        <v xml:space="preserve">   ALVENARIA | VEDAÇÕES | DIVISÓRIAS</v>
      </c>
      <c r="J714" s="230">
        <f t="shared" ca="1" si="477"/>
        <v>2</v>
      </c>
      <c r="K714" s="228" t="str">
        <f t="shared" ca="1" si="478"/>
        <v xml:space="preserve">   ALVENARIA | VEDAÇÕES | DIVISÓRIAS - 2º PAVIMENTO - TÉRREO</v>
      </c>
      <c r="L714" s="231">
        <f t="shared" ca="1" si="479"/>
        <v>3</v>
      </c>
      <c r="M714" s="228" t="str">
        <f t="shared" ca="1" si="480"/>
        <v xml:space="preserve">   Serviços Complementares</v>
      </c>
      <c r="N714" s="231">
        <f t="shared" ca="1" si="481"/>
        <v>1</v>
      </c>
      <c r="O714" s="228" t="str">
        <f t="shared" ca="1" si="482"/>
        <v>Verga/contraverga de concreto, moldada in loco</v>
      </c>
      <c r="P714" s="232" t="str">
        <f>IF(S714="","",IF(Orçamento!$B714="INSUMO",S714,""))</f>
        <v>MADEIRA PINUS/SIMILAR - PONTALETE 75X75MM NBR 11700/15696</v>
      </c>
      <c r="Q714" s="244" t="str">
        <f t="shared" si="483"/>
        <v/>
      </c>
      <c r="R714" s="234">
        <f t="shared" ca="1" si="484"/>
        <v>55.34</v>
      </c>
      <c r="S714" s="233" t="s">
        <v>807</v>
      </c>
      <c r="T714" s="242" t="str">
        <f>_xlfn.XLOOKUP(S714,Insumos!$A$3:$A$371,Insumos!$B$3:$B$371)</f>
        <v>M</v>
      </c>
      <c r="U714" s="235">
        <f t="shared" ca="1" si="486"/>
        <v>55.34</v>
      </c>
      <c r="V714" s="320">
        <v>0.37140000000000001</v>
      </c>
      <c r="W714" s="236">
        <f>IFERROR(IF(B714="INSUMO",_xlfn.XLOOKUP(S714,Insumos!A:A,Insumos!C:C),""),"Inserir Preço")</f>
        <v>7</v>
      </c>
      <c r="X714" s="235">
        <f t="shared" ca="1" si="485"/>
        <v>20.553276</v>
      </c>
      <c r="Y714" s="236">
        <f t="shared" si="463"/>
        <v>2.5998000000000001</v>
      </c>
      <c r="Z714" s="237">
        <f t="shared" ca="1" si="446"/>
        <v>143.87293199999999</v>
      </c>
      <c r="AA714" s="238"/>
      <c r="AB714" s="233" t="str">
        <f>IF(B714="insumo",_xlfn.XLOOKUP(S714,Insumos!A:A,Insumos!D:D),"")</f>
        <v xml:space="preserve"> </v>
      </c>
      <c r="AC714" s="239">
        <f t="shared" ca="1" si="447"/>
        <v>2.0639883814346253E-5</v>
      </c>
      <c r="AE714" s="240">
        <f ca="1">IFERROR(IF(OR(Z714="",Z714=0),"",IF(AF714="","",IF(AF714="R$/mês",Z714/OBRA!$D$12,IF(AF714="R$/m²",Z714/OBRA!$D$10,IF(AF714="R$/apto",Orçamento!Z714/OBRA!$D$11,""))))),"")</f>
        <v>7.4038035641689343E-2</v>
      </c>
      <c r="AF714" s="241" t="s">
        <v>154</v>
      </c>
    </row>
    <row r="715" spans="1:32" s="10" customFormat="1" ht="13.15" hidden="1" customHeight="1" outlineLevel="4" x14ac:dyDescent="0.2">
      <c r="A715" s="227"/>
      <c r="B715" s="228" t="s">
        <v>19</v>
      </c>
      <c r="C715" s="229">
        <f t="shared" si="445"/>
        <v>5</v>
      </c>
      <c r="D715" s="227" t="str">
        <f t="shared" si="472"/>
        <v/>
      </c>
      <c r="E715" s="228" t="str">
        <f t="shared" ca="1" si="473"/>
        <v>05.002.003.001</v>
      </c>
      <c r="F715" s="230">
        <f ca="1">IF($B715="UNIDADE CONSTRUTIVA",OFFSET(F715,-1,0)+1,LARGE(F$10:F714,1))</f>
        <v>2</v>
      </c>
      <c r="G715" s="228" t="str">
        <f t="shared" ca="1" si="474"/>
        <v xml:space="preserve">   GERENCIAMENTO EXECUTIVO</v>
      </c>
      <c r="H715" s="230">
        <f t="shared" ca="1" si="475"/>
        <v>5</v>
      </c>
      <c r="I715" s="228" t="str">
        <f t="shared" ca="1" si="476"/>
        <v xml:space="preserve">   ALVENARIA | VEDAÇÕES | DIVISÓRIAS</v>
      </c>
      <c r="J715" s="230">
        <f t="shared" ca="1" si="477"/>
        <v>2</v>
      </c>
      <c r="K715" s="228" t="str">
        <f t="shared" ca="1" si="478"/>
        <v xml:space="preserve">   ALVENARIA | VEDAÇÕES | DIVISÓRIAS - 2º PAVIMENTO - TÉRREO</v>
      </c>
      <c r="L715" s="231">
        <f t="shared" ca="1" si="479"/>
        <v>3</v>
      </c>
      <c r="M715" s="228" t="str">
        <f t="shared" ca="1" si="480"/>
        <v xml:space="preserve">   Serviços Complementares</v>
      </c>
      <c r="N715" s="231">
        <f t="shared" ca="1" si="481"/>
        <v>1</v>
      </c>
      <c r="O715" s="228" t="str">
        <f t="shared" ca="1" si="482"/>
        <v>Verga/contraverga de concreto, moldada in loco</v>
      </c>
      <c r="P715" s="232" t="str">
        <f>IF(S715="","",IF(Orçamento!$B715="INSUMO",S715,""))</f>
        <v>CONCRETO USINADO BOMBEAVEL FCK 20 MPA BRITA 0+1 SLUMP 14+/-2</v>
      </c>
      <c r="Q715" s="244" t="str">
        <f t="shared" si="483"/>
        <v/>
      </c>
      <c r="R715" s="234">
        <f t="shared" ca="1" si="484"/>
        <v>55.34</v>
      </c>
      <c r="S715" s="233" t="s">
        <v>211</v>
      </c>
      <c r="T715" s="242" t="str">
        <f>_xlfn.XLOOKUP(S715,Insumos!$A$3:$A$371,Insumos!$B$3:$B$371)</f>
        <v>M3</v>
      </c>
      <c r="U715" s="235">
        <f t="shared" ca="1" si="486"/>
        <v>55.34</v>
      </c>
      <c r="V715" s="320">
        <v>2.5000000000000001E-2</v>
      </c>
      <c r="W715" s="236">
        <f>IFERROR(IF(B715="INSUMO",_xlfn.XLOOKUP(S715,Insumos!A:A,Insumos!C:C),""),"Inserir Preço")</f>
        <v>480</v>
      </c>
      <c r="X715" s="235">
        <f t="shared" ca="1" si="485"/>
        <v>1.3835000000000002</v>
      </c>
      <c r="Y715" s="236">
        <f t="shared" si="463"/>
        <v>12</v>
      </c>
      <c r="Z715" s="237">
        <f t="shared" ca="1" si="446"/>
        <v>664.08</v>
      </c>
      <c r="AA715" s="238"/>
      <c r="AB715" s="233" t="str">
        <f>IF(B715="insumo",_xlfn.XLOOKUP(S715,Insumos!A:A,Insumos!D:D),"")</f>
        <v xml:space="preserve"> </v>
      </c>
      <c r="AC715" s="239">
        <f t="shared" ca="1" si="447"/>
        <v>9.5268330553179118E-5</v>
      </c>
      <c r="AE715" s="240">
        <f ca="1">IFERROR(IF(OR(Z715="",Z715=0),"",IF(AF715="","",IF(AF715="R$/mês",Z715/OBRA!$D$12,IF(AF715="R$/m²",Z715/OBRA!$D$10,IF(AF715="R$/apto",Orçamento!Z715/OBRA!$D$11,""))))),"")</f>
        <v>0.34174029836921005</v>
      </c>
      <c r="AF715" s="241" t="s">
        <v>154</v>
      </c>
    </row>
    <row r="716" spans="1:32" s="10" customFormat="1" ht="13.15" hidden="1" customHeight="1" outlineLevel="4" x14ac:dyDescent="0.2">
      <c r="A716" s="227"/>
      <c r="B716" s="228" t="s">
        <v>4</v>
      </c>
      <c r="C716" s="229">
        <f t="shared" ref="C716:C779" si="487">IF(B716="INSUMO",COUNTIFS(B:B,"INSUMO",S:S,S716),IF(B716="SERVIÇO",COUNTIFS(B:B,"SERVIÇO",S:S,S716),""))</f>
        <v>5</v>
      </c>
      <c r="D716" s="227" t="str">
        <f t="shared" ca="1" si="472"/>
        <v>05.002.003.002</v>
      </c>
      <c r="E716" s="228" t="str">
        <f t="shared" ca="1" si="473"/>
        <v>05.002.003.002</v>
      </c>
      <c r="F716" s="230">
        <f ca="1">IF($B716="UNIDADE CONSTRUTIVA",OFFSET(F716,-1,0)+1,LARGE(F$10:F715,1))</f>
        <v>2</v>
      </c>
      <c r="G716" s="228" t="str">
        <f t="shared" ca="1" si="474"/>
        <v xml:space="preserve">   GERENCIAMENTO EXECUTIVO</v>
      </c>
      <c r="H716" s="230">
        <f t="shared" ca="1" si="475"/>
        <v>5</v>
      </c>
      <c r="I716" s="228" t="str">
        <f t="shared" ca="1" si="476"/>
        <v xml:space="preserve">   ALVENARIA | VEDAÇÕES | DIVISÓRIAS</v>
      </c>
      <c r="J716" s="230">
        <f t="shared" ca="1" si="477"/>
        <v>2</v>
      </c>
      <c r="K716" s="228" t="str">
        <f t="shared" ca="1" si="478"/>
        <v xml:space="preserve">   ALVENARIA | VEDAÇÕES | DIVISÓRIAS - 2º PAVIMENTO - TÉRREO</v>
      </c>
      <c r="L716" s="231">
        <f t="shared" ca="1" si="479"/>
        <v>3</v>
      </c>
      <c r="M716" s="228" t="str">
        <f t="shared" ca="1" si="480"/>
        <v xml:space="preserve">   Serviços Complementares</v>
      </c>
      <c r="N716" s="231">
        <f t="shared" ca="1" si="481"/>
        <v>2</v>
      </c>
      <c r="O716" s="228" t="str">
        <f t="shared" ca="1" si="482"/>
        <v>Tela soldada para ligacao alvenaria/estrutura - para blocos de 9 a 14cm</v>
      </c>
      <c r="P716" s="232" t="str">
        <f>IF(S716="","",IF(Orçamento!$B716="INSUMO",S716,""))</f>
        <v/>
      </c>
      <c r="Q716" s="244" t="str">
        <f t="shared" si="483"/>
        <v>Tela soldada para ligacao alvenaria/estrutura - para blocos de 9 a 14cm</v>
      </c>
      <c r="R716" s="234">
        <f t="shared" ca="1" si="484"/>
        <v>243</v>
      </c>
      <c r="S716" s="233" t="s">
        <v>212</v>
      </c>
      <c r="T716" s="242" t="s">
        <v>142</v>
      </c>
      <c r="U716" s="235">
        <f>ROUNDUP((U694+U697+U700+U704)*0.58,0)</f>
        <v>243</v>
      </c>
      <c r="V716" s="320" t="s">
        <v>35</v>
      </c>
      <c r="W716" s="236" t="str">
        <f>IFERROR(IF(B716="INSUMO",_xlfn.XLOOKUP(S716,Insumos!A:A,Insumos!C:C),""),"Inserir Preço")</f>
        <v/>
      </c>
      <c r="X716" s="235">
        <f t="shared" ca="1" si="485"/>
        <v>243</v>
      </c>
      <c r="Y716" s="236">
        <f t="shared" ca="1" si="463"/>
        <v>1.7000000000000002</v>
      </c>
      <c r="Z716" s="237">
        <f t="shared" ref="Z716:Z779" ca="1" si="488">IFERROR(IF(B716="Unidade Construtiva",SUMIFS(Z:Z,B:B,"Célula Construtiva",G:G,G716),IF(B716="célula construtiva",SUMIFS(Z:Z,B:B,"Insumo",I:I,I716,G:G,G716),IF(B716="ETAPA",SUMIFS(Z:Z,B:B,"Insumo",K:K,K716,I:I,I716,G:G,G716),IF(B716="subetapa",SUMIFS(Z:Z,M:M,M716,B:B,"insumo",K:K,K716,I:I,I716,G:G,G716),IF(B716="complemento do insumo",V716*W716,IF(B716="INSUMO",R716*V716*W716,X716*Y716)))))),"")</f>
        <v>413.1</v>
      </c>
      <c r="AA716" s="238"/>
      <c r="AB716" s="233" t="str">
        <f>IF(B716="insumo",_xlfn.XLOOKUP(S716,Insumos!A:A,Insumos!D:D),"")</f>
        <v/>
      </c>
      <c r="AC716" s="239">
        <f t="shared" ref="AC716:AC779" ca="1" si="489">IFERROR(IF(B716="","",Z716/SUMIF(B:B,"INSUMO",Z:Z)),0)</f>
        <v>5.9262961317188128E-5</v>
      </c>
      <c r="AD716" s="340"/>
      <c r="AE716" s="240">
        <f ca="1">IFERROR(IF(OR(Z716="",Z716=0),"",IF(AF716="","",IF(AF716="R$/mês",Z716/OBRA!$D$12,IF(AF716="R$/m²",Z716/OBRA!$D$10,IF(AF716="R$/apto",Orçamento!Z716/OBRA!$D$11,""))))),"")</f>
        <v>0.21258420259053226</v>
      </c>
      <c r="AF716" s="241" t="s">
        <v>154</v>
      </c>
    </row>
    <row r="717" spans="1:32" s="10" customFormat="1" ht="13.15" hidden="1" customHeight="1" outlineLevel="4" x14ac:dyDescent="0.2">
      <c r="A717" s="227"/>
      <c r="B717" s="228" t="s">
        <v>19</v>
      </c>
      <c r="C717" s="229">
        <f t="shared" si="487"/>
        <v>6</v>
      </c>
      <c r="D717" s="227" t="str">
        <f t="shared" si="472"/>
        <v/>
      </c>
      <c r="E717" s="228" t="str">
        <f t="shared" ca="1" si="473"/>
        <v>05.002.003.002</v>
      </c>
      <c r="F717" s="230">
        <f ca="1">IF($B717="UNIDADE CONSTRUTIVA",OFFSET(F717,-1,0)+1,LARGE(F$10:F716,1))</f>
        <v>2</v>
      </c>
      <c r="G717" s="228" t="str">
        <f t="shared" ca="1" si="474"/>
        <v xml:space="preserve">   GERENCIAMENTO EXECUTIVO</v>
      </c>
      <c r="H717" s="230">
        <f t="shared" ca="1" si="475"/>
        <v>5</v>
      </c>
      <c r="I717" s="228" t="str">
        <f t="shared" ca="1" si="476"/>
        <v xml:space="preserve">   ALVENARIA | VEDAÇÕES | DIVISÓRIAS</v>
      </c>
      <c r="J717" s="230">
        <f t="shared" ca="1" si="477"/>
        <v>2</v>
      </c>
      <c r="K717" s="228" t="str">
        <f t="shared" ca="1" si="478"/>
        <v xml:space="preserve">   ALVENARIA | VEDAÇÕES | DIVISÓRIAS - 2º PAVIMENTO - TÉRREO</v>
      </c>
      <c r="L717" s="231">
        <f t="shared" ca="1" si="479"/>
        <v>3</v>
      </c>
      <c r="M717" s="228" t="str">
        <f t="shared" ca="1" si="480"/>
        <v xml:space="preserve">   Serviços Complementares</v>
      </c>
      <c r="N717" s="231">
        <f t="shared" ca="1" si="481"/>
        <v>2</v>
      </c>
      <c r="O717" s="228" t="str">
        <f t="shared" ca="1" si="482"/>
        <v>Tela soldada para ligacao alvenaria/estrutura - para blocos de 9 a 14cm</v>
      </c>
      <c r="P717" s="232" t="str">
        <f>IF(S717="","",IF(Orçamento!$B717="INSUMO",S717,""))</f>
        <v>TELA AMARRAÇÃO MALHA 15 X 15MM - 7,5 X 50CM D= 1,24MM</v>
      </c>
      <c r="Q717" s="244" t="str">
        <f t="shared" si="483"/>
        <v/>
      </c>
      <c r="R717" s="234">
        <f t="shared" ca="1" si="484"/>
        <v>243</v>
      </c>
      <c r="S717" s="233" t="s">
        <v>213</v>
      </c>
      <c r="T717" s="242" t="str">
        <f>_xlfn.XLOOKUP(S717,Insumos!$A$3:$A$371,Insumos!$B$3:$B$371)</f>
        <v>UN</v>
      </c>
      <c r="U717" s="235">
        <f ca="1">IF($B717="insumo",R717,"")</f>
        <v>243</v>
      </c>
      <c r="V717" s="320">
        <v>1</v>
      </c>
      <c r="W717" s="236">
        <f>IFERROR(IF(B717="INSUMO",_xlfn.XLOOKUP(S717,Insumos!A:A,Insumos!C:C),""),"Inserir Preço")</f>
        <v>1.1000000000000001</v>
      </c>
      <c r="X717" s="235">
        <f t="shared" ca="1" si="485"/>
        <v>243</v>
      </c>
      <c r="Y717" s="236">
        <f t="shared" si="463"/>
        <v>1.1000000000000001</v>
      </c>
      <c r="Z717" s="237">
        <f t="shared" ca="1" si="488"/>
        <v>267.3</v>
      </c>
      <c r="AA717" s="238"/>
      <c r="AB717" s="233" t="str">
        <f>IF(B717="insumo",_xlfn.XLOOKUP(S717,Insumos!A:A,Insumos!D:D),"")</f>
        <v>Base de dados</v>
      </c>
      <c r="AC717" s="239">
        <f t="shared" ca="1" si="489"/>
        <v>3.8346622028768786E-5</v>
      </c>
      <c r="AE717" s="240">
        <f ca="1">IFERROR(IF(OR(Z717="",Z717=0),"",IF(AF717="","",IF(AF717="R$/mês",Z717/OBRA!$D$12,IF(AF717="R$/m²",Z717/OBRA!$D$10,IF(AF717="R$/apto",Orçamento!Z717/OBRA!$D$11,""))))),"")</f>
        <v>0.13755448402916792</v>
      </c>
      <c r="AF717" s="241" t="s">
        <v>154</v>
      </c>
    </row>
    <row r="718" spans="1:32" s="10" customFormat="1" ht="13.15" hidden="1" customHeight="1" outlineLevel="4" x14ac:dyDescent="0.2">
      <c r="A718" s="227"/>
      <c r="B718" s="228" t="s">
        <v>19</v>
      </c>
      <c r="C718" s="229">
        <f t="shared" si="487"/>
        <v>6</v>
      </c>
      <c r="D718" s="227" t="str">
        <f t="shared" si="472"/>
        <v/>
      </c>
      <c r="E718" s="228" t="str">
        <f t="shared" ca="1" si="473"/>
        <v>05.002.003.002</v>
      </c>
      <c r="F718" s="230">
        <f ca="1">IF($B718="UNIDADE CONSTRUTIVA",OFFSET(F718,-1,0)+1,LARGE(F$10:F717,1))</f>
        <v>2</v>
      </c>
      <c r="G718" s="228" t="str">
        <f t="shared" ca="1" si="474"/>
        <v xml:space="preserve">   GERENCIAMENTO EXECUTIVO</v>
      </c>
      <c r="H718" s="230">
        <f t="shared" ca="1" si="475"/>
        <v>5</v>
      </c>
      <c r="I718" s="228" t="str">
        <f t="shared" ca="1" si="476"/>
        <v xml:space="preserve">   ALVENARIA | VEDAÇÕES | DIVISÓRIAS</v>
      </c>
      <c r="J718" s="230">
        <f t="shared" ca="1" si="477"/>
        <v>2</v>
      </c>
      <c r="K718" s="228" t="str">
        <f t="shared" ca="1" si="478"/>
        <v xml:space="preserve">   ALVENARIA | VEDAÇÕES | DIVISÓRIAS - 2º PAVIMENTO - TÉRREO</v>
      </c>
      <c r="L718" s="231">
        <f t="shared" ca="1" si="479"/>
        <v>3</v>
      </c>
      <c r="M718" s="228" t="str">
        <f t="shared" ca="1" si="480"/>
        <v xml:space="preserve">   Serviços Complementares</v>
      </c>
      <c r="N718" s="231">
        <f t="shared" ca="1" si="481"/>
        <v>2</v>
      </c>
      <c r="O718" s="228" t="str">
        <f t="shared" ca="1" si="482"/>
        <v>Tela soldada para ligacao alvenaria/estrutura - para blocos de 9 a 14cm</v>
      </c>
      <c r="P718" s="232" t="str">
        <f>IF(S718="","",IF(Orçamento!$B718="INSUMO",S718,""))</f>
        <v>PINO LISO EM ACO GALVANIZADO 1/2 X 22MM COM ARRUELA</v>
      </c>
      <c r="Q718" s="244" t="str">
        <f t="shared" si="483"/>
        <v/>
      </c>
      <c r="R718" s="234">
        <f t="shared" ca="1" si="484"/>
        <v>243</v>
      </c>
      <c r="S718" s="233" t="s">
        <v>214</v>
      </c>
      <c r="T718" s="242" t="str">
        <f>_xlfn.XLOOKUP(S718,Insumos!$A$3:$A$371,Insumos!$B$3:$B$371)</f>
        <v>UN</v>
      </c>
      <c r="U718" s="235">
        <f ca="1">IF($B718="insumo",R718,"")</f>
        <v>243</v>
      </c>
      <c r="V718" s="320">
        <v>1</v>
      </c>
      <c r="W718" s="236">
        <f>IFERROR(IF(B718="INSUMO",_xlfn.XLOOKUP(S718,Insumos!A:A,Insumos!C:C),""),"Inserir Preço")</f>
        <v>0.3</v>
      </c>
      <c r="X718" s="235">
        <f t="shared" ca="1" si="485"/>
        <v>243</v>
      </c>
      <c r="Y718" s="236">
        <f t="shared" si="463"/>
        <v>0.3</v>
      </c>
      <c r="Z718" s="237">
        <f t="shared" ca="1" si="488"/>
        <v>72.899999999999991</v>
      </c>
      <c r="AA718" s="238"/>
      <c r="AB718" s="233" t="str">
        <f>IF(B718="insumo",_xlfn.XLOOKUP(S718,Insumos!A:A,Insumos!D:D),"")</f>
        <v xml:space="preserve"> </v>
      </c>
      <c r="AC718" s="239">
        <f t="shared" ca="1" si="489"/>
        <v>1.0458169644209667E-5</v>
      </c>
      <c r="AE718" s="240">
        <f ca="1">IFERROR(IF(OR(Z718="",Z718=0),"",IF(AF718="","",IF(AF718="R$/mês",Z718/OBRA!$D$12,IF(AF718="R$/m²",Z718/OBRA!$D$10,IF(AF718="R$/apto",Orçamento!Z718/OBRA!$D$11,""))))),"")</f>
        <v>3.7514859280682156E-2</v>
      </c>
      <c r="AF718" s="241" t="s">
        <v>154</v>
      </c>
    </row>
    <row r="719" spans="1:32" s="10" customFormat="1" ht="13.15" hidden="1" customHeight="1" outlineLevel="4" x14ac:dyDescent="0.2">
      <c r="A719" s="227"/>
      <c r="B719" s="228" t="s">
        <v>19</v>
      </c>
      <c r="C719" s="229">
        <f t="shared" si="487"/>
        <v>6</v>
      </c>
      <c r="D719" s="227" t="str">
        <f t="shared" si="472"/>
        <v/>
      </c>
      <c r="E719" s="228" t="str">
        <f t="shared" ca="1" si="473"/>
        <v>05.002.003.002</v>
      </c>
      <c r="F719" s="230">
        <f ca="1">IF($B719="UNIDADE CONSTRUTIVA",OFFSET(F719,-1,0)+1,LARGE(F$10:F718,1))</f>
        <v>2</v>
      </c>
      <c r="G719" s="228" t="str">
        <f t="shared" ca="1" si="474"/>
        <v xml:space="preserve">   GERENCIAMENTO EXECUTIVO</v>
      </c>
      <c r="H719" s="230">
        <f t="shared" ca="1" si="475"/>
        <v>5</v>
      </c>
      <c r="I719" s="228" t="str">
        <f t="shared" ca="1" si="476"/>
        <v xml:space="preserve">   ALVENARIA | VEDAÇÕES | DIVISÓRIAS</v>
      </c>
      <c r="J719" s="230">
        <f t="shared" ca="1" si="477"/>
        <v>2</v>
      </c>
      <c r="K719" s="228" t="str">
        <f t="shared" ca="1" si="478"/>
        <v xml:space="preserve">   ALVENARIA | VEDAÇÕES | DIVISÓRIAS - 2º PAVIMENTO - TÉRREO</v>
      </c>
      <c r="L719" s="231">
        <f t="shared" ca="1" si="479"/>
        <v>3</v>
      </c>
      <c r="M719" s="228" t="str">
        <f t="shared" ca="1" si="480"/>
        <v xml:space="preserve">   Serviços Complementares</v>
      </c>
      <c r="N719" s="231">
        <f t="shared" ca="1" si="481"/>
        <v>2</v>
      </c>
      <c r="O719" s="228" t="str">
        <f t="shared" ca="1" si="482"/>
        <v>Tela soldada para ligacao alvenaria/estrutura - para blocos de 9 a 14cm</v>
      </c>
      <c r="P719" s="232" t="str">
        <f>IF(S719="","",IF(Orçamento!$B719="INSUMO",S719,""))</f>
        <v>CARTUCHO 22 - CARGA LEVE PARA FINCA PINO A POLVORA</v>
      </c>
      <c r="Q719" s="244" t="str">
        <f t="shared" si="483"/>
        <v/>
      </c>
      <c r="R719" s="234">
        <f t="shared" ca="1" si="484"/>
        <v>243</v>
      </c>
      <c r="S719" s="233" t="s">
        <v>215</v>
      </c>
      <c r="T719" s="242" t="str">
        <f>_xlfn.XLOOKUP(S719,Insumos!$A$3:$A$371,Insumos!$B$3:$B$371)</f>
        <v>UN</v>
      </c>
      <c r="U719" s="235">
        <f ca="1">IF($B719="insumo",R719,"")</f>
        <v>243</v>
      </c>
      <c r="V719" s="320">
        <v>1</v>
      </c>
      <c r="W719" s="236">
        <f>IFERROR(IF(B719="INSUMO",_xlfn.XLOOKUP(S719,Insumos!A:A,Insumos!C:C),""),"Inserir Preço")</f>
        <v>0.3</v>
      </c>
      <c r="X719" s="235">
        <f t="shared" ca="1" si="485"/>
        <v>243</v>
      </c>
      <c r="Y719" s="236">
        <f t="shared" si="463"/>
        <v>0.3</v>
      </c>
      <c r="Z719" s="237">
        <f t="shared" ca="1" si="488"/>
        <v>72.899999999999991</v>
      </c>
      <c r="AA719" s="238"/>
      <c r="AB719" s="233" t="str">
        <f>IF(B719="insumo",_xlfn.XLOOKUP(S719,Insumos!A:A,Insumos!D:D),"")</f>
        <v xml:space="preserve"> </v>
      </c>
      <c r="AC719" s="239">
        <f t="shared" ca="1" si="489"/>
        <v>1.0458169644209667E-5</v>
      </c>
      <c r="AE719" s="240">
        <f ca="1">IFERROR(IF(OR(Z719="",Z719=0),"",IF(AF719="","",IF(AF719="R$/mês",Z719/OBRA!$D$12,IF(AF719="R$/m²",Z719/OBRA!$D$10,IF(AF719="R$/apto",Orçamento!Z719/OBRA!$D$11,""))))),"")</f>
        <v>3.7514859280682156E-2</v>
      </c>
      <c r="AF719" s="241" t="s">
        <v>154</v>
      </c>
    </row>
    <row r="720" spans="1:32" s="10" customFormat="1" ht="13.15" hidden="1" customHeight="1" outlineLevel="4" x14ac:dyDescent="0.2">
      <c r="A720" s="227"/>
      <c r="B720" s="228" t="s">
        <v>4</v>
      </c>
      <c r="C720" s="229">
        <f t="shared" si="487"/>
        <v>5</v>
      </c>
      <c r="D720" s="227" t="str">
        <f t="shared" ca="1" si="472"/>
        <v>05.002.003.003</v>
      </c>
      <c r="E720" s="228" t="str">
        <f t="shared" ca="1" si="473"/>
        <v>05.002.003.003</v>
      </c>
      <c r="F720" s="230">
        <f ca="1">IF($B720="UNIDADE CONSTRUTIVA",OFFSET(F720,-1,0)+1,LARGE(F$10:F719,1))</f>
        <v>2</v>
      </c>
      <c r="G720" s="228" t="str">
        <f t="shared" ca="1" si="474"/>
        <v xml:space="preserve">   GERENCIAMENTO EXECUTIVO</v>
      </c>
      <c r="H720" s="230">
        <f t="shared" ca="1" si="475"/>
        <v>5</v>
      </c>
      <c r="I720" s="228" t="str">
        <f t="shared" ca="1" si="476"/>
        <v xml:space="preserve">   ALVENARIA | VEDAÇÕES | DIVISÓRIAS</v>
      </c>
      <c r="J720" s="230">
        <f t="shared" ca="1" si="477"/>
        <v>2</v>
      </c>
      <c r="K720" s="228" t="str">
        <f t="shared" ca="1" si="478"/>
        <v xml:space="preserve">   ALVENARIA | VEDAÇÕES | DIVISÓRIAS - 2º PAVIMENTO - TÉRREO</v>
      </c>
      <c r="L720" s="231">
        <f t="shared" ca="1" si="479"/>
        <v>3</v>
      </c>
      <c r="M720" s="228" t="str">
        <f t="shared" ca="1" si="480"/>
        <v xml:space="preserve">   Serviços Complementares</v>
      </c>
      <c r="N720" s="231">
        <f t="shared" ca="1" si="481"/>
        <v>3</v>
      </c>
      <c r="O720" s="228" t="str">
        <f t="shared" ca="1" si="482"/>
        <v>Encunhamento de alvenaria de vedacao com argamassa expansiva</v>
      </c>
      <c r="P720" s="232" t="str">
        <f>IF(S720="","",IF(Orçamento!$B720="INSUMO",S720,""))</f>
        <v/>
      </c>
      <c r="Q720" s="244" t="str">
        <f t="shared" si="483"/>
        <v>Encunhamento de alvenaria de vedacao com argamassa expansiva</v>
      </c>
      <c r="R720" s="234">
        <f t="shared" ca="1" si="484"/>
        <v>290.19</v>
      </c>
      <c r="S720" s="233" t="s">
        <v>216</v>
      </c>
      <c r="T720" s="242" t="s">
        <v>158</v>
      </c>
      <c r="U720" s="235">
        <v>290.19</v>
      </c>
      <c r="V720" s="320" t="s">
        <v>35</v>
      </c>
      <c r="W720" s="236" t="str">
        <f>IFERROR(IF(B720="INSUMO",_xlfn.XLOOKUP(S720,Insumos!A:A,Insumos!C:C),""),"Inserir Preço")</f>
        <v/>
      </c>
      <c r="X720" s="235">
        <f t="shared" ca="1" si="485"/>
        <v>290.19</v>
      </c>
      <c r="Y720" s="236">
        <f t="shared" ca="1" si="463"/>
        <v>4.5200000000000005</v>
      </c>
      <c r="Z720" s="237">
        <f t="shared" ca="1" si="488"/>
        <v>1311.6588000000002</v>
      </c>
      <c r="AA720" s="238"/>
      <c r="AB720" s="233" t="str">
        <f>IF(B720="insumo",_xlfn.XLOOKUP(S720,Insumos!A:A,Insumos!D:D),"")</f>
        <v/>
      </c>
      <c r="AC720" s="239">
        <f t="shared" ca="1" si="489"/>
        <v>1.8816941352154298E-4</v>
      </c>
      <c r="AE720" s="240">
        <f ca="1">IFERROR(IF(OR(Z720="",Z720=0),"",IF(AF720="","",IF(AF720="R$/mês",Z720/OBRA!$D$12,IF(AF720="R$/m²",Z720/OBRA!$D$10,IF(AF720="R$/apto",Orçamento!Z720/OBRA!$D$11,""))))),"")</f>
        <v>0.67498896167720757</v>
      </c>
      <c r="AF720" s="241" t="s">
        <v>154</v>
      </c>
    </row>
    <row r="721" spans="1:32" s="10" customFormat="1" ht="13.15" hidden="1" customHeight="1" outlineLevel="4" x14ac:dyDescent="0.2">
      <c r="A721" s="227"/>
      <c r="B721" s="228" t="s">
        <v>19</v>
      </c>
      <c r="C721" s="229">
        <f t="shared" si="487"/>
        <v>5</v>
      </c>
      <c r="D721" s="227" t="str">
        <f t="shared" si="472"/>
        <v/>
      </c>
      <c r="E721" s="228" t="str">
        <f t="shared" ca="1" si="473"/>
        <v>05.002.003.003</v>
      </c>
      <c r="F721" s="230">
        <f ca="1">IF($B721="UNIDADE CONSTRUTIVA",OFFSET(F721,-1,0)+1,LARGE(F$10:F720,1))</f>
        <v>2</v>
      </c>
      <c r="G721" s="228" t="str">
        <f t="shared" ca="1" si="474"/>
        <v xml:space="preserve">   GERENCIAMENTO EXECUTIVO</v>
      </c>
      <c r="H721" s="230">
        <f t="shared" ca="1" si="475"/>
        <v>5</v>
      </c>
      <c r="I721" s="228" t="str">
        <f t="shared" ca="1" si="476"/>
        <v xml:space="preserve">   ALVENARIA | VEDAÇÕES | DIVISÓRIAS</v>
      </c>
      <c r="J721" s="230">
        <f t="shared" ca="1" si="477"/>
        <v>2</v>
      </c>
      <c r="K721" s="228" t="str">
        <f t="shared" ca="1" si="478"/>
        <v xml:space="preserve">   ALVENARIA | VEDAÇÕES | DIVISÓRIAS - 2º PAVIMENTO - TÉRREO</v>
      </c>
      <c r="L721" s="231">
        <f t="shared" ca="1" si="479"/>
        <v>3</v>
      </c>
      <c r="M721" s="228" t="str">
        <f t="shared" ca="1" si="480"/>
        <v xml:space="preserve">   Serviços Complementares</v>
      </c>
      <c r="N721" s="231">
        <f t="shared" ca="1" si="481"/>
        <v>3</v>
      </c>
      <c r="O721" s="228" t="str">
        <f t="shared" ca="1" si="482"/>
        <v>Encunhamento de alvenaria de vedacao com argamassa expansiva</v>
      </c>
      <c r="P721" s="232" t="str">
        <f>IF(S721="","",IF(Orçamento!$B721="INSUMO",S721,""))</f>
        <v>ARGAMASSA PARA ENCUNHAMENTO</v>
      </c>
      <c r="Q721" s="244" t="str">
        <f t="shared" si="483"/>
        <v/>
      </c>
      <c r="R721" s="234">
        <f t="shared" ca="1" si="484"/>
        <v>290.19</v>
      </c>
      <c r="S721" s="233" t="s">
        <v>217</v>
      </c>
      <c r="T721" s="242" t="str">
        <f>_xlfn.XLOOKUP(S721,Insumos!$A$3:$A$371,Insumos!$B$3:$B$371)</f>
        <v>KG</v>
      </c>
      <c r="U721" s="235">
        <f ca="1">IF($B721="insumo",R721,"")</f>
        <v>290.19</v>
      </c>
      <c r="V721" s="320">
        <v>2</v>
      </c>
      <c r="W721" s="236">
        <f>IFERROR(IF(B721="INSUMO",_xlfn.XLOOKUP(S721,Insumos!A:A,Insumos!C:C),""),"Inserir Preço")</f>
        <v>2.2600000000000002</v>
      </c>
      <c r="X721" s="235">
        <f t="shared" ca="1" si="485"/>
        <v>580.38</v>
      </c>
      <c r="Y721" s="236">
        <f t="shared" si="463"/>
        <v>4.5200000000000005</v>
      </c>
      <c r="Z721" s="237">
        <f t="shared" ca="1" si="488"/>
        <v>1311.6588000000002</v>
      </c>
      <c r="AA721" s="238"/>
      <c r="AB721" s="233" t="str">
        <f>IF(B721="insumo",_xlfn.XLOOKUP(S721,Insumos!A:A,Insumos!D:D),"")</f>
        <v xml:space="preserve"> </v>
      </c>
      <c r="AC721" s="239">
        <f t="shared" ca="1" si="489"/>
        <v>1.8816941352154298E-4</v>
      </c>
      <c r="AE721" s="240">
        <f ca="1">IFERROR(IF(OR(Z721="",Z721=0),"",IF(AF721="","",IF(AF721="R$/mês",Z721/OBRA!$D$12,IF(AF721="R$/m²",Z721/OBRA!$D$10,IF(AF721="R$/apto",Orçamento!Z721/OBRA!$D$11,""))))),"")</f>
        <v>0.67498896167720757</v>
      </c>
      <c r="AF721" s="241" t="s">
        <v>154</v>
      </c>
    </row>
    <row r="722" spans="1:32" s="10" customFormat="1" ht="13.15" hidden="1" customHeight="1" outlineLevel="3" collapsed="1" x14ac:dyDescent="0.2">
      <c r="A722" s="227"/>
      <c r="B722" s="228" t="s">
        <v>3</v>
      </c>
      <c r="C722" s="229" t="str">
        <f t="shared" si="487"/>
        <v/>
      </c>
      <c r="D722" s="227" t="str">
        <f t="shared" ca="1" si="472"/>
        <v>05.002.004</v>
      </c>
      <c r="E722" s="228" t="str">
        <f t="shared" ca="1" si="473"/>
        <v>05.002.003.003</v>
      </c>
      <c r="F722" s="230">
        <f ca="1">IF($B722="UNIDADE CONSTRUTIVA",OFFSET(F722,-1,0)+1,LARGE(F$10:F721,1))</f>
        <v>2</v>
      </c>
      <c r="G722" s="228" t="str">
        <f t="shared" ca="1" si="474"/>
        <v xml:space="preserve">   GERENCIAMENTO EXECUTIVO</v>
      </c>
      <c r="H722" s="230">
        <f t="shared" ca="1" si="475"/>
        <v>5</v>
      </c>
      <c r="I722" s="228" t="str">
        <f t="shared" ca="1" si="476"/>
        <v xml:space="preserve">   ALVENARIA | VEDAÇÕES | DIVISÓRIAS</v>
      </c>
      <c r="J722" s="230">
        <f t="shared" ca="1" si="477"/>
        <v>2</v>
      </c>
      <c r="K722" s="228" t="str">
        <f t="shared" ca="1" si="478"/>
        <v xml:space="preserve">   ALVENARIA | VEDAÇÕES | DIVISÓRIAS - 2º PAVIMENTO - TÉRREO</v>
      </c>
      <c r="L722" s="231">
        <f t="shared" ca="1" si="479"/>
        <v>4</v>
      </c>
      <c r="M722" s="228" t="str">
        <f t="shared" ca="1" si="480"/>
        <v xml:space="preserve">   Mão de Obra</v>
      </c>
      <c r="N722" s="231">
        <f t="shared" ca="1" si="481"/>
        <v>0</v>
      </c>
      <c r="O722" s="228" t="str">
        <f t="shared" ca="1" si="482"/>
        <v>Encunhamento de alvenaria de vedacao com argamassa expansiva</v>
      </c>
      <c r="P722" s="232" t="str">
        <f>IF(S722="","",IF(Orçamento!$B722="INSUMO",S722,""))</f>
        <v/>
      </c>
      <c r="Q722" s="244" t="str">
        <f t="shared" si="483"/>
        <v/>
      </c>
      <c r="R722" s="234">
        <f t="shared" ca="1" si="484"/>
        <v>290.19</v>
      </c>
      <c r="S722" s="233" t="s">
        <v>438</v>
      </c>
      <c r="T722" s="242" t="s">
        <v>35</v>
      </c>
      <c r="U722" s="235" t="str">
        <f>IF($B722="insumo",R722,"")</f>
        <v/>
      </c>
      <c r="V722" s="320" t="s">
        <v>35</v>
      </c>
      <c r="W722" s="236" t="str">
        <f>IFERROR(IF(B722="INSUMO",_xlfn.XLOOKUP(S722,Insumos!A:A,Insumos!C:C),""),"Inserir Preço")</f>
        <v/>
      </c>
      <c r="X722" s="235" t="str">
        <f t="shared" ca="1" si="485"/>
        <v/>
      </c>
      <c r="Y722" s="236" t="str">
        <f t="shared" si="463"/>
        <v/>
      </c>
      <c r="Z722" s="237">
        <f t="shared" ca="1" si="488"/>
        <v>24604.272454942788</v>
      </c>
      <c r="AA722" s="238"/>
      <c r="AB722" s="233" t="str">
        <f>IF(B722="insumo",_xlfn.XLOOKUP(S722,Insumos!A:A,Insumos!D:D),"")</f>
        <v/>
      </c>
      <c r="AC722" s="239">
        <f t="shared" ca="1" si="489"/>
        <v>3.5297072058456348E-3</v>
      </c>
      <c r="AE722" s="240">
        <f ca="1">IFERROR(IF(OR(Z722="",Z722=0),"",IF(AF722="","",IF(AF722="R$/mês",Z722/OBRA!$D$12,IF(AF722="R$/m²",Z722/OBRA!$D$10,IF(AF722="R$/apto",Orçamento!Z722/OBRA!$D$11,""))))),"")</f>
        <v>12.661533866265335</v>
      </c>
      <c r="AF722" s="241" t="s">
        <v>154</v>
      </c>
    </row>
    <row r="723" spans="1:32" s="10" customFormat="1" ht="13.15" hidden="1" customHeight="1" outlineLevel="4" x14ac:dyDescent="0.2">
      <c r="A723" s="227"/>
      <c r="B723" s="228" t="s">
        <v>4</v>
      </c>
      <c r="C723" s="229">
        <f t="shared" si="487"/>
        <v>5</v>
      </c>
      <c r="D723" s="227" t="str">
        <f t="shared" ca="1" si="472"/>
        <v>05.002.004.001</v>
      </c>
      <c r="E723" s="228" t="str">
        <f t="shared" ca="1" si="473"/>
        <v>05.002.004.001</v>
      </c>
      <c r="F723" s="230">
        <f ca="1">IF($B723="UNIDADE CONSTRUTIVA",OFFSET(F723,-1,0)+1,LARGE(F$10:F722,1))</f>
        <v>2</v>
      </c>
      <c r="G723" s="228" t="str">
        <f t="shared" ca="1" si="474"/>
        <v xml:space="preserve">   GERENCIAMENTO EXECUTIVO</v>
      </c>
      <c r="H723" s="230">
        <f t="shared" ca="1" si="475"/>
        <v>5</v>
      </c>
      <c r="I723" s="228" t="str">
        <f t="shared" ca="1" si="476"/>
        <v xml:space="preserve">   ALVENARIA | VEDAÇÕES | DIVISÓRIAS</v>
      </c>
      <c r="J723" s="230">
        <f t="shared" ca="1" si="477"/>
        <v>2</v>
      </c>
      <c r="K723" s="228" t="str">
        <f t="shared" ca="1" si="478"/>
        <v xml:space="preserve">   ALVENARIA | VEDAÇÕES | DIVISÓRIAS - 2º PAVIMENTO - TÉRREO</v>
      </c>
      <c r="L723" s="231">
        <f t="shared" ca="1" si="479"/>
        <v>4</v>
      </c>
      <c r="M723" s="228" t="str">
        <f t="shared" ca="1" si="480"/>
        <v xml:space="preserve">   Mão de Obra</v>
      </c>
      <c r="N723" s="231">
        <f t="shared" ca="1" si="481"/>
        <v>1</v>
      </c>
      <c r="O723" s="228" t="str">
        <f t="shared" ca="1" si="482"/>
        <v>Mao de obra empreitada vedacoes internas e externas - assentamento blocos ceramicos</v>
      </c>
      <c r="P723" s="232" t="str">
        <f>IF(S723="","",IF(Orçamento!$B723="INSUMO",S723,""))</f>
        <v/>
      </c>
      <c r="Q723" s="244" t="str">
        <f t="shared" si="483"/>
        <v>Mao de obra empreitada vedacoes internas e externas - assentamento blocos ceramicos</v>
      </c>
      <c r="R723" s="234">
        <f t="shared" ca="1" si="484"/>
        <v>417.51400000000001</v>
      </c>
      <c r="S723" s="233" t="s">
        <v>218</v>
      </c>
      <c r="T723" s="242" t="s">
        <v>140</v>
      </c>
      <c r="U723" s="235">
        <f>U694+U697+U700+U704</f>
        <v>417.51400000000001</v>
      </c>
      <c r="V723" s="320" t="s">
        <v>35</v>
      </c>
      <c r="W723" s="236" t="str">
        <f>IFERROR(IF(B723="INSUMO",_xlfn.XLOOKUP(S723,Insumos!A:A,Insumos!C:C),""),"Inserir Preço")</f>
        <v/>
      </c>
      <c r="X723" s="235">
        <f t="shared" ca="1" si="485"/>
        <v>417.51400000000001</v>
      </c>
      <c r="Y723" s="236">
        <f t="shared" ca="1" si="463"/>
        <v>58.930413003977797</v>
      </c>
      <c r="Z723" s="237">
        <f t="shared" ca="1" si="488"/>
        <v>24604.272454942788</v>
      </c>
      <c r="AA723" s="238"/>
      <c r="AB723" s="233" t="str">
        <f>IF(B723="insumo",_xlfn.XLOOKUP(S723,Insumos!A:A,Insumos!D:D),"")</f>
        <v/>
      </c>
      <c r="AC723" s="239">
        <f t="shared" ca="1" si="489"/>
        <v>3.5297072058456348E-3</v>
      </c>
      <c r="AE723" s="240">
        <f ca="1">IFERROR(IF(OR(Z723="",Z723=0),"",IF(AF723="","",IF(AF723="R$/mês",Z723/OBRA!$D$12,IF(AF723="R$/m²",Z723/OBRA!$D$10,IF(AF723="R$/apto",Orçamento!Z723/OBRA!$D$11,""))))),"")</f>
        <v>12.661533866265335</v>
      </c>
      <c r="AF723" s="241" t="s">
        <v>154</v>
      </c>
    </row>
    <row r="724" spans="1:32" s="10" customFormat="1" ht="13.15" hidden="1" customHeight="1" outlineLevel="4" x14ac:dyDescent="0.2">
      <c r="A724" s="227"/>
      <c r="B724" s="228" t="s">
        <v>19</v>
      </c>
      <c r="C724" s="229">
        <f t="shared" si="487"/>
        <v>5</v>
      </c>
      <c r="D724" s="227" t="str">
        <f t="shared" si="472"/>
        <v/>
      </c>
      <c r="E724" s="228" t="str">
        <f t="shared" ca="1" si="473"/>
        <v>05.002.004.001</v>
      </c>
      <c r="F724" s="230">
        <f ca="1">IF($B724="UNIDADE CONSTRUTIVA",OFFSET(F724,-1,0)+1,LARGE(F$10:F723,1))</f>
        <v>2</v>
      </c>
      <c r="G724" s="228" t="str">
        <f t="shared" ca="1" si="474"/>
        <v xml:space="preserve">   GERENCIAMENTO EXECUTIVO</v>
      </c>
      <c r="H724" s="230">
        <f t="shared" ca="1" si="475"/>
        <v>5</v>
      </c>
      <c r="I724" s="228" t="str">
        <f t="shared" ca="1" si="476"/>
        <v xml:space="preserve">   ALVENARIA | VEDAÇÕES | DIVISÓRIAS</v>
      </c>
      <c r="J724" s="230">
        <f t="shared" ca="1" si="477"/>
        <v>2</v>
      </c>
      <c r="K724" s="228" t="str">
        <f t="shared" ca="1" si="478"/>
        <v xml:space="preserve">   ALVENARIA | VEDAÇÕES | DIVISÓRIAS - 2º PAVIMENTO - TÉRREO</v>
      </c>
      <c r="L724" s="231">
        <f t="shared" ca="1" si="479"/>
        <v>4</v>
      </c>
      <c r="M724" s="228" t="str">
        <f t="shared" ca="1" si="480"/>
        <v xml:space="preserve">   Mão de Obra</v>
      </c>
      <c r="N724" s="231">
        <f t="shared" ca="1" si="481"/>
        <v>1</v>
      </c>
      <c r="O724" s="228" t="str">
        <f t="shared" ca="1" si="482"/>
        <v>Mao de obra empreitada vedacoes internas e externas - assentamento blocos ceramicos</v>
      </c>
      <c r="P724" s="232" t="str">
        <f>IF(S724="","",IF(Orçamento!$B724="INSUMO",S724,""))</f>
        <v>MAO DE OBRA ASSENTAMENTO DE BLOCOS</v>
      </c>
      <c r="Q724" s="244" t="str">
        <f t="shared" si="483"/>
        <v/>
      </c>
      <c r="R724" s="234">
        <f t="shared" ca="1" si="484"/>
        <v>417.51400000000001</v>
      </c>
      <c r="S724" s="233" t="s">
        <v>693</v>
      </c>
      <c r="T724" s="242" t="str">
        <f>_xlfn.XLOOKUP(S724,Insumos!$A$3:$A$371,Insumos!$B$3:$B$371)</f>
        <v>M2</v>
      </c>
      <c r="U724" s="235">
        <f ca="1">IF($B724="insumo",R724,"")</f>
        <v>417.51400000000001</v>
      </c>
      <c r="V724" s="320">
        <v>1</v>
      </c>
      <c r="W724" s="236">
        <f>IFERROR(IF(B724="INSUMO",_xlfn.XLOOKUP(S724,Insumos!A:A,Insumos!C:C),""),"Inserir Preço")</f>
        <v>58.930413003977797</v>
      </c>
      <c r="X724" s="235">
        <f t="shared" ca="1" si="485"/>
        <v>417.51400000000001</v>
      </c>
      <c r="Y724" s="236">
        <f t="shared" si="463"/>
        <v>58.930413003977797</v>
      </c>
      <c r="Z724" s="237">
        <f t="shared" ca="1" si="488"/>
        <v>24604.272454942788</v>
      </c>
      <c r="AA724" s="238"/>
      <c r="AB724" s="233" t="str">
        <f>IF(B724="insumo",_xlfn.XLOOKUP(S724,Insumos!A:A,Insumos!D:D),"")</f>
        <v>Aba Custo Serviços</v>
      </c>
      <c r="AC724" s="239">
        <f t="shared" ca="1" si="489"/>
        <v>3.5297072058456348E-3</v>
      </c>
      <c r="AE724" s="240">
        <f ca="1">IFERROR(IF(OR(Z724="",Z724=0),"",IF(AF724="","",IF(AF724="R$/mês",Z724/OBRA!$D$12,IF(AF724="R$/m²",Z724/OBRA!$D$10,IF(AF724="R$/apto",Orçamento!Z724/OBRA!$D$11,""))))),"")</f>
        <v>12.661533866265335</v>
      </c>
      <c r="AF724" s="241" t="s">
        <v>154</v>
      </c>
    </row>
    <row r="725" spans="1:32" s="10" customFormat="1" ht="13.15" customHeight="1" outlineLevel="2" collapsed="1" x14ac:dyDescent="0.2">
      <c r="A725" s="227"/>
      <c r="B725" s="228" t="s">
        <v>2</v>
      </c>
      <c r="C725" s="229" t="str">
        <f t="shared" si="487"/>
        <v/>
      </c>
      <c r="D725" s="227" t="str">
        <f t="shared" ref="D725:D732" ca="1" si="490">IF(B725="Unidade Construtiva",TEXT(F725,"00"),IF(B725="Célula Construtiva",TEXT(H725,"00"),IF(B725="Etapa",CONCATENATE(TEXT(H725,"00"),".",TEXT(J725,"000")),IF(B725="Subetapa",CONCATENATE(TEXT(H725,"00"),".",TEXT(J725,"000"),".",TEXT(L725,"000")),IF(B725="Serviço",CONCATENATE(TEXT(H725,"00"),".",TEXT(J725,"000"),".",TEXT(L725,"000"),".",TEXT(N725,"000")),"")))))</f>
        <v>05.003</v>
      </c>
      <c r="E725" s="228" t="str">
        <f t="shared" ref="E725:E732" ca="1" si="491">IF(B725="*","",IFERROR(IF(B725="SERVIÇO",D725,OFFSET(E725,-1,0)),""))</f>
        <v>05.002.004.001</v>
      </c>
      <c r="F725" s="230">
        <f ca="1">IF($B725="UNIDADE CONSTRUTIVA",OFFSET(F725,-1,0)+1,LARGE(F$10:F724,1))</f>
        <v>2</v>
      </c>
      <c r="G725" s="228" t="str">
        <f t="shared" ref="G725:G732" ca="1" si="492">IF(B725="*","",IF(B725="UNIDADE CONSTRUTIVA",S725,OFFSET(G725,-1,0)))</f>
        <v xml:space="preserve">   GERENCIAMENTO EXECUTIVO</v>
      </c>
      <c r="H725" s="230">
        <f t="shared" ref="H725:H732" ca="1" si="493">IF(B725="UNIDADE CONSTRUTIVA",0,IF(B725="CÉLULA CONSTRUTIVA",OFFSET(H725,-1,0)+1,OFFSET(H725,-1,0)))</f>
        <v>5</v>
      </c>
      <c r="I725" s="228" t="str">
        <f t="shared" ref="I725:I732" ca="1" si="494">IF(B725="*","",IF(B725="CÉLULA CONSTRUTIVA",S725,OFFSET(I725,-1,0)))</f>
        <v xml:space="preserve">   ALVENARIA | VEDAÇÕES | DIVISÓRIAS</v>
      </c>
      <c r="J725" s="230">
        <f t="shared" ref="J725:J732" ca="1" si="495">IF(B725="CÉLULA CONSTRUTIVA",0,IF(B725="ETAPA",OFFSET(J725,-1,0)+1,OFFSET(J725,-1,0)))</f>
        <v>3</v>
      </c>
      <c r="K725" s="228" t="str">
        <f t="shared" ref="K725:K732" ca="1" si="496">IF(B725="*","",IF(B725="ETAPA",S725,OFFSET(K725,-1,0)))</f>
        <v xml:space="preserve">   ALVENARIA | VEDAÇÕES | DIVISÓRIAS - 3º ao 7º PAVIMENTO - TIPO</v>
      </c>
      <c r="L725" s="231">
        <f t="shared" ref="L725:L732" ca="1" si="497">IF(B725="ETAPA",0,IF(B725="SUBETAPA",OFFSET(L725,-1,0)+1,OFFSET(L725,-1,0)))</f>
        <v>0</v>
      </c>
      <c r="M725" s="228" t="str">
        <f t="shared" ref="M725:M732" ca="1" si="498">IF(B725="*","",IF(B725="SUBETAPA",S725,OFFSET(M725,-1,0)))</f>
        <v xml:space="preserve">   Mão de Obra</v>
      </c>
      <c r="N725" s="231">
        <f t="shared" ref="N725:N732" ca="1" si="499">IF(B725="Subetapa",0,IF(B725="serviço",OFFSET(N725,-1,0)+1,OFFSET(N725,-1,0)))</f>
        <v>1</v>
      </c>
      <c r="O725" s="228" t="str">
        <f t="shared" ref="O725:O732" ca="1" si="500">IF(B725="*","",IF(B725="SERVIÇO",S725,OFFSET(O725,-1,0)))</f>
        <v>Mao de obra empreitada vedacoes internas e externas - assentamento blocos ceramicos</v>
      </c>
      <c r="P725" s="232" t="str">
        <f>IF(S725="","",IF(Orçamento!$B725="INSUMO",S725,""))</f>
        <v/>
      </c>
      <c r="Q725" s="244" t="str">
        <f t="shared" ref="Q725:Q732" si="501">IF(B725="","",IF(B725="Serviço",S725,""))</f>
        <v/>
      </c>
      <c r="R725" s="234">
        <f t="shared" ref="R725:R732" ca="1" si="502">IF(B725="serviço",U725,OFFSET(R725,-1,0))</f>
        <v>417.51400000000001</v>
      </c>
      <c r="S725" s="233" t="s">
        <v>667</v>
      </c>
      <c r="T725" s="242" t="s">
        <v>35</v>
      </c>
      <c r="U725" s="235" t="str">
        <f>IF($B725="insumo",R725,"")</f>
        <v/>
      </c>
      <c r="V725" s="320" t="s">
        <v>35</v>
      </c>
      <c r="W725" s="236" t="str">
        <f>IFERROR(IF(B725="INSUMO",_xlfn.XLOOKUP(S725,Insumos!A:A,Insumos!C:C),""),"Inserir Preço")</f>
        <v/>
      </c>
      <c r="X725" s="235" t="str">
        <f t="shared" ref="X725:X732" ca="1" si="503">IF(B725="Complemento do insumo",V725,IF(R725="","",IF(B725="serviço",R725,IF(OR(B725="insumo"),V725*R725,""))))</f>
        <v/>
      </c>
      <c r="Y725" s="236" t="str">
        <f t="shared" si="463"/>
        <v/>
      </c>
      <c r="Z725" s="237">
        <f t="shared" ca="1" si="488"/>
        <v>161353.96118555992</v>
      </c>
      <c r="AA725" s="238"/>
      <c r="AB725" s="233" t="str">
        <f>IF(B725="insumo",_xlfn.XLOOKUP(S725,Insumos!A:A,Insumos!D:D),"")</f>
        <v/>
      </c>
      <c r="AC725" s="239">
        <f t="shared" ca="1" si="489"/>
        <v>2.3147696829133167E-2</v>
      </c>
      <c r="AE725" s="240">
        <f ca="1">IFERROR(IF(OR(Z725="",Z725=0),"",IF(AF725="","",IF(AF725="R$/mês",Z725/OBRA!$D$12,IF(AF725="R$/m²",Z725/OBRA!$D$10,IF(AF725="R$/apto",Orçamento!Z725/OBRA!$D$11,""))))),"")</f>
        <v>83.03389778130223</v>
      </c>
      <c r="AF725" s="241" t="s">
        <v>154</v>
      </c>
    </row>
    <row r="726" spans="1:32" s="10" customFormat="1" ht="13.15" hidden="1" customHeight="1" outlineLevel="3" collapsed="1" x14ac:dyDescent="0.2">
      <c r="A726" s="227"/>
      <c r="B726" s="228" t="s">
        <v>3</v>
      </c>
      <c r="C726" s="229" t="str">
        <f t="shared" si="487"/>
        <v/>
      </c>
      <c r="D726" s="227" t="str">
        <f t="shared" ca="1" si="490"/>
        <v>05.003.001</v>
      </c>
      <c r="E726" s="228" t="str">
        <f t="shared" ca="1" si="491"/>
        <v>05.002.004.001</v>
      </c>
      <c r="F726" s="230">
        <f ca="1">IF($B726="UNIDADE CONSTRUTIVA",OFFSET(F726,-1,0)+1,LARGE(F$10:F725,1))</f>
        <v>2</v>
      </c>
      <c r="G726" s="228" t="str">
        <f t="shared" ca="1" si="492"/>
        <v xml:space="preserve">   GERENCIAMENTO EXECUTIVO</v>
      </c>
      <c r="H726" s="230">
        <f t="shared" ca="1" si="493"/>
        <v>5</v>
      </c>
      <c r="I726" s="228" t="str">
        <f t="shared" ca="1" si="494"/>
        <v xml:space="preserve">   ALVENARIA | VEDAÇÕES | DIVISÓRIAS</v>
      </c>
      <c r="J726" s="230">
        <f t="shared" ca="1" si="495"/>
        <v>3</v>
      </c>
      <c r="K726" s="228" t="str">
        <f t="shared" ca="1" si="496"/>
        <v xml:space="preserve">   ALVENARIA | VEDAÇÕES | DIVISÓRIAS - 3º ao 7º PAVIMENTO - TIPO</v>
      </c>
      <c r="L726" s="231">
        <f t="shared" ca="1" si="497"/>
        <v>1</v>
      </c>
      <c r="M726" s="228" t="str">
        <f t="shared" ca="1" si="498"/>
        <v xml:space="preserve">   Alvenaria de Vedação com Blocos Cerâmicos</v>
      </c>
      <c r="N726" s="231">
        <f t="shared" ca="1" si="499"/>
        <v>0</v>
      </c>
      <c r="O726" s="228" t="str">
        <f t="shared" ca="1" si="500"/>
        <v>Mao de obra empreitada vedacoes internas e externas - assentamento blocos ceramicos</v>
      </c>
      <c r="P726" s="232" t="str">
        <f>IF(S726="","",IF(Orçamento!$B726="INSUMO",S726,""))</f>
        <v/>
      </c>
      <c r="Q726" s="244" t="str">
        <f t="shared" si="501"/>
        <v/>
      </c>
      <c r="R726" s="234">
        <f t="shared" ca="1" si="502"/>
        <v>417.51400000000001</v>
      </c>
      <c r="S726" s="233" t="s">
        <v>439</v>
      </c>
      <c r="T726" s="242" t="s">
        <v>35</v>
      </c>
      <c r="U726" s="235" t="str">
        <f>IF($B726="insumo",R726,"")</f>
        <v/>
      </c>
      <c r="V726" s="320" t="s">
        <v>35</v>
      </c>
      <c r="W726" s="236" t="str">
        <f>IFERROR(IF(B726="INSUMO",_xlfn.XLOOKUP(S726,Insumos!A:A,Insumos!C:C),""),"Inserir Preço")</f>
        <v/>
      </c>
      <c r="X726" s="235" t="str">
        <f t="shared" ca="1" si="503"/>
        <v/>
      </c>
      <c r="Y726" s="236" t="str">
        <f t="shared" si="463"/>
        <v/>
      </c>
      <c r="Z726" s="237">
        <f t="shared" ca="1" si="488"/>
        <v>55318.589055000004</v>
      </c>
      <c r="AA726" s="238"/>
      <c r="AB726" s="233" t="str">
        <f>IF(B726="insumo",_xlfn.XLOOKUP(S726,Insumos!A:A,Insumos!D:D),"")</f>
        <v/>
      </c>
      <c r="AC726" s="239">
        <f t="shared" ca="1" si="489"/>
        <v>7.9359559508300447E-3</v>
      </c>
      <c r="AE726" s="240">
        <f ca="1">IFERROR(IF(OR(Z726="",Z726=0),"",IF(AF726="","",IF(AF726="R$/mês",Z726/OBRA!$D$12,IF(AF726="R$/m²",Z726/OBRA!$D$10,IF(AF726="R$/apto",Orçamento!Z726/OBRA!$D$11,""))))),"")</f>
        <v>28.467339972622902</v>
      </c>
      <c r="AF726" s="241" t="s">
        <v>154</v>
      </c>
    </row>
    <row r="727" spans="1:32" s="10" customFormat="1" ht="13.15" hidden="1" customHeight="1" outlineLevel="4" x14ac:dyDescent="0.2">
      <c r="A727" s="227"/>
      <c r="B727" s="228" t="s">
        <v>4</v>
      </c>
      <c r="C727" s="229">
        <f t="shared" si="487"/>
        <v>4</v>
      </c>
      <c r="D727" s="227" t="str">
        <f t="shared" ca="1" si="490"/>
        <v>05.003.001.001</v>
      </c>
      <c r="E727" s="228" t="str">
        <f t="shared" ca="1" si="491"/>
        <v>05.003.001.001</v>
      </c>
      <c r="F727" s="230">
        <f ca="1">IF($B727="UNIDADE CONSTRUTIVA",OFFSET(F727,-1,0)+1,LARGE(F$10:F726,1))</f>
        <v>2</v>
      </c>
      <c r="G727" s="228" t="str">
        <f t="shared" ca="1" si="492"/>
        <v xml:space="preserve">   GERENCIAMENTO EXECUTIVO</v>
      </c>
      <c r="H727" s="230">
        <f t="shared" ca="1" si="493"/>
        <v>5</v>
      </c>
      <c r="I727" s="228" t="str">
        <f t="shared" ca="1" si="494"/>
        <v xml:space="preserve">   ALVENARIA | VEDAÇÕES | DIVISÓRIAS</v>
      </c>
      <c r="J727" s="230">
        <f t="shared" ca="1" si="495"/>
        <v>3</v>
      </c>
      <c r="K727" s="228" t="str">
        <f t="shared" ca="1" si="496"/>
        <v xml:space="preserve">   ALVENARIA | VEDAÇÕES | DIVISÓRIAS - 3º ao 7º PAVIMENTO - TIPO</v>
      </c>
      <c r="L727" s="231">
        <f t="shared" ca="1" si="497"/>
        <v>1</v>
      </c>
      <c r="M727" s="228" t="str">
        <f t="shared" ca="1" si="498"/>
        <v xml:space="preserve">   Alvenaria de Vedação com Blocos Cerâmicos</v>
      </c>
      <c r="N727" s="231">
        <f t="shared" ca="1" si="499"/>
        <v>1</v>
      </c>
      <c r="O727" s="228" t="str">
        <f t="shared" ca="1" si="500"/>
        <v>Alvenaria de vedacao de blocos ceramicos furados na horizontal de  9 X 19 X 29 cm (espessura 9cm) com argamassa industrializada de assentamento</v>
      </c>
      <c r="P727" s="232" t="str">
        <f>IF(S727="","",IF(Orçamento!$B727="INSUMO",S727,""))</f>
        <v/>
      </c>
      <c r="Q727" s="244" t="str">
        <f t="shared" si="501"/>
        <v>Alvenaria de vedacao de blocos ceramicos furados na horizontal de  9 X 19 X 29 cm (espessura 9cm) com argamassa industrializada de assentamento</v>
      </c>
      <c r="R727" s="234">
        <f t="shared" ca="1" si="502"/>
        <v>11.55</v>
      </c>
      <c r="S727" s="233" t="s">
        <v>690</v>
      </c>
      <c r="T727" s="242" t="s">
        <v>140</v>
      </c>
      <c r="U727" s="235">
        <v>11.55</v>
      </c>
      <c r="V727" s="320" t="s">
        <v>35</v>
      </c>
      <c r="W727" s="236" t="str">
        <f>IFERROR(IF(B727="INSUMO",_xlfn.XLOOKUP(S727,Insumos!A:A,Insumos!C:C),""),"Inserir Preço")</f>
        <v/>
      </c>
      <c r="X727" s="235">
        <f t="shared" ca="1" si="503"/>
        <v>11.55</v>
      </c>
      <c r="Y727" s="236">
        <f t="shared" ca="1" si="463"/>
        <v>29.162700000000001</v>
      </c>
      <c r="Z727" s="237">
        <f t="shared" ca="1" si="488"/>
        <v>336.82918500000005</v>
      </c>
      <c r="AA727" s="238"/>
      <c r="AB727" s="233" t="str">
        <f>IF(B727="insumo",_xlfn.XLOOKUP(S727,Insumos!A:A,Insumos!D:D),"")</f>
        <v/>
      </c>
      <c r="AC727" s="239">
        <f t="shared" ca="1" si="489"/>
        <v>4.8321217528818702E-5</v>
      </c>
      <c r="AE727" s="240">
        <f ca="1">IFERROR(IF(OR(Z727="",Z727=0),"",IF(AF727="","",IF(AF727="R$/mês",Z727/OBRA!$D$12,IF(AF727="R$/m²",Z727/OBRA!$D$10,IF(AF727="R$/apto",Orçamento!Z727/OBRA!$D$11,""))))),"")</f>
        <v>0.17333469789988837</v>
      </c>
      <c r="AF727" s="241" t="s">
        <v>154</v>
      </c>
    </row>
    <row r="728" spans="1:32" s="10" customFormat="1" ht="13.15" hidden="1" customHeight="1" outlineLevel="4" x14ac:dyDescent="0.2">
      <c r="A728" s="227"/>
      <c r="B728" s="228" t="s">
        <v>19</v>
      </c>
      <c r="C728" s="229">
        <f t="shared" si="487"/>
        <v>19</v>
      </c>
      <c r="D728" s="227" t="str">
        <f t="shared" si="490"/>
        <v/>
      </c>
      <c r="E728" s="228" t="str">
        <f t="shared" ca="1" si="491"/>
        <v>05.003.001.001</v>
      </c>
      <c r="F728" s="230">
        <f ca="1">IF($B728="UNIDADE CONSTRUTIVA",OFFSET(F728,-1,0)+1,LARGE(F$10:F727,1))</f>
        <v>2</v>
      </c>
      <c r="G728" s="228" t="str">
        <f t="shared" ca="1" si="492"/>
        <v xml:space="preserve">   GERENCIAMENTO EXECUTIVO</v>
      </c>
      <c r="H728" s="230">
        <f t="shared" ca="1" si="493"/>
        <v>5</v>
      </c>
      <c r="I728" s="228" t="str">
        <f t="shared" ca="1" si="494"/>
        <v xml:space="preserve">   ALVENARIA | VEDAÇÕES | DIVISÓRIAS</v>
      </c>
      <c r="J728" s="230">
        <f t="shared" ca="1" si="495"/>
        <v>3</v>
      </c>
      <c r="K728" s="228" t="str">
        <f t="shared" ca="1" si="496"/>
        <v xml:space="preserve">   ALVENARIA | VEDAÇÕES | DIVISÓRIAS - 3º ao 7º PAVIMENTO - TIPO</v>
      </c>
      <c r="L728" s="231">
        <f t="shared" ca="1" si="497"/>
        <v>1</v>
      </c>
      <c r="M728" s="228" t="str">
        <f t="shared" ca="1" si="498"/>
        <v xml:space="preserve">   Alvenaria de Vedação com Blocos Cerâmicos</v>
      </c>
      <c r="N728" s="231">
        <f t="shared" ca="1" si="499"/>
        <v>1</v>
      </c>
      <c r="O728" s="228" t="str">
        <f t="shared" ca="1" si="500"/>
        <v>Alvenaria de vedacao de blocos ceramicos furados na horizontal de  9 X 19 X 29 cm (espessura 9cm) com argamassa industrializada de assentamento</v>
      </c>
      <c r="P728" s="232" t="str">
        <f>IF(S728="","",IF(Orçamento!$B728="INSUMO",S728,""))</f>
        <v>ARGAMASSA ESTABILIZADA P/ ASSENTAMENTO</v>
      </c>
      <c r="Q728" s="244" t="str">
        <f t="shared" si="501"/>
        <v/>
      </c>
      <c r="R728" s="234">
        <f t="shared" ca="1" si="502"/>
        <v>11.55</v>
      </c>
      <c r="S728" s="233" t="s">
        <v>206</v>
      </c>
      <c r="T728" s="242" t="str">
        <f>_xlfn.XLOOKUP(S728,Insumos!$A$3:$A$371,Insumos!$B$3:$B$371)</f>
        <v>M3</v>
      </c>
      <c r="U728" s="235">
        <f ca="1">IF($B728="insumo",R728,"")</f>
        <v>11.55</v>
      </c>
      <c r="V728" s="320">
        <v>1.8683999999999999E-2</v>
      </c>
      <c r="W728" s="236">
        <f>IFERROR(IF(B728="INSUMO",_xlfn.XLOOKUP(S728,Insumos!A:A,Insumos!C:C),""),"Inserir Preço")</f>
        <v>425</v>
      </c>
      <c r="X728" s="235">
        <f t="shared" ca="1" si="503"/>
        <v>0.2158002</v>
      </c>
      <c r="Y728" s="236">
        <f t="shared" si="463"/>
        <v>7.9406999999999996</v>
      </c>
      <c r="Z728" s="237">
        <f t="shared" ca="1" si="488"/>
        <v>91.715085000000002</v>
      </c>
      <c r="AA728" s="238"/>
      <c r="AB728" s="233" t="str">
        <f>IF(B728="insumo",_xlfn.XLOOKUP(S728,Insumos!A:A,Insumos!D:D),"")</f>
        <v xml:space="preserve"> </v>
      </c>
      <c r="AC728" s="239">
        <f t="shared" ca="1" si="489"/>
        <v>1.3157365128437716E-5</v>
      </c>
      <c r="AE728" s="240">
        <f ca="1">IFERROR(IF(OR(Z728="",Z728=0),"",IF(AF728="","",IF(AF728="R$/mês",Z728/OBRA!$D$12,IF(AF728="R$/m²",Z728/OBRA!$D$10,IF(AF728="R$/apto",Orçamento!Z728/OBRA!$D$11,""))))),"")</f>
        <v>4.7197236045141339E-2</v>
      </c>
      <c r="AF728" s="241" t="s">
        <v>154</v>
      </c>
    </row>
    <row r="729" spans="1:32" s="10" customFormat="1" ht="13.15" hidden="1" customHeight="1" outlineLevel="4" x14ac:dyDescent="0.2">
      <c r="A729" s="227"/>
      <c r="B729" s="228" t="s">
        <v>19</v>
      </c>
      <c r="C729" s="229">
        <f t="shared" si="487"/>
        <v>4</v>
      </c>
      <c r="D729" s="227" t="str">
        <f t="shared" si="490"/>
        <v/>
      </c>
      <c r="E729" s="228" t="str">
        <f t="shared" ca="1" si="491"/>
        <v>05.003.001.001</v>
      </c>
      <c r="F729" s="230">
        <f ca="1">IF($B729="UNIDADE CONSTRUTIVA",OFFSET(F729,-1,0)+1,LARGE(F$10:F728,1))</f>
        <v>2</v>
      </c>
      <c r="G729" s="228" t="str">
        <f t="shared" ca="1" si="492"/>
        <v xml:space="preserve">   GERENCIAMENTO EXECUTIVO</v>
      </c>
      <c r="H729" s="230">
        <f t="shared" ca="1" si="493"/>
        <v>5</v>
      </c>
      <c r="I729" s="228" t="str">
        <f t="shared" ca="1" si="494"/>
        <v xml:space="preserve">   ALVENARIA | VEDAÇÕES | DIVISÓRIAS</v>
      </c>
      <c r="J729" s="230">
        <f t="shared" ca="1" si="495"/>
        <v>3</v>
      </c>
      <c r="K729" s="228" t="str">
        <f t="shared" ca="1" si="496"/>
        <v xml:space="preserve">   ALVENARIA | VEDAÇÕES | DIVISÓRIAS - 3º ao 7º PAVIMENTO - TIPO</v>
      </c>
      <c r="L729" s="231">
        <f t="shared" ca="1" si="497"/>
        <v>1</v>
      </c>
      <c r="M729" s="228" t="str">
        <f t="shared" ca="1" si="498"/>
        <v xml:space="preserve">   Alvenaria de Vedação com Blocos Cerâmicos</v>
      </c>
      <c r="N729" s="231">
        <f t="shared" ca="1" si="499"/>
        <v>1</v>
      </c>
      <c r="O729" s="228" t="str">
        <f t="shared" ca="1" si="500"/>
        <v>Alvenaria de vedacao de blocos ceramicos furados na horizontal de  9 X 19 X 29 cm (espessura 9cm) com argamassa industrializada de assentamento</v>
      </c>
      <c r="P729" s="232" t="str">
        <f>IF(S729="","",IF(Orçamento!$B729="INSUMO",S729,""))</f>
        <v>BLOCO CERAMICO VEDACAO 9 X 19 X 29 CM - FUROS NA HORIZONTAL</v>
      </c>
      <c r="Q729" s="244" t="str">
        <f t="shared" si="501"/>
        <v/>
      </c>
      <c r="R729" s="234">
        <f t="shared" ca="1" si="502"/>
        <v>11.55</v>
      </c>
      <c r="S729" s="233" t="s">
        <v>389</v>
      </c>
      <c r="T729" s="242" t="str">
        <f>_xlfn.XLOOKUP(S729,Insumos!$A$3:$A$371,Insumos!$B$3:$B$371)</f>
        <v>UN</v>
      </c>
      <c r="U729" s="235">
        <f ca="1">IF($B729="insumo",R729,"")</f>
        <v>11.55</v>
      </c>
      <c r="V729" s="320">
        <v>18</v>
      </c>
      <c r="W729" s="236">
        <f>IFERROR(IF(B729="INSUMO",_xlfn.XLOOKUP(S729,Insumos!A:A,Insumos!C:C),""),"Inserir Preço")</f>
        <v>1.179</v>
      </c>
      <c r="X729" s="235">
        <f t="shared" ca="1" si="503"/>
        <v>207.9</v>
      </c>
      <c r="Y729" s="236">
        <f t="shared" si="463"/>
        <v>21.222000000000001</v>
      </c>
      <c r="Z729" s="237">
        <f t="shared" ca="1" si="488"/>
        <v>245.11410000000001</v>
      </c>
      <c r="AA729" s="238"/>
      <c r="AB729" s="233" t="str">
        <f>IF(B729="insumo",_xlfn.XLOOKUP(S729,Insumos!A:A,Insumos!D:D),"")</f>
        <v xml:space="preserve"> </v>
      </c>
      <c r="AC729" s="239">
        <f t="shared" ca="1" si="489"/>
        <v>3.5163852400380981E-5</v>
      </c>
      <c r="AE729" s="240">
        <f ca="1">IFERROR(IF(OR(Z729="",Z729=0),"",IF(AF729="","",IF(AF729="R$/mês",Z729/OBRA!$D$12,IF(AF729="R$/m²",Z729/OBRA!$D$10,IF(AF729="R$/apto",Orçamento!Z729/OBRA!$D$11,""))))),"")</f>
        <v>0.126137461854747</v>
      </c>
      <c r="AF729" s="241" t="s">
        <v>154</v>
      </c>
    </row>
    <row r="730" spans="1:32" s="10" customFormat="1" ht="13.15" hidden="1" customHeight="1" outlineLevel="4" x14ac:dyDescent="0.2">
      <c r="A730" s="227"/>
      <c r="B730" s="228" t="s">
        <v>4</v>
      </c>
      <c r="C730" s="229">
        <f t="shared" si="487"/>
        <v>4</v>
      </c>
      <c r="D730" s="227" t="str">
        <f t="shared" ca="1" si="490"/>
        <v>05.003.001.002</v>
      </c>
      <c r="E730" s="228" t="str">
        <f t="shared" ca="1" si="491"/>
        <v>05.003.001.002</v>
      </c>
      <c r="F730" s="230">
        <f ca="1">IF($B730="UNIDADE CONSTRUTIVA",OFFSET(F730,-1,0)+1,LARGE(F$10:F729,1))</f>
        <v>2</v>
      </c>
      <c r="G730" s="228" t="str">
        <f t="shared" ca="1" si="492"/>
        <v xml:space="preserve">   GERENCIAMENTO EXECUTIVO</v>
      </c>
      <c r="H730" s="230">
        <f t="shared" ca="1" si="493"/>
        <v>5</v>
      </c>
      <c r="I730" s="228" t="str">
        <f t="shared" ca="1" si="494"/>
        <v xml:space="preserve">   ALVENARIA | VEDAÇÕES | DIVISÓRIAS</v>
      </c>
      <c r="J730" s="230">
        <f t="shared" ca="1" si="495"/>
        <v>3</v>
      </c>
      <c r="K730" s="228" t="str">
        <f t="shared" ca="1" si="496"/>
        <v xml:space="preserve">   ALVENARIA | VEDAÇÕES | DIVISÓRIAS - 3º ao 7º PAVIMENTO - TIPO</v>
      </c>
      <c r="L730" s="231">
        <f t="shared" ca="1" si="497"/>
        <v>1</v>
      </c>
      <c r="M730" s="228" t="str">
        <f t="shared" ca="1" si="498"/>
        <v xml:space="preserve">   Alvenaria de Vedação com Blocos Cerâmicos</v>
      </c>
      <c r="N730" s="231">
        <f t="shared" ca="1" si="499"/>
        <v>2</v>
      </c>
      <c r="O730" s="228" t="str">
        <f t="shared" ca="1" si="500"/>
        <v>Alvenaria de vedacao de blocos ceramicos furados na horizontal de 11.5x19x29cm (espessura 11.5cm) com argamassa industrializada de assentamento</v>
      </c>
      <c r="P730" s="232" t="str">
        <f>IF(S730="","",IF(Orçamento!$B730="INSUMO",S730,""))</f>
        <v/>
      </c>
      <c r="Q730" s="244" t="str">
        <f t="shared" si="501"/>
        <v>Alvenaria de vedacao de blocos ceramicos furados na horizontal de 11.5x19x29cm (espessura 11.5cm) com argamassa industrializada de assentamento</v>
      </c>
      <c r="R730" s="234">
        <f t="shared" ca="1" si="502"/>
        <v>175.33</v>
      </c>
      <c r="S730" s="233" t="s">
        <v>205</v>
      </c>
      <c r="T730" s="242" t="s">
        <v>140</v>
      </c>
      <c r="U730" s="235">
        <v>175.33</v>
      </c>
      <c r="V730" s="320" t="s">
        <v>35</v>
      </c>
      <c r="W730" s="236" t="str">
        <f>IFERROR(IF(B730="INSUMO",_xlfn.XLOOKUP(S730,Insumos!A:A,Insumos!C:C),""),"Inserir Preço")</f>
        <v/>
      </c>
      <c r="X730" s="235">
        <f t="shared" ca="1" si="503"/>
        <v>175.33</v>
      </c>
      <c r="Y730" s="236">
        <f t="shared" ca="1" si="463"/>
        <v>48.809699999999999</v>
      </c>
      <c r="Z730" s="237">
        <f t="shared" ca="1" si="488"/>
        <v>8557.8047010000009</v>
      </c>
      <c r="AA730" s="238"/>
      <c r="AB730" s="233" t="str">
        <f>IF(B730="insumo",_xlfn.XLOOKUP(S730,Insumos!A:A,Insumos!D:D),"")</f>
        <v/>
      </c>
      <c r="AC730" s="239">
        <f t="shared" ca="1" si="489"/>
        <v>1.2276951076141702E-3</v>
      </c>
      <c r="AE730" s="240">
        <f ca="1">IFERROR(IF(OR(Z730="",Z730=0),"",IF(AF730="","",IF(AF730="R$/mês",Z730/OBRA!$D$12,IF(AF730="R$/m²",Z730/OBRA!$D$10,IF(AF730="R$/apto",Orçamento!Z730/OBRA!$D$11,""))))),"")</f>
        <v>4.4039072580188661</v>
      </c>
      <c r="AF730" s="241" t="s">
        <v>154</v>
      </c>
    </row>
    <row r="731" spans="1:32" s="10" customFormat="1" ht="13.15" hidden="1" customHeight="1" outlineLevel="4" x14ac:dyDescent="0.2">
      <c r="A731" s="227"/>
      <c r="B731" s="228" t="s">
        <v>19</v>
      </c>
      <c r="C731" s="229">
        <f t="shared" si="487"/>
        <v>19</v>
      </c>
      <c r="D731" s="227" t="str">
        <f t="shared" si="490"/>
        <v/>
      </c>
      <c r="E731" s="228" t="str">
        <f t="shared" ca="1" si="491"/>
        <v>05.003.001.002</v>
      </c>
      <c r="F731" s="230">
        <f ca="1">IF($B731="UNIDADE CONSTRUTIVA",OFFSET(F731,-1,0)+1,LARGE(F$10:F730,1))</f>
        <v>2</v>
      </c>
      <c r="G731" s="228" t="str">
        <f t="shared" ca="1" si="492"/>
        <v xml:space="preserve">   GERENCIAMENTO EXECUTIVO</v>
      </c>
      <c r="H731" s="230">
        <f t="shared" ca="1" si="493"/>
        <v>5</v>
      </c>
      <c r="I731" s="228" t="str">
        <f t="shared" ca="1" si="494"/>
        <v xml:space="preserve">   ALVENARIA | VEDAÇÕES | DIVISÓRIAS</v>
      </c>
      <c r="J731" s="230">
        <f t="shared" ca="1" si="495"/>
        <v>3</v>
      </c>
      <c r="K731" s="228" t="str">
        <f t="shared" ca="1" si="496"/>
        <v xml:space="preserve">   ALVENARIA | VEDAÇÕES | DIVISÓRIAS - 3º ao 7º PAVIMENTO - TIPO</v>
      </c>
      <c r="L731" s="231">
        <f t="shared" ca="1" si="497"/>
        <v>1</v>
      </c>
      <c r="M731" s="228" t="str">
        <f t="shared" ca="1" si="498"/>
        <v xml:space="preserve">   Alvenaria de Vedação com Blocos Cerâmicos</v>
      </c>
      <c r="N731" s="231">
        <f t="shared" ca="1" si="499"/>
        <v>2</v>
      </c>
      <c r="O731" s="228" t="str">
        <f t="shared" ca="1" si="500"/>
        <v>Alvenaria de vedacao de blocos ceramicos furados na horizontal de 11.5x19x29cm (espessura 11.5cm) com argamassa industrializada de assentamento</v>
      </c>
      <c r="P731" s="232" t="str">
        <f>IF(S731="","",IF(Orçamento!$B731="INSUMO",S731,""))</f>
        <v>ARGAMASSA ESTABILIZADA P/ ASSENTAMENTO</v>
      </c>
      <c r="Q731" s="244" t="str">
        <f t="shared" si="501"/>
        <v/>
      </c>
      <c r="R731" s="234">
        <f t="shared" ca="1" si="502"/>
        <v>175.33</v>
      </c>
      <c r="S731" s="233" t="s">
        <v>206</v>
      </c>
      <c r="T731" s="242" t="str">
        <f>_xlfn.XLOOKUP(S731,Insumos!$A$3:$A$371,Insumos!$B$3:$B$371)</f>
        <v>M3</v>
      </c>
      <c r="U731" s="235">
        <f ca="1">IF($B731="insumo",R731,"")</f>
        <v>175.33</v>
      </c>
      <c r="V731" s="320">
        <v>1.8683999999999999E-2</v>
      </c>
      <c r="W731" s="236">
        <f>IFERROR(IF(B731="INSUMO",_xlfn.XLOOKUP(S731,Insumos!A:A,Insumos!C:C),""),"Inserir Preço")</f>
        <v>425</v>
      </c>
      <c r="X731" s="235">
        <f t="shared" ca="1" si="503"/>
        <v>3.2758657200000001</v>
      </c>
      <c r="Y731" s="236">
        <f t="shared" si="463"/>
        <v>7.9406999999999996</v>
      </c>
      <c r="Z731" s="237">
        <f t="shared" ca="1" si="488"/>
        <v>1392.242931</v>
      </c>
      <c r="AA731" s="238"/>
      <c r="AB731" s="233" t="str">
        <f>IF(B731="insumo",_xlfn.XLOOKUP(S731,Insumos!A:A,Insumos!D:D),"")</f>
        <v xml:space="preserve"> </v>
      </c>
      <c r="AC731" s="239">
        <f t="shared" ca="1" si="489"/>
        <v>1.9972994181549652E-4</v>
      </c>
      <c r="AE731" s="240">
        <f ca="1">IFERROR(IF(OR(Z731="",Z731=0),"",IF(AF731="","",IF(AF731="R$/mês",Z731/OBRA!$D$12,IF(AF731="R$/m²",Z731/OBRA!$D$10,IF(AF731="R$/apto",Orçamento!Z731/OBRA!$D$11,""))))),"")</f>
        <v>0.71645812950602861</v>
      </c>
      <c r="AF731" s="241" t="s">
        <v>154</v>
      </c>
    </row>
    <row r="732" spans="1:32" s="10" customFormat="1" ht="13.15" hidden="1" customHeight="1" outlineLevel="4" x14ac:dyDescent="0.2">
      <c r="A732" s="227"/>
      <c r="B732" s="228" t="s">
        <v>19</v>
      </c>
      <c r="C732" s="229">
        <f t="shared" si="487"/>
        <v>4</v>
      </c>
      <c r="D732" s="227" t="str">
        <f t="shared" si="490"/>
        <v/>
      </c>
      <c r="E732" s="228" t="str">
        <f t="shared" ca="1" si="491"/>
        <v>05.003.001.002</v>
      </c>
      <c r="F732" s="230">
        <f ca="1">IF($B732="UNIDADE CONSTRUTIVA",OFFSET(F732,-1,0)+1,LARGE(F$10:F731,1))</f>
        <v>2</v>
      </c>
      <c r="G732" s="228" t="str">
        <f t="shared" ca="1" si="492"/>
        <v xml:space="preserve">   GERENCIAMENTO EXECUTIVO</v>
      </c>
      <c r="H732" s="230">
        <f t="shared" ca="1" si="493"/>
        <v>5</v>
      </c>
      <c r="I732" s="228" t="str">
        <f t="shared" ca="1" si="494"/>
        <v xml:space="preserve">   ALVENARIA | VEDAÇÕES | DIVISÓRIAS</v>
      </c>
      <c r="J732" s="230">
        <f t="shared" ca="1" si="495"/>
        <v>3</v>
      </c>
      <c r="K732" s="228" t="str">
        <f t="shared" ca="1" si="496"/>
        <v xml:space="preserve">   ALVENARIA | VEDAÇÕES | DIVISÓRIAS - 3º ao 7º PAVIMENTO - TIPO</v>
      </c>
      <c r="L732" s="231">
        <f t="shared" ca="1" si="497"/>
        <v>1</v>
      </c>
      <c r="M732" s="228" t="str">
        <f t="shared" ca="1" si="498"/>
        <v xml:space="preserve">   Alvenaria de Vedação com Blocos Cerâmicos</v>
      </c>
      <c r="N732" s="231">
        <f t="shared" ca="1" si="499"/>
        <v>2</v>
      </c>
      <c r="O732" s="228" t="str">
        <f t="shared" ca="1" si="500"/>
        <v>Alvenaria de vedacao de blocos ceramicos furados na horizontal de 11.5x19x29cm (espessura 11.5cm) com argamassa industrializada de assentamento</v>
      </c>
      <c r="P732" s="232" t="str">
        <f>IF(S732="","",IF(Orçamento!$B732="INSUMO",S732,""))</f>
        <v>BLOCO CERAMICO VEDACAO 11,5 X 19 X 29 CM - FUROS NA HORIZONTAL</v>
      </c>
      <c r="Q732" s="244" t="str">
        <f t="shared" si="501"/>
        <v/>
      </c>
      <c r="R732" s="234">
        <f t="shared" ca="1" si="502"/>
        <v>175.33</v>
      </c>
      <c r="S732" s="233" t="s">
        <v>207</v>
      </c>
      <c r="T732" s="242" t="str">
        <f>_xlfn.XLOOKUP(S732,Insumos!$A$3:$A$371,Insumos!$B$3:$B$371)</f>
        <v>UN</v>
      </c>
      <c r="U732" s="235">
        <f ca="1">IF($B732="insumo",R732,"")</f>
        <v>175.33</v>
      </c>
      <c r="V732" s="320">
        <v>18</v>
      </c>
      <c r="W732" s="236">
        <f>IFERROR(IF(B732="INSUMO",_xlfn.XLOOKUP(S732,Insumos!A:A,Insumos!C:C),""),"Inserir Preço")</f>
        <v>2.2705000000000002</v>
      </c>
      <c r="X732" s="235">
        <f t="shared" ca="1" si="503"/>
        <v>3155.94</v>
      </c>
      <c r="Y732" s="236">
        <f t="shared" si="463"/>
        <v>40.869</v>
      </c>
      <c r="Z732" s="237">
        <f t="shared" ca="1" si="488"/>
        <v>7165.5617700000012</v>
      </c>
      <c r="AA732" s="238"/>
      <c r="AB732" s="233" t="str">
        <f>IF(B732="insumo",_xlfn.XLOOKUP(S732,Insumos!A:A,Insumos!D:D),"")</f>
        <v>Tupi Gurani Cerâmica</v>
      </c>
      <c r="AC732" s="239">
        <f t="shared" ca="1" si="489"/>
        <v>1.0279651657986739E-3</v>
      </c>
      <c r="AE732" s="240">
        <f ca="1">IFERROR(IF(OR(Z732="",Z732=0),"",IF(AF732="","",IF(AF732="R$/mês",Z732/OBRA!$D$12,IF(AF732="R$/m²",Z732/OBRA!$D$10,IF(AF732="R$/apto",Orçamento!Z732/OBRA!$D$11,""))))),"")</f>
        <v>3.6874491285128372</v>
      </c>
      <c r="AF732" s="241" t="s">
        <v>154</v>
      </c>
    </row>
    <row r="733" spans="1:32" s="10" customFormat="1" ht="13.15" hidden="1" customHeight="1" outlineLevel="4" x14ac:dyDescent="0.2">
      <c r="A733" s="227"/>
      <c r="B733" s="228" t="s">
        <v>4</v>
      </c>
      <c r="C733" s="229">
        <f t="shared" si="487"/>
        <v>5</v>
      </c>
      <c r="D733" s="227" t="str">
        <f t="shared" ref="D733:D753" ca="1" si="504">IF(B733="Unidade Construtiva",TEXT(F733,"00"),IF(B733="Célula Construtiva",TEXT(H733,"00"),IF(B733="Etapa",CONCATENATE(TEXT(H733,"00"),".",TEXT(J733,"000")),IF(B733="Subetapa",CONCATENATE(TEXT(H733,"00"),".",TEXT(J733,"000"),".",TEXT(L733,"000")),IF(B733="Serviço",CONCATENATE(TEXT(H733,"00"),".",TEXT(J733,"000"),".",TEXT(L733,"000"),".",TEXT(N733,"000")),"")))))</f>
        <v>05.003.001.003</v>
      </c>
      <c r="E733" s="228" t="str">
        <f t="shared" ref="E733:E753" ca="1" si="505">IF(B733="*","",IFERROR(IF(B733="SERVIÇO",D733,OFFSET(E733,-1,0)),""))</f>
        <v>05.003.001.003</v>
      </c>
      <c r="F733" s="230">
        <f ca="1">IF($B733="UNIDADE CONSTRUTIVA",OFFSET(F733,-1,0)+1,LARGE(F$10:F732,1))</f>
        <v>2</v>
      </c>
      <c r="G733" s="228" t="str">
        <f t="shared" ref="G733:G753" ca="1" si="506">IF(B733="*","",IF(B733="UNIDADE CONSTRUTIVA",S733,OFFSET(G733,-1,0)))</f>
        <v xml:space="preserve">   GERENCIAMENTO EXECUTIVO</v>
      </c>
      <c r="H733" s="230">
        <f t="shared" ref="H733:H753" ca="1" si="507">IF(B733="UNIDADE CONSTRUTIVA",0,IF(B733="CÉLULA CONSTRUTIVA",OFFSET(H733,-1,0)+1,OFFSET(H733,-1,0)))</f>
        <v>5</v>
      </c>
      <c r="I733" s="228" t="str">
        <f t="shared" ref="I733:I753" ca="1" si="508">IF(B733="*","",IF(B733="CÉLULA CONSTRUTIVA",S733,OFFSET(I733,-1,0)))</f>
        <v xml:space="preserve">   ALVENARIA | VEDAÇÕES | DIVISÓRIAS</v>
      </c>
      <c r="J733" s="230">
        <f t="shared" ref="J733:J753" ca="1" si="509">IF(B733="CÉLULA CONSTRUTIVA",0,IF(B733="ETAPA",OFFSET(J733,-1,0)+1,OFFSET(J733,-1,0)))</f>
        <v>3</v>
      </c>
      <c r="K733" s="228" t="str">
        <f t="shared" ref="K733:K753" ca="1" si="510">IF(B733="*","",IF(B733="ETAPA",S733,OFFSET(K733,-1,0)))</f>
        <v xml:space="preserve">   ALVENARIA | VEDAÇÕES | DIVISÓRIAS - 3º ao 7º PAVIMENTO - TIPO</v>
      </c>
      <c r="L733" s="231">
        <f t="shared" ref="L733:L753" ca="1" si="511">IF(B733="ETAPA",0,IF(B733="SUBETAPA",OFFSET(L733,-1,0)+1,OFFSET(L733,-1,0)))</f>
        <v>1</v>
      </c>
      <c r="M733" s="228" t="str">
        <f t="shared" ref="M733:M753" ca="1" si="512">IF(B733="*","",IF(B733="SUBETAPA",S733,OFFSET(M733,-1,0)))</f>
        <v xml:space="preserve">   Alvenaria de Vedação com Blocos Cerâmicos</v>
      </c>
      <c r="N733" s="231">
        <f t="shared" ref="N733:N753" ca="1" si="513">IF(B733="Subetapa",0,IF(B733="serviço",OFFSET(N733,-1,0)+1,OFFSET(N733,-1,0)))</f>
        <v>3</v>
      </c>
      <c r="O733" s="228" t="str">
        <f t="shared" ref="O733:O753" ca="1" si="514">IF(B733="*","",IF(B733="SERVIÇO",S733,OFFSET(O733,-1,0)))</f>
        <v>Alvenaria de vedacao de blocos ceramicos furados na horizontal de 14x19x29cm (espessura 14cm) com argamassa industrializada de assentamento</v>
      </c>
      <c r="P733" s="232" t="str">
        <f>IF(S733="","",IF(Orçamento!$B733="INSUMO",S733,""))</f>
        <v/>
      </c>
      <c r="Q733" s="244" t="str">
        <f t="shared" ref="Q733:Q753" si="515">IF(B733="","",IF(B733="Serviço",S733,""))</f>
        <v>Alvenaria de vedacao de blocos ceramicos furados na horizontal de 14x19x29cm (espessura 14cm) com argamassa industrializada de assentamento</v>
      </c>
      <c r="R733" s="234">
        <f t="shared" ref="R733:R753" ca="1" si="516">IF(B733="serviço",U733,OFFSET(R733,-1,0))</f>
        <v>1248.57</v>
      </c>
      <c r="S733" s="233" t="s">
        <v>208</v>
      </c>
      <c r="T733" s="242" t="s">
        <v>140</v>
      </c>
      <c r="U733" s="235">
        <v>1248.57</v>
      </c>
      <c r="V733" s="320" t="s">
        <v>35</v>
      </c>
      <c r="W733" s="236" t="str">
        <f>IFERROR(IF(B733="INSUMO",_xlfn.XLOOKUP(S733,Insumos!A:A,Insumos!C:C),""),"Inserir Preço")</f>
        <v/>
      </c>
      <c r="X733" s="235">
        <f t="shared" ref="X733:X753" ca="1" si="517">IF(B733="Complemento do insumo",V733,IF(R733="","",IF(B733="serviço",R733,IF(OR(B733="insumo"),V733*R733,""))))</f>
        <v>1248.57</v>
      </c>
      <c r="Y733" s="236">
        <f t="shared" ca="1" si="463"/>
        <v>37.181699999999999</v>
      </c>
      <c r="Z733" s="237">
        <f t="shared" ca="1" si="488"/>
        <v>46423.955168999993</v>
      </c>
      <c r="AA733" s="238"/>
      <c r="AB733" s="233" t="str">
        <f>IF(B733="insumo",_xlfn.XLOOKUP(S733,Insumos!A:A,Insumos!D:D),"")</f>
        <v/>
      </c>
      <c r="AC733" s="239">
        <f t="shared" ca="1" si="489"/>
        <v>6.6599396256870544E-3</v>
      </c>
      <c r="AE733" s="240">
        <f ca="1">IFERROR(IF(OR(Z733="",Z733=0),"",IF(AF733="","",IF(AF733="R$/mês",Z733/OBRA!$D$12,IF(AF733="R$/m²",Z733/OBRA!$D$10,IF(AF733="R$/apto",Orçamento!Z733/OBRA!$D$11,""))))),"")</f>
        <v>23.890098016704144</v>
      </c>
      <c r="AF733" s="241" t="s">
        <v>154</v>
      </c>
    </row>
    <row r="734" spans="1:32" s="10" customFormat="1" ht="13.15" hidden="1" customHeight="1" outlineLevel="4" x14ac:dyDescent="0.2">
      <c r="A734" s="227"/>
      <c r="B734" s="228" t="s">
        <v>19</v>
      </c>
      <c r="C734" s="229">
        <f t="shared" si="487"/>
        <v>19</v>
      </c>
      <c r="D734" s="227" t="str">
        <f t="shared" si="504"/>
        <v/>
      </c>
      <c r="E734" s="228" t="str">
        <f t="shared" ca="1" si="505"/>
        <v>05.003.001.003</v>
      </c>
      <c r="F734" s="230">
        <f ca="1">IF($B734="UNIDADE CONSTRUTIVA",OFFSET(F734,-1,0)+1,LARGE(F$10:F733,1))</f>
        <v>2</v>
      </c>
      <c r="G734" s="228" t="str">
        <f t="shared" ca="1" si="506"/>
        <v xml:space="preserve">   GERENCIAMENTO EXECUTIVO</v>
      </c>
      <c r="H734" s="230">
        <f t="shared" ca="1" si="507"/>
        <v>5</v>
      </c>
      <c r="I734" s="228" t="str">
        <f t="shared" ca="1" si="508"/>
        <v xml:space="preserve">   ALVENARIA | VEDAÇÕES | DIVISÓRIAS</v>
      </c>
      <c r="J734" s="230">
        <f t="shared" ca="1" si="509"/>
        <v>3</v>
      </c>
      <c r="K734" s="228" t="str">
        <f t="shared" ca="1" si="510"/>
        <v xml:space="preserve">   ALVENARIA | VEDAÇÕES | DIVISÓRIAS - 3º ao 7º PAVIMENTO - TIPO</v>
      </c>
      <c r="L734" s="231">
        <f t="shared" ca="1" si="511"/>
        <v>1</v>
      </c>
      <c r="M734" s="228" t="str">
        <f t="shared" ca="1" si="512"/>
        <v xml:space="preserve">   Alvenaria de Vedação com Blocos Cerâmicos</v>
      </c>
      <c r="N734" s="231">
        <f t="shared" ca="1" si="513"/>
        <v>3</v>
      </c>
      <c r="O734" s="228" t="str">
        <f t="shared" ca="1" si="514"/>
        <v>Alvenaria de vedacao de blocos ceramicos furados na horizontal de 14x19x29cm (espessura 14cm) com argamassa industrializada de assentamento</v>
      </c>
      <c r="P734" s="232" t="str">
        <f>IF(S734="","",IF(Orçamento!$B734="INSUMO",S734,""))</f>
        <v>ARGAMASSA ESTABILIZADA P/ ASSENTAMENTO</v>
      </c>
      <c r="Q734" s="244" t="str">
        <f t="shared" si="515"/>
        <v/>
      </c>
      <c r="R734" s="234">
        <f t="shared" ca="1" si="516"/>
        <v>1248.57</v>
      </c>
      <c r="S734" s="233" t="s">
        <v>206</v>
      </c>
      <c r="T734" s="242" t="str">
        <f>_xlfn.XLOOKUP(S734,Insumos!$A$3:$A$371,Insumos!$B$3:$B$371)</f>
        <v>M3</v>
      </c>
      <c r="U734" s="235">
        <f ca="1">IF($B734="insumo",R734,"")</f>
        <v>1248.57</v>
      </c>
      <c r="V734" s="320">
        <v>1.8683999999999999E-2</v>
      </c>
      <c r="W734" s="236">
        <f>IFERROR(IF(B734="INSUMO",_xlfn.XLOOKUP(S734,Insumos!A:A,Insumos!C:C),""),"Inserir Preço")</f>
        <v>425</v>
      </c>
      <c r="X734" s="235">
        <f t="shared" ca="1" si="517"/>
        <v>23.328281879999999</v>
      </c>
      <c r="Y734" s="236">
        <f t="shared" si="463"/>
        <v>7.9406999999999996</v>
      </c>
      <c r="Z734" s="237">
        <f t="shared" ca="1" si="488"/>
        <v>9914.5197989999997</v>
      </c>
      <c r="AA734" s="238"/>
      <c r="AB734" s="233" t="str">
        <f>IF(B734="insumo",_xlfn.XLOOKUP(S734,Insumos!A:A,Insumos!D:D),"")</f>
        <v xml:space="preserve"> </v>
      </c>
      <c r="AC734" s="239">
        <f t="shared" ca="1" si="489"/>
        <v>1.4223282578712968E-3</v>
      </c>
      <c r="AE734" s="240">
        <f ca="1">IFERROR(IF(OR(Z734="",Z734=0),"",IF(AF734="","",IF(AF734="R$/mês",Z734/OBRA!$D$12,IF(AF734="R$/m²",Z734/OBRA!$D$10,IF(AF734="R$/apto",Orçamento!Z734/OBRA!$D$11,""))))),"")</f>
        <v>5.1020825115915249</v>
      </c>
      <c r="AF734" s="241" t="s">
        <v>154</v>
      </c>
    </row>
    <row r="735" spans="1:32" s="10" customFormat="1" ht="13.15" hidden="1" customHeight="1" outlineLevel="4" x14ac:dyDescent="0.2">
      <c r="A735" s="227"/>
      <c r="B735" s="228" t="s">
        <v>19</v>
      </c>
      <c r="C735" s="229">
        <f t="shared" si="487"/>
        <v>5</v>
      </c>
      <c r="D735" s="227" t="str">
        <f t="shared" si="504"/>
        <v/>
      </c>
      <c r="E735" s="228" t="str">
        <f t="shared" ca="1" si="505"/>
        <v>05.003.001.003</v>
      </c>
      <c r="F735" s="230">
        <f ca="1">IF($B735="UNIDADE CONSTRUTIVA",OFFSET(F735,-1,0)+1,LARGE(F$10:F734,1))</f>
        <v>2</v>
      </c>
      <c r="G735" s="228" t="str">
        <f t="shared" ca="1" si="506"/>
        <v xml:space="preserve">   GERENCIAMENTO EXECUTIVO</v>
      </c>
      <c r="H735" s="230">
        <f t="shared" ca="1" si="507"/>
        <v>5</v>
      </c>
      <c r="I735" s="228" t="str">
        <f t="shared" ca="1" si="508"/>
        <v xml:space="preserve">   ALVENARIA | VEDAÇÕES | DIVISÓRIAS</v>
      </c>
      <c r="J735" s="230">
        <f t="shared" ca="1" si="509"/>
        <v>3</v>
      </c>
      <c r="K735" s="228" t="str">
        <f t="shared" ca="1" si="510"/>
        <v xml:space="preserve">   ALVENARIA | VEDAÇÕES | DIVISÓRIAS - 3º ao 7º PAVIMENTO - TIPO</v>
      </c>
      <c r="L735" s="231">
        <f t="shared" ca="1" si="511"/>
        <v>1</v>
      </c>
      <c r="M735" s="228" t="str">
        <f t="shared" ca="1" si="512"/>
        <v xml:space="preserve">   Alvenaria de Vedação com Blocos Cerâmicos</v>
      </c>
      <c r="N735" s="231">
        <f t="shared" ca="1" si="513"/>
        <v>3</v>
      </c>
      <c r="O735" s="228" t="str">
        <f t="shared" ca="1" si="514"/>
        <v>Alvenaria de vedacao de blocos ceramicos furados na horizontal de 14x19x29cm (espessura 14cm) com argamassa industrializada de assentamento</v>
      </c>
      <c r="P735" s="232" t="str">
        <f>IF(S735="","",IF(Orçamento!$B735="INSUMO",S735,""))</f>
        <v>BLOCO CERAMICO VEDACAO 14 X 19 X 29 CM - FUROS NA HORIZONTAL</v>
      </c>
      <c r="Q735" s="244" t="str">
        <f t="shared" si="515"/>
        <v/>
      </c>
      <c r="R735" s="234">
        <f t="shared" ca="1" si="516"/>
        <v>1248.57</v>
      </c>
      <c r="S735" s="233" t="s">
        <v>209</v>
      </c>
      <c r="T735" s="242" t="str">
        <f>_xlfn.XLOOKUP(S735,Insumos!$A$3:$A$371,Insumos!$B$3:$B$371)</f>
        <v>UN</v>
      </c>
      <c r="U735" s="235">
        <f ca="1">IF($B735="insumo",R735,"")</f>
        <v>1248.57</v>
      </c>
      <c r="V735" s="320">
        <v>18</v>
      </c>
      <c r="W735" s="236">
        <f>IFERROR(IF(B735="INSUMO",_xlfn.XLOOKUP(S735,Insumos!A:A,Insumos!C:C),""),"Inserir Preço")</f>
        <v>1.6245000000000001</v>
      </c>
      <c r="X735" s="235">
        <f t="shared" ca="1" si="517"/>
        <v>22474.26</v>
      </c>
      <c r="Y735" s="236">
        <f t="shared" si="463"/>
        <v>29.241</v>
      </c>
      <c r="Z735" s="237">
        <f t="shared" ca="1" si="488"/>
        <v>36509.435369999999</v>
      </c>
      <c r="AA735" s="238"/>
      <c r="AB735" s="233" t="str">
        <f>IF(B735="insumo",_xlfn.XLOOKUP(S735,Insumos!A:A,Insumos!D:D),"")</f>
        <v>Tupi Gurani Cerâmica</v>
      </c>
      <c r="AC735" s="239">
        <f t="shared" ca="1" si="489"/>
        <v>5.2376113678157584E-3</v>
      </c>
      <c r="AE735" s="240">
        <f ca="1">IFERROR(IF(OR(Z735="",Z735=0),"",IF(AF735="","",IF(AF735="R$/mês",Z735/OBRA!$D$12,IF(AF735="R$/m²",Z735/OBRA!$D$10,IF(AF735="R$/apto",Orçamento!Z735/OBRA!$D$11,""))))),"")</f>
        <v>18.788015505112622</v>
      </c>
      <c r="AF735" s="241" t="s">
        <v>154</v>
      </c>
    </row>
    <row r="736" spans="1:32" s="10" customFormat="1" ht="13.15" hidden="1" customHeight="1" outlineLevel="3" collapsed="1" x14ac:dyDescent="0.2">
      <c r="A736" s="227"/>
      <c r="B736" s="228" t="s">
        <v>3</v>
      </c>
      <c r="C736" s="229" t="str">
        <f t="shared" si="487"/>
        <v/>
      </c>
      <c r="D736" s="227" t="str">
        <f t="shared" ca="1" si="504"/>
        <v>05.003.002</v>
      </c>
      <c r="E736" s="228" t="str">
        <f t="shared" ca="1" si="505"/>
        <v>05.003.001.003</v>
      </c>
      <c r="F736" s="230">
        <f ca="1">IF($B736="UNIDADE CONSTRUTIVA",OFFSET(F736,-1,0)+1,LARGE(F$10:F735,1))</f>
        <v>2</v>
      </c>
      <c r="G736" s="228" t="str">
        <f t="shared" ca="1" si="506"/>
        <v xml:space="preserve">   GERENCIAMENTO EXECUTIVO</v>
      </c>
      <c r="H736" s="230">
        <f t="shared" ca="1" si="507"/>
        <v>5</v>
      </c>
      <c r="I736" s="228" t="str">
        <f t="shared" ca="1" si="508"/>
        <v xml:space="preserve">   ALVENARIA | VEDAÇÕES | DIVISÓRIAS</v>
      </c>
      <c r="J736" s="230">
        <f t="shared" ca="1" si="509"/>
        <v>3</v>
      </c>
      <c r="K736" s="228" t="str">
        <f t="shared" ca="1" si="510"/>
        <v xml:space="preserve">   ALVENARIA | VEDAÇÕES | DIVISÓRIAS - 3º ao 7º PAVIMENTO - TIPO</v>
      </c>
      <c r="L736" s="231">
        <f t="shared" ca="1" si="511"/>
        <v>2</v>
      </c>
      <c r="M736" s="228" t="str">
        <f t="shared" ca="1" si="512"/>
        <v xml:space="preserve">   Serviços Complementares</v>
      </c>
      <c r="N736" s="231">
        <f t="shared" ca="1" si="513"/>
        <v>0</v>
      </c>
      <c r="O736" s="228" t="str">
        <f t="shared" ca="1" si="514"/>
        <v>Alvenaria de vedacao de blocos ceramicos furados na horizontal de 14x19x29cm (espessura 14cm) com argamassa industrializada de assentamento</v>
      </c>
      <c r="P736" s="232" t="str">
        <f>IF(S736="","",IF(Orçamento!$B736="INSUMO",S736,""))</f>
        <v/>
      </c>
      <c r="Q736" s="244" t="str">
        <f t="shared" si="515"/>
        <v/>
      </c>
      <c r="R736" s="234">
        <f t="shared" ca="1" si="516"/>
        <v>1248.57</v>
      </c>
      <c r="S736" s="233" t="s">
        <v>441</v>
      </c>
      <c r="T736" s="242" t="s">
        <v>35</v>
      </c>
      <c r="U736" s="235" t="str">
        <f>IF($B736="insumo",R736,"")</f>
        <v/>
      </c>
      <c r="V736" s="320" t="s">
        <v>35</v>
      </c>
      <c r="W736" s="236" t="str">
        <f>IFERROR(IF(B736="INSUMO",_xlfn.XLOOKUP(S736,Insumos!A:A,Insumos!C:C),""),"Inserir Preço")</f>
        <v/>
      </c>
      <c r="X736" s="235" t="str">
        <f t="shared" ca="1" si="517"/>
        <v/>
      </c>
      <c r="Y736" s="236" t="str">
        <f t="shared" si="463"/>
        <v/>
      </c>
      <c r="Z736" s="237">
        <f t="shared" ca="1" si="488"/>
        <v>21443.710784000003</v>
      </c>
      <c r="AA736" s="238"/>
      <c r="AB736" s="233" t="str">
        <f>IF(B736="insumo",_xlfn.XLOOKUP(S736,Insumos!A:A,Insumos!D:D),"")</f>
        <v/>
      </c>
      <c r="AC736" s="239">
        <f t="shared" ca="1" si="489"/>
        <v>3.0762958186617332E-3</v>
      </c>
      <c r="AE736" s="240">
        <f ca="1">IFERROR(IF(OR(Z736="",Z736=0),"",IF(AF736="","",IF(AF736="R$/mês",Z736/OBRA!$D$12,IF(AF736="R$/m²",Z736/OBRA!$D$10,IF(AF736="R$/apto",Orçamento!Z736/OBRA!$D$11,""))))),"")</f>
        <v>11.035086317111203</v>
      </c>
      <c r="AF736" s="241" t="s">
        <v>154</v>
      </c>
    </row>
    <row r="737" spans="1:32" s="10" customFormat="1" ht="13.15" hidden="1" customHeight="1" outlineLevel="4" x14ac:dyDescent="0.2">
      <c r="A737" s="227"/>
      <c r="B737" s="228" t="s">
        <v>4</v>
      </c>
      <c r="C737" s="229">
        <f t="shared" si="487"/>
        <v>5</v>
      </c>
      <c r="D737" s="227" t="str">
        <f t="shared" ca="1" si="504"/>
        <v>05.003.002.001</v>
      </c>
      <c r="E737" s="228" t="str">
        <f t="shared" ca="1" si="505"/>
        <v>05.003.002.001</v>
      </c>
      <c r="F737" s="230">
        <f ca="1">IF($B737="UNIDADE CONSTRUTIVA",OFFSET(F737,-1,0)+1,LARGE(F$10:F736,1))</f>
        <v>2</v>
      </c>
      <c r="G737" s="228" t="str">
        <f t="shared" ca="1" si="506"/>
        <v xml:space="preserve">   GERENCIAMENTO EXECUTIVO</v>
      </c>
      <c r="H737" s="230">
        <f t="shared" ca="1" si="507"/>
        <v>5</v>
      </c>
      <c r="I737" s="228" t="str">
        <f t="shared" ca="1" si="508"/>
        <v xml:space="preserve">   ALVENARIA | VEDAÇÕES | DIVISÓRIAS</v>
      </c>
      <c r="J737" s="230">
        <f t="shared" ca="1" si="509"/>
        <v>3</v>
      </c>
      <c r="K737" s="228" t="str">
        <f t="shared" ca="1" si="510"/>
        <v xml:space="preserve">   ALVENARIA | VEDAÇÕES | DIVISÓRIAS - 3º ao 7º PAVIMENTO - TIPO</v>
      </c>
      <c r="L737" s="231">
        <f t="shared" ca="1" si="511"/>
        <v>2</v>
      </c>
      <c r="M737" s="228" t="str">
        <f t="shared" ca="1" si="512"/>
        <v xml:space="preserve">   Serviços Complementares</v>
      </c>
      <c r="N737" s="231">
        <f t="shared" ca="1" si="513"/>
        <v>1</v>
      </c>
      <c r="O737" s="228" t="str">
        <f t="shared" ca="1" si="514"/>
        <v>Verga/contraverga de concreto, moldada in loco</v>
      </c>
      <c r="P737" s="232" t="str">
        <f>IF(S737="","",IF(Orçamento!$B737="INSUMO",S737,""))</f>
        <v/>
      </c>
      <c r="Q737" s="244" t="str">
        <f t="shared" si="515"/>
        <v>Verga/contraverga de concreto, moldada in loco</v>
      </c>
      <c r="R737" s="234">
        <f t="shared" ca="1" si="516"/>
        <v>373.59999999999997</v>
      </c>
      <c r="S737" s="233" t="s">
        <v>210</v>
      </c>
      <c r="T737" s="242" t="s">
        <v>158</v>
      </c>
      <c r="U737" s="235">
        <v>373.59999999999997</v>
      </c>
      <c r="V737" s="320" t="s">
        <v>35</v>
      </c>
      <c r="W737" s="236" t="str">
        <f>IFERROR(IF(B737="INSUMO",_xlfn.XLOOKUP(S737,Insumos!A:A,Insumos!C:C),""),"Inserir Preço")</f>
        <v/>
      </c>
      <c r="X737" s="235">
        <f t="shared" ca="1" si="517"/>
        <v>373.59999999999997</v>
      </c>
      <c r="Y737" s="236">
        <f t="shared" ca="1" si="463"/>
        <v>44.891940000000005</v>
      </c>
      <c r="Z737" s="237">
        <f t="shared" ca="1" si="488"/>
        <v>16771.628784</v>
      </c>
      <c r="AA737" s="238"/>
      <c r="AB737" s="233" t="str">
        <f>IF(B737="insumo",_xlfn.XLOOKUP(S737,Insumos!A:A,Insumos!D:D),"")</f>
        <v/>
      </c>
      <c r="AC737" s="239">
        <f t="shared" ca="1" si="489"/>
        <v>2.4060430594345945E-3</v>
      </c>
      <c r="AE737" s="240">
        <f ca="1">IFERROR(IF(OR(Z737="",Z737=0),"",IF(AF737="","",IF(AF737="R$/mês",Z737/OBRA!$D$12,IF(AF737="R$/m²",Z737/OBRA!$D$10,IF(AF737="R$/apto",Orçamento!Z737/OBRA!$D$11,""))))),"")</f>
        <v>8.6307996397750131</v>
      </c>
      <c r="AF737" s="241" t="s">
        <v>154</v>
      </c>
    </row>
    <row r="738" spans="1:32" s="10" customFormat="1" ht="13.15" hidden="1" customHeight="1" outlineLevel="4" x14ac:dyDescent="0.2">
      <c r="A738" s="227"/>
      <c r="B738" s="228" t="s">
        <v>19</v>
      </c>
      <c r="C738" s="229">
        <f t="shared" si="487"/>
        <v>29</v>
      </c>
      <c r="D738" s="227" t="str">
        <f t="shared" si="504"/>
        <v/>
      </c>
      <c r="E738" s="228" t="str">
        <f t="shared" ca="1" si="505"/>
        <v>05.003.002.001</v>
      </c>
      <c r="F738" s="230">
        <f ca="1">IF($B738="UNIDADE CONSTRUTIVA",OFFSET(F738,-1,0)+1,LARGE(F$10:F737,1))</f>
        <v>2</v>
      </c>
      <c r="G738" s="228" t="str">
        <f t="shared" ca="1" si="506"/>
        <v xml:space="preserve">   GERENCIAMENTO EXECUTIVO</v>
      </c>
      <c r="H738" s="230">
        <f t="shared" ca="1" si="507"/>
        <v>5</v>
      </c>
      <c r="I738" s="228" t="str">
        <f t="shared" ca="1" si="508"/>
        <v xml:space="preserve">   ALVENARIA | VEDAÇÕES | DIVISÓRIAS</v>
      </c>
      <c r="J738" s="230">
        <f t="shared" ca="1" si="509"/>
        <v>3</v>
      </c>
      <c r="K738" s="228" t="str">
        <f t="shared" ca="1" si="510"/>
        <v xml:space="preserve">   ALVENARIA | VEDAÇÕES | DIVISÓRIAS - 3º ao 7º PAVIMENTO - TIPO</v>
      </c>
      <c r="L738" s="231">
        <f t="shared" ca="1" si="511"/>
        <v>2</v>
      </c>
      <c r="M738" s="228" t="str">
        <f t="shared" ca="1" si="512"/>
        <v xml:space="preserve">   Serviços Complementares</v>
      </c>
      <c r="N738" s="231">
        <f t="shared" ca="1" si="513"/>
        <v>1</v>
      </c>
      <c r="O738" s="228" t="str">
        <f t="shared" ca="1" si="514"/>
        <v>Verga/contraverga de concreto, moldada in loco</v>
      </c>
      <c r="P738" s="232" t="str">
        <f>IF(S738="","",IF(Orçamento!$B738="INSUMO",S738,""))</f>
        <v>DESMOLDANTE</v>
      </c>
      <c r="Q738" s="244" t="str">
        <f t="shared" si="515"/>
        <v/>
      </c>
      <c r="R738" s="234">
        <f t="shared" ca="1" si="516"/>
        <v>373.59999999999997</v>
      </c>
      <c r="S738" s="233" t="s">
        <v>171</v>
      </c>
      <c r="T738" s="242" t="str">
        <f>_xlfn.XLOOKUP(S738,Insumos!$A$3:$A$371,Insumos!$B$3:$B$371)</f>
        <v>L</v>
      </c>
      <c r="U738" s="235">
        <f t="shared" ref="U738:U744" ca="1" si="518">IF($B738="insumo",R738,"")</f>
        <v>373.59999999999997</v>
      </c>
      <c r="V738" s="320">
        <v>6.0000000000000001E-3</v>
      </c>
      <c r="W738" s="236">
        <f>IFERROR(IF(B738="INSUMO",_xlfn.XLOOKUP(S738,Insumos!A:A,Insumos!C:C),""),"Inserir Preço")</f>
        <v>6.34</v>
      </c>
      <c r="X738" s="235">
        <f t="shared" ca="1" si="517"/>
        <v>2.2416</v>
      </c>
      <c r="Y738" s="236">
        <f t="shared" si="463"/>
        <v>3.8039999999999997E-2</v>
      </c>
      <c r="Z738" s="237">
        <f t="shared" ca="1" si="488"/>
        <v>14.211743999999999</v>
      </c>
      <c r="AA738" s="238"/>
      <c r="AB738" s="233" t="str">
        <f>IF(B738="insumo",_xlfn.XLOOKUP(S738,Insumos!A:A,Insumos!D:D),"")</f>
        <v xml:space="preserve"> </v>
      </c>
      <c r="AC738" s="239">
        <f t="shared" ca="1" si="489"/>
        <v>2.0388042481766653E-6</v>
      </c>
      <c r="AE738" s="240">
        <f ca="1">IFERROR(IF(OR(Z738="",Z738=0),"",IF(AF738="","",IF(AF738="R$/mês",Z738/OBRA!$D$12,IF(AF738="R$/m²",Z738/OBRA!$D$10,IF(AF738="R$/apto",Orçamento!Z738/OBRA!$D$11,""))))),"")</f>
        <v>7.3134646953783135E-3</v>
      </c>
      <c r="AF738" s="241" t="s">
        <v>154</v>
      </c>
    </row>
    <row r="739" spans="1:32" s="10" customFormat="1" ht="13.15" hidden="1" customHeight="1" outlineLevel="4" x14ac:dyDescent="0.2">
      <c r="A739" s="227"/>
      <c r="B739" s="228" t="s">
        <v>19</v>
      </c>
      <c r="C739" s="229">
        <f t="shared" si="487"/>
        <v>5</v>
      </c>
      <c r="D739" s="227" t="str">
        <f t="shared" si="504"/>
        <v/>
      </c>
      <c r="E739" s="228" t="str">
        <f t="shared" ca="1" si="505"/>
        <v>05.003.002.001</v>
      </c>
      <c r="F739" s="230">
        <f ca="1">IF($B739="UNIDADE CONSTRUTIVA",OFFSET(F739,-1,0)+1,LARGE(F$10:F738,1))</f>
        <v>2</v>
      </c>
      <c r="G739" s="228" t="str">
        <f t="shared" ca="1" si="506"/>
        <v xml:space="preserve">   GERENCIAMENTO EXECUTIVO</v>
      </c>
      <c r="H739" s="230">
        <f t="shared" ca="1" si="507"/>
        <v>5</v>
      </c>
      <c r="I739" s="228" t="str">
        <f t="shared" ca="1" si="508"/>
        <v xml:space="preserve">   ALVENARIA | VEDAÇÕES | DIVISÓRIAS</v>
      </c>
      <c r="J739" s="230">
        <f t="shared" ca="1" si="509"/>
        <v>3</v>
      </c>
      <c r="K739" s="228" t="str">
        <f t="shared" ca="1" si="510"/>
        <v xml:space="preserve">   ALVENARIA | VEDAÇÕES | DIVISÓRIAS - 3º ao 7º PAVIMENTO - TIPO</v>
      </c>
      <c r="L739" s="231">
        <f t="shared" ca="1" si="511"/>
        <v>2</v>
      </c>
      <c r="M739" s="228" t="str">
        <f t="shared" ca="1" si="512"/>
        <v xml:space="preserve">   Serviços Complementares</v>
      </c>
      <c r="N739" s="231">
        <f t="shared" ca="1" si="513"/>
        <v>1</v>
      </c>
      <c r="O739" s="228" t="str">
        <f t="shared" ca="1" si="514"/>
        <v>Verga/contraverga de concreto, moldada in loco</v>
      </c>
      <c r="P739" s="232" t="str">
        <f>IF(S739="","",IF(Orçamento!$B739="INSUMO",S739,""))</f>
        <v>ACO CA-60 5,00 MM</v>
      </c>
      <c r="Q739" s="244" t="str">
        <f t="shared" si="515"/>
        <v/>
      </c>
      <c r="R739" s="234">
        <f t="shared" ca="1" si="516"/>
        <v>373.59999999999997</v>
      </c>
      <c r="S739" s="233" t="s">
        <v>179</v>
      </c>
      <c r="T739" s="242" t="str">
        <f>_xlfn.XLOOKUP(S739,Insumos!$A$3:$A$371,Insumos!$B$3:$B$371)</f>
        <v>KG</v>
      </c>
      <c r="U739" s="235">
        <f t="shared" ca="1" si="518"/>
        <v>373.59999999999997</v>
      </c>
      <c r="V739" s="320">
        <v>0.49</v>
      </c>
      <c r="W739" s="236">
        <f>IFERROR(IF(B739="INSUMO",_xlfn.XLOOKUP(S739,Insumos!A:A,Insumos!C:C),""),"Inserir Preço")</f>
        <v>6.11</v>
      </c>
      <c r="X739" s="235">
        <f t="shared" ca="1" si="517"/>
        <v>183.06399999999999</v>
      </c>
      <c r="Y739" s="236">
        <f t="shared" si="463"/>
        <v>2.9939</v>
      </c>
      <c r="Z739" s="237">
        <f t="shared" ca="1" si="488"/>
        <v>1118.5210400000001</v>
      </c>
      <c r="AA739" s="238"/>
      <c r="AB739" s="233" t="str">
        <f>IF(B739="insumo",_xlfn.XLOOKUP(S739,Insumos!A:A,Insumos!D:D),"")</f>
        <v>BENDERTEC</v>
      </c>
      <c r="AC739" s="239">
        <f t="shared" ca="1" si="489"/>
        <v>1.6046204097308408E-4</v>
      </c>
      <c r="AE739" s="240">
        <f ca="1">IFERROR(IF(OR(Z739="",Z739=0),"",IF(AF739="","",IF(AF739="R$/mês",Z739/OBRA!$D$12,IF(AF739="R$/m²",Z739/OBRA!$D$10,IF(AF739="R$/apto",Orçamento!Z739/OBRA!$D$11,""))))),"")</f>
        <v>0.57559889462389946</v>
      </c>
      <c r="AF739" s="241" t="s">
        <v>154</v>
      </c>
    </row>
    <row r="740" spans="1:32" s="10" customFormat="1" ht="13.15" hidden="1" customHeight="1" outlineLevel="4" x14ac:dyDescent="0.2">
      <c r="A740" s="227"/>
      <c r="B740" s="228" t="s">
        <v>19</v>
      </c>
      <c r="C740" s="229">
        <f t="shared" si="487"/>
        <v>44</v>
      </c>
      <c r="D740" s="227" t="str">
        <f t="shared" si="504"/>
        <v/>
      </c>
      <c r="E740" s="228" t="str">
        <f t="shared" ca="1" si="505"/>
        <v>05.003.002.001</v>
      </c>
      <c r="F740" s="230">
        <f ca="1">IF($B740="UNIDADE CONSTRUTIVA",OFFSET(F740,-1,0)+1,LARGE(F$10:F739,1))</f>
        <v>2</v>
      </c>
      <c r="G740" s="228" t="str">
        <f t="shared" ca="1" si="506"/>
        <v xml:space="preserve">   GERENCIAMENTO EXECUTIVO</v>
      </c>
      <c r="H740" s="230">
        <f t="shared" ca="1" si="507"/>
        <v>5</v>
      </c>
      <c r="I740" s="228" t="str">
        <f t="shared" ca="1" si="508"/>
        <v xml:space="preserve">   ALVENARIA | VEDAÇÕES | DIVISÓRIAS</v>
      </c>
      <c r="J740" s="230">
        <f t="shared" ca="1" si="509"/>
        <v>3</v>
      </c>
      <c r="K740" s="228" t="str">
        <f t="shared" ca="1" si="510"/>
        <v xml:space="preserve">   ALVENARIA | VEDAÇÕES | DIVISÓRIAS - 3º ao 7º PAVIMENTO - TIPO</v>
      </c>
      <c r="L740" s="231">
        <f t="shared" ca="1" si="511"/>
        <v>2</v>
      </c>
      <c r="M740" s="228" t="str">
        <f t="shared" ca="1" si="512"/>
        <v xml:space="preserve">   Serviços Complementares</v>
      </c>
      <c r="N740" s="231">
        <f t="shared" ca="1" si="513"/>
        <v>1</v>
      </c>
      <c r="O740" s="228" t="str">
        <f t="shared" ca="1" si="514"/>
        <v>Verga/contraverga de concreto, moldada in loco</v>
      </c>
      <c r="P740" s="232" t="str">
        <f>IF(S740="","",IF(Orçamento!$B740="INSUMO",S740,""))</f>
        <v>PREGO 17 x 21 COM CABECA</v>
      </c>
      <c r="Q740" s="244" t="str">
        <f t="shared" si="515"/>
        <v/>
      </c>
      <c r="R740" s="234">
        <f t="shared" ca="1" si="516"/>
        <v>373.59999999999997</v>
      </c>
      <c r="S740" s="233" t="s">
        <v>173</v>
      </c>
      <c r="T740" s="242" t="str">
        <f>_xlfn.XLOOKUP(S740,Insumos!$A$3:$A$371,Insumos!$B$3:$B$371)</f>
        <v>KG</v>
      </c>
      <c r="U740" s="235">
        <f t="shared" ca="1" si="518"/>
        <v>373.59999999999997</v>
      </c>
      <c r="V740" s="320">
        <v>5.4000000000000003E-3</v>
      </c>
      <c r="W740" s="236">
        <f>IFERROR(IF(B740="INSUMO",_xlfn.XLOOKUP(S740,Insumos!A:A,Insumos!C:C),""),"Inserir Preço")</f>
        <v>13</v>
      </c>
      <c r="X740" s="235">
        <f t="shared" ca="1" si="517"/>
        <v>2.0174400000000001</v>
      </c>
      <c r="Y740" s="236">
        <f t="shared" si="463"/>
        <v>7.0199999999999999E-2</v>
      </c>
      <c r="Z740" s="237">
        <f t="shared" ca="1" si="488"/>
        <v>26.22672</v>
      </c>
      <c r="AA740" s="238"/>
      <c r="AB740" s="233" t="str">
        <f>IF(B740="insumo",_xlfn.XLOOKUP(S740,Insumos!A:A,Insumos!D:D),"")</f>
        <v xml:space="preserve"> </v>
      </c>
      <c r="AC740" s="239">
        <f t="shared" ca="1" si="489"/>
        <v>3.7624620983701868E-6</v>
      </c>
      <c r="AE740" s="240">
        <f ca="1">IFERROR(IF(OR(Z740="",Z740=0),"",IF(AF740="","",IF(AF740="R$/mês",Z740/OBRA!$D$12,IF(AF740="R$/m²",Z740/OBRA!$D$10,IF(AF740="R$/apto",Orçamento!Z740/OBRA!$D$11,""))))),"")</f>
        <v>1.3496456929956824E-2</v>
      </c>
      <c r="AF740" s="241" t="s">
        <v>154</v>
      </c>
    </row>
    <row r="741" spans="1:32" s="10" customFormat="1" ht="13.15" hidden="1" customHeight="1" outlineLevel="4" x14ac:dyDescent="0.2">
      <c r="A741" s="227"/>
      <c r="B741" s="228" t="s">
        <v>19</v>
      </c>
      <c r="C741" s="229">
        <f t="shared" si="487"/>
        <v>7</v>
      </c>
      <c r="D741" s="227" t="str">
        <f t="shared" si="504"/>
        <v/>
      </c>
      <c r="E741" s="228" t="str">
        <f t="shared" ca="1" si="505"/>
        <v>05.003.002.001</v>
      </c>
      <c r="F741" s="230">
        <f ca="1">IF($B741="UNIDADE CONSTRUTIVA",OFFSET(F741,-1,0)+1,LARGE(F$10:F740,1))</f>
        <v>2</v>
      </c>
      <c r="G741" s="228" t="str">
        <f t="shared" ca="1" si="506"/>
        <v xml:space="preserve">   GERENCIAMENTO EXECUTIVO</v>
      </c>
      <c r="H741" s="230">
        <f t="shared" ca="1" si="507"/>
        <v>5</v>
      </c>
      <c r="I741" s="228" t="str">
        <f t="shared" ca="1" si="508"/>
        <v xml:space="preserve">   ALVENARIA | VEDAÇÕES | DIVISÓRIAS</v>
      </c>
      <c r="J741" s="230">
        <f t="shared" ca="1" si="509"/>
        <v>3</v>
      </c>
      <c r="K741" s="228" t="str">
        <f t="shared" ca="1" si="510"/>
        <v xml:space="preserve">   ALVENARIA | VEDAÇÕES | DIVISÓRIAS - 3º ao 7º PAVIMENTO - TIPO</v>
      </c>
      <c r="L741" s="231">
        <f t="shared" ca="1" si="511"/>
        <v>2</v>
      </c>
      <c r="M741" s="228" t="str">
        <f t="shared" ca="1" si="512"/>
        <v xml:space="preserve">   Serviços Complementares</v>
      </c>
      <c r="N741" s="231">
        <f t="shared" ca="1" si="513"/>
        <v>1</v>
      </c>
      <c r="O741" s="228" t="str">
        <f t="shared" ca="1" si="514"/>
        <v>Verga/contraverga de concreto, moldada in loco</v>
      </c>
      <c r="P741" s="232" t="str">
        <f>IF(S741="","",IF(Orçamento!$B741="INSUMO",S741,""))</f>
        <v>Tabua de pinus 20x2,5x300cm</v>
      </c>
      <c r="Q741" s="244" t="str">
        <f t="shared" si="515"/>
        <v/>
      </c>
      <c r="R741" s="234">
        <f t="shared" ca="1" si="516"/>
        <v>373.59999999999997</v>
      </c>
      <c r="S741" s="233" t="s">
        <v>174</v>
      </c>
      <c r="T741" s="242" t="str">
        <f>_xlfn.XLOOKUP(S741,Insumos!$A$3:$A$371,Insumos!$B$3:$B$371)</f>
        <v>M3</v>
      </c>
      <c r="U741" s="235">
        <f t="shared" ca="1" si="518"/>
        <v>373.59999999999997</v>
      </c>
      <c r="V741" s="320">
        <v>1.2E-2</v>
      </c>
      <c r="W741" s="236">
        <f>IFERROR(IF(B741="INSUMO",_xlfn.XLOOKUP(S741,Insumos!A:A,Insumos!C:C),""),"Inserir Preço")</f>
        <v>1410</v>
      </c>
      <c r="X741" s="235">
        <f t="shared" ca="1" si="517"/>
        <v>4.4832000000000001</v>
      </c>
      <c r="Y741" s="236">
        <f t="shared" si="463"/>
        <v>16.920000000000002</v>
      </c>
      <c r="Z741" s="237">
        <f t="shared" ca="1" si="488"/>
        <v>6321.3119999999999</v>
      </c>
      <c r="AA741" s="238"/>
      <c r="AB741" s="233" t="str">
        <f>IF(B741="insumo",_xlfn.XLOOKUP(S741,Insumos!A:A,Insumos!D:D),"")</f>
        <v xml:space="preserve"> </v>
      </c>
      <c r="AC741" s="239">
        <f t="shared" ca="1" si="489"/>
        <v>9.0684983909435264E-4</v>
      </c>
      <c r="AE741" s="240">
        <f ca="1">IFERROR(IF(OR(Z741="",Z741=0),"",IF(AF741="","",IF(AF741="R$/mês",Z741/OBRA!$D$12,IF(AF741="R$/m²",Z741/OBRA!$D$10,IF(AF741="R$/apto",Orçamento!Z741/OBRA!$D$11,""))))),"")</f>
        <v>3.2529921831177986</v>
      </c>
      <c r="AF741" s="241" t="s">
        <v>154</v>
      </c>
    </row>
    <row r="742" spans="1:32" s="10" customFormat="1" ht="13.15" hidden="1" customHeight="1" outlineLevel="4" x14ac:dyDescent="0.2">
      <c r="A742" s="227"/>
      <c r="B742" s="228" t="s">
        <v>19</v>
      </c>
      <c r="C742" s="229">
        <f t="shared" si="487"/>
        <v>12</v>
      </c>
      <c r="D742" s="227" t="str">
        <f t="shared" si="504"/>
        <v/>
      </c>
      <c r="E742" s="228" t="str">
        <f t="shared" ca="1" si="505"/>
        <v>05.003.002.001</v>
      </c>
      <c r="F742" s="230">
        <f ca="1">IF($B742="UNIDADE CONSTRUTIVA",OFFSET(F742,-1,0)+1,LARGE(F$10:F741,1))</f>
        <v>2</v>
      </c>
      <c r="G742" s="228" t="str">
        <f t="shared" ca="1" si="506"/>
        <v xml:space="preserve">   GERENCIAMENTO EXECUTIVO</v>
      </c>
      <c r="H742" s="230">
        <f t="shared" ca="1" si="507"/>
        <v>5</v>
      </c>
      <c r="I742" s="228" t="str">
        <f t="shared" ca="1" si="508"/>
        <v xml:space="preserve">   ALVENARIA | VEDAÇÕES | DIVISÓRIAS</v>
      </c>
      <c r="J742" s="230">
        <f t="shared" ca="1" si="509"/>
        <v>3</v>
      </c>
      <c r="K742" s="228" t="str">
        <f t="shared" ca="1" si="510"/>
        <v xml:space="preserve">   ALVENARIA | VEDAÇÕES | DIVISÓRIAS - 3º ao 7º PAVIMENTO - TIPO</v>
      </c>
      <c r="L742" s="231">
        <f t="shared" ca="1" si="511"/>
        <v>2</v>
      </c>
      <c r="M742" s="228" t="str">
        <f t="shared" ca="1" si="512"/>
        <v xml:space="preserve">   Serviços Complementares</v>
      </c>
      <c r="N742" s="231">
        <f t="shared" ca="1" si="513"/>
        <v>1</v>
      </c>
      <c r="O742" s="228" t="str">
        <f t="shared" ca="1" si="514"/>
        <v>Verga/contraverga de concreto, moldada in loco</v>
      </c>
      <c r="P742" s="232" t="str">
        <f>IF(S742="","",IF(Orçamento!$B742="INSUMO",S742,""))</f>
        <v>SARRAFO DE MADEIRA 7,0 x 3 M</v>
      </c>
      <c r="Q742" s="244" t="str">
        <f t="shared" si="515"/>
        <v/>
      </c>
      <c r="R742" s="234">
        <f t="shared" ca="1" si="516"/>
        <v>373.59999999999997</v>
      </c>
      <c r="S742" s="233" t="s">
        <v>175</v>
      </c>
      <c r="T742" s="242" t="str">
        <f>_xlfn.XLOOKUP(S742,Insumos!$A$3:$A$371,Insumos!$B$3:$B$371)</f>
        <v>M3</v>
      </c>
      <c r="U742" s="235">
        <f t="shared" ca="1" si="518"/>
        <v>373.59999999999997</v>
      </c>
      <c r="V742" s="320">
        <v>7.9000000000000008E-3</v>
      </c>
      <c r="W742" s="236">
        <f>IFERROR(IF(B742="INSUMO",_xlfn.XLOOKUP(S742,Insumos!A:A,Insumos!C:C),""),"Inserir Preço")</f>
        <v>1300</v>
      </c>
      <c r="X742" s="235">
        <f t="shared" ca="1" si="517"/>
        <v>2.9514399999999998</v>
      </c>
      <c r="Y742" s="236">
        <f t="shared" si="463"/>
        <v>10.270000000000001</v>
      </c>
      <c r="Z742" s="237">
        <f t="shared" ca="1" si="488"/>
        <v>3836.8719999999998</v>
      </c>
      <c r="AA742" s="238"/>
      <c r="AB742" s="233" t="str">
        <f>IF(B742="insumo",_xlfn.XLOOKUP(S742,Insumos!A:A,Insumos!D:D),"")</f>
        <v xml:space="preserve"> </v>
      </c>
      <c r="AC742" s="239">
        <f t="shared" ca="1" si="489"/>
        <v>5.5043426994674956E-4</v>
      </c>
      <c r="AE742" s="240">
        <f ca="1">IFERROR(IF(OR(Z742="",Z742=0),"",IF(AF742="","",IF(AF742="R$/mês",Z742/OBRA!$D$12,IF(AF742="R$/m²",Z742/OBRA!$D$10,IF(AF742="R$/apto",Orçamento!Z742/OBRA!$D$11,""))))),"")</f>
        <v>1.9744816619751651</v>
      </c>
      <c r="AF742" s="241" t="s">
        <v>154</v>
      </c>
    </row>
    <row r="743" spans="1:32" s="10" customFormat="1" ht="13.15" hidden="1" customHeight="1" outlineLevel="4" x14ac:dyDescent="0.2">
      <c r="A743" s="227"/>
      <c r="B743" s="228" t="s">
        <v>19</v>
      </c>
      <c r="C743" s="229">
        <f t="shared" si="487"/>
        <v>26</v>
      </c>
      <c r="D743" s="227" t="str">
        <f t="shared" si="504"/>
        <v/>
      </c>
      <c r="E743" s="228" t="str">
        <f t="shared" ca="1" si="505"/>
        <v>05.003.002.001</v>
      </c>
      <c r="F743" s="230">
        <f ca="1">IF($B743="UNIDADE CONSTRUTIVA",OFFSET(F743,-1,0)+1,LARGE(F$10:F742,1))</f>
        <v>2</v>
      </c>
      <c r="G743" s="228" t="str">
        <f t="shared" ca="1" si="506"/>
        <v xml:space="preserve">   GERENCIAMENTO EXECUTIVO</v>
      </c>
      <c r="H743" s="230">
        <f t="shared" ca="1" si="507"/>
        <v>5</v>
      </c>
      <c r="I743" s="228" t="str">
        <f t="shared" ca="1" si="508"/>
        <v xml:space="preserve">   ALVENARIA | VEDAÇÕES | DIVISÓRIAS</v>
      </c>
      <c r="J743" s="230">
        <f t="shared" ca="1" si="509"/>
        <v>3</v>
      </c>
      <c r="K743" s="228" t="str">
        <f t="shared" ca="1" si="510"/>
        <v xml:space="preserve">   ALVENARIA | VEDAÇÕES | DIVISÓRIAS - 3º ao 7º PAVIMENTO - TIPO</v>
      </c>
      <c r="L743" s="231">
        <f t="shared" ca="1" si="511"/>
        <v>2</v>
      </c>
      <c r="M743" s="228" t="str">
        <f t="shared" ca="1" si="512"/>
        <v xml:space="preserve">   Serviços Complementares</v>
      </c>
      <c r="N743" s="231">
        <f t="shared" ca="1" si="513"/>
        <v>1</v>
      </c>
      <c r="O743" s="228" t="str">
        <f t="shared" ca="1" si="514"/>
        <v>Verga/contraverga de concreto, moldada in loco</v>
      </c>
      <c r="P743" s="232" t="str">
        <f>IF(S743="","",IF(Orçamento!$B743="INSUMO",S743,""))</f>
        <v>MADEIRA PINUS/SIMILAR - PONTALETE 75X75MM NBR 11700/15696</v>
      </c>
      <c r="Q743" s="244" t="str">
        <f t="shared" si="515"/>
        <v/>
      </c>
      <c r="R743" s="234">
        <f t="shared" ca="1" si="516"/>
        <v>373.59999999999997</v>
      </c>
      <c r="S743" s="233" t="s">
        <v>807</v>
      </c>
      <c r="T743" s="242" t="str">
        <f>_xlfn.XLOOKUP(S743,Insumos!$A$3:$A$371,Insumos!$B$3:$B$371)</f>
        <v>M</v>
      </c>
      <c r="U743" s="235">
        <f t="shared" ca="1" si="518"/>
        <v>373.59999999999997</v>
      </c>
      <c r="V743" s="320">
        <v>0.37140000000000001</v>
      </c>
      <c r="W743" s="236">
        <f>IFERROR(IF(B743="INSUMO",_xlfn.XLOOKUP(S743,Insumos!A:A,Insumos!C:C),""),"Inserir Preço")</f>
        <v>7</v>
      </c>
      <c r="X743" s="235">
        <f t="shared" ca="1" si="517"/>
        <v>138.75503999999998</v>
      </c>
      <c r="Y743" s="236">
        <f t="shared" si="463"/>
        <v>2.5998000000000001</v>
      </c>
      <c r="Z743" s="237">
        <f t="shared" ca="1" si="488"/>
        <v>971.28527999999983</v>
      </c>
      <c r="AA743" s="238"/>
      <c r="AB743" s="233" t="str">
        <f>IF(B743="insumo",_xlfn.XLOOKUP(S743,Insumos!A:A,Insumos!D:D),"")</f>
        <v xml:space="preserve"> </v>
      </c>
      <c r="AC743" s="239">
        <f t="shared" ca="1" si="489"/>
        <v>1.3933972882254714E-4</v>
      </c>
      <c r="AE743" s="240">
        <f ca="1">IFERROR(IF(OR(Z743="",Z743=0),"",IF(AF743="","",IF(AF743="R$/mês",Z743/OBRA!$D$12,IF(AF743="R$/m²",Z743/OBRA!$D$10,IF(AF743="R$/apto",Orçamento!Z743/OBRA!$D$11,""))))),"")</f>
        <v>0.49983032373934111</v>
      </c>
      <c r="AF743" s="241" t="s">
        <v>154</v>
      </c>
    </row>
    <row r="744" spans="1:32" s="10" customFormat="1" ht="13.15" hidden="1" customHeight="1" outlineLevel="4" x14ac:dyDescent="0.2">
      <c r="A744" s="227"/>
      <c r="B744" s="228" t="s">
        <v>19</v>
      </c>
      <c r="C744" s="229">
        <f t="shared" si="487"/>
        <v>5</v>
      </c>
      <c r="D744" s="227" t="str">
        <f t="shared" si="504"/>
        <v/>
      </c>
      <c r="E744" s="228" t="str">
        <f t="shared" ca="1" si="505"/>
        <v>05.003.002.001</v>
      </c>
      <c r="F744" s="230">
        <f ca="1">IF($B744="UNIDADE CONSTRUTIVA",OFFSET(F744,-1,0)+1,LARGE(F$10:F743,1))</f>
        <v>2</v>
      </c>
      <c r="G744" s="228" t="str">
        <f t="shared" ca="1" si="506"/>
        <v xml:space="preserve">   GERENCIAMENTO EXECUTIVO</v>
      </c>
      <c r="H744" s="230">
        <f t="shared" ca="1" si="507"/>
        <v>5</v>
      </c>
      <c r="I744" s="228" t="str">
        <f t="shared" ca="1" si="508"/>
        <v xml:space="preserve">   ALVENARIA | VEDAÇÕES | DIVISÓRIAS</v>
      </c>
      <c r="J744" s="230">
        <f t="shared" ca="1" si="509"/>
        <v>3</v>
      </c>
      <c r="K744" s="228" t="str">
        <f t="shared" ca="1" si="510"/>
        <v xml:space="preserve">   ALVENARIA | VEDAÇÕES | DIVISÓRIAS - 3º ao 7º PAVIMENTO - TIPO</v>
      </c>
      <c r="L744" s="231">
        <f t="shared" ca="1" si="511"/>
        <v>2</v>
      </c>
      <c r="M744" s="228" t="str">
        <f t="shared" ca="1" si="512"/>
        <v xml:space="preserve">   Serviços Complementares</v>
      </c>
      <c r="N744" s="231">
        <f t="shared" ca="1" si="513"/>
        <v>1</v>
      </c>
      <c r="O744" s="228" t="str">
        <f t="shared" ca="1" si="514"/>
        <v>Verga/contraverga de concreto, moldada in loco</v>
      </c>
      <c r="P744" s="232" t="str">
        <f>IF(S744="","",IF(Orçamento!$B744="INSUMO",S744,""))</f>
        <v>CONCRETO USINADO BOMBEAVEL FCK 20 MPA BRITA 0+1 SLUMP 14+/-2</v>
      </c>
      <c r="Q744" s="244" t="str">
        <f t="shared" si="515"/>
        <v/>
      </c>
      <c r="R744" s="234">
        <f t="shared" ca="1" si="516"/>
        <v>373.59999999999997</v>
      </c>
      <c r="S744" s="233" t="s">
        <v>211</v>
      </c>
      <c r="T744" s="242" t="str">
        <f>_xlfn.XLOOKUP(S744,Insumos!$A$3:$A$371,Insumos!$B$3:$B$371)</f>
        <v>M3</v>
      </c>
      <c r="U744" s="235">
        <f t="shared" ca="1" si="518"/>
        <v>373.59999999999997</v>
      </c>
      <c r="V744" s="320">
        <v>2.5000000000000001E-2</v>
      </c>
      <c r="W744" s="236">
        <f>IFERROR(IF(B744="INSUMO",_xlfn.XLOOKUP(S744,Insumos!A:A,Insumos!C:C),""),"Inserir Preço")</f>
        <v>480</v>
      </c>
      <c r="X744" s="235">
        <f t="shared" ca="1" si="517"/>
        <v>9.34</v>
      </c>
      <c r="Y744" s="236">
        <f t="shared" ref="Y744:Y807" si="519">IF(B744="insumo",W744*V744,IF(B744="serviço",SUMIFS(Y:Y,B:B,"insumo",E:E,E744,I:I,I744),""))</f>
        <v>12</v>
      </c>
      <c r="Z744" s="237">
        <f t="shared" ca="1" si="488"/>
        <v>4483.2</v>
      </c>
      <c r="AA744" s="238"/>
      <c r="AB744" s="233" t="str">
        <f>IF(B744="insumo",_xlfn.XLOOKUP(S744,Insumos!A:A,Insumos!D:D),"")</f>
        <v xml:space="preserve"> </v>
      </c>
      <c r="AC744" s="239">
        <f t="shared" ca="1" si="489"/>
        <v>6.4315591425131394E-4</v>
      </c>
      <c r="AE744" s="240">
        <f ca="1">IFERROR(IF(OR(Z744="",Z744=0),"",IF(AF744="","",IF(AF744="R$/mês",Z744/OBRA!$D$12,IF(AF744="R$/m²",Z744/OBRA!$D$10,IF(AF744="R$/apto",Orçamento!Z744/OBRA!$D$11,""))))),"")</f>
        <v>2.3070866546934741</v>
      </c>
      <c r="AF744" s="241" t="s">
        <v>154</v>
      </c>
    </row>
    <row r="745" spans="1:32" s="10" customFormat="1" ht="13.15" hidden="1" customHeight="1" outlineLevel="4" x14ac:dyDescent="0.2">
      <c r="A745" s="227"/>
      <c r="B745" s="228" t="s">
        <v>4</v>
      </c>
      <c r="C745" s="229">
        <f t="shared" si="487"/>
        <v>5</v>
      </c>
      <c r="D745" s="227" t="str">
        <f t="shared" ca="1" si="504"/>
        <v>05.003.002.002</v>
      </c>
      <c r="E745" s="228" t="str">
        <f t="shared" ca="1" si="505"/>
        <v>05.003.002.002</v>
      </c>
      <c r="F745" s="230">
        <f ca="1">IF($B745="UNIDADE CONSTRUTIVA",OFFSET(F745,-1,0)+1,LARGE(F$10:F744,1))</f>
        <v>2</v>
      </c>
      <c r="G745" s="228" t="str">
        <f t="shared" ca="1" si="506"/>
        <v xml:space="preserve">   GERENCIAMENTO EXECUTIVO</v>
      </c>
      <c r="H745" s="230">
        <f t="shared" ca="1" si="507"/>
        <v>5</v>
      </c>
      <c r="I745" s="228" t="str">
        <f t="shared" ca="1" si="508"/>
        <v xml:space="preserve">   ALVENARIA | VEDAÇÕES | DIVISÓRIAS</v>
      </c>
      <c r="J745" s="230">
        <f t="shared" ca="1" si="509"/>
        <v>3</v>
      </c>
      <c r="K745" s="228" t="str">
        <f t="shared" ca="1" si="510"/>
        <v xml:space="preserve">   ALVENARIA | VEDAÇÕES | DIVISÓRIAS - 3º ao 7º PAVIMENTO - TIPO</v>
      </c>
      <c r="L745" s="231">
        <f t="shared" ca="1" si="511"/>
        <v>2</v>
      </c>
      <c r="M745" s="228" t="str">
        <f t="shared" ca="1" si="512"/>
        <v xml:space="preserve">   Serviços Complementares</v>
      </c>
      <c r="N745" s="231">
        <f t="shared" ca="1" si="513"/>
        <v>2</v>
      </c>
      <c r="O745" s="228" t="str">
        <f t="shared" ca="1" si="514"/>
        <v>Tela soldada para ligacao alvenaria/estrutura - para blocos de 9 a 14cm</v>
      </c>
      <c r="P745" s="232" t="str">
        <f>IF(S745="","",IF(Orçamento!$B745="INSUMO",S745,""))</f>
        <v/>
      </c>
      <c r="Q745" s="244" t="str">
        <f t="shared" si="515"/>
        <v>Tela soldada para ligacao alvenaria/estrutura - para blocos de 9 a 14cm</v>
      </c>
      <c r="R745" s="234">
        <f t="shared" ca="1" si="516"/>
        <v>833</v>
      </c>
      <c r="S745" s="233" t="s">
        <v>212</v>
      </c>
      <c r="T745" s="242" t="s">
        <v>142</v>
      </c>
      <c r="U745" s="235">
        <f>ROUNDUP((U727+U730+U733)*0.58,0)</f>
        <v>833</v>
      </c>
      <c r="V745" s="320" t="s">
        <v>35</v>
      </c>
      <c r="W745" s="236" t="str">
        <f>IFERROR(IF(B745="INSUMO",_xlfn.XLOOKUP(S745,Insumos!A:A,Insumos!C:C),""),"Inserir Preço")</f>
        <v/>
      </c>
      <c r="X745" s="235">
        <f t="shared" ca="1" si="517"/>
        <v>833</v>
      </c>
      <c r="Y745" s="236">
        <f t="shared" ca="1" si="519"/>
        <v>1.7000000000000002</v>
      </c>
      <c r="Z745" s="237">
        <f t="shared" ca="1" si="488"/>
        <v>1416.1000000000001</v>
      </c>
      <c r="AA745" s="238"/>
      <c r="AB745" s="233" t="str">
        <f>IF(B745="insumo",_xlfn.XLOOKUP(S745,Insumos!A:A,Insumos!D:D),"")</f>
        <v/>
      </c>
      <c r="AC745" s="239">
        <f t="shared" ca="1" si="489"/>
        <v>2.0315245587332391E-4</v>
      </c>
      <c r="AE745" s="240">
        <f ca="1">IFERROR(IF(OR(Z745="",Z745=0),"",IF(AF745="","",IF(AF745="R$/mês",Z745/OBRA!$D$12,IF(AF745="R$/m²",Z745/OBRA!$D$10,IF(AF745="R$/apto",Orçamento!Z745/OBRA!$D$11,""))))),"")</f>
        <v>0.7287351471519069</v>
      </c>
      <c r="AF745" s="241" t="s">
        <v>154</v>
      </c>
    </row>
    <row r="746" spans="1:32" s="10" customFormat="1" ht="13.15" hidden="1" customHeight="1" outlineLevel="4" x14ac:dyDescent="0.2">
      <c r="A746" s="227"/>
      <c r="B746" s="228" t="s">
        <v>19</v>
      </c>
      <c r="C746" s="229">
        <f t="shared" si="487"/>
        <v>6</v>
      </c>
      <c r="D746" s="227" t="str">
        <f t="shared" si="504"/>
        <v/>
      </c>
      <c r="E746" s="228" t="str">
        <f t="shared" ca="1" si="505"/>
        <v>05.003.002.002</v>
      </c>
      <c r="F746" s="230">
        <f ca="1">IF($B746="UNIDADE CONSTRUTIVA",OFFSET(F746,-1,0)+1,LARGE(F$10:F745,1))</f>
        <v>2</v>
      </c>
      <c r="G746" s="228" t="str">
        <f t="shared" ca="1" si="506"/>
        <v xml:space="preserve">   GERENCIAMENTO EXECUTIVO</v>
      </c>
      <c r="H746" s="230">
        <f t="shared" ca="1" si="507"/>
        <v>5</v>
      </c>
      <c r="I746" s="228" t="str">
        <f t="shared" ca="1" si="508"/>
        <v xml:space="preserve">   ALVENARIA | VEDAÇÕES | DIVISÓRIAS</v>
      </c>
      <c r="J746" s="230">
        <f t="shared" ca="1" si="509"/>
        <v>3</v>
      </c>
      <c r="K746" s="228" t="str">
        <f t="shared" ca="1" si="510"/>
        <v xml:space="preserve">   ALVENARIA | VEDAÇÕES | DIVISÓRIAS - 3º ao 7º PAVIMENTO - TIPO</v>
      </c>
      <c r="L746" s="231">
        <f t="shared" ca="1" si="511"/>
        <v>2</v>
      </c>
      <c r="M746" s="228" t="str">
        <f t="shared" ca="1" si="512"/>
        <v xml:space="preserve">   Serviços Complementares</v>
      </c>
      <c r="N746" s="231">
        <f t="shared" ca="1" si="513"/>
        <v>2</v>
      </c>
      <c r="O746" s="228" t="str">
        <f t="shared" ca="1" si="514"/>
        <v>Tela soldada para ligacao alvenaria/estrutura - para blocos de 9 a 14cm</v>
      </c>
      <c r="P746" s="232" t="str">
        <f>IF(S746="","",IF(Orçamento!$B746="INSUMO",S746,""))</f>
        <v>TELA AMARRAÇÃO MALHA 15 X 15MM - 7,5 X 50CM D= 1,24MM</v>
      </c>
      <c r="Q746" s="244" t="str">
        <f t="shared" si="515"/>
        <v/>
      </c>
      <c r="R746" s="234">
        <f t="shared" ca="1" si="516"/>
        <v>833</v>
      </c>
      <c r="S746" s="233" t="s">
        <v>213</v>
      </c>
      <c r="T746" s="242" t="str">
        <f>_xlfn.XLOOKUP(S746,Insumos!$A$3:$A$371,Insumos!$B$3:$B$371)</f>
        <v>UN</v>
      </c>
      <c r="U746" s="235">
        <f ca="1">IF($B746="insumo",R746,"")</f>
        <v>833</v>
      </c>
      <c r="V746" s="320">
        <v>1</v>
      </c>
      <c r="W746" s="236">
        <f>IFERROR(IF(B746="INSUMO",_xlfn.XLOOKUP(S746,Insumos!A:A,Insumos!C:C),""),"Inserir Preço")</f>
        <v>1.1000000000000001</v>
      </c>
      <c r="X746" s="235">
        <f t="shared" ca="1" si="517"/>
        <v>833</v>
      </c>
      <c r="Y746" s="236">
        <f t="shared" si="519"/>
        <v>1.1000000000000001</v>
      </c>
      <c r="Z746" s="237">
        <f t="shared" ca="1" si="488"/>
        <v>916.30000000000007</v>
      </c>
      <c r="AA746" s="238"/>
      <c r="AB746" s="233" t="str">
        <f>IF(B746="insumo",_xlfn.XLOOKUP(S746,Insumos!A:A,Insumos!D:D),"")</f>
        <v>Base de dados</v>
      </c>
      <c r="AC746" s="239">
        <f t="shared" ca="1" si="489"/>
        <v>1.3145158909450371E-4</v>
      </c>
      <c r="AE746" s="240">
        <f ca="1">IFERROR(IF(OR(Z746="",Z746=0),"",IF(AF746="","",IF(AF746="R$/mês",Z746/OBRA!$D$12,IF(AF746="R$/m²",Z746/OBRA!$D$10,IF(AF746="R$/apto",Orçamento!Z746/OBRA!$D$11,""))))),"")</f>
        <v>0.47153450698064564</v>
      </c>
      <c r="AF746" s="241" t="s">
        <v>154</v>
      </c>
    </row>
    <row r="747" spans="1:32" s="10" customFormat="1" ht="13.15" hidden="1" customHeight="1" outlineLevel="4" x14ac:dyDescent="0.2">
      <c r="A747" s="227"/>
      <c r="B747" s="228" t="s">
        <v>19</v>
      </c>
      <c r="C747" s="229">
        <f t="shared" si="487"/>
        <v>6</v>
      </c>
      <c r="D747" s="227" t="str">
        <f t="shared" si="504"/>
        <v/>
      </c>
      <c r="E747" s="228" t="str">
        <f t="shared" ca="1" si="505"/>
        <v>05.003.002.002</v>
      </c>
      <c r="F747" s="230">
        <f ca="1">IF($B747="UNIDADE CONSTRUTIVA",OFFSET(F747,-1,0)+1,LARGE(F$10:F746,1))</f>
        <v>2</v>
      </c>
      <c r="G747" s="228" t="str">
        <f t="shared" ca="1" si="506"/>
        <v xml:space="preserve">   GERENCIAMENTO EXECUTIVO</v>
      </c>
      <c r="H747" s="230">
        <f t="shared" ca="1" si="507"/>
        <v>5</v>
      </c>
      <c r="I747" s="228" t="str">
        <f t="shared" ca="1" si="508"/>
        <v xml:space="preserve">   ALVENARIA | VEDAÇÕES | DIVISÓRIAS</v>
      </c>
      <c r="J747" s="230">
        <f t="shared" ca="1" si="509"/>
        <v>3</v>
      </c>
      <c r="K747" s="228" t="str">
        <f t="shared" ca="1" si="510"/>
        <v xml:space="preserve">   ALVENARIA | VEDAÇÕES | DIVISÓRIAS - 3º ao 7º PAVIMENTO - TIPO</v>
      </c>
      <c r="L747" s="231">
        <f t="shared" ca="1" si="511"/>
        <v>2</v>
      </c>
      <c r="M747" s="228" t="str">
        <f t="shared" ca="1" si="512"/>
        <v xml:space="preserve">   Serviços Complementares</v>
      </c>
      <c r="N747" s="231">
        <f t="shared" ca="1" si="513"/>
        <v>2</v>
      </c>
      <c r="O747" s="228" t="str">
        <f t="shared" ca="1" si="514"/>
        <v>Tela soldada para ligacao alvenaria/estrutura - para blocos de 9 a 14cm</v>
      </c>
      <c r="P747" s="232" t="str">
        <f>IF(S747="","",IF(Orçamento!$B747="INSUMO",S747,""))</f>
        <v>PINO LISO EM ACO GALVANIZADO 1/2 X 22MM COM ARRUELA</v>
      </c>
      <c r="Q747" s="244" t="str">
        <f t="shared" si="515"/>
        <v/>
      </c>
      <c r="R747" s="234">
        <f t="shared" ca="1" si="516"/>
        <v>833</v>
      </c>
      <c r="S747" s="233" t="s">
        <v>214</v>
      </c>
      <c r="T747" s="242" t="str">
        <f>_xlfn.XLOOKUP(S747,Insumos!$A$3:$A$371,Insumos!$B$3:$B$371)</f>
        <v>UN</v>
      </c>
      <c r="U747" s="235">
        <f ca="1">IF($B747="insumo",R747,"")</f>
        <v>833</v>
      </c>
      <c r="V747" s="320">
        <v>1</v>
      </c>
      <c r="W747" s="236">
        <f>IFERROR(IF(B747="INSUMO",_xlfn.XLOOKUP(S747,Insumos!A:A,Insumos!C:C),""),"Inserir Preço")</f>
        <v>0.3</v>
      </c>
      <c r="X747" s="235">
        <f t="shared" ca="1" si="517"/>
        <v>833</v>
      </c>
      <c r="Y747" s="236">
        <f t="shared" si="519"/>
        <v>0.3</v>
      </c>
      <c r="Z747" s="237">
        <f t="shared" ca="1" si="488"/>
        <v>249.89999999999998</v>
      </c>
      <c r="AA747" s="238"/>
      <c r="AB747" s="233" t="str">
        <f>IF(B747="insumo",_xlfn.XLOOKUP(S747,Insumos!A:A,Insumos!D:D),"")</f>
        <v xml:space="preserve"> </v>
      </c>
      <c r="AC747" s="239">
        <f t="shared" ca="1" si="489"/>
        <v>3.5850433389410098E-5</v>
      </c>
      <c r="AE747" s="240">
        <f ca="1">IFERROR(IF(OR(Z747="",Z747=0),"",IF(AF747="","",IF(AF747="R$/mês",Z747/OBRA!$D$12,IF(AF747="R$/m²",Z747/OBRA!$D$10,IF(AF747="R$/apto",Orçamento!Z747/OBRA!$D$11,""))))),"")</f>
        <v>0.1286003200856306</v>
      </c>
      <c r="AF747" s="241" t="s">
        <v>154</v>
      </c>
    </row>
    <row r="748" spans="1:32" s="10" customFormat="1" ht="13.15" hidden="1" customHeight="1" outlineLevel="4" x14ac:dyDescent="0.2">
      <c r="A748" s="227"/>
      <c r="B748" s="228" t="s">
        <v>19</v>
      </c>
      <c r="C748" s="229">
        <f t="shared" si="487"/>
        <v>6</v>
      </c>
      <c r="D748" s="227" t="str">
        <f t="shared" si="504"/>
        <v/>
      </c>
      <c r="E748" s="228" t="str">
        <f t="shared" ca="1" si="505"/>
        <v>05.003.002.002</v>
      </c>
      <c r="F748" s="230">
        <f ca="1">IF($B748="UNIDADE CONSTRUTIVA",OFFSET(F748,-1,0)+1,LARGE(F$10:F747,1))</f>
        <v>2</v>
      </c>
      <c r="G748" s="228" t="str">
        <f t="shared" ca="1" si="506"/>
        <v xml:space="preserve">   GERENCIAMENTO EXECUTIVO</v>
      </c>
      <c r="H748" s="230">
        <f t="shared" ca="1" si="507"/>
        <v>5</v>
      </c>
      <c r="I748" s="228" t="str">
        <f t="shared" ca="1" si="508"/>
        <v xml:space="preserve">   ALVENARIA | VEDAÇÕES | DIVISÓRIAS</v>
      </c>
      <c r="J748" s="230">
        <f t="shared" ca="1" si="509"/>
        <v>3</v>
      </c>
      <c r="K748" s="228" t="str">
        <f t="shared" ca="1" si="510"/>
        <v xml:space="preserve">   ALVENARIA | VEDAÇÕES | DIVISÓRIAS - 3º ao 7º PAVIMENTO - TIPO</v>
      </c>
      <c r="L748" s="231">
        <f t="shared" ca="1" si="511"/>
        <v>2</v>
      </c>
      <c r="M748" s="228" t="str">
        <f t="shared" ca="1" si="512"/>
        <v xml:space="preserve">   Serviços Complementares</v>
      </c>
      <c r="N748" s="231">
        <f t="shared" ca="1" si="513"/>
        <v>2</v>
      </c>
      <c r="O748" s="228" t="str">
        <f t="shared" ca="1" si="514"/>
        <v>Tela soldada para ligacao alvenaria/estrutura - para blocos de 9 a 14cm</v>
      </c>
      <c r="P748" s="232" t="str">
        <f>IF(S748="","",IF(Orçamento!$B748="INSUMO",S748,""))</f>
        <v>CARTUCHO 22 - CARGA LEVE PARA FINCA PINO A POLVORA</v>
      </c>
      <c r="Q748" s="244" t="str">
        <f t="shared" si="515"/>
        <v/>
      </c>
      <c r="R748" s="234">
        <f t="shared" ca="1" si="516"/>
        <v>833</v>
      </c>
      <c r="S748" s="233" t="s">
        <v>215</v>
      </c>
      <c r="T748" s="242" t="str">
        <f>_xlfn.XLOOKUP(S748,Insumos!$A$3:$A$371,Insumos!$B$3:$B$371)</f>
        <v>UN</v>
      </c>
      <c r="U748" s="235">
        <f ca="1">IF($B748="insumo",R748,"")</f>
        <v>833</v>
      </c>
      <c r="V748" s="320">
        <v>1</v>
      </c>
      <c r="W748" s="236">
        <f>IFERROR(IF(B748="INSUMO",_xlfn.XLOOKUP(S748,Insumos!A:A,Insumos!C:C),""),"Inserir Preço")</f>
        <v>0.3</v>
      </c>
      <c r="X748" s="235">
        <f t="shared" ca="1" si="517"/>
        <v>833</v>
      </c>
      <c r="Y748" s="236">
        <f t="shared" si="519"/>
        <v>0.3</v>
      </c>
      <c r="Z748" s="237">
        <f t="shared" ca="1" si="488"/>
        <v>249.89999999999998</v>
      </c>
      <c r="AA748" s="238"/>
      <c r="AB748" s="233" t="str">
        <f>IF(B748="insumo",_xlfn.XLOOKUP(S748,Insumos!A:A,Insumos!D:D),"")</f>
        <v xml:space="preserve"> </v>
      </c>
      <c r="AC748" s="239">
        <f t="shared" ca="1" si="489"/>
        <v>3.5850433389410098E-5</v>
      </c>
      <c r="AE748" s="240">
        <f ca="1">IFERROR(IF(OR(Z748="",Z748=0),"",IF(AF748="","",IF(AF748="R$/mês",Z748/OBRA!$D$12,IF(AF748="R$/m²",Z748/OBRA!$D$10,IF(AF748="R$/apto",Orçamento!Z748/OBRA!$D$11,""))))),"")</f>
        <v>0.1286003200856306</v>
      </c>
      <c r="AF748" s="241" t="s">
        <v>154</v>
      </c>
    </row>
    <row r="749" spans="1:32" s="10" customFormat="1" ht="13.15" hidden="1" customHeight="1" outlineLevel="4" x14ac:dyDescent="0.2">
      <c r="A749" s="227"/>
      <c r="B749" s="228" t="s">
        <v>4</v>
      </c>
      <c r="C749" s="229">
        <f t="shared" si="487"/>
        <v>5</v>
      </c>
      <c r="D749" s="227" t="str">
        <f t="shared" ca="1" si="504"/>
        <v>05.003.002.003</v>
      </c>
      <c r="E749" s="228" t="str">
        <f t="shared" ca="1" si="505"/>
        <v>05.003.002.003</v>
      </c>
      <c r="F749" s="230">
        <f ca="1">IF($B749="UNIDADE CONSTRUTIVA",OFFSET(F749,-1,0)+1,LARGE(F$10:F748,1))</f>
        <v>2</v>
      </c>
      <c r="G749" s="228" t="str">
        <f t="shared" ca="1" si="506"/>
        <v xml:space="preserve">   GERENCIAMENTO EXECUTIVO</v>
      </c>
      <c r="H749" s="230">
        <f t="shared" ca="1" si="507"/>
        <v>5</v>
      </c>
      <c r="I749" s="228" t="str">
        <f t="shared" ca="1" si="508"/>
        <v xml:space="preserve">   ALVENARIA | VEDAÇÕES | DIVISÓRIAS</v>
      </c>
      <c r="J749" s="230">
        <f t="shared" ca="1" si="509"/>
        <v>3</v>
      </c>
      <c r="K749" s="228" t="str">
        <f t="shared" ca="1" si="510"/>
        <v xml:space="preserve">   ALVENARIA | VEDAÇÕES | DIVISÓRIAS - 3º ao 7º PAVIMENTO - TIPO</v>
      </c>
      <c r="L749" s="231">
        <f t="shared" ca="1" si="511"/>
        <v>2</v>
      </c>
      <c r="M749" s="228" t="str">
        <f t="shared" ca="1" si="512"/>
        <v xml:space="preserve">   Serviços Complementares</v>
      </c>
      <c r="N749" s="231">
        <f t="shared" ca="1" si="513"/>
        <v>3</v>
      </c>
      <c r="O749" s="228" t="str">
        <f t="shared" ca="1" si="514"/>
        <v>Encunhamento de alvenaria de vedacao com argamassa expansiva</v>
      </c>
      <c r="P749" s="232" t="str">
        <f>IF(S749="","",IF(Orçamento!$B749="INSUMO",S749,""))</f>
        <v/>
      </c>
      <c r="Q749" s="244" t="str">
        <f t="shared" si="515"/>
        <v>Encunhamento de alvenaria de vedacao com argamassa expansiva</v>
      </c>
      <c r="R749" s="234">
        <f t="shared" ca="1" si="516"/>
        <v>720.34999999999991</v>
      </c>
      <c r="S749" s="233" t="s">
        <v>216</v>
      </c>
      <c r="T749" s="242" t="s">
        <v>158</v>
      </c>
      <c r="U749" s="235">
        <v>720.34999999999991</v>
      </c>
      <c r="V749" s="320" t="s">
        <v>35</v>
      </c>
      <c r="W749" s="236" t="str">
        <f>IFERROR(IF(B749="INSUMO",_xlfn.XLOOKUP(S749,Insumos!A:A,Insumos!C:C),""),"Inserir Preço")</f>
        <v/>
      </c>
      <c r="X749" s="235">
        <f t="shared" ca="1" si="517"/>
        <v>720.34999999999991</v>
      </c>
      <c r="Y749" s="236">
        <f t="shared" ca="1" si="519"/>
        <v>4.5200000000000005</v>
      </c>
      <c r="Z749" s="237">
        <f t="shared" ca="1" si="488"/>
        <v>3255.982</v>
      </c>
      <c r="AA749" s="238"/>
      <c r="AB749" s="233" t="str">
        <f>IF(B749="insumo",_xlfn.XLOOKUP(S749,Insumos!A:A,Insumos!D:D),"")</f>
        <v/>
      </c>
      <c r="AC749" s="239">
        <f t="shared" ca="1" si="489"/>
        <v>4.6710030335381464E-4</v>
      </c>
      <c r="AE749" s="240">
        <f ca="1">IFERROR(IF(OR(Z749="",Z749=0),"",IF(AF749="","",IF(AF749="R$/mês",Z749/OBRA!$D$12,IF(AF749="R$/m²",Z749/OBRA!$D$10,IF(AF749="R$/apto",Orçamento!Z749/OBRA!$D$11,""))))),"")</f>
        <v>1.6755515301842807</v>
      </c>
      <c r="AF749" s="241" t="s">
        <v>154</v>
      </c>
    </row>
    <row r="750" spans="1:32" s="10" customFormat="1" ht="13.15" hidden="1" customHeight="1" outlineLevel="4" x14ac:dyDescent="0.2">
      <c r="A750" s="227"/>
      <c r="B750" s="228" t="s">
        <v>19</v>
      </c>
      <c r="C750" s="229">
        <f t="shared" si="487"/>
        <v>5</v>
      </c>
      <c r="D750" s="227" t="str">
        <f t="shared" si="504"/>
        <v/>
      </c>
      <c r="E750" s="228" t="str">
        <f t="shared" ca="1" si="505"/>
        <v>05.003.002.003</v>
      </c>
      <c r="F750" s="230">
        <f ca="1">IF($B750="UNIDADE CONSTRUTIVA",OFFSET(F750,-1,0)+1,LARGE(F$10:F749,1))</f>
        <v>2</v>
      </c>
      <c r="G750" s="228" t="str">
        <f t="shared" ca="1" si="506"/>
        <v xml:space="preserve">   GERENCIAMENTO EXECUTIVO</v>
      </c>
      <c r="H750" s="230">
        <f t="shared" ca="1" si="507"/>
        <v>5</v>
      </c>
      <c r="I750" s="228" t="str">
        <f t="shared" ca="1" si="508"/>
        <v xml:space="preserve">   ALVENARIA | VEDAÇÕES | DIVISÓRIAS</v>
      </c>
      <c r="J750" s="230">
        <f t="shared" ca="1" si="509"/>
        <v>3</v>
      </c>
      <c r="K750" s="228" t="str">
        <f t="shared" ca="1" si="510"/>
        <v xml:space="preserve">   ALVENARIA | VEDAÇÕES | DIVISÓRIAS - 3º ao 7º PAVIMENTO - TIPO</v>
      </c>
      <c r="L750" s="231">
        <f t="shared" ca="1" si="511"/>
        <v>2</v>
      </c>
      <c r="M750" s="228" t="str">
        <f t="shared" ca="1" si="512"/>
        <v xml:space="preserve">   Serviços Complementares</v>
      </c>
      <c r="N750" s="231">
        <f t="shared" ca="1" si="513"/>
        <v>3</v>
      </c>
      <c r="O750" s="228" t="str">
        <f t="shared" ca="1" si="514"/>
        <v>Encunhamento de alvenaria de vedacao com argamassa expansiva</v>
      </c>
      <c r="P750" s="232" t="str">
        <f>IF(S750="","",IF(Orçamento!$B750="INSUMO",S750,""))</f>
        <v>ARGAMASSA PARA ENCUNHAMENTO</v>
      </c>
      <c r="Q750" s="244" t="str">
        <f t="shared" si="515"/>
        <v/>
      </c>
      <c r="R750" s="234">
        <f t="shared" ca="1" si="516"/>
        <v>720.34999999999991</v>
      </c>
      <c r="S750" s="233" t="s">
        <v>217</v>
      </c>
      <c r="T750" s="242" t="str">
        <f>_xlfn.XLOOKUP(S750,Insumos!$A$3:$A$371,Insumos!$B$3:$B$371)</f>
        <v>KG</v>
      </c>
      <c r="U750" s="235">
        <f ca="1">IF($B750="insumo",R750,"")</f>
        <v>720.34999999999991</v>
      </c>
      <c r="V750" s="320">
        <v>2</v>
      </c>
      <c r="W750" s="236">
        <f>IFERROR(IF(B750="INSUMO",_xlfn.XLOOKUP(S750,Insumos!A:A,Insumos!C:C),""),"Inserir Preço")</f>
        <v>2.2600000000000002</v>
      </c>
      <c r="X750" s="235">
        <f t="shared" ca="1" si="517"/>
        <v>1440.6999999999998</v>
      </c>
      <c r="Y750" s="236">
        <f t="shared" si="519"/>
        <v>4.5200000000000005</v>
      </c>
      <c r="Z750" s="237">
        <f t="shared" ca="1" si="488"/>
        <v>3255.982</v>
      </c>
      <c r="AA750" s="238"/>
      <c r="AB750" s="233" t="str">
        <f>IF(B750="insumo",_xlfn.XLOOKUP(S750,Insumos!A:A,Insumos!D:D),"")</f>
        <v xml:space="preserve"> </v>
      </c>
      <c r="AC750" s="239">
        <f t="shared" ca="1" si="489"/>
        <v>4.6710030335381464E-4</v>
      </c>
      <c r="AE750" s="240">
        <f ca="1">IFERROR(IF(OR(Z750="",Z750=0),"",IF(AF750="","",IF(AF750="R$/mês",Z750/OBRA!$D$12,IF(AF750="R$/m²",Z750/OBRA!$D$10,IF(AF750="R$/apto",Orçamento!Z750/OBRA!$D$11,""))))),"")</f>
        <v>1.6755515301842807</v>
      </c>
      <c r="AF750" s="241" t="s">
        <v>154</v>
      </c>
    </row>
    <row r="751" spans="1:32" s="10" customFormat="1" ht="13.15" hidden="1" customHeight="1" outlineLevel="3" collapsed="1" x14ac:dyDescent="0.2">
      <c r="A751" s="227"/>
      <c r="B751" s="228" t="s">
        <v>3</v>
      </c>
      <c r="C751" s="229" t="str">
        <f t="shared" si="487"/>
        <v/>
      </c>
      <c r="D751" s="227" t="str">
        <f t="shared" ca="1" si="504"/>
        <v>05.003.003</v>
      </c>
      <c r="E751" s="228" t="str">
        <f t="shared" ca="1" si="505"/>
        <v>05.003.002.003</v>
      </c>
      <c r="F751" s="230">
        <f ca="1">IF($B751="UNIDADE CONSTRUTIVA",OFFSET(F751,-1,0)+1,LARGE(F$10:F750,1))</f>
        <v>2</v>
      </c>
      <c r="G751" s="228" t="str">
        <f t="shared" ca="1" si="506"/>
        <v xml:space="preserve">   GERENCIAMENTO EXECUTIVO</v>
      </c>
      <c r="H751" s="230">
        <f t="shared" ca="1" si="507"/>
        <v>5</v>
      </c>
      <c r="I751" s="228" t="str">
        <f t="shared" ca="1" si="508"/>
        <v xml:space="preserve">   ALVENARIA | VEDAÇÕES | DIVISÓRIAS</v>
      </c>
      <c r="J751" s="230">
        <f t="shared" ca="1" si="509"/>
        <v>3</v>
      </c>
      <c r="K751" s="228" t="str">
        <f t="shared" ca="1" si="510"/>
        <v xml:space="preserve">   ALVENARIA | VEDAÇÕES | DIVISÓRIAS - 3º ao 7º PAVIMENTO - TIPO</v>
      </c>
      <c r="L751" s="231">
        <f t="shared" ca="1" si="511"/>
        <v>3</v>
      </c>
      <c r="M751" s="228" t="str">
        <f t="shared" ca="1" si="512"/>
        <v xml:space="preserve">   Mão de Obra</v>
      </c>
      <c r="N751" s="231">
        <f t="shared" ca="1" si="513"/>
        <v>0</v>
      </c>
      <c r="O751" s="228" t="str">
        <f t="shared" ca="1" si="514"/>
        <v>Encunhamento de alvenaria de vedacao com argamassa expansiva</v>
      </c>
      <c r="P751" s="232" t="str">
        <f>IF(S751="","",IF(Orçamento!$B751="INSUMO",S751,""))</f>
        <v/>
      </c>
      <c r="Q751" s="244" t="str">
        <f t="shared" si="515"/>
        <v/>
      </c>
      <c r="R751" s="234">
        <f t="shared" ca="1" si="516"/>
        <v>720.34999999999991</v>
      </c>
      <c r="S751" s="233" t="s">
        <v>438</v>
      </c>
      <c r="T751" s="242" t="s">
        <v>35</v>
      </c>
      <c r="U751" s="235" t="str">
        <f>IF($B751="insumo",R751,"")</f>
        <v/>
      </c>
      <c r="V751" s="320" t="s">
        <v>35</v>
      </c>
      <c r="W751" s="236" t="str">
        <f>IFERROR(IF(B751="INSUMO",_xlfn.XLOOKUP(S751,Insumos!A:A,Insumos!C:C),""),"Inserir Preço")</f>
        <v/>
      </c>
      <c r="X751" s="235" t="str">
        <f t="shared" ca="1" si="517"/>
        <v/>
      </c>
      <c r="Y751" s="236" t="str">
        <f t="shared" si="519"/>
        <v/>
      </c>
      <c r="Z751" s="237">
        <f t="shared" ca="1" si="488"/>
        <v>84591.661346559937</v>
      </c>
      <c r="AA751" s="238"/>
      <c r="AB751" s="233" t="str">
        <f>IF(B751="insumo",_xlfn.XLOOKUP(S751,Insumos!A:A,Insumos!D:D),"")</f>
        <v/>
      </c>
      <c r="AC751" s="239">
        <f t="shared" ca="1" si="489"/>
        <v>1.2135445059641392E-2</v>
      </c>
      <c r="AE751" s="240">
        <f ca="1">IFERROR(IF(OR(Z751="",Z751=0),"",IF(AF751="","",IF(AF751="R$/mês",Z751/OBRA!$D$12,IF(AF751="R$/m²",Z751/OBRA!$D$10,IF(AF751="R$/apto",Orçamento!Z751/OBRA!$D$11,""))))),"")</f>
        <v>43.531471491568126</v>
      </c>
      <c r="AF751" s="241" t="s">
        <v>154</v>
      </c>
    </row>
    <row r="752" spans="1:32" s="10" customFormat="1" ht="13.15" hidden="1" customHeight="1" outlineLevel="4" x14ac:dyDescent="0.2">
      <c r="A752" s="227"/>
      <c r="B752" s="228" t="s">
        <v>4</v>
      </c>
      <c r="C752" s="229">
        <f t="shared" si="487"/>
        <v>5</v>
      </c>
      <c r="D752" s="227" t="str">
        <f t="shared" ca="1" si="504"/>
        <v>05.003.003.001</v>
      </c>
      <c r="E752" s="228" t="str">
        <f t="shared" ca="1" si="505"/>
        <v>05.003.003.001</v>
      </c>
      <c r="F752" s="230">
        <f ca="1">IF($B752="UNIDADE CONSTRUTIVA",OFFSET(F752,-1,0)+1,LARGE(F$10:F751,1))</f>
        <v>2</v>
      </c>
      <c r="G752" s="228" t="str">
        <f t="shared" ca="1" si="506"/>
        <v xml:space="preserve">   GERENCIAMENTO EXECUTIVO</v>
      </c>
      <c r="H752" s="230">
        <f t="shared" ca="1" si="507"/>
        <v>5</v>
      </c>
      <c r="I752" s="228" t="str">
        <f t="shared" ca="1" si="508"/>
        <v xml:space="preserve">   ALVENARIA | VEDAÇÕES | DIVISÓRIAS</v>
      </c>
      <c r="J752" s="230">
        <f t="shared" ca="1" si="509"/>
        <v>3</v>
      </c>
      <c r="K752" s="228" t="str">
        <f t="shared" ca="1" si="510"/>
        <v xml:space="preserve">   ALVENARIA | VEDAÇÕES | DIVISÓRIAS - 3º ao 7º PAVIMENTO - TIPO</v>
      </c>
      <c r="L752" s="231">
        <f t="shared" ca="1" si="511"/>
        <v>3</v>
      </c>
      <c r="M752" s="228" t="str">
        <f t="shared" ca="1" si="512"/>
        <v xml:space="preserve">   Mão de Obra</v>
      </c>
      <c r="N752" s="231">
        <f t="shared" ca="1" si="513"/>
        <v>1</v>
      </c>
      <c r="O752" s="228" t="str">
        <f t="shared" ca="1" si="514"/>
        <v>Mao de obra empreitada vedacoes internas e externas - assentamento blocos ceramicos</v>
      </c>
      <c r="P752" s="232" t="str">
        <f>IF(S752="","",IF(Orçamento!$B752="INSUMO",S752,""))</f>
        <v/>
      </c>
      <c r="Q752" s="244" t="str">
        <f t="shared" si="515"/>
        <v>Mao de obra empreitada vedacoes internas e externas - assentamento blocos ceramicos</v>
      </c>
      <c r="R752" s="234">
        <f t="shared" ca="1" si="516"/>
        <v>1435.45</v>
      </c>
      <c r="S752" s="233" t="s">
        <v>218</v>
      </c>
      <c r="T752" s="242" t="s">
        <v>140</v>
      </c>
      <c r="U752" s="235">
        <f>U727+U730+U733</f>
        <v>1435.45</v>
      </c>
      <c r="V752" s="320" t="s">
        <v>35</v>
      </c>
      <c r="W752" s="236" t="str">
        <f>IFERROR(IF(B752="INSUMO",_xlfn.XLOOKUP(S752,Insumos!A:A,Insumos!C:C),""),"Inserir Preço")</f>
        <v/>
      </c>
      <c r="X752" s="235">
        <f t="shared" ca="1" si="517"/>
        <v>1435.45</v>
      </c>
      <c r="Y752" s="236">
        <f t="shared" ca="1" si="519"/>
        <v>58.930413003977797</v>
      </c>
      <c r="Z752" s="237">
        <f t="shared" ca="1" si="488"/>
        <v>84591.661346559937</v>
      </c>
      <c r="AA752" s="238"/>
      <c r="AB752" s="233" t="str">
        <f>IF(B752="insumo",_xlfn.XLOOKUP(S752,Insumos!A:A,Insumos!D:D),"")</f>
        <v/>
      </c>
      <c r="AC752" s="239">
        <f t="shared" ca="1" si="489"/>
        <v>1.2135445059641392E-2</v>
      </c>
      <c r="AE752" s="240">
        <f ca="1">IFERROR(IF(OR(Z752="",Z752=0),"",IF(AF752="","",IF(AF752="R$/mês",Z752/OBRA!$D$12,IF(AF752="R$/m²",Z752/OBRA!$D$10,IF(AF752="R$/apto",Orçamento!Z752/OBRA!$D$11,""))))),"")</f>
        <v>43.531471491568126</v>
      </c>
      <c r="AF752" s="241" t="s">
        <v>154</v>
      </c>
    </row>
    <row r="753" spans="1:32" s="10" customFormat="1" ht="13.15" hidden="1" customHeight="1" outlineLevel="4" x14ac:dyDescent="0.2">
      <c r="A753" s="227"/>
      <c r="B753" s="228" t="s">
        <v>19</v>
      </c>
      <c r="C753" s="229">
        <f t="shared" si="487"/>
        <v>5</v>
      </c>
      <c r="D753" s="227" t="str">
        <f t="shared" si="504"/>
        <v/>
      </c>
      <c r="E753" s="228" t="str">
        <f t="shared" ca="1" si="505"/>
        <v>05.003.003.001</v>
      </c>
      <c r="F753" s="230">
        <f ca="1">IF($B753="UNIDADE CONSTRUTIVA",OFFSET(F753,-1,0)+1,LARGE(F$10:F752,1))</f>
        <v>2</v>
      </c>
      <c r="G753" s="228" t="str">
        <f t="shared" ca="1" si="506"/>
        <v xml:space="preserve">   GERENCIAMENTO EXECUTIVO</v>
      </c>
      <c r="H753" s="230">
        <f t="shared" ca="1" si="507"/>
        <v>5</v>
      </c>
      <c r="I753" s="228" t="str">
        <f t="shared" ca="1" si="508"/>
        <v xml:space="preserve">   ALVENARIA | VEDAÇÕES | DIVISÓRIAS</v>
      </c>
      <c r="J753" s="230">
        <f t="shared" ca="1" si="509"/>
        <v>3</v>
      </c>
      <c r="K753" s="228" t="str">
        <f t="shared" ca="1" si="510"/>
        <v xml:space="preserve">   ALVENARIA | VEDAÇÕES | DIVISÓRIAS - 3º ao 7º PAVIMENTO - TIPO</v>
      </c>
      <c r="L753" s="231">
        <f t="shared" ca="1" si="511"/>
        <v>3</v>
      </c>
      <c r="M753" s="228" t="str">
        <f t="shared" ca="1" si="512"/>
        <v xml:space="preserve">   Mão de Obra</v>
      </c>
      <c r="N753" s="231">
        <f t="shared" ca="1" si="513"/>
        <v>1</v>
      </c>
      <c r="O753" s="228" t="str">
        <f t="shared" ca="1" si="514"/>
        <v>Mao de obra empreitada vedacoes internas e externas - assentamento blocos ceramicos</v>
      </c>
      <c r="P753" s="232" t="str">
        <f>IF(S753="","",IF(Orçamento!$B753="INSUMO",S753,""))</f>
        <v>MAO DE OBRA ASSENTAMENTO DE BLOCOS</v>
      </c>
      <c r="Q753" s="244" t="str">
        <f t="shared" si="515"/>
        <v/>
      </c>
      <c r="R753" s="234">
        <f t="shared" ca="1" si="516"/>
        <v>1435.45</v>
      </c>
      <c r="S753" s="233" t="s">
        <v>693</v>
      </c>
      <c r="T753" s="242" t="str">
        <f>_xlfn.XLOOKUP(S753,Insumos!$A$3:$A$371,Insumos!$B$3:$B$371)</f>
        <v>M2</v>
      </c>
      <c r="U753" s="235">
        <f ca="1">IF($B753="insumo",R753,"")</f>
        <v>1435.45</v>
      </c>
      <c r="V753" s="320">
        <v>1</v>
      </c>
      <c r="W753" s="236">
        <f>IFERROR(IF(B753="INSUMO",_xlfn.XLOOKUP(S753,Insumos!A:A,Insumos!C:C),""),"Inserir Preço")</f>
        <v>58.930413003977797</v>
      </c>
      <c r="X753" s="235">
        <f t="shared" ca="1" si="517"/>
        <v>1435.45</v>
      </c>
      <c r="Y753" s="236">
        <f t="shared" si="519"/>
        <v>58.930413003977797</v>
      </c>
      <c r="Z753" s="237">
        <f t="shared" ca="1" si="488"/>
        <v>84591.661346559937</v>
      </c>
      <c r="AA753" s="238"/>
      <c r="AB753" s="233" t="str">
        <f>IF(B753="insumo",_xlfn.XLOOKUP(S753,Insumos!A:A,Insumos!D:D),"")</f>
        <v>Aba Custo Serviços</v>
      </c>
      <c r="AC753" s="239">
        <f t="shared" ca="1" si="489"/>
        <v>1.2135445059641392E-2</v>
      </c>
      <c r="AE753" s="240">
        <f ca="1">IFERROR(IF(OR(Z753="",Z753=0),"",IF(AF753="","",IF(AF753="R$/mês",Z753/OBRA!$D$12,IF(AF753="R$/m²",Z753/OBRA!$D$10,IF(AF753="R$/apto",Orçamento!Z753/OBRA!$D$11,""))))),"")</f>
        <v>43.531471491568126</v>
      </c>
      <c r="AF753" s="241" t="s">
        <v>154</v>
      </c>
    </row>
    <row r="754" spans="1:32" s="10" customFormat="1" ht="13.15" customHeight="1" outlineLevel="2" collapsed="1" x14ac:dyDescent="0.2">
      <c r="A754" s="227"/>
      <c r="B754" s="228" t="s">
        <v>2</v>
      </c>
      <c r="C754" s="229" t="str">
        <f t="shared" si="487"/>
        <v/>
      </c>
      <c r="D754" s="227" t="str">
        <f t="shared" ref="D754:D761" ca="1" si="520">IF(B754="Unidade Construtiva",TEXT(F754,"00"),IF(B754="Célula Construtiva",TEXT(H754,"00"),IF(B754="Etapa",CONCATENATE(TEXT(H754,"00"),".",TEXT(J754,"000")),IF(B754="Subetapa",CONCATENATE(TEXT(H754,"00"),".",TEXT(J754,"000"),".",TEXT(L754,"000")),IF(B754="Serviço",CONCATENATE(TEXT(H754,"00"),".",TEXT(J754,"000"),".",TEXT(L754,"000"),".",TEXT(N754,"000")),"")))))</f>
        <v>05.004</v>
      </c>
      <c r="E754" s="228" t="str">
        <f t="shared" ref="E754:E761" ca="1" si="521">IF(B754="*","",IFERROR(IF(B754="SERVIÇO",D754,OFFSET(E754,-1,0)),""))</f>
        <v>05.003.003.001</v>
      </c>
      <c r="F754" s="230">
        <f ca="1">IF($B754="UNIDADE CONSTRUTIVA",OFFSET(F754,-1,0)+1,LARGE(F$10:F753,1))</f>
        <v>2</v>
      </c>
      <c r="G754" s="228" t="str">
        <f t="shared" ref="G754:G761" ca="1" si="522">IF(B754="*","",IF(B754="UNIDADE CONSTRUTIVA",S754,OFFSET(G754,-1,0)))</f>
        <v xml:space="preserve">   GERENCIAMENTO EXECUTIVO</v>
      </c>
      <c r="H754" s="230">
        <f t="shared" ref="H754:H761" ca="1" si="523">IF(B754="UNIDADE CONSTRUTIVA",0,IF(B754="CÉLULA CONSTRUTIVA",OFFSET(H754,-1,0)+1,OFFSET(H754,-1,0)))</f>
        <v>5</v>
      </c>
      <c r="I754" s="228" t="str">
        <f t="shared" ref="I754:I761" ca="1" si="524">IF(B754="*","",IF(B754="CÉLULA CONSTRUTIVA",S754,OFFSET(I754,-1,0)))</f>
        <v xml:space="preserve">   ALVENARIA | VEDAÇÕES | DIVISÓRIAS</v>
      </c>
      <c r="J754" s="230">
        <f t="shared" ref="J754:J761" ca="1" si="525">IF(B754="CÉLULA CONSTRUTIVA",0,IF(B754="ETAPA",OFFSET(J754,-1,0)+1,OFFSET(J754,-1,0)))</f>
        <v>4</v>
      </c>
      <c r="K754" s="228" t="str">
        <f t="shared" ref="K754:K761" ca="1" si="526">IF(B754="*","",IF(B754="ETAPA",S754,OFFSET(K754,-1,0)))</f>
        <v xml:space="preserve">   ALVENARIA | VEDAÇÕES | DIVISÓRIAS - 8º PAVIMENTO - COBERTURA</v>
      </c>
      <c r="L754" s="231">
        <f t="shared" ref="L754:L761" ca="1" si="527">IF(B754="ETAPA",0,IF(B754="SUBETAPA",OFFSET(L754,-1,0)+1,OFFSET(L754,-1,0)))</f>
        <v>0</v>
      </c>
      <c r="M754" s="228" t="str">
        <f t="shared" ref="M754:M761" ca="1" si="528">IF(B754="*","",IF(B754="SUBETAPA",S754,OFFSET(M754,-1,0)))</f>
        <v xml:space="preserve">   Mão de Obra</v>
      </c>
      <c r="N754" s="231">
        <f t="shared" ref="N754:N761" ca="1" si="529">IF(B754="Subetapa",0,IF(B754="serviço",OFFSET(N754,-1,0)+1,OFFSET(N754,-1,0)))</f>
        <v>1</v>
      </c>
      <c r="O754" s="228" t="str">
        <f t="shared" ref="O754:O761" ca="1" si="530">IF(B754="*","",IF(B754="SERVIÇO",S754,OFFSET(O754,-1,0)))</f>
        <v>Mao de obra empreitada vedacoes internas e externas - assentamento blocos ceramicos</v>
      </c>
      <c r="P754" s="232" t="str">
        <f>IF(S754="","",IF(Orçamento!$B754="INSUMO",S754,""))</f>
        <v/>
      </c>
      <c r="Q754" s="244" t="str">
        <f t="shared" ref="Q754:Q805" si="531">IF(B754="","",IF(B754="Serviço",S754,""))</f>
        <v/>
      </c>
      <c r="R754" s="234">
        <f t="shared" ref="R754:R761" ca="1" si="532">IF(B754="serviço",U754,OFFSET(R754,-1,0))</f>
        <v>1435.45</v>
      </c>
      <c r="S754" s="233" t="s">
        <v>650</v>
      </c>
      <c r="T754" s="242" t="s">
        <v>35</v>
      </c>
      <c r="U754" s="235" t="str">
        <f>IF($B754="insumo",R754,"")</f>
        <v/>
      </c>
      <c r="V754" s="320" t="s">
        <v>35</v>
      </c>
      <c r="W754" s="236" t="str">
        <f>IFERROR(IF(B754="INSUMO",_xlfn.XLOOKUP(S754,Insumos!A:A,Insumos!C:C),""),"Inserir Preço")</f>
        <v/>
      </c>
      <c r="X754" s="235" t="str">
        <f t="shared" ref="X754:X761" ca="1" si="533">IF(B754="Complemento do insumo",V754,IF(R754="","",IF(B754="serviço",R754,IF(OR(B754="insumo"),V754*R754,""))))</f>
        <v/>
      </c>
      <c r="Y754" s="236" t="str">
        <f t="shared" si="519"/>
        <v/>
      </c>
      <c r="Z754" s="237">
        <f t="shared" ca="1" si="488"/>
        <v>21989.616221739463</v>
      </c>
      <c r="AA754" s="238"/>
      <c r="AB754" s="233" t="str">
        <f>IF(B754="insumo",_xlfn.XLOOKUP(S754,Insumos!A:A,Insumos!D:D),"")</f>
        <v/>
      </c>
      <c r="AC754" s="239">
        <f t="shared" ca="1" si="489"/>
        <v>3.1546109308369843E-3</v>
      </c>
      <c r="AE754" s="240">
        <f ca="1">IFERROR(IF(OR(Z754="",Z754=0),"",IF(AF754="","",IF(AF754="R$/mês",Z754/OBRA!$D$12,IF(AF754="R$/m²",Z754/OBRA!$D$10,IF(AF754="R$/apto",Orçamento!Z754/OBRA!$D$11,""))))),"")</f>
        <v>11.316013143961067</v>
      </c>
      <c r="AF754" s="241" t="s">
        <v>154</v>
      </c>
    </row>
    <row r="755" spans="1:32" s="10" customFormat="1" ht="13.15" hidden="1" customHeight="1" outlineLevel="3" collapsed="1" x14ac:dyDescent="0.2">
      <c r="A755" s="227"/>
      <c r="B755" s="228" t="s">
        <v>3</v>
      </c>
      <c r="C755" s="229" t="str">
        <f t="shared" si="487"/>
        <v/>
      </c>
      <c r="D755" s="227" t="str">
        <f t="shared" ca="1" si="520"/>
        <v>05.004.001</v>
      </c>
      <c r="E755" s="228" t="str">
        <f t="shared" ca="1" si="521"/>
        <v>05.003.003.001</v>
      </c>
      <c r="F755" s="230">
        <f ca="1">IF($B755="UNIDADE CONSTRUTIVA",OFFSET(F755,-1,0)+1,LARGE(F$10:F754,1))</f>
        <v>2</v>
      </c>
      <c r="G755" s="228" t="str">
        <f t="shared" ca="1" si="522"/>
        <v xml:space="preserve">   GERENCIAMENTO EXECUTIVO</v>
      </c>
      <c r="H755" s="230">
        <f t="shared" ca="1" si="523"/>
        <v>5</v>
      </c>
      <c r="I755" s="228" t="str">
        <f t="shared" ca="1" si="524"/>
        <v xml:space="preserve">   ALVENARIA | VEDAÇÕES | DIVISÓRIAS</v>
      </c>
      <c r="J755" s="230">
        <f t="shared" ca="1" si="525"/>
        <v>4</v>
      </c>
      <c r="K755" s="228" t="str">
        <f t="shared" ca="1" si="526"/>
        <v xml:space="preserve">   ALVENARIA | VEDAÇÕES | DIVISÓRIAS - 8º PAVIMENTO - COBERTURA</v>
      </c>
      <c r="L755" s="231">
        <f t="shared" ca="1" si="527"/>
        <v>1</v>
      </c>
      <c r="M755" s="228" t="str">
        <f t="shared" ca="1" si="528"/>
        <v xml:space="preserve">   Alvenaria de Vedação com Blocos Cerâmicos</v>
      </c>
      <c r="N755" s="231">
        <f t="shared" ca="1" si="529"/>
        <v>0</v>
      </c>
      <c r="O755" s="228" t="str">
        <f t="shared" ca="1" si="530"/>
        <v>Mao de obra empreitada vedacoes internas e externas - assentamento blocos ceramicos</v>
      </c>
      <c r="P755" s="232" t="str">
        <f>IF(S755="","",IF(Orçamento!$B755="INSUMO",S755,""))</f>
        <v/>
      </c>
      <c r="Q755" s="244" t="str">
        <f t="shared" si="531"/>
        <v/>
      </c>
      <c r="R755" s="234">
        <f t="shared" ca="1" si="532"/>
        <v>1435.45</v>
      </c>
      <c r="S755" s="233" t="s">
        <v>439</v>
      </c>
      <c r="T755" s="242" t="s">
        <v>35</v>
      </c>
      <c r="U755" s="235" t="str">
        <f>IF($B755="insumo",R755,"")</f>
        <v/>
      </c>
      <c r="V755" s="320" t="s">
        <v>35</v>
      </c>
      <c r="W755" s="236" t="str">
        <f>IFERROR(IF(B755="INSUMO",_xlfn.XLOOKUP(S755,Insumos!A:A,Insumos!C:C),""),"Inserir Preço")</f>
        <v/>
      </c>
      <c r="X755" s="235" t="str">
        <f t="shared" ca="1" si="533"/>
        <v/>
      </c>
      <c r="Y755" s="236" t="str">
        <f t="shared" si="519"/>
        <v/>
      </c>
      <c r="Z755" s="237">
        <f t="shared" ca="1" si="488"/>
        <v>7673.0440977000007</v>
      </c>
      <c r="AA755" s="238"/>
      <c r="AB755" s="233" t="str">
        <f>IF(B755="insumo",_xlfn.XLOOKUP(S755,Insumos!A:A,Insumos!D:D),"")</f>
        <v/>
      </c>
      <c r="AC755" s="239">
        <f t="shared" ca="1" si="489"/>
        <v>1.1007681325274118E-3</v>
      </c>
      <c r="AE755" s="240">
        <f ca="1">IFERROR(IF(OR(Z755="",Z755=0),"",IF(AF755="","",IF(AF755="R$/mês",Z755/OBRA!$D$12,IF(AF755="R$/m²",Z755/OBRA!$D$10,IF(AF755="R$/apto",Orçamento!Z755/OBRA!$D$11,""))))),"")</f>
        <v>3.9486031492412121</v>
      </c>
      <c r="AF755" s="241" t="s">
        <v>154</v>
      </c>
    </row>
    <row r="756" spans="1:32" s="10" customFormat="1" ht="13.15" hidden="1" customHeight="1" outlineLevel="4" x14ac:dyDescent="0.2">
      <c r="A756" s="227"/>
      <c r="B756" s="228" t="s">
        <v>4</v>
      </c>
      <c r="C756" s="229">
        <f t="shared" si="487"/>
        <v>4</v>
      </c>
      <c r="D756" s="227" t="str">
        <f t="shared" ca="1" si="520"/>
        <v>05.004.001.001</v>
      </c>
      <c r="E756" s="228" t="str">
        <f t="shared" ca="1" si="521"/>
        <v>05.004.001.001</v>
      </c>
      <c r="F756" s="230">
        <f ca="1">IF($B756="UNIDADE CONSTRUTIVA",OFFSET(F756,-1,0)+1,LARGE(F$10:F755,1))</f>
        <v>2</v>
      </c>
      <c r="G756" s="228" t="str">
        <f t="shared" ca="1" si="522"/>
        <v xml:space="preserve">   GERENCIAMENTO EXECUTIVO</v>
      </c>
      <c r="H756" s="230">
        <f t="shared" ca="1" si="523"/>
        <v>5</v>
      </c>
      <c r="I756" s="228" t="str">
        <f t="shared" ca="1" si="524"/>
        <v xml:space="preserve">   ALVENARIA | VEDAÇÕES | DIVISÓRIAS</v>
      </c>
      <c r="J756" s="230">
        <f t="shared" ca="1" si="525"/>
        <v>4</v>
      </c>
      <c r="K756" s="228" t="str">
        <f t="shared" ca="1" si="526"/>
        <v xml:space="preserve">   ALVENARIA | VEDAÇÕES | DIVISÓRIAS - 8º PAVIMENTO - COBERTURA</v>
      </c>
      <c r="L756" s="231">
        <f t="shared" ca="1" si="527"/>
        <v>1</v>
      </c>
      <c r="M756" s="228" t="str">
        <f t="shared" ca="1" si="528"/>
        <v xml:space="preserve">   Alvenaria de Vedação com Blocos Cerâmicos</v>
      </c>
      <c r="N756" s="231">
        <f t="shared" ca="1" si="529"/>
        <v>1</v>
      </c>
      <c r="O756" s="228" t="str">
        <f t="shared" ca="1" si="530"/>
        <v>Alvenaria de vedacao de blocos ceramicos furados na horizontal de  9 X 19 X 29 cm (espessura 9cm) com argamassa industrializada de assentamento</v>
      </c>
      <c r="P756" s="232" t="str">
        <f>IF(S756="","",IF(Orçamento!$B756="INSUMO",S756,""))</f>
        <v/>
      </c>
      <c r="Q756" s="244" t="str">
        <f t="shared" si="531"/>
        <v>Alvenaria de vedacao de blocos ceramicos furados na horizontal de  9 X 19 X 29 cm (espessura 9cm) com argamassa industrializada de assentamento</v>
      </c>
      <c r="R756" s="234">
        <f t="shared" ca="1" si="532"/>
        <v>2.87</v>
      </c>
      <c r="S756" s="233" t="s">
        <v>690</v>
      </c>
      <c r="T756" s="242" t="s">
        <v>140</v>
      </c>
      <c r="U756" s="235">
        <v>2.87</v>
      </c>
      <c r="V756" s="320" t="s">
        <v>35</v>
      </c>
      <c r="W756" s="236" t="str">
        <f>IFERROR(IF(B756="INSUMO",_xlfn.XLOOKUP(S756,Insumos!A:A,Insumos!C:C),""),"Inserir Preço")</f>
        <v/>
      </c>
      <c r="X756" s="235">
        <f t="shared" ca="1" si="533"/>
        <v>2.87</v>
      </c>
      <c r="Y756" s="236">
        <f t="shared" ca="1" si="519"/>
        <v>29.162700000000001</v>
      </c>
      <c r="Z756" s="237">
        <f t="shared" ca="1" si="488"/>
        <v>83.696949000000004</v>
      </c>
      <c r="AA756" s="238"/>
      <c r="AB756" s="233" t="str">
        <f>IF(B756="insumo",_xlfn.XLOOKUP(S756,Insumos!A:A,Insumos!D:D),"")</f>
        <v/>
      </c>
      <c r="AC756" s="239">
        <f t="shared" ca="1" si="489"/>
        <v>1.2007090416251919E-5</v>
      </c>
      <c r="AE756" s="240">
        <f ca="1">IFERROR(IF(OR(Z756="",Z756=0),"",IF(AF756="","",IF(AF756="R$/mês",Z756/OBRA!$D$12,IF(AF756="R$/m²",Z756/OBRA!$D$10,IF(AF756="R$/apto",Orçamento!Z756/OBRA!$D$11,""))))),"")</f>
        <v>4.307104614482074E-2</v>
      </c>
      <c r="AF756" s="241" t="s">
        <v>154</v>
      </c>
    </row>
    <row r="757" spans="1:32" s="10" customFormat="1" ht="13.15" hidden="1" customHeight="1" outlineLevel="4" x14ac:dyDescent="0.2">
      <c r="A757" s="227"/>
      <c r="B757" s="228" t="s">
        <v>19</v>
      </c>
      <c r="C757" s="229">
        <f t="shared" si="487"/>
        <v>19</v>
      </c>
      <c r="D757" s="227" t="str">
        <f t="shared" si="520"/>
        <v/>
      </c>
      <c r="E757" s="228" t="str">
        <f t="shared" ca="1" si="521"/>
        <v>05.004.001.001</v>
      </c>
      <c r="F757" s="230">
        <f ca="1">IF($B757="UNIDADE CONSTRUTIVA",OFFSET(F757,-1,0)+1,LARGE(F$10:F756,1))</f>
        <v>2</v>
      </c>
      <c r="G757" s="228" t="str">
        <f t="shared" ca="1" si="522"/>
        <v xml:space="preserve">   GERENCIAMENTO EXECUTIVO</v>
      </c>
      <c r="H757" s="230">
        <f t="shared" ca="1" si="523"/>
        <v>5</v>
      </c>
      <c r="I757" s="228" t="str">
        <f t="shared" ca="1" si="524"/>
        <v xml:space="preserve">   ALVENARIA | VEDAÇÕES | DIVISÓRIAS</v>
      </c>
      <c r="J757" s="230">
        <f t="shared" ca="1" si="525"/>
        <v>4</v>
      </c>
      <c r="K757" s="228" t="str">
        <f t="shared" ca="1" si="526"/>
        <v xml:space="preserve">   ALVENARIA | VEDAÇÕES | DIVISÓRIAS - 8º PAVIMENTO - COBERTURA</v>
      </c>
      <c r="L757" s="231">
        <f t="shared" ca="1" si="527"/>
        <v>1</v>
      </c>
      <c r="M757" s="228" t="str">
        <f t="shared" ca="1" si="528"/>
        <v xml:space="preserve">   Alvenaria de Vedação com Blocos Cerâmicos</v>
      </c>
      <c r="N757" s="231">
        <f t="shared" ca="1" si="529"/>
        <v>1</v>
      </c>
      <c r="O757" s="228" t="str">
        <f t="shared" ca="1" si="530"/>
        <v>Alvenaria de vedacao de blocos ceramicos furados na horizontal de  9 X 19 X 29 cm (espessura 9cm) com argamassa industrializada de assentamento</v>
      </c>
      <c r="P757" s="232" t="str">
        <f>IF(S757="","",IF(Orçamento!$B757="INSUMO",S757,""))</f>
        <v>ARGAMASSA ESTABILIZADA P/ ASSENTAMENTO</v>
      </c>
      <c r="Q757" s="244" t="str">
        <f t="shared" si="531"/>
        <v/>
      </c>
      <c r="R757" s="234">
        <f t="shared" ca="1" si="532"/>
        <v>2.87</v>
      </c>
      <c r="S757" s="233" t="s">
        <v>206</v>
      </c>
      <c r="T757" s="242" t="str">
        <f>_xlfn.XLOOKUP(S757,Insumos!$A$3:$A$371,Insumos!$B$3:$B$371)</f>
        <v>M3</v>
      </c>
      <c r="U757" s="235">
        <f ca="1">IF($B757="insumo",R757,"")</f>
        <v>2.87</v>
      </c>
      <c r="V757" s="320">
        <v>1.8683999999999999E-2</v>
      </c>
      <c r="W757" s="236">
        <f>IFERROR(IF(B757="INSUMO",_xlfn.XLOOKUP(S757,Insumos!A:A,Insumos!C:C),""),"Inserir Preço")</f>
        <v>425</v>
      </c>
      <c r="X757" s="235">
        <f t="shared" ca="1" si="533"/>
        <v>5.3623079999999997E-2</v>
      </c>
      <c r="Y757" s="236">
        <f t="shared" si="519"/>
        <v>7.9406999999999996</v>
      </c>
      <c r="Z757" s="237">
        <f t="shared" ca="1" si="488"/>
        <v>22.789808999999998</v>
      </c>
      <c r="AA757" s="238"/>
      <c r="AB757" s="233" t="str">
        <f>IF(B757="insumo",_xlfn.XLOOKUP(S757,Insumos!A:A,Insumos!D:D),"")</f>
        <v xml:space="preserve"> </v>
      </c>
      <c r="AC757" s="239">
        <f t="shared" ca="1" si="489"/>
        <v>3.2694058803996748E-6</v>
      </c>
      <c r="AE757" s="240">
        <f ca="1">IFERROR(IF(OR(Z757="",Z757=0),"",IF(AF757="","",IF(AF757="R$/mês",Z757/OBRA!$D$12,IF(AF757="R$/m²",Z757/OBRA!$D$10,IF(AF757="R$/apto",Orçamento!Z757/OBRA!$D$11,""))))),"")</f>
        <v>1.1727798047580574E-2</v>
      </c>
      <c r="AF757" s="241" t="s">
        <v>154</v>
      </c>
    </row>
    <row r="758" spans="1:32" s="10" customFormat="1" ht="13.15" hidden="1" customHeight="1" outlineLevel="4" x14ac:dyDescent="0.2">
      <c r="A758" s="227"/>
      <c r="B758" s="228" t="s">
        <v>19</v>
      </c>
      <c r="C758" s="229">
        <f t="shared" si="487"/>
        <v>4</v>
      </c>
      <c r="D758" s="227" t="str">
        <f t="shared" si="520"/>
        <v/>
      </c>
      <c r="E758" s="228" t="str">
        <f t="shared" ca="1" si="521"/>
        <v>05.004.001.001</v>
      </c>
      <c r="F758" s="230">
        <f ca="1">IF($B758="UNIDADE CONSTRUTIVA",OFFSET(F758,-1,0)+1,LARGE(F$10:F757,1))</f>
        <v>2</v>
      </c>
      <c r="G758" s="228" t="str">
        <f t="shared" ca="1" si="522"/>
        <v xml:space="preserve">   GERENCIAMENTO EXECUTIVO</v>
      </c>
      <c r="H758" s="230">
        <f t="shared" ca="1" si="523"/>
        <v>5</v>
      </c>
      <c r="I758" s="228" t="str">
        <f t="shared" ca="1" si="524"/>
        <v xml:space="preserve">   ALVENARIA | VEDAÇÕES | DIVISÓRIAS</v>
      </c>
      <c r="J758" s="230">
        <f t="shared" ca="1" si="525"/>
        <v>4</v>
      </c>
      <c r="K758" s="228" t="str">
        <f t="shared" ca="1" si="526"/>
        <v xml:space="preserve">   ALVENARIA | VEDAÇÕES | DIVISÓRIAS - 8º PAVIMENTO - COBERTURA</v>
      </c>
      <c r="L758" s="231">
        <f t="shared" ca="1" si="527"/>
        <v>1</v>
      </c>
      <c r="M758" s="228" t="str">
        <f t="shared" ca="1" si="528"/>
        <v xml:space="preserve">   Alvenaria de Vedação com Blocos Cerâmicos</v>
      </c>
      <c r="N758" s="231">
        <f t="shared" ca="1" si="529"/>
        <v>1</v>
      </c>
      <c r="O758" s="228" t="str">
        <f t="shared" ca="1" si="530"/>
        <v>Alvenaria de vedacao de blocos ceramicos furados na horizontal de  9 X 19 X 29 cm (espessura 9cm) com argamassa industrializada de assentamento</v>
      </c>
      <c r="P758" s="232" t="str">
        <f>IF(S758="","",IF(Orçamento!$B758="INSUMO",S758,""))</f>
        <v>BLOCO CERAMICO VEDACAO 9 X 19 X 29 CM - FUROS NA HORIZONTAL</v>
      </c>
      <c r="Q758" s="244" t="str">
        <f t="shared" si="531"/>
        <v/>
      </c>
      <c r="R758" s="234">
        <f t="shared" ca="1" si="532"/>
        <v>2.87</v>
      </c>
      <c r="S758" s="233" t="s">
        <v>389</v>
      </c>
      <c r="T758" s="242" t="str">
        <f>_xlfn.XLOOKUP(S758,Insumos!$A$3:$A$371,Insumos!$B$3:$B$371)</f>
        <v>UN</v>
      </c>
      <c r="U758" s="235">
        <f ca="1">IF($B758="insumo",R758,"")</f>
        <v>2.87</v>
      </c>
      <c r="V758" s="320">
        <v>18</v>
      </c>
      <c r="W758" s="236">
        <f>IFERROR(IF(B758="INSUMO",_xlfn.XLOOKUP(S758,Insumos!A:A,Insumos!C:C),""),"Inserir Preço")</f>
        <v>1.179</v>
      </c>
      <c r="X758" s="235">
        <f t="shared" ca="1" si="533"/>
        <v>51.660000000000004</v>
      </c>
      <c r="Y758" s="236">
        <f t="shared" si="519"/>
        <v>21.222000000000001</v>
      </c>
      <c r="Z758" s="237">
        <f t="shared" ca="1" si="488"/>
        <v>60.907140000000005</v>
      </c>
      <c r="AA758" s="238"/>
      <c r="AB758" s="233" t="str">
        <f>IF(B758="insumo",_xlfn.XLOOKUP(S758,Insumos!A:A,Insumos!D:D),"")</f>
        <v xml:space="preserve"> </v>
      </c>
      <c r="AC758" s="239">
        <f t="shared" ca="1" si="489"/>
        <v>8.7376845358522436E-6</v>
      </c>
      <c r="AE758" s="240">
        <f ca="1">IFERROR(IF(OR(Z758="",Z758=0),"",IF(AF758="","",IF(AF758="R$/mês",Z758/OBRA!$D$12,IF(AF758="R$/m²",Z758/OBRA!$D$10,IF(AF758="R$/apto",Orçamento!Z758/OBRA!$D$11,""))))),"")</f>
        <v>3.1343248097240164E-2</v>
      </c>
      <c r="AF758" s="241" t="s">
        <v>154</v>
      </c>
    </row>
    <row r="759" spans="1:32" s="10" customFormat="1" ht="13.15" hidden="1" customHeight="1" outlineLevel="4" x14ac:dyDescent="0.2">
      <c r="A759" s="227"/>
      <c r="B759" s="228" t="s">
        <v>4</v>
      </c>
      <c r="C759" s="229">
        <f t="shared" si="487"/>
        <v>4</v>
      </c>
      <c r="D759" s="227" t="str">
        <f t="shared" ca="1" si="520"/>
        <v>05.004.001.002</v>
      </c>
      <c r="E759" s="228" t="str">
        <f t="shared" ca="1" si="521"/>
        <v>05.004.001.002</v>
      </c>
      <c r="F759" s="230">
        <f ca="1">IF($B759="UNIDADE CONSTRUTIVA",OFFSET(F759,-1,0)+1,LARGE(F$10:F758,1))</f>
        <v>2</v>
      </c>
      <c r="G759" s="228" t="str">
        <f t="shared" ca="1" si="522"/>
        <v xml:space="preserve">   GERENCIAMENTO EXECUTIVO</v>
      </c>
      <c r="H759" s="230">
        <f t="shared" ca="1" si="523"/>
        <v>5</v>
      </c>
      <c r="I759" s="228" t="str">
        <f t="shared" ca="1" si="524"/>
        <v xml:space="preserve">   ALVENARIA | VEDAÇÕES | DIVISÓRIAS</v>
      </c>
      <c r="J759" s="230">
        <f t="shared" ca="1" si="525"/>
        <v>4</v>
      </c>
      <c r="K759" s="228" t="str">
        <f t="shared" ca="1" si="526"/>
        <v xml:space="preserve">   ALVENARIA | VEDAÇÕES | DIVISÓRIAS - 8º PAVIMENTO - COBERTURA</v>
      </c>
      <c r="L759" s="231">
        <f t="shared" ca="1" si="527"/>
        <v>1</v>
      </c>
      <c r="M759" s="228" t="str">
        <f t="shared" ca="1" si="528"/>
        <v xml:space="preserve">   Alvenaria de Vedação com Blocos Cerâmicos</v>
      </c>
      <c r="N759" s="231">
        <f t="shared" ca="1" si="529"/>
        <v>2</v>
      </c>
      <c r="O759" s="228" t="str">
        <f t="shared" ca="1" si="530"/>
        <v>Alvenaria de vedacao de blocos ceramicos furados na horizontal de 11.5x19x29cm (espessura 11.5cm) com argamassa industrializada de assentamento</v>
      </c>
      <c r="P759" s="232" t="str">
        <f>IF(S759="","",IF(Orçamento!$B759="INSUMO",S759,""))</f>
        <v/>
      </c>
      <c r="Q759" s="244" t="str">
        <f>IF(B759="","",IF(B759="Serviço",S759,""))</f>
        <v>Alvenaria de vedacao de blocos ceramicos furados na horizontal de 11.5x19x29cm (espessura 11.5cm) com argamassa industrializada de assentamento</v>
      </c>
      <c r="R759" s="234">
        <f t="shared" ca="1" si="532"/>
        <v>13.571</v>
      </c>
      <c r="S759" s="233" t="s">
        <v>205</v>
      </c>
      <c r="T759" s="242" t="s">
        <v>140</v>
      </c>
      <c r="U759" s="235">
        <v>13.571</v>
      </c>
      <c r="V759" s="320" t="s">
        <v>35</v>
      </c>
      <c r="W759" s="236" t="str">
        <f>IFERROR(IF(B759="INSUMO",_xlfn.XLOOKUP(S759,Insumos!A:A,Insumos!C:C),""),"Inserir Preço")</f>
        <v/>
      </c>
      <c r="X759" s="235">
        <f t="shared" ca="1" si="533"/>
        <v>13.571</v>
      </c>
      <c r="Y759" s="236">
        <f t="shared" ca="1" si="519"/>
        <v>48.809699999999999</v>
      </c>
      <c r="Z759" s="237">
        <f t="shared" ca="1" si="488"/>
        <v>662.39643869999998</v>
      </c>
      <c r="AA759" s="238"/>
      <c r="AB759" s="233" t="str">
        <f>IF(B759="insumo",_xlfn.XLOOKUP(S759,Insumos!A:A,Insumos!D:D),"")</f>
        <v/>
      </c>
      <c r="AC759" s="239">
        <f t="shared" ca="1" si="489"/>
        <v>9.5026808335321402E-5</v>
      </c>
      <c r="AE759" s="240">
        <f ca="1">IFERROR(IF(OR(Z759="",Z759=0),"",IF(AF759="","",IF(AF759="R$/mês",Z759/OBRA!$D$12,IF(AF759="R$/m²",Z759/OBRA!$D$10,IF(AF759="R$/apto",Orçamento!Z759/OBRA!$D$11,""))))),"")</f>
        <v>0.34087392573189995</v>
      </c>
      <c r="AF759" s="241" t="s">
        <v>154</v>
      </c>
    </row>
    <row r="760" spans="1:32" s="10" customFormat="1" ht="13.15" hidden="1" customHeight="1" outlineLevel="4" x14ac:dyDescent="0.2">
      <c r="A760" s="227"/>
      <c r="B760" s="228" t="s">
        <v>19</v>
      </c>
      <c r="C760" s="229">
        <f t="shared" si="487"/>
        <v>19</v>
      </c>
      <c r="D760" s="227" t="str">
        <f t="shared" si="520"/>
        <v/>
      </c>
      <c r="E760" s="228" t="str">
        <f t="shared" ca="1" si="521"/>
        <v>05.004.001.002</v>
      </c>
      <c r="F760" s="230">
        <f ca="1">IF($B760="UNIDADE CONSTRUTIVA",OFFSET(F760,-1,0)+1,LARGE(F$10:F759,1))</f>
        <v>2</v>
      </c>
      <c r="G760" s="228" t="str">
        <f t="shared" ca="1" si="522"/>
        <v xml:space="preserve">   GERENCIAMENTO EXECUTIVO</v>
      </c>
      <c r="H760" s="230">
        <f t="shared" ca="1" si="523"/>
        <v>5</v>
      </c>
      <c r="I760" s="228" t="str">
        <f t="shared" ca="1" si="524"/>
        <v xml:space="preserve">   ALVENARIA | VEDAÇÕES | DIVISÓRIAS</v>
      </c>
      <c r="J760" s="230">
        <f t="shared" ca="1" si="525"/>
        <v>4</v>
      </c>
      <c r="K760" s="228" t="str">
        <f t="shared" ca="1" si="526"/>
        <v xml:space="preserve">   ALVENARIA | VEDAÇÕES | DIVISÓRIAS - 8º PAVIMENTO - COBERTURA</v>
      </c>
      <c r="L760" s="231">
        <f t="shared" ca="1" si="527"/>
        <v>1</v>
      </c>
      <c r="M760" s="228" t="str">
        <f t="shared" ca="1" si="528"/>
        <v xml:space="preserve">   Alvenaria de Vedação com Blocos Cerâmicos</v>
      </c>
      <c r="N760" s="231">
        <f t="shared" ca="1" si="529"/>
        <v>2</v>
      </c>
      <c r="O760" s="228" t="str">
        <f t="shared" ca="1" si="530"/>
        <v>Alvenaria de vedacao de blocos ceramicos furados na horizontal de 11.5x19x29cm (espessura 11.5cm) com argamassa industrializada de assentamento</v>
      </c>
      <c r="P760" s="232" t="str">
        <f>IF(S760="","",IF(Orçamento!$B760="INSUMO",S760,""))</f>
        <v>ARGAMASSA ESTABILIZADA P/ ASSENTAMENTO</v>
      </c>
      <c r="Q760" s="244" t="str">
        <f>IF(B760="","",IF(B760="Serviço",S760,""))</f>
        <v/>
      </c>
      <c r="R760" s="234">
        <f t="shared" ca="1" si="532"/>
        <v>13.571</v>
      </c>
      <c r="S760" s="233" t="s">
        <v>206</v>
      </c>
      <c r="T760" s="242" t="str">
        <f>_xlfn.XLOOKUP(S760,Insumos!$A$3:$A$371,Insumos!$B$3:$B$371)</f>
        <v>M3</v>
      </c>
      <c r="U760" s="235">
        <f ca="1">IF($B760="insumo",R760,"")</f>
        <v>13.571</v>
      </c>
      <c r="V760" s="320">
        <v>1.8683999999999999E-2</v>
      </c>
      <c r="W760" s="236">
        <f>IFERROR(IF(B760="INSUMO",_xlfn.XLOOKUP(S760,Insumos!A:A,Insumos!C:C),""),"Inserir Preço")</f>
        <v>425</v>
      </c>
      <c r="X760" s="235">
        <f t="shared" ca="1" si="533"/>
        <v>0.25356056399999999</v>
      </c>
      <c r="Y760" s="236">
        <f t="shared" si="519"/>
        <v>7.9406999999999996</v>
      </c>
      <c r="Z760" s="237">
        <f t="shared" ca="1" si="488"/>
        <v>107.7632397</v>
      </c>
      <c r="AA760" s="238"/>
      <c r="AB760" s="233" t="str">
        <f>IF(B760="insumo",_xlfn.XLOOKUP(S760,Insumos!A:A,Insumos!D:D),"")</f>
        <v xml:space="preserve"> </v>
      </c>
      <c r="AC760" s="239">
        <f t="shared" ca="1" si="489"/>
        <v>1.5459619234461321E-5</v>
      </c>
      <c r="AE760" s="240">
        <f ca="1">IFERROR(IF(OR(Z760="",Z760=0),"",IF(AF760="","",IF(AF760="R$/mês",Z760/OBRA!$D$12,IF(AF760="R$/m²",Z760/OBRA!$D$10,IF(AF760="R$/apto",Orçamento!Z760/OBRA!$D$11,""))))),"")</f>
        <v>5.5455730767845289E-2</v>
      </c>
      <c r="AF760" s="241" t="s">
        <v>154</v>
      </c>
    </row>
    <row r="761" spans="1:32" s="10" customFormat="1" ht="13.15" hidden="1" customHeight="1" outlineLevel="4" x14ac:dyDescent="0.2">
      <c r="A761" s="227"/>
      <c r="B761" s="228" t="s">
        <v>19</v>
      </c>
      <c r="C761" s="229">
        <f t="shared" si="487"/>
        <v>4</v>
      </c>
      <c r="D761" s="227" t="str">
        <f t="shared" si="520"/>
        <v/>
      </c>
      <c r="E761" s="228" t="str">
        <f t="shared" ca="1" si="521"/>
        <v>05.004.001.002</v>
      </c>
      <c r="F761" s="230">
        <f ca="1">IF($B761="UNIDADE CONSTRUTIVA",OFFSET(F761,-1,0)+1,LARGE(F$10:F760,1))</f>
        <v>2</v>
      </c>
      <c r="G761" s="228" t="str">
        <f t="shared" ca="1" si="522"/>
        <v xml:space="preserve">   GERENCIAMENTO EXECUTIVO</v>
      </c>
      <c r="H761" s="230">
        <f t="shared" ca="1" si="523"/>
        <v>5</v>
      </c>
      <c r="I761" s="228" t="str">
        <f t="shared" ca="1" si="524"/>
        <v xml:space="preserve">   ALVENARIA | VEDAÇÕES | DIVISÓRIAS</v>
      </c>
      <c r="J761" s="230">
        <f t="shared" ca="1" si="525"/>
        <v>4</v>
      </c>
      <c r="K761" s="228" t="str">
        <f t="shared" ca="1" si="526"/>
        <v xml:space="preserve">   ALVENARIA | VEDAÇÕES | DIVISÓRIAS - 8º PAVIMENTO - COBERTURA</v>
      </c>
      <c r="L761" s="231">
        <f t="shared" ca="1" si="527"/>
        <v>1</v>
      </c>
      <c r="M761" s="228" t="str">
        <f t="shared" ca="1" si="528"/>
        <v xml:space="preserve">   Alvenaria de Vedação com Blocos Cerâmicos</v>
      </c>
      <c r="N761" s="231">
        <f t="shared" ca="1" si="529"/>
        <v>2</v>
      </c>
      <c r="O761" s="228" t="str">
        <f t="shared" ca="1" si="530"/>
        <v>Alvenaria de vedacao de blocos ceramicos furados na horizontal de 11.5x19x29cm (espessura 11.5cm) com argamassa industrializada de assentamento</v>
      </c>
      <c r="P761" s="232" t="str">
        <f>IF(S761="","",IF(Orçamento!$B761="INSUMO",S761,""))</f>
        <v>BLOCO CERAMICO VEDACAO 11,5 X 19 X 29 CM - FUROS NA HORIZONTAL</v>
      </c>
      <c r="Q761" s="244" t="str">
        <f>IF(B761="","",IF(B761="Serviço",S761,""))</f>
        <v/>
      </c>
      <c r="R761" s="234">
        <f t="shared" ca="1" si="532"/>
        <v>13.571</v>
      </c>
      <c r="S761" s="233" t="s">
        <v>207</v>
      </c>
      <c r="T761" s="242" t="str">
        <f>_xlfn.XLOOKUP(S761,Insumos!$A$3:$A$371,Insumos!$B$3:$B$371)</f>
        <v>UN</v>
      </c>
      <c r="U761" s="235">
        <f ca="1">IF($B761="insumo",R761,"")</f>
        <v>13.571</v>
      </c>
      <c r="V761" s="320">
        <v>18</v>
      </c>
      <c r="W761" s="236">
        <f>IFERROR(IF(B761="INSUMO",_xlfn.XLOOKUP(S761,Insumos!A:A,Insumos!C:C),""),"Inserir Preço")</f>
        <v>2.2705000000000002</v>
      </c>
      <c r="X761" s="235">
        <f t="shared" ca="1" si="533"/>
        <v>244.27799999999999</v>
      </c>
      <c r="Y761" s="236">
        <f t="shared" si="519"/>
        <v>40.869</v>
      </c>
      <c r="Z761" s="237">
        <f t="shared" ca="1" si="488"/>
        <v>554.63319899999999</v>
      </c>
      <c r="AA761" s="238"/>
      <c r="AB761" s="233" t="str">
        <f>IF(B761="insumo",_xlfn.XLOOKUP(S761,Insumos!A:A,Insumos!D:D),"")</f>
        <v>Tupi Gurani Cerâmica</v>
      </c>
      <c r="AC761" s="239">
        <f t="shared" ca="1" si="489"/>
        <v>7.9567189100860085E-5</v>
      </c>
      <c r="AE761" s="240">
        <f ca="1">IFERROR(IF(OR(Z761="",Z761=0),"",IF(AF761="","",IF(AF761="R$/mês",Z761/OBRA!$D$12,IF(AF761="R$/m²",Z761/OBRA!$D$10,IF(AF761="R$/apto",Orçamento!Z761/OBRA!$D$11,""))))),"")</f>
        <v>0.28541819496405468</v>
      </c>
      <c r="AF761" s="241" t="s">
        <v>154</v>
      </c>
    </row>
    <row r="762" spans="1:32" s="10" customFormat="1" ht="13.15" hidden="1" customHeight="1" outlineLevel="4" x14ac:dyDescent="0.2">
      <c r="A762" s="227"/>
      <c r="B762" s="228" t="s">
        <v>4</v>
      </c>
      <c r="C762" s="229">
        <f t="shared" si="487"/>
        <v>5</v>
      </c>
      <c r="D762" s="227" t="str">
        <f t="shared" ref="D762:D782" ca="1" si="534">IF(B762="Unidade Construtiva",TEXT(F762,"00"),IF(B762="Célula Construtiva",TEXT(H762,"00"),IF(B762="Etapa",CONCATENATE(TEXT(H762,"00"),".",TEXT(J762,"000")),IF(B762="Subetapa",CONCATENATE(TEXT(H762,"00"),".",TEXT(J762,"000"),".",TEXT(L762,"000")),IF(B762="Serviço",CONCATENATE(TEXT(H762,"00"),".",TEXT(J762,"000"),".",TEXT(L762,"000"),".",TEXT(N762,"000")),"")))))</f>
        <v>05.004.001.003</v>
      </c>
      <c r="E762" s="228" t="str">
        <f t="shared" ref="E762:E782" ca="1" si="535">IF(B762="*","",IFERROR(IF(B762="SERVIÇO",D762,OFFSET(E762,-1,0)),""))</f>
        <v>05.004.001.003</v>
      </c>
      <c r="F762" s="230">
        <f ca="1">IF($B762="UNIDADE CONSTRUTIVA",OFFSET(F762,-1,0)+1,LARGE(F$10:F761,1))</f>
        <v>2</v>
      </c>
      <c r="G762" s="228" t="str">
        <f t="shared" ref="G762:G782" ca="1" si="536">IF(B762="*","",IF(B762="UNIDADE CONSTRUTIVA",S762,OFFSET(G762,-1,0)))</f>
        <v xml:space="preserve">   GERENCIAMENTO EXECUTIVO</v>
      </c>
      <c r="H762" s="230">
        <f t="shared" ref="H762:H782" ca="1" si="537">IF(B762="UNIDADE CONSTRUTIVA",0,IF(B762="CÉLULA CONSTRUTIVA",OFFSET(H762,-1,0)+1,OFFSET(H762,-1,0)))</f>
        <v>5</v>
      </c>
      <c r="I762" s="228" t="str">
        <f t="shared" ref="I762:I782" ca="1" si="538">IF(B762="*","",IF(B762="CÉLULA CONSTRUTIVA",S762,OFFSET(I762,-1,0)))</f>
        <v xml:space="preserve">   ALVENARIA | VEDAÇÕES | DIVISÓRIAS</v>
      </c>
      <c r="J762" s="230">
        <f t="shared" ref="J762:J782" ca="1" si="539">IF(B762="CÉLULA CONSTRUTIVA",0,IF(B762="ETAPA",OFFSET(J762,-1,0)+1,OFFSET(J762,-1,0)))</f>
        <v>4</v>
      </c>
      <c r="K762" s="228" t="str">
        <f t="shared" ref="K762:K782" ca="1" si="540">IF(B762="*","",IF(B762="ETAPA",S762,OFFSET(K762,-1,0)))</f>
        <v xml:space="preserve">   ALVENARIA | VEDAÇÕES | DIVISÓRIAS - 8º PAVIMENTO - COBERTURA</v>
      </c>
      <c r="L762" s="231">
        <f t="shared" ref="L762:L782" ca="1" si="541">IF(B762="ETAPA",0,IF(B762="SUBETAPA",OFFSET(L762,-1,0)+1,OFFSET(L762,-1,0)))</f>
        <v>1</v>
      </c>
      <c r="M762" s="228" t="str">
        <f t="shared" ref="M762:M782" ca="1" si="542">IF(B762="*","",IF(B762="SUBETAPA",S762,OFFSET(M762,-1,0)))</f>
        <v xml:space="preserve">   Alvenaria de Vedação com Blocos Cerâmicos</v>
      </c>
      <c r="N762" s="231">
        <f t="shared" ref="N762:N782" ca="1" si="543">IF(B762="Subetapa",0,IF(B762="serviço",OFFSET(N762,-1,0)+1,OFFSET(N762,-1,0)))</f>
        <v>3</v>
      </c>
      <c r="O762" s="228" t="str">
        <f t="shared" ref="O762:O782" ca="1" si="544">IF(B762="*","",IF(B762="SERVIÇO",S762,OFFSET(O762,-1,0)))</f>
        <v>Alvenaria de vedacao de blocos ceramicos furados na horizontal de 14x19x29cm (espessura 14cm) com argamassa industrializada de assentamento</v>
      </c>
      <c r="P762" s="232" t="str">
        <f>IF(S762="","",IF(Orçamento!$B762="INSUMO",S762,""))</f>
        <v/>
      </c>
      <c r="Q762" s="244" t="str">
        <f t="shared" ref="Q762:Q782" si="545">IF(B762="","",IF(B762="Serviço",S762,""))</f>
        <v>Alvenaria de vedacao de blocos ceramicos furados na horizontal de 14x19x29cm (espessura 14cm) com argamassa industrializada de assentamento</v>
      </c>
      <c r="R762" s="234">
        <f t="shared" ref="R762:R782" ca="1" si="546">IF(B762="serviço",U762,OFFSET(R762,-1,0))</f>
        <v>186.3</v>
      </c>
      <c r="S762" s="233" t="s">
        <v>208</v>
      </c>
      <c r="T762" s="242" t="s">
        <v>140</v>
      </c>
      <c r="U762" s="235">
        <v>186.3</v>
      </c>
      <c r="V762" s="320" t="s">
        <v>35</v>
      </c>
      <c r="W762" s="236" t="str">
        <f>IFERROR(IF(B762="INSUMO",_xlfn.XLOOKUP(S762,Insumos!A:A,Insumos!C:C),""),"Inserir Preço")</f>
        <v/>
      </c>
      <c r="X762" s="235">
        <f t="shared" ref="X762:X782" ca="1" si="547">IF(B762="Complemento do insumo",V762,IF(R762="","",IF(B762="serviço",R762,IF(OR(B762="insumo"),V762*R762,""))))</f>
        <v>186.3</v>
      </c>
      <c r="Y762" s="236">
        <f t="shared" ca="1" si="519"/>
        <v>37.181699999999999</v>
      </c>
      <c r="Z762" s="237">
        <f t="shared" ca="1" si="488"/>
        <v>6926.9507100000001</v>
      </c>
      <c r="AA762" s="238"/>
      <c r="AB762" s="233" t="str">
        <f>IF(B762="insumo",_xlfn.XLOOKUP(S762,Insumos!A:A,Insumos!D:D),"")</f>
        <v/>
      </c>
      <c r="AC762" s="239">
        <f t="shared" ca="1" si="489"/>
        <v>9.9373423377583834E-4</v>
      </c>
      <c r="AE762" s="240">
        <f ca="1">IFERROR(IF(OR(Z762="",Z762=0),"",IF(AF762="","",IF(AF762="R$/mês",Z762/OBRA!$D$12,IF(AF762="R$/m²",Z762/OBRA!$D$10,IF(AF762="R$/apto",Orçamento!Z762/OBRA!$D$11,""))))),"")</f>
        <v>3.5646581773644912</v>
      </c>
      <c r="AF762" s="241" t="s">
        <v>154</v>
      </c>
    </row>
    <row r="763" spans="1:32" s="10" customFormat="1" ht="13.15" hidden="1" customHeight="1" outlineLevel="4" x14ac:dyDescent="0.2">
      <c r="A763" s="227"/>
      <c r="B763" s="228" t="s">
        <v>19</v>
      </c>
      <c r="C763" s="229">
        <f t="shared" si="487"/>
        <v>19</v>
      </c>
      <c r="D763" s="227" t="str">
        <f t="shared" si="534"/>
        <v/>
      </c>
      <c r="E763" s="228" t="str">
        <f t="shared" ca="1" si="535"/>
        <v>05.004.001.003</v>
      </c>
      <c r="F763" s="230">
        <f ca="1">IF($B763="UNIDADE CONSTRUTIVA",OFFSET(F763,-1,0)+1,LARGE(F$10:F762,1))</f>
        <v>2</v>
      </c>
      <c r="G763" s="228" t="str">
        <f t="shared" ca="1" si="536"/>
        <v xml:space="preserve">   GERENCIAMENTO EXECUTIVO</v>
      </c>
      <c r="H763" s="230">
        <f t="shared" ca="1" si="537"/>
        <v>5</v>
      </c>
      <c r="I763" s="228" t="str">
        <f t="shared" ca="1" si="538"/>
        <v xml:space="preserve">   ALVENARIA | VEDAÇÕES | DIVISÓRIAS</v>
      </c>
      <c r="J763" s="230">
        <f t="shared" ca="1" si="539"/>
        <v>4</v>
      </c>
      <c r="K763" s="228" t="str">
        <f t="shared" ca="1" si="540"/>
        <v xml:space="preserve">   ALVENARIA | VEDAÇÕES | DIVISÓRIAS - 8º PAVIMENTO - COBERTURA</v>
      </c>
      <c r="L763" s="231">
        <f t="shared" ca="1" si="541"/>
        <v>1</v>
      </c>
      <c r="M763" s="228" t="str">
        <f t="shared" ca="1" si="542"/>
        <v xml:space="preserve">   Alvenaria de Vedação com Blocos Cerâmicos</v>
      </c>
      <c r="N763" s="231">
        <f t="shared" ca="1" si="543"/>
        <v>3</v>
      </c>
      <c r="O763" s="228" t="str">
        <f t="shared" ca="1" si="544"/>
        <v>Alvenaria de vedacao de blocos ceramicos furados na horizontal de 14x19x29cm (espessura 14cm) com argamassa industrializada de assentamento</v>
      </c>
      <c r="P763" s="232" t="str">
        <f>IF(S763="","",IF(Orçamento!$B763="INSUMO",S763,""))</f>
        <v>ARGAMASSA ESTABILIZADA P/ ASSENTAMENTO</v>
      </c>
      <c r="Q763" s="244" t="str">
        <f t="shared" si="545"/>
        <v/>
      </c>
      <c r="R763" s="234">
        <f t="shared" ca="1" si="546"/>
        <v>186.3</v>
      </c>
      <c r="S763" s="233" t="s">
        <v>206</v>
      </c>
      <c r="T763" s="242" t="str">
        <f>_xlfn.XLOOKUP(S763,Insumos!$A$3:$A$371,Insumos!$B$3:$B$371)</f>
        <v>M3</v>
      </c>
      <c r="U763" s="235">
        <f ca="1">IF($B763="insumo",R763,"")</f>
        <v>186.3</v>
      </c>
      <c r="V763" s="320">
        <v>1.8683999999999999E-2</v>
      </c>
      <c r="W763" s="236">
        <f>IFERROR(IF(B763="INSUMO",_xlfn.XLOOKUP(S763,Insumos!A:A,Insumos!C:C),""),"Inserir Preço")</f>
        <v>425</v>
      </c>
      <c r="X763" s="235">
        <f t="shared" ca="1" si="547"/>
        <v>3.4808292000000001</v>
      </c>
      <c r="Y763" s="236">
        <f t="shared" si="519"/>
        <v>7.9406999999999996</v>
      </c>
      <c r="Z763" s="237">
        <f t="shared" ca="1" si="488"/>
        <v>1479.35241</v>
      </c>
      <c r="AA763" s="238"/>
      <c r="AB763" s="233" t="str">
        <f>IF(B763="insumo",_xlfn.XLOOKUP(S763,Insumos!A:A,Insumos!D:D),"")</f>
        <v xml:space="preserve"> </v>
      </c>
      <c r="AC763" s="239">
        <f t="shared" ca="1" si="489"/>
        <v>2.1222659077298238E-4</v>
      </c>
      <c r="AE763" s="240">
        <f ca="1">IFERROR(IF(OR(Z763="",Z763=0),"",IF(AF763="","",IF(AF763="R$/mês",Z763/OBRA!$D$12,IF(AF763="R$/m²",Z763/OBRA!$D$10,IF(AF763="R$/apto",Orçamento!Z763/OBRA!$D$11,""))))),"")</f>
        <v>0.76128528789695504</v>
      </c>
      <c r="AF763" s="241" t="s">
        <v>154</v>
      </c>
    </row>
    <row r="764" spans="1:32" s="10" customFormat="1" ht="13.15" hidden="1" customHeight="1" outlineLevel="4" x14ac:dyDescent="0.2">
      <c r="A764" s="227"/>
      <c r="B764" s="228" t="s">
        <v>19</v>
      </c>
      <c r="C764" s="229">
        <f t="shared" si="487"/>
        <v>5</v>
      </c>
      <c r="D764" s="227" t="str">
        <f t="shared" si="534"/>
        <v/>
      </c>
      <c r="E764" s="228" t="str">
        <f t="shared" ca="1" si="535"/>
        <v>05.004.001.003</v>
      </c>
      <c r="F764" s="230">
        <f ca="1">IF($B764="UNIDADE CONSTRUTIVA",OFFSET(F764,-1,0)+1,LARGE(F$10:F763,1))</f>
        <v>2</v>
      </c>
      <c r="G764" s="228" t="str">
        <f t="shared" ca="1" si="536"/>
        <v xml:space="preserve">   GERENCIAMENTO EXECUTIVO</v>
      </c>
      <c r="H764" s="230">
        <f t="shared" ca="1" si="537"/>
        <v>5</v>
      </c>
      <c r="I764" s="228" t="str">
        <f t="shared" ca="1" si="538"/>
        <v xml:space="preserve">   ALVENARIA | VEDAÇÕES | DIVISÓRIAS</v>
      </c>
      <c r="J764" s="230">
        <f t="shared" ca="1" si="539"/>
        <v>4</v>
      </c>
      <c r="K764" s="228" t="str">
        <f t="shared" ca="1" si="540"/>
        <v xml:space="preserve">   ALVENARIA | VEDAÇÕES | DIVISÓRIAS - 8º PAVIMENTO - COBERTURA</v>
      </c>
      <c r="L764" s="231">
        <f t="shared" ca="1" si="541"/>
        <v>1</v>
      </c>
      <c r="M764" s="228" t="str">
        <f t="shared" ca="1" si="542"/>
        <v xml:space="preserve">   Alvenaria de Vedação com Blocos Cerâmicos</v>
      </c>
      <c r="N764" s="231">
        <f t="shared" ca="1" si="543"/>
        <v>3</v>
      </c>
      <c r="O764" s="228" t="str">
        <f t="shared" ca="1" si="544"/>
        <v>Alvenaria de vedacao de blocos ceramicos furados na horizontal de 14x19x29cm (espessura 14cm) com argamassa industrializada de assentamento</v>
      </c>
      <c r="P764" s="232" t="str">
        <f>IF(S764="","",IF(Orçamento!$B764="INSUMO",S764,""))</f>
        <v>BLOCO CERAMICO VEDACAO 14 X 19 X 29 CM - FUROS NA HORIZONTAL</v>
      </c>
      <c r="Q764" s="244" t="str">
        <f t="shared" si="545"/>
        <v/>
      </c>
      <c r="R764" s="234">
        <f t="shared" ca="1" si="546"/>
        <v>186.3</v>
      </c>
      <c r="S764" s="233" t="s">
        <v>209</v>
      </c>
      <c r="T764" s="242" t="str">
        <f>_xlfn.XLOOKUP(S764,Insumos!$A$3:$A$371,Insumos!$B$3:$B$371)</f>
        <v>UN</v>
      </c>
      <c r="U764" s="235">
        <f ca="1">IF($B764="insumo",R764,"")</f>
        <v>186.3</v>
      </c>
      <c r="V764" s="320">
        <v>18</v>
      </c>
      <c r="W764" s="236">
        <f>IFERROR(IF(B764="INSUMO",_xlfn.XLOOKUP(S764,Insumos!A:A,Insumos!C:C),""),"Inserir Preço")</f>
        <v>1.6245000000000001</v>
      </c>
      <c r="X764" s="235">
        <f t="shared" ca="1" si="547"/>
        <v>3353.4</v>
      </c>
      <c r="Y764" s="236">
        <f t="shared" si="519"/>
        <v>29.241</v>
      </c>
      <c r="Z764" s="237">
        <f t="shared" ca="1" si="488"/>
        <v>5447.5983000000006</v>
      </c>
      <c r="AA764" s="238"/>
      <c r="AB764" s="233" t="str">
        <f>IF(B764="insumo",_xlfn.XLOOKUP(S764,Insumos!A:A,Insumos!D:D),"")</f>
        <v>Tupi Gurani Cerâmica</v>
      </c>
      <c r="AC764" s="239">
        <f t="shared" ca="1" si="489"/>
        <v>7.8150764300285601E-4</v>
      </c>
      <c r="AE764" s="240">
        <f ca="1">IFERROR(IF(OR(Z764="",Z764=0),"",IF(AF764="","",IF(AF764="R$/mês",Z764/OBRA!$D$12,IF(AF764="R$/m²",Z764/OBRA!$D$10,IF(AF764="R$/apto",Orçamento!Z764/OBRA!$D$11,""))))),"")</f>
        <v>2.8033728894675365</v>
      </c>
      <c r="AF764" s="241" t="s">
        <v>154</v>
      </c>
    </row>
    <row r="765" spans="1:32" s="10" customFormat="1" ht="13.15" hidden="1" customHeight="1" outlineLevel="3" collapsed="1" x14ac:dyDescent="0.2">
      <c r="A765" s="227"/>
      <c r="B765" s="228" t="s">
        <v>3</v>
      </c>
      <c r="C765" s="229" t="str">
        <f t="shared" si="487"/>
        <v/>
      </c>
      <c r="D765" s="227" t="str">
        <f t="shared" ca="1" si="534"/>
        <v>05.004.002</v>
      </c>
      <c r="E765" s="228" t="str">
        <f t="shared" ca="1" si="535"/>
        <v>05.004.001.003</v>
      </c>
      <c r="F765" s="230">
        <f ca="1">IF($B765="UNIDADE CONSTRUTIVA",OFFSET(F765,-1,0)+1,LARGE(F$10:F764,1))</f>
        <v>2</v>
      </c>
      <c r="G765" s="228" t="str">
        <f t="shared" ca="1" si="536"/>
        <v xml:space="preserve">   GERENCIAMENTO EXECUTIVO</v>
      </c>
      <c r="H765" s="230">
        <f t="shared" ca="1" si="537"/>
        <v>5</v>
      </c>
      <c r="I765" s="228" t="str">
        <f t="shared" ca="1" si="538"/>
        <v xml:space="preserve">   ALVENARIA | VEDAÇÕES | DIVISÓRIAS</v>
      </c>
      <c r="J765" s="230">
        <f t="shared" ca="1" si="539"/>
        <v>4</v>
      </c>
      <c r="K765" s="228" t="str">
        <f t="shared" ca="1" si="540"/>
        <v xml:space="preserve">   ALVENARIA | VEDAÇÕES | DIVISÓRIAS - 8º PAVIMENTO - COBERTURA</v>
      </c>
      <c r="L765" s="231">
        <f t="shared" ca="1" si="541"/>
        <v>2</v>
      </c>
      <c r="M765" s="228" t="str">
        <f t="shared" ca="1" si="542"/>
        <v xml:space="preserve">   Serviços Complementares</v>
      </c>
      <c r="N765" s="231">
        <f t="shared" ca="1" si="543"/>
        <v>0</v>
      </c>
      <c r="O765" s="228" t="str">
        <f t="shared" ca="1" si="544"/>
        <v>Alvenaria de vedacao de blocos ceramicos furados na horizontal de 14x19x29cm (espessura 14cm) com argamassa industrializada de assentamento</v>
      </c>
      <c r="P765" s="232" t="str">
        <f>IF(S765="","",IF(Orçamento!$B765="INSUMO",S765,""))</f>
        <v/>
      </c>
      <c r="Q765" s="244" t="str">
        <f t="shared" si="545"/>
        <v/>
      </c>
      <c r="R765" s="234">
        <f t="shared" ca="1" si="546"/>
        <v>186.3</v>
      </c>
      <c r="S765" s="233" t="s">
        <v>441</v>
      </c>
      <c r="T765" s="242" t="s">
        <v>35</v>
      </c>
      <c r="U765" s="235" t="str">
        <f>IF($B765="insumo",R765,"")</f>
        <v/>
      </c>
      <c r="V765" s="320" t="s">
        <v>35</v>
      </c>
      <c r="W765" s="236" t="str">
        <f>IFERROR(IF(B765="INSUMO",_xlfn.XLOOKUP(S765,Insumos!A:A,Insumos!C:C),""),"Inserir Preço")</f>
        <v/>
      </c>
      <c r="X765" s="235" t="str">
        <f t="shared" ca="1" si="547"/>
        <v/>
      </c>
      <c r="Y765" s="236" t="str">
        <f t="shared" si="519"/>
        <v/>
      </c>
      <c r="Z765" s="237">
        <f t="shared" ca="1" si="488"/>
        <v>2368.9612612000001</v>
      </c>
      <c r="AA765" s="238"/>
      <c r="AB765" s="233" t="str">
        <f>IF(B765="insumo",_xlfn.XLOOKUP(S765,Insumos!A:A,Insumos!D:D),"")</f>
        <v/>
      </c>
      <c r="AC765" s="239">
        <f t="shared" ca="1" si="489"/>
        <v>3.3984909122346355E-4</v>
      </c>
      <c r="AE765" s="240">
        <f ca="1">IFERROR(IF(OR(Z765="",Z765=0),"",IF(AF765="","",IF(AF765="R$/mês",Z765/OBRA!$D$12,IF(AF765="R$/m²",Z765/OBRA!$D$10,IF(AF765="R$/apto",Orçamento!Z765/OBRA!$D$11,""))))),"")</f>
        <v>1.2190843395789486</v>
      </c>
      <c r="AF765" s="241" t="s">
        <v>154</v>
      </c>
    </row>
    <row r="766" spans="1:32" s="10" customFormat="1" ht="13.15" hidden="1" customHeight="1" outlineLevel="4" x14ac:dyDescent="0.2">
      <c r="A766" s="227"/>
      <c r="B766" s="228" t="s">
        <v>4</v>
      </c>
      <c r="C766" s="229">
        <f t="shared" si="487"/>
        <v>5</v>
      </c>
      <c r="D766" s="227" t="str">
        <f t="shared" ca="1" si="534"/>
        <v>05.004.002.001</v>
      </c>
      <c r="E766" s="228" t="str">
        <f t="shared" ca="1" si="535"/>
        <v>05.004.002.001</v>
      </c>
      <c r="F766" s="230">
        <f ca="1">IF($B766="UNIDADE CONSTRUTIVA",OFFSET(F766,-1,0)+1,LARGE(F$10:F765,1))</f>
        <v>2</v>
      </c>
      <c r="G766" s="228" t="str">
        <f t="shared" ca="1" si="536"/>
        <v xml:space="preserve">   GERENCIAMENTO EXECUTIVO</v>
      </c>
      <c r="H766" s="230">
        <f t="shared" ca="1" si="537"/>
        <v>5</v>
      </c>
      <c r="I766" s="228" t="str">
        <f t="shared" ca="1" si="538"/>
        <v xml:space="preserve">   ALVENARIA | VEDAÇÕES | DIVISÓRIAS</v>
      </c>
      <c r="J766" s="230">
        <f t="shared" ca="1" si="539"/>
        <v>4</v>
      </c>
      <c r="K766" s="228" t="str">
        <f t="shared" ca="1" si="540"/>
        <v xml:space="preserve">   ALVENARIA | VEDAÇÕES | DIVISÓRIAS - 8º PAVIMENTO - COBERTURA</v>
      </c>
      <c r="L766" s="231">
        <f t="shared" ca="1" si="541"/>
        <v>2</v>
      </c>
      <c r="M766" s="228" t="str">
        <f t="shared" ca="1" si="542"/>
        <v xml:space="preserve">   Serviços Complementares</v>
      </c>
      <c r="N766" s="231">
        <f t="shared" ca="1" si="543"/>
        <v>1</v>
      </c>
      <c r="O766" s="228" t="str">
        <f t="shared" ca="1" si="544"/>
        <v>Verga/contraverga de concreto, moldada in loco</v>
      </c>
      <c r="P766" s="232" t="str">
        <f>IF(S766="","",IF(Orçamento!$B766="INSUMO",S766,""))</f>
        <v/>
      </c>
      <c r="Q766" s="244" t="str">
        <f t="shared" si="545"/>
        <v>Verga/contraverga de concreto, moldada in loco</v>
      </c>
      <c r="R766" s="234">
        <f t="shared" ca="1" si="546"/>
        <v>34.980000000000004</v>
      </c>
      <c r="S766" s="233" t="s">
        <v>210</v>
      </c>
      <c r="T766" s="242" t="s">
        <v>158</v>
      </c>
      <c r="U766" s="235">
        <v>34.980000000000004</v>
      </c>
      <c r="V766" s="320" t="s">
        <v>35</v>
      </c>
      <c r="W766" s="236" t="str">
        <f>IFERROR(IF(B766="INSUMO",_xlfn.XLOOKUP(S766,Insumos!A:A,Insumos!C:C),""),"Inserir Preço")</f>
        <v/>
      </c>
      <c r="X766" s="235">
        <f t="shared" ca="1" si="547"/>
        <v>34.980000000000004</v>
      </c>
      <c r="Y766" s="236">
        <f t="shared" ca="1" si="519"/>
        <v>44.891940000000005</v>
      </c>
      <c r="Z766" s="237">
        <f t="shared" ca="1" si="488"/>
        <v>1570.3200612000003</v>
      </c>
      <c r="AA766" s="238"/>
      <c r="AB766" s="233" t="str">
        <f>IF(B766="insumo",_xlfn.XLOOKUP(S766,Insumos!A:A,Insumos!D:D),"")</f>
        <v/>
      </c>
      <c r="AC766" s="239">
        <f t="shared" ca="1" si="489"/>
        <v>2.2527672970830333E-4</v>
      </c>
      <c r="AE766" s="240">
        <f ca="1">IFERROR(IF(OR(Z766="",Z766=0),"",IF(AF766="","",IF(AF766="R$/mês",Z766/OBRA!$D$12,IF(AF766="R$/m²",Z766/OBRA!$D$10,IF(AF766="R$/apto",Orçamento!Z766/OBRA!$D$11,""))))),"")</f>
        <v>0.8080978891845022</v>
      </c>
      <c r="AF766" s="241" t="s">
        <v>154</v>
      </c>
    </row>
    <row r="767" spans="1:32" s="10" customFormat="1" ht="13.15" hidden="1" customHeight="1" outlineLevel="4" x14ac:dyDescent="0.2">
      <c r="A767" s="227"/>
      <c r="B767" s="228" t="s">
        <v>19</v>
      </c>
      <c r="C767" s="229">
        <f t="shared" si="487"/>
        <v>29</v>
      </c>
      <c r="D767" s="227" t="str">
        <f t="shared" si="534"/>
        <v/>
      </c>
      <c r="E767" s="228" t="str">
        <f t="shared" ca="1" si="535"/>
        <v>05.004.002.001</v>
      </c>
      <c r="F767" s="230">
        <f ca="1">IF($B767="UNIDADE CONSTRUTIVA",OFFSET(F767,-1,0)+1,LARGE(F$10:F766,1))</f>
        <v>2</v>
      </c>
      <c r="G767" s="228" t="str">
        <f t="shared" ca="1" si="536"/>
        <v xml:space="preserve">   GERENCIAMENTO EXECUTIVO</v>
      </c>
      <c r="H767" s="230">
        <f t="shared" ca="1" si="537"/>
        <v>5</v>
      </c>
      <c r="I767" s="228" t="str">
        <f t="shared" ca="1" si="538"/>
        <v xml:space="preserve">   ALVENARIA | VEDAÇÕES | DIVISÓRIAS</v>
      </c>
      <c r="J767" s="230">
        <f t="shared" ca="1" si="539"/>
        <v>4</v>
      </c>
      <c r="K767" s="228" t="str">
        <f t="shared" ca="1" si="540"/>
        <v xml:space="preserve">   ALVENARIA | VEDAÇÕES | DIVISÓRIAS - 8º PAVIMENTO - COBERTURA</v>
      </c>
      <c r="L767" s="231">
        <f t="shared" ca="1" si="541"/>
        <v>2</v>
      </c>
      <c r="M767" s="228" t="str">
        <f t="shared" ca="1" si="542"/>
        <v xml:space="preserve">   Serviços Complementares</v>
      </c>
      <c r="N767" s="231">
        <f t="shared" ca="1" si="543"/>
        <v>1</v>
      </c>
      <c r="O767" s="228" t="str">
        <f t="shared" ca="1" si="544"/>
        <v>Verga/contraverga de concreto, moldada in loco</v>
      </c>
      <c r="P767" s="232" t="str">
        <f>IF(S767="","",IF(Orçamento!$B767="INSUMO",S767,""))</f>
        <v>DESMOLDANTE</v>
      </c>
      <c r="Q767" s="244" t="str">
        <f t="shared" si="545"/>
        <v/>
      </c>
      <c r="R767" s="234">
        <f t="shared" ca="1" si="546"/>
        <v>34.980000000000004</v>
      </c>
      <c r="S767" s="233" t="s">
        <v>171</v>
      </c>
      <c r="T767" s="242" t="str">
        <f>_xlfn.XLOOKUP(S767,Insumos!$A$3:$A$371,Insumos!$B$3:$B$371)</f>
        <v>L</v>
      </c>
      <c r="U767" s="235">
        <f t="shared" ref="U767:U773" ca="1" si="548">IF($B767="insumo",R767,"")</f>
        <v>34.980000000000004</v>
      </c>
      <c r="V767" s="320">
        <v>6.0000000000000001E-3</v>
      </c>
      <c r="W767" s="236">
        <f>IFERROR(IF(B767="INSUMO",_xlfn.XLOOKUP(S767,Insumos!A:A,Insumos!C:C),""),"Inserir Preço")</f>
        <v>6.34</v>
      </c>
      <c r="X767" s="235">
        <f t="shared" ca="1" si="547"/>
        <v>0.20988000000000004</v>
      </c>
      <c r="Y767" s="236">
        <f t="shared" si="519"/>
        <v>3.8039999999999997E-2</v>
      </c>
      <c r="Z767" s="237">
        <f t="shared" ca="1" si="488"/>
        <v>1.3306392000000002</v>
      </c>
      <c r="AA767" s="238"/>
      <c r="AB767" s="233" t="str">
        <f>IF(B767="insumo",_xlfn.XLOOKUP(S767,Insumos!A:A,Insumos!D:D),"")</f>
        <v xml:space="preserve"> </v>
      </c>
      <c r="AC767" s="239">
        <f t="shared" ca="1" si="489"/>
        <v>1.9089232494973169E-7</v>
      </c>
      <c r="AE767" s="240">
        <f ca="1">IFERROR(IF(OR(Z767="",Z767=0),"",IF(AF767="","",IF(AF767="R$/mês",Z767/OBRA!$D$12,IF(AF767="R$/m²",Z767/OBRA!$D$10,IF(AF767="R$/apto",Orçamento!Z767/OBRA!$D$11,""))))),"")</f>
        <v>6.8475641071823732E-4</v>
      </c>
      <c r="AF767" s="241" t="s">
        <v>154</v>
      </c>
    </row>
    <row r="768" spans="1:32" s="10" customFormat="1" ht="13.15" hidden="1" customHeight="1" outlineLevel="4" x14ac:dyDescent="0.2">
      <c r="A768" s="227"/>
      <c r="B768" s="228" t="s">
        <v>19</v>
      </c>
      <c r="C768" s="229">
        <f t="shared" si="487"/>
        <v>5</v>
      </c>
      <c r="D768" s="227" t="str">
        <f t="shared" si="534"/>
        <v/>
      </c>
      <c r="E768" s="228" t="str">
        <f t="shared" ca="1" si="535"/>
        <v>05.004.002.001</v>
      </c>
      <c r="F768" s="230">
        <f ca="1">IF($B768="UNIDADE CONSTRUTIVA",OFFSET(F768,-1,0)+1,LARGE(F$10:F767,1))</f>
        <v>2</v>
      </c>
      <c r="G768" s="228" t="str">
        <f t="shared" ca="1" si="536"/>
        <v xml:space="preserve">   GERENCIAMENTO EXECUTIVO</v>
      </c>
      <c r="H768" s="230">
        <f t="shared" ca="1" si="537"/>
        <v>5</v>
      </c>
      <c r="I768" s="228" t="str">
        <f t="shared" ca="1" si="538"/>
        <v xml:space="preserve">   ALVENARIA | VEDAÇÕES | DIVISÓRIAS</v>
      </c>
      <c r="J768" s="230">
        <f t="shared" ca="1" si="539"/>
        <v>4</v>
      </c>
      <c r="K768" s="228" t="str">
        <f t="shared" ca="1" si="540"/>
        <v xml:space="preserve">   ALVENARIA | VEDAÇÕES | DIVISÓRIAS - 8º PAVIMENTO - COBERTURA</v>
      </c>
      <c r="L768" s="231">
        <f t="shared" ca="1" si="541"/>
        <v>2</v>
      </c>
      <c r="M768" s="228" t="str">
        <f t="shared" ca="1" si="542"/>
        <v xml:space="preserve">   Serviços Complementares</v>
      </c>
      <c r="N768" s="231">
        <f t="shared" ca="1" si="543"/>
        <v>1</v>
      </c>
      <c r="O768" s="228" t="str">
        <f t="shared" ca="1" si="544"/>
        <v>Verga/contraverga de concreto, moldada in loco</v>
      </c>
      <c r="P768" s="232" t="str">
        <f>IF(S768="","",IF(Orçamento!$B768="INSUMO",S768,""))</f>
        <v>ACO CA-60 5,00 MM</v>
      </c>
      <c r="Q768" s="244" t="str">
        <f t="shared" si="545"/>
        <v/>
      </c>
      <c r="R768" s="234">
        <f t="shared" ca="1" si="546"/>
        <v>34.980000000000004</v>
      </c>
      <c r="S768" s="233" t="s">
        <v>179</v>
      </c>
      <c r="T768" s="242" t="str">
        <f>_xlfn.XLOOKUP(S768,Insumos!$A$3:$A$371,Insumos!$B$3:$B$371)</f>
        <v>KG</v>
      </c>
      <c r="U768" s="235">
        <f t="shared" ca="1" si="548"/>
        <v>34.980000000000004</v>
      </c>
      <c r="V768" s="320">
        <v>0.49</v>
      </c>
      <c r="W768" s="236">
        <f>IFERROR(IF(B768="INSUMO",_xlfn.XLOOKUP(S768,Insumos!A:A,Insumos!C:C),""),"Inserir Preço")</f>
        <v>6.11</v>
      </c>
      <c r="X768" s="235">
        <f t="shared" ca="1" si="547"/>
        <v>17.1402</v>
      </c>
      <c r="Y768" s="236">
        <f t="shared" si="519"/>
        <v>2.9939</v>
      </c>
      <c r="Z768" s="237">
        <f t="shared" ca="1" si="488"/>
        <v>104.72662200000001</v>
      </c>
      <c r="AA768" s="238"/>
      <c r="AB768" s="233" t="str">
        <f>IF(B768="insumo",_xlfn.XLOOKUP(S768,Insumos!A:A,Insumos!D:D),"")</f>
        <v>BENDERTEC</v>
      </c>
      <c r="AC768" s="239">
        <f t="shared" ca="1" si="489"/>
        <v>1.5023988739931695E-5</v>
      </c>
      <c r="AE768" s="240">
        <f ca="1">IFERROR(IF(OR(Z768="",Z768=0),"",IF(AF768="","",IF(AF768="R$/mês",Z768/OBRA!$D$12,IF(AF768="R$/m²",Z768/OBRA!$D$10,IF(AF768="R$/apto",Orçamento!Z768/OBRA!$D$11,""))))),"")</f>
        <v>5.3893065669014993E-2</v>
      </c>
      <c r="AF768" s="241" t="s">
        <v>154</v>
      </c>
    </row>
    <row r="769" spans="1:32" s="10" customFormat="1" ht="13.15" hidden="1" customHeight="1" outlineLevel="4" x14ac:dyDescent="0.2">
      <c r="A769" s="227"/>
      <c r="B769" s="228" t="s">
        <v>19</v>
      </c>
      <c r="C769" s="229">
        <f t="shared" si="487"/>
        <v>44</v>
      </c>
      <c r="D769" s="227" t="str">
        <f t="shared" si="534"/>
        <v/>
      </c>
      <c r="E769" s="228" t="str">
        <f t="shared" ca="1" si="535"/>
        <v>05.004.002.001</v>
      </c>
      <c r="F769" s="230">
        <f ca="1">IF($B769="UNIDADE CONSTRUTIVA",OFFSET(F769,-1,0)+1,LARGE(F$10:F768,1))</f>
        <v>2</v>
      </c>
      <c r="G769" s="228" t="str">
        <f t="shared" ca="1" si="536"/>
        <v xml:space="preserve">   GERENCIAMENTO EXECUTIVO</v>
      </c>
      <c r="H769" s="230">
        <f t="shared" ca="1" si="537"/>
        <v>5</v>
      </c>
      <c r="I769" s="228" t="str">
        <f t="shared" ca="1" si="538"/>
        <v xml:space="preserve">   ALVENARIA | VEDAÇÕES | DIVISÓRIAS</v>
      </c>
      <c r="J769" s="230">
        <f t="shared" ca="1" si="539"/>
        <v>4</v>
      </c>
      <c r="K769" s="228" t="str">
        <f t="shared" ca="1" si="540"/>
        <v xml:space="preserve">   ALVENARIA | VEDAÇÕES | DIVISÓRIAS - 8º PAVIMENTO - COBERTURA</v>
      </c>
      <c r="L769" s="231">
        <f t="shared" ca="1" si="541"/>
        <v>2</v>
      </c>
      <c r="M769" s="228" t="str">
        <f t="shared" ca="1" si="542"/>
        <v xml:space="preserve">   Serviços Complementares</v>
      </c>
      <c r="N769" s="231">
        <f t="shared" ca="1" si="543"/>
        <v>1</v>
      </c>
      <c r="O769" s="228" t="str">
        <f t="shared" ca="1" si="544"/>
        <v>Verga/contraverga de concreto, moldada in loco</v>
      </c>
      <c r="P769" s="232" t="str">
        <f>IF(S769="","",IF(Orçamento!$B769="INSUMO",S769,""))</f>
        <v>PREGO 17 x 21 COM CABECA</v>
      </c>
      <c r="Q769" s="244" t="str">
        <f t="shared" si="545"/>
        <v/>
      </c>
      <c r="R769" s="234">
        <f t="shared" ca="1" si="546"/>
        <v>34.980000000000004</v>
      </c>
      <c r="S769" s="233" t="s">
        <v>173</v>
      </c>
      <c r="T769" s="242" t="str">
        <f>_xlfn.XLOOKUP(S769,Insumos!$A$3:$A$371,Insumos!$B$3:$B$371)</f>
        <v>KG</v>
      </c>
      <c r="U769" s="235">
        <f t="shared" ca="1" si="548"/>
        <v>34.980000000000004</v>
      </c>
      <c r="V769" s="320">
        <v>5.4000000000000003E-3</v>
      </c>
      <c r="W769" s="236">
        <f>IFERROR(IF(B769="INSUMO",_xlfn.XLOOKUP(S769,Insumos!A:A,Insumos!C:C),""),"Inserir Preço")</f>
        <v>13</v>
      </c>
      <c r="X769" s="235">
        <f t="shared" ca="1" si="547"/>
        <v>0.18889200000000003</v>
      </c>
      <c r="Y769" s="236">
        <f t="shared" si="519"/>
        <v>7.0199999999999999E-2</v>
      </c>
      <c r="Z769" s="237">
        <f t="shared" ca="1" si="488"/>
        <v>2.4555960000000003</v>
      </c>
      <c r="AA769" s="238"/>
      <c r="AB769" s="233" t="str">
        <f>IF(B769="insumo",_xlfn.XLOOKUP(S769,Insumos!A:A,Insumos!D:D),"")</f>
        <v xml:space="preserve"> </v>
      </c>
      <c r="AC769" s="239">
        <f t="shared" ca="1" si="489"/>
        <v>3.5227763437095598E-7</v>
      </c>
      <c r="AE769" s="240">
        <f ca="1">IFERROR(IF(OR(Z769="",Z769=0),"",IF(AF769="","",IF(AF769="R$/mês",Z769/OBRA!$D$12,IF(AF769="R$/m²",Z769/OBRA!$D$10,IF(AF769="R$/apto",Orçamento!Z769/OBRA!$D$11,""))))),"")</f>
        <v>1.2636671932812896E-3</v>
      </c>
      <c r="AF769" s="241" t="s">
        <v>154</v>
      </c>
    </row>
    <row r="770" spans="1:32" s="10" customFormat="1" ht="13.15" hidden="1" customHeight="1" outlineLevel="4" x14ac:dyDescent="0.2">
      <c r="A770" s="227"/>
      <c r="B770" s="228" t="s">
        <v>19</v>
      </c>
      <c r="C770" s="229">
        <f t="shared" si="487"/>
        <v>7</v>
      </c>
      <c r="D770" s="227" t="str">
        <f t="shared" si="534"/>
        <v/>
      </c>
      <c r="E770" s="228" t="str">
        <f t="shared" ca="1" si="535"/>
        <v>05.004.002.001</v>
      </c>
      <c r="F770" s="230">
        <f ca="1">IF($B770="UNIDADE CONSTRUTIVA",OFFSET(F770,-1,0)+1,LARGE(F$10:F769,1))</f>
        <v>2</v>
      </c>
      <c r="G770" s="228" t="str">
        <f t="shared" ca="1" si="536"/>
        <v xml:space="preserve">   GERENCIAMENTO EXECUTIVO</v>
      </c>
      <c r="H770" s="230">
        <f t="shared" ca="1" si="537"/>
        <v>5</v>
      </c>
      <c r="I770" s="228" t="str">
        <f t="shared" ca="1" si="538"/>
        <v xml:space="preserve">   ALVENARIA | VEDAÇÕES | DIVISÓRIAS</v>
      </c>
      <c r="J770" s="230">
        <f t="shared" ca="1" si="539"/>
        <v>4</v>
      </c>
      <c r="K770" s="228" t="str">
        <f t="shared" ca="1" si="540"/>
        <v xml:space="preserve">   ALVENARIA | VEDAÇÕES | DIVISÓRIAS - 8º PAVIMENTO - COBERTURA</v>
      </c>
      <c r="L770" s="231">
        <f t="shared" ca="1" si="541"/>
        <v>2</v>
      </c>
      <c r="M770" s="228" t="str">
        <f t="shared" ca="1" si="542"/>
        <v xml:space="preserve">   Serviços Complementares</v>
      </c>
      <c r="N770" s="231">
        <f t="shared" ca="1" si="543"/>
        <v>1</v>
      </c>
      <c r="O770" s="228" t="str">
        <f t="shared" ca="1" si="544"/>
        <v>Verga/contraverga de concreto, moldada in loco</v>
      </c>
      <c r="P770" s="232" t="str">
        <f>IF(S770="","",IF(Orçamento!$B770="INSUMO",S770,""))</f>
        <v>Tabua de pinus 20x2,5x300cm</v>
      </c>
      <c r="Q770" s="244" t="str">
        <f t="shared" si="545"/>
        <v/>
      </c>
      <c r="R770" s="234">
        <f t="shared" ca="1" si="546"/>
        <v>34.980000000000004</v>
      </c>
      <c r="S770" s="233" t="s">
        <v>174</v>
      </c>
      <c r="T770" s="242" t="str">
        <f>_xlfn.XLOOKUP(S770,Insumos!$A$3:$A$371,Insumos!$B$3:$B$371)</f>
        <v>M3</v>
      </c>
      <c r="U770" s="235">
        <f t="shared" ca="1" si="548"/>
        <v>34.980000000000004</v>
      </c>
      <c r="V770" s="320">
        <v>1.2E-2</v>
      </c>
      <c r="W770" s="236">
        <f>IFERROR(IF(B770="INSUMO",_xlfn.XLOOKUP(S770,Insumos!A:A,Insumos!C:C),""),"Inserir Preço")</f>
        <v>1410</v>
      </c>
      <c r="X770" s="235">
        <f t="shared" ca="1" si="547"/>
        <v>0.41976000000000008</v>
      </c>
      <c r="Y770" s="236">
        <f t="shared" si="519"/>
        <v>16.920000000000002</v>
      </c>
      <c r="Z770" s="237">
        <f t="shared" ca="1" si="488"/>
        <v>591.86160000000007</v>
      </c>
      <c r="AA770" s="238"/>
      <c r="AB770" s="233" t="str">
        <f>IF(B770="insumo",_xlfn.XLOOKUP(S770,Insumos!A:A,Insumos!D:D),"")</f>
        <v xml:space="preserve"> </v>
      </c>
      <c r="AC770" s="239">
        <f t="shared" ca="1" si="489"/>
        <v>8.4907942643256047E-5</v>
      </c>
      <c r="AE770" s="240">
        <f ca="1">IFERROR(IF(OR(Z770="",Z770=0),"",IF(AF770="","",IF(AF770="R$/mês",Z770/OBRA!$D$12,IF(AF770="R$/m²",Z770/OBRA!$D$10,IF(AF770="R$/apto",Orçamento!Z770/OBRA!$D$11,""))))),"")</f>
        <v>0.30457619530369545</v>
      </c>
      <c r="AF770" s="241" t="s">
        <v>154</v>
      </c>
    </row>
    <row r="771" spans="1:32" s="10" customFormat="1" ht="13.15" hidden="1" customHeight="1" outlineLevel="4" x14ac:dyDescent="0.2">
      <c r="A771" s="227"/>
      <c r="B771" s="228" t="s">
        <v>19</v>
      </c>
      <c r="C771" s="229">
        <f t="shared" si="487"/>
        <v>12</v>
      </c>
      <c r="D771" s="227" t="str">
        <f t="shared" si="534"/>
        <v/>
      </c>
      <c r="E771" s="228" t="str">
        <f t="shared" ca="1" si="535"/>
        <v>05.004.002.001</v>
      </c>
      <c r="F771" s="230">
        <f ca="1">IF($B771="UNIDADE CONSTRUTIVA",OFFSET(F771,-1,0)+1,LARGE(F$10:F770,1))</f>
        <v>2</v>
      </c>
      <c r="G771" s="228" t="str">
        <f t="shared" ca="1" si="536"/>
        <v xml:space="preserve">   GERENCIAMENTO EXECUTIVO</v>
      </c>
      <c r="H771" s="230">
        <f t="shared" ca="1" si="537"/>
        <v>5</v>
      </c>
      <c r="I771" s="228" t="str">
        <f t="shared" ca="1" si="538"/>
        <v xml:space="preserve">   ALVENARIA | VEDAÇÕES | DIVISÓRIAS</v>
      </c>
      <c r="J771" s="230">
        <f t="shared" ca="1" si="539"/>
        <v>4</v>
      </c>
      <c r="K771" s="228" t="str">
        <f t="shared" ca="1" si="540"/>
        <v xml:space="preserve">   ALVENARIA | VEDAÇÕES | DIVISÓRIAS - 8º PAVIMENTO - COBERTURA</v>
      </c>
      <c r="L771" s="231">
        <f t="shared" ca="1" si="541"/>
        <v>2</v>
      </c>
      <c r="M771" s="228" t="str">
        <f t="shared" ca="1" si="542"/>
        <v xml:space="preserve">   Serviços Complementares</v>
      </c>
      <c r="N771" s="231">
        <f t="shared" ca="1" si="543"/>
        <v>1</v>
      </c>
      <c r="O771" s="228" t="str">
        <f t="shared" ca="1" si="544"/>
        <v>Verga/contraverga de concreto, moldada in loco</v>
      </c>
      <c r="P771" s="232" t="str">
        <f>IF(S771="","",IF(Orçamento!$B771="INSUMO",S771,""))</f>
        <v>SARRAFO DE MADEIRA 7,0 x 3 M</v>
      </c>
      <c r="Q771" s="244" t="str">
        <f t="shared" si="545"/>
        <v/>
      </c>
      <c r="R771" s="234">
        <f t="shared" ca="1" si="546"/>
        <v>34.980000000000004</v>
      </c>
      <c r="S771" s="233" t="s">
        <v>175</v>
      </c>
      <c r="T771" s="242" t="str">
        <f>_xlfn.XLOOKUP(S771,Insumos!$A$3:$A$371,Insumos!$B$3:$B$371)</f>
        <v>M3</v>
      </c>
      <c r="U771" s="235">
        <f t="shared" ca="1" si="548"/>
        <v>34.980000000000004</v>
      </c>
      <c r="V771" s="320">
        <v>7.9000000000000008E-3</v>
      </c>
      <c r="W771" s="236">
        <f>IFERROR(IF(B771="INSUMO",_xlfn.XLOOKUP(S771,Insumos!A:A,Insumos!C:C),""),"Inserir Preço")</f>
        <v>1300</v>
      </c>
      <c r="X771" s="235">
        <f t="shared" ca="1" si="547"/>
        <v>0.27634200000000003</v>
      </c>
      <c r="Y771" s="236">
        <f t="shared" si="519"/>
        <v>10.270000000000001</v>
      </c>
      <c r="Z771" s="237">
        <f t="shared" ca="1" si="488"/>
        <v>359.24460000000005</v>
      </c>
      <c r="AA771" s="238"/>
      <c r="AB771" s="233" t="str">
        <f>IF(B771="insumo",_xlfn.XLOOKUP(S771,Insumos!A:A,Insumos!D:D),"")</f>
        <v xml:space="preserve"> </v>
      </c>
      <c r="AC771" s="239">
        <f t="shared" ca="1" si="489"/>
        <v>5.1536913176491708E-5</v>
      </c>
      <c r="AE771" s="240">
        <f ca="1">IFERROR(IF(OR(Z771="",Z771=0),"",IF(AF771="","",IF(AF771="R$/mês",Z771/OBRA!$D$12,IF(AF771="R$/m²",Z771/OBRA!$D$10,IF(AF771="R$/apto",Orçamento!Z771/OBRA!$D$11,""))))),"")</f>
        <v>0.18486983012818867</v>
      </c>
      <c r="AF771" s="241" t="s">
        <v>154</v>
      </c>
    </row>
    <row r="772" spans="1:32" s="10" customFormat="1" ht="13.15" hidden="1" customHeight="1" outlineLevel="4" x14ac:dyDescent="0.2">
      <c r="A772" s="227"/>
      <c r="B772" s="228" t="s">
        <v>19</v>
      </c>
      <c r="C772" s="229">
        <f t="shared" si="487"/>
        <v>26</v>
      </c>
      <c r="D772" s="227" t="str">
        <f t="shared" si="534"/>
        <v/>
      </c>
      <c r="E772" s="228" t="str">
        <f t="shared" ca="1" si="535"/>
        <v>05.004.002.001</v>
      </c>
      <c r="F772" s="230">
        <f ca="1">IF($B772="UNIDADE CONSTRUTIVA",OFFSET(F772,-1,0)+1,LARGE(F$10:F771,1))</f>
        <v>2</v>
      </c>
      <c r="G772" s="228" t="str">
        <f t="shared" ca="1" si="536"/>
        <v xml:space="preserve">   GERENCIAMENTO EXECUTIVO</v>
      </c>
      <c r="H772" s="230">
        <f t="shared" ca="1" si="537"/>
        <v>5</v>
      </c>
      <c r="I772" s="228" t="str">
        <f t="shared" ca="1" si="538"/>
        <v xml:space="preserve">   ALVENARIA | VEDAÇÕES | DIVISÓRIAS</v>
      </c>
      <c r="J772" s="230">
        <f t="shared" ca="1" si="539"/>
        <v>4</v>
      </c>
      <c r="K772" s="228" t="str">
        <f t="shared" ca="1" si="540"/>
        <v xml:space="preserve">   ALVENARIA | VEDAÇÕES | DIVISÓRIAS - 8º PAVIMENTO - COBERTURA</v>
      </c>
      <c r="L772" s="231">
        <f t="shared" ca="1" si="541"/>
        <v>2</v>
      </c>
      <c r="M772" s="228" t="str">
        <f t="shared" ca="1" si="542"/>
        <v xml:space="preserve">   Serviços Complementares</v>
      </c>
      <c r="N772" s="231">
        <f t="shared" ca="1" si="543"/>
        <v>1</v>
      </c>
      <c r="O772" s="228" t="str">
        <f t="shared" ca="1" si="544"/>
        <v>Verga/contraverga de concreto, moldada in loco</v>
      </c>
      <c r="P772" s="232" t="str">
        <f>IF(S772="","",IF(Orçamento!$B772="INSUMO",S772,""))</f>
        <v>MADEIRA PINUS/SIMILAR - PONTALETE 75X75MM NBR 11700/15696</v>
      </c>
      <c r="Q772" s="244" t="str">
        <f t="shared" si="545"/>
        <v/>
      </c>
      <c r="R772" s="234">
        <f t="shared" ca="1" si="546"/>
        <v>34.980000000000004</v>
      </c>
      <c r="S772" s="233" t="s">
        <v>807</v>
      </c>
      <c r="T772" s="242" t="str">
        <f>_xlfn.XLOOKUP(S772,Insumos!$A$3:$A$371,Insumos!$B$3:$B$371)</f>
        <v>M</v>
      </c>
      <c r="U772" s="235">
        <f t="shared" ca="1" si="548"/>
        <v>34.980000000000004</v>
      </c>
      <c r="V772" s="320">
        <v>0.37140000000000001</v>
      </c>
      <c r="W772" s="236">
        <f>IFERROR(IF(B772="INSUMO",_xlfn.XLOOKUP(S772,Insumos!A:A,Insumos!C:C),""),"Inserir Preço")</f>
        <v>7</v>
      </c>
      <c r="X772" s="235">
        <f t="shared" ca="1" si="547"/>
        <v>12.991572000000001</v>
      </c>
      <c r="Y772" s="236">
        <f t="shared" si="519"/>
        <v>2.5998000000000001</v>
      </c>
      <c r="Z772" s="237">
        <f t="shared" ca="1" si="488"/>
        <v>90.941004000000007</v>
      </c>
      <c r="AA772" s="238"/>
      <c r="AB772" s="233" t="str">
        <f>IF(B772="insumo",_xlfn.XLOOKUP(S772,Insumos!A:A,Insumos!D:D),"")</f>
        <v xml:space="preserve"> </v>
      </c>
      <c r="AC772" s="239">
        <f t="shared" ca="1" si="489"/>
        <v>1.3046316151532923E-5</v>
      </c>
      <c r="AE772" s="240">
        <f ca="1">IFERROR(IF(OR(Z772="",Z772=0),"",IF(AF772="","",IF(AF772="R$/mês",Z772/OBRA!$D$12,IF(AF772="R$/m²",Z772/OBRA!$D$10,IF(AF772="R$/apto",Orçamento!Z772/OBRA!$D$11,""))))),"")</f>
        <v>4.6798888448613907E-2</v>
      </c>
      <c r="AF772" s="241" t="s">
        <v>154</v>
      </c>
    </row>
    <row r="773" spans="1:32" s="10" customFormat="1" ht="13.15" hidden="1" customHeight="1" outlineLevel="4" x14ac:dyDescent="0.2">
      <c r="A773" s="227"/>
      <c r="B773" s="228" t="s">
        <v>19</v>
      </c>
      <c r="C773" s="229">
        <f t="shared" si="487"/>
        <v>5</v>
      </c>
      <c r="D773" s="227" t="str">
        <f t="shared" si="534"/>
        <v/>
      </c>
      <c r="E773" s="228" t="str">
        <f t="shared" ca="1" si="535"/>
        <v>05.004.002.001</v>
      </c>
      <c r="F773" s="230">
        <f ca="1">IF($B773="UNIDADE CONSTRUTIVA",OFFSET(F773,-1,0)+1,LARGE(F$10:F772,1))</f>
        <v>2</v>
      </c>
      <c r="G773" s="228" t="str">
        <f t="shared" ca="1" si="536"/>
        <v xml:space="preserve">   GERENCIAMENTO EXECUTIVO</v>
      </c>
      <c r="H773" s="230">
        <f t="shared" ca="1" si="537"/>
        <v>5</v>
      </c>
      <c r="I773" s="228" t="str">
        <f t="shared" ca="1" si="538"/>
        <v xml:space="preserve">   ALVENARIA | VEDAÇÕES | DIVISÓRIAS</v>
      </c>
      <c r="J773" s="230">
        <f t="shared" ca="1" si="539"/>
        <v>4</v>
      </c>
      <c r="K773" s="228" t="str">
        <f t="shared" ca="1" si="540"/>
        <v xml:space="preserve">   ALVENARIA | VEDAÇÕES | DIVISÓRIAS - 8º PAVIMENTO - COBERTURA</v>
      </c>
      <c r="L773" s="231">
        <f t="shared" ca="1" si="541"/>
        <v>2</v>
      </c>
      <c r="M773" s="228" t="str">
        <f t="shared" ca="1" si="542"/>
        <v xml:space="preserve">   Serviços Complementares</v>
      </c>
      <c r="N773" s="231">
        <f t="shared" ca="1" si="543"/>
        <v>1</v>
      </c>
      <c r="O773" s="228" t="str">
        <f t="shared" ca="1" si="544"/>
        <v>Verga/contraverga de concreto, moldada in loco</v>
      </c>
      <c r="P773" s="232" t="str">
        <f>IF(S773="","",IF(Orçamento!$B773="INSUMO",S773,""))</f>
        <v>CONCRETO USINADO BOMBEAVEL FCK 20 MPA BRITA 0+1 SLUMP 14+/-2</v>
      </c>
      <c r="Q773" s="244" t="str">
        <f t="shared" si="545"/>
        <v/>
      </c>
      <c r="R773" s="234">
        <f t="shared" ca="1" si="546"/>
        <v>34.980000000000004</v>
      </c>
      <c r="S773" s="233" t="s">
        <v>211</v>
      </c>
      <c r="T773" s="242" t="str">
        <f>_xlfn.XLOOKUP(S773,Insumos!$A$3:$A$371,Insumos!$B$3:$B$371)</f>
        <v>M3</v>
      </c>
      <c r="U773" s="235">
        <f t="shared" ca="1" si="548"/>
        <v>34.980000000000004</v>
      </c>
      <c r="V773" s="320">
        <v>2.5000000000000001E-2</v>
      </c>
      <c r="W773" s="236">
        <f>IFERROR(IF(B773="INSUMO",_xlfn.XLOOKUP(S773,Insumos!A:A,Insumos!C:C),""),"Inserir Preço")</f>
        <v>480</v>
      </c>
      <c r="X773" s="235">
        <f t="shared" ca="1" si="547"/>
        <v>0.87450000000000017</v>
      </c>
      <c r="Y773" s="236">
        <f t="shared" si="519"/>
        <v>12</v>
      </c>
      <c r="Z773" s="237">
        <f t="shared" ca="1" si="488"/>
        <v>419.7600000000001</v>
      </c>
      <c r="AA773" s="238"/>
      <c r="AB773" s="233" t="str">
        <f>IF(B773="insumo",_xlfn.XLOOKUP(S773,Insumos!A:A,Insumos!D:D),"")</f>
        <v xml:space="preserve"> </v>
      </c>
      <c r="AC773" s="239">
        <f t="shared" ca="1" si="489"/>
        <v>6.021839903777026E-5</v>
      </c>
      <c r="AE773" s="240">
        <f ca="1">IFERROR(IF(OR(Z773="",Z773=0),"",IF(AF773="","",IF(AF773="R$/mês",Z773/OBRA!$D$12,IF(AF773="R$/m²",Z773/OBRA!$D$10,IF(AF773="R$/apto",Orçamento!Z773/OBRA!$D$11,""))))),"")</f>
        <v>0.21601148603098969</v>
      </c>
      <c r="AF773" s="241" t="s">
        <v>154</v>
      </c>
    </row>
    <row r="774" spans="1:32" s="10" customFormat="1" ht="13.15" hidden="1" customHeight="1" outlineLevel="4" x14ac:dyDescent="0.2">
      <c r="A774" s="227"/>
      <c r="B774" s="228" t="s">
        <v>4</v>
      </c>
      <c r="C774" s="229">
        <f t="shared" si="487"/>
        <v>5</v>
      </c>
      <c r="D774" s="227" t="str">
        <f t="shared" ca="1" si="534"/>
        <v>05.004.002.002</v>
      </c>
      <c r="E774" s="228" t="str">
        <f t="shared" ca="1" si="535"/>
        <v>05.004.002.002</v>
      </c>
      <c r="F774" s="230">
        <f ca="1">IF($B774="UNIDADE CONSTRUTIVA",OFFSET(F774,-1,0)+1,LARGE(F$10:F773,1))</f>
        <v>2</v>
      </c>
      <c r="G774" s="228" t="str">
        <f t="shared" ca="1" si="536"/>
        <v xml:space="preserve">   GERENCIAMENTO EXECUTIVO</v>
      </c>
      <c r="H774" s="230">
        <f t="shared" ca="1" si="537"/>
        <v>5</v>
      </c>
      <c r="I774" s="228" t="str">
        <f t="shared" ca="1" si="538"/>
        <v xml:space="preserve">   ALVENARIA | VEDAÇÕES | DIVISÓRIAS</v>
      </c>
      <c r="J774" s="230">
        <f t="shared" ca="1" si="539"/>
        <v>4</v>
      </c>
      <c r="K774" s="228" t="str">
        <f t="shared" ca="1" si="540"/>
        <v xml:space="preserve">   ALVENARIA | VEDAÇÕES | DIVISÓRIAS - 8º PAVIMENTO - COBERTURA</v>
      </c>
      <c r="L774" s="231">
        <f t="shared" ca="1" si="541"/>
        <v>2</v>
      </c>
      <c r="M774" s="228" t="str">
        <f t="shared" ca="1" si="542"/>
        <v xml:space="preserve">   Serviços Complementares</v>
      </c>
      <c r="N774" s="231">
        <f t="shared" ca="1" si="543"/>
        <v>2</v>
      </c>
      <c r="O774" s="228" t="str">
        <f t="shared" ca="1" si="544"/>
        <v>Tela soldada para ligacao alvenaria/estrutura - para blocos de 9 a 14cm</v>
      </c>
      <c r="P774" s="232" t="str">
        <f>IF(S774="","",IF(Orçamento!$B774="INSUMO",S774,""))</f>
        <v/>
      </c>
      <c r="Q774" s="244" t="str">
        <f t="shared" si="545"/>
        <v>Tela soldada para ligacao alvenaria/estrutura - para blocos de 9 a 14cm</v>
      </c>
      <c r="R774" s="234">
        <f t="shared" ca="1" si="546"/>
        <v>118</v>
      </c>
      <c r="S774" s="233" t="s">
        <v>212</v>
      </c>
      <c r="T774" s="242" t="s">
        <v>142</v>
      </c>
      <c r="U774" s="235">
        <f>ROUNDUP((U756+U759+U762)*0.58,0)</f>
        <v>118</v>
      </c>
      <c r="V774" s="320" t="s">
        <v>35</v>
      </c>
      <c r="W774" s="236" t="str">
        <f>IFERROR(IF(B774="INSUMO",_xlfn.XLOOKUP(S774,Insumos!A:A,Insumos!C:C),""),"Inserir Preço")</f>
        <v/>
      </c>
      <c r="X774" s="235">
        <f t="shared" ca="1" si="547"/>
        <v>118</v>
      </c>
      <c r="Y774" s="236">
        <f t="shared" ca="1" si="519"/>
        <v>1.7000000000000002</v>
      </c>
      <c r="Z774" s="237">
        <f t="shared" ca="1" si="488"/>
        <v>200.60000000000002</v>
      </c>
      <c r="AA774" s="238"/>
      <c r="AB774" s="233" t="str">
        <f>IF(B774="insumo",_xlfn.XLOOKUP(S774,Insumos!A:A,Insumos!D:D),"")</f>
        <v/>
      </c>
      <c r="AC774" s="239">
        <f t="shared" ca="1" si="489"/>
        <v>2.8777898911227157E-5</v>
      </c>
      <c r="AE774" s="240">
        <f ca="1">IFERROR(IF(OR(Z774="",Z774=0),"",IF(AF774="","",IF(AF774="R$/mês",Z774/OBRA!$D$12,IF(AF774="R$/m²",Z774/OBRA!$D$10,IF(AF774="R$/apto",Orçamento!Z774/OBRA!$D$11,""))))),"")</f>
        <v>0.10323018891227494</v>
      </c>
      <c r="AF774" s="241" t="s">
        <v>154</v>
      </c>
    </row>
    <row r="775" spans="1:32" s="10" customFormat="1" ht="13.15" hidden="1" customHeight="1" outlineLevel="4" x14ac:dyDescent="0.2">
      <c r="A775" s="227"/>
      <c r="B775" s="228" t="s">
        <v>19</v>
      </c>
      <c r="C775" s="229">
        <f t="shared" si="487"/>
        <v>6</v>
      </c>
      <c r="D775" s="227" t="str">
        <f t="shared" si="534"/>
        <v/>
      </c>
      <c r="E775" s="228" t="str">
        <f t="shared" ca="1" si="535"/>
        <v>05.004.002.002</v>
      </c>
      <c r="F775" s="230">
        <f ca="1">IF($B775="UNIDADE CONSTRUTIVA",OFFSET(F775,-1,0)+1,LARGE(F$10:F774,1))</f>
        <v>2</v>
      </c>
      <c r="G775" s="228" t="str">
        <f t="shared" ca="1" si="536"/>
        <v xml:space="preserve">   GERENCIAMENTO EXECUTIVO</v>
      </c>
      <c r="H775" s="230">
        <f t="shared" ca="1" si="537"/>
        <v>5</v>
      </c>
      <c r="I775" s="228" t="str">
        <f t="shared" ca="1" si="538"/>
        <v xml:space="preserve">   ALVENARIA | VEDAÇÕES | DIVISÓRIAS</v>
      </c>
      <c r="J775" s="230">
        <f t="shared" ca="1" si="539"/>
        <v>4</v>
      </c>
      <c r="K775" s="228" t="str">
        <f t="shared" ca="1" si="540"/>
        <v xml:space="preserve">   ALVENARIA | VEDAÇÕES | DIVISÓRIAS - 8º PAVIMENTO - COBERTURA</v>
      </c>
      <c r="L775" s="231">
        <f t="shared" ca="1" si="541"/>
        <v>2</v>
      </c>
      <c r="M775" s="228" t="str">
        <f t="shared" ca="1" si="542"/>
        <v xml:space="preserve">   Serviços Complementares</v>
      </c>
      <c r="N775" s="231">
        <f t="shared" ca="1" si="543"/>
        <v>2</v>
      </c>
      <c r="O775" s="228" t="str">
        <f t="shared" ca="1" si="544"/>
        <v>Tela soldada para ligacao alvenaria/estrutura - para blocos de 9 a 14cm</v>
      </c>
      <c r="P775" s="232" t="str">
        <f>IF(S775="","",IF(Orçamento!$B775="INSUMO",S775,""))</f>
        <v>TELA AMARRAÇÃO MALHA 15 X 15MM - 7,5 X 50CM D= 1,24MM</v>
      </c>
      <c r="Q775" s="244" t="str">
        <f t="shared" si="545"/>
        <v/>
      </c>
      <c r="R775" s="234">
        <f t="shared" ca="1" si="546"/>
        <v>118</v>
      </c>
      <c r="S775" s="233" t="s">
        <v>213</v>
      </c>
      <c r="T775" s="242" t="str">
        <f>_xlfn.XLOOKUP(S775,Insumos!$A$3:$A$371,Insumos!$B$3:$B$371)</f>
        <v>UN</v>
      </c>
      <c r="U775" s="235">
        <f ca="1">IF($B775="insumo",R775,"")</f>
        <v>118</v>
      </c>
      <c r="V775" s="320">
        <v>1</v>
      </c>
      <c r="W775" s="236">
        <f>IFERROR(IF(B775="INSUMO",_xlfn.XLOOKUP(S775,Insumos!A:A,Insumos!C:C),""),"Inserir Preço")</f>
        <v>1.1000000000000001</v>
      </c>
      <c r="X775" s="235">
        <f t="shared" ca="1" si="547"/>
        <v>118</v>
      </c>
      <c r="Y775" s="236">
        <f t="shared" si="519"/>
        <v>1.1000000000000001</v>
      </c>
      <c r="Z775" s="237">
        <f t="shared" ca="1" si="488"/>
        <v>129.80000000000001</v>
      </c>
      <c r="AA775" s="238"/>
      <c r="AB775" s="233" t="str">
        <f>IF(B775="insumo",_xlfn.XLOOKUP(S775,Insumos!A:A,Insumos!D:D),"")</f>
        <v>Base de dados</v>
      </c>
      <c r="AC775" s="239">
        <f t="shared" ca="1" si="489"/>
        <v>1.8620993413146985E-5</v>
      </c>
      <c r="AE775" s="240">
        <f ca="1">IFERROR(IF(OR(Z775="",Z775=0),"",IF(AF775="","",IF(AF775="R$/mês",Z775/OBRA!$D$12,IF(AF775="R$/m²",Z775/OBRA!$D$10,IF(AF775="R$/apto",Orçamento!Z775/OBRA!$D$11,""))))),"")</f>
        <v>6.6796004590295541E-2</v>
      </c>
      <c r="AF775" s="241" t="s">
        <v>154</v>
      </c>
    </row>
    <row r="776" spans="1:32" s="10" customFormat="1" ht="13.15" hidden="1" customHeight="1" outlineLevel="4" x14ac:dyDescent="0.2">
      <c r="A776" s="227"/>
      <c r="B776" s="228" t="s">
        <v>19</v>
      </c>
      <c r="C776" s="229">
        <f t="shared" si="487"/>
        <v>6</v>
      </c>
      <c r="D776" s="227" t="str">
        <f t="shared" si="534"/>
        <v/>
      </c>
      <c r="E776" s="228" t="str">
        <f t="shared" ca="1" si="535"/>
        <v>05.004.002.002</v>
      </c>
      <c r="F776" s="230">
        <f ca="1">IF($B776="UNIDADE CONSTRUTIVA",OFFSET(F776,-1,0)+1,LARGE(F$10:F775,1))</f>
        <v>2</v>
      </c>
      <c r="G776" s="228" t="str">
        <f t="shared" ca="1" si="536"/>
        <v xml:space="preserve">   GERENCIAMENTO EXECUTIVO</v>
      </c>
      <c r="H776" s="230">
        <f t="shared" ca="1" si="537"/>
        <v>5</v>
      </c>
      <c r="I776" s="228" t="str">
        <f t="shared" ca="1" si="538"/>
        <v xml:space="preserve">   ALVENARIA | VEDAÇÕES | DIVISÓRIAS</v>
      </c>
      <c r="J776" s="230">
        <f t="shared" ca="1" si="539"/>
        <v>4</v>
      </c>
      <c r="K776" s="228" t="str">
        <f t="shared" ca="1" si="540"/>
        <v xml:space="preserve">   ALVENARIA | VEDAÇÕES | DIVISÓRIAS - 8º PAVIMENTO - COBERTURA</v>
      </c>
      <c r="L776" s="231">
        <f t="shared" ca="1" si="541"/>
        <v>2</v>
      </c>
      <c r="M776" s="228" t="str">
        <f t="shared" ca="1" si="542"/>
        <v xml:space="preserve">   Serviços Complementares</v>
      </c>
      <c r="N776" s="231">
        <f t="shared" ca="1" si="543"/>
        <v>2</v>
      </c>
      <c r="O776" s="228" t="str">
        <f t="shared" ca="1" si="544"/>
        <v>Tela soldada para ligacao alvenaria/estrutura - para blocos de 9 a 14cm</v>
      </c>
      <c r="P776" s="232" t="str">
        <f>IF(S776="","",IF(Orçamento!$B776="INSUMO",S776,""))</f>
        <v>PINO LISO EM ACO GALVANIZADO 1/2 X 22MM COM ARRUELA</v>
      </c>
      <c r="Q776" s="244" t="str">
        <f t="shared" si="545"/>
        <v/>
      </c>
      <c r="R776" s="234">
        <f t="shared" ca="1" si="546"/>
        <v>118</v>
      </c>
      <c r="S776" s="233" t="s">
        <v>214</v>
      </c>
      <c r="T776" s="242" t="str">
        <f>_xlfn.XLOOKUP(S776,Insumos!$A$3:$A$371,Insumos!$B$3:$B$371)</f>
        <v>UN</v>
      </c>
      <c r="U776" s="235">
        <f ca="1">IF($B776="insumo",R776,"")</f>
        <v>118</v>
      </c>
      <c r="V776" s="320">
        <v>1</v>
      </c>
      <c r="W776" s="236">
        <f>IFERROR(IF(B776="INSUMO",_xlfn.XLOOKUP(S776,Insumos!A:A,Insumos!C:C),""),"Inserir Preço")</f>
        <v>0.3</v>
      </c>
      <c r="X776" s="235">
        <f t="shared" ca="1" si="547"/>
        <v>118</v>
      </c>
      <c r="Y776" s="236">
        <f t="shared" si="519"/>
        <v>0.3</v>
      </c>
      <c r="Z776" s="237">
        <f t="shared" ca="1" si="488"/>
        <v>35.4</v>
      </c>
      <c r="AA776" s="238"/>
      <c r="AB776" s="233" t="str">
        <f>IF(B776="insumo",_xlfn.XLOOKUP(S776,Insumos!A:A,Insumos!D:D),"")</f>
        <v xml:space="preserve"> </v>
      </c>
      <c r="AC776" s="239">
        <f t="shared" ca="1" si="489"/>
        <v>5.078452749040086E-6</v>
      </c>
      <c r="AE776" s="240">
        <f ca="1">IFERROR(IF(OR(Z776="",Z776=0),"",IF(AF776="","",IF(AF776="R$/mês",Z776/OBRA!$D$12,IF(AF776="R$/m²",Z776/OBRA!$D$10,IF(AF776="R$/apto",Orçamento!Z776/OBRA!$D$11,""))))),"")</f>
        <v>1.8217092160989691E-2</v>
      </c>
      <c r="AF776" s="241" t="s">
        <v>154</v>
      </c>
    </row>
    <row r="777" spans="1:32" s="10" customFormat="1" ht="13.15" hidden="1" customHeight="1" outlineLevel="4" x14ac:dyDescent="0.2">
      <c r="A777" s="227"/>
      <c r="B777" s="228" t="s">
        <v>19</v>
      </c>
      <c r="C777" s="229">
        <f t="shared" si="487"/>
        <v>6</v>
      </c>
      <c r="D777" s="227" t="str">
        <f t="shared" si="534"/>
        <v/>
      </c>
      <c r="E777" s="228" t="str">
        <f t="shared" ca="1" si="535"/>
        <v>05.004.002.002</v>
      </c>
      <c r="F777" s="230">
        <f ca="1">IF($B777="UNIDADE CONSTRUTIVA",OFFSET(F777,-1,0)+1,LARGE(F$10:F776,1))</f>
        <v>2</v>
      </c>
      <c r="G777" s="228" t="str">
        <f t="shared" ca="1" si="536"/>
        <v xml:space="preserve">   GERENCIAMENTO EXECUTIVO</v>
      </c>
      <c r="H777" s="230">
        <f t="shared" ca="1" si="537"/>
        <v>5</v>
      </c>
      <c r="I777" s="228" t="str">
        <f t="shared" ca="1" si="538"/>
        <v xml:space="preserve">   ALVENARIA | VEDAÇÕES | DIVISÓRIAS</v>
      </c>
      <c r="J777" s="230">
        <f t="shared" ca="1" si="539"/>
        <v>4</v>
      </c>
      <c r="K777" s="228" t="str">
        <f t="shared" ca="1" si="540"/>
        <v xml:space="preserve">   ALVENARIA | VEDAÇÕES | DIVISÓRIAS - 8º PAVIMENTO - COBERTURA</v>
      </c>
      <c r="L777" s="231">
        <f t="shared" ca="1" si="541"/>
        <v>2</v>
      </c>
      <c r="M777" s="228" t="str">
        <f t="shared" ca="1" si="542"/>
        <v xml:space="preserve">   Serviços Complementares</v>
      </c>
      <c r="N777" s="231">
        <f t="shared" ca="1" si="543"/>
        <v>2</v>
      </c>
      <c r="O777" s="228" t="str">
        <f t="shared" ca="1" si="544"/>
        <v>Tela soldada para ligacao alvenaria/estrutura - para blocos de 9 a 14cm</v>
      </c>
      <c r="P777" s="232" t="str">
        <f>IF(S777="","",IF(Orçamento!$B777="INSUMO",S777,""))</f>
        <v>CARTUCHO 22 - CARGA LEVE PARA FINCA PINO A POLVORA</v>
      </c>
      <c r="Q777" s="244" t="str">
        <f t="shared" si="545"/>
        <v/>
      </c>
      <c r="R777" s="234">
        <f t="shared" ca="1" si="546"/>
        <v>118</v>
      </c>
      <c r="S777" s="233" t="s">
        <v>215</v>
      </c>
      <c r="T777" s="242" t="str">
        <f>_xlfn.XLOOKUP(S777,Insumos!$A$3:$A$371,Insumos!$B$3:$B$371)</f>
        <v>UN</v>
      </c>
      <c r="U777" s="235">
        <f ca="1">IF($B777="insumo",R777,"")</f>
        <v>118</v>
      </c>
      <c r="V777" s="320">
        <v>1</v>
      </c>
      <c r="W777" s="236">
        <f>IFERROR(IF(B777="INSUMO",_xlfn.XLOOKUP(S777,Insumos!A:A,Insumos!C:C),""),"Inserir Preço")</f>
        <v>0.3</v>
      </c>
      <c r="X777" s="235">
        <f t="shared" ca="1" si="547"/>
        <v>118</v>
      </c>
      <c r="Y777" s="236">
        <f t="shared" si="519"/>
        <v>0.3</v>
      </c>
      <c r="Z777" s="237">
        <f t="shared" ca="1" si="488"/>
        <v>35.4</v>
      </c>
      <c r="AA777" s="238"/>
      <c r="AB777" s="233" t="str">
        <f>IF(B777="insumo",_xlfn.XLOOKUP(S777,Insumos!A:A,Insumos!D:D),"")</f>
        <v xml:space="preserve"> </v>
      </c>
      <c r="AC777" s="239">
        <f t="shared" ca="1" si="489"/>
        <v>5.078452749040086E-6</v>
      </c>
      <c r="AE777" s="240">
        <f ca="1">IFERROR(IF(OR(Z777="",Z777=0),"",IF(AF777="","",IF(AF777="R$/mês",Z777/OBRA!$D$12,IF(AF777="R$/m²",Z777/OBRA!$D$10,IF(AF777="R$/apto",Orçamento!Z777/OBRA!$D$11,""))))),"")</f>
        <v>1.8217092160989691E-2</v>
      </c>
      <c r="AF777" s="241" t="s">
        <v>154</v>
      </c>
    </row>
    <row r="778" spans="1:32" s="10" customFormat="1" ht="13.15" hidden="1" customHeight="1" outlineLevel="4" x14ac:dyDescent="0.2">
      <c r="A778" s="227"/>
      <c r="B778" s="228" t="s">
        <v>4</v>
      </c>
      <c r="C778" s="229">
        <f t="shared" si="487"/>
        <v>5</v>
      </c>
      <c r="D778" s="227" t="str">
        <f t="shared" ca="1" si="534"/>
        <v>05.004.002.003</v>
      </c>
      <c r="E778" s="228" t="str">
        <f t="shared" ca="1" si="535"/>
        <v>05.004.002.003</v>
      </c>
      <c r="F778" s="230">
        <f ca="1">IF($B778="UNIDADE CONSTRUTIVA",OFFSET(F778,-1,0)+1,LARGE(F$10:F777,1))</f>
        <v>2</v>
      </c>
      <c r="G778" s="228" t="str">
        <f t="shared" ca="1" si="536"/>
        <v xml:space="preserve">   GERENCIAMENTO EXECUTIVO</v>
      </c>
      <c r="H778" s="230">
        <f t="shared" ca="1" si="537"/>
        <v>5</v>
      </c>
      <c r="I778" s="228" t="str">
        <f t="shared" ca="1" si="538"/>
        <v xml:space="preserve">   ALVENARIA | VEDAÇÕES | DIVISÓRIAS</v>
      </c>
      <c r="J778" s="230">
        <f t="shared" ca="1" si="539"/>
        <v>4</v>
      </c>
      <c r="K778" s="228" t="str">
        <f t="shared" ca="1" si="540"/>
        <v xml:space="preserve">   ALVENARIA | VEDAÇÕES | DIVISÓRIAS - 8º PAVIMENTO - COBERTURA</v>
      </c>
      <c r="L778" s="231">
        <f t="shared" ca="1" si="541"/>
        <v>2</v>
      </c>
      <c r="M778" s="228" t="str">
        <f t="shared" ca="1" si="542"/>
        <v xml:space="preserve">   Serviços Complementares</v>
      </c>
      <c r="N778" s="231">
        <f t="shared" ca="1" si="543"/>
        <v>3</v>
      </c>
      <c r="O778" s="228" t="str">
        <f t="shared" ca="1" si="544"/>
        <v>Encunhamento de alvenaria de vedacao com argamassa expansiva</v>
      </c>
      <c r="P778" s="232" t="str">
        <f>IF(S778="","",IF(Orçamento!$B778="INSUMO",S778,""))</f>
        <v/>
      </c>
      <c r="Q778" s="244" t="str">
        <f t="shared" si="545"/>
        <v>Encunhamento de alvenaria de vedacao com argamassa expansiva</v>
      </c>
      <c r="R778" s="234">
        <f t="shared" ca="1" si="546"/>
        <v>132.31</v>
      </c>
      <c r="S778" s="233" t="s">
        <v>216</v>
      </c>
      <c r="T778" s="242" t="s">
        <v>158</v>
      </c>
      <c r="U778" s="235">
        <v>132.31</v>
      </c>
      <c r="V778" s="320" t="s">
        <v>35</v>
      </c>
      <c r="W778" s="236" t="str">
        <f>IFERROR(IF(B778="INSUMO",_xlfn.XLOOKUP(S778,Insumos!A:A,Insumos!C:C),""),"Inserir Preço")</f>
        <v/>
      </c>
      <c r="X778" s="235">
        <f t="shared" ca="1" si="547"/>
        <v>132.31</v>
      </c>
      <c r="Y778" s="236">
        <f t="shared" ca="1" si="519"/>
        <v>4.5200000000000005</v>
      </c>
      <c r="Z778" s="237">
        <f t="shared" ca="1" si="488"/>
        <v>598.04120000000012</v>
      </c>
      <c r="AA778" s="238"/>
      <c r="AB778" s="233" t="str">
        <f>IF(B778="insumo",_xlfn.XLOOKUP(S778,Insumos!A:A,Insumos!D:D),"")</f>
        <v/>
      </c>
      <c r="AC778" s="239">
        <f t="shared" ca="1" si="489"/>
        <v>8.5794462603933119E-5</v>
      </c>
      <c r="AE778" s="240">
        <f ca="1">IFERROR(IF(OR(Z778="",Z778=0),"",IF(AF778="","",IF(AF778="R$/mês",Z778/OBRA!$D$12,IF(AF778="R$/m²",Z778/OBRA!$D$10,IF(AF778="R$/apto",Orçamento!Z778/OBRA!$D$11,""))))),"")</f>
        <v>0.3077562614821715</v>
      </c>
      <c r="AF778" s="241" t="s">
        <v>154</v>
      </c>
    </row>
    <row r="779" spans="1:32" s="10" customFormat="1" ht="13.15" hidden="1" customHeight="1" outlineLevel="4" x14ac:dyDescent="0.2">
      <c r="A779" s="227"/>
      <c r="B779" s="228" t="s">
        <v>19</v>
      </c>
      <c r="C779" s="229">
        <f t="shared" si="487"/>
        <v>5</v>
      </c>
      <c r="D779" s="227" t="str">
        <f t="shared" si="534"/>
        <v/>
      </c>
      <c r="E779" s="228" t="str">
        <f t="shared" ca="1" si="535"/>
        <v>05.004.002.003</v>
      </c>
      <c r="F779" s="230">
        <f ca="1">IF($B779="UNIDADE CONSTRUTIVA",OFFSET(F779,-1,0)+1,LARGE(F$10:F778,1))</f>
        <v>2</v>
      </c>
      <c r="G779" s="228" t="str">
        <f t="shared" ca="1" si="536"/>
        <v xml:space="preserve">   GERENCIAMENTO EXECUTIVO</v>
      </c>
      <c r="H779" s="230">
        <f t="shared" ca="1" si="537"/>
        <v>5</v>
      </c>
      <c r="I779" s="228" t="str">
        <f t="shared" ca="1" si="538"/>
        <v xml:space="preserve">   ALVENARIA | VEDAÇÕES | DIVISÓRIAS</v>
      </c>
      <c r="J779" s="230">
        <f t="shared" ca="1" si="539"/>
        <v>4</v>
      </c>
      <c r="K779" s="228" t="str">
        <f t="shared" ca="1" si="540"/>
        <v xml:space="preserve">   ALVENARIA | VEDAÇÕES | DIVISÓRIAS - 8º PAVIMENTO - COBERTURA</v>
      </c>
      <c r="L779" s="231">
        <f t="shared" ca="1" si="541"/>
        <v>2</v>
      </c>
      <c r="M779" s="228" t="str">
        <f t="shared" ca="1" si="542"/>
        <v xml:space="preserve">   Serviços Complementares</v>
      </c>
      <c r="N779" s="231">
        <f t="shared" ca="1" si="543"/>
        <v>3</v>
      </c>
      <c r="O779" s="228" t="str">
        <f t="shared" ca="1" si="544"/>
        <v>Encunhamento de alvenaria de vedacao com argamassa expansiva</v>
      </c>
      <c r="P779" s="232" t="str">
        <f>IF(S779="","",IF(Orçamento!$B779="INSUMO",S779,""))</f>
        <v>ARGAMASSA PARA ENCUNHAMENTO</v>
      </c>
      <c r="Q779" s="244" t="str">
        <f t="shared" si="545"/>
        <v/>
      </c>
      <c r="R779" s="234">
        <f t="shared" ca="1" si="546"/>
        <v>132.31</v>
      </c>
      <c r="S779" s="233" t="s">
        <v>217</v>
      </c>
      <c r="T779" s="242" t="str">
        <f>_xlfn.XLOOKUP(S779,Insumos!$A$3:$A$371,Insumos!$B$3:$B$371)</f>
        <v>KG</v>
      </c>
      <c r="U779" s="235">
        <f ca="1">IF($B779="insumo",R779,"")</f>
        <v>132.31</v>
      </c>
      <c r="V779" s="320">
        <v>2</v>
      </c>
      <c r="W779" s="236">
        <f>IFERROR(IF(B779="INSUMO",_xlfn.XLOOKUP(S779,Insumos!A:A,Insumos!C:C),""),"Inserir Preço")</f>
        <v>2.2600000000000002</v>
      </c>
      <c r="X779" s="235">
        <f t="shared" ca="1" si="547"/>
        <v>264.62</v>
      </c>
      <c r="Y779" s="236">
        <f t="shared" si="519"/>
        <v>4.5200000000000005</v>
      </c>
      <c r="Z779" s="237">
        <f t="shared" ca="1" si="488"/>
        <v>598.04120000000012</v>
      </c>
      <c r="AA779" s="238"/>
      <c r="AB779" s="233" t="str">
        <f>IF(B779="insumo",_xlfn.XLOOKUP(S779,Insumos!A:A,Insumos!D:D),"")</f>
        <v xml:space="preserve"> </v>
      </c>
      <c r="AC779" s="239">
        <f t="shared" ca="1" si="489"/>
        <v>8.5794462603933119E-5</v>
      </c>
      <c r="AE779" s="240">
        <f ca="1">IFERROR(IF(OR(Z779="",Z779=0),"",IF(AF779="","",IF(AF779="R$/mês",Z779/OBRA!$D$12,IF(AF779="R$/m²",Z779/OBRA!$D$10,IF(AF779="R$/apto",Orçamento!Z779/OBRA!$D$11,""))))),"")</f>
        <v>0.3077562614821715</v>
      </c>
      <c r="AF779" s="241" t="s">
        <v>154</v>
      </c>
    </row>
    <row r="780" spans="1:32" s="10" customFormat="1" ht="13.15" hidden="1" customHeight="1" outlineLevel="3" collapsed="1" x14ac:dyDescent="0.2">
      <c r="A780" s="227"/>
      <c r="B780" s="228" t="s">
        <v>3</v>
      </c>
      <c r="C780" s="229" t="str">
        <f t="shared" ref="C780:C843" si="549">IF(B780="INSUMO",COUNTIFS(B:B,"INSUMO",S:S,S780),IF(B780="SERVIÇO",COUNTIFS(B:B,"SERVIÇO",S:S,S780),""))</f>
        <v/>
      </c>
      <c r="D780" s="227" t="str">
        <f t="shared" ca="1" si="534"/>
        <v>05.004.003</v>
      </c>
      <c r="E780" s="228" t="str">
        <f t="shared" ca="1" si="535"/>
        <v>05.004.002.003</v>
      </c>
      <c r="F780" s="230">
        <f ca="1">IF($B780="UNIDADE CONSTRUTIVA",OFFSET(F780,-1,0)+1,LARGE(F$10:F779,1))</f>
        <v>2</v>
      </c>
      <c r="G780" s="228" t="str">
        <f t="shared" ca="1" si="536"/>
        <v xml:space="preserve">   GERENCIAMENTO EXECUTIVO</v>
      </c>
      <c r="H780" s="230">
        <f t="shared" ca="1" si="537"/>
        <v>5</v>
      </c>
      <c r="I780" s="228" t="str">
        <f t="shared" ca="1" si="538"/>
        <v xml:space="preserve">   ALVENARIA | VEDAÇÕES | DIVISÓRIAS</v>
      </c>
      <c r="J780" s="230">
        <f t="shared" ca="1" si="539"/>
        <v>4</v>
      </c>
      <c r="K780" s="228" t="str">
        <f t="shared" ca="1" si="540"/>
        <v xml:space="preserve">   ALVENARIA | VEDAÇÕES | DIVISÓRIAS - 8º PAVIMENTO - COBERTURA</v>
      </c>
      <c r="L780" s="231">
        <f t="shared" ca="1" si="541"/>
        <v>3</v>
      </c>
      <c r="M780" s="228" t="str">
        <f t="shared" ca="1" si="542"/>
        <v xml:space="preserve">   Mão de Obra</v>
      </c>
      <c r="N780" s="231">
        <f t="shared" ca="1" si="543"/>
        <v>0</v>
      </c>
      <c r="O780" s="228" t="str">
        <f t="shared" ca="1" si="544"/>
        <v>Encunhamento de alvenaria de vedacao com argamassa expansiva</v>
      </c>
      <c r="P780" s="232" t="str">
        <f>IF(S780="","",IF(Orçamento!$B780="INSUMO",S780,""))</f>
        <v/>
      </c>
      <c r="Q780" s="244" t="str">
        <f t="shared" si="545"/>
        <v/>
      </c>
      <c r="R780" s="234">
        <f t="shared" ca="1" si="546"/>
        <v>132.31</v>
      </c>
      <c r="S780" s="233" t="s">
        <v>438</v>
      </c>
      <c r="T780" s="242" t="s">
        <v>35</v>
      </c>
      <c r="U780" s="235" t="str">
        <f>IF($B780="insumo",R780,"")</f>
        <v/>
      </c>
      <c r="V780" s="320" t="s">
        <v>35</v>
      </c>
      <c r="W780" s="236" t="str">
        <f>IFERROR(IF(B780="INSUMO",_xlfn.XLOOKUP(S780,Insumos!A:A,Insumos!C:C),""),"Inserir Preço")</f>
        <v/>
      </c>
      <c r="X780" s="235" t="str">
        <f t="shared" ca="1" si="547"/>
        <v/>
      </c>
      <c r="Y780" s="236" t="str">
        <f t="shared" si="519"/>
        <v/>
      </c>
      <c r="Z780" s="237">
        <f t="shared" ref="Z780:Z843" ca="1" si="550">IFERROR(IF(B780="Unidade Construtiva",SUMIFS(Z:Z,B:B,"Célula Construtiva",G:G,G780),IF(B780="célula construtiva",SUMIFS(Z:Z,B:B,"Insumo",I:I,I780,G:G,G780),IF(B780="ETAPA",SUMIFS(Z:Z,B:B,"Insumo",K:K,K780,I:I,I780,G:G,G780),IF(B780="subetapa",SUMIFS(Z:Z,M:M,M780,B:B,"insumo",K:K,K780,I:I,I780,G:G,G780),IF(B780="complemento do insumo",V780*W780,IF(B780="INSUMO",R780*V780*W780,X780*Y780)))))),"")</f>
        <v>11947.610862839463</v>
      </c>
      <c r="AA780" s="238"/>
      <c r="AB780" s="233" t="str">
        <f>IF(B780="insumo",_xlfn.XLOOKUP(S780,Insumos!A:A,Insumos!D:D),"")</f>
        <v/>
      </c>
      <c r="AC780" s="239">
        <f t="shared" ref="AC780:AC843" ca="1" si="551">IFERROR(IF(B780="","",Z780/SUMIF(B:B,"INSUMO",Z:Z)),0)</f>
        <v>1.7139937070861093E-3</v>
      </c>
      <c r="AE780" s="240">
        <f ca="1">IFERROR(IF(OR(Z780="",Z780=0),"",IF(AF780="","",IF(AF780="R$/mês",Z780/OBRA!$D$12,IF(AF780="R$/m²",Z780/OBRA!$D$10,IF(AF780="R$/apto",Orçamento!Z780/OBRA!$D$11,""))))),"")</f>
        <v>6.1483256551409058</v>
      </c>
      <c r="AF780" s="241" t="s">
        <v>154</v>
      </c>
    </row>
    <row r="781" spans="1:32" s="10" customFormat="1" ht="13.15" hidden="1" customHeight="1" outlineLevel="4" x14ac:dyDescent="0.2">
      <c r="A781" s="227"/>
      <c r="B781" s="228" t="s">
        <v>4</v>
      </c>
      <c r="C781" s="229">
        <f t="shared" si="549"/>
        <v>5</v>
      </c>
      <c r="D781" s="227" t="str">
        <f t="shared" ca="1" si="534"/>
        <v>05.004.003.001</v>
      </c>
      <c r="E781" s="228" t="str">
        <f t="shared" ca="1" si="535"/>
        <v>05.004.003.001</v>
      </c>
      <c r="F781" s="230">
        <f ca="1">IF($B781="UNIDADE CONSTRUTIVA",OFFSET(F781,-1,0)+1,LARGE(F$10:F780,1))</f>
        <v>2</v>
      </c>
      <c r="G781" s="228" t="str">
        <f t="shared" ca="1" si="536"/>
        <v xml:space="preserve">   GERENCIAMENTO EXECUTIVO</v>
      </c>
      <c r="H781" s="230">
        <f t="shared" ca="1" si="537"/>
        <v>5</v>
      </c>
      <c r="I781" s="228" t="str">
        <f t="shared" ca="1" si="538"/>
        <v xml:space="preserve">   ALVENARIA | VEDAÇÕES | DIVISÓRIAS</v>
      </c>
      <c r="J781" s="230">
        <f t="shared" ca="1" si="539"/>
        <v>4</v>
      </c>
      <c r="K781" s="228" t="str">
        <f t="shared" ca="1" si="540"/>
        <v xml:space="preserve">   ALVENARIA | VEDAÇÕES | DIVISÓRIAS - 8º PAVIMENTO - COBERTURA</v>
      </c>
      <c r="L781" s="231">
        <f t="shared" ca="1" si="541"/>
        <v>3</v>
      </c>
      <c r="M781" s="228" t="str">
        <f t="shared" ca="1" si="542"/>
        <v xml:space="preserve">   Mão de Obra</v>
      </c>
      <c r="N781" s="231">
        <f t="shared" ca="1" si="543"/>
        <v>1</v>
      </c>
      <c r="O781" s="228" t="str">
        <f t="shared" ca="1" si="544"/>
        <v>Mao de obra empreitada vedacoes internas e externas - assentamento blocos ceramicos</v>
      </c>
      <c r="P781" s="232" t="str">
        <f>IF(S781="","",IF(Orçamento!$B781="INSUMO",S781,""))</f>
        <v/>
      </c>
      <c r="Q781" s="244" t="str">
        <f t="shared" si="545"/>
        <v>Mao de obra empreitada vedacoes internas e externas - assentamento blocos ceramicos</v>
      </c>
      <c r="R781" s="234">
        <f t="shared" ca="1" si="546"/>
        <v>202.74100000000001</v>
      </c>
      <c r="S781" s="233" t="s">
        <v>218</v>
      </c>
      <c r="T781" s="242" t="s">
        <v>140</v>
      </c>
      <c r="U781" s="235">
        <f>U756+U759+U762</f>
        <v>202.74100000000001</v>
      </c>
      <c r="V781" s="320" t="s">
        <v>35</v>
      </c>
      <c r="W781" s="236" t="str">
        <f>IFERROR(IF(B781="INSUMO",_xlfn.XLOOKUP(S781,Insumos!A:A,Insumos!C:C),""),"Inserir Preço")</f>
        <v/>
      </c>
      <c r="X781" s="235">
        <f t="shared" ca="1" si="547"/>
        <v>202.74100000000001</v>
      </c>
      <c r="Y781" s="236">
        <f t="shared" ca="1" si="519"/>
        <v>58.930413003977797</v>
      </c>
      <c r="Z781" s="237">
        <f t="shared" ca="1" si="550"/>
        <v>11947.610862839463</v>
      </c>
      <c r="AA781" s="238"/>
      <c r="AB781" s="233" t="str">
        <f>IF(B781="insumo",_xlfn.XLOOKUP(S781,Insumos!A:A,Insumos!D:D),"")</f>
        <v/>
      </c>
      <c r="AC781" s="239">
        <f t="shared" ca="1" si="551"/>
        <v>1.7139937070861093E-3</v>
      </c>
      <c r="AE781" s="240">
        <f ca="1">IFERROR(IF(OR(Z781="",Z781=0),"",IF(AF781="","",IF(AF781="R$/mês",Z781/OBRA!$D$12,IF(AF781="R$/m²",Z781/OBRA!$D$10,IF(AF781="R$/apto",Orçamento!Z781/OBRA!$D$11,""))))),"")</f>
        <v>6.1483256551409058</v>
      </c>
      <c r="AF781" s="241" t="s">
        <v>154</v>
      </c>
    </row>
    <row r="782" spans="1:32" s="10" customFormat="1" ht="13.15" hidden="1" customHeight="1" outlineLevel="4" x14ac:dyDescent="0.2">
      <c r="A782" s="227"/>
      <c r="B782" s="228" t="s">
        <v>19</v>
      </c>
      <c r="C782" s="229">
        <f t="shared" si="549"/>
        <v>5</v>
      </c>
      <c r="D782" s="227" t="str">
        <f t="shared" si="534"/>
        <v/>
      </c>
      <c r="E782" s="228" t="str">
        <f t="shared" ca="1" si="535"/>
        <v>05.004.003.001</v>
      </c>
      <c r="F782" s="230">
        <f ca="1">IF($B782="UNIDADE CONSTRUTIVA",OFFSET(F782,-1,0)+1,LARGE(F$10:F781,1))</f>
        <v>2</v>
      </c>
      <c r="G782" s="228" t="str">
        <f t="shared" ca="1" si="536"/>
        <v xml:space="preserve">   GERENCIAMENTO EXECUTIVO</v>
      </c>
      <c r="H782" s="230">
        <f t="shared" ca="1" si="537"/>
        <v>5</v>
      </c>
      <c r="I782" s="228" t="str">
        <f t="shared" ca="1" si="538"/>
        <v xml:space="preserve">   ALVENARIA | VEDAÇÕES | DIVISÓRIAS</v>
      </c>
      <c r="J782" s="230">
        <f t="shared" ca="1" si="539"/>
        <v>4</v>
      </c>
      <c r="K782" s="228" t="str">
        <f t="shared" ca="1" si="540"/>
        <v xml:space="preserve">   ALVENARIA | VEDAÇÕES | DIVISÓRIAS - 8º PAVIMENTO - COBERTURA</v>
      </c>
      <c r="L782" s="231">
        <f t="shared" ca="1" si="541"/>
        <v>3</v>
      </c>
      <c r="M782" s="228" t="str">
        <f t="shared" ca="1" si="542"/>
        <v xml:space="preserve">   Mão de Obra</v>
      </c>
      <c r="N782" s="231">
        <f t="shared" ca="1" si="543"/>
        <v>1</v>
      </c>
      <c r="O782" s="228" t="str">
        <f t="shared" ca="1" si="544"/>
        <v>Mao de obra empreitada vedacoes internas e externas - assentamento blocos ceramicos</v>
      </c>
      <c r="P782" s="232" t="str">
        <f>IF(S782="","",IF(Orçamento!$B782="INSUMO",S782,""))</f>
        <v>MAO DE OBRA ASSENTAMENTO DE BLOCOS</v>
      </c>
      <c r="Q782" s="244" t="str">
        <f t="shared" si="545"/>
        <v/>
      </c>
      <c r="R782" s="234">
        <f t="shared" ca="1" si="546"/>
        <v>202.74100000000001</v>
      </c>
      <c r="S782" s="233" t="s">
        <v>693</v>
      </c>
      <c r="T782" s="242" t="str">
        <f>_xlfn.XLOOKUP(S782,Insumos!$A$3:$A$371,Insumos!$B$3:$B$371)</f>
        <v>M2</v>
      </c>
      <c r="U782" s="235">
        <f ca="1">IF($B782="insumo",R782,"")</f>
        <v>202.74100000000001</v>
      </c>
      <c r="V782" s="320">
        <v>1</v>
      </c>
      <c r="W782" s="236">
        <f>IFERROR(IF(B782="INSUMO",_xlfn.XLOOKUP(S782,Insumos!A:A,Insumos!C:C),""),"Inserir Preço")</f>
        <v>58.930413003977797</v>
      </c>
      <c r="X782" s="235">
        <f t="shared" ca="1" si="547"/>
        <v>202.74100000000001</v>
      </c>
      <c r="Y782" s="236">
        <f t="shared" si="519"/>
        <v>58.930413003977797</v>
      </c>
      <c r="Z782" s="237">
        <f t="shared" ca="1" si="550"/>
        <v>11947.610862839463</v>
      </c>
      <c r="AA782" s="238"/>
      <c r="AB782" s="233" t="str">
        <f>IF(B782="insumo",_xlfn.XLOOKUP(S782,Insumos!A:A,Insumos!D:D),"")</f>
        <v>Aba Custo Serviços</v>
      </c>
      <c r="AC782" s="239">
        <f t="shared" ca="1" si="551"/>
        <v>1.7139937070861093E-3</v>
      </c>
      <c r="AE782" s="240">
        <f ca="1">IFERROR(IF(OR(Z782="",Z782=0),"",IF(AF782="","",IF(AF782="R$/mês",Z782/OBRA!$D$12,IF(AF782="R$/m²",Z782/OBRA!$D$10,IF(AF782="R$/apto",Orçamento!Z782/OBRA!$D$11,""))))),"")</f>
        <v>6.1483256551409058</v>
      </c>
      <c r="AF782" s="241" t="s">
        <v>154</v>
      </c>
    </row>
    <row r="783" spans="1:32" s="10" customFormat="1" ht="13.15" customHeight="1" outlineLevel="2" collapsed="1" x14ac:dyDescent="0.2">
      <c r="A783" s="227"/>
      <c r="B783" s="228" t="s">
        <v>2</v>
      </c>
      <c r="C783" s="229" t="str">
        <f t="shared" si="549"/>
        <v/>
      </c>
      <c r="D783" s="227" t="str">
        <f t="shared" ref="D783:D805" ca="1" si="552">IF(B783="Unidade Construtiva",TEXT(F783,"00"),IF(B783="Célula Construtiva",TEXT(H783,"00"),IF(B783="Etapa",CONCATENATE(TEXT(H783,"00"),".",TEXT(J783,"000")),IF(B783="Subetapa",CONCATENATE(TEXT(H783,"00"),".",TEXT(J783,"000"),".",TEXT(L783,"000")),IF(B783="Serviço",CONCATENATE(TEXT(H783,"00"),".",TEXT(J783,"000"),".",TEXT(L783,"000"),".",TEXT(N783,"000")),"")))))</f>
        <v>05.005</v>
      </c>
      <c r="E783" s="228" t="str">
        <f t="shared" ref="E783:E805" ca="1" si="553">IF(B783="*","",IFERROR(IF(B783="SERVIÇO",D783,OFFSET(E783,-1,0)),""))</f>
        <v>05.004.003.001</v>
      </c>
      <c r="F783" s="230">
        <f ca="1">IF($B783="UNIDADE CONSTRUTIVA",OFFSET(F783,-1,0)+1,LARGE(F$10:F782,1))</f>
        <v>2</v>
      </c>
      <c r="G783" s="228" t="str">
        <f t="shared" ref="G783:G797" ca="1" si="554">IF(B783="*","",IF(B783="UNIDADE CONSTRUTIVA",S783,OFFSET(G783,-1,0)))</f>
        <v xml:space="preserve">   GERENCIAMENTO EXECUTIVO</v>
      </c>
      <c r="H783" s="230">
        <f t="shared" ref="H783:H805" ca="1" si="555">IF(B783="UNIDADE CONSTRUTIVA",0,IF(B783="CÉLULA CONSTRUTIVA",OFFSET(H783,-1,0)+1,OFFSET(H783,-1,0)))</f>
        <v>5</v>
      </c>
      <c r="I783" s="228" t="str">
        <f t="shared" ref="I783:I797" ca="1" si="556">IF(B783="*","",IF(B783="CÉLULA CONSTRUTIVA",S783,OFFSET(I783,-1,0)))</f>
        <v xml:space="preserve">   ALVENARIA | VEDAÇÕES | DIVISÓRIAS</v>
      </c>
      <c r="J783" s="230">
        <f t="shared" ref="J783:J805" ca="1" si="557">IF(B783="CÉLULA CONSTRUTIVA",0,IF(B783="ETAPA",OFFSET(J783,-1,0)+1,OFFSET(J783,-1,0)))</f>
        <v>5</v>
      </c>
      <c r="K783" s="228" t="str">
        <f t="shared" ref="K783:K797" ca="1" si="558">IF(B783="*","",IF(B783="ETAPA",S783,OFFSET(K783,-1,0)))</f>
        <v xml:space="preserve">   ALVENARIA | VEDAÇÕES | DIVISÓRIAS - BARRILETE / CAIXA DÁGUA / CASA DE MÁQUINAS</v>
      </c>
      <c r="L783" s="231">
        <f t="shared" ref="L783:L805" ca="1" si="559">IF(B783="ETAPA",0,IF(B783="SUBETAPA",OFFSET(L783,-1,0)+1,OFFSET(L783,-1,0)))</f>
        <v>0</v>
      </c>
      <c r="M783" s="228" t="str">
        <f t="shared" ref="M783:M797" ca="1" si="560">IF(B783="*","",IF(B783="SUBETAPA",S783,OFFSET(M783,-1,0)))</f>
        <v xml:space="preserve">   Mão de Obra</v>
      </c>
      <c r="N783" s="231">
        <f t="shared" ref="N783:N805" ca="1" si="561">IF(B783="Subetapa",0,IF(B783="serviço",OFFSET(N783,-1,0)+1,OFFSET(N783,-1,0)))</f>
        <v>1</v>
      </c>
      <c r="O783" s="228" t="str">
        <f t="shared" ref="O783:O797" ca="1" si="562">IF(B783="*","",IF(B783="SERVIÇO",S783,OFFSET(O783,-1,0)))</f>
        <v>Mao de obra empreitada vedacoes internas e externas - assentamento blocos ceramicos</v>
      </c>
      <c r="P783" s="232" t="str">
        <f>IF(S783="","",IF(Orçamento!$B783="INSUMO",S783,""))</f>
        <v/>
      </c>
      <c r="Q783" s="244" t="str">
        <f t="shared" si="531"/>
        <v/>
      </c>
      <c r="R783" s="234">
        <f t="shared" ref="R783:R797" ca="1" si="563">IF(B783="serviço",U783,OFFSET(R783,-1,0))</f>
        <v>202.74100000000001</v>
      </c>
      <c r="S783" s="233" t="s">
        <v>659</v>
      </c>
      <c r="T783" s="242" t="s">
        <v>35</v>
      </c>
      <c r="U783" s="235" t="str">
        <f>IF($B783="insumo",R783,"")</f>
        <v/>
      </c>
      <c r="V783" s="320" t="s">
        <v>35</v>
      </c>
      <c r="W783" s="236" t="str">
        <f>IFERROR(IF(B783="INSUMO",_xlfn.XLOOKUP(S783,Insumos!A:A,Insumos!C:C),""),"Inserir Preço")</f>
        <v/>
      </c>
      <c r="X783" s="235" t="str">
        <f t="shared" ref="X783:X802" ca="1" si="564">IF(B783="Complemento do insumo",V783,IF(R783="","",IF(B783="serviço",R783,IF(OR(B783="insumo"),V783*R783,""))))</f>
        <v/>
      </c>
      <c r="Y783" s="236" t="str">
        <f t="shared" si="519"/>
        <v/>
      </c>
      <c r="Z783" s="237">
        <f t="shared" ca="1" si="550"/>
        <v>18133.897009557651</v>
      </c>
      <c r="AA783" s="238"/>
      <c r="AB783" s="233" t="str">
        <f>IF(B783="insumo",_xlfn.XLOOKUP(S783,Insumos!A:A,Insumos!D:D),"")</f>
        <v/>
      </c>
      <c r="AC783" s="239">
        <f t="shared" ca="1" si="551"/>
        <v>2.601472856468866E-3</v>
      </c>
      <c r="AE783" s="240">
        <f ca="1">IFERROR(IF(OR(Z783="",Z783=0),"",IF(AF783="","",IF(AF783="R$/mês",Z783/OBRA!$D$12,IF(AF783="R$/m²",Z783/OBRA!$D$10,IF(AF783="R$/apto",Orçamento!Z783/OBRA!$D$11,""))))),"")</f>
        <v>9.3318325723448332</v>
      </c>
      <c r="AF783" s="241" t="s">
        <v>154</v>
      </c>
    </row>
    <row r="784" spans="1:32" s="10" customFormat="1" ht="13.15" hidden="1" customHeight="1" outlineLevel="3" collapsed="1" x14ac:dyDescent="0.2">
      <c r="A784" s="227"/>
      <c r="B784" s="228" t="s">
        <v>3</v>
      </c>
      <c r="C784" s="229" t="str">
        <f t="shared" si="549"/>
        <v/>
      </c>
      <c r="D784" s="227" t="str">
        <f t="shared" ca="1" si="552"/>
        <v>05.005.001</v>
      </c>
      <c r="E784" s="228" t="str">
        <f t="shared" ca="1" si="553"/>
        <v>05.004.003.001</v>
      </c>
      <c r="F784" s="230">
        <f ca="1">IF($B784="UNIDADE CONSTRUTIVA",OFFSET(F784,-1,0)+1,LARGE(F$10:F783,1))</f>
        <v>2</v>
      </c>
      <c r="G784" s="228" t="str">
        <f t="shared" ca="1" si="554"/>
        <v xml:space="preserve">   GERENCIAMENTO EXECUTIVO</v>
      </c>
      <c r="H784" s="230">
        <f t="shared" ca="1" si="555"/>
        <v>5</v>
      </c>
      <c r="I784" s="228" t="str">
        <f t="shared" ca="1" si="556"/>
        <v xml:space="preserve">   ALVENARIA | VEDAÇÕES | DIVISÓRIAS</v>
      </c>
      <c r="J784" s="230">
        <f t="shared" ca="1" si="557"/>
        <v>5</v>
      </c>
      <c r="K784" s="228" t="str">
        <f t="shared" ca="1" si="558"/>
        <v xml:space="preserve">   ALVENARIA | VEDAÇÕES | DIVISÓRIAS - BARRILETE / CAIXA DÁGUA / CASA DE MÁQUINAS</v>
      </c>
      <c r="L784" s="231">
        <f t="shared" ca="1" si="559"/>
        <v>1</v>
      </c>
      <c r="M784" s="228" t="str">
        <f t="shared" ca="1" si="560"/>
        <v xml:space="preserve">   Alvenaria de Vedação com Blocos Cerâmicos</v>
      </c>
      <c r="N784" s="231">
        <f t="shared" ca="1" si="561"/>
        <v>0</v>
      </c>
      <c r="O784" s="228" t="str">
        <f t="shared" ca="1" si="562"/>
        <v>Mao de obra empreitada vedacoes internas e externas - assentamento blocos ceramicos</v>
      </c>
      <c r="P784" s="232" t="str">
        <f>IF(S784="","",IF(Orçamento!$B784="INSUMO",S784,""))</f>
        <v/>
      </c>
      <c r="Q784" s="244" t="str">
        <f t="shared" si="531"/>
        <v/>
      </c>
      <c r="R784" s="234">
        <f t="shared" ca="1" si="563"/>
        <v>202.74100000000001</v>
      </c>
      <c r="S784" s="233" t="s">
        <v>439</v>
      </c>
      <c r="T784" s="242" t="s">
        <v>35</v>
      </c>
      <c r="U784" s="235" t="str">
        <f>IF($B784="insumo",R784,"")</f>
        <v/>
      </c>
      <c r="V784" s="320" t="s">
        <v>35</v>
      </c>
      <c r="W784" s="236" t="str">
        <f>IFERROR(IF(B784="INSUMO",_xlfn.XLOOKUP(S784,Insumos!A:A,Insumos!C:C),""),"Inserir Preço")</f>
        <v/>
      </c>
      <c r="X784" s="235" t="str">
        <f t="shared" ca="1" si="564"/>
        <v/>
      </c>
      <c r="Y784" s="236" t="str">
        <f t="shared" si="519"/>
        <v/>
      </c>
      <c r="Z784" s="237">
        <f t="shared" ca="1" si="550"/>
        <v>6334.2744119999988</v>
      </c>
      <c r="AA784" s="238"/>
      <c r="AB784" s="233" t="str">
        <f>IF(B784="insumo",_xlfn.XLOOKUP(S784,Insumos!A:A,Insumos!D:D),"")</f>
        <v/>
      </c>
      <c r="AC784" s="239">
        <f t="shared" ca="1" si="551"/>
        <v>9.0870941527671379E-4</v>
      </c>
      <c r="AE784" s="240">
        <f ca="1">IFERROR(IF(OR(Z784="",Z784=0),"",IF(AF784="","",IF(AF784="R$/mês",Z784/OBRA!$D$12,IF(AF784="R$/m²",Z784/OBRA!$D$10,IF(AF784="R$/apto",Orçamento!Z784/OBRA!$D$11,""))))),"")</f>
        <v>3.2596627326667451</v>
      </c>
      <c r="AF784" s="241" t="s">
        <v>154</v>
      </c>
    </row>
    <row r="785" spans="1:32" s="10" customFormat="1" ht="13.15" hidden="1" customHeight="1" outlineLevel="4" x14ac:dyDescent="0.2">
      <c r="A785" s="227"/>
      <c r="B785" s="228" t="s">
        <v>4</v>
      </c>
      <c r="C785" s="229">
        <f t="shared" si="549"/>
        <v>5</v>
      </c>
      <c r="D785" s="227" t="str">
        <f t="shared" ca="1" si="552"/>
        <v>05.005.001.001</v>
      </c>
      <c r="E785" s="228" t="str">
        <f t="shared" ca="1" si="553"/>
        <v>05.005.001.001</v>
      </c>
      <c r="F785" s="230">
        <f ca="1">IF($B785="UNIDADE CONSTRUTIVA",OFFSET(F785,-1,0)+1,LARGE(F$10:F784,1))</f>
        <v>2</v>
      </c>
      <c r="G785" s="228" t="str">
        <f t="shared" ca="1" si="554"/>
        <v xml:space="preserve">   GERENCIAMENTO EXECUTIVO</v>
      </c>
      <c r="H785" s="230">
        <f t="shared" ca="1" si="555"/>
        <v>5</v>
      </c>
      <c r="I785" s="228" t="str">
        <f t="shared" ca="1" si="556"/>
        <v xml:space="preserve">   ALVENARIA | VEDAÇÕES | DIVISÓRIAS</v>
      </c>
      <c r="J785" s="230">
        <f t="shared" ca="1" si="557"/>
        <v>5</v>
      </c>
      <c r="K785" s="228" t="str">
        <f t="shared" ca="1" si="558"/>
        <v xml:space="preserve">   ALVENARIA | VEDAÇÕES | DIVISÓRIAS - BARRILETE / CAIXA DÁGUA / CASA DE MÁQUINAS</v>
      </c>
      <c r="L785" s="231">
        <f t="shared" ca="1" si="559"/>
        <v>1</v>
      </c>
      <c r="M785" s="228" t="str">
        <f t="shared" ca="1" si="560"/>
        <v xml:space="preserve">   Alvenaria de Vedação com Blocos Cerâmicos</v>
      </c>
      <c r="N785" s="231">
        <f t="shared" ca="1" si="561"/>
        <v>1</v>
      </c>
      <c r="O785" s="228" t="str">
        <f t="shared" ca="1" si="562"/>
        <v>Alvenaria de vedacao de blocos ceramicos furados na horizontal de 14x19x29cm (espessura 14cm) com argamassa industrializada de assentamento</v>
      </c>
      <c r="P785" s="232" t="str">
        <f>IF(S785="","",IF(Orçamento!$B785="INSUMO",S785,""))</f>
        <v/>
      </c>
      <c r="Q785" s="244" t="str">
        <f t="shared" si="531"/>
        <v>Alvenaria de vedacao de blocos ceramicos furados na horizontal de 14x19x29cm (espessura 14cm) com argamassa industrializada de assentamento</v>
      </c>
      <c r="R785" s="234">
        <f t="shared" ca="1" si="563"/>
        <v>170.35999999999999</v>
      </c>
      <c r="S785" s="233" t="s">
        <v>208</v>
      </c>
      <c r="T785" s="242" t="s">
        <v>140</v>
      </c>
      <c r="U785" s="235">
        <v>170.35999999999999</v>
      </c>
      <c r="V785" s="320" t="s">
        <v>35</v>
      </c>
      <c r="W785" s="236" t="str">
        <f>IFERROR(IF(B785="INSUMO",_xlfn.XLOOKUP(S785,Insumos!A:A,Insumos!C:C),""),"Inserir Preço")</f>
        <v/>
      </c>
      <c r="X785" s="235">
        <f t="shared" ca="1" si="564"/>
        <v>170.35999999999999</v>
      </c>
      <c r="Y785" s="236">
        <f t="shared" ca="1" si="519"/>
        <v>37.181699999999999</v>
      </c>
      <c r="Z785" s="237">
        <f t="shared" ca="1" si="550"/>
        <v>6334.2744119999998</v>
      </c>
      <c r="AA785" s="238"/>
      <c r="AB785" s="233" t="str">
        <f>IF(B785="insumo",_xlfn.XLOOKUP(S785,Insumos!A:A,Insumos!D:D),"")</f>
        <v/>
      </c>
      <c r="AC785" s="239">
        <f t="shared" ca="1" si="551"/>
        <v>9.0870941527671401E-4</v>
      </c>
      <c r="AE785" s="240">
        <f ca="1">IFERROR(IF(OR(Z785="",Z785=0),"",IF(AF785="","",IF(AF785="R$/mês",Z785/OBRA!$D$12,IF(AF785="R$/m²",Z785/OBRA!$D$10,IF(AF785="R$/apto",Orçamento!Z785/OBRA!$D$11,""))))),"")</f>
        <v>3.2596627326667456</v>
      </c>
      <c r="AF785" s="241" t="s">
        <v>154</v>
      </c>
    </row>
    <row r="786" spans="1:32" s="10" customFormat="1" ht="13.15" hidden="1" customHeight="1" outlineLevel="4" x14ac:dyDescent="0.2">
      <c r="A786" s="227"/>
      <c r="B786" s="228" t="s">
        <v>19</v>
      </c>
      <c r="C786" s="229">
        <f t="shared" si="549"/>
        <v>19</v>
      </c>
      <c r="D786" s="227" t="str">
        <f t="shared" si="552"/>
        <v/>
      </c>
      <c r="E786" s="228" t="str">
        <f t="shared" ca="1" si="553"/>
        <v>05.005.001.001</v>
      </c>
      <c r="F786" s="230">
        <f ca="1">IF($B786="UNIDADE CONSTRUTIVA",OFFSET(F786,-1,0)+1,LARGE(F$10:F785,1))</f>
        <v>2</v>
      </c>
      <c r="G786" s="228" t="str">
        <f t="shared" ca="1" si="554"/>
        <v xml:space="preserve">   GERENCIAMENTO EXECUTIVO</v>
      </c>
      <c r="H786" s="230">
        <f t="shared" ca="1" si="555"/>
        <v>5</v>
      </c>
      <c r="I786" s="228" t="str">
        <f t="shared" ca="1" si="556"/>
        <v xml:space="preserve">   ALVENARIA | VEDAÇÕES | DIVISÓRIAS</v>
      </c>
      <c r="J786" s="230">
        <f t="shared" ca="1" si="557"/>
        <v>5</v>
      </c>
      <c r="K786" s="228" t="str">
        <f t="shared" ca="1" si="558"/>
        <v xml:space="preserve">   ALVENARIA | VEDAÇÕES | DIVISÓRIAS - BARRILETE / CAIXA DÁGUA / CASA DE MÁQUINAS</v>
      </c>
      <c r="L786" s="231">
        <f t="shared" ca="1" si="559"/>
        <v>1</v>
      </c>
      <c r="M786" s="228" t="str">
        <f t="shared" ca="1" si="560"/>
        <v xml:space="preserve">   Alvenaria de Vedação com Blocos Cerâmicos</v>
      </c>
      <c r="N786" s="231">
        <f t="shared" ca="1" si="561"/>
        <v>1</v>
      </c>
      <c r="O786" s="228" t="str">
        <f t="shared" ca="1" si="562"/>
        <v>Alvenaria de vedacao de blocos ceramicos furados na horizontal de 14x19x29cm (espessura 14cm) com argamassa industrializada de assentamento</v>
      </c>
      <c r="P786" s="232" t="str">
        <f>IF(S786="","",IF(Orçamento!$B786="INSUMO",S786,""))</f>
        <v>ARGAMASSA ESTABILIZADA P/ ASSENTAMENTO</v>
      </c>
      <c r="Q786" s="244" t="str">
        <f t="shared" si="531"/>
        <v/>
      </c>
      <c r="R786" s="234">
        <f t="shared" ca="1" si="563"/>
        <v>170.35999999999999</v>
      </c>
      <c r="S786" s="233" t="s">
        <v>206</v>
      </c>
      <c r="T786" s="242" t="str">
        <f>_xlfn.XLOOKUP(S786,Insumos!$A$3:$A$371,Insumos!$B$3:$B$371)</f>
        <v>M3</v>
      </c>
      <c r="U786" s="235">
        <f ca="1">IF($B786="insumo",R786,"")</f>
        <v>170.35999999999999</v>
      </c>
      <c r="V786" s="320">
        <v>1.8683999999999999E-2</v>
      </c>
      <c r="W786" s="236">
        <f>IFERROR(IF(B786="INSUMO",_xlfn.XLOOKUP(S786,Insumos!A:A,Insumos!C:C),""),"Inserir Preço")</f>
        <v>425</v>
      </c>
      <c r="X786" s="235">
        <f t="shared" ca="1" si="564"/>
        <v>3.1830062399999997</v>
      </c>
      <c r="Y786" s="236">
        <f t="shared" si="519"/>
        <v>7.9406999999999996</v>
      </c>
      <c r="Z786" s="237">
        <f t="shared" ca="1" si="550"/>
        <v>1352.7776519999998</v>
      </c>
      <c r="AA786" s="238"/>
      <c r="AB786" s="233" t="str">
        <f>IF(B786="insumo",_xlfn.XLOOKUP(S786,Insumos!A:A,Insumos!D:D),"")</f>
        <v xml:space="preserve"> </v>
      </c>
      <c r="AC786" s="239">
        <f t="shared" ca="1" si="551"/>
        <v>1.9406828772992632E-4</v>
      </c>
      <c r="AE786" s="240">
        <f ca="1">IFERROR(IF(OR(Z786="",Z786=0),"",IF(AF786="","",IF(AF786="R$/mês",Z786/OBRA!$D$12,IF(AF786="R$/m²",Z786/OBRA!$D$10,IF(AF786="R$/apto",Orçamento!Z786/OBRA!$D$11,""))))),"")</f>
        <v>0.69614901581387678</v>
      </c>
      <c r="AF786" s="241" t="s">
        <v>154</v>
      </c>
    </row>
    <row r="787" spans="1:32" s="10" customFormat="1" ht="13.15" hidden="1" customHeight="1" outlineLevel="4" x14ac:dyDescent="0.2">
      <c r="A787" s="227"/>
      <c r="B787" s="228" t="s">
        <v>19</v>
      </c>
      <c r="C787" s="229">
        <f t="shared" si="549"/>
        <v>5</v>
      </c>
      <c r="D787" s="227" t="str">
        <f t="shared" si="552"/>
        <v/>
      </c>
      <c r="E787" s="228" t="str">
        <f t="shared" ca="1" si="553"/>
        <v>05.005.001.001</v>
      </c>
      <c r="F787" s="230">
        <f ca="1">IF($B787="UNIDADE CONSTRUTIVA",OFFSET(F787,-1,0)+1,LARGE(F$10:F786,1))</f>
        <v>2</v>
      </c>
      <c r="G787" s="228" t="str">
        <f t="shared" ca="1" si="554"/>
        <v xml:space="preserve">   GERENCIAMENTO EXECUTIVO</v>
      </c>
      <c r="H787" s="230">
        <f t="shared" ca="1" si="555"/>
        <v>5</v>
      </c>
      <c r="I787" s="228" t="str">
        <f t="shared" ca="1" si="556"/>
        <v xml:space="preserve">   ALVENARIA | VEDAÇÕES | DIVISÓRIAS</v>
      </c>
      <c r="J787" s="230">
        <f t="shared" ca="1" si="557"/>
        <v>5</v>
      </c>
      <c r="K787" s="228" t="str">
        <f t="shared" ca="1" si="558"/>
        <v xml:space="preserve">   ALVENARIA | VEDAÇÕES | DIVISÓRIAS - BARRILETE / CAIXA DÁGUA / CASA DE MÁQUINAS</v>
      </c>
      <c r="L787" s="231">
        <f t="shared" ca="1" si="559"/>
        <v>1</v>
      </c>
      <c r="M787" s="228" t="str">
        <f t="shared" ca="1" si="560"/>
        <v xml:space="preserve">   Alvenaria de Vedação com Blocos Cerâmicos</v>
      </c>
      <c r="N787" s="231">
        <f t="shared" ca="1" si="561"/>
        <v>1</v>
      </c>
      <c r="O787" s="228" t="str">
        <f t="shared" ca="1" si="562"/>
        <v>Alvenaria de vedacao de blocos ceramicos furados na horizontal de 14x19x29cm (espessura 14cm) com argamassa industrializada de assentamento</v>
      </c>
      <c r="P787" s="232" t="str">
        <f>IF(S787="","",IF(Orçamento!$B787="INSUMO",S787,""))</f>
        <v>BLOCO CERAMICO VEDACAO 14 X 19 X 29 CM - FUROS NA HORIZONTAL</v>
      </c>
      <c r="Q787" s="244" t="str">
        <f t="shared" si="531"/>
        <v/>
      </c>
      <c r="R787" s="234">
        <f t="shared" ca="1" si="563"/>
        <v>170.35999999999999</v>
      </c>
      <c r="S787" s="233" t="s">
        <v>209</v>
      </c>
      <c r="T787" s="242" t="str">
        <f>_xlfn.XLOOKUP(S787,Insumos!$A$3:$A$371,Insumos!$B$3:$B$371)</f>
        <v>UN</v>
      </c>
      <c r="U787" s="235">
        <f ca="1">IF($B787="insumo",R787,"")</f>
        <v>170.35999999999999</v>
      </c>
      <c r="V787" s="320">
        <v>18</v>
      </c>
      <c r="W787" s="236">
        <f>IFERROR(IF(B787="INSUMO",_xlfn.XLOOKUP(S787,Insumos!A:A,Insumos!C:C),""),"Inserir Preço")</f>
        <v>1.6245000000000001</v>
      </c>
      <c r="X787" s="235">
        <f t="shared" ca="1" si="564"/>
        <v>3066.4799999999996</v>
      </c>
      <c r="Y787" s="236">
        <f t="shared" si="519"/>
        <v>29.241</v>
      </c>
      <c r="Z787" s="237">
        <f t="shared" ca="1" si="550"/>
        <v>4981.4967599999991</v>
      </c>
      <c r="AA787" s="238"/>
      <c r="AB787" s="233" t="str">
        <f>IF(B787="insumo",_xlfn.XLOOKUP(S787,Insumos!A:A,Insumos!D:D),"")</f>
        <v>Tupi Gurani Cerâmica</v>
      </c>
      <c r="AC787" s="239">
        <f t="shared" ca="1" si="551"/>
        <v>7.1464112754678749E-4</v>
      </c>
      <c r="AE787" s="240">
        <f ca="1">IFERROR(IF(OR(Z787="",Z787=0),"",IF(AF787="","",IF(AF787="R$/mês",Z787/OBRA!$D$12,IF(AF787="R$/m²",Z787/OBRA!$D$10,IF(AF787="R$/apto",Orçamento!Z787/OBRA!$D$11,""))))),"")</f>
        <v>2.5635137168528681</v>
      </c>
      <c r="AF787" s="241" t="s">
        <v>154</v>
      </c>
    </row>
    <row r="788" spans="1:32" s="10" customFormat="1" ht="13.15" hidden="1" customHeight="1" outlineLevel="3" collapsed="1" x14ac:dyDescent="0.2">
      <c r="A788" s="227"/>
      <c r="B788" s="228" t="s">
        <v>3</v>
      </c>
      <c r="C788" s="229" t="str">
        <f t="shared" si="549"/>
        <v/>
      </c>
      <c r="D788" s="227" t="str">
        <f t="shared" ca="1" si="552"/>
        <v>05.005.002</v>
      </c>
      <c r="E788" s="228" t="str">
        <f t="shared" ca="1" si="553"/>
        <v>05.005.001.001</v>
      </c>
      <c r="F788" s="230">
        <f ca="1">IF($B788="UNIDADE CONSTRUTIVA",OFFSET(F788,-1,0)+1,LARGE(F$10:F787,1))</f>
        <v>2</v>
      </c>
      <c r="G788" s="228" t="str">
        <f t="shared" ca="1" si="554"/>
        <v xml:space="preserve">   GERENCIAMENTO EXECUTIVO</v>
      </c>
      <c r="H788" s="230">
        <f t="shared" ca="1" si="555"/>
        <v>5</v>
      </c>
      <c r="I788" s="228" t="str">
        <f t="shared" ca="1" si="556"/>
        <v xml:space="preserve">   ALVENARIA | VEDAÇÕES | DIVISÓRIAS</v>
      </c>
      <c r="J788" s="230">
        <f t="shared" ca="1" si="557"/>
        <v>5</v>
      </c>
      <c r="K788" s="228" t="str">
        <f t="shared" ca="1" si="558"/>
        <v xml:space="preserve">   ALVENARIA | VEDAÇÕES | DIVISÓRIAS - BARRILETE / CAIXA DÁGUA / CASA DE MÁQUINAS</v>
      </c>
      <c r="L788" s="231">
        <f t="shared" ca="1" si="559"/>
        <v>2</v>
      </c>
      <c r="M788" s="228" t="str">
        <f t="shared" ca="1" si="560"/>
        <v xml:space="preserve">   Serviços Complementares</v>
      </c>
      <c r="N788" s="231">
        <f t="shared" ca="1" si="561"/>
        <v>0</v>
      </c>
      <c r="O788" s="228" t="str">
        <f t="shared" ca="1" si="562"/>
        <v>Alvenaria de vedacao de blocos ceramicos furados na horizontal de 14x19x29cm (espessura 14cm) com argamassa industrializada de assentamento</v>
      </c>
      <c r="P788" s="232" t="str">
        <f>IF(S788="","",IF(Orçamento!$B788="INSUMO",S788,""))</f>
        <v/>
      </c>
      <c r="Q788" s="244" t="str">
        <f t="shared" si="531"/>
        <v/>
      </c>
      <c r="R788" s="234">
        <f t="shared" ca="1" si="563"/>
        <v>170.35999999999999</v>
      </c>
      <c r="S788" s="233" t="s">
        <v>441</v>
      </c>
      <c r="T788" s="242" t="s">
        <v>35</v>
      </c>
      <c r="U788" s="235" t="str">
        <f>IF($B788="insumo",R788,"")</f>
        <v/>
      </c>
      <c r="V788" s="320" t="s">
        <v>35</v>
      </c>
      <c r="W788" s="236" t="str">
        <f>IFERROR(IF(B788="INSUMO",_xlfn.XLOOKUP(S788,Insumos!A:A,Insumos!C:C),""),"Inserir Preço")</f>
        <v/>
      </c>
      <c r="X788" s="235" t="str">
        <f t="shared" ca="1" si="564"/>
        <v/>
      </c>
      <c r="Y788" s="236" t="str">
        <f t="shared" si="519"/>
        <v/>
      </c>
      <c r="Z788" s="237">
        <f t="shared" ca="1" si="550"/>
        <v>1760.2374381999998</v>
      </c>
      <c r="AA788" s="238"/>
      <c r="AB788" s="233" t="str">
        <f>IF(B788="insumo",_xlfn.XLOOKUP(S788,Insumos!A:A,Insumos!D:D),"")</f>
        <v/>
      </c>
      <c r="AC788" s="239">
        <f t="shared" ca="1" si="551"/>
        <v>2.5252210895452171E-4</v>
      </c>
      <c r="AE788" s="240">
        <f ca="1">IFERROR(IF(OR(Z788="",Z788=0),"",IF(AF788="","",IF(AF788="R$/mês",Z788/OBRA!$D$12,IF(AF788="R$/m²",Z788/OBRA!$D$10,IF(AF788="R$/apto",Orçamento!Z788/OBRA!$D$11,""))))),"")</f>
        <v>0.90583072420660438</v>
      </c>
      <c r="AF788" s="241" t="s">
        <v>154</v>
      </c>
    </row>
    <row r="789" spans="1:32" s="10" customFormat="1" ht="13.15" hidden="1" customHeight="1" outlineLevel="4" x14ac:dyDescent="0.2">
      <c r="A789" s="227"/>
      <c r="B789" s="228" t="s">
        <v>4</v>
      </c>
      <c r="C789" s="229">
        <f t="shared" si="549"/>
        <v>5</v>
      </c>
      <c r="D789" s="227" t="str">
        <f t="shared" ca="1" si="552"/>
        <v>05.005.002.001</v>
      </c>
      <c r="E789" s="228" t="str">
        <f t="shared" ca="1" si="553"/>
        <v>05.005.002.001</v>
      </c>
      <c r="F789" s="230">
        <f ca="1">IF($B789="UNIDADE CONSTRUTIVA",OFFSET(F789,-1,0)+1,LARGE(F$10:F788,1))</f>
        <v>2</v>
      </c>
      <c r="G789" s="228" t="str">
        <f t="shared" ca="1" si="554"/>
        <v xml:space="preserve">   GERENCIAMENTO EXECUTIVO</v>
      </c>
      <c r="H789" s="230">
        <f t="shared" ca="1" si="555"/>
        <v>5</v>
      </c>
      <c r="I789" s="228" t="str">
        <f t="shared" ca="1" si="556"/>
        <v xml:space="preserve">   ALVENARIA | VEDAÇÕES | DIVISÓRIAS</v>
      </c>
      <c r="J789" s="230">
        <f t="shared" ca="1" si="557"/>
        <v>5</v>
      </c>
      <c r="K789" s="228" t="str">
        <f t="shared" ca="1" si="558"/>
        <v xml:space="preserve">   ALVENARIA | VEDAÇÕES | DIVISÓRIAS - BARRILETE / CAIXA DÁGUA / CASA DE MÁQUINAS</v>
      </c>
      <c r="L789" s="231">
        <f t="shared" ca="1" si="559"/>
        <v>2</v>
      </c>
      <c r="M789" s="228" t="str">
        <f t="shared" ca="1" si="560"/>
        <v xml:space="preserve">   Serviços Complementares</v>
      </c>
      <c r="N789" s="231">
        <f t="shared" ca="1" si="561"/>
        <v>1</v>
      </c>
      <c r="O789" s="228" t="str">
        <f t="shared" ca="1" si="562"/>
        <v>Tela soldada para ligacao alvenaria/estrutura - para blocos de 9 a 14cm</v>
      </c>
      <c r="P789" s="232" t="str">
        <f>IF(S789="","",IF(Orçamento!$B789="INSUMO",S789,""))</f>
        <v/>
      </c>
      <c r="Q789" s="244" t="str">
        <f t="shared" si="531"/>
        <v>Tela soldada para ligacao alvenaria/estrutura - para blocos de 9 a 14cm</v>
      </c>
      <c r="R789" s="234">
        <f t="shared" ca="1" si="563"/>
        <v>99</v>
      </c>
      <c r="S789" s="233" t="s">
        <v>212</v>
      </c>
      <c r="T789" s="242" t="s">
        <v>142</v>
      </c>
      <c r="U789" s="235">
        <f>ROUNDUP((U785)*0.58,0)</f>
        <v>99</v>
      </c>
      <c r="V789" s="320" t="s">
        <v>35</v>
      </c>
      <c r="W789" s="236" t="str">
        <f>IFERROR(IF(B789="INSUMO",_xlfn.XLOOKUP(S789,Insumos!A:A,Insumos!C:C),""),"Inserir Preço")</f>
        <v/>
      </c>
      <c r="X789" s="235">
        <f t="shared" ca="1" si="564"/>
        <v>99</v>
      </c>
      <c r="Y789" s="236">
        <f t="shared" ca="1" si="519"/>
        <v>1.7000000000000002</v>
      </c>
      <c r="Z789" s="237">
        <f t="shared" ca="1" si="550"/>
        <v>168.3</v>
      </c>
      <c r="AA789" s="238"/>
      <c r="AB789" s="233" t="str">
        <f>IF(B789="insumo",_xlfn.XLOOKUP(S789,Insumos!A:A,Insumos!D:D),"")</f>
        <v/>
      </c>
      <c r="AC789" s="239">
        <f t="shared" ca="1" si="551"/>
        <v>2.4144169425521089E-5</v>
      </c>
      <c r="AE789" s="240">
        <f ca="1">IFERROR(IF(OR(Z789="",Z789=0),"",IF(AF789="","",IF(AF789="R$/mês",Z789/OBRA!$D$12,IF(AF789="R$/m²",Z789/OBRA!$D$10,IF(AF789="R$/apto",Orçamento!Z789/OBRA!$D$11,""))))),"")</f>
        <v>8.6608378833179817E-2</v>
      </c>
      <c r="AF789" s="241" t="s">
        <v>154</v>
      </c>
    </row>
    <row r="790" spans="1:32" s="10" customFormat="1" ht="13.15" hidden="1" customHeight="1" outlineLevel="4" x14ac:dyDescent="0.2">
      <c r="A790" s="227"/>
      <c r="B790" s="228" t="s">
        <v>19</v>
      </c>
      <c r="C790" s="229">
        <f t="shared" si="549"/>
        <v>6</v>
      </c>
      <c r="D790" s="227" t="str">
        <f t="shared" si="552"/>
        <v/>
      </c>
      <c r="E790" s="228" t="str">
        <f t="shared" ca="1" si="553"/>
        <v>05.005.002.001</v>
      </c>
      <c r="F790" s="230">
        <f ca="1">IF($B790="UNIDADE CONSTRUTIVA",OFFSET(F790,-1,0)+1,LARGE(F$10:F789,1))</f>
        <v>2</v>
      </c>
      <c r="G790" s="228" t="str">
        <f t="shared" ca="1" si="554"/>
        <v xml:space="preserve">   GERENCIAMENTO EXECUTIVO</v>
      </c>
      <c r="H790" s="230">
        <f t="shared" ca="1" si="555"/>
        <v>5</v>
      </c>
      <c r="I790" s="228" t="str">
        <f t="shared" ca="1" si="556"/>
        <v xml:space="preserve">   ALVENARIA | VEDAÇÕES | DIVISÓRIAS</v>
      </c>
      <c r="J790" s="230">
        <f t="shared" ca="1" si="557"/>
        <v>5</v>
      </c>
      <c r="K790" s="228" t="str">
        <f t="shared" ca="1" si="558"/>
        <v xml:space="preserve">   ALVENARIA | VEDAÇÕES | DIVISÓRIAS - BARRILETE / CAIXA DÁGUA / CASA DE MÁQUINAS</v>
      </c>
      <c r="L790" s="231">
        <f t="shared" ca="1" si="559"/>
        <v>2</v>
      </c>
      <c r="M790" s="228" t="str">
        <f t="shared" ca="1" si="560"/>
        <v xml:space="preserve">   Serviços Complementares</v>
      </c>
      <c r="N790" s="231">
        <f t="shared" ca="1" si="561"/>
        <v>1</v>
      </c>
      <c r="O790" s="228" t="str">
        <f t="shared" ca="1" si="562"/>
        <v>Tela soldada para ligacao alvenaria/estrutura - para blocos de 9 a 14cm</v>
      </c>
      <c r="P790" s="232" t="str">
        <f>IF(S790="","",IF(Orçamento!$B790="INSUMO",S790,""))</f>
        <v>TELA AMARRAÇÃO MALHA 15 X 15MM - 7,5 X 50CM D= 1,24MM</v>
      </c>
      <c r="Q790" s="244" t="str">
        <f t="shared" si="531"/>
        <v/>
      </c>
      <c r="R790" s="234">
        <f t="shared" ca="1" si="563"/>
        <v>99</v>
      </c>
      <c r="S790" s="233" t="s">
        <v>213</v>
      </c>
      <c r="T790" s="242" t="str">
        <f>_xlfn.XLOOKUP(S790,Insumos!$A$3:$A$371,Insumos!$B$3:$B$371)</f>
        <v>UN</v>
      </c>
      <c r="U790" s="235">
        <f ca="1">IF($B790="insumo",R790,"")</f>
        <v>99</v>
      </c>
      <c r="V790" s="320">
        <v>1</v>
      </c>
      <c r="W790" s="236">
        <f>IFERROR(IF(B790="INSUMO",_xlfn.XLOOKUP(S790,Insumos!A:A,Insumos!C:C),""),"Inserir Preço")</f>
        <v>1.1000000000000001</v>
      </c>
      <c r="X790" s="235">
        <f t="shared" ca="1" si="564"/>
        <v>99</v>
      </c>
      <c r="Y790" s="236">
        <f t="shared" si="519"/>
        <v>1.1000000000000001</v>
      </c>
      <c r="Z790" s="237">
        <f t="shared" ca="1" si="550"/>
        <v>108.9</v>
      </c>
      <c r="AA790" s="238"/>
      <c r="AB790" s="233" t="str">
        <f>IF(B790="insumo",_xlfn.XLOOKUP(S790,Insumos!A:A,Insumos!D:D),"")</f>
        <v>Base de dados</v>
      </c>
      <c r="AC790" s="239">
        <f t="shared" ca="1" si="551"/>
        <v>1.5622697863572469E-5</v>
      </c>
      <c r="AE790" s="240">
        <f ca="1">IFERROR(IF(OR(Z790="",Z790=0),"",IF(AF790="","",IF(AF790="R$/mês",Z790/OBRA!$D$12,IF(AF790="R$/m²",Z790/OBRA!$D$10,IF(AF790="R$/apto",Orçamento!Z790/OBRA!$D$11,""))))),"")</f>
        <v>5.6040715715586935E-2</v>
      </c>
      <c r="AF790" s="241" t="s">
        <v>154</v>
      </c>
    </row>
    <row r="791" spans="1:32" s="10" customFormat="1" ht="13.15" hidden="1" customHeight="1" outlineLevel="4" x14ac:dyDescent="0.2">
      <c r="A791" s="227"/>
      <c r="B791" s="228" t="s">
        <v>19</v>
      </c>
      <c r="C791" s="229">
        <f t="shared" si="549"/>
        <v>6</v>
      </c>
      <c r="D791" s="227" t="str">
        <f t="shared" si="552"/>
        <v/>
      </c>
      <c r="E791" s="228" t="str">
        <f t="shared" ca="1" si="553"/>
        <v>05.005.002.001</v>
      </c>
      <c r="F791" s="230">
        <f ca="1">IF($B791="UNIDADE CONSTRUTIVA",OFFSET(F791,-1,0)+1,LARGE(F$10:F790,1))</f>
        <v>2</v>
      </c>
      <c r="G791" s="228" t="str">
        <f t="shared" ca="1" si="554"/>
        <v xml:space="preserve">   GERENCIAMENTO EXECUTIVO</v>
      </c>
      <c r="H791" s="230">
        <f t="shared" ca="1" si="555"/>
        <v>5</v>
      </c>
      <c r="I791" s="228" t="str">
        <f t="shared" ca="1" si="556"/>
        <v xml:space="preserve">   ALVENARIA | VEDAÇÕES | DIVISÓRIAS</v>
      </c>
      <c r="J791" s="230">
        <f t="shared" ca="1" si="557"/>
        <v>5</v>
      </c>
      <c r="K791" s="228" t="str">
        <f t="shared" ca="1" si="558"/>
        <v xml:space="preserve">   ALVENARIA | VEDAÇÕES | DIVISÓRIAS - BARRILETE / CAIXA DÁGUA / CASA DE MÁQUINAS</v>
      </c>
      <c r="L791" s="231">
        <f t="shared" ca="1" si="559"/>
        <v>2</v>
      </c>
      <c r="M791" s="228" t="str">
        <f t="shared" ca="1" si="560"/>
        <v xml:space="preserve">   Serviços Complementares</v>
      </c>
      <c r="N791" s="231">
        <f t="shared" ca="1" si="561"/>
        <v>1</v>
      </c>
      <c r="O791" s="228" t="str">
        <f t="shared" ca="1" si="562"/>
        <v>Tela soldada para ligacao alvenaria/estrutura - para blocos de 9 a 14cm</v>
      </c>
      <c r="P791" s="232" t="str">
        <f>IF(S791="","",IF(Orçamento!$B791="INSUMO",S791,""))</f>
        <v>PINO LISO EM ACO GALVANIZADO 1/2 X 22MM COM ARRUELA</v>
      </c>
      <c r="Q791" s="244" t="str">
        <f t="shared" si="531"/>
        <v/>
      </c>
      <c r="R791" s="234">
        <f t="shared" ca="1" si="563"/>
        <v>99</v>
      </c>
      <c r="S791" s="233" t="s">
        <v>214</v>
      </c>
      <c r="T791" s="242" t="str">
        <f>_xlfn.XLOOKUP(S791,Insumos!$A$3:$A$371,Insumos!$B$3:$B$371)</f>
        <v>UN</v>
      </c>
      <c r="U791" s="235">
        <f ca="1">IF($B791="insumo",R791,"")</f>
        <v>99</v>
      </c>
      <c r="V791" s="320">
        <v>1</v>
      </c>
      <c r="W791" s="236">
        <f>IFERROR(IF(B791="INSUMO",_xlfn.XLOOKUP(S791,Insumos!A:A,Insumos!C:C),""),"Inserir Preço")</f>
        <v>0.3</v>
      </c>
      <c r="X791" s="235">
        <f t="shared" ca="1" si="564"/>
        <v>99</v>
      </c>
      <c r="Y791" s="236">
        <f t="shared" si="519"/>
        <v>0.3</v>
      </c>
      <c r="Z791" s="237">
        <f t="shared" ca="1" si="550"/>
        <v>29.7</v>
      </c>
      <c r="AA791" s="238"/>
      <c r="AB791" s="233" t="str">
        <f>IF(B791="insumo",_xlfn.XLOOKUP(S791,Insumos!A:A,Insumos!D:D),"")</f>
        <v xml:space="preserve"> </v>
      </c>
      <c r="AC791" s="239">
        <f t="shared" ca="1" si="551"/>
        <v>4.2607357809743093E-6</v>
      </c>
      <c r="AE791" s="240">
        <f ca="1">IFERROR(IF(OR(Z791="",Z791=0),"",IF(AF791="","",IF(AF791="R$/mês",Z791/OBRA!$D$12,IF(AF791="R$/m²",Z791/OBRA!$D$10,IF(AF791="R$/apto",Orçamento!Z791/OBRA!$D$11,""))))),"")</f>
        <v>1.5283831558796436E-2</v>
      </c>
      <c r="AF791" s="241" t="s">
        <v>154</v>
      </c>
    </row>
    <row r="792" spans="1:32" s="10" customFormat="1" ht="13.15" hidden="1" customHeight="1" outlineLevel="4" x14ac:dyDescent="0.2">
      <c r="A792" s="227"/>
      <c r="B792" s="228" t="s">
        <v>19</v>
      </c>
      <c r="C792" s="229">
        <f t="shared" si="549"/>
        <v>6</v>
      </c>
      <c r="D792" s="227" t="str">
        <f t="shared" si="552"/>
        <v/>
      </c>
      <c r="E792" s="228" t="str">
        <f t="shared" ca="1" si="553"/>
        <v>05.005.002.001</v>
      </c>
      <c r="F792" s="230">
        <f ca="1">IF($B792="UNIDADE CONSTRUTIVA",OFFSET(F792,-1,0)+1,LARGE(F$10:F791,1))</f>
        <v>2</v>
      </c>
      <c r="G792" s="228" t="str">
        <f t="shared" ca="1" si="554"/>
        <v xml:space="preserve">   GERENCIAMENTO EXECUTIVO</v>
      </c>
      <c r="H792" s="230">
        <f t="shared" ca="1" si="555"/>
        <v>5</v>
      </c>
      <c r="I792" s="228" t="str">
        <f t="shared" ca="1" si="556"/>
        <v xml:space="preserve">   ALVENARIA | VEDAÇÕES | DIVISÓRIAS</v>
      </c>
      <c r="J792" s="230">
        <f t="shared" ca="1" si="557"/>
        <v>5</v>
      </c>
      <c r="K792" s="228" t="str">
        <f t="shared" ca="1" si="558"/>
        <v xml:space="preserve">   ALVENARIA | VEDAÇÕES | DIVISÓRIAS - BARRILETE / CAIXA DÁGUA / CASA DE MÁQUINAS</v>
      </c>
      <c r="L792" s="231">
        <f t="shared" ca="1" si="559"/>
        <v>2</v>
      </c>
      <c r="M792" s="228" t="str">
        <f t="shared" ca="1" si="560"/>
        <v xml:space="preserve">   Serviços Complementares</v>
      </c>
      <c r="N792" s="231">
        <f t="shared" ca="1" si="561"/>
        <v>1</v>
      </c>
      <c r="O792" s="228" t="str">
        <f t="shared" ca="1" si="562"/>
        <v>Tela soldada para ligacao alvenaria/estrutura - para blocos de 9 a 14cm</v>
      </c>
      <c r="P792" s="232" t="str">
        <f>IF(S792="","",IF(Orçamento!$B792="INSUMO",S792,""))</f>
        <v>CARTUCHO 22 - CARGA LEVE PARA FINCA PINO A POLVORA</v>
      </c>
      <c r="Q792" s="244" t="str">
        <f t="shared" si="531"/>
        <v/>
      </c>
      <c r="R792" s="234">
        <f t="shared" ca="1" si="563"/>
        <v>99</v>
      </c>
      <c r="S792" s="233" t="s">
        <v>215</v>
      </c>
      <c r="T792" s="242" t="str">
        <f>_xlfn.XLOOKUP(S792,Insumos!$A$3:$A$371,Insumos!$B$3:$B$371)</f>
        <v>UN</v>
      </c>
      <c r="U792" s="235">
        <f ca="1">IF($B792="insumo",R792,"")</f>
        <v>99</v>
      </c>
      <c r="V792" s="320">
        <v>1</v>
      </c>
      <c r="W792" s="236">
        <f>IFERROR(IF(B792="INSUMO",_xlfn.XLOOKUP(S792,Insumos!A:A,Insumos!C:C),""),"Inserir Preço")</f>
        <v>0.3</v>
      </c>
      <c r="X792" s="235">
        <f t="shared" ca="1" si="564"/>
        <v>99</v>
      </c>
      <c r="Y792" s="236">
        <f t="shared" si="519"/>
        <v>0.3</v>
      </c>
      <c r="Z792" s="237">
        <f t="shared" ca="1" si="550"/>
        <v>29.7</v>
      </c>
      <c r="AA792" s="238"/>
      <c r="AB792" s="233" t="str">
        <f>IF(B792="insumo",_xlfn.XLOOKUP(S792,Insumos!A:A,Insumos!D:D),"")</f>
        <v xml:space="preserve"> </v>
      </c>
      <c r="AC792" s="239">
        <f t="shared" ca="1" si="551"/>
        <v>4.2607357809743093E-6</v>
      </c>
      <c r="AE792" s="240">
        <f ca="1">IFERROR(IF(OR(Z792="",Z792=0),"",IF(AF792="","",IF(AF792="R$/mês",Z792/OBRA!$D$12,IF(AF792="R$/m²",Z792/OBRA!$D$10,IF(AF792="R$/apto",Orçamento!Z792/OBRA!$D$11,""))))),"")</f>
        <v>1.5283831558796436E-2</v>
      </c>
      <c r="AF792" s="241" t="s">
        <v>154</v>
      </c>
    </row>
    <row r="793" spans="1:32" s="10" customFormat="1" ht="13.15" hidden="1" customHeight="1" outlineLevel="4" x14ac:dyDescent="0.2">
      <c r="A793" s="227"/>
      <c r="B793" s="228" t="s">
        <v>4</v>
      </c>
      <c r="C793" s="229">
        <f t="shared" si="549"/>
        <v>5</v>
      </c>
      <c r="D793" s="227" t="str">
        <f t="shared" ca="1" si="552"/>
        <v>05.005.002.002</v>
      </c>
      <c r="E793" s="228" t="str">
        <f t="shared" ca="1" si="553"/>
        <v>05.005.002.002</v>
      </c>
      <c r="F793" s="230">
        <f ca="1">IF($B793="UNIDADE CONSTRUTIVA",OFFSET(F793,-1,0)+1,LARGE(F$10:F792,1))</f>
        <v>2</v>
      </c>
      <c r="G793" s="228" t="str">
        <f t="shared" ca="1" si="554"/>
        <v xml:space="preserve">   GERENCIAMENTO EXECUTIVO</v>
      </c>
      <c r="H793" s="230">
        <f t="shared" ca="1" si="555"/>
        <v>5</v>
      </c>
      <c r="I793" s="228" t="str">
        <f t="shared" ca="1" si="556"/>
        <v xml:space="preserve">   ALVENARIA | VEDAÇÕES | DIVISÓRIAS</v>
      </c>
      <c r="J793" s="230">
        <f t="shared" ca="1" si="557"/>
        <v>5</v>
      </c>
      <c r="K793" s="228" t="str">
        <f t="shared" ca="1" si="558"/>
        <v xml:space="preserve">   ALVENARIA | VEDAÇÕES | DIVISÓRIAS - BARRILETE / CAIXA DÁGUA / CASA DE MÁQUINAS</v>
      </c>
      <c r="L793" s="231">
        <f t="shared" ca="1" si="559"/>
        <v>2</v>
      </c>
      <c r="M793" s="228" t="str">
        <f t="shared" ca="1" si="560"/>
        <v xml:space="preserve">   Serviços Complementares</v>
      </c>
      <c r="N793" s="231">
        <f t="shared" ca="1" si="561"/>
        <v>2</v>
      </c>
      <c r="O793" s="228" t="str">
        <f t="shared" ca="1" si="562"/>
        <v>Encunhamento de alvenaria de vedacao com argamassa expansiva</v>
      </c>
      <c r="P793" s="232" t="str">
        <f>IF(S793="","",IF(Orçamento!$B793="INSUMO",S793,""))</f>
        <v/>
      </c>
      <c r="Q793" s="244" t="str">
        <f t="shared" si="531"/>
        <v>Encunhamento de alvenaria de vedacao com argamassa expansiva</v>
      </c>
      <c r="R793" s="234">
        <f t="shared" ca="1" si="563"/>
        <v>133.4</v>
      </c>
      <c r="S793" s="233" t="s">
        <v>216</v>
      </c>
      <c r="T793" s="242" t="s">
        <v>158</v>
      </c>
      <c r="U793" s="235">
        <v>133.4</v>
      </c>
      <c r="V793" s="320" t="s">
        <v>35</v>
      </c>
      <c r="W793" s="236" t="str">
        <f>IFERROR(IF(B793="INSUMO",_xlfn.XLOOKUP(S793,Insumos!A:A,Insumos!C:C),""),"Inserir Preço")</f>
        <v/>
      </c>
      <c r="X793" s="235">
        <f t="shared" ca="1" si="564"/>
        <v>133.4</v>
      </c>
      <c r="Y793" s="236">
        <f t="shared" ca="1" si="519"/>
        <v>4.5200000000000005</v>
      </c>
      <c r="Z793" s="237">
        <f t="shared" ca="1" si="550"/>
        <v>602.96800000000007</v>
      </c>
      <c r="AA793" s="238"/>
      <c r="AB793" s="233" t="str">
        <f>IF(B793="insumo",_xlfn.XLOOKUP(S793,Insumos!A:A,Insumos!D:D),"")</f>
        <v/>
      </c>
      <c r="AC793" s="239">
        <f t="shared" ca="1" si="551"/>
        <v>8.6501256982576363E-5</v>
      </c>
      <c r="AE793" s="240">
        <f ca="1">IFERROR(IF(OR(Z793="",Z793=0),"",IF(AF793="","",IF(AF793="R$/mês",Z793/OBRA!$D$12,IF(AF793="R$/m²",Z793/OBRA!$D$10,IF(AF793="R$/apto",Orçamento!Z793/OBRA!$D$11,""))))),"")</f>
        <v>0.31029162785671283</v>
      </c>
      <c r="AF793" s="241" t="s">
        <v>154</v>
      </c>
    </row>
    <row r="794" spans="1:32" s="10" customFormat="1" ht="13.15" hidden="1" customHeight="1" outlineLevel="4" x14ac:dyDescent="0.2">
      <c r="A794" s="227"/>
      <c r="B794" s="228" t="s">
        <v>19</v>
      </c>
      <c r="C794" s="229">
        <f t="shared" si="549"/>
        <v>5</v>
      </c>
      <c r="D794" s="227" t="str">
        <f t="shared" si="552"/>
        <v/>
      </c>
      <c r="E794" s="228" t="str">
        <f t="shared" ca="1" si="553"/>
        <v>05.005.002.002</v>
      </c>
      <c r="F794" s="230">
        <f ca="1">IF($B794="UNIDADE CONSTRUTIVA",OFFSET(F794,-1,0)+1,LARGE(F$10:F793,1))</f>
        <v>2</v>
      </c>
      <c r="G794" s="228" t="str">
        <f t="shared" ca="1" si="554"/>
        <v xml:space="preserve">   GERENCIAMENTO EXECUTIVO</v>
      </c>
      <c r="H794" s="230">
        <f t="shared" ca="1" si="555"/>
        <v>5</v>
      </c>
      <c r="I794" s="228" t="str">
        <f t="shared" ca="1" si="556"/>
        <v xml:space="preserve">   ALVENARIA | VEDAÇÕES | DIVISÓRIAS</v>
      </c>
      <c r="J794" s="230">
        <f t="shared" ca="1" si="557"/>
        <v>5</v>
      </c>
      <c r="K794" s="228" t="str">
        <f t="shared" ca="1" si="558"/>
        <v xml:space="preserve">   ALVENARIA | VEDAÇÕES | DIVISÓRIAS - BARRILETE / CAIXA DÁGUA / CASA DE MÁQUINAS</v>
      </c>
      <c r="L794" s="231">
        <f t="shared" ca="1" si="559"/>
        <v>2</v>
      </c>
      <c r="M794" s="228" t="str">
        <f t="shared" ca="1" si="560"/>
        <v xml:space="preserve">   Serviços Complementares</v>
      </c>
      <c r="N794" s="231">
        <f t="shared" ca="1" si="561"/>
        <v>2</v>
      </c>
      <c r="O794" s="228" t="str">
        <f t="shared" ca="1" si="562"/>
        <v>Encunhamento de alvenaria de vedacao com argamassa expansiva</v>
      </c>
      <c r="P794" s="232" t="str">
        <f>IF(S794="","",IF(Orçamento!$B794="INSUMO",S794,""))</f>
        <v>ARGAMASSA PARA ENCUNHAMENTO</v>
      </c>
      <c r="Q794" s="244" t="str">
        <f t="shared" si="531"/>
        <v/>
      </c>
      <c r="R794" s="234">
        <f t="shared" ca="1" si="563"/>
        <v>133.4</v>
      </c>
      <c r="S794" s="233" t="s">
        <v>217</v>
      </c>
      <c r="T794" s="242" t="str">
        <f>_xlfn.XLOOKUP(S794,Insumos!$A$3:$A$371,Insumos!$B$3:$B$371)</f>
        <v>KG</v>
      </c>
      <c r="U794" s="235">
        <f ca="1">IF($B794="insumo",R794,"")</f>
        <v>133.4</v>
      </c>
      <c r="V794" s="320">
        <v>2</v>
      </c>
      <c r="W794" s="236">
        <f>IFERROR(IF(B794="INSUMO",_xlfn.XLOOKUP(S794,Insumos!A:A,Insumos!C:C),""),"Inserir Preço")</f>
        <v>2.2600000000000002</v>
      </c>
      <c r="X794" s="235">
        <f t="shared" ca="1" si="564"/>
        <v>266.8</v>
      </c>
      <c r="Y794" s="236">
        <f t="shared" si="519"/>
        <v>4.5200000000000005</v>
      </c>
      <c r="Z794" s="237">
        <f t="shared" ca="1" si="550"/>
        <v>602.96800000000007</v>
      </c>
      <c r="AA794" s="238"/>
      <c r="AB794" s="233" t="str">
        <f>IF(B794="insumo",_xlfn.XLOOKUP(S794,Insumos!A:A,Insumos!D:D),"")</f>
        <v xml:space="preserve"> </v>
      </c>
      <c r="AC794" s="239">
        <f t="shared" ca="1" si="551"/>
        <v>8.6501256982576363E-5</v>
      </c>
      <c r="AE794" s="240">
        <f ca="1">IFERROR(IF(OR(Z794="",Z794=0),"",IF(AF794="","",IF(AF794="R$/mês",Z794/OBRA!$D$12,IF(AF794="R$/m²",Z794/OBRA!$D$10,IF(AF794="R$/apto",Orçamento!Z794/OBRA!$D$11,""))))),"")</f>
        <v>0.31029162785671283</v>
      </c>
      <c r="AF794" s="241" t="s">
        <v>154</v>
      </c>
    </row>
    <row r="795" spans="1:32" s="10" customFormat="1" ht="13.15" hidden="1" customHeight="1" outlineLevel="4" x14ac:dyDescent="0.2">
      <c r="A795" s="227"/>
      <c r="B795" s="228" t="s">
        <v>4</v>
      </c>
      <c r="C795" s="229">
        <f t="shared" si="549"/>
        <v>5</v>
      </c>
      <c r="D795" s="227" t="str">
        <f t="shared" ca="1" si="552"/>
        <v>05.005.002.003</v>
      </c>
      <c r="E795" s="228" t="str">
        <f t="shared" ca="1" si="553"/>
        <v>05.005.002.003</v>
      </c>
      <c r="F795" s="230">
        <f ca="1">IF($B795="UNIDADE CONSTRUTIVA",OFFSET(F795,-1,0)+1,LARGE(F$10:F794,1))</f>
        <v>2</v>
      </c>
      <c r="G795" s="228" t="str">
        <f t="shared" ca="1" si="554"/>
        <v xml:space="preserve">   GERENCIAMENTO EXECUTIVO</v>
      </c>
      <c r="H795" s="230">
        <f t="shared" ca="1" si="555"/>
        <v>5</v>
      </c>
      <c r="I795" s="228" t="str">
        <f t="shared" ca="1" si="556"/>
        <v xml:space="preserve">   ALVENARIA | VEDAÇÕES | DIVISÓRIAS</v>
      </c>
      <c r="J795" s="230">
        <f t="shared" ca="1" si="557"/>
        <v>5</v>
      </c>
      <c r="K795" s="228" t="str">
        <f t="shared" ca="1" si="558"/>
        <v xml:space="preserve">   ALVENARIA | VEDAÇÕES | DIVISÓRIAS - BARRILETE / CAIXA DÁGUA / CASA DE MÁQUINAS</v>
      </c>
      <c r="L795" s="231">
        <f t="shared" ca="1" si="559"/>
        <v>2</v>
      </c>
      <c r="M795" s="228" t="str">
        <f t="shared" ca="1" si="560"/>
        <v xml:space="preserve">   Serviços Complementares</v>
      </c>
      <c r="N795" s="231">
        <f t="shared" ca="1" si="561"/>
        <v>3</v>
      </c>
      <c r="O795" s="228" t="str">
        <f t="shared" ca="1" si="562"/>
        <v>Verga/contraverga de concreto, moldada in loco</v>
      </c>
      <c r="P795" s="232" t="str">
        <f>IF(S795="","",IF(Orçamento!$B795="INSUMO",S795,""))</f>
        <v/>
      </c>
      <c r="Q795" s="244" t="str">
        <f t="shared" si="531"/>
        <v>Verga/contraverga de concreto, moldada in loco</v>
      </c>
      <c r="R795" s="234">
        <f t="shared" ca="1" si="563"/>
        <v>22.029999999999998</v>
      </c>
      <c r="S795" s="233" t="s">
        <v>210</v>
      </c>
      <c r="T795" s="242" t="s">
        <v>158</v>
      </c>
      <c r="U795" s="235">
        <v>22.029999999999998</v>
      </c>
      <c r="V795" s="320" t="s">
        <v>35</v>
      </c>
      <c r="W795" s="236" t="str">
        <f>IFERROR(IF(B795="INSUMO",_xlfn.XLOOKUP(S795,Insumos!A:A,Insumos!C:C),""),"Inserir Preço")</f>
        <v/>
      </c>
      <c r="X795" s="235">
        <f t="shared" ca="1" si="564"/>
        <v>22.029999999999998</v>
      </c>
      <c r="Y795" s="236">
        <f t="shared" ca="1" si="519"/>
        <v>44.891940000000005</v>
      </c>
      <c r="Z795" s="237">
        <f t="shared" ca="1" si="550"/>
        <v>988.96943820000001</v>
      </c>
      <c r="AA795" s="238"/>
      <c r="AB795" s="233" t="str">
        <f>IF(B795="insumo",_xlfn.XLOOKUP(S795,Insumos!A:A,Insumos!D:D),"")</f>
        <v/>
      </c>
      <c r="AC795" s="239">
        <f t="shared" ca="1" si="551"/>
        <v>1.4187668254642428E-4</v>
      </c>
      <c r="AE795" s="240">
        <f ca="1">IFERROR(IF(OR(Z795="",Z795=0),"",IF(AF795="","",IF(AF795="R$/mês",Z795/OBRA!$D$12,IF(AF795="R$/m²",Z795/OBRA!$D$10,IF(AF795="R$/apto",Orçamento!Z795/OBRA!$D$11,""))))),"")</f>
        <v>0.50893071751671182</v>
      </c>
      <c r="AF795" s="241" t="s">
        <v>154</v>
      </c>
    </row>
    <row r="796" spans="1:32" s="10" customFormat="1" ht="13.15" hidden="1" customHeight="1" outlineLevel="4" x14ac:dyDescent="0.2">
      <c r="A796" s="227"/>
      <c r="B796" s="228" t="s">
        <v>19</v>
      </c>
      <c r="C796" s="229">
        <f t="shared" si="549"/>
        <v>29</v>
      </c>
      <c r="D796" s="227" t="str">
        <f t="shared" si="552"/>
        <v/>
      </c>
      <c r="E796" s="228" t="str">
        <f t="shared" ca="1" si="553"/>
        <v>05.005.002.003</v>
      </c>
      <c r="F796" s="230">
        <f ca="1">IF($B796="UNIDADE CONSTRUTIVA",OFFSET(F796,-1,0)+1,LARGE(F$10:F795,1))</f>
        <v>2</v>
      </c>
      <c r="G796" s="228" t="str">
        <f t="shared" ca="1" si="554"/>
        <v xml:space="preserve">   GERENCIAMENTO EXECUTIVO</v>
      </c>
      <c r="H796" s="230">
        <f t="shared" ca="1" si="555"/>
        <v>5</v>
      </c>
      <c r="I796" s="228" t="str">
        <f t="shared" ca="1" si="556"/>
        <v xml:space="preserve">   ALVENARIA | VEDAÇÕES | DIVISÓRIAS</v>
      </c>
      <c r="J796" s="230">
        <f t="shared" ca="1" si="557"/>
        <v>5</v>
      </c>
      <c r="K796" s="228" t="str">
        <f t="shared" ca="1" si="558"/>
        <v xml:space="preserve">   ALVENARIA | VEDAÇÕES | DIVISÓRIAS - BARRILETE / CAIXA DÁGUA / CASA DE MÁQUINAS</v>
      </c>
      <c r="L796" s="231">
        <f t="shared" ca="1" si="559"/>
        <v>2</v>
      </c>
      <c r="M796" s="228" t="str">
        <f t="shared" ca="1" si="560"/>
        <v xml:space="preserve">   Serviços Complementares</v>
      </c>
      <c r="N796" s="231">
        <f t="shared" ca="1" si="561"/>
        <v>3</v>
      </c>
      <c r="O796" s="228" t="str">
        <f t="shared" ca="1" si="562"/>
        <v>Verga/contraverga de concreto, moldada in loco</v>
      </c>
      <c r="P796" s="232" t="str">
        <f>IF(S796="","",IF(Orçamento!$B796="INSUMO",S796,""))</f>
        <v>DESMOLDANTE</v>
      </c>
      <c r="Q796" s="244" t="str">
        <f t="shared" si="531"/>
        <v/>
      </c>
      <c r="R796" s="234">
        <f t="shared" ca="1" si="563"/>
        <v>22.029999999999998</v>
      </c>
      <c r="S796" s="233" t="s">
        <v>171</v>
      </c>
      <c r="T796" s="242" t="str">
        <f>_xlfn.XLOOKUP(S796,Insumos!$A$3:$A$371,Insumos!$B$3:$B$371)</f>
        <v>L</v>
      </c>
      <c r="U796" s="235">
        <f t="shared" ref="U796:U802" ca="1" si="565">IF($B796="insumo",R796,"")</f>
        <v>22.029999999999998</v>
      </c>
      <c r="V796" s="320">
        <v>6.0000000000000001E-3</v>
      </c>
      <c r="W796" s="236">
        <f>IFERROR(IF(B796="INSUMO",_xlfn.XLOOKUP(S796,Insumos!A:A,Insumos!C:C),""),"Inserir Preço")</f>
        <v>6.34</v>
      </c>
      <c r="X796" s="235">
        <f t="shared" ca="1" si="564"/>
        <v>0.13217999999999999</v>
      </c>
      <c r="Y796" s="236">
        <f t="shared" si="519"/>
        <v>3.8039999999999997E-2</v>
      </c>
      <c r="Z796" s="237">
        <f t="shared" ca="1" si="550"/>
        <v>0.83802119999999991</v>
      </c>
      <c r="AA796" s="238"/>
      <c r="AB796" s="233" t="str">
        <f>IF(B796="insumo",_xlfn.XLOOKUP(S796,Insumos!A:A,Insumos!D:D),"")</f>
        <v xml:space="preserve"> </v>
      </c>
      <c r="AC796" s="239">
        <f t="shared" ca="1" si="551"/>
        <v>1.2022178155067433E-7</v>
      </c>
      <c r="AE796" s="240">
        <f ca="1">IFERROR(IF(OR(Z796="",Z796=0),"",IF(AF796="","",IF(AF796="R$/mês",Z796/OBRA!$D$12,IF(AF796="R$/m²",Z796/OBRA!$D$10,IF(AF796="R$/apto",Orçamento!Z796/OBRA!$D$11,""))))),"")</f>
        <v>4.3125167890573936E-4</v>
      </c>
      <c r="AF796" s="241" t="s">
        <v>154</v>
      </c>
    </row>
    <row r="797" spans="1:32" s="10" customFormat="1" ht="13.15" hidden="1" customHeight="1" outlineLevel="4" x14ac:dyDescent="0.2">
      <c r="A797" s="227"/>
      <c r="B797" s="228" t="s">
        <v>19</v>
      </c>
      <c r="C797" s="229">
        <f t="shared" si="549"/>
        <v>5</v>
      </c>
      <c r="D797" s="227" t="str">
        <f t="shared" si="552"/>
        <v/>
      </c>
      <c r="E797" s="228" t="str">
        <f t="shared" ca="1" si="553"/>
        <v>05.005.002.003</v>
      </c>
      <c r="F797" s="230">
        <f ca="1">IF($B797="UNIDADE CONSTRUTIVA",OFFSET(F797,-1,0)+1,LARGE(F$10:F796,1))</f>
        <v>2</v>
      </c>
      <c r="G797" s="228" t="str">
        <f t="shared" ca="1" si="554"/>
        <v xml:space="preserve">   GERENCIAMENTO EXECUTIVO</v>
      </c>
      <c r="H797" s="230">
        <f t="shared" ca="1" si="555"/>
        <v>5</v>
      </c>
      <c r="I797" s="228" t="str">
        <f t="shared" ca="1" si="556"/>
        <v xml:space="preserve">   ALVENARIA | VEDAÇÕES | DIVISÓRIAS</v>
      </c>
      <c r="J797" s="230">
        <f t="shared" ca="1" si="557"/>
        <v>5</v>
      </c>
      <c r="K797" s="228" t="str">
        <f t="shared" ca="1" si="558"/>
        <v xml:space="preserve">   ALVENARIA | VEDAÇÕES | DIVISÓRIAS - BARRILETE / CAIXA DÁGUA / CASA DE MÁQUINAS</v>
      </c>
      <c r="L797" s="231">
        <f t="shared" ca="1" si="559"/>
        <v>2</v>
      </c>
      <c r="M797" s="228" t="str">
        <f t="shared" ca="1" si="560"/>
        <v xml:space="preserve">   Serviços Complementares</v>
      </c>
      <c r="N797" s="231">
        <f t="shared" ca="1" si="561"/>
        <v>3</v>
      </c>
      <c r="O797" s="228" t="str">
        <f t="shared" ca="1" si="562"/>
        <v>Verga/contraverga de concreto, moldada in loco</v>
      </c>
      <c r="P797" s="232" t="str">
        <f>IF(S797="","",IF(Orçamento!$B797="INSUMO",S797,""))</f>
        <v>ACO CA-60 5,00 MM</v>
      </c>
      <c r="Q797" s="244" t="str">
        <f t="shared" si="531"/>
        <v/>
      </c>
      <c r="R797" s="234">
        <f t="shared" ca="1" si="563"/>
        <v>22.029999999999998</v>
      </c>
      <c r="S797" s="233" t="s">
        <v>179</v>
      </c>
      <c r="T797" s="242" t="str">
        <f>_xlfn.XLOOKUP(S797,Insumos!$A$3:$A$371,Insumos!$B$3:$B$371)</f>
        <v>KG</v>
      </c>
      <c r="U797" s="235">
        <f t="shared" ca="1" si="565"/>
        <v>22.029999999999998</v>
      </c>
      <c r="V797" s="320">
        <v>0.49</v>
      </c>
      <c r="W797" s="236">
        <f>IFERROR(IF(B797="INSUMO",_xlfn.XLOOKUP(S797,Insumos!A:A,Insumos!C:C),""),"Inserir Preço")</f>
        <v>6.11</v>
      </c>
      <c r="X797" s="235">
        <f t="shared" ca="1" si="564"/>
        <v>10.794699999999999</v>
      </c>
      <c r="Y797" s="236">
        <f t="shared" si="519"/>
        <v>2.9939</v>
      </c>
      <c r="Z797" s="237">
        <f t="shared" ca="1" si="550"/>
        <v>65.95561699999999</v>
      </c>
      <c r="AA797" s="238"/>
      <c r="AB797" s="233" t="str">
        <f>IF(B797="insumo",_xlfn.XLOOKUP(S797,Insumos!A:A,Insumos!D:D),"")</f>
        <v>BENDERTEC</v>
      </c>
      <c r="AC797" s="239">
        <f t="shared" ca="1" si="551"/>
        <v>9.4619345894995758E-6</v>
      </c>
      <c r="AE797" s="240">
        <f ca="1">IFERROR(IF(OR(Z797="",Z797=0),"",IF(AF797="","",IF(AF797="R$/mês",Z797/OBRA!$D$12,IF(AF797="R$/m²",Z797/OBRA!$D$10,IF(AF797="R$/apto",Orçamento!Z797/OBRA!$D$11,""))))),"")</f>
        <v>3.3941230322710118E-2</v>
      </c>
      <c r="AF797" s="241" t="s">
        <v>154</v>
      </c>
    </row>
    <row r="798" spans="1:32" s="10" customFormat="1" ht="13.15" hidden="1" customHeight="1" outlineLevel="4" x14ac:dyDescent="0.2">
      <c r="A798" s="227"/>
      <c r="B798" s="228" t="s">
        <v>19</v>
      </c>
      <c r="C798" s="229">
        <f t="shared" si="549"/>
        <v>44</v>
      </c>
      <c r="D798" s="227" t="str">
        <f t="shared" si="552"/>
        <v/>
      </c>
      <c r="E798" s="228" t="str">
        <f t="shared" ca="1" si="553"/>
        <v>05.005.002.003</v>
      </c>
      <c r="F798" s="230">
        <f ca="1">IF($B798="UNIDADE CONSTRUTIVA",OFFSET(F798,-1,0)+1,LARGE(F$10:F797,1))</f>
        <v>2</v>
      </c>
      <c r="G798" s="228" t="str">
        <f t="shared" ref="G798:G806" ca="1" si="566">IF(B798="*","",IF(B798="UNIDADE CONSTRUTIVA",S798,OFFSET(G798,-1,0)))</f>
        <v xml:space="preserve">   GERENCIAMENTO EXECUTIVO</v>
      </c>
      <c r="H798" s="230">
        <f t="shared" ca="1" si="555"/>
        <v>5</v>
      </c>
      <c r="I798" s="228" t="str">
        <f t="shared" ref="I798:I806" ca="1" si="567">IF(B798="*","",IF(B798="CÉLULA CONSTRUTIVA",S798,OFFSET(I798,-1,0)))</f>
        <v xml:space="preserve">   ALVENARIA | VEDAÇÕES | DIVISÓRIAS</v>
      </c>
      <c r="J798" s="230">
        <f t="shared" ca="1" si="557"/>
        <v>5</v>
      </c>
      <c r="K798" s="228" t="str">
        <f t="shared" ref="K798:K806" ca="1" si="568">IF(B798="*","",IF(B798="ETAPA",S798,OFFSET(K798,-1,0)))</f>
        <v xml:space="preserve">   ALVENARIA | VEDAÇÕES | DIVISÓRIAS - BARRILETE / CAIXA DÁGUA / CASA DE MÁQUINAS</v>
      </c>
      <c r="L798" s="231">
        <f t="shared" ca="1" si="559"/>
        <v>2</v>
      </c>
      <c r="M798" s="228" t="str">
        <f t="shared" ref="M798:M806" ca="1" si="569">IF(B798="*","",IF(B798="SUBETAPA",S798,OFFSET(M798,-1,0)))</f>
        <v xml:space="preserve">   Serviços Complementares</v>
      </c>
      <c r="N798" s="231">
        <f t="shared" ca="1" si="561"/>
        <v>3</v>
      </c>
      <c r="O798" s="228" t="str">
        <f t="shared" ref="O798:O806" ca="1" si="570">IF(B798="*","",IF(B798="SERVIÇO",S798,OFFSET(O798,-1,0)))</f>
        <v>Verga/contraverga de concreto, moldada in loco</v>
      </c>
      <c r="P798" s="232" t="str">
        <f>IF(S798="","",IF(Orçamento!$B798="INSUMO",S798,""))</f>
        <v>PREGO 17 x 21 COM CABECA</v>
      </c>
      <c r="Q798" s="244" t="str">
        <f t="shared" si="531"/>
        <v/>
      </c>
      <c r="R798" s="234">
        <f t="shared" ref="R798:R805" ca="1" si="571">IF(B798="serviço",U798,OFFSET(R798,-1,0))</f>
        <v>22.029999999999998</v>
      </c>
      <c r="S798" s="233" t="s">
        <v>173</v>
      </c>
      <c r="T798" s="242" t="str">
        <f>_xlfn.XLOOKUP(S798,Insumos!$A$3:$A$371,Insumos!$B$3:$B$371)</f>
        <v>KG</v>
      </c>
      <c r="U798" s="235">
        <f t="shared" ca="1" si="565"/>
        <v>22.029999999999998</v>
      </c>
      <c r="V798" s="320">
        <v>5.4000000000000003E-3</v>
      </c>
      <c r="W798" s="236">
        <f>IFERROR(IF(B798="INSUMO",_xlfn.XLOOKUP(S798,Insumos!A:A,Insumos!C:C),""),"Inserir Preço")</f>
        <v>13</v>
      </c>
      <c r="X798" s="235">
        <f t="shared" ca="1" si="564"/>
        <v>0.118962</v>
      </c>
      <c r="Y798" s="236">
        <f t="shared" si="519"/>
        <v>7.0199999999999999E-2</v>
      </c>
      <c r="Z798" s="237">
        <f t="shared" ca="1" si="550"/>
        <v>1.5465059999999999</v>
      </c>
      <c r="AA798" s="238"/>
      <c r="AB798" s="233" t="str">
        <f>IF(B798="insumo",_xlfn.XLOOKUP(S798,Insumos!A:A,Insumos!D:D),"")</f>
        <v xml:space="preserve"> </v>
      </c>
      <c r="AC798" s="239">
        <f t="shared" ca="1" si="551"/>
        <v>2.218603855114968E-7</v>
      </c>
      <c r="AE798" s="240">
        <f ca="1">IFERROR(IF(OR(Z798="",Z798=0),"",IF(AF798="","",IF(AF798="R$/mês",Z798/OBRA!$D$12,IF(AF798="R$/m²",Z798/OBRA!$D$10,IF(AF798="R$/apto",Orçamento!Z798/OBRA!$D$11,""))))),"")</f>
        <v>7.958430036588566E-4</v>
      </c>
      <c r="AF798" s="241" t="s">
        <v>154</v>
      </c>
    </row>
    <row r="799" spans="1:32" s="10" customFormat="1" ht="13.15" hidden="1" customHeight="1" outlineLevel="4" x14ac:dyDescent="0.2">
      <c r="A799" s="227"/>
      <c r="B799" s="228" t="s">
        <v>19</v>
      </c>
      <c r="C799" s="229">
        <f t="shared" si="549"/>
        <v>7</v>
      </c>
      <c r="D799" s="227" t="str">
        <f t="shared" si="552"/>
        <v/>
      </c>
      <c r="E799" s="228" t="str">
        <f t="shared" ca="1" si="553"/>
        <v>05.005.002.003</v>
      </c>
      <c r="F799" s="230">
        <f ca="1">IF($B799="UNIDADE CONSTRUTIVA",OFFSET(F799,-1,0)+1,LARGE(F$10:F798,1))</f>
        <v>2</v>
      </c>
      <c r="G799" s="228" t="str">
        <f t="shared" ca="1" si="566"/>
        <v xml:space="preserve">   GERENCIAMENTO EXECUTIVO</v>
      </c>
      <c r="H799" s="230">
        <f t="shared" ca="1" si="555"/>
        <v>5</v>
      </c>
      <c r="I799" s="228" t="str">
        <f t="shared" ca="1" si="567"/>
        <v xml:space="preserve">   ALVENARIA | VEDAÇÕES | DIVISÓRIAS</v>
      </c>
      <c r="J799" s="230">
        <f t="shared" ca="1" si="557"/>
        <v>5</v>
      </c>
      <c r="K799" s="228" t="str">
        <f t="shared" ca="1" si="568"/>
        <v xml:space="preserve">   ALVENARIA | VEDAÇÕES | DIVISÓRIAS - BARRILETE / CAIXA DÁGUA / CASA DE MÁQUINAS</v>
      </c>
      <c r="L799" s="231">
        <f t="shared" ca="1" si="559"/>
        <v>2</v>
      </c>
      <c r="M799" s="228" t="str">
        <f t="shared" ca="1" si="569"/>
        <v xml:space="preserve">   Serviços Complementares</v>
      </c>
      <c r="N799" s="231">
        <f t="shared" ca="1" si="561"/>
        <v>3</v>
      </c>
      <c r="O799" s="228" t="str">
        <f t="shared" ca="1" si="570"/>
        <v>Verga/contraverga de concreto, moldada in loco</v>
      </c>
      <c r="P799" s="232" t="str">
        <f>IF(S799="","",IF(Orçamento!$B799="INSUMO",S799,""))</f>
        <v>Tabua de pinus 20x2,5x300cm</v>
      </c>
      <c r="Q799" s="244" t="str">
        <f t="shared" si="531"/>
        <v/>
      </c>
      <c r="R799" s="234">
        <f t="shared" ca="1" si="571"/>
        <v>22.029999999999998</v>
      </c>
      <c r="S799" s="233" t="s">
        <v>174</v>
      </c>
      <c r="T799" s="242" t="str">
        <f>_xlfn.XLOOKUP(S799,Insumos!$A$3:$A$371,Insumos!$B$3:$B$371)</f>
        <v>M3</v>
      </c>
      <c r="U799" s="235">
        <f t="shared" ca="1" si="565"/>
        <v>22.029999999999998</v>
      </c>
      <c r="V799" s="320">
        <v>1.2E-2</v>
      </c>
      <c r="W799" s="236">
        <f>IFERROR(IF(B799="INSUMO",_xlfn.XLOOKUP(S799,Insumos!A:A,Insumos!C:C),""),"Inserir Preço")</f>
        <v>1410</v>
      </c>
      <c r="X799" s="235">
        <f t="shared" ca="1" si="564"/>
        <v>0.26435999999999998</v>
      </c>
      <c r="Y799" s="236">
        <f t="shared" si="519"/>
        <v>16.920000000000002</v>
      </c>
      <c r="Z799" s="237">
        <f t="shared" ca="1" si="550"/>
        <v>372.74759999999998</v>
      </c>
      <c r="AA799" s="238"/>
      <c r="AB799" s="233" t="str">
        <f>IF(B799="insumo",_xlfn.XLOOKUP(S799,Insumos!A:A,Insumos!D:D),"")</f>
        <v xml:space="preserve"> </v>
      </c>
      <c r="AC799" s="239">
        <f t="shared" ca="1" si="551"/>
        <v>5.3474041636104358E-5</v>
      </c>
      <c r="AE799" s="240">
        <f ca="1">IFERROR(IF(OR(Z799="",Z799=0),"",IF(AF799="","",IF(AF799="R$/mês",Z799/OBRA!$D$12,IF(AF799="R$/m²",Z799/OBRA!$D$10,IF(AF799="R$/apto",Orçamento!Z799/OBRA!$D$11,""))))),"")</f>
        <v>0.1918185701126475</v>
      </c>
      <c r="AF799" s="241" t="s">
        <v>154</v>
      </c>
    </row>
    <row r="800" spans="1:32" s="10" customFormat="1" ht="13.15" hidden="1" customHeight="1" outlineLevel="4" x14ac:dyDescent="0.2">
      <c r="A800" s="227"/>
      <c r="B800" s="228" t="s">
        <v>19</v>
      </c>
      <c r="C800" s="229">
        <f t="shared" si="549"/>
        <v>12</v>
      </c>
      <c r="D800" s="227" t="str">
        <f t="shared" si="552"/>
        <v/>
      </c>
      <c r="E800" s="228" t="str">
        <f t="shared" ca="1" si="553"/>
        <v>05.005.002.003</v>
      </c>
      <c r="F800" s="230">
        <f ca="1">IF($B800="UNIDADE CONSTRUTIVA",OFFSET(F800,-1,0)+1,LARGE(F$10:F799,1))</f>
        <v>2</v>
      </c>
      <c r="G800" s="228" t="str">
        <f t="shared" ca="1" si="566"/>
        <v xml:space="preserve">   GERENCIAMENTO EXECUTIVO</v>
      </c>
      <c r="H800" s="230">
        <f t="shared" ca="1" si="555"/>
        <v>5</v>
      </c>
      <c r="I800" s="228" t="str">
        <f t="shared" ca="1" si="567"/>
        <v xml:space="preserve">   ALVENARIA | VEDAÇÕES | DIVISÓRIAS</v>
      </c>
      <c r="J800" s="230">
        <f t="shared" ca="1" si="557"/>
        <v>5</v>
      </c>
      <c r="K800" s="228" t="str">
        <f t="shared" ca="1" si="568"/>
        <v xml:space="preserve">   ALVENARIA | VEDAÇÕES | DIVISÓRIAS - BARRILETE / CAIXA DÁGUA / CASA DE MÁQUINAS</v>
      </c>
      <c r="L800" s="231">
        <f t="shared" ca="1" si="559"/>
        <v>2</v>
      </c>
      <c r="M800" s="228" t="str">
        <f t="shared" ca="1" si="569"/>
        <v xml:space="preserve">   Serviços Complementares</v>
      </c>
      <c r="N800" s="231">
        <f t="shared" ca="1" si="561"/>
        <v>3</v>
      </c>
      <c r="O800" s="228" t="str">
        <f t="shared" ca="1" si="570"/>
        <v>Verga/contraverga de concreto, moldada in loco</v>
      </c>
      <c r="P800" s="232" t="str">
        <f>IF(S800="","",IF(Orçamento!$B800="INSUMO",S800,""))</f>
        <v>SARRAFO DE MADEIRA 7,0 x 3 M</v>
      </c>
      <c r="Q800" s="244" t="str">
        <f t="shared" si="531"/>
        <v/>
      </c>
      <c r="R800" s="234">
        <f t="shared" ca="1" si="571"/>
        <v>22.029999999999998</v>
      </c>
      <c r="S800" s="233" t="s">
        <v>175</v>
      </c>
      <c r="T800" s="242" t="str">
        <f>_xlfn.XLOOKUP(S800,Insumos!$A$3:$A$371,Insumos!$B$3:$B$371)</f>
        <v>M3</v>
      </c>
      <c r="U800" s="235">
        <f t="shared" ca="1" si="565"/>
        <v>22.029999999999998</v>
      </c>
      <c r="V800" s="320">
        <v>7.9000000000000008E-3</v>
      </c>
      <c r="W800" s="236">
        <f>IFERROR(IF(B800="INSUMO",_xlfn.XLOOKUP(S800,Insumos!A:A,Insumos!C:C),""),"Inserir Preço")</f>
        <v>1300</v>
      </c>
      <c r="X800" s="235">
        <f t="shared" ca="1" si="564"/>
        <v>0.174037</v>
      </c>
      <c r="Y800" s="236">
        <f t="shared" si="519"/>
        <v>10.270000000000001</v>
      </c>
      <c r="Z800" s="237">
        <f t="shared" ca="1" si="550"/>
        <v>226.24809999999999</v>
      </c>
      <c r="AA800" s="238"/>
      <c r="AB800" s="233" t="str">
        <f>IF(B800="insumo",_xlfn.XLOOKUP(S800,Insumos!A:A,Insumos!D:D),"")</f>
        <v xml:space="preserve"> </v>
      </c>
      <c r="AC800" s="239">
        <f t="shared" ca="1" si="551"/>
        <v>3.2457352695200463E-5</v>
      </c>
      <c r="AE800" s="240">
        <f ca="1">IFERROR(IF(OR(Z800="",Z800=0),"",IF(AF800="","",IF(AF800="R$/mês",Z800/OBRA!$D$12,IF(AF800="R$/m²",Z800/OBRA!$D$10,IF(AF800="R$/apto",Orçamento!Z800/OBRA!$D$11,""))))),"")</f>
        <v>0.1164288838686105</v>
      </c>
      <c r="AF800" s="241" t="s">
        <v>154</v>
      </c>
    </row>
    <row r="801" spans="1:32" s="10" customFormat="1" ht="13.15" hidden="1" customHeight="1" outlineLevel="4" x14ac:dyDescent="0.2">
      <c r="A801" s="227"/>
      <c r="B801" s="228" t="s">
        <v>19</v>
      </c>
      <c r="C801" s="229">
        <f t="shared" si="549"/>
        <v>26</v>
      </c>
      <c r="D801" s="227" t="str">
        <f t="shared" si="552"/>
        <v/>
      </c>
      <c r="E801" s="228" t="str">
        <f t="shared" ca="1" si="553"/>
        <v>05.005.002.003</v>
      </c>
      <c r="F801" s="230">
        <f ca="1">IF($B801="UNIDADE CONSTRUTIVA",OFFSET(F801,-1,0)+1,LARGE(F$10:F800,1))</f>
        <v>2</v>
      </c>
      <c r="G801" s="228" t="str">
        <f t="shared" ca="1" si="566"/>
        <v xml:space="preserve">   GERENCIAMENTO EXECUTIVO</v>
      </c>
      <c r="H801" s="230">
        <f t="shared" ca="1" si="555"/>
        <v>5</v>
      </c>
      <c r="I801" s="228" t="str">
        <f t="shared" ca="1" si="567"/>
        <v xml:space="preserve">   ALVENARIA | VEDAÇÕES | DIVISÓRIAS</v>
      </c>
      <c r="J801" s="230">
        <f t="shared" ca="1" si="557"/>
        <v>5</v>
      </c>
      <c r="K801" s="228" t="str">
        <f t="shared" ca="1" si="568"/>
        <v xml:space="preserve">   ALVENARIA | VEDAÇÕES | DIVISÓRIAS - BARRILETE / CAIXA DÁGUA / CASA DE MÁQUINAS</v>
      </c>
      <c r="L801" s="231">
        <f t="shared" ca="1" si="559"/>
        <v>2</v>
      </c>
      <c r="M801" s="228" t="str">
        <f t="shared" ca="1" si="569"/>
        <v xml:space="preserve">   Serviços Complementares</v>
      </c>
      <c r="N801" s="231">
        <f t="shared" ca="1" si="561"/>
        <v>3</v>
      </c>
      <c r="O801" s="228" t="str">
        <f t="shared" ca="1" si="570"/>
        <v>Verga/contraverga de concreto, moldada in loco</v>
      </c>
      <c r="P801" s="232" t="str">
        <f>IF(S801="","",IF(Orçamento!$B801="INSUMO",S801,""))</f>
        <v>MADEIRA PINUS/SIMILAR - PONTALETE 75X75MM NBR 11700/15696</v>
      </c>
      <c r="Q801" s="244" t="str">
        <f t="shared" si="531"/>
        <v/>
      </c>
      <c r="R801" s="234">
        <f t="shared" ca="1" si="571"/>
        <v>22.029999999999998</v>
      </c>
      <c r="S801" s="233" t="s">
        <v>807</v>
      </c>
      <c r="T801" s="242" t="str">
        <f>_xlfn.XLOOKUP(S801,Insumos!$A$3:$A$371,Insumos!$B$3:$B$371)</f>
        <v>M</v>
      </c>
      <c r="U801" s="235">
        <f t="shared" ca="1" si="565"/>
        <v>22.029999999999998</v>
      </c>
      <c r="V801" s="320">
        <v>0.37140000000000001</v>
      </c>
      <c r="W801" s="236">
        <f>IFERROR(IF(B801="INSUMO",_xlfn.XLOOKUP(S801,Insumos!A:A,Insumos!C:C),""),"Inserir Preço")</f>
        <v>7</v>
      </c>
      <c r="X801" s="235">
        <f t="shared" ca="1" si="564"/>
        <v>8.1819419999999994</v>
      </c>
      <c r="Y801" s="236">
        <f t="shared" si="519"/>
        <v>2.5998000000000001</v>
      </c>
      <c r="Z801" s="237">
        <f t="shared" ca="1" si="550"/>
        <v>57.273593999999996</v>
      </c>
      <c r="AA801" s="238"/>
      <c r="AB801" s="233" t="str">
        <f>IF(B801="insumo",_xlfn.XLOOKUP(S801,Insumos!A:A,Insumos!D:D),"")</f>
        <v xml:space="preserve"> </v>
      </c>
      <c r="AC801" s="239">
        <f t="shared" ca="1" si="551"/>
        <v>8.2164192343702185E-6</v>
      </c>
      <c r="AE801" s="240">
        <f ca="1">IFERROR(IF(OR(Z801="",Z801=0),"",IF(AF801="","",IF(AF801="R$/mês",Z801/OBRA!$D$12,IF(AF801="R$/m²",Z801/OBRA!$D$10,IF(AF801="R$/apto",Orçamento!Z801/OBRA!$D$11,""))))),"")</f>
        <v>2.9473399443195089E-2</v>
      </c>
      <c r="AF801" s="241" t="s">
        <v>154</v>
      </c>
    </row>
    <row r="802" spans="1:32" s="10" customFormat="1" ht="13.15" hidden="1" customHeight="1" outlineLevel="4" x14ac:dyDescent="0.2">
      <c r="A802" s="227"/>
      <c r="B802" s="228" t="s">
        <v>19</v>
      </c>
      <c r="C802" s="229">
        <f t="shared" si="549"/>
        <v>5</v>
      </c>
      <c r="D802" s="227" t="str">
        <f t="shared" si="552"/>
        <v/>
      </c>
      <c r="E802" s="228" t="str">
        <f t="shared" ca="1" si="553"/>
        <v>05.005.002.003</v>
      </c>
      <c r="F802" s="230">
        <f ca="1">IF($B802="UNIDADE CONSTRUTIVA",OFFSET(F802,-1,0)+1,LARGE(F$10:F801,1))</f>
        <v>2</v>
      </c>
      <c r="G802" s="228" t="str">
        <f t="shared" ca="1" si="566"/>
        <v xml:space="preserve">   GERENCIAMENTO EXECUTIVO</v>
      </c>
      <c r="H802" s="230">
        <f t="shared" ca="1" si="555"/>
        <v>5</v>
      </c>
      <c r="I802" s="228" t="str">
        <f t="shared" ca="1" si="567"/>
        <v xml:space="preserve">   ALVENARIA | VEDAÇÕES | DIVISÓRIAS</v>
      </c>
      <c r="J802" s="230">
        <f t="shared" ca="1" si="557"/>
        <v>5</v>
      </c>
      <c r="K802" s="228" t="str">
        <f t="shared" ca="1" si="568"/>
        <v xml:space="preserve">   ALVENARIA | VEDAÇÕES | DIVISÓRIAS - BARRILETE / CAIXA DÁGUA / CASA DE MÁQUINAS</v>
      </c>
      <c r="L802" s="231">
        <f t="shared" ca="1" si="559"/>
        <v>2</v>
      </c>
      <c r="M802" s="228" t="str">
        <f t="shared" ca="1" si="569"/>
        <v xml:space="preserve">   Serviços Complementares</v>
      </c>
      <c r="N802" s="231">
        <f t="shared" ca="1" si="561"/>
        <v>3</v>
      </c>
      <c r="O802" s="228" t="str">
        <f t="shared" ca="1" si="570"/>
        <v>Verga/contraverga de concreto, moldada in loco</v>
      </c>
      <c r="P802" s="232" t="str">
        <f>IF(S802="","",IF(Orçamento!$B802="INSUMO",S802,""))</f>
        <v>CONCRETO USINADO BOMBEAVEL FCK 20 MPA BRITA 0+1 SLUMP 14+/-2</v>
      </c>
      <c r="Q802" s="244" t="str">
        <f t="shared" si="531"/>
        <v/>
      </c>
      <c r="R802" s="234">
        <f t="shared" ca="1" si="571"/>
        <v>22.029999999999998</v>
      </c>
      <c r="S802" s="233" t="s">
        <v>211</v>
      </c>
      <c r="T802" s="242" t="str">
        <f>_xlfn.XLOOKUP(S802,Insumos!$A$3:$A$371,Insumos!$B$3:$B$371)</f>
        <v>M3</v>
      </c>
      <c r="U802" s="235">
        <f t="shared" ca="1" si="565"/>
        <v>22.029999999999998</v>
      </c>
      <c r="V802" s="320">
        <v>2.5000000000000001E-2</v>
      </c>
      <c r="W802" s="236">
        <f>IFERROR(IF(B802="INSUMO",_xlfn.XLOOKUP(S802,Insumos!A:A,Insumos!C:C),""),"Inserir Preço")</f>
        <v>480</v>
      </c>
      <c r="X802" s="235">
        <f t="shared" ca="1" si="564"/>
        <v>0.55074999999999996</v>
      </c>
      <c r="Y802" s="236">
        <f t="shared" si="519"/>
        <v>12</v>
      </c>
      <c r="Z802" s="237">
        <f t="shared" ca="1" si="550"/>
        <v>264.35999999999996</v>
      </c>
      <c r="AA802" s="238"/>
      <c r="AB802" s="233" t="str">
        <f>IF(B802="insumo",_xlfn.XLOOKUP(S802,Insumos!A:A,Insumos!D:D),"")</f>
        <v xml:space="preserve"> </v>
      </c>
      <c r="AC802" s="239">
        <f t="shared" ca="1" si="551"/>
        <v>3.7924852224187485E-5</v>
      </c>
      <c r="AE802" s="240">
        <f ca="1">IFERROR(IF(OR(Z802="",Z802=0),"",IF(AF802="","",IF(AF802="R$/mês",Z802/OBRA!$D$12,IF(AF802="R$/m²",Z802/OBRA!$D$10,IF(AF802="R$/apto",Orçamento!Z802/OBRA!$D$11,""))))),"")</f>
        <v>0.13604153908698402</v>
      </c>
      <c r="AF802" s="241" t="s">
        <v>154</v>
      </c>
    </row>
    <row r="803" spans="1:32" s="10" customFormat="1" ht="13.15" hidden="1" customHeight="1" outlineLevel="3" collapsed="1" x14ac:dyDescent="0.2">
      <c r="A803" s="227"/>
      <c r="B803" s="228" t="s">
        <v>3</v>
      </c>
      <c r="C803" s="229" t="str">
        <f t="shared" si="549"/>
        <v/>
      </c>
      <c r="D803" s="227" t="str">
        <f t="shared" ca="1" si="552"/>
        <v>05.005.003</v>
      </c>
      <c r="E803" s="228" t="str">
        <f t="shared" ca="1" si="553"/>
        <v>05.005.002.003</v>
      </c>
      <c r="F803" s="230">
        <f ca="1">IF($B803="UNIDADE CONSTRUTIVA",OFFSET(F803,-1,0)+1,LARGE(F$10:F802,1))</f>
        <v>2</v>
      </c>
      <c r="G803" s="228" t="str">
        <f t="shared" ca="1" si="566"/>
        <v xml:space="preserve">   GERENCIAMENTO EXECUTIVO</v>
      </c>
      <c r="H803" s="230">
        <f t="shared" ca="1" si="555"/>
        <v>5</v>
      </c>
      <c r="I803" s="228" t="str">
        <f t="shared" ca="1" si="567"/>
        <v xml:space="preserve">   ALVENARIA | VEDAÇÕES | DIVISÓRIAS</v>
      </c>
      <c r="J803" s="230">
        <f t="shared" ca="1" si="557"/>
        <v>5</v>
      </c>
      <c r="K803" s="228" t="str">
        <f t="shared" ca="1" si="568"/>
        <v xml:space="preserve">   ALVENARIA | VEDAÇÕES | DIVISÓRIAS - BARRILETE / CAIXA DÁGUA / CASA DE MÁQUINAS</v>
      </c>
      <c r="L803" s="231">
        <f t="shared" ca="1" si="559"/>
        <v>3</v>
      </c>
      <c r="M803" s="228" t="str">
        <f t="shared" ca="1" si="569"/>
        <v xml:space="preserve">   Mão de Obra</v>
      </c>
      <c r="N803" s="231">
        <f t="shared" ca="1" si="561"/>
        <v>0</v>
      </c>
      <c r="O803" s="228" t="str">
        <f t="shared" ca="1" si="570"/>
        <v>Verga/contraverga de concreto, moldada in loco</v>
      </c>
      <c r="P803" s="232" t="str">
        <f>IF(S803="","",IF(Orçamento!$B803="INSUMO",S803,""))</f>
        <v/>
      </c>
      <c r="Q803" s="244" t="str">
        <f t="shared" si="531"/>
        <v/>
      </c>
      <c r="R803" s="234">
        <f t="shared" ca="1" si="571"/>
        <v>22.029999999999998</v>
      </c>
      <c r="S803" s="233" t="s">
        <v>438</v>
      </c>
      <c r="T803" s="242" t="s">
        <v>35</v>
      </c>
      <c r="U803" s="235" t="str">
        <f>IF($B803="insumo",R803,"")</f>
        <v/>
      </c>
      <c r="V803" s="320" t="s">
        <v>35</v>
      </c>
      <c r="W803" s="236" t="str">
        <f>IFERROR(IF(B803="INSUMO",_xlfn.XLOOKUP(S803,Insumos!A:A,Insumos!C:C),""),"Inserir Preço")</f>
        <v/>
      </c>
      <c r="X803" s="235" t="str">
        <f ca="1">IF(B803="Complemento do insumo",V803,IF(R803="","",IF(B803="serviço",R803,IF(OR(B803="insumo"),V803*R803,""))))</f>
        <v/>
      </c>
      <c r="Y803" s="236" t="str">
        <f t="shared" si="519"/>
        <v/>
      </c>
      <c r="Z803" s="237">
        <f t="shared" ca="1" si="550"/>
        <v>10039.385159357656</v>
      </c>
      <c r="AA803" s="238"/>
      <c r="AB803" s="233" t="str">
        <f>IF(B803="insumo",_xlfn.XLOOKUP(S803,Insumos!A:A,Insumos!D:D),"")</f>
        <v/>
      </c>
      <c r="AC803" s="239">
        <f t="shared" ca="1" si="551"/>
        <v>1.4402413322376309E-3</v>
      </c>
      <c r="AE803" s="240">
        <f ca="1">IFERROR(IF(OR(Z803="",Z803=0),"",IF(AF803="","",IF(AF803="R$/mês",Z803/OBRA!$D$12,IF(AF803="R$/m²",Z803/OBRA!$D$10,IF(AF803="R$/apto",Orçamento!Z803/OBRA!$D$11,""))))),"")</f>
        <v>5.1663391154714864</v>
      </c>
      <c r="AF803" s="241" t="s">
        <v>154</v>
      </c>
    </row>
    <row r="804" spans="1:32" s="10" customFormat="1" ht="13.15" hidden="1" customHeight="1" outlineLevel="4" x14ac:dyDescent="0.2">
      <c r="A804" s="227"/>
      <c r="B804" s="228" t="s">
        <v>4</v>
      </c>
      <c r="C804" s="229">
        <f t="shared" si="549"/>
        <v>5</v>
      </c>
      <c r="D804" s="227" t="str">
        <f t="shared" ca="1" si="552"/>
        <v>05.005.003.001</v>
      </c>
      <c r="E804" s="228" t="str">
        <f t="shared" ca="1" si="553"/>
        <v>05.005.003.001</v>
      </c>
      <c r="F804" s="230">
        <f ca="1">IF($B804="UNIDADE CONSTRUTIVA",OFFSET(F804,-1,0)+1,LARGE(F$10:F803,1))</f>
        <v>2</v>
      </c>
      <c r="G804" s="228" t="str">
        <f t="shared" ca="1" si="566"/>
        <v xml:space="preserve">   GERENCIAMENTO EXECUTIVO</v>
      </c>
      <c r="H804" s="230">
        <f t="shared" ca="1" si="555"/>
        <v>5</v>
      </c>
      <c r="I804" s="228" t="str">
        <f t="shared" ca="1" si="567"/>
        <v xml:space="preserve">   ALVENARIA | VEDAÇÕES | DIVISÓRIAS</v>
      </c>
      <c r="J804" s="230">
        <f t="shared" ca="1" si="557"/>
        <v>5</v>
      </c>
      <c r="K804" s="228" t="str">
        <f t="shared" ca="1" si="568"/>
        <v xml:space="preserve">   ALVENARIA | VEDAÇÕES | DIVISÓRIAS - BARRILETE / CAIXA DÁGUA / CASA DE MÁQUINAS</v>
      </c>
      <c r="L804" s="231">
        <f t="shared" ca="1" si="559"/>
        <v>3</v>
      </c>
      <c r="M804" s="228" t="str">
        <f t="shared" ca="1" si="569"/>
        <v xml:space="preserve">   Mão de Obra</v>
      </c>
      <c r="N804" s="231">
        <f t="shared" ca="1" si="561"/>
        <v>1</v>
      </c>
      <c r="O804" s="228" t="str">
        <f t="shared" ca="1" si="570"/>
        <v>Mao de obra empreitada vedacoes internas e externas - assentamento blocos ceramicos</v>
      </c>
      <c r="P804" s="232" t="str">
        <f>IF(S804="","",IF(Orçamento!$B804="INSUMO",S804,""))</f>
        <v/>
      </c>
      <c r="Q804" s="244" t="str">
        <f t="shared" si="531"/>
        <v>Mao de obra empreitada vedacoes internas e externas - assentamento blocos ceramicos</v>
      </c>
      <c r="R804" s="234">
        <f t="shared" ca="1" si="571"/>
        <v>170.35999999999999</v>
      </c>
      <c r="S804" s="233" t="s">
        <v>218</v>
      </c>
      <c r="T804" s="242" t="s">
        <v>140</v>
      </c>
      <c r="U804" s="235">
        <f>U785</f>
        <v>170.35999999999999</v>
      </c>
      <c r="V804" s="320" t="s">
        <v>35</v>
      </c>
      <c r="W804" s="236" t="str">
        <f>IFERROR(IF(B804="INSUMO",_xlfn.XLOOKUP(S804,Insumos!A:A,Insumos!C:C),""),"Inserir Preço")</f>
        <v/>
      </c>
      <c r="X804" s="235">
        <f ca="1">IF(B804="Complemento do insumo",V804,IF(R804="","",IF(B804="serviço",R804,IF(OR(B804="insumo"),V804*R804,""))))</f>
        <v>170.35999999999999</v>
      </c>
      <c r="Y804" s="236">
        <f t="shared" ca="1" si="519"/>
        <v>58.930413003977797</v>
      </c>
      <c r="Z804" s="237">
        <f t="shared" ca="1" si="550"/>
        <v>10039.385159357656</v>
      </c>
      <c r="AA804" s="238"/>
      <c r="AB804" s="233" t="str">
        <f>IF(B804="insumo",_xlfn.XLOOKUP(S804,Insumos!A:A,Insumos!D:D),"")</f>
        <v/>
      </c>
      <c r="AC804" s="239">
        <f t="shared" ca="1" si="551"/>
        <v>1.4402413322376309E-3</v>
      </c>
      <c r="AE804" s="240">
        <f ca="1">IFERROR(IF(OR(Z804="",Z804=0),"",IF(AF804="","",IF(AF804="R$/mês",Z804/OBRA!$D$12,IF(AF804="R$/m²",Z804/OBRA!$D$10,IF(AF804="R$/apto",Orçamento!Z804/OBRA!$D$11,""))))),"")</f>
        <v>5.1663391154714864</v>
      </c>
      <c r="AF804" s="241" t="s">
        <v>154</v>
      </c>
    </row>
    <row r="805" spans="1:32" s="10" customFormat="1" ht="13.15" hidden="1" customHeight="1" outlineLevel="4" x14ac:dyDescent="0.2">
      <c r="A805" s="227"/>
      <c r="B805" s="228" t="s">
        <v>19</v>
      </c>
      <c r="C805" s="229">
        <f t="shared" si="549"/>
        <v>5</v>
      </c>
      <c r="D805" s="227" t="str">
        <f t="shared" si="552"/>
        <v/>
      </c>
      <c r="E805" s="228" t="str">
        <f t="shared" ca="1" si="553"/>
        <v>05.005.003.001</v>
      </c>
      <c r="F805" s="230">
        <f ca="1">IF($B805="UNIDADE CONSTRUTIVA",OFFSET(F805,-1,0)+1,LARGE(F$10:F804,1))</f>
        <v>2</v>
      </c>
      <c r="G805" s="228" t="str">
        <f t="shared" ca="1" si="566"/>
        <v xml:space="preserve">   GERENCIAMENTO EXECUTIVO</v>
      </c>
      <c r="H805" s="230">
        <f t="shared" ca="1" si="555"/>
        <v>5</v>
      </c>
      <c r="I805" s="228" t="str">
        <f t="shared" ca="1" si="567"/>
        <v xml:space="preserve">   ALVENARIA | VEDAÇÕES | DIVISÓRIAS</v>
      </c>
      <c r="J805" s="230">
        <f t="shared" ca="1" si="557"/>
        <v>5</v>
      </c>
      <c r="K805" s="228" t="str">
        <f t="shared" ca="1" si="568"/>
        <v xml:space="preserve">   ALVENARIA | VEDAÇÕES | DIVISÓRIAS - BARRILETE / CAIXA DÁGUA / CASA DE MÁQUINAS</v>
      </c>
      <c r="L805" s="231">
        <f t="shared" ca="1" si="559"/>
        <v>3</v>
      </c>
      <c r="M805" s="228" t="str">
        <f t="shared" ca="1" si="569"/>
        <v xml:space="preserve">   Mão de Obra</v>
      </c>
      <c r="N805" s="231">
        <f t="shared" ca="1" si="561"/>
        <v>1</v>
      </c>
      <c r="O805" s="228" t="str">
        <f t="shared" ca="1" si="570"/>
        <v>Mao de obra empreitada vedacoes internas e externas - assentamento blocos ceramicos</v>
      </c>
      <c r="P805" s="232" t="str">
        <f>IF(S805="","",IF(Orçamento!$B805="INSUMO",S805,""))</f>
        <v>MAO DE OBRA ASSENTAMENTO DE BLOCOS</v>
      </c>
      <c r="Q805" s="244" t="str">
        <f t="shared" si="531"/>
        <v/>
      </c>
      <c r="R805" s="234">
        <f t="shared" ca="1" si="571"/>
        <v>170.35999999999999</v>
      </c>
      <c r="S805" s="233" t="s">
        <v>693</v>
      </c>
      <c r="T805" s="242" t="str">
        <f>_xlfn.XLOOKUP(S805,Insumos!$A$3:$A$371,Insumos!$B$3:$B$371)</f>
        <v>M2</v>
      </c>
      <c r="U805" s="235">
        <f ca="1">IF($B805="insumo",R805,"")</f>
        <v>170.35999999999999</v>
      </c>
      <c r="V805" s="320">
        <v>1</v>
      </c>
      <c r="W805" s="236">
        <f>IFERROR(IF(B805="INSUMO",_xlfn.XLOOKUP(S805,Insumos!A:A,Insumos!C:C),""),"Inserir Preço")</f>
        <v>58.930413003977797</v>
      </c>
      <c r="X805" s="235">
        <f ca="1">IF(B805="Complemento do insumo",V805,IF(R805="","",IF(B805="serviço",R805,IF(OR(B805="insumo"),V805*R805,""))))</f>
        <v>170.35999999999999</v>
      </c>
      <c r="Y805" s="236">
        <f t="shared" si="519"/>
        <v>58.930413003977797</v>
      </c>
      <c r="Z805" s="237">
        <f t="shared" ca="1" si="550"/>
        <v>10039.385159357656</v>
      </c>
      <c r="AA805" s="238"/>
      <c r="AB805" s="233" t="str">
        <f>IF(B805="insumo",_xlfn.XLOOKUP(S805,Insumos!A:A,Insumos!D:D),"")</f>
        <v>Aba Custo Serviços</v>
      </c>
      <c r="AC805" s="239">
        <f t="shared" ca="1" si="551"/>
        <v>1.4402413322376309E-3</v>
      </c>
      <c r="AE805" s="240">
        <f ca="1">IFERROR(IF(OR(Z805="",Z805=0),"",IF(AF805="","",IF(AF805="R$/mês",Z805/OBRA!$D$12,IF(AF805="R$/m²",Z805/OBRA!$D$10,IF(AF805="R$/apto",Orçamento!Z805/OBRA!$D$11,""))))),"")</f>
        <v>5.1663391154714864</v>
      </c>
      <c r="AF805" s="241" t="s">
        <v>154</v>
      </c>
    </row>
    <row r="806" spans="1:32" s="10" customFormat="1" ht="13.15" customHeight="1" outlineLevel="1" x14ac:dyDescent="0.2">
      <c r="A806" s="227"/>
      <c r="B806" s="228" t="s">
        <v>1</v>
      </c>
      <c r="C806" s="229" t="str">
        <f t="shared" si="549"/>
        <v/>
      </c>
      <c r="D806" s="227" t="str">
        <f t="shared" ref="D806:D821" ca="1" si="572">IF(B806="Unidade Construtiva",TEXT(F806,"00"),IF(B806="Célula Construtiva",TEXT(H806,"00"),IF(B806="Etapa",CONCATENATE(TEXT(H806,"00"),".",TEXT(J806,"000")),IF(B806="Subetapa",CONCATENATE(TEXT(H806,"00"),".",TEXT(J806,"000"),".",TEXT(L806,"000")),IF(B806="Serviço",CONCATENATE(TEXT(H806,"00"),".",TEXT(J806,"000"),".",TEXT(L806,"000"),".",TEXT(N806,"000")),"")))))</f>
        <v>06</v>
      </c>
      <c r="E806" s="228" t="str">
        <f ca="1">IF(B806="*","",IFERROR(IF(B806="SERVIÇO",D806,OFFSET(E806,-1,0)),""))</f>
        <v>05.005.003.001</v>
      </c>
      <c r="F806" s="230">
        <f ca="1">IF($B806="UNIDADE CONSTRUTIVA",OFFSET(F806,-1,0)+1,LARGE(F$10:F805,1))</f>
        <v>2</v>
      </c>
      <c r="G806" s="228" t="str">
        <f t="shared" ca="1" si="566"/>
        <v xml:space="preserve">   GERENCIAMENTO EXECUTIVO</v>
      </c>
      <c r="H806" s="230">
        <f ca="1">IF(B806="UNIDADE CONSTRUTIVA",0,IF(B806="CÉLULA CONSTRUTIVA",OFFSET(H806,-1,0)+1,OFFSET(H806,-1,0)))</f>
        <v>6</v>
      </c>
      <c r="I806" s="228" t="str">
        <f t="shared" ca="1" si="567"/>
        <v xml:space="preserve">   IMPERMEABILIZAÇÃO E TRATAMENTOS</v>
      </c>
      <c r="J806" s="230">
        <f ca="1">IF(B806="CÉLULA CONSTRUTIVA",0,IF(B806="ETAPA",OFFSET(J806,-1,0)+1,OFFSET(J806,-1,0)))</f>
        <v>0</v>
      </c>
      <c r="K806" s="228" t="str">
        <f t="shared" ca="1" si="568"/>
        <v xml:space="preserve">   ALVENARIA | VEDAÇÕES | DIVISÓRIAS - BARRILETE / CAIXA DÁGUA / CASA DE MÁQUINAS</v>
      </c>
      <c r="L806" s="231">
        <f ca="1">IF(B806="ETAPA",0,IF(B806="SUBETAPA",OFFSET(L806,-1,0)+1,OFFSET(L806,-1,0)))</f>
        <v>3</v>
      </c>
      <c r="M806" s="228" t="str">
        <f t="shared" ca="1" si="569"/>
        <v xml:space="preserve">   Mão de Obra</v>
      </c>
      <c r="N806" s="231">
        <f ca="1">IF(B806="Subetapa",0,IF(B806="serviço",OFFSET(N806,-1,0)+1,OFFSET(N806,-1,0)))</f>
        <v>1</v>
      </c>
      <c r="O806" s="228" t="str">
        <f t="shared" ca="1" si="570"/>
        <v>Mao de obra empreitada vedacoes internas e externas - assentamento blocos ceramicos</v>
      </c>
      <c r="P806" s="232" t="str">
        <f>IF(S806="","",IF(Orçamento!$B806="INSUMO",S806,""))</f>
        <v/>
      </c>
      <c r="Q806" s="244" t="str">
        <f t="shared" ref="Q806:Q821" si="573">IF(B806="","",IF(B806="Serviço",S806,""))</f>
        <v/>
      </c>
      <c r="R806" s="234">
        <f t="shared" ref="R806:R844" ca="1" si="574">IF(B806="serviço",U806,OFFSET(R806,-1,0))</f>
        <v>170.35999999999999</v>
      </c>
      <c r="S806" s="233" t="s">
        <v>548</v>
      </c>
      <c r="T806" s="242" t="s">
        <v>35</v>
      </c>
      <c r="U806" s="235" t="str">
        <f>IF($B806="insumo",R806,"")</f>
        <v/>
      </c>
      <c r="V806" s="320" t="s">
        <v>35</v>
      </c>
      <c r="W806" s="236" t="str">
        <f>IFERROR(IF(B806="INSUMO",_xlfn.XLOOKUP(S806,Insumos!A:A,Insumos!C:C),""),"Inserir Preço")</f>
        <v/>
      </c>
      <c r="X806" s="235" t="str">
        <f t="shared" ref="X806:X844" ca="1" si="575">IF(B806="Complemento do insumo",V806,IF(R806="","",IF(B806="serviço",R806,IF(OR(B806="insumo"),V806*R806,""))))</f>
        <v/>
      </c>
      <c r="Y806" s="236" t="str">
        <f t="shared" si="519"/>
        <v/>
      </c>
      <c r="Z806" s="237">
        <f t="shared" ca="1" si="550"/>
        <v>175140.610575</v>
      </c>
      <c r="AA806" s="238"/>
      <c r="AB806" s="233" t="str">
        <f>IF(B806="insumo",_xlfn.XLOOKUP(S806,Insumos!A:A,Insumos!D:D),"")</f>
        <v/>
      </c>
      <c r="AC806" s="239">
        <f t="shared" ca="1" si="551"/>
        <v>2.5125517379750505E-2</v>
      </c>
      <c r="AE806" s="240">
        <f ca="1">IFERROR(IF(OR(Z806="",Z806=0),"",IF(AF806="","",IF(AF806="R$/mês",Z806/OBRA!$D$12,IF(AF806="R$/m²",Z806/OBRA!$D$10,IF(AF806="R$/apto",Orçamento!Z806/OBRA!$D$11,""))))),"")</f>
        <v>90.128605762055955</v>
      </c>
      <c r="AF806" s="241" t="s">
        <v>154</v>
      </c>
    </row>
    <row r="807" spans="1:32" s="10" customFormat="1" ht="13.15" customHeight="1" outlineLevel="2" collapsed="1" x14ac:dyDescent="0.2">
      <c r="A807" s="227"/>
      <c r="B807" s="228" t="s">
        <v>2</v>
      </c>
      <c r="C807" s="229" t="str">
        <f t="shared" si="549"/>
        <v/>
      </c>
      <c r="D807" s="227" t="str">
        <f t="shared" ca="1" si="572"/>
        <v>06.001</v>
      </c>
      <c r="E807" s="228" t="str">
        <f t="shared" ref="E807:E821" ca="1" si="576">IF(B807="*","",IFERROR(IF(B807="SERVIÇO",D807,OFFSET(E807,-1,0)),""))</f>
        <v>05.005.003.001</v>
      </c>
      <c r="F807" s="230">
        <f ca="1">IF($B807="UNIDADE CONSTRUTIVA",OFFSET(F807,-1,0)+1,LARGE(F$10:F806,1))</f>
        <v>2</v>
      </c>
      <c r="G807" s="228" t="str">
        <f t="shared" ref="G807:G844" ca="1" si="577">IF(B807="*","",IF(B807="UNIDADE CONSTRUTIVA",S807,OFFSET(G807,-1,0)))</f>
        <v xml:space="preserve">   GERENCIAMENTO EXECUTIVO</v>
      </c>
      <c r="H807" s="230">
        <f t="shared" ref="H807:H821" ca="1" si="578">IF(B807="UNIDADE CONSTRUTIVA",0,IF(B807="CÉLULA CONSTRUTIVA",OFFSET(H807,-1,0)+1,OFFSET(H807,-1,0)))</f>
        <v>6</v>
      </c>
      <c r="I807" s="228" t="str">
        <f t="shared" ref="I807:I844" ca="1" si="579">IF(B807="*","",IF(B807="CÉLULA CONSTRUTIVA",S807,OFFSET(I807,-1,0)))</f>
        <v xml:space="preserve">   IMPERMEABILIZAÇÃO E TRATAMENTOS</v>
      </c>
      <c r="J807" s="230">
        <f t="shared" ref="J807:J821" ca="1" si="580">IF(B807="CÉLULA CONSTRUTIVA",0,IF(B807="ETAPA",OFFSET(J807,-1,0)+1,OFFSET(J807,-1,0)))</f>
        <v>1</v>
      </c>
      <c r="K807" s="228" t="str">
        <f t="shared" ref="K807:K844" ca="1" si="581">IF(B807="*","",IF(B807="ETAPA",S807,OFFSET(K807,-1,0)))</f>
        <v xml:space="preserve">   IMPERMEABILIZAÇÃO E TRATAMENTOS - 1º PAVIMENTO - SUBSOLO</v>
      </c>
      <c r="L807" s="231">
        <f t="shared" ref="L807:L821" ca="1" si="582">IF(B807="ETAPA",0,IF(B807="SUBETAPA",OFFSET(L807,-1,0)+1,OFFSET(L807,-1,0)))</f>
        <v>0</v>
      </c>
      <c r="M807" s="228" t="str">
        <f t="shared" ref="M807:M844" ca="1" si="583">IF(B807="*","",IF(B807="SUBETAPA",S807,OFFSET(M807,-1,0)))</f>
        <v xml:space="preserve">   Mão de Obra</v>
      </c>
      <c r="N807" s="231">
        <f t="shared" ref="N807:N821" ca="1" si="584">IF(B807="Subetapa",0,IF(B807="serviço",OFFSET(N807,-1,0)+1,OFFSET(N807,-1,0)))</f>
        <v>1</v>
      </c>
      <c r="O807" s="228" t="str">
        <f t="shared" ref="O807:O844" ca="1" si="585">IF(B807="*","",IF(B807="SERVIÇO",S807,OFFSET(O807,-1,0)))</f>
        <v>Mao de obra empreitada vedacoes internas e externas - assentamento blocos ceramicos</v>
      </c>
      <c r="P807" s="232" t="str">
        <f>IF(S807="","",IF(Orçamento!$B807="INSUMO",S807,""))</f>
        <v/>
      </c>
      <c r="Q807" s="244" t="str">
        <f t="shared" si="573"/>
        <v/>
      </c>
      <c r="R807" s="234">
        <f t="shared" ca="1" si="574"/>
        <v>170.35999999999999</v>
      </c>
      <c r="S807" s="233" t="s">
        <v>640</v>
      </c>
      <c r="T807" s="242" t="s">
        <v>35</v>
      </c>
      <c r="U807" s="235" t="str">
        <f>IF($B807="insumo",R807,"")</f>
        <v/>
      </c>
      <c r="V807" s="320" t="s">
        <v>35</v>
      </c>
      <c r="W807" s="236" t="str">
        <f>IFERROR(IF(B807="INSUMO",_xlfn.XLOOKUP(S807,Insumos!A:A,Insumos!C:C),""),"Inserir Preço")</f>
        <v/>
      </c>
      <c r="X807" s="235" t="str">
        <f t="shared" ca="1" si="575"/>
        <v/>
      </c>
      <c r="Y807" s="236" t="str">
        <f t="shared" si="519"/>
        <v/>
      </c>
      <c r="Z807" s="237">
        <f t="shared" ca="1" si="550"/>
        <v>36060.222439999998</v>
      </c>
      <c r="AA807" s="238"/>
      <c r="AB807" s="233" t="str">
        <f>IF(B807="insumo",_xlfn.XLOOKUP(S807,Insumos!A:A,Insumos!D:D),"")</f>
        <v/>
      </c>
      <c r="AC807" s="239">
        <f t="shared" ca="1" si="551"/>
        <v>5.1731676774411017E-3</v>
      </c>
      <c r="AE807" s="240">
        <f ca="1">IFERROR(IF(OR(Z807="",Z807=0),"",IF(AF807="","",IF(AF807="R$/mês",Z807/OBRA!$D$12,IF(AF807="R$/m²",Z807/OBRA!$D$10,IF(AF807="R$/apto",Orçamento!Z807/OBRA!$D$11,""))))),"")</f>
        <v>18.556847331504763</v>
      </c>
      <c r="AF807" s="241" t="s">
        <v>154</v>
      </c>
    </row>
    <row r="808" spans="1:32" s="10" customFormat="1" ht="13.15" hidden="1" customHeight="1" outlineLevel="3" collapsed="1" x14ac:dyDescent="0.2">
      <c r="A808" s="227"/>
      <c r="B808" s="228" t="s">
        <v>3</v>
      </c>
      <c r="C808" s="229" t="str">
        <f t="shared" si="549"/>
        <v/>
      </c>
      <c r="D808" s="227" t="str">
        <f t="shared" ca="1" si="572"/>
        <v>06.001.001</v>
      </c>
      <c r="E808" s="228" t="str">
        <f t="shared" ca="1" si="576"/>
        <v>05.005.003.001</v>
      </c>
      <c r="F808" s="230">
        <f ca="1">IF($B808="UNIDADE CONSTRUTIVA",OFFSET(F808,-1,0)+1,LARGE(F$10:F807,1))</f>
        <v>2</v>
      </c>
      <c r="G808" s="228" t="str">
        <f t="shared" ca="1" si="577"/>
        <v xml:space="preserve">   GERENCIAMENTO EXECUTIVO</v>
      </c>
      <c r="H808" s="230">
        <f t="shared" ca="1" si="578"/>
        <v>6</v>
      </c>
      <c r="I808" s="228" t="str">
        <f t="shared" ca="1" si="579"/>
        <v xml:space="preserve">   IMPERMEABILIZAÇÃO E TRATAMENTOS</v>
      </c>
      <c r="J808" s="230">
        <f t="shared" ca="1" si="580"/>
        <v>1</v>
      </c>
      <c r="K808" s="228" t="str">
        <f t="shared" ca="1" si="581"/>
        <v xml:space="preserve">   IMPERMEABILIZAÇÃO E TRATAMENTOS - 1º PAVIMENTO - SUBSOLO</v>
      </c>
      <c r="L808" s="231">
        <f t="shared" ca="1" si="582"/>
        <v>1</v>
      </c>
      <c r="M808" s="228" t="str">
        <f t="shared" ca="1" si="583"/>
        <v xml:space="preserve">   Regularizacao de superficie para impermeabilizacao</v>
      </c>
      <c r="N808" s="231">
        <f t="shared" ca="1" si="584"/>
        <v>0</v>
      </c>
      <c r="O808" s="228" t="str">
        <f t="shared" ca="1" si="585"/>
        <v>Mao de obra empreitada vedacoes internas e externas - assentamento blocos ceramicos</v>
      </c>
      <c r="P808" s="232" t="str">
        <f>IF(S808="","",IF(Orçamento!$B808="INSUMO",S808,""))</f>
        <v/>
      </c>
      <c r="Q808" s="244" t="str">
        <f t="shared" si="573"/>
        <v/>
      </c>
      <c r="R808" s="234">
        <f t="shared" ca="1" si="574"/>
        <v>170.35999999999999</v>
      </c>
      <c r="S808" s="233" t="s">
        <v>464</v>
      </c>
      <c r="T808" s="242" t="s">
        <v>35</v>
      </c>
      <c r="U808" s="235" t="str">
        <f>IF($B808="insumo",R808,"")</f>
        <v/>
      </c>
      <c r="V808" s="320" t="s">
        <v>35</v>
      </c>
      <c r="W808" s="236" t="str">
        <f>IFERROR(IF(B808="INSUMO",_xlfn.XLOOKUP(S808,Insumos!A:A,Insumos!C:C),""),"Inserir Preço")</f>
        <v/>
      </c>
      <c r="X808" s="235" t="str">
        <f t="shared" ca="1" si="575"/>
        <v/>
      </c>
      <c r="Y808" s="236" t="str">
        <f t="shared" ref="Y808:Y871" si="586">IF(B808="insumo",W808*V808,IF(B808="serviço",SUMIFS(Y:Y,B:B,"insumo",E:E,E808,I:I,I808),""))</f>
        <v/>
      </c>
      <c r="Z808" s="237">
        <f t="shared" ca="1" si="550"/>
        <v>2201.4925199999998</v>
      </c>
      <c r="AA808" s="238"/>
      <c r="AB808" s="233" t="str">
        <f>IF(B808="insumo",_xlfn.XLOOKUP(S808,Insumos!A:A,Insumos!D:D),"")</f>
        <v/>
      </c>
      <c r="AC808" s="239">
        <f t="shared" ca="1" si="551"/>
        <v>3.1582417345155892E-4</v>
      </c>
      <c r="AE808" s="240">
        <f ca="1">IFERROR(IF(OR(Z808="",Z808=0),"",IF(AF808="","",IF(AF808="R$/mês",Z808/OBRA!$D$12,IF(AF808="R$/m²",Z808/OBRA!$D$10,IF(AF808="R$/apto",Orçamento!Z808/OBRA!$D$11,""))))),"")</f>
        <v>1.1329037324454645</v>
      </c>
      <c r="AF808" s="241" t="s">
        <v>154</v>
      </c>
    </row>
    <row r="809" spans="1:32" s="10" customFormat="1" ht="13.15" hidden="1" customHeight="1" outlineLevel="4" x14ac:dyDescent="0.2">
      <c r="A809" s="227"/>
      <c r="B809" s="228" t="s">
        <v>4</v>
      </c>
      <c r="C809" s="229">
        <f t="shared" si="549"/>
        <v>5</v>
      </c>
      <c r="D809" s="227" t="str">
        <f t="shared" ca="1" si="572"/>
        <v>06.001.001.001</v>
      </c>
      <c r="E809" s="228" t="str">
        <f t="shared" ca="1" si="576"/>
        <v>06.001.001.001</v>
      </c>
      <c r="F809" s="230">
        <f ca="1">IF($B809="UNIDADE CONSTRUTIVA",OFFSET(F809,-1,0)+1,LARGE(F$10:F808,1))</f>
        <v>2</v>
      </c>
      <c r="G809" s="228" t="str">
        <f t="shared" ca="1" si="577"/>
        <v xml:space="preserve">   GERENCIAMENTO EXECUTIVO</v>
      </c>
      <c r="H809" s="230">
        <f t="shared" ca="1" si="578"/>
        <v>6</v>
      </c>
      <c r="I809" s="228" t="str">
        <f t="shared" ca="1" si="579"/>
        <v xml:space="preserve">   IMPERMEABILIZAÇÃO E TRATAMENTOS</v>
      </c>
      <c r="J809" s="230">
        <f t="shared" ca="1" si="580"/>
        <v>1</v>
      </c>
      <c r="K809" s="228" t="str">
        <f t="shared" ca="1" si="581"/>
        <v xml:space="preserve">   IMPERMEABILIZAÇÃO E TRATAMENTOS - 1º PAVIMENTO - SUBSOLO</v>
      </c>
      <c r="L809" s="231">
        <f t="shared" ca="1" si="582"/>
        <v>1</v>
      </c>
      <c r="M809" s="228" t="str">
        <f t="shared" ca="1" si="583"/>
        <v xml:space="preserve">   Regularizacao de superficie para impermeabilizacao</v>
      </c>
      <c r="N809" s="231">
        <f t="shared" ca="1" si="584"/>
        <v>1</v>
      </c>
      <c r="O809" s="228" t="str">
        <f t="shared" ca="1" si="585"/>
        <v>Regularizacao de superficie para impermeabilizacao</v>
      </c>
      <c r="P809" s="232" t="str">
        <f>IF(S809="","",IF(Orçamento!$B809="INSUMO",S809,""))</f>
        <v/>
      </c>
      <c r="Q809" s="244" t="str">
        <f t="shared" si="573"/>
        <v>Regularizacao de superficie para impermeabilizacao</v>
      </c>
      <c r="R809" s="234">
        <f t="shared" ca="1" si="574"/>
        <v>330.48</v>
      </c>
      <c r="S809" s="233" t="s">
        <v>465</v>
      </c>
      <c r="T809" s="242" t="s">
        <v>140</v>
      </c>
      <c r="U809" s="235">
        <f>U813+U820</f>
        <v>330.48</v>
      </c>
      <c r="V809" s="320" t="s">
        <v>35</v>
      </c>
      <c r="W809" s="236" t="str">
        <f>IFERROR(IF(B809="INSUMO",_xlfn.XLOOKUP(S809,Insumos!A:A,Insumos!C:C),""),"Inserir Preço")</f>
        <v/>
      </c>
      <c r="X809" s="235">
        <f t="shared" ca="1" si="575"/>
        <v>330.48</v>
      </c>
      <c r="Y809" s="236">
        <f t="shared" ca="1" si="586"/>
        <v>6.6615000000000002</v>
      </c>
      <c r="Z809" s="237">
        <f t="shared" ca="1" si="550"/>
        <v>2201.4925200000002</v>
      </c>
      <c r="AA809" s="238"/>
      <c r="AB809" s="233" t="str">
        <f>IF(B809="insumo",_xlfn.XLOOKUP(S809,Insumos!A:A,Insumos!D:D),"")</f>
        <v/>
      </c>
      <c r="AC809" s="239">
        <f t="shared" ca="1" si="551"/>
        <v>3.1582417345155897E-4</v>
      </c>
      <c r="AE809" s="240">
        <f ca="1">IFERROR(IF(OR(Z809="",Z809=0),"",IF(AF809="","",IF(AF809="R$/mês",Z809/OBRA!$D$12,IF(AF809="R$/m²",Z809/OBRA!$D$10,IF(AF809="R$/apto",Orçamento!Z809/OBRA!$D$11,""))))),"")</f>
        <v>1.1329037324454647</v>
      </c>
      <c r="AF809" s="241" t="s">
        <v>154</v>
      </c>
    </row>
    <row r="810" spans="1:32" s="10" customFormat="1" ht="13.15" hidden="1" customHeight="1" outlineLevel="4" x14ac:dyDescent="0.2">
      <c r="A810" s="227"/>
      <c r="B810" s="228" t="s">
        <v>19</v>
      </c>
      <c r="C810" s="229">
        <f t="shared" si="549"/>
        <v>13</v>
      </c>
      <c r="D810" s="227" t="str">
        <f t="shared" si="572"/>
        <v/>
      </c>
      <c r="E810" s="228" t="str">
        <f t="shared" ca="1" si="576"/>
        <v>06.001.001.001</v>
      </c>
      <c r="F810" s="230">
        <f ca="1">IF($B810="UNIDADE CONSTRUTIVA",OFFSET(F810,-1,0)+1,LARGE(F$10:F809,1))</f>
        <v>2</v>
      </c>
      <c r="G810" s="228" t="str">
        <f t="shared" ca="1" si="577"/>
        <v xml:space="preserve">   GERENCIAMENTO EXECUTIVO</v>
      </c>
      <c r="H810" s="230">
        <f t="shared" ca="1" si="578"/>
        <v>6</v>
      </c>
      <c r="I810" s="228" t="str">
        <f t="shared" ca="1" si="579"/>
        <v xml:space="preserve">   IMPERMEABILIZAÇÃO E TRATAMENTOS</v>
      </c>
      <c r="J810" s="230">
        <f t="shared" ca="1" si="580"/>
        <v>1</v>
      </c>
      <c r="K810" s="228" t="str">
        <f t="shared" ca="1" si="581"/>
        <v xml:space="preserve">   IMPERMEABILIZAÇÃO E TRATAMENTOS - 1º PAVIMENTO - SUBSOLO</v>
      </c>
      <c r="L810" s="231">
        <f t="shared" ca="1" si="582"/>
        <v>1</v>
      </c>
      <c r="M810" s="228" t="str">
        <f t="shared" ca="1" si="583"/>
        <v xml:space="preserve">   Regularizacao de superficie para impermeabilizacao</v>
      </c>
      <c r="N810" s="231">
        <f t="shared" ca="1" si="584"/>
        <v>1</v>
      </c>
      <c r="O810" s="228" t="str">
        <f t="shared" ca="1" si="585"/>
        <v>Regularizacao de superficie para impermeabilizacao</v>
      </c>
      <c r="P810" s="232" t="str">
        <f>IF(S810="","",IF(Orçamento!$B810="INSUMO",S810,""))</f>
        <v>CIMENTO PORTLAND CP II 32 - Z</v>
      </c>
      <c r="Q810" s="244" t="str">
        <f t="shared" si="573"/>
        <v/>
      </c>
      <c r="R810" s="234">
        <f t="shared" ca="1" si="574"/>
        <v>330.48</v>
      </c>
      <c r="S810" s="233" t="s">
        <v>343</v>
      </c>
      <c r="T810" s="242" t="str">
        <f>_xlfn.XLOOKUP(S810,Insumos!$A$3:$A$371,Insumos!$B$3:$B$371)</f>
        <v>KG</v>
      </c>
      <c r="U810" s="235">
        <f ca="1">IF($B810="insumo",R810,"")</f>
        <v>330.48</v>
      </c>
      <c r="V810" s="320">
        <v>6.3</v>
      </c>
      <c r="W810" s="236">
        <f>IFERROR(IF(B810="INSUMO",_xlfn.XLOOKUP(S810,Insumos!A:A,Insumos!C:C),""),"Inserir Preço")</f>
        <v>0.74</v>
      </c>
      <c r="X810" s="235">
        <f t="shared" ca="1" si="575"/>
        <v>2082.0239999999999</v>
      </c>
      <c r="Y810" s="236">
        <f t="shared" si="586"/>
        <v>4.6619999999999999</v>
      </c>
      <c r="Z810" s="237">
        <f t="shared" ca="1" si="550"/>
        <v>1540.6977599999998</v>
      </c>
      <c r="AA810" s="238"/>
      <c r="AB810" s="233" t="str">
        <f>IF(B810="insumo",_xlfn.XLOOKUP(S810,Insumos!A:A,Insumos!D:D),"")</f>
        <v xml:space="preserve"> </v>
      </c>
      <c r="AC810" s="239">
        <f t="shared" ca="1" si="551"/>
        <v>2.210271405285848E-4</v>
      </c>
      <c r="AE810" s="240">
        <f ca="1">IFERROR(IF(OR(Z810="",Z810=0),"",IF(AF810="","",IF(AF810="R$/mês",Z810/OBRA!$D$12,IF(AF810="R$/m²",Z810/OBRA!$D$10,IF(AF810="R$/apto",Orçamento!Z810/OBRA!$D$11,""))))),"")</f>
        <v>0.79285404198164899</v>
      </c>
      <c r="AF810" s="241" t="s">
        <v>154</v>
      </c>
    </row>
    <row r="811" spans="1:32" s="10" customFormat="1" ht="13.15" hidden="1" customHeight="1" outlineLevel="4" x14ac:dyDescent="0.2">
      <c r="A811" s="227"/>
      <c r="B811" s="228" t="s">
        <v>19</v>
      </c>
      <c r="C811" s="229">
        <f t="shared" si="549"/>
        <v>7</v>
      </c>
      <c r="D811" s="227" t="str">
        <f t="shared" si="572"/>
        <v/>
      </c>
      <c r="E811" s="228" t="str">
        <f t="shared" ca="1" si="576"/>
        <v>06.001.001.001</v>
      </c>
      <c r="F811" s="230">
        <f ca="1">IF($B811="UNIDADE CONSTRUTIVA",OFFSET(F811,-1,0)+1,LARGE(F$10:F810,1))</f>
        <v>2</v>
      </c>
      <c r="G811" s="228" t="str">
        <f t="shared" ca="1" si="577"/>
        <v xml:space="preserve">   GERENCIAMENTO EXECUTIVO</v>
      </c>
      <c r="H811" s="230">
        <f t="shared" ca="1" si="578"/>
        <v>6</v>
      </c>
      <c r="I811" s="228" t="str">
        <f t="shared" ca="1" si="579"/>
        <v xml:space="preserve">   IMPERMEABILIZAÇÃO E TRATAMENTOS</v>
      </c>
      <c r="J811" s="230">
        <f t="shared" ca="1" si="580"/>
        <v>1</v>
      </c>
      <c r="K811" s="228" t="str">
        <f t="shared" ca="1" si="581"/>
        <v xml:space="preserve">   IMPERMEABILIZAÇÃO E TRATAMENTOS - 1º PAVIMENTO - SUBSOLO</v>
      </c>
      <c r="L811" s="231">
        <f t="shared" ca="1" si="582"/>
        <v>1</v>
      </c>
      <c r="M811" s="228" t="str">
        <f t="shared" ca="1" si="583"/>
        <v xml:space="preserve">   Regularizacao de superficie para impermeabilizacao</v>
      </c>
      <c r="N811" s="231">
        <f t="shared" ca="1" si="584"/>
        <v>1</v>
      </c>
      <c r="O811" s="228" t="str">
        <f t="shared" ca="1" si="585"/>
        <v>Regularizacao de superficie para impermeabilizacao</v>
      </c>
      <c r="P811" s="232" t="str">
        <f>IF(S811="","",IF(Orçamento!$B811="INSUMO",S811,""))</f>
        <v>AREIA MEDIA</v>
      </c>
      <c r="Q811" s="244" t="str">
        <f t="shared" si="573"/>
        <v/>
      </c>
      <c r="R811" s="234">
        <f t="shared" ca="1" si="574"/>
        <v>330.48</v>
      </c>
      <c r="S811" s="233" t="s">
        <v>359</v>
      </c>
      <c r="T811" s="242" t="str">
        <f>_xlfn.XLOOKUP(S811,Insumos!$A$3:$A$371,Insumos!$B$3:$B$371)</f>
        <v>M3</v>
      </c>
      <c r="U811" s="235">
        <f ca="1">IF($B811="insumo",R811,"")</f>
        <v>330.48</v>
      </c>
      <c r="V811" s="320">
        <v>1.55E-2</v>
      </c>
      <c r="W811" s="236">
        <f>IFERROR(IF(B811="INSUMO",_xlfn.XLOOKUP(S811,Insumos!A:A,Insumos!C:C),""),"Inserir Preço")</f>
        <v>129</v>
      </c>
      <c r="X811" s="235">
        <f t="shared" ca="1" si="575"/>
        <v>5.1224400000000001</v>
      </c>
      <c r="Y811" s="236">
        <f t="shared" si="586"/>
        <v>1.9995000000000001</v>
      </c>
      <c r="Z811" s="237">
        <f t="shared" ca="1" si="550"/>
        <v>660.79476</v>
      </c>
      <c r="AA811" s="238"/>
      <c r="AB811" s="233" t="str">
        <f>IF(B811="insumo",_xlfn.XLOOKUP(S811,Insumos!A:A,Insumos!D:D),"")</f>
        <v>Agregados Nestor</v>
      </c>
      <c r="AC811" s="239">
        <f t="shared" ca="1" si="551"/>
        <v>9.4797032922974128E-5</v>
      </c>
      <c r="AE811" s="240">
        <f ca="1">IFERROR(IF(OR(Z811="",Z811=0),"",IF(AF811="","",IF(AF811="R$/mês",Z811/OBRA!$D$12,IF(AF811="R$/m²",Z811/OBRA!$D$10,IF(AF811="R$/apto",Orçamento!Z811/OBRA!$D$11,""))))),"")</f>
        <v>0.34004969046381539</v>
      </c>
      <c r="AF811" s="241" t="s">
        <v>154</v>
      </c>
    </row>
    <row r="812" spans="1:32" s="10" customFormat="1" ht="13.15" hidden="1" customHeight="1" outlineLevel="3" collapsed="1" x14ac:dyDescent="0.2">
      <c r="A812" s="227"/>
      <c r="B812" s="228" t="s">
        <v>3</v>
      </c>
      <c r="C812" s="229" t="str">
        <f t="shared" si="549"/>
        <v/>
      </c>
      <c r="D812" s="227" t="str">
        <f t="shared" ca="1" si="572"/>
        <v>06.001.002</v>
      </c>
      <c r="E812" s="228" t="str">
        <f t="shared" ca="1" si="576"/>
        <v>06.001.001.001</v>
      </c>
      <c r="F812" s="230">
        <f ca="1">IF($B812="UNIDADE CONSTRUTIVA",OFFSET(F812,-1,0)+1,LARGE(F$10:F811,1))</f>
        <v>2</v>
      </c>
      <c r="G812" s="228" t="str">
        <f t="shared" ca="1" si="577"/>
        <v xml:space="preserve">   GERENCIAMENTO EXECUTIVO</v>
      </c>
      <c r="H812" s="230">
        <f t="shared" ca="1" si="578"/>
        <v>6</v>
      </c>
      <c r="I812" s="228" t="str">
        <f t="shared" ca="1" si="579"/>
        <v xml:space="preserve">   IMPERMEABILIZAÇÃO E TRATAMENTOS</v>
      </c>
      <c r="J812" s="230">
        <f t="shared" ca="1" si="580"/>
        <v>1</v>
      </c>
      <c r="K812" s="228" t="str">
        <f t="shared" ca="1" si="581"/>
        <v xml:space="preserve">   IMPERMEABILIZAÇÃO E TRATAMENTOS - 1º PAVIMENTO - SUBSOLO</v>
      </c>
      <c r="L812" s="231">
        <f t="shared" ca="1" si="582"/>
        <v>2</v>
      </c>
      <c r="M812" s="228" t="str">
        <f t="shared" ca="1" si="583"/>
        <v xml:space="preserve">   Impermeabilização Flexível com Manta</v>
      </c>
      <c r="N812" s="231">
        <f t="shared" ca="1" si="584"/>
        <v>0</v>
      </c>
      <c r="O812" s="228" t="str">
        <f t="shared" ca="1" si="585"/>
        <v>Regularizacao de superficie para impermeabilizacao</v>
      </c>
      <c r="P812" s="232" t="str">
        <f>IF(S812="","",IF(Orçamento!$B812="INSUMO",S812,""))</f>
        <v/>
      </c>
      <c r="Q812" s="244" t="str">
        <f t="shared" si="573"/>
        <v/>
      </c>
      <c r="R812" s="234">
        <f t="shared" ca="1" si="574"/>
        <v>330.48</v>
      </c>
      <c r="S812" s="233" t="s">
        <v>466</v>
      </c>
      <c r="T812" s="242" t="s">
        <v>35</v>
      </c>
      <c r="U812" s="235" t="str">
        <f>IF($B812="insumo",R812,"")</f>
        <v/>
      </c>
      <c r="V812" s="320" t="s">
        <v>35</v>
      </c>
      <c r="W812" s="236" t="str">
        <f>IFERROR(IF(B812="INSUMO",_xlfn.XLOOKUP(S812,Insumos!A:A,Insumos!C:C),""),"Inserir Preço")</f>
        <v/>
      </c>
      <c r="X812" s="235" t="str">
        <f t="shared" ca="1" si="575"/>
        <v/>
      </c>
      <c r="Y812" s="236" t="str">
        <f t="shared" si="586"/>
        <v/>
      </c>
      <c r="Z812" s="237">
        <f t="shared" ca="1" si="550"/>
        <v>2413.9493600000001</v>
      </c>
      <c r="AA812" s="238"/>
      <c r="AB812" s="233" t="str">
        <f>IF(B812="insumo",_xlfn.XLOOKUP(S812,Insumos!A:A,Insumos!D:D),"")</f>
        <v/>
      </c>
      <c r="AC812" s="239">
        <f t="shared" ca="1" si="551"/>
        <v>3.4630304416202138E-4</v>
      </c>
      <c r="AE812" s="240">
        <f ca="1">IFERROR(IF(OR(Z812="",Z812=0),"",IF(AF812="","",IF(AF812="R$/mês",Z812/OBRA!$D$12,IF(AF812="R$/m²",Z812/OBRA!$D$10,IF(AF812="R$/apto",Orçamento!Z812/OBRA!$D$11,""))))),"")</f>
        <v>1.242235535680285</v>
      </c>
      <c r="AF812" s="241" t="s">
        <v>154</v>
      </c>
    </row>
    <row r="813" spans="1:32" s="10" customFormat="1" ht="13.15" hidden="1" customHeight="1" outlineLevel="4" x14ac:dyDescent="0.2">
      <c r="A813" s="227"/>
      <c r="B813" s="228" t="s">
        <v>4</v>
      </c>
      <c r="C813" s="229">
        <f t="shared" si="549"/>
        <v>5</v>
      </c>
      <c r="D813" s="227" t="str">
        <f t="shared" ca="1" si="572"/>
        <v>06.001.002.001</v>
      </c>
      <c r="E813" s="228" t="str">
        <f t="shared" ca="1" si="576"/>
        <v>06.001.002.001</v>
      </c>
      <c r="F813" s="230">
        <f ca="1">IF($B813="UNIDADE CONSTRUTIVA",OFFSET(F813,-1,0)+1,LARGE(F$10:F812,1))</f>
        <v>2</v>
      </c>
      <c r="G813" s="228" t="str">
        <f t="shared" ca="1" si="577"/>
        <v xml:space="preserve">   GERENCIAMENTO EXECUTIVO</v>
      </c>
      <c r="H813" s="230">
        <f t="shared" ca="1" si="578"/>
        <v>6</v>
      </c>
      <c r="I813" s="228" t="str">
        <f t="shared" ca="1" si="579"/>
        <v xml:space="preserve">   IMPERMEABILIZAÇÃO E TRATAMENTOS</v>
      </c>
      <c r="J813" s="230">
        <f t="shared" ca="1" si="580"/>
        <v>1</v>
      </c>
      <c r="K813" s="228" t="str">
        <f t="shared" ca="1" si="581"/>
        <v xml:space="preserve">   IMPERMEABILIZAÇÃO E TRATAMENTOS - 1º PAVIMENTO - SUBSOLO</v>
      </c>
      <c r="L813" s="231">
        <f t="shared" ca="1" si="582"/>
        <v>2</v>
      </c>
      <c r="M813" s="228" t="str">
        <f t="shared" ca="1" si="583"/>
        <v xml:space="preserve">   Impermeabilização Flexível com Manta</v>
      </c>
      <c r="N813" s="231">
        <f t="shared" ca="1" si="584"/>
        <v>1</v>
      </c>
      <c r="O813" s="228" t="str">
        <f t="shared" ca="1" si="585"/>
        <v>Impermeabilizacao com manta asfaltica espessura 4mm, uma camada, aplicacao com primer asfaltico</v>
      </c>
      <c r="P813" s="232" t="str">
        <f>IF(S813="","",IF(Orçamento!$B813="INSUMO",S813,""))</f>
        <v/>
      </c>
      <c r="Q813" s="244" t="str">
        <f t="shared" si="573"/>
        <v>Impermeabilizacao com manta asfaltica espessura 4mm, uma camada, aplicacao com primer asfaltico</v>
      </c>
      <c r="R813" s="234">
        <f t="shared" ca="1" si="574"/>
        <v>48.48</v>
      </c>
      <c r="S813" s="233" t="s">
        <v>467</v>
      </c>
      <c r="T813" s="242" t="s">
        <v>140</v>
      </c>
      <c r="U813" s="235">
        <v>48.48</v>
      </c>
      <c r="V813" s="320" t="s">
        <v>35</v>
      </c>
      <c r="W813" s="236" t="str">
        <f>IFERROR(IF(B813="INSUMO",_xlfn.XLOOKUP(S813,Insumos!A:A,Insumos!C:C),""),"Inserir Preço")</f>
        <v/>
      </c>
      <c r="X813" s="235">
        <f t="shared" ca="1" si="575"/>
        <v>48.48</v>
      </c>
      <c r="Y813" s="236">
        <f t="shared" ca="1" si="586"/>
        <v>48.632000000000005</v>
      </c>
      <c r="Z813" s="237">
        <f t="shared" ca="1" si="550"/>
        <v>2357.6793600000001</v>
      </c>
      <c r="AA813" s="238"/>
      <c r="AB813" s="233" t="str">
        <f>IF(B813="insumo",_xlfn.XLOOKUP(S813,Insumos!A:A,Insumos!D:D),"")</f>
        <v/>
      </c>
      <c r="AC813" s="239">
        <f t="shared" ca="1" si="551"/>
        <v>3.3823059963692293E-4</v>
      </c>
      <c r="AE813" s="240">
        <f ca="1">IFERROR(IF(OR(Z813="",Z813=0),"",IF(AF813="","",IF(AF813="R$/mês",Z813/OBRA!$D$12,IF(AF813="R$/m²",Z813/OBRA!$D$10,IF(AF813="R$/apto",Orçamento!Z813/OBRA!$D$11,""))))),"")</f>
        <v>1.2132785928582823</v>
      </c>
      <c r="AF813" s="241" t="s">
        <v>154</v>
      </c>
    </row>
    <row r="814" spans="1:32" s="10" customFormat="1" ht="13.15" hidden="1" customHeight="1" outlineLevel="4" x14ac:dyDescent="0.2">
      <c r="A814" s="227"/>
      <c r="B814" s="228" t="s">
        <v>19</v>
      </c>
      <c r="C814" s="229">
        <f t="shared" si="549"/>
        <v>5</v>
      </c>
      <c r="D814" s="227" t="str">
        <f t="shared" si="572"/>
        <v/>
      </c>
      <c r="E814" s="228" t="str">
        <f t="shared" ca="1" si="576"/>
        <v>06.001.002.001</v>
      </c>
      <c r="F814" s="230">
        <f ca="1">IF($B814="UNIDADE CONSTRUTIVA",OFFSET(F814,-1,0)+1,LARGE(F$10:F813,1))</f>
        <v>2</v>
      </c>
      <c r="G814" s="228" t="str">
        <f t="shared" ca="1" si="577"/>
        <v xml:space="preserve">   GERENCIAMENTO EXECUTIVO</v>
      </c>
      <c r="H814" s="230">
        <f t="shared" ca="1" si="578"/>
        <v>6</v>
      </c>
      <c r="I814" s="228" t="str">
        <f t="shared" ca="1" si="579"/>
        <v xml:space="preserve">   IMPERMEABILIZAÇÃO E TRATAMENTOS</v>
      </c>
      <c r="J814" s="230">
        <f t="shared" ca="1" si="580"/>
        <v>1</v>
      </c>
      <c r="K814" s="228" t="str">
        <f t="shared" ca="1" si="581"/>
        <v xml:space="preserve">   IMPERMEABILIZAÇÃO E TRATAMENTOS - 1º PAVIMENTO - SUBSOLO</v>
      </c>
      <c r="L814" s="231">
        <f t="shared" ca="1" si="582"/>
        <v>2</v>
      </c>
      <c r="M814" s="228" t="str">
        <f t="shared" ca="1" si="583"/>
        <v xml:space="preserve">   Impermeabilização Flexível com Manta</v>
      </c>
      <c r="N814" s="231">
        <f t="shared" ca="1" si="584"/>
        <v>1</v>
      </c>
      <c r="O814" s="228" t="str">
        <f t="shared" ca="1" si="585"/>
        <v>Impermeabilizacao com manta asfaltica espessura 4mm, uma camada, aplicacao com primer asfaltico</v>
      </c>
      <c r="P814" s="232" t="str">
        <f>IF(S814="","",IF(Orçamento!$B814="INSUMO",S814,""))</f>
        <v>PRIMER A BASE DE ASFALTO MODIFICADO DILUIDO EM SOLVENTE APLIC. A FRIO</v>
      </c>
      <c r="Q814" s="244" t="str">
        <f t="shared" si="573"/>
        <v/>
      </c>
      <c r="R814" s="234">
        <f t="shared" ca="1" si="574"/>
        <v>48.48</v>
      </c>
      <c r="S814" s="233" t="s">
        <v>367</v>
      </c>
      <c r="T814" s="242" t="str">
        <f>_xlfn.XLOOKUP(S814,Insumos!$A$3:$A$371,Insumos!$B$3:$B$371)</f>
        <v>L</v>
      </c>
      <c r="U814" s="235">
        <f ca="1">IF($B814="insumo",R814,"")</f>
        <v>48.48</v>
      </c>
      <c r="V814" s="320">
        <v>0.6</v>
      </c>
      <c r="W814" s="236">
        <f>IFERROR(IF(B814="INSUMO",_xlfn.XLOOKUP(S814,Insumos!A:A,Insumos!C:C),""),"Inserir Preço")</f>
        <v>11.9</v>
      </c>
      <c r="X814" s="235">
        <f t="shared" ca="1" si="575"/>
        <v>29.087999999999997</v>
      </c>
      <c r="Y814" s="236">
        <f t="shared" si="586"/>
        <v>7.14</v>
      </c>
      <c r="Z814" s="237">
        <f t="shared" ca="1" si="550"/>
        <v>346.1472</v>
      </c>
      <c r="AA814" s="238"/>
      <c r="AB814" s="233" t="str">
        <f>IF(B814="insumo",_xlfn.XLOOKUP(S814,Insumos!A:A,Insumos!D:D),"")</f>
        <v xml:space="preserve"> </v>
      </c>
      <c r="AC814" s="239">
        <f t="shared" ca="1" si="551"/>
        <v>4.9657971734817187E-5</v>
      </c>
      <c r="AE814" s="240">
        <f ca="1">IFERROR(IF(OR(Z814="",Z814=0),"",IF(AF814="","",IF(AF814="R$/mês",Z814/OBRA!$D$12,IF(AF814="R$/m²",Z814/OBRA!$D$10,IF(AF814="R$/apto",Orçamento!Z814/OBRA!$D$11,""))))),"")</f>
        <v>0.17812981479289636</v>
      </c>
      <c r="AF814" s="241" t="s">
        <v>154</v>
      </c>
    </row>
    <row r="815" spans="1:32" s="10" customFormat="1" ht="13.15" hidden="1" customHeight="1" outlineLevel="4" x14ac:dyDescent="0.2">
      <c r="A815" s="227"/>
      <c r="B815" s="228" t="s">
        <v>19</v>
      </c>
      <c r="C815" s="229">
        <f t="shared" si="549"/>
        <v>5</v>
      </c>
      <c r="D815" s="227" t="str">
        <f t="shared" si="572"/>
        <v/>
      </c>
      <c r="E815" s="228" t="str">
        <f t="shared" ca="1" si="576"/>
        <v>06.001.002.001</v>
      </c>
      <c r="F815" s="230">
        <f ca="1">IF($B815="UNIDADE CONSTRUTIVA",OFFSET(F815,-1,0)+1,LARGE(F$10:F814,1))</f>
        <v>2</v>
      </c>
      <c r="G815" s="228" t="str">
        <f t="shared" ca="1" si="577"/>
        <v xml:space="preserve">   GERENCIAMENTO EXECUTIVO</v>
      </c>
      <c r="H815" s="230">
        <f t="shared" ca="1" si="578"/>
        <v>6</v>
      </c>
      <c r="I815" s="228" t="str">
        <f t="shared" ca="1" si="579"/>
        <v xml:space="preserve">   IMPERMEABILIZAÇÃO E TRATAMENTOS</v>
      </c>
      <c r="J815" s="230">
        <f t="shared" ca="1" si="580"/>
        <v>1</v>
      </c>
      <c r="K815" s="228" t="str">
        <f t="shared" ca="1" si="581"/>
        <v xml:space="preserve">   IMPERMEABILIZAÇÃO E TRATAMENTOS - 1º PAVIMENTO - SUBSOLO</v>
      </c>
      <c r="L815" s="231">
        <f t="shared" ca="1" si="582"/>
        <v>2</v>
      </c>
      <c r="M815" s="228" t="str">
        <f t="shared" ca="1" si="583"/>
        <v xml:space="preserve">   Impermeabilização Flexível com Manta</v>
      </c>
      <c r="N815" s="231">
        <f t="shared" ca="1" si="584"/>
        <v>1</v>
      </c>
      <c r="O815" s="228" t="str">
        <f t="shared" ca="1" si="585"/>
        <v>Impermeabilizacao com manta asfaltica espessura 4mm, uma camada, aplicacao com primer asfaltico</v>
      </c>
      <c r="P815" s="232" t="str">
        <f>IF(S815="","",IF(Orçamento!$B815="INSUMO",S815,""))</f>
        <v>MANTA ASFALTICA ELASTOMERICA EM POLIESTER 3MM, TIPO III, CLASSE B, ACA</v>
      </c>
      <c r="Q815" s="244" t="str">
        <f t="shared" si="573"/>
        <v/>
      </c>
      <c r="R815" s="234">
        <f t="shared" ca="1" si="574"/>
        <v>48.48</v>
      </c>
      <c r="S815" s="233" t="s">
        <v>326</v>
      </c>
      <c r="T815" s="242" t="str">
        <f>_xlfn.XLOOKUP(S815,Insumos!$A$3:$A$371,Insumos!$B$3:$B$371)</f>
        <v>M2</v>
      </c>
      <c r="U815" s="235">
        <f ca="1">IF($B815="insumo",R815,"")</f>
        <v>48.48</v>
      </c>
      <c r="V815" s="320">
        <v>1.1000000000000001</v>
      </c>
      <c r="W815" s="236">
        <f>IFERROR(IF(B815="INSUMO",_xlfn.XLOOKUP(S815,Insumos!A:A,Insumos!C:C),""),"Inserir Preço")</f>
        <v>37.72</v>
      </c>
      <c r="X815" s="235">
        <f t="shared" ca="1" si="575"/>
        <v>53.328000000000003</v>
      </c>
      <c r="Y815" s="236">
        <f t="shared" si="586"/>
        <v>41.492000000000004</v>
      </c>
      <c r="Z815" s="237">
        <f t="shared" ca="1" si="550"/>
        <v>2011.53216</v>
      </c>
      <c r="AA815" s="238"/>
      <c r="AB815" s="233" t="str">
        <f>IF(B815="insumo",_xlfn.XLOOKUP(S815,Insumos!A:A,Insumos!D:D),"")</f>
        <v xml:space="preserve"> </v>
      </c>
      <c r="AC815" s="239">
        <f t="shared" ca="1" si="551"/>
        <v>2.885726279021057E-4</v>
      </c>
      <c r="AE815" s="240">
        <f ca="1">IFERROR(IF(OR(Z815="",Z815=0),"",IF(AF815="","",IF(AF815="R$/mês",Z815/OBRA!$D$12,IF(AF815="R$/m²",Z815/OBRA!$D$10,IF(AF815="R$/apto",Orçamento!Z815/OBRA!$D$11,""))))),"")</f>
        <v>1.0351487780653859</v>
      </c>
      <c r="AF815" s="241" t="s">
        <v>154</v>
      </c>
    </row>
    <row r="816" spans="1:32" s="10" customFormat="1" ht="13.15" hidden="1" customHeight="1" outlineLevel="4" x14ac:dyDescent="0.2">
      <c r="A816" s="227"/>
      <c r="B816" s="228" t="s">
        <v>4</v>
      </c>
      <c r="C816" s="229">
        <f t="shared" si="549"/>
        <v>4</v>
      </c>
      <c r="D816" s="227" t="str">
        <f t="shared" ca="1" si="572"/>
        <v>06.001.002.002</v>
      </c>
      <c r="E816" s="228" t="str">
        <f t="shared" ca="1" si="576"/>
        <v>06.001.002.002</v>
      </c>
      <c r="F816" s="230">
        <f ca="1">IF($B816="UNIDADE CONSTRUTIVA",OFFSET(F816,-1,0)+1,LARGE(F$10:F815,1))</f>
        <v>2</v>
      </c>
      <c r="G816" s="228" t="str">
        <f t="shared" ca="1" si="577"/>
        <v xml:space="preserve">   GERENCIAMENTO EXECUTIVO</v>
      </c>
      <c r="H816" s="230">
        <f t="shared" ca="1" si="578"/>
        <v>6</v>
      </c>
      <c r="I816" s="228" t="str">
        <f t="shared" ca="1" si="579"/>
        <v xml:space="preserve">   IMPERMEABILIZAÇÃO E TRATAMENTOS</v>
      </c>
      <c r="J816" s="230">
        <f t="shared" ca="1" si="580"/>
        <v>1</v>
      </c>
      <c r="K816" s="228" t="str">
        <f t="shared" ca="1" si="581"/>
        <v xml:space="preserve">   IMPERMEABILIZAÇÃO E TRATAMENTOS - 1º PAVIMENTO - SUBSOLO</v>
      </c>
      <c r="L816" s="231">
        <f t="shared" ca="1" si="582"/>
        <v>2</v>
      </c>
      <c r="M816" s="228" t="str">
        <f t="shared" ca="1" si="583"/>
        <v xml:space="preserve">   Impermeabilização Flexível com Manta</v>
      </c>
      <c r="N816" s="231">
        <f t="shared" ca="1" si="584"/>
        <v>2</v>
      </c>
      <c r="O816" s="228" t="str">
        <f t="shared" ca="1" si="585"/>
        <v>Tratamento de ralo com manta de poliester</v>
      </c>
      <c r="P816" s="232" t="str">
        <f>IF(S816="","",IF(Orçamento!$B816="INSUMO",S816,""))</f>
        <v/>
      </c>
      <c r="Q816" s="244" t="str">
        <f t="shared" si="573"/>
        <v>Tratamento de ralo com manta de poliester</v>
      </c>
      <c r="R816" s="234">
        <f t="shared" ca="1" si="574"/>
        <v>5</v>
      </c>
      <c r="S816" s="233" t="s">
        <v>1153</v>
      </c>
      <c r="T816" s="242" t="s">
        <v>142</v>
      </c>
      <c r="U816" s="235">
        <v>5</v>
      </c>
      <c r="V816" s="320" t="s">
        <v>35</v>
      </c>
      <c r="W816" s="236" t="str">
        <f>IFERROR(IF(B816="INSUMO",_xlfn.XLOOKUP(S816,Insumos!A:A,Insumos!C:C),""),"Inserir Preço")</f>
        <v/>
      </c>
      <c r="X816" s="235">
        <f t="shared" ca="1" si="575"/>
        <v>5</v>
      </c>
      <c r="Y816" s="236">
        <f t="shared" ca="1" si="586"/>
        <v>11.254</v>
      </c>
      <c r="Z816" s="237">
        <f t="shared" ca="1" si="550"/>
        <v>56.269999999999996</v>
      </c>
      <c r="AA816" s="238"/>
      <c r="AB816" s="233" t="str">
        <f>IF(B816="insumo",_xlfn.XLOOKUP(S816,Insumos!A:A,Insumos!D:D),"")</f>
        <v/>
      </c>
      <c r="AC816" s="239">
        <f t="shared" ca="1" si="551"/>
        <v>8.0724445250984647E-6</v>
      </c>
      <c r="AE816" s="240">
        <f ca="1">IFERROR(IF(OR(Z816="",Z816=0),"",IF(AF816="","",IF(AF816="R$/mês",Z816/OBRA!$D$12,IF(AF816="R$/m²",Z816/OBRA!$D$10,IF(AF816="R$/apto",Orçamento!Z816/OBRA!$D$11,""))))),"")</f>
        <v>2.8956942822002538E-2</v>
      </c>
      <c r="AF816" s="241" t="s">
        <v>154</v>
      </c>
    </row>
    <row r="817" spans="1:32" s="10" customFormat="1" ht="13.15" hidden="1" customHeight="1" outlineLevel="4" x14ac:dyDescent="0.2">
      <c r="A817" s="227"/>
      <c r="B817" s="228" t="s">
        <v>19</v>
      </c>
      <c r="C817" s="229">
        <f t="shared" si="549"/>
        <v>4</v>
      </c>
      <c r="D817" s="227" t="str">
        <f t="shared" si="572"/>
        <v/>
      </c>
      <c r="E817" s="228" t="str">
        <f t="shared" ca="1" si="576"/>
        <v>06.001.002.002</v>
      </c>
      <c r="F817" s="230">
        <f ca="1">IF($B817="UNIDADE CONSTRUTIVA",OFFSET(F817,-1,0)+1,LARGE(F$10:F816,1))</f>
        <v>2</v>
      </c>
      <c r="G817" s="228" t="str">
        <f t="shared" ca="1" si="577"/>
        <v xml:space="preserve">   GERENCIAMENTO EXECUTIVO</v>
      </c>
      <c r="H817" s="230">
        <f t="shared" ca="1" si="578"/>
        <v>6</v>
      </c>
      <c r="I817" s="228" t="str">
        <f t="shared" ca="1" si="579"/>
        <v xml:space="preserve">   IMPERMEABILIZAÇÃO E TRATAMENTOS</v>
      </c>
      <c r="J817" s="230">
        <f t="shared" ca="1" si="580"/>
        <v>1</v>
      </c>
      <c r="K817" s="228" t="str">
        <f t="shared" ca="1" si="581"/>
        <v xml:space="preserve">   IMPERMEABILIZAÇÃO E TRATAMENTOS - 1º PAVIMENTO - SUBSOLO</v>
      </c>
      <c r="L817" s="231">
        <f t="shared" ca="1" si="582"/>
        <v>2</v>
      </c>
      <c r="M817" s="228" t="str">
        <f t="shared" ca="1" si="583"/>
        <v xml:space="preserve">   Impermeabilização Flexível com Manta</v>
      </c>
      <c r="N817" s="231">
        <f t="shared" ca="1" si="584"/>
        <v>2</v>
      </c>
      <c r="O817" s="228" t="str">
        <f t="shared" ca="1" si="585"/>
        <v>Tratamento de ralo com manta de poliester</v>
      </c>
      <c r="P817" s="232" t="str">
        <f>IF(S817="","",IF(Orçamento!$B817="INSUMO",S817,""))</f>
        <v>MANTA VEU POLIESTER BRANCA, L=1,05 M X 100 M</v>
      </c>
      <c r="Q817" s="244" t="str">
        <f t="shared" si="573"/>
        <v/>
      </c>
      <c r="R817" s="234">
        <f t="shared" ca="1" si="574"/>
        <v>5</v>
      </c>
      <c r="S817" s="233" t="s">
        <v>1155</v>
      </c>
      <c r="T817" s="242" t="str">
        <f>_xlfn.XLOOKUP(S817,Insumos!$A$3:$A$371,Insumos!$B$3:$B$371)</f>
        <v>M2</v>
      </c>
      <c r="U817" s="235">
        <v>0.26400000000000001</v>
      </c>
      <c r="V817" s="320">
        <v>0.61499999999999999</v>
      </c>
      <c r="W817" s="236">
        <f>IFERROR(IF(B817="INSUMO",_xlfn.XLOOKUP(S817,Insumos!A:A,Insumos!C:C),""),"Inserir Preço")</f>
        <v>3.4</v>
      </c>
      <c r="X817" s="235">
        <f t="shared" ca="1" si="575"/>
        <v>3.0750000000000002</v>
      </c>
      <c r="Y817" s="236">
        <f t="shared" si="586"/>
        <v>2.0909999999999997</v>
      </c>
      <c r="Z817" s="237">
        <f t="shared" ca="1" si="550"/>
        <v>10.455</v>
      </c>
      <c r="AA817" s="238"/>
      <c r="AB817" s="233" t="str">
        <f>IF(B817="insumo",_xlfn.XLOOKUP(S817,Insumos!A:A,Insumos!D:D),"")</f>
        <v xml:space="preserve"> </v>
      </c>
      <c r="AC817" s="239">
        <f t="shared" ca="1" si="551"/>
        <v>1.4998650703732798E-6</v>
      </c>
      <c r="AE817" s="240">
        <f ca="1">IFERROR(IF(OR(Z817="",Z817=0),"",IF(AF817="","",IF(AF817="R$/mês",Z817/OBRA!$D$12,IF(AF817="R$/m²",Z817/OBRA!$D$10,IF(AF817="R$/apto",Orçamento!Z817/OBRA!$D$11,""))))),"")</f>
        <v>5.3802174729702607E-3</v>
      </c>
      <c r="AF817" s="241" t="s">
        <v>154</v>
      </c>
    </row>
    <row r="818" spans="1:32" s="10" customFormat="1" ht="13.15" hidden="1" customHeight="1" outlineLevel="4" x14ac:dyDescent="0.2">
      <c r="A818" s="227"/>
      <c r="B818" s="228" t="s">
        <v>19</v>
      </c>
      <c r="C818" s="229">
        <f t="shared" si="549"/>
        <v>4</v>
      </c>
      <c r="D818" s="227" t="str">
        <f t="shared" si="572"/>
        <v/>
      </c>
      <c r="E818" s="228" t="str">
        <f t="shared" ca="1" si="576"/>
        <v>06.001.002.002</v>
      </c>
      <c r="F818" s="230">
        <f ca="1">IF($B818="UNIDADE CONSTRUTIVA",OFFSET(F818,-1,0)+1,LARGE(F$10:F817,1))</f>
        <v>2</v>
      </c>
      <c r="G818" s="228" t="str">
        <f t="shared" ca="1" si="577"/>
        <v xml:space="preserve">   GERENCIAMENTO EXECUTIVO</v>
      </c>
      <c r="H818" s="230">
        <f t="shared" ca="1" si="578"/>
        <v>6</v>
      </c>
      <c r="I818" s="228" t="str">
        <f t="shared" ca="1" si="579"/>
        <v xml:space="preserve">   IMPERMEABILIZAÇÃO E TRATAMENTOS</v>
      </c>
      <c r="J818" s="230">
        <f t="shared" ca="1" si="580"/>
        <v>1</v>
      </c>
      <c r="K818" s="228" t="str">
        <f t="shared" ca="1" si="581"/>
        <v xml:space="preserve">   IMPERMEABILIZAÇÃO E TRATAMENTOS - 1º PAVIMENTO - SUBSOLO</v>
      </c>
      <c r="L818" s="231">
        <f t="shared" ca="1" si="582"/>
        <v>2</v>
      </c>
      <c r="M818" s="228" t="str">
        <f t="shared" ca="1" si="583"/>
        <v xml:space="preserve">   Impermeabilização Flexível com Manta</v>
      </c>
      <c r="N818" s="231">
        <f t="shared" ca="1" si="584"/>
        <v>2</v>
      </c>
      <c r="O818" s="228" t="str">
        <f t="shared" ca="1" si="585"/>
        <v>Tratamento de ralo com manta de poliester</v>
      </c>
      <c r="P818" s="232" t="str">
        <f>IF(S818="","",IF(Orçamento!$B818="INSUMO",S818,""))</f>
        <v>IMPERMEABILIZANTE FLEXÍVEL E ELÁSTICO BICOMPONENTE COM FIBRAS</v>
      </c>
      <c r="Q818" s="244" t="str">
        <f t="shared" si="573"/>
        <v/>
      </c>
      <c r="R818" s="234">
        <f t="shared" ca="1" si="574"/>
        <v>5</v>
      </c>
      <c r="S818" s="233" t="s">
        <v>1154</v>
      </c>
      <c r="T818" s="242" t="str">
        <f>_xlfn.XLOOKUP(S818,Insumos!$A$3:$A$371,Insumos!$B$3:$B$371)</f>
        <v>KG</v>
      </c>
      <c r="U818" s="235">
        <v>0.67200000000000004</v>
      </c>
      <c r="V818" s="320">
        <v>1.1000000000000001</v>
      </c>
      <c r="W818" s="236">
        <f>IFERROR(IF(B818="INSUMO",_xlfn.XLOOKUP(S818,Insumos!A:A,Insumos!C:C),""),"Inserir Preço")</f>
        <v>8.33</v>
      </c>
      <c r="X818" s="235">
        <f t="shared" ca="1" si="575"/>
        <v>5.5</v>
      </c>
      <c r="Y818" s="236">
        <f t="shared" si="586"/>
        <v>9.1630000000000003</v>
      </c>
      <c r="Z818" s="237">
        <f t="shared" ca="1" si="550"/>
        <v>45.814999999999998</v>
      </c>
      <c r="AA818" s="238"/>
      <c r="AB818" s="233" t="str">
        <f>IF(B818="insumo",_xlfn.XLOOKUP(S818,Insumos!A:A,Insumos!D:D),"")</f>
        <v xml:space="preserve"> </v>
      </c>
      <c r="AC818" s="239">
        <f t="shared" ca="1" si="551"/>
        <v>6.5725794547251845E-6</v>
      </c>
      <c r="AE818" s="240">
        <f ca="1">IFERROR(IF(OR(Z818="",Z818=0),"",IF(AF818="","",IF(AF818="R$/mês",Z818/OBRA!$D$12,IF(AF818="R$/m²",Z818/OBRA!$D$10,IF(AF818="R$/apto",Orçamento!Z818/OBRA!$D$11,""))))),"")</f>
        <v>2.3576725349032279E-2</v>
      </c>
      <c r="AF818" s="241" t="s">
        <v>154</v>
      </c>
    </row>
    <row r="819" spans="1:32" s="10" customFormat="1" ht="13.15" hidden="1" customHeight="1" outlineLevel="3" collapsed="1" x14ac:dyDescent="0.2">
      <c r="A819" s="227"/>
      <c r="B819" s="228" t="s">
        <v>3</v>
      </c>
      <c r="C819" s="229" t="str">
        <f t="shared" si="549"/>
        <v/>
      </c>
      <c r="D819" s="227" t="str">
        <f t="shared" ca="1" si="572"/>
        <v>06.001.003</v>
      </c>
      <c r="E819" s="228" t="str">
        <f t="shared" ca="1" si="576"/>
        <v>06.001.002.002</v>
      </c>
      <c r="F819" s="230">
        <f ca="1">IF($B819="UNIDADE CONSTRUTIVA",OFFSET(F819,-1,0)+1,LARGE(F$10:F818,1))</f>
        <v>2</v>
      </c>
      <c r="G819" s="228" t="str">
        <f t="shared" ca="1" si="577"/>
        <v xml:space="preserve">   GERENCIAMENTO EXECUTIVO</v>
      </c>
      <c r="H819" s="230">
        <f t="shared" ca="1" si="578"/>
        <v>6</v>
      </c>
      <c r="I819" s="228" t="str">
        <f t="shared" ca="1" si="579"/>
        <v xml:space="preserve">   IMPERMEABILIZAÇÃO E TRATAMENTOS</v>
      </c>
      <c r="J819" s="230">
        <f t="shared" ca="1" si="580"/>
        <v>1</v>
      </c>
      <c r="K819" s="228" t="str">
        <f t="shared" ca="1" si="581"/>
        <v xml:space="preserve">   IMPERMEABILIZAÇÃO E TRATAMENTOS - 1º PAVIMENTO - SUBSOLO</v>
      </c>
      <c r="L819" s="231">
        <f t="shared" ca="1" si="582"/>
        <v>3</v>
      </c>
      <c r="M819" s="228" t="str">
        <f t="shared" ca="1" si="583"/>
        <v xml:space="preserve">   Impermeabilização Rígida</v>
      </c>
      <c r="N819" s="231">
        <f t="shared" ca="1" si="584"/>
        <v>0</v>
      </c>
      <c r="O819" s="228" t="str">
        <f t="shared" ca="1" si="585"/>
        <v>Tratamento de ralo com manta de poliester</v>
      </c>
      <c r="P819" s="232" t="str">
        <f>IF(S819="","",IF(Orçamento!$B819="INSUMO",S819,""))</f>
        <v/>
      </c>
      <c r="Q819" s="244" t="str">
        <f t="shared" si="573"/>
        <v/>
      </c>
      <c r="R819" s="234">
        <f t="shared" ca="1" si="574"/>
        <v>5</v>
      </c>
      <c r="S819" s="233" t="s">
        <v>468</v>
      </c>
      <c r="T819" s="242" t="s">
        <v>35</v>
      </c>
      <c r="U819" s="235" t="str">
        <f>IF($B819="insumo",R819,"")</f>
        <v/>
      </c>
      <c r="V819" s="320" t="s">
        <v>35</v>
      </c>
      <c r="W819" s="236" t="str">
        <f>IFERROR(IF(B819="INSUMO",_xlfn.XLOOKUP(S819,Insumos!A:A,Insumos!C:C),""),"Inserir Preço")</f>
        <v/>
      </c>
      <c r="X819" s="235" t="str">
        <f t="shared" ca="1" si="575"/>
        <v/>
      </c>
      <c r="Y819" s="236" t="str">
        <f t="shared" si="586"/>
        <v/>
      </c>
      <c r="Z819" s="237">
        <f t="shared" ca="1" si="550"/>
        <v>10224.192000000001</v>
      </c>
      <c r="AA819" s="238"/>
      <c r="AB819" s="233" t="str">
        <f>IF(B819="insumo",_xlfn.XLOOKUP(S819,Insumos!A:A,Insumos!D:D),"")</f>
        <v/>
      </c>
      <c r="AC819" s="239">
        <f t="shared" ca="1" si="551"/>
        <v>1.4667535584495385E-3</v>
      </c>
      <c r="AE819" s="240">
        <f ca="1">IFERROR(IF(OR(Z819="",Z819=0),"",IF(AF819="","",IF(AF819="R$/mês",Z819/OBRA!$D$12,IF(AF819="R$/m²",Z819/OBRA!$D$10,IF(AF819="R$/apto",Orçamento!Z819/OBRA!$D$11,""))))),"")</f>
        <v>5.2614420320806081</v>
      </c>
      <c r="AF819" s="241" t="s">
        <v>154</v>
      </c>
    </row>
    <row r="820" spans="1:32" s="10" customFormat="1" ht="13.15" hidden="1" customHeight="1" outlineLevel="4" x14ac:dyDescent="0.2">
      <c r="A820" s="227"/>
      <c r="B820" s="228" t="s">
        <v>4</v>
      </c>
      <c r="C820" s="229">
        <f t="shared" si="549"/>
        <v>4</v>
      </c>
      <c r="D820" s="227" t="str">
        <f t="shared" ca="1" si="572"/>
        <v>06.001.003.001</v>
      </c>
      <c r="E820" s="228" t="str">
        <f t="shared" ca="1" si="576"/>
        <v>06.001.003.001</v>
      </c>
      <c r="F820" s="230">
        <f ca="1">IF($B820="UNIDADE CONSTRUTIVA",OFFSET(F820,-1,0)+1,LARGE(F$10:F819,1))</f>
        <v>2</v>
      </c>
      <c r="G820" s="228" t="str">
        <f t="shared" ca="1" si="577"/>
        <v xml:space="preserve">   GERENCIAMENTO EXECUTIVO</v>
      </c>
      <c r="H820" s="230">
        <f t="shared" ca="1" si="578"/>
        <v>6</v>
      </c>
      <c r="I820" s="228" t="str">
        <f t="shared" ca="1" si="579"/>
        <v xml:space="preserve">   IMPERMEABILIZAÇÃO E TRATAMENTOS</v>
      </c>
      <c r="J820" s="230">
        <f t="shared" ca="1" si="580"/>
        <v>1</v>
      </c>
      <c r="K820" s="228" t="str">
        <f t="shared" ca="1" si="581"/>
        <v xml:space="preserve">   IMPERMEABILIZAÇÃO E TRATAMENTOS - 1º PAVIMENTO - SUBSOLO</v>
      </c>
      <c r="L820" s="231">
        <f t="shared" ca="1" si="582"/>
        <v>3</v>
      </c>
      <c r="M820" s="228" t="str">
        <f t="shared" ca="1" si="583"/>
        <v xml:space="preserve">   Impermeabilização Rígida</v>
      </c>
      <c r="N820" s="231">
        <f t="shared" ca="1" si="584"/>
        <v>1</v>
      </c>
      <c r="O820" s="228" t="str">
        <f t="shared" ca="1" si="585"/>
        <v>Impermeabilizacao com argamassa polimerica impermeabilizante</v>
      </c>
      <c r="P820" s="232" t="str">
        <f>IF(S820="","",IF(Orçamento!$B820="INSUMO",S820,""))</f>
        <v/>
      </c>
      <c r="Q820" s="244" t="str">
        <f t="shared" si="573"/>
        <v>Impermeabilizacao com argamassa polimerica impermeabilizante</v>
      </c>
      <c r="R820" s="234">
        <f t="shared" ca="1" si="574"/>
        <v>282</v>
      </c>
      <c r="S820" s="233" t="s">
        <v>469</v>
      </c>
      <c r="T820" s="242" t="s">
        <v>140</v>
      </c>
      <c r="U820" s="235">
        <v>282</v>
      </c>
      <c r="V820" s="320" t="s">
        <v>35</v>
      </c>
      <c r="W820" s="236" t="str">
        <f>IFERROR(IF(B820="INSUMO",_xlfn.XLOOKUP(S820,Insumos!A:A,Insumos!C:C),""),"Inserir Preço")</f>
        <v/>
      </c>
      <c r="X820" s="235">
        <f t="shared" ca="1" si="575"/>
        <v>282</v>
      </c>
      <c r="Y820" s="236">
        <f t="shared" ca="1" si="586"/>
        <v>36.256</v>
      </c>
      <c r="Z820" s="237">
        <f t="shared" ca="1" si="550"/>
        <v>10224.192000000001</v>
      </c>
      <c r="AA820" s="238"/>
      <c r="AB820" s="233" t="str">
        <f>IF(B820="insumo",_xlfn.XLOOKUP(S820,Insumos!A:A,Insumos!D:D),"")</f>
        <v/>
      </c>
      <c r="AC820" s="239">
        <f t="shared" ca="1" si="551"/>
        <v>1.4667535584495385E-3</v>
      </c>
      <c r="AE820" s="240">
        <f ca="1">IFERROR(IF(OR(Z820="",Z820=0),"",IF(AF820="","",IF(AF820="R$/mês",Z820/OBRA!$D$12,IF(AF820="R$/m²",Z820/OBRA!$D$10,IF(AF820="R$/apto",Orçamento!Z820/OBRA!$D$11,""))))),"")</f>
        <v>5.2614420320806081</v>
      </c>
      <c r="AF820" s="241" t="s">
        <v>154</v>
      </c>
    </row>
    <row r="821" spans="1:32" s="10" customFormat="1" ht="13.15" hidden="1" customHeight="1" outlineLevel="4" x14ac:dyDescent="0.2">
      <c r="A821" s="227"/>
      <c r="B821" s="228" t="s">
        <v>19</v>
      </c>
      <c r="C821" s="229">
        <f t="shared" si="549"/>
        <v>4</v>
      </c>
      <c r="D821" s="227" t="str">
        <f t="shared" si="572"/>
        <v/>
      </c>
      <c r="E821" s="228" t="str">
        <f t="shared" ca="1" si="576"/>
        <v>06.001.003.001</v>
      </c>
      <c r="F821" s="230">
        <f ca="1">IF($B821="UNIDADE CONSTRUTIVA",OFFSET(F821,-1,0)+1,LARGE(F$10:F820,1))</f>
        <v>2</v>
      </c>
      <c r="G821" s="228" t="str">
        <f t="shared" ca="1" si="577"/>
        <v xml:space="preserve">   GERENCIAMENTO EXECUTIVO</v>
      </c>
      <c r="H821" s="230">
        <f t="shared" ca="1" si="578"/>
        <v>6</v>
      </c>
      <c r="I821" s="228" t="str">
        <f t="shared" ca="1" si="579"/>
        <v xml:space="preserve">   IMPERMEABILIZAÇÃO E TRATAMENTOS</v>
      </c>
      <c r="J821" s="230">
        <f t="shared" ca="1" si="580"/>
        <v>1</v>
      </c>
      <c r="K821" s="228" t="str">
        <f t="shared" ca="1" si="581"/>
        <v xml:space="preserve">   IMPERMEABILIZAÇÃO E TRATAMENTOS - 1º PAVIMENTO - SUBSOLO</v>
      </c>
      <c r="L821" s="231">
        <f t="shared" ca="1" si="582"/>
        <v>3</v>
      </c>
      <c r="M821" s="228" t="str">
        <f t="shared" ca="1" si="583"/>
        <v xml:space="preserve">   Impermeabilização Rígida</v>
      </c>
      <c r="N821" s="231">
        <f t="shared" ca="1" si="584"/>
        <v>1</v>
      </c>
      <c r="O821" s="228" t="str">
        <f t="shared" ca="1" si="585"/>
        <v>Impermeabilizacao com argamassa polimerica impermeabilizante</v>
      </c>
      <c r="P821" s="232" t="str">
        <f>IF(S821="","",IF(Orçamento!$B821="INSUMO",S821,""))</f>
        <v>Argamassa Polimerica Impermeabilizante</v>
      </c>
      <c r="Q821" s="244" t="str">
        <f t="shared" si="573"/>
        <v/>
      </c>
      <c r="R821" s="234">
        <f t="shared" ca="1" si="574"/>
        <v>282</v>
      </c>
      <c r="S821" s="233" t="s">
        <v>539</v>
      </c>
      <c r="T821" s="242" t="str">
        <f>_xlfn.XLOOKUP(S821,Insumos!$A$3:$A$371,Insumos!$B$3:$B$371)</f>
        <v>KG</v>
      </c>
      <c r="U821" s="235">
        <f ca="1">IF($B821="insumo",R821,"")</f>
        <v>282</v>
      </c>
      <c r="V821" s="320">
        <v>3.2</v>
      </c>
      <c r="W821" s="236">
        <f>IFERROR(IF(B821="INSUMO",_xlfn.XLOOKUP(S821,Insumos!A:A,Insumos!C:C),""),"Inserir Preço")</f>
        <v>11.33</v>
      </c>
      <c r="X821" s="235">
        <f t="shared" ca="1" si="575"/>
        <v>902.40000000000009</v>
      </c>
      <c r="Y821" s="236">
        <f t="shared" si="586"/>
        <v>36.256</v>
      </c>
      <c r="Z821" s="237">
        <f t="shared" ca="1" si="550"/>
        <v>10224.192000000001</v>
      </c>
      <c r="AA821" s="238"/>
      <c r="AB821" s="233" t="str">
        <f>IF(B821="insumo",_xlfn.XLOOKUP(S821,Insumos!A:A,Insumos!D:D),"")</f>
        <v xml:space="preserve"> </v>
      </c>
      <c r="AC821" s="239">
        <f t="shared" ca="1" si="551"/>
        <v>1.4667535584495385E-3</v>
      </c>
      <c r="AE821" s="240">
        <f ca="1">IFERROR(IF(OR(Z821="",Z821=0),"",IF(AF821="","",IF(AF821="R$/mês",Z821/OBRA!$D$12,IF(AF821="R$/m²",Z821/OBRA!$D$10,IF(AF821="R$/apto",Orçamento!Z821/OBRA!$D$11,""))))),"")</f>
        <v>5.2614420320806081</v>
      </c>
      <c r="AF821" s="241" t="s">
        <v>154</v>
      </c>
    </row>
    <row r="822" spans="1:32" s="10" customFormat="1" ht="13.15" hidden="1" customHeight="1" outlineLevel="3" collapsed="1" x14ac:dyDescent="0.2">
      <c r="A822" s="227"/>
      <c r="B822" s="228" t="s">
        <v>3</v>
      </c>
      <c r="C822" s="229" t="str">
        <f t="shared" si="549"/>
        <v/>
      </c>
      <c r="D822" s="227" t="str">
        <f ca="1">IF(B822="Unidade Construtiva",TEXT(F822,"00"),IF(B822="Célula Construtiva",TEXT(H822,"00"),IF(B822="Etapa",CONCATENATE(TEXT(H822,"00"),".",TEXT(J822,"000")),IF(B822="Subetapa",CONCATENATE(TEXT(H822,"00"),".",TEXT(J822,"000"),".",TEXT(L822,"000")),IF(B822="Serviço",CONCATENATE(TEXT(H822,"00"),".",TEXT(J822,"000"),".",TEXT(L822,"000"),".",TEXT(N822,"000")),"")))))</f>
        <v>06.001.004</v>
      </c>
      <c r="E822" s="228" t="str">
        <f ca="1">IF(B822="*","",IFERROR(IF(B822="SERVIÇO",D822,OFFSET(E822,-1,0)),""))</f>
        <v>06.001.003.001</v>
      </c>
      <c r="F822" s="230">
        <f ca="1">IF($B822="UNIDADE CONSTRUTIVA",OFFSET(F822,-1,0)+1,LARGE(F$10:F821,1))</f>
        <v>2</v>
      </c>
      <c r="G822" s="228" t="str">
        <f t="shared" ca="1" si="577"/>
        <v xml:space="preserve">   GERENCIAMENTO EXECUTIVO</v>
      </c>
      <c r="H822" s="230">
        <f ca="1">IF(B822="UNIDADE CONSTRUTIVA",0,IF(B822="CÉLULA CONSTRUTIVA",OFFSET(H822,-1,0)+1,OFFSET(H822,-1,0)))</f>
        <v>6</v>
      </c>
      <c r="I822" s="228" t="str">
        <f t="shared" ca="1" si="579"/>
        <v xml:space="preserve">   IMPERMEABILIZAÇÃO E TRATAMENTOS</v>
      </c>
      <c r="J822" s="230">
        <f ca="1">IF(B822="CÉLULA CONSTRUTIVA",0,IF(B822="ETAPA",OFFSET(J822,-1,0)+1,OFFSET(J822,-1,0)))</f>
        <v>1</v>
      </c>
      <c r="K822" s="228" t="str">
        <f t="shared" ca="1" si="581"/>
        <v xml:space="preserve">   IMPERMEABILIZAÇÃO E TRATAMENTOS - 1º PAVIMENTO - SUBSOLO</v>
      </c>
      <c r="L822" s="231">
        <f ca="1">IF(B822="ETAPA",0,IF(B822="SUBETAPA",OFFSET(L822,-1,0)+1,OFFSET(L822,-1,0)))</f>
        <v>4</v>
      </c>
      <c r="M822" s="228" t="str">
        <f t="shared" ca="1" si="583"/>
        <v xml:space="preserve">   Impermeabilização Flexível com Membrana</v>
      </c>
      <c r="N822" s="231">
        <f ca="1">IF(B822="Subetapa",0,IF(B822="serviço",OFFSET(N822,-1,0)+1,OFFSET(N822,-1,0)))</f>
        <v>0</v>
      </c>
      <c r="O822" s="228" t="str">
        <f t="shared" ca="1" si="585"/>
        <v>Impermeabilizacao com argamassa polimerica impermeabilizante</v>
      </c>
      <c r="P822" s="232" t="str">
        <f>IF(S822="","",IF(Orçamento!$B822="INSUMO",S822,""))</f>
        <v/>
      </c>
      <c r="Q822" s="244" t="str">
        <f>IF(B822="","",IF(B822="Serviço",S822,""))</f>
        <v/>
      </c>
      <c r="R822" s="234">
        <f t="shared" ca="1" si="574"/>
        <v>282</v>
      </c>
      <c r="S822" s="233" t="s">
        <v>460</v>
      </c>
      <c r="T822" s="242" t="s">
        <v>35</v>
      </c>
      <c r="U822" s="235" t="str">
        <f>IF($B822="insumo",R822,"")</f>
        <v/>
      </c>
      <c r="V822" s="320" t="s">
        <v>35</v>
      </c>
      <c r="W822" s="236" t="str">
        <f>IFERROR(IF(B822="INSUMO",_xlfn.XLOOKUP(S822,Insumos!A:A,Insumos!C:C),""),"Inserir Preço")</f>
        <v/>
      </c>
      <c r="X822" s="235" t="str">
        <f t="shared" ca="1" si="575"/>
        <v/>
      </c>
      <c r="Y822" s="236" t="str">
        <f t="shared" si="586"/>
        <v/>
      </c>
      <c r="Z822" s="237">
        <f t="shared" ca="1" si="550"/>
        <v>22.34</v>
      </c>
      <c r="AA822" s="238"/>
      <c r="AB822" s="233" t="str">
        <f>IF(B822="insumo",_xlfn.XLOOKUP(S822,Insumos!A:A,Insumos!D:D),"")</f>
        <v/>
      </c>
      <c r="AC822" s="239">
        <f t="shared" ca="1" si="551"/>
        <v>3.2048766783490262E-6</v>
      </c>
      <c r="AE822" s="240">
        <f ca="1">IFERROR(IF(OR(Z822="",Z822=0),"",IF(AF822="","",IF(AF822="R$/mês",Z822/OBRA!$D$12,IF(AF822="R$/m²",Z822/OBRA!$D$10,IF(AF822="R$/apto",Orçamento!Z822/OBRA!$D$11,""))))),"")</f>
        <v>1.1496323132104795E-2</v>
      </c>
      <c r="AF822" s="241" t="s">
        <v>154</v>
      </c>
    </row>
    <row r="823" spans="1:32" s="10" customFormat="1" ht="13.15" hidden="1" customHeight="1" outlineLevel="4" x14ac:dyDescent="0.2">
      <c r="A823" s="227"/>
      <c r="B823" s="228" t="s">
        <v>4</v>
      </c>
      <c r="C823" s="229">
        <f t="shared" si="549"/>
        <v>1</v>
      </c>
      <c r="D823" s="227" t="str">
        <f ca="1">IF(B823="Unidade Construtiva",TEXT(F823,"00"),IF(B823="Célula Construtiva",TEXT(H823,"00"),IF(B823="Etapa",CONCATENATE(TEXT(H823,"00"),".",TEXT(J823,"000")),IF(B823="Subetapa",CONCATENATE(TEXT(H823,"00"),".",TEXT(J823,"000"),".",TEXT(L823,"000")),IF(B823="Serviço",CONCATENATE(TEXT(H823,"00"),".",TEXT(J823,"000"),".",TEXT(L823,"000"),".",TEXT(N823,"000")),"")))))</f>
        <v>06.001.004.001</v>
      </c>
      <c r="E823" s="228" t="str">
        <f ca="1">IF(B823="*","",IFERROR(IF(B823="SERVIÇO",D823,OFFSET(E823,-1,0)),""))</f>
        <v>06.001.004.001</v>
      </c>
      <c r="F823" s="230">
        <f ca="1">IF($B823="UNIDADE CONSTRUTIVA",OFFSET(F823,-1,0)+1,LARGE(F$10:F822,1))</f>
        <v>2</v>
      </c>
      <c r="G823" s="228" t="str">
        <f t="shared" ca="1" si="577"/>
        <v xml:space="preserve">   GERENCIAMENTO EXECUTIVO</v>
      </c>
      <c r="H823" s="230">
        <f ca="1">IF(B823="UNIDADE CONSTRUTIVA",0,IF(B823="CÉLULA CONSTRUTIVA",OFFSET(H823,-1,0)+1,OFFSET(H823,-1,0)))</f>
        <v>6</v>
      </c>
      <c r="I823" s="228" t="str">
        <f t="shared" ca="1" si="579"/>
        <v xml:space="preserve">   IMPERMEABILIZAÇÃO E TRATAMENTOS</v>
      </c>
      <c r="J823" s="230">
        <f ca="1">IF(B823="CÉLULA CONSTRUTIVA",0,IF(B823="ETAPA",OFFSET(J823,-1,0)+1,OFFSET(J823,-1,0)))</f>
        <v>1</v>
      </c>
      <c r="K823" s="228" t="str">
        <f t="shared" ca="1" si="581"/>
        <v xml:space="preserve">   IMPERMEABILIZAÇÃO E TRATAMENTOS - 1º PAVIMENTO - SUBSOLO</v>
      </c>
      <c r="L823" s="231">
        <f ca="1">IF(B823="ETAPA",0,IF(B823="SUBETAPA",OFFSET(L823,-1,0)+1,OFFSET(L823,-1,0)))</f>
        <v>4</v>
      </c>
      <c r="M823" s="228" t="str">
        <f t="shared" ca="1" si="583"/>
        <v xml:space="preserve">   Impermeabilização Flexível com Membrana</v>
      </c>
      <c r="N823" s="231">
        <f ca="1">IF(B823="Subetapa",0,IF(B823="serviço",OFFSET(N823,-1,0)+1,OFFSET(N823,-1,0)))</f>
        <v>1</v>
      </c>
      <c r="O823" s="228" t="str">
        <f t="shared" ca="1" si="585"/>
        <v>Impermeabilizacao com tinta asfaltica em Fundação Rasa</v>
      </c>
      <c r="P823" s="232" t="str">
        <f>IF(S823="","",IF(Orçamento!$B823="INSUMO",S823,""))</f>
        <v/>
      </c>
      <c r="Q823" s="244" t="str">
        <f>IF(B823="","",IF(B823="Serviço",S823,""))</f>
        <v>Impermeabilizacao com tinta asfaltica em Fundação Rasa</v>
      </c>
      <c r="R823" s="234">
        <f t="shared" ca="1" si="574"/>
        <v>1</v>
      </c>
      <c r="S823" s="233" t="s">
        <v>1150</v>
      </c>
      <c r="T823" s="242" t="s">
        <v>140</v>
      </c>
      <c r="U823" s="235">
        <f>U188</f>
        <v>1</v>
      </c>
      <c r="V823" s="320" t="s">
        <v>35</v>
      </c>
      <c r="W823" s="236" t="str">
        <f>IFERROR(IF(B823="INSUMO",_xlfn.XLOOKUP(S823,Insumos!A:A,Insumos!C:C),""),"Inserir Preço")</f>
        <v/>
      </c>
      <c r="X823" s="235">
        <f t="shared" ca="1" si="575"/>
        <v>1</v>
      </c>
      <c r="Y823" s="236">
        <f t="shared" ca="1" si="586"/>
        <v>22.34</v>
      </c>
      <c r="Z823" s="237">
        <f t="shared" ca="1" si="550"/>
        <v>22.34</v>
      </c>
      <c r="AA823" s="238"/>
      <c r="AB823" s="233" t="str">
        <f>IF(B823="insumo",_xlfn.XLOOKUP(S823,Insumos!A:A,Insumos!D:D),"")</f>
        <v/>
      </c>
      <c r="AC823" s="239">
        <f t="shared" ca="1" si="551"/>
        <v>3.2048766783490262E-6</v>
      </c>
      <c r="AE823" s="240">
        <f ca="1">IFERROR(IF(OR(Z823="",Z823=0),"",IF(AF823="","",IF(AF823="R$/mês",Z823/OBRA!$D$12,IF(AF823="R$/m²",Z823/OBRA!$D$10,IF(AF823="R$/apto",Orçamento!Z823/OBRA!$D$11,""))))),"")</f>
        <v>1.1496323132104795E-2</v>
      </c>
      <c r="AF823" s="241" t="s">
        <v>154</v>
      </c>
    </row>
    <row r="824" spans="1:32" s="10" customFormat="1" ht="13.15" hidden="1" customHeight="1" outlineLevel="4" x14ac:dyDescent="0.2">
      <c r="A824" s="227"/>
      <c r="B824" s="228" t="s">
        <v>19</v>
      </c>
      <c r="C824" s="229">
        <f t="shared" si="549"/>
        <v>1</v>
      </c>
      <c r="D824" s="227" t="str">
        <f>IF(B824="Unidade Construtiva",TEXT(F824,"00"),IF(B824="Célula Construtiva",TEXT(H824,"00"),IF(B824="Etapa",CONCATENATE(TEXT(H824,"00"),".",TEXT(J824,"000")),IF(B824="Subetapa",CONCATENATE(TEXT(H824,"00"),".",TEXT(J824,"000"),".",TEXT(L824,"000")),IF(B824="Serviço",CONCATENATE(TEXT(H824,"00"),".",TEXT(J824,"000"),".",TEXT(L824,"000"),".",TEXT(N824,"000")),"")))))</f>
        <v/>
      </c>
      <c r="E824" s="228" t="str">
        <f ca="1">IF(B824="*","",IFERROR(IF(B824="SERVIÇO",D824,OFFSET(E824,-1,0)),""))</f>
        <v>06.001.004.001</v>
      </c>
      <c r="F824" s="230">
        <f ca="1">IF($B824="UNIDADE CONSTRUTIVA",OFFSET(F824,-1,0)+1,LARGE(F$10:F823,1))</f>
        <v>2</v>
      </c>
      <c r="G824" s="228" t="str">
        <f t="shared" ca="1" si="577"/>
        <v xml:space="preserve">   GERENCIAMENTO EXECUTIVO</v>
      </c>
      <c r="H824" s="230">
        <f ca="1">IF(B824="UNIDADE CONSTRUTIVA",0,IF(B824="CÉLULA CONSTRUTIVA",OFFSET(H824,-1,0)+1,OFFSET(H824,-1,0)))</f>
        <v>6</v>
      </c>
      <c r="I824" s="228" t="str">
        <f t="shared" ca="1" si="579"/>
        <v xml:space="preserve">   IMPERMEABILIZAÇÃO E TRATAMENTOS</v>
      </c>
      <c r="J824" s="230">
        <f ca="1">IF(B824="CÉLULA CONSTRUTIVA",0,IF(B824="ETAPA",OFFSET(J824,-1,0)+1,OFFSET(J824,-1,0)))</f>
        <v>1</v>
      </c>
      <c r="K824" s="228" t="str">
        <f t="shared" ca="1" si="581"/>
        <v xml:space="preserve">   IMPERMEABILIZAÇÃO E TRATAMENTOS - 1º PAVIMENTO - SUBSOLO</v>
      </c>
      <c r="L824" s="231">
        <f ca="1">IF(B824="ETAPA",0,IF(B824="SUBETAPA",OFFSET(L824,-1,0)+1,OFFSET(L824,-1,0)))</f>
        <v>4</v>
      </c>
      <c r="M824" s="228" t="str">
        <f t="shared" ca="1" si="583"/>
        <v xml:space="preserve">   Impermeabilização Flexível com Membrana</v>
      </c>
      <c r="N824" s="231">
        <f ca="1">IF(B824="Subetapa",0,IF(B824="serviço",OFFSET(N824,-1,0)+1,OFFSET(N824,-1,0)))</f>
        <v>1</v>
      </c>
      <c r="O824" s="228" t="str">
        <f t="shared" ca="1" si="585"/>
        <v>Impermeabilizacao com tinta asfaltica em Fundação Rasa</v>
      </c>
      <c r="P824" s="232" t="str">
        <f>IF(S824="","",IF(Orçamento!$B824="INSUMO",S824,""))</f>
        <v>Neutrol Base Agua Baldrame Emulsão Asfaltica</v>
      </c>
      <c r="Q824" s="244" t="str">
        <f>IF(B824="","",IF(B824="Serviço",S824,""))</f>
        <v/>
      </c>
      <c r="R824" s="234">
        <f t="shared" ca="1" si="574"/>
        <v>1</v>
      </c>
      <c r="S824" s="233" t="s">
        <v>1026</v>
      </c>
      <c r="T824" s="242" t="str">
        <f>_xlfn.XLOOKUP(S824,Insumos!$A$3:$A$371,Insumos!$B$3:$B$371)</f>
        <v>L</v>
      </c>
      <c r="U824" s="235">
        <f ca="1">IF($B824="insumo",R824,"")</f>
        <v>1</v>
      </c>
      <c r="V824" s="320">
        <v>0.5</v>
      </c>
      <c r="W824" s="236">
        <f>IFERROR(IF(B824="INSUMO",_xlfn.XLOOKUP(S824,Insumos!A:A,Insumos!C:C),""),"Inserir Preço")</f>
        <v>44.68</v>
      </c>
      <c r="X824" s="235">
        <f t="shared" ca="1" si="575"/>
        <v>0.5</v>
      </c>
      <c r="Y824" s="236">
        <f t="shared" si="586"/>
        <v>22.34</v>
      </c>
      <c r="Z824" s="237">
        <f t="shared" ca="1" si="550"/>
        <v>22.34</v>
      </c>
      <c r="AA824" s="238"/>
      <c r="AB824" s="233" t="str">
        <f>IF(B824="insumo",_xlfn.XLOOKUP(S824,Insumos!A:A,Insumos!D:D),"")</f>
        <v>Base de dados</v>
      </c>
      <c r="AC824" s="239">
        <f t="shared" ca="1" si="551"/>
        <v>3.2048766783490262E-6</v>
      </c>
      <c r="AE824" s="240">
        <f ca="1">IFERROR(IF(OR(Z824="",Z824=0),"",IF(AF824="","",IF(AF824="R$/mês",Z824/OBRA!$D$12,IF(AF824="R$/m²",Z824/OBRA!$D$10,IF(AF824="R$/apto",Orçamento!Z824/OBRA!$D$11,""))))),"")</f>
        <v>1.1496323132104795E-2</v>
      </c>
      <c r="AF824" s="241" t="s">
        <v>154</v>
      </c>
    </row>
    <row r="825" spans="1:32" s="10" customFormat="1" ht="13.15" hidden="1" customHeight="1" outlineLevel="3" collapsed="1" x14ac:dyDescent="0.2">
      <c r="A825" s="227"/>
      <c r="B825" s="228" t="s">
        <v>3</v>
      </c>
      <c r="C825" s="229" t="str">
        <f t="shared" si="549"/>
        <v/>
      </c>
      <c r="D825" s="227" t="str">
        <f t="shared" ref="D825:D842" ca="1" si="587">IF(B825="Unidade Construtiva",TEXT(F825,"00"),IF(B825="Célula Construtiva",TEXT(H825,"00"),IF(B825="Etapa",CONCATENATE(TEXT(H825,"00"),".",TEXT(J825,"000")),IF(B825="Subetapa",CONCATENATE(TEXT(H825,"00"),".",TEXT(J825,"000"),".",TEXT(L825,"000")),IF(B825="Serviço",CONCATENATE(TEXT(H825,"00"),".",TEXT(J825,"000"),".",TEXT(L825,"000"),".",TEXT(N825,"000")),"")))))</f>
        <v>06.001.005</v>
      </c>
      <c r="E825" s="228" t="str">
        <f t="shared" ref="E825:E842" ca="1" si="588">IF(B825="*","",IFERROR(IF(B825="SERVIÇO",D825,OFFSET(E825,-1,0)),""))</f>
        <v>06.001.004.001</v>
      </c>
      <c r="F825" s="230">
        <f ca="1">IF($B825="UNIDADE CONSTRUTIVA",OFFSET(F825,-1,0)+1,LARGE(F$10:F824,1))</f>
        <v>2</v>
      </c>
      <c r="G825" s="228" t="str">
        <f t="shared" ca="1" si="577"/>
        <v xml:space="preserve">   GERENCIAMENTO EXECUTIVO</v>
      </c>
      <c r="H825" s="230">
        <f t="shared" ref="H825:H842" ca="1" si="589">IF(B825="UNIDADE CONSTRUTIVA",0,IF(B825="CÉLULA CONSTRUTIVA",OFFSET(H825,-1,0)+1,OFFSET(H825,-1,0)))</f>
        <v>6</v>
      </c>
      <c r="I825" s="228" t="str">
        <f t="shared" ca="1" si="579"/>
        <v xml:space="preserve">   IMPERMEABILIZAÇÃO E TRATAMENTOS</v>
      </c>
      <c r="J825" s="230">
        <f t="shared" ref="J825:J842" ca="1" si="590">IF(B825="CÉLULA CONSTRUTIVA",0,IF(B825="ETAPA",OFFSET(J825,-1,0)+1,OFFSET(J825,-1,0)))</f>
        <v>1</v>
      </c>
      <c r="K825" s="228" t="str">
        <f t="shared" ca="1" si="581"/>
        <v xml:space="preserve">   IMPERMEABILIZAÇÃO E TRATAMENTOS - 1º PAVIMENTO - SUBSOLO</v>
      </c>
      <c r="L825" s="231">
        <f t="shared" ref="L825:L842" ca="1" si="591">IF(B825="ETAPA",0,IF(B825="SUBETAPA",OFFSET(L825,-1,0)+1,OFFSET(L825,-1,0)))</f>
        <v>5</v>
      </c>
      <c r="M825" s="228" t="str">
        <f t="shared" ca="1" si="583"/>
        <v xml:space="preserve">   Proteção Mecânica</v>
      </c>
      <c r="N825" s="231">
        <f t="shared" ref="N825:N842" ca="1" si="592">IF(B825="Subetapa",0,IF(B825="serviço",OFFSET(N825,-1,0)+1,OFFSET(N825,-1,0)))</f>
        <v>0</v>
      </c>
      <c r="O825" s="228" t="str">
        <f t="shared" ca="1" si="585"/>
        <v>Impermeabilizacao com tinta asfaltica em Fundação Rasa</v>
      </c>
      <c r="P825" s="232" t="str">
        <f>IF(S825="","",IF(Orçamento!$B825="INSUMO",S825,""))</f>
        <v/>
      </c>
      <c r="Q825" s="244" t="str">
        <f t="shared" ref="Q825:Q842" si="593">IF(B825="","",IF(B825="Serviço",S825,""))</f>
        <v/>
      </c>
      <c r="R825" s="234">
        <f t="shared" ca="1" si="574"/>
        <v>1</v>
      </c>
      <c r="S825" s="233" t="s">
        <v>470</v>
      </c>
      <c r="T825" s="242" t="s">
        <v>35</v>
      </c>
      <c r="U825" s="235" t="str">
        <f>IF($B825="insumo",R825,"")</f>
        <v/>
      </c>
      <c r="V825" s="320" t="s">
        <v>35</v>
      </c>
      <c r="W825" s="236" t="str">
        <f>IFERROR(IF(B825="INSUMO",_xlfn.XLOOKUP(S825,Insumos!A:A,Insumos!C:C),""),"Inserir Preço")</f>
        <v/>
      </c>
      <c r="X825" s="235" t="str">
        <f t="shared" ca="1" si="575"/>
        <v/>
      </c>
      <c r="Y825" s="236" t="str">
        <f t="shared" si="586"/>
        <v/>
      </c>
      <c r="Z825" s="237">
        <f t="shared" ca="1" si="550"/>
        <v>1941.35736</v>
      </c>
      <c r="AA825" s="238"/>
      <c r="AB825" s="233" t="str">
        <f>IF(B825="insumo",_xlfn.XLOOKUP(S825,Insumos!A:A,Insumos!D:D),"")</f>
        <v/>
      </c>
      <c r="AC825" s="239">
        <f t="shared" ca="1" si="551"/>
        <v>2.7850541304410181E-4</v>
      </c>
      <c r="AE825" s="240">
        <f ca="1">IFERROR(IF(OR(Z825="",Z825=0),"",IF(AF825="","",IF(AF825="R$/mês",Z825/OBRA!$D$12,IF(AF825="R$/m²",Z825/OBRA!$D$10,IF(AF825="R$/apto",Orçamento!Z825/OBRA!$D$11,""))))),"")</f>
        <v>0.99903632611682613</v>
      </c>
      <c r="AF825" s="241" t="s">
        <v>154</v>
      </c>
    </row>
    <row r="826" spans="1:32" s="10" customFormat="1" ht="13.15" hidden="1" customHeight="1" outlineLevel="4" x14ac:dyDescent="0.2">
      <c r="A826" s="227"/>
      <c r="B826" s="228" t="s">
        <v>4</v>
      </c>
      <c r="C826" s="229">
        <f t="shared" si="549"/>
        <v>5</v>
      </c>
      <c r="D826" s="227" t="str">
        <f t="shared" ca="1" si="587"/>
        <v>06.001.005.001</v>
      </c>
      <c r="E826" s="228" t="str">
        <f t="shared" ca="1" si="588"/>
        <v>06.001.005.001</v>
      </c>
      <c r="F826" s="230">
        <f ca="1">IF($B826="UNIDADE CONSTRUTIVA",OFFSET(F826,-1,0)+1,LARGE(F$10:F825,1))</f>
        <v>2</v>
      </c>
      <c r="G826" s="228" t="str">
        <f t="shared" ca="1" si="577"/>
        <v xml:space="preserve">   GERENCIAMENTO EXECUTIVO</v>
      </c>
      <c r="H826" s="230">
        <f t="shared" ca="1" si="589"/>
        <v>6</v>
      </c>
      <c r="I826" s="228" t="str">
        <f t="shared" ca="1" si="579"/>
        <v xml:space="preserve">   IMPERMEABILIZAÇÃO E TRATAMENTOS</v>
      </c>
      <c r="J826" s="230">
        <f t="shared" ca="1" si="590"/>
        <v>1</v>
      </c>
      <c r="K826" s="228" t="str">
        <f t="shared" ca="1" si="581"/>
        <v xml:space="preserve">   IMPERMEABILIZAÇÃO E TRATAMENTOS - 1º PAVIMENTO - SUBSOLO</v>
      </c>
      <c r="L826" s="231">
        <f t="shared" ca="1" si="591"/>
        <v>5</v>
      </c>
      <c r="M826" s="228" t="str">
        <f t="shared" ca="1" si="583"/>
        <v xml:space="preserve">   Proteção Mecânica</v>
      </c>
      <c r="N826" s="231">
        <f t="shared" ca="1" si="592"/>
        <v>1</v>
      </c>
      <c r="O826" s="228" t="str">
        <f t="shared" ca="1" si="585"/>
        <v>Protecao mecanica de superficie com argamassa de cimento e areia , traço 1:3, E=5cm</v>
      </c>
      <c r="P826" s="232" t="str">
        <f>IF(S826="","",IF(Orçamento!$B826="INSUMO",S826,""))</f>
        <v/>
      </c>
      <c r="Q826" s="244" t="str">
        <f t="shared" si="593"/>
        <v>Protecao mecanica de superficie com argamassa de cimento e areia , traço 1:3, E=5cm</v>
      </c>
      <c r="R826" s="234">
        <f t="shared" ca="1" si="574"/>
        <v>48.48</v>
      </c>
      <c r="S826" s="233" t="s">
        <v>471</v>
      </c>
      <c r="T826" s="242" t="s">
        <v>140</v>
      </c>
      <c r="U826" s="235">
        <f>U813</f>
        <v>48.48</v>
      </c>
      <c r="V826" s="320" t="s">
        <v>35</v>
      </c>
      <c r="W826" s="236" t="str">
        <f>IFERROR(IF(B826="INSUMO",_xlfn.XLOOKUP(S826,Insumos!A:A,Insumos!C:C),""),"Inserir Preço")</f>
        <v/>
      </c>
      <c r="X826" s="235">
        <f t="shared" ca="1" si="575"/>
        <v>48.48</v>
      </c>
      <c r="Y826" s="236">
        <f t="shared" ca="1" si="586"/>
        <v>40.044499999999999</v>
      </c>
      <c r="Z826" s="237">
        <f t="shared" ca="1" si="550"/>
        <v>1941.3573599999997</v>
      </c>
      <c r="AA826" s="238"/>
      <c r="AB826" s="233" t="str">
        <f>IF(B826="insumo",_xlfn.XLOOKUP(S826,Insumos!A:A,Insumos!D:D),"")</f>
        <v/>
      </c>
      <c r="AC826" s="239">
        <f t="shared" ca="1" si="551"/>
        <v>2.7850541304410176E-4</v>
      </c>
      <c r="AE826" s="240">
        <f ca="1">IFERROR(IF(OR(Z826="",Z826=0),"",IF(AF826="","",IF(AF826="R$/mês",Z826/OBRA!$D$12,IF(AF826="R$/m²",Z826/OBRA!$D$10,IF(AF826="R$/apto",Orçamento!Z826/OBRA!$D$11,""))))),"")</f>
        <v>0.99903632611682602</v>
      </c>
      <c r="AF826" s="241" t="s">
        <v>154</v>
      </c>
    </row>
    <row r="827" spans="1:32" s="10" customFormat="1" ht="13.15" hidden="1" customHeight="1" outlineLevel="4" x14ac:dyDescent="0.2">
      <c r="A827" s="227"/>
      <c r="B827" s="228" t="s">
        <v>19</v>
      </c>
      <c r="C827" s="229">
        <f t="shared" si="549"/>
        <v>11</v>
      </c>
      <c r="D827" s="227" t="str">
        <f t="shared" si="587"/>
        <v/>
      </c>
      <c r="E827" s="228" t="str">
        <f t="shared" ca="1" si="588"/>
        <v>06.001.005.001</v>
      </c>
      <c r="F827" s="230">
        <f ca="1">IF($B827="UNIDADE CONSTRUTIVA",OFFSET(F827,-1,0)+1,LARGE(F$10:F826,1))</f>
        <v>2</v>
      </c>
      <c r="G827" s="228" t="str">
        <f t="shared" ca="1" si="577"/>
        <v xml:space="preserve">   GERENCIAMENTO EXECUTIVO</v>
      </c>
      <c r="H827" s="230">
        <f t="shared" ca="1" si="589"/>
        <v>6</v>
      </c>
      <c r="I827" s="228" t="str">
        <f t="shared" ca="1" si="579"/>
        <v xml:space="preserve">   IMPERMEABILIZAÇÃO E TRATAMENTOS</v>
      </c>
      <c r="J827" s="230">
        <f t="shared" ca="1" si="590"/>
        <v>1</v>
      </c>
      <c r="K827" s="228" t="str">
        <f t="shared" ca="1" si="581"/>
        <v xml:space="preserve">   IMPERMEABILIZAÇÃO E TRATAMENTOS - 1º PAVIMENTO - SUBSOLO</v>
      </c>
      <c r="L827" s="231">
        <f t="shared" ca="1" si="591"/>
        <v>5</v>
      </c>
      <c r="M827" s="228" t="str">
        <f t="shared" ca="1" si="583"/>
        <v xml:space="preserve">   Proteção Mecânica</v>
      </c>
      <c r="N827" s="231">
        <f t="shared" ca="1" si="592"/>
        <v>1</v>
      </c>
      <c r="O827" s="228" t="str">
        <f t="shared" ca="1" si="585"/>
        <v>Protecao mecanica de superficie com argamassa de cimento e areia , traço 1:3, E=5cm</v>
      </c>
      <c r="P827" s="232" t="str">
        <f>IF(S827="","",IF(Orçamento!$B827="INSUMO",S827,""))</f>
        <v>ARGAMASSA ESTABILIZADA P/ CONTRAPISO</v>
      </c>
      <c r="Q827" s="244" t="str">
        <f t="shared" si="593"/>
        <v/>
      </c>
      <c r="R827" s="234">
        <f t="shared" ca="1" si="574"/>
        <v>48.48</v>
      </c>
      <c r="S827" s="233" t="s">
        <v>277</v>
      </c>
      <c r="T827" s="242" t="str">
        <f>_xlfn.XLOOKUP(S827,Insumos!$A$3:$A$371,Insumos!$B$3:$B$371)</f>
        <v>M3</v>
      </c>
      <c r="U827" s="235">
        <f ca="1">IF($B827="insumo",R827,"")</f>
        <v>48.48</v>
      </c>
      <c r="V827" s="320">
        <v>6.25E-2</v>
      </c>
      <c r="W827" s="236">
        <f>IFERROR(IF(B827="INSUMO",_xlfn.XLOOKUP(S827,Insumos!A:A,Insumos!C:C),""),"Inserir Preço")</f>
        <v>425</v>
      </c>
      <c r="X827" s="235">
        <f t="shared" ca="1" si="575"/>
        <v>3.03</v>
      </c>
      <c r="Y827" s="236">
        <f t="shared" si="586"/>
        <v>26.5625</v>
      </c>
      <c r="Z827" s="237">
        <f t="shared" ca="1" si="550"/>
        <v>1287.75</v>
      </c>
      <c r="AA827" s="238"/>
      <c r="AB827" s="233" t="str">
        <f>IF(B827="insumo",_xlfn.XLOOKUP(S827,Insumos!A:A,Insumos!D:D),"")</f>
        <v xml:space="preserve"> </v>
      </c>
      <c r="AC827" s="239">
        <f t="shared" ca="1" si="551"/>
        <v>1.8473947818012346E-4</v>
      </c>
      <c r="AE827" s="240">
        <f ca="1">IFERROR(IF(OR(Z827="",Z827=0),"",IF(AF827="","",IF(AF827="R$/mês",Z827/OBRA!$D$12,IF(AF827="R$/m²",Z827/OBRA!$D$10,IF(AF827="R$/apto",Orçamento!Z827/OBRA!$D$11,""))))),"")</f>
        <v>0.6626853228902394</v>
      </c>
      <c r="AF827" s="241" t="s">
        <v>154</v>
      </c>
    </row>
    <row r="828" spans="1:32" s="10" customFormat="1" ht="13.15" hidden="1" customHeight="1" outlineLevel="4" x14ac:dyDescent="0.2">
      <c r="A828" s="227"/>
      <c r="B828" s="228" t="s">
        <v>19</v>
      </c>
      <c r="C828" s="229">
        <f t="shared" si="549"/>
        <v>5</v>
      </c>
      <c r="D828" s="227" t="str">
        <f t="shared" si="587"/>
        <v/>
      </c>
      <c r="E828" s="228" t="str">
        <f t="shared" ca="1" si="588"/>
        <v>06.001.005.001</v>
      </c>
      <c r="F828" s="230">
        <f ca="1">IF($B828="UNIDADE CONSTRUTIVA",OFFSET(F828,-1,0)+1,LARGE(F$10:F827,1))</f>
        <v>2</v>
      </c>
      <c r="G828" s="228" t="str">
        <f t="shared" ca="1" si="577"/>
        <v xml:space="preserve">   GERENCIAMENTO EXECUTIVO</v>
      </c>
      <c r="H828" s="230">
        <f t="shared" ca="1" si="589"/>
        <v>6</v>
      </c>
      <c r="I828" s="228" t="str">
        <f t="shared" ca="1" si="579"/>
        <v xml:space="preserve">   IMPERMEABILIZAÇÃO E TRATAMENTOS</v>
      </c>
      <c r="J828" s="230">
        <f t="shared" ca="1" si="590"/>
        <v>1</v>
      </c>
      <c r="K828" s="228" t="str">
        <f t="shared" ca="1" si="581"/>
        <v xml:space="preserve">   IMPERMEABILIZAÇÃO E TRATAMENTOS - 1º PAVIMENTO - SUBSOLO</v>
      </c>
      <c r="L828" s="231">
        <f t="shared" ca="1" si="591"/>
        <v>5</v>
      </c>
      <c r="M828" s="228" t="str">
        <f t="shared" ca="1" si="583"/>
        <v xml:space="preserve">   Proteção Mecânica</v>
      </c>
      <c r="N828" s="231">
        <f t="shared" ca="1" si="592"/>
        <v>1</v>
      </c>
      <c r="O828" s="228" t="str">
        <f t="shared" ca="1" si="585"/>
        <v>Protecao mecanica de superficie com argamassa de cimento e areia , traço 1:3, E=5cm</v>
      </c>
      <c r="P828" s="232" t="str">
        <f>IF(S828="","",IF(Orçamento!$B828="INSUMO",S828,""))</f>
        <v>TELA ARAME GALVANIZADO FIO 24 BWG MALHA 1/2"</v>
      </c>
      <c r="Q828" s="244" t="str">
        <f t="shared" si="593"/>
        <v/>
      </c>
      <c r="R828" s="234">
        <f t="shared" ca="1" si="574"/>
        <v>48.48</v>
      </c>
      <c r="S828" s="233" t="s">
        <v>351</v>
      </c>
      <c r="T828" s="242" t="str">
        <f>_xlfn.XLOOKUP(S828,Insumos!$A$3:$A$371,Insumos!$B$3:$B$371)</f>
        <v>M2</v>
      </c>
      <c r="U828" s="235">
        <f ca="1">IF($B828="insumo",R828,"")</f>
        <v>48.48</v>
      </c>
      <c r="V828" s="320">
        <v>1.05</v>
      </c>
      <c r="W828" s="236">
        <f>IFERROR(IF(B828="INSUMO",_xlfn.XLOOKUP(S828,Insumos!A:A,Insumos!C:C),""),"Inserir Preço")</f>
        <v>12.84</v>
      </c>
      <c r="X828" s="235">
        <f t="shared" ca="1" si="575"/>
        <v>50.903999999999996</v>
      </c>
      <c r="Y828" s="236">
        <f t="shared" si="586"/>
        <v>13.482000000000001</v>
      </c>
      <c r="Z828" s="237">
        <f t="shared" ca="1" si="550"/>
        <v>653.60735999999997</v>
      </c>
      <c r="AA828" s="238"/>
      <c r="AB828" s="233" t="str">
        <f>IF(B828="insumo",_xlfn.XLOOKUP(S828,Insumos!A:A,Insumos!D:D),"")</f>
        <v xml:space="preserve"> </v>
      </c>
      <c r="AC828" s="239">
        <f t="shared" ca="1" si="551"/>
        <v>9.3765934863978339E-5</v>
      </c>
      <c r="AE828" s="240">
        <f ca="1">IFERROR(IF(OR(Z828="",Z828=0),"",IF(AF828="","",IF(AF828="R$/mês",Z828/OBRA!$D$12,IF(AF828="R$/m²",Z828/OBRA!$D$10,IF(AF828="R$/apto",Orçamento!Z828/OBRA!$D$11,""))))),"")</f>
        <v>0.33635100322658662</v>
      </c>
      <c r="AF828" s="241" t="s">
        <v>154</v>
      </c>
    </row>
    <row r="829" spans="1:32" s="10" customFormat="1" ht="13.15" hidden="1" customHeight="1" outlineLevel="3" collapsed="1" x14ac:dyDescent="0.2">
      <c r="A829" s="227"/>
      <c r="B829" s="228" t="s">
        <v>3</v>
      </c>
      <c r="C829" s="229" t="str">
        <f t="shared" si="549"/>
        <v/>
      </c>
      <c r="D829" s="227" t="str">
        <f t="shared" ca="1" si="587"/>
        <v>06.001.006</v>
      </c>
      <c r="E829" s="228" t="str">
        <f t="shared" ca="1" si="588"/>
        <v>06.001.005.001</v>
      </c>
      <c r="F829" s="230">
        <f ca="1">IF($B829="UNIDADE CONSTRUTIVA",OFFSET(F829,-1,0)+1,LARGE(F$10:F828,1))</f>
        <v>2</v>
      </c>
      <c r="G829" s="228" t="str">
        <f t="shared" ca="1" si="577"/>
        <v xml:space="preserve">   GERENCIAMENTO EXECUTIVO</v>
      </c>
      <c r="H829" s="230">
        <f t="shared" ca="1" si="589"/>
        <v>6</v>
      </c>
      <c r="I829" s="228" t="str">
        <f t="shared" ca="1" si="579"/>
        <v xml:space="preserve">   IMPERMEABILIZAÇÃO E TRATAMENTOS</v>
      </c>
      <c r="J829" s="230">
        <f t="shared" ca="1" si="590"/>
        <v>1</v>
      </c>
      <c r="K829" s="228" t="str">
        <f t="shared" ca="1" si="581"/>
        <v xml:space="preserve">   IMPERMEABILIZAÇÃO E TRATAMENTOS - 1º PAVIMENTO - SUBSOLO</v>
      </c>
      <c r="L829" s="231">
        <f t="shared" ca="1" si="591"/>
        <v>6</v>
      </c>
      <c r="M829" s="228" t="str">
        <f t="shared" ca="1" si="583"/>
        <v xml:space="preserve">   Mão de Obra</v>
      </c>
      <c r="N829" s="231">
        <f t="shared" ca="1" si="592"/>
        <v>0</v>
      </c>
      <c r="O829" s="228" t="str">
        <f t="shared" ca="1" si="585"/>
        <v>Protecao mecanica de superficie com argamassa de cimento e areia , traço 1:3, E=5cm</v>
      </c>
      <c r="P829" s="232" t="str">
        <f>IF(S829="","",IF(Orçamento!$B829="INSUMO",S829,""))</f>
        <v/>
      </c>
      <c r="Q829" s="244" t="str">
        <f t="shared" si="593"/>
        <v/>
      </c>
      <c r="R829" s="234">
        <f t="shared" ca="1" si="574"/>
        <v>48.48</v>
      </c>
      <c r="S829" s="233" t="s">
        <v>438</v>
      </c>
      <c r="T829" s="242" t="s">
        <v>35</v>
      </c>
      <c r="U829" s="235" t="str">
        <f>IF($B829="insumo",R829,"")</f>
        <v/>
      </c>
      <c r="V829" s="320" t="s">
        <v>35</v>
      </c>
      <c r="W829" s="236" t="str">
        <f>IFERROR(IF(B829="INSUMO",_xlfn.XLOOKUP(S829,Insumos!A:A,Insumos!C:C),""),"Inserir Preço")</f>
        <v/>
      </c>
      <c r="X829" s="235" t="str">
        <f t="shared" ca="1" si="575"/>
        <v/>
      </c>
      <c r="Y829" s="236" t="str">
        <f t="shared" si="586"/>
        <v/>
      </c>
      <c r="Z829" s="237">
        <f t="shared" ca="1" si="550"/>
        <v>19256.891199999998</v>
      </c>
      <c r="AA829" s="238"/>
      <c r="AB829" s="233" t="str">
        <f>IF(B829="insumo",_xlfn.XLOOKUP(S829,Insumos!A:A,Insumos!D:D),"")</f>
        <v/>
      </c>
      <c r="AC829" s="239">
        <f t="shared" ca="1" si="551"/>
        <v>2.7625766116555319E-3</v>
      </c>
      <c r="AE829" s="240">
        <f ca="1">IFERROR(IF(OR(Z829="",Z829=0),"",IF(AF829="","",IF(AF829="R$/mês",Z829/OBRA!$D$12,IF(AF829="R$/m²",Z829/OBRA!$D$10,IF(AF829="R$/apto",Orçamento!Z829/OBRA!$D$11,""))))),"")</f>
        <v>9.909733382049474</v>
      </c>
      <c r="AF829" s="241" t="s">
        <v>154</v>
      </c>
    </row>
    <row r="830" spans="1:32" s="10" customFormat="1" ht="13.15" hidden="1" customHeight="1" outlineLevel="4" x14ac:dyDescent="0.2">
      <c r="A830" s="227"/>
      <c r="B830" s="228" t="s">
        <v>4</v>
      </c>
      <c r="C830" s="229">
        <f t="shared" si="549"/>
        <v>5</v>
      </c>
      <c r="D830" s="227" t="str">
        <f t="shared" ca="1" si="587"/>
        <v>06.001.006.001</v>
      </c>
      <c r="E830" s="228" t="str">
        <f t="shared" ca="1" si="588"/>
        <v>06.001.006.001</v>
      </c>
      <c r="F830" s="230">
        <f ca="1">IF($B830="UNIDADE CONSTRUTIVA",OFFSET(F830,-1,0)+1,LARGE(F$10:F829,1))</f>
        <v>2</v>
      </c>
      <c r="G830" s="228" t="str">
        <f t="shared" ca="1" si="577"/>
        <v xml:space="preserve">   GERENCIAMENTO EXECUTIVO</v>
      </c>
      <c r="H830" s="230">
        <f t="shared" ca="1" si="589"/>
        <v>6</v>
      </c>
      <c r="I830" s="228" t="str">
        <f t="shared" ca="1" si="579"/>
        <v xml:space="preserve">   IMPERMEABILIZAÇÃO E TRATAMENTOS</v>
      </c>
      <c r="J830" s="230">
        <f t="shared" ca="1" si="590"/>
        <v>1</v>
      </c>
      <c r="K830" s="228" t="str">
        <f t="shared" ca="1" si="581"/>
        <v xml:space="preserve">   IMPERMEABILIZAÇÃO E TRATAMENTOS - 1º PAVIMENTO - SUBSOLO</v>
      </c>
      <c r="L830" s="231">
        <f t="shared" ca="1" si="591"/>
        <v>6</v>
      </c>
      <c r="M830" s="228" t="str">
        <f t="shared" ca="1" si="583"/>
        <v xml:space="preserve">   Mão de Obra</v>
      </c>
      <c r="N830" s="231">
        <f t="shared" ca="1" si="592"/>
        <v>1</v>
      </c>
      <c r="O830" s="228" t="str">
        <f t="shared" ca="1" si="585"/>
        <v>Mao de obra para regularizacao de superficie</v>
      </c>
      <c r="P830" s="232" t="str">
        <f>IF(S830="","",IF(Orçamento!$B830="INSUMO",S830,""))</f>
        <v/>
      </c>
      <c r="Q830" s="244" t="str">
        <f t="shared" si="593"/>
        <v>Mao de obra para regularizacao de superficie</v>
      </c>
      <c r="R830" s="234">
        <f t="shared" ca="1" si="574"/>
        <v>330.48</v>
      </c>
      <c r="S830" s="233" t="s">
        <v>472</v>
      </c>
      <c r="T830" s="242" t="s">
        <v>140</v>
      </c>
      <c r="U830" s="235">
        <f>U809</f>
        <v>330.48</v>
      </c>
      <c r="V830" s="320" t="s">
        <v>35</v>
      </c>
      <c r="W830" s="236" t="str">
        <f>IFERROR(IF(B830="INSUMO",_xlfn.XLOOKUP(S830,Insumos!A:A,Insumos!C:C),""),"Inserir Preço")</f>
        <v/>
      </c>
      <c r="X830" s="235">
        <f t="shared" ca="1" si="575"/>
        <v>330.48</v>
      </c>
      <c r="Y830" s="236">
        <f t="shared" ca="1" si="586"/>
        <v>18</v>
      </c>
      <c r="Z830" s="237">
        <f t="shared" ca="1" si="550"/>
        <v>5948.64</v>
      </c>
      <c r="AA830" s="238"/>
      <c r="AB830" s="233" t="str">
        <f>IF(B830="insumo",_xlfn.XLOOKUP(S830,Insumos!A:A,Insumos!D:D),"")</f>
        <v/>
      </c>
      <c r="AC830" s="239">
        <f t="shared" ca="1" si="551"/>
        <v>8.5338664296750902E-4</v>
      </c>
      <c r="AE830" s="240">
        <f ca="1">IFERROR(IF(OR(Z830="",Z830=0),"",IF(AF830="","",IF(AF830="R$/mês",Z830/OBRA!$D$12,IF(AF830="R$/m²",Z830/OBRA!$D$10,IF(AF830="R$/apto",Orçamento!Z830/OBRA!$D$11,""))))),"")</f>
        <v>3.0612125173036646</v>
      </c>
      <c r="AF830" s="241" t="s">
        <v>154</v>
      </c>
    </row>
    <row r="831" spans="1:32" s="10" customFormat="1" ht="13.15" hidden="1" customHeight="1" outlineLevel="4" x14ac:dyDescent="0.2">
      <c r="A831" s="227"/>
      <c r="B831" s="228" t="s">
        <v>19</v>
      </c>
      <c r="C831" s="229">
        <f t="shared" si="549"/>
        <v>5</v>
      </c>
      <c r="D831" s="227" t="str">
        <f t="shared" si="587"/>
        <v/>
      </c>
      <c r="E831" s="228" t="str">
        <f t="shared" ca="1" si="588"/>
        <v>06.001.006.001</v>
      </c>
      <c r="F831" s="230">
        <f ca="1">IF($B831="UNIDADE CONSTRUTIVA",OFFSET(F831,-1,0)+1,LARGE(F$10:F830,1))</f>
        <v>2</v>
      </c>
      <c r="G831" s="228" t="str">
        <f t="shared" ca="1" si="577"/>
        <v xml:space="preserve">   GERENCIAMENTO EXECUTIVO</v>
      </c>
      <c r="H831" s="230">
        <f t="shared" ca="1" si="589"/>
        <v>6</v>
      </c>
      <c r="I831" s="228" t="str">
        <f t="shared" ca="1" si="579"/>
        <v xml:space="preserve">   IMPERMEABILIZAÇÃO E TRATAMENTOS</v>
      </c>
      <c r="J831" s="230">
        <f t="shared" ca="1" si="590"/>
        <v>1</v>
      </c>
      <c r="K831" s="228" t="str">
        <f t="shared" ca="1" si="581"/>
        <v xml:space="preserve">   IMPERMEABILIZAÇÃO E TRATAMENTOS - 1º PAVIMENTO - SUBSOLO</v>
      </c>
      <c r="L831" s="231">
        <f t="shared" ca="1" si="591"/>
        <v>6</v>
      </c>
      <c r="M831" s="228" t="str">
        <f t="shared" ca="1" si="583"/>
        <v xml:space="preserve">   Mão de Obra</v>
      </c>
      <c r="N831" s="231">
        <f t="shared" ca="1" si="592"/>
        <v>1</v>
      </c>
      <c r="O831" s="228" t="str">
        <f t="shared" ca="1" si="585"/>
        <v>Mao de obra para regularizacao de superficie</v>
      </c>
      <c r="P831" s="232" t="str">
        <f>IF(S831="","",IF(Orçamento!$B831="INSUMO",S831,""))</f>
        <v>MAO DE OBRA PARA REGULARIZACAO DE SUPERFICIE</v>
      </c>
      <c r="Q831" s="244" t="str">
        <f t="shared" si="593"/>
        <v/>
      </c>
      <c r="R831" s="234">
        <f t="shared" ca="1" si="574"/>
        <v>330.48</v>
      </c>
      <c r="S831" s="233" t="s">
        <v>308</v>
      </c>
      <c r="T831" s="242" t="str">
        <f>_xlfn.XLOOKUP(S831,Insumos!$A$3:$A$371,Insumos!$B$3:$B$371)</f>
        <v>M2</v>
      </c>
      <c r="U831" s="235">
        <f ca="1">IF($B831="insumo",R831,"")</f>
        <v>330.48</v>
      </c>
      <c r="V831" s="320">
        <v>1</v>
      </c>
      <c r="W831" s="236">
        <f>IFERROR(IF(B831="INSUMO",_xlfn.XLOOKUP(S831,Insumos!A:A,Insumos!C:C),""),"Inserir Preço")</f>
        <v>18</v>
      </c>
      <c r="X831" s="235">
        <f t="shared" ca="1" si="575"/>
        <v>330.48</v>
      </c>
      <c r="Y831" s="236">
        <f t="shared" si="586"/>
        <v>18</v>
      </c>
      <c r="Z831" s="237">
        <f t="shared" ca="1" si="550"/>
        <v>5948.64</v>
      </c>
      <c r="AA831" s="238"/>
      <c r="AB831" s="233" t="str">
        <f>IF(B831="insumo",_xlfn.XLOOKUP(S831,Insumos!A:A,Insumos!D:D),"")</f>
        <v xml:space="preserve"> </v>
      </c>
      <c r="AC831" s="239">
        <f t="shared" ca="1" si="551"/>
        <v>8.5338664296750902E-4</v>
      </c>
      <c r="AE831" s="240">
        <f ca="1">IFERROR(IF(OR(Z831="",Z831=0),"",IF(AF831="","",IF(AF831="R$/mês",Z831/OBRA!$D$12,IF(AF831="R$/m²",Z831/OBRA!$D$10,IF(AF831="R$/apto",Orçamento!Z831/OBRA!$D$11,""))))),"")</f>
        <v>3.0612125173036646</v>
      </c>
      <c r="AF831" s="241" t="s">
        <v>154</v>
      </c>
    </row>
    <row r="832" spans="1:32" s="10" customFormat="1" ht="13.15" hidden="1" customHeight="1" outlineLevel="4" x14ac:dyDescent="0.2">
      <c r="A832" s="227"/>
      <c r="B832" s="228" t="s">
        <v>4</v>
      </c>
      <c r="C832" s="229">
        <f t="shared" si="549"/>
        <v>5</v>
      </c>
      <c r="D832" s="227" t="str">
        <f t="shared" ca="1" si="587"/>
        <v>06.001.006.002</v>
      </c>
      <c r="E832" s="228" t="str">
        <f t="shared" ca="1" si="588"/>
        <v>06.001.006.002</v>
      </c>
      <c r="F832" s="230">
        <f ca="1">IF($B832="UNIDADE CONSTRUTIVA",OFFSET(F832,-1,0)+1,LARGE(F$10:F831,1))</f>
        <v>2</v>
      </c>
      <c r="G832" s="228" t="str">
        <f t="shared" ca="1" si="577"/>
        <v xml:space="preserve">   GERENCIAMENTO EXECUTIVO</v>
      </c>
      <c r="H832" s="230">
        <f t="shared" ca="1" si="589"/>
        <v>6</v>
      </c>
      <c r="I832" s="228" t="str">
        <f t="shared" ca="1" si="579"/>
        <v xml:space="preserve">   IMPERMEABILIZAÇÃO E TRATAMENTOS</v>
      </c>
      <c r="J832" s="230">
        <f t="shared" ca="1" si="590"/>
        <v>1</v>
      </c>
      <c r="K832" s="228" t="str">
        <f t="shared" ca="1" si="581"/>
        <v xml:space="preserve">   IMPERMEABILIZAÇÃO E TRATAMENTOS - 1º PAVIMENTO - SUBSOLO</v>
      </c>
      <c r="L832" s="231">
        <f t="shared" ca="1" si="591"/>
        <v>6</v>
      </c>
      <c r="M832" s="228" t="str">
        <f t="shared" ca="1" si="583"/>
        <v xml:space="preserve">   Mão de Obra</v>
      </c>
      <c r="N832" s="231">
        <f t="shared" ca="1" si="592"/>
        <v>2</v>
      </c>
      <c r="O832" s="228" t="str">
        <f t="shared" ca="1" si="585"/>
        <v>Mao de obra para impermeabilizacao de manta asfaltica</v>
      </c>
      <c r="P832" s="232" t="str">
        <f>IF(S832="","",IF(Orçamento!$B832="INSUMO",S832,""))</f>
        <v/>
      </c>
      <c r="Q832" s="244" t="str">
        <f t="shared" si="593"/>
        <v>Mao de obra para impermeabilizacao de manta asfaltica</v>
      </c>
      <c r="R832" s="234">
        <f t="shared" ca="1" si="574"/>
        <v>48.48</v>
      </c>
      <c r="S832" s="233" t="s">
        <v>473</v>
      </c>
      <c r="T832" s="242" t="s">
        <v>140</v>
      </c>
      <c r="U832" s="235">
        <f>U813</f>
        <v>48.48</v>
      </c>
      <c r="V832" s="320" t="s">
        <v>35</v>
      </c>
      <c r="W832" s="236" t="str">
        <f>IFERROR(IF(B832="INSUMO",_xlfn.XLOOKUP(S832,Insumos!A:A,Insumos!C:C),""),"Inserir Preço")</f>
        <v/>
      </c>
      <c r="X832" s="235">
        <f t="shared" ca="1" si="575"/>
        <v>48.48</v>
      </c>
      <c r="Y832" s="236">
        <f t="shared" ca="1" si="586"/>
        <v>65.19</v>
      </c>
      <c r="Z832" s="237">
        <f t="shared" ca="1" si="550"/>
        <v>3160.4111999999996</v>
      </c>
      <c r="AA832" s="238"/>
      <c r="AB832" s="233" t="str">
        <f>IF(B832="insumo",_xlfn.XLOOKUP(S832,Insumos!A:A,Insumos!D:D),"")</f>
        <v/>
      </c>
      <c r="AC832" s="239">
        <f t="shared" ca="1" si="551"/>
        <v>4.5338980075528462E-4</v>
      </c>
      <c r="AE832" s="240">
        <f ca="1">IFERROR(IF(OR(Z832="",Z832=0),"",IF(AF832="","",IF(AF832="R$/mês",Z832/OBRA!$D$12,IF(AF832="R$/m²",Z832/OBRA!$D$10,IF(AF832="R$/apto",Orçamento!Z832/OBRA!$D$11,""))))),"")</f>
        <v>1.6263701157351418</v>
      </c>
      <c r="AF832" s="241" t="s">
        <v>154</v>
      </c>
    </row>
    <row r="833" spans="1:32" s="10" customFormat="1" ht="13.15" hidden="1" customHeight="1" outlineLevel="4" x14ac:dyDescent="0.2">
      <c r="A833" s="227"/>
      <c r="B833" s="228" t="s">
        <v>19</v>
      </c>
      <c r="C833" s="229">
        <f t="shared" si="549"/>
        <v>5</v>
      </c>
      <c r="D833" s="227" t="str">
        <f t="shared" si="587"/>
        <v/>
      </c>
      <c r="E833" s="228" t="str">
        <f t="shared" ca="1" si="588"/>
        <v>06.001.006.002</v>
      </c>
      <c r="F833" s="230">
        <f ca="1">IF($B833="UNIDADE CONSTRUTIVA",OFFSET(F833,-1,0)+1,LARGE(F$10:F832,1))</f>
        <v>2</v>
      </c>
      <c r="G833" s="228" t="str">
        <f t="shared" ca="1" si="577"/>
        <v xml:space="preserve">   GERENCIAMENTO EXECUTIVO</v>
      </c>
      <c r="H833" s="230">
        <f t="shared" ca="1" si="589"/>
        <v>6</v>
      </c>
      <c r="I833" s="228" t="str">
        <f t="shared" ca="1" si="579"/>
        <v xml:space="preserve">   IMPERMEABILIZAÇÃO E TRATAMENTOS</v>
      </c>
      <c r="J833" s="230">
        <f t="shared" ca="1" si="590"/>
        <v>1</v>
      </c>
      <c r="K833" s="228" t="str">
        <f t="shared" ca="1" si="581"/>
        <v xml:space="preserve">   IMPERMEABILIZAÇÃO E TRATAMENTOS - 1º PAVIMENTO - SUBSOLO</v>
      </c>
      <c r="L833" s="231">
        <f t="shared" ca="1" si="591"/>
        <v>6</v>
      </c>
      <c r="M833" s="228" t="str">
        <f t="shared" ca="1" si="583"/>
        <v xml:space="preserve">   Mão de Obra</v>
      </c>
      <c r="N833" s="231">
        <f t="shared" ca="1" si="592"/>
        <v>2</v>
      </c>
      <c r="O833" s="228" t="str">
        <f t="shared" ca="1" si="585"/>
        <v>Mao de obra para impermeabilizacao de manta asfaltica</v>
      </c>
      <c r="P833" s="232" t="str">
        <f>IF(S833="","",IF(Orçamento!$B833="INSUMO",S833,""))</f>
        <v>MAO DE OBRA DE IMPERMEABILIZACAO</v>
      </c>
      <c r="Q833" s="244" t="str">
        <f t="shared" si="593"/>
        <v/>
      </c>
      <c r="R833" s="234">
        <f t="shared" ca="1" si="574"/>
        <v>48.48</v>
      </c>
      <c r="S833" s="233" t="s">
        <v>322</v>
      </c>
      <c r="T833" s="242" t="str">
        <f>_xlfn.XLOOKUP(S833,Insumos!$A$3:$A$371,Insumos!$B$3:$B$371)</f>
        <v>M2</v>
      </c>
      <c r="U833" s="235">
        <f ca="1">IF($B833="insumo",R833,"")</f>
        <v>48.48</v>
      </c>
      <c r="V833" s="320">
        <v>1</v>
      </c>
      <c r="W833" s="236">
        <f>IFERROR(IF(B833="INSUMO",_xlfn.XLOOKUP(S833,Insumos!A:A,Insumos!C:C),""),"Inserir Preço")</f>
        <v>65.19</v>
      </c>
      <c r="X833" s="235">
        <f t="shared" ca="1" si="575"/>
        <v>48.48</v>
      </c>
      <c r="Y833" s="236">
        <f t="shared" si="586"/>
        <v>65.19</v>
      </c>
      <c r="Z833" s="237">
        <f t="shared" ca="1" si="550"/>
        <v>3160.4111999999996</v>
      </c>
      <c r="AA833" s="238"/>
      <c r="AB833" s="233" t="str">
        <f>IF(B833="insumo",_xlfn.XLOOKUP(S833,Insumos!A:A,Insumos!D:D),"")</f>
        <v xml:space="preserve"> </v>
      </c>
      <c r="AC833" s="239">
        <f t="shared" ca="1" si="551"/>
        <v>4.5338980075528462E-4</v>
      </c>
      <c r="AE833" s="240">
        <f ca="1">IFERROR(IF(OR(Z833="",Z833=0),"",IF(AF833="","",IF(AF833="R$/mês",Z833/OBRA!$D$12,IF(AF833="R$/m²",Z833/OBRA!$D$10,IF(AF833="R$/apto",Orçamento!Z833/OBRA!$D$11,""))))),"")</f>
        <v>1.6263701157351418</v>
      </c>
      <c r="AF833" s="241" t="s">
        <v>154</v>
      </c>
    </row>
    <row r="834" spans="1:32" s="10" customFormat="1" ht="13.15" hidden="1" customHeight="1" outlineLevel="4" x14ac:dyDescent="0.2">
      <c r="A834" s="227"/>
      <c r="B834" s="228" t="s">
        <v>4</v>
      </c>
      <c r="C834" s="229">
        <f t="shared" si="549"/>
        <v>4</v>
      </c>
      <c r="D834" s="227" t="str">
        <f t="shared" ca="1" si="587"/>
        <v>06.001.006.003</v>
      </c>
      <c r="E834" s="228" t="str">
        <f t="shared" ca="1" si="588"/>
        <v>06.001.006.003</v>
      </c>
      <c r="F834" s="230">
        <f ca="1">IF($B834="UNIDADE CONSTRUTIVA",OFFSET(F834,-1,0)+1,LARGE(F$10:F833,1))</f>
        <v>2</v>
      </c>
      <c r="G834" s="228" t="str">
        <f t="shared" ca="1" si="577"/>
        <v xml:space="preserve">   GERENCIAMENTO EXECUTIVO</v>
      </c>
      <c r="H834" s="230">
        <f t="shared" ca="1" si="589"/>
        <v>6</v>
      </c>
      <c r="I834" s="228" t="str">
        <f t="shared" ca="1" si="579"/>
        <v xml:space="preserve">   IMPERMEABILIZAÇÃO E TRATAMENTOS</v>
      </c>
      <c r="J834" s="230">
        <f t="shared" ca="1" si="590"/>
        <v>1</v>
      </c>
      <c r="K834" s="228" t="str">
        <f t="shared" ca="1" si="581"/>
        <v xml:space="preserve">   IMPERMEABILIZAÇÃO E TRATAMENTOS - 1º PAVIMENTO - SUBSOLO</v>
      </c>
      <c r="L834" s="231">
        <f t="shared" ca="1" si="591"/>
        <v>6</v>
      </c>
      <c r="M834" s="228" t="str">
        <f t="shared" ca="1" si="583"/>
        <v xml:space="preserve">   Mão de Obra</v>
      </c>
      <c r="N834" s="231">
        <f t="shared" ca="1" si="592"/>
        <v>3</v>
      </c>
      <c r="O834" s="228" t="str">
        <f t="shared" ca="1" si="585"/>
        <v>Mão de obra para tratamento de ralos</v>
      </c>
      <c r="P834" s="232" t="str">
        <f>IF(S834="","",IF(Orçamento!$B834="INSUMO",S834,""))</f>
        <v/>
      </c>
      <c r="Q834" s="244" t="str">
        <f t="shared" si="593"/>
        <v>Mão de obra para tratamento de ralos</v>
      </c>
      <c r="R834" s="234">
        <f t="shared" ca="1" si="574"/>
        <v>5</v>
      </c>
      <c r="S834" s="233" t="s">
        <v>1156</v>
      </c>
      <c r="T834" s="242" t="s">
        <v>140</v>
      </c>
      <c r="U834" s="377">
        <f>U816</f>
        <v>5</v>
      </c>
      <c r="V834" s="320" t="s">
        <v>35</v>
      </c>
      <c r="W834" s="236" t="str">
        <f>IFERROR(IF(B834="INSUMO",_xlfn.XLOOKUP(S834,Insumos!A:A,Insumos!C:C),""),"Inserir Preço")</f>
        <v/>
      </c>
      <c r="X834" s="235">
        <f t="shared" ca="1" si="575"/>
        <v>5</v>
      </c>
      <c r="Y834" s="236">
        <f t="shared" ca="1" si="586"/>
        <v>80</v>
      </c>
      <c r="Z834" s="237">
        <f t="shared" ca="1" si="550"/>
        <v>400</v>
      </c>
      <c r="AA834" s="238"/>
      <c r="AB834" s="233" t="str">
        <f>IF(B834="insumo",_xlfn.XLOOKUP(S834,Insumos!A:A,Insumos!D:D),"")</f>
        <v/>
      </c>
      <c r="AC834" s="239">
        <f t="shared" ca="1" si="551"/>
        <v>5.7383646881808884E-5</v>
      </c>
      <c r="AE834" s="240">
        <f ca="1">IFERROR(IF(OR(Z834="",Z834=0),"",IF(AF834="","",IF(AF834="R$/mês",Z834/OBRA!$D$12,IF(AF834="R$/m²",Z834/OBRA!$D$10,IF(AF834="R$/apto",Orçamento!Z834/OBRA!$D$11,""))))),"")</f>
        <v>0.2058428492767197</v>
      </c>
      <c r="AF834" s="241" t="s">
        <v>154</v>
      </c>
    </row>
    <row r="835" spans="1:32" s="10" customFormat="1" ht="13.15" hidden="1" customHeight="1" outlineLevel="4" x14ac:dyDescent="0.2">
      <c r="A835" s="227"/>
      <c r="B835" s="228" t="s">
        <v>19</v>
      </c>
      <c r="C835" s="229">
        <f t="shared" si="549"/>
        <v>4</v>
      </c>
      <c r="D835" s="227" t="str">
        <f t="shared" si="587"/>
        <v/>
      </c>
      <c r="E835" s="228" t="str">
        <f t="shared" ca="1" si="588"/>
        <v>06.001.006.003</v>
      </c>
      <c r="F835" s="230">
        <f ca="1">IF($B835="UNIDADE CONSTRUTIVA",OFFSET(F835,-1,0)+1,LARGE(F$10:F834,1))</f>
        <v>2</v>
      </c>
      <c r="G835" s="228" t="str">
        <f t="shared" ca="1" si="577"/>
        <v xml:space="preserve">   GERENCIAMENTO EXECUTIVO</v>
      </c>
      <c r="H835" s="230">
        <f t="shared" ca="1" si="589"/>
        <v>6</v>
      </c>
      <c r="I835" s="228" t="str">
        <f t="shared" ca="1" si="579"/>
        <v xml:space="preserve">   IMPERMEABILIZAÇÃO E TRATAMENTOS</v>
      </c>
      <c r="J835" s="230">
        <f t="shared" ca="1" si="590"/>
        <v>1</v>
      </c>
      <c r="K835" s="228" t="str">
        <f t="shared" ca="1" si="581"/>
        <v xml:space="preserve">   IMPERMEABILIZAÇÃO E TRATAMENTOS - 1º PAVIMENTO - SUBSOLO</v>
      </c>
      <c r="L835" s="231">
        <f t="shared" ca="1" si="591"/>
        <v>6</v>
      </c>
      <c r="M835" s="228" t="str">
        <f t="shared" ca="1" si="583"/>
        <v xml:space="preserve">   Mão de Obra</v>
      </c>
      <c r="N835" s="231">
        <f t="shared" ca="1" si="592"/>
        <v>3</v>
      </c>
      <c r="O835" s="228" t="str">
        <f t="shared" ca="1" si="585"/>
        <v>Mão de obra para tratamento de ralos</v>
      </c>
      <c r="P835" s="232" t="str">
        <f>IF(S835="","",IF(Orçamento!$B835="INSUMO",S835,""))</f>
        <v>MÃO DE OBRA PARA TRATAMENTO DE RALO</v>
      </c>
      <c r="Q835" s="244" t="str">
        <f t="shared" si="593"/>
        <v/>
      </c>
      <c r="R835" s="234">
        <f t="shared" ca="1" si="574"/>
        <v>5</v>
      </c>
      <c r="S835" s="233" t="s">
        <v>1157</v>
      </c>
      <c r="T835" s="242" t="str">
        <f>_xlfn.XLOOKUP(S835,Insumos!$A$3:$A$371,Insumos!$B$3:$B$371)</f>
        <v>UN</v>
      </c>
      <c r="U835" s="235">
        <f ca="1">IF($B835="insumo",R835,"")</f>
        <v>5</v>
      </c>
      <c r="V835" s="320">
        <v>1</v>
      </c>
      <c r="W835" s="236">
        <f>IFERROR(IF(B835="INSUMO",_xlfn.XLOOKUP(S835,Insumos!A:A,Insumos!C:C),""),"Inserir Preço")</f>
        <v>80</v>
      </c>
      <c r="X835" s="235">
        <f t="shared" ca="1" si="575"/>
        <v>5</v>
      </c>
      <c r="Y835" s="236">
        <f t="shared" si="586"/>
        <v>80</v>
      </c>
      <c r="Z835" s="237">
        <f t="shared" ca="1" si="550"/>
        <v>400</v>
      </c>
      <c r="AA835" s="238"/>
      <c r="AB835" s="233" t="str">
        <f>IF(B835="insumo",_xlfn.XLOOKUP(S835,Insumos!A:A,Insumos!D:D),"")</f>
        <v xml:space="preserve"> </v>
      </c>
      <c r="AC835" s="239">
        <f t="shared" ca="1" si="551"/>
        <v>5.7383646881808884E-5</v>
      </c>
      <c r="AE835" s="240">
        <f ca="1">IFERROR(IF(OR(Z835="",Z835=0),"",IF(AF835="","",IF(AF835="R$/mês",Z835/OBRA!$D$12,IF(AF835="R$/m²",Z835/OBRA!$D$10,IF(AF835="R$/apto",Orçamento!Z835/OBRA!$D$11,""))))),"")</f>
        <v>0.2058428492767197</v>
      </c>
      <c r="AF835" s="241" t="s">
        <v>154</v>
      </c>
    </row>
    <row r="836" spans="1:32" s="10" customFormat="1" ht="13.15" hidden="1" customHeight="1" outlineLevel="4" x14ac:dyDescent="0.2">
      <c r="A836" s="227"/>
      <c r="B836" s="228" t="s">
        <v>4</v>
      </c>
      <c r="C836" s="229">
        <f t="shared" si="549"/>
        <v>5</v>
      </c>
      <c r="D836" s="227" t="str">
        <f t="shared" ca="1" si="587"/>
        <v>06.001.006.004</v>
      </c>
      <c r="E836" s="228" t="str">
        <f t="shared" ca="1" si="588"/>
        <v>06.001.006.004</v>
      </c>
      <c r="F836" s="230">
        <f ca="1">IF($B836="UNIDADE CONSTRUTIVA",OFFSET(F836,-1,0)+1,LARGE(F$10:F835,1))</f>
        <v>2</v>
      </c>
      <c r="G836" s="228" t="str">
        <f t="shared" ca="1" si="577"/>
        <v xml:space="preserve">   GERENCIAMENTO EXECUTIVO</v>
      </c>
      <c r="H836" s="230">
        <f t="shared" ca="1" si="589"/>
        <v>6</v>
      </c>
      <c r="I836" s="228" t="str">
        <f t="shared" ca="1" si="579"/>
        <v xml:space="preserve">   IMPERMEABILIZAÇÃO E TRATAMENTOS</v>
      </c>
      <c r="J836" s="230">
        <f t="shared" ca="1" si="590"/>
        <v>1</v>
      </c>
      <c r="K836" s="228" t="str">
        <f t="shared" ca="1" si="581"/>
        <v xml:space="preserve">   IMPERMEABILIZAÇÃO E TRATAMENTOS - 1º PAVIMENTO - SUBSOLO</v>
      </c>
      <c r="L836" s="231">
        <f t="shared" ca="1" si="591"/>
        <v>6</v>
      </c>
      <c r="M836" s="228" t="str">
        <f t="shared" ca="1" si="583"/>
        <v xml:space="preserve">   Mão de Obra</v>
      </c>
      <c r="N836" s="231">
        <f t="shared" ca="1" si="592"/>
        <v>4</v>
      </c>
      <c r="O836" s="228" t="str">
        <f t="shared" ca="1" si="585"/>
        <v>Mao de obra para execucao de protecao mecanica em superficie impermeabilizada</v>
      </c>
      <c r="P836" s="232" t="str">
        <f>IF(S836="","",IF(Orçamento!$B836="INSUMO",S836,""))</f>
        <v/>
      </c>
      <c r="Q836" s="244" t="str">
        <f t="shared" si="593"/>
        <v>Mao de obra para execucao de protecao mecanica em superficie impermeabilizada</v>
      </c>
      <c r="R836" s="234">
        <f t="shared" ca="1" si="574"/>
        <v>48.48</v>
      </c>
      <c r="S836" s="233" t="s">
        <v>475</v>
      </c>
      <c r="T836" s="242" t="s">
        <v>140</v>
      </c>
      <c r="U836" s="235">
        <f>U826</f>
        <v>48.48</v>
      </c>
      <c r="V836" s="320" t="s">
        <v>35</v>
      </c>
      <c r="W836" s="236" t="str">
        <f>IFERROR(IF(B836="INSUMO",_xlfn.XLOOKUP(S836,Insumos!A:A,Insumos!C:C),""),"Inserir Preço")</f>
        <v/>
      </c>
      <c r="X836" s="235">
        <f t="shared" ca="1" si="575"/>
        <v>48.48</v>
      </c>
      <c r="Y836" s="236">
        <f t="shared" ca="1" si="586"/>
        <v>4.5</v>
      </c>
      <c r="Z836" s="237">
        <f t="shared" ca="1" si="550"/>
        <v>218.16</v>
      </c>
      <c r="AA836" s="238"/>
      <c r="AB836" s="233" t="str">
        <f>IF(B836="insumo",_xlfn.XLOOKUP(S836,Insumos!A:A,Insumos!D:D),"")</f>
        <v/>
      </c>
      <c r="AC836" s="239">
        <f t="shared" ca="1" si="551"/>
        <v>3.1297041009338566E-5</v>
      </c>
      <c r="AE836" s="240">
        <f ca="1">IFERROR(IF(OR(Z836="",Z836=0),"",IF(AF836="","",IF(AF836="R$/mês",Z836/OBRA!$D$12,IF(AF836="R$/m²",Z836/OBRA!$D$10,IF(AF836="R$/apto",Orçamento!Z836/OBRA!$D$11,""))))),"")</f>
        <v>0.11226668999552292</v>
      </c>
      <c r="AF836" s="241" t="s">
        <v>154</v>
      </c>
    </row>
    <row r="837" spans="1:32" s="10" customFormat="1" ht="13.15" hidden="1" customHeight="1" outlineLevel="4" x14ac:dyDescent="0.2">
      <c r="A837" s="227"/>
      <c r="B837" s="228" t="s">
        <v>19</v>
      </c>
      <c r="C837" s="229">
        <f t="shared" si="549"/>
        <v>5</v>
      </c>
      <c r="D837" s="227" t="str">
        <f t="shared" si="587"/>
        <v/>
      </c>
      <c r="E837" s="228" t="str">
        <f t="shared" ca="1" si="588"/>
        <v>06.001.006.004</v>
      </c>
      <c r="F837" s="230">
        <f ca="1">IF($B837="UNIDADE CONSTRUTIVA",OFFSET(F837,-1,0)+1,LARGE(F$10:F836,1))</f>
        <v>2</v>
      </c>
      <c r="G837" s="228" t="str">
        <f t="shared" ca="1" si="577"/>
        <v xml:space="preserve">   GERENCIAMENTO EXECUTIVO</v>
      </c>
      <c r="H837" s="230">
        <f t="shared" ca="1" si="589"/>
        <v>6</v>
      </c>
      <c r="I837" s="228" t="str">
        <f t="shared" ca="1" si="579"/>
        <v xml:space="preserve">   IMPERMEABILIZAÇÃO E TRATAMENTOS</v>
      </c>
      <c r="J837" s="230">
        <f t="shared" ca="1" si="590"/>
        <v>1</v>
      </c>
      <c r="K837" s="228" t="str">
        <f t="shared" ca="1" si="581"/>
        <v xml:space="preserve">   IMPERMEABILIZAÇÃO E TRATAMENTOS - 1º PAVIMENTO - SUBSOLO</v>
      </c>
      <c r="L837" s="231">
        <f t="shared" ca="1" si="591"/>
        <v>6</v>
      </c>
      <c r="M837" s="228" t="str">
        <f t="shared" ca="1" si="583"/>
        <v xml:space="preserve">   Mão de Obra</v>
      </c>
      <c r="N837" s="231">
        <f t="shared" ca="1" si="592"/>
        <v>4</v>
      </c>
      <c r="O837" s="228" t="str">
        <f t="shared" ca="1" si="585"/>
        <v>Mao de obra para execucao de protecao mecanica em superficie impermeabilizada</v>
      </c>
      <c r="P837" s="232" t="str">
        <f>IF(S837="","",IF(Orçamento!$B837="INSUMO",S837,""))</f>
        <v>M.O. PARA EXECUCAO DE PROTECAO MECANICA EM SUPERFICIE IMPERMEABILIZADA</v>
      </c>
      <c r="Q837" s="244" t="str">
        <f t="shared" si="593"/>
        <v/>
      </c>
      <c r="R837" s="234">
        <f t="shared" ca="1" si="574"/>
        <v>48.48</v>
      </c>
      <c r="S837" s="233" t="s">
        <v>325</v>
      </c>
      <c r="T837" s="242" t="str">
        <f>_xlfn.XLOOKUP(S837,Insumos!$A$3:$A$371,Insumos!$B$3:$B$371)</f>
        <v>M2</v>
      </c>
      <c r="U837" s="235">
        <f ca="1">IF($B837="insumo",R837,"")</f>
        <v>48.48</v>
      </c>
      <c r="V837" s="320">
        <v>1</v>
      </c>
      <c r="W837" s="236">
        <f>IFERROR(IF(B837="INSUMO",_xlfn.XLOOKUP(S837,Insumos!A:A,Insumos!C:C),""),"Inserir Preço")</f>
        <v>4.5</v>
      </c>
      <c r="X837" s="235">
        <f t="shared" ca="1" si="575"/>
        <v>48.48</v>
      </c>
      <c r="Y837" s="236">
        <f t="shared" si="586"/>
        <v>4.5</v>
      </c>
      <c r="Z837" s="237">
        <f t="shared" ca="1" si="550"/>
        <v>218.16</v>
      </c>
      <c r="AA837" s="238"/>
      <c r="AB837" s="233" t="str">
        <f>IF(B837="insumo",_xlfn.XLOOKUP(S837,Insumos!A:A,Insumos!D:D),"")</f>
        <v xml:space="preserve"> </v>
      </c>
      <c r="AC837" s="239">
        <f t="shared" ca="1" si="551"/>
        <v>3.1297041009338566E-5</v>
      </c>
      <c r="AE837" s="240">
        <f ca="1">IFERROR(IF(OR(Z837="",Z837=0),"",IF(AF837="","",IF(AF837="R$/mês",Z837/OBRA!$D$12,IF(AF837="R$/m²",Z837/OBRA!$D$10,IF(AF837="R$/apto",Orçamento!Z837/OBRA!$D$11,""))))),"")</f>
        <v>0.11226668999552292</v>
      </c>
      <c r="AF837" s="241" t="s">
        <v>154</v>
      </c>
    </row>
    <row r="838" spans="1:32" s="10" customFormat="1" ht="13.15" hidden="1" customHeight="1" outlineLevel="4" x14ac:dyDescent="0.2">
      <c r="A838" s="227"/>
      <c r="B838" s="228" t="s">
        <v>4</v>
      </c>
      <c r="C838" s="229">
        <f t="shared" si="549"/>
        <v>4</v>
      </c>
      <c r="D838" s="227" t="str">
        <f t="shared" ca="1" si="587"/>
        <v>06.001.006.005</v>
      </c>
      <c r="E838" s="228" t="str">
        <f t="shared" ca="1" si="588"/>
        <v>06.001.006.005</v>
      </c>
      <c r="F838" s="230">
        <f ca="1">IF($B838="UNIDADE CONSTRUTIVA",OFFSET(F838,-1,0)+1,LARGE(F$10:F837,1))</f>
        <v>2</v>
      </c>
      <c r="G838" s="228" t="str">
        <f t="shared" ca="1" si="577"/>
        <v xml:space="preserve">   GERENCIAMENTO EXECUTIVO</v>
      </c>
      <c r="H838" s="230">
        <f t="shared" ca="1" si="589"/>
        <v>6</v>
      </c>
      <c r="I838" s="228" t="str">
        <f t="shared" ca="1" si="579"/>
        <v xml:space="preserve">   IMPERMEABILIZAÇÃO E TRATAMENTOS</v>
      </c>
      <c r="J838" s="230">
        <f t="shared" ca="1" si="590"/>
        <v>1</v>
      </c>
      <c r="K838" s="228" t="str">
        <f t="shared" ca="1" si="581"/>
        <v xml:space="preserve">   IMPERMEABILIZAÇÃO E TRATAMENTOS - 1º PAVIMENTO - SUBSOLO</v>
      </c>
      <c r="L838" s="231">
        <f t="shared" ca="1" si="591"/>
        <v>6</v>
      </c>
      <c r="M838" s="228" t="str">
        <f t="shared" ca="1" si="583"/>
        <v xml:space="preserve">   Mão de Obra</v>
      </c>
      <c r="N838" s="231">
        <f t="shared" ca="1" si="592"/>
        <v>5</v>
      </c>
      <c r="O838" s="228" t="str">
        <f t="shared" ca="1" si="585"/>
        <v>Mao de obra para impermeabilizacao com argamassa polimerica</v>
      </c>
      <c r="P838" s="232" t="str">
        <f>IF(S838="","",IF(Orçamento!$B838="INSUMO",S838,""))</f>
        <v/>
      </c>
      <c r="Q838" s="244" t="str">
        <f t="shared" si="593"/>
        <v>Mao de obra para impermeabilizacao com argamassa polimerica</v>
      </c>
      <c r="R838" s="234">
        <f t="shared" ca="1" si="574"/>
        <v>282</v>
      </c>
      <c r="S838" s="233" t="s">
        <v>474</v>
      </c>
      <c r="T838" s="242" t="s">
        <v>140</v>
      </c>
      <c r="U838" s="235">
        <f>U820</f>
        <v>282</v>
      </c>
      <c r="V838" s="320" t="s">
        <v>35</v>
      </c>
      <c r="W838" s="236" t="str">
        <f>IFERROR(IF(B838="INSUMO",_xlfn.XLOOKUP(S838,Insumos!A:A,Insumos!C:C),""),"Inserir Preço")</f>
        <v/>
      </c>
      <c r="X838" s="235">
        <f t="shared" ca="1" si="575"/>
        <v>282</v>
      </c>
      <c r="Y838" s="236">
        <f t="shared" ca="1" si="586"/>
        <v>33.74</v>
      </c>
      <c r="Z838" s="237">
        <f t="shared" ca="1" si="550"/>
        <v>9514.68</v>
      </c>
      <c r="AA838" s="238"/>
      <c r="AB838" s="233" t="str">
        <f>IF(B838="insumo",_xlfn.XLOOKUP(S838,Insumos!A:A,Insumos!D:D),"")</f>
        <v/>
      </c>
      <c r="AC838" s="239">
        <f t="shared" ca="1" si="551"/>
        <v>1.3649675932835234E-3</v>
      </c>
      <c r="AE838" s="240">
        <f ca="1">IFERROR(IF(OR(Z838="",Z838=0),"",IF(AF838="","",IF(AF838="R$/mês",Z838/OBRA!$D$12,IF(AF838="R$/m²",Z838/OBRA!$D$10,IF(AF838="R$/apto",Orçamento!Z838/OBRA!$D$11,""))))),"")</f>
        <v>4.8963221028905481</v>
      </c>
      <c r="AF838" s="241" t="s">
        <v>154</v>
      </c>
    </row>
    <row r="839" spans="1:32" s="10" customFormat="1" ht="13.15" hidden="1" customHeight="1" outlineLevel="4" x14ac:dyDescent="0.2">
      <c r="A839" s="227"/>
      <c r="B839" s="228" t="s">
        <v>19</v>
      </c>
      <c r="C839" s="229">
        <f t="shared" si="549"/>
        <v>4</v>
      </c>
      <c r="D839" s="227" t="str">
        <f t="shared" si="587"/>
        <v/>
      </c>
      <c r="E839" s="228" t="str">
        <f t="shared" ca="1" si="588"/>
        <v>06.001.006.005</v>
      </c>
      <c r="F839" s="230">
        <f ca="1">IF($B839="UNIDADE CONSTRUTIVA",OFFSET(F839,-1,0)+1,LARGE(F$10:F838,1))</f>
        <v>2</v>
      </c>
      <c r="G839" s="228" t="str">
        <f t="shared" ca="1" si="577"/>
        <v xml:space="preserve">   GERENCIAMENTO EXECUTIVO</v>
      </c>
      <c r="H839" s="230">
        <f t="shared" ca="1" si="589"/>
        <v>6</v>
      </c>
      <c r="I839" s="228" t="str">
        <f t="shared" ca="1" si="579"/>
        <v xml:space="preserve">   IMPERMEABILIZAÇÃO E TRATAMENTOS</v>
      </c>
      <c r="J839" s="230">
        <f t="shared" ca="1" si="590"/>
        <v>1</v>
      </c>
      <c r="K839" s="228" t="str">
        <f t="shared" ca="1" si="581"/>
        <v xml:space="preserve">   IMPERMEABILIZAÇÃO E TRATAMENTOS - 1º PAVIMENTO - SUBSOLO</v>
      </c>
      <c r="L839" s="231">
        <f t="shared" ca="1" si="591"/>
        <v>6</v>
      </c>
      <c r="M839" s="228" t="str">
        <f t="shared" ca="1" si="583"/>
        <v xml:space="preserve">   Mão de Obra</v>
      </c>
      <c r="N839" s="231">
        <f t="shared" ca="1" si="592"/>
        <v>5</v>
      </c>
      <c r="O839" s="228" t="str">
        <f t="shared" ca="1" si="585"/>
        <v>Mao de obra para impermeabilizacao com argamassa polimerica</v>
      </c>
      <c r="P839" s="232" t="str">
        <f>IF(S839="","",IF(Orçamento!$B839="INSUMO",S839,""))</f>
        <v>MAO DE OBRA PARA IMPERMEABILIZACAO COM ARGAMASSA POLIMERICA</v>
      </c>
      <c r="Q839" s="244" t="str">
        <f t="shared" si="593"/>
        <v/>
      </c>
      <c r="R839" s="234">
        <f t="shared" ca="1" si="574"/>
        <v>282</v>
      </c>
      <c r="S839" s="233" t="s">
        <v>302</v>
      </c>
      <c r="T839" s="242" t="str">
        <f>_xlfn.XLOOKUP(S839,Insumos!$A$3:$A$371,Insumos!$B$3:$B$371)</f>
        <v>M2</v>
      </c>
      <c r="U839" s="235">
        <f ca="1">IF($B839="insumo",R839,"")</f>
        <v>282</v>
      </c>
      <c r="V839" s="320">
        <v>1</v>
      </c>
      <c r="W839" s="236">
        <f>IFERROR(IF(B839="INSUMO",_xlfn.XLOOKUP(S839,Insumos!A:A,Insumos!C:C),""),"Inserir Preço")</f>
        <v>33.74</v>
      </c>
      <c r="X839" s="235">
        <f t="shared" ca="1" si="575"/>
        <v>282</v>
      </c>
      <c r="Y839" s="236">
        <f t="shared" si="586"/>
        <v>33.74</v>
      </c>
      <c r="Z839" s="237">
        <f t="shared" ca="1" si="550"/>
        <v>9514.68</v>
      </c>
      <c r="AA839" s="238"/>
      <c r="AB839" s="233" t="str">
        <f>IF(B839="insumo",_xlfn.XLOOKUP(S839,Insumos!A:A,Insumos!D:D),"")</f>
        <v xml:space="preserve"> </v>
      </c>
      <c r="AC839" s="239">
        <f t="shared" ca="1" si="551"/>
        <v>1.3649675932835234E-3</v>
      </c>
      <c r="AE839" s="240">
        <f ca="1">IFERROR(IF(OR(Z839="",Z839=0),"",IF(AF839="","",IF(AF839="R$/mês",Z839/OBRA!$D$12,IF(AF839="R$/m²",Z839/OBRA!$D$10,IF(AF839="R$/apto",Orçamento!Z839/OBRA!$D$11,""))))),"")</f>
        <v>4.8963221028905481</v>
      </c>
      <c r="AF839" s="241" t="s">
        <v>154</v>
      </c>
    </row>
    <row r="840" spans="1:32" s="10" customFormat="1" ht="13.15" hidden="1" customHeight="1" outlineLevel="4" x14ac:dyDescent="0.2">
      <c r="A840" s="227"/>
      <c r="B840" s="228" t="s">
        <v>4</v>
      </c>
      <c r="C840" s="229">
        <f t="shared" si="549"/>
        <v>1</v>
      </c>
      <c r="D840" s="227" t="str">
        <f ca="1">IF(B840="Unidade Construtiva",TEXT(F840,"00"),IF(B840="Célula Construtiva",TEXT(H840,"00"),IF(B840="Etapa",CONCATENATE(TEXT(H840,"00"),".",TEXT(J840,"000")),IF(B840="Subetapa",CONCATENATE(TEXT(H840,"00"),".",TEXT(J840,"000"),".",TEXT(L840,"000")),IF(B840="Serviço",CONCATENATE(TEXT(H840,"00"),".",TEXT(J840,"000"),".",TEXT(L840,"000"),".",TEXT(N840,"000")),"")))))</f>
        <v>06.001.006.006</v>
      </c>
      <c r="E840" s="228" t="str">
        <f ca="1">IF(B840="*","",IFERROR(IF(B840="SERVIÇO",D840,OFFSET(E840,-1,0)),""))</f>
        <v>06.001.006.006</v>
      </c>
      <c r="F840" s="230">
        <f ca="1">IF($B840="UNIDADE CONSTRUTIVA",OFFSET(F840,-1,0)+1,LARGE(F$10:F839,1))</f>
        <v>2</v>
      </c>
      <c r="G840" s="228" t="str">
        <f ca="1">IF(B840="*","",IF(B840="UNIDADE CONSTRUTIVA",S840,OFFSET(G840,-1,0)))</f>
        <v xml:space="preserve">   GERENCIAMENTO EXECUTIVO</v>
      </c>
      <c r="H840" s="230">
        <f ca="1">IF(B840="UNIDADE CONSTRUTIVA",0,IF(B840="CÉLULA CONSTRUTIVA",OFFSET(H840,-1,0)+1,OFFSET(H840,-1,0)))</f>
        <v>6</v>
      </c>
      <c r="I840" s="228" t="str">
        <f ca="1">IF(B840="*","",IF(B840="CÉLULA CONSTRUTIVA",S840,OFFSET(I840,-1,0)))</f>
        <v xml:space="preserve">   IMPERMEABILIZAÇÃO E TRATAMENTOS</v>
      </c>
      <c r="J840" s="230">
        <f ca="1">IF(B840="CÉLULA CONSTRUTIVA",0,IF(B840="ETAPA",OFFSET(J840,-1,0)+1,OFFSET(J840,-1,0)))</f>
        <v>1</v>
      </c>
      <c r="K840" s="228" t="str">
        <f ca="1">IF(B840="*","",IF(B840="ETAPA",S840,OFFSET(K840,-1,0)))</f>
        <v xml:space="preserve">   IMPERMEABILIZAÇÃO E TRATAMENTOS - 1º PAVIMENTO - SUBSOLO</v>
      </c>
      <c r="L840" s="231">
        <f ca="1">IF(B840="ETAPA",0,IF(B840="SUBETAPA",OFFSET(L840,-1,0)+1,OFFSET(L840,-1,0)))</f>
        <v>6</v>
      </c>
      <c r="M840" s="228" t="str">
        <f ca="1">IF(B840="*","",IF(B840="SUBETAPA",S840,OFFSET(M840,-1,0)))</f>
        <v xml:space="preserve">   Mão de Obra</v>
      </c>
      <c r="N840" s="231">
        <f ca="1">IF(B840="Subetapa",0,IF(B840="serviço",OFFSET(N840,-1,0)+1,OFFSET(N840,-1,0)))</f>
        <v>6</v>
      </c>
      <c r="O840" s="228" t="str">
        <f ca="1">IF(B840="*","",IF(B840="SERVIÇO",S840,OFFSET(O840,-1,0)))</f>
        <v>Mão de obra para impermeabilização de Fundação Rasa com tinta asfáltica</v>
      </c>
      <c r="P840" s="232" t="str">
        <f>IF(S840="","",IF(Orçamento!$B840="INSUMO",S840,""))</f>
        <v/>
      </c>
      <c r="Q840" s="244" t="str">
        <f>IF(B840="","",IF(B840="Serviço",S840,""))</f>
        <v>Mão de obra para impermeabilização de Fundação Rasa com tinta asfáltica</v>
      </c>
      <c r="R840" s="234">
        <f ca="1">IF(B840="serviço",U840,OFFSET(R840,-1,0))</f>
        <v>1</v>
      </c>
      <c r="S840" s="233" t="s">
        <v>1151</v>
      </c>
      <c r="T840" s="242" t="s">
        <v>140</v>
      </c>
      <c r="U840" s="235">
        <f>U823</f>
        <v>1</v>
      </c>
      <c r="V840" s="320" t="s">
        <v>35</v>
      </c>
      <c r="W840" s="236" t="str">
        <f>IFERROR(IF(B840="INSUMO",_xlfn.XLOOKUP(S840,Insumos!A:A,Insumos!C:C),""),"Inserir Preço")</f>
        <v/>
      </c>
      <c r="X840" s="235">
        <f ca="1">IF(B840="Complemento do insumo",V840,IF(R840="","",IF(B840="serviço",R840,IF(OR(B840="insumo"),V840*R840,""))))</f>
        <v>1</v>
      </c>
      <c r="Y840" s="236">
        <f t="shared" ca="1" si="586"/>
        <v>15</v>
      </c>
      <c r="Z840" s="237">
        <f t="shared" ca="1" si="550"/>
        <v>15</v>
      </c>
      <c r="AA840" s="238"/>
      <c r="AB840" s="233" t="str">
        <f>IF(B840="insumo",_xlfn.XLOOKUP(S840,Insumos!A:A,Insumos!D:D),"")</f>
        <v/>
      </c>
      <c r="AC840" s="239">
        <f t="shared" ca="1" si="551"/>
        <v>2.1518867580678331E-6</v>
      </c>
      <c r="AE840" s="240">
        <f ca="1">IFERROR(IF(OR(Z840="",Z840=0),"",IF(AF840="","",IF(AF840="R$/mês",Z840/OBRA!$D$12,IF(AF840="R$/m²",Z840/OBRA!$D$10,IF(AF840="R$/apto",Orçamento!Z840/OBRA!$D$11,""))))),"")</f>
        <v>7.7191068478769881E-3</v>
      </c>
      <c r="AF840" s="241" t="s">
        <v>154</v>
      </c>
    </row>
    <row r="841" spans="1:32" s="10" customFormat="1" ht="13.15" hidden="1" customHeight="1" outlineLevel="4" x14ac:dyDescent="0.2">
      <c r="A841" s="227"/>
      <c r="B841" s="228" t="s">
        <v>19</v>
      </c>
      <c r="C841" s="229">
        <f t="shared" si="549"/>
        <v>1</v>
      </c>
      <c r="D841" s="227" t="str">
        <f>IF(B841="Unidade Construtiva",TEXT(F841,"00"),IF(B841="Célula Construtiva",TEXT(H841,"00"),IF(B841="Etapa",CONCATENATE(TEXT(H841,"00"),".",TEXT(J841,"000")),IF(B841="Subetapa",CONCATENATE(TEXT(H841,"00"),".",TEXT(J841,"000"),".",TEXT(L841,"000")),IF(B841="Serviço",CONCATENATE(TEXT(H841,"00"),".",TEXT(J841,"000"),".",TEXT(L841,"000"),".",TEXT(N841,"000")),"")))))</f>
        <v/>
      </c>
      <c r="E841" s="228" t="str">
        <f ca="1">IF(B841="*","",IFERROR(IF(B841="SERVIÇO",D841,OFFSET(E841,-1,0)),""))</f>
        <v>06.001.006.006</v>
      </c>
      <c r="F841" s="230">
        <f ca="1">IF($B841="UNIDADE CONSTRUTIVA",OFFSET(F841,-1,0)+1,LARGE(F$10:F840,1))</f>
        <v>2</v>
      </c>
      <c r="G841" s="228" t="str">
        <f ca="1">IF(B841="*","",IF(B841="UNIDADE CONSTRUTIVA",S841,OFFSET(G841,-1,0)))</f>
        <v xml:space="preserve">   GERENCIAMENTO EXECUTIVO</v>
      </c>
      <c r="H841" s="230">
        <f ca="1">IF(B841="UNIDADE CONSTRUTIVA",0,IF(B841="CÉLULA CONSTRUTIVA",OFFSET(H841,-1,0)+1,OFFSET(H841,-1,0)))</f>
        <v>6</v>
      </c>
      <c r="I841" s="228" t="str">
        <f ca="1">IF(B841="*","",IF(B841="CÉLULA CONSTRUTIVA",S841,OFFSET(I841,-1,0)))</f>
        <v xml:space="preserve">   IMPERMEABILIZAÇÃO E TRATAMENTOS</v>
      </c>
      <c r="J841" s="230">
        <f ca="1">IF(B841="CÉLULA CONSTRUTIVA",0,IF(B841="ETAPA",OFFSET(J841,-1,0)+1,OFFSET(J841,-1,0)))</f>
        <v>1</v>
      </c>
      <c r="K841" s="228" t="str">
        <f ca="1">IF(B841="*","",IF(B841="ETAPA",S841,OFFSET(K841,-1,0)))</f>
        <v xml:space="preserve">   IMPERMEABILIZAÇÃO E TRATAMENTOS - 1º PAVIMENTO - SUBSOLO</v>
      </c>
      <c r="L841" s="231">
        <f ca="1">IF(B841="ETAPA",0,IF(B841="SUBETAPA",OFFSET(L841,-1,0)+1,OFFSET(L841,-1,0)))</f>
        <v>6</v>
      </c>
      <c r="M841" s="228" t="str">
        <f ca="1">IF(B841="*","",IF(B841="SUBETAPA",S841,OFFSET(M841,-1,0)))</f>
        <v xml:space="preserve">   Mão de Obra</v>
      </c>
      <c r="N841" s="231">
        <f ca="1">IF(B841="Subetapa",0,IF(B841="serviço",OFFSET(N841,-1,0)+1,OFFSET(N841,-1,0)))</f>
        <v>6</v>
      </c>
      <c r="O841" s="228" t="str">
        <f ca="1">IF(B841="*","",IF(B841="SERVIÇO",S841,OFFSET(O841,-1,0)))</f>
        <v>Mão de obra para impermeabilização de Fundação Rasa com tinta asfáltica</v>
      </c>
      <c r="P841" s="232" t="str">
        <f>IF(S841="","",IF(Orçamento!$B841="INSUMO",S841,""))</f>
        <v>MAO DE OBRA PARA IMPERMEABILIZACAO COM TINTA ASFALTICA</v>
      </c>
      <c r="Q841" s="244" t="str">
        <f>IF(B841="","",IF(B841="Serviço",S841,""))</f>
        <v/>
      </c>
      <c r="R841" s="234">
        <f ca="1">IF(B841="serviço",U841,OFFSET(R841,-1,0))</f>
        <v>1</v>
      </c>
      <c r="S841" s="233" t="s">
        <v>1152</v>
      </c>
      <c r="T841" s="242" t="str">
        <f>_xlfn.XLOOKUP(S841,Insumos!$A$3:$A$371,Insumos!$B$3:$B$371)</f>
        <v>M2</v>
      </c>
      <c r="U841" s="235">
        <f ca="1">IF($B841="insumo",R841,"")</f>
        <v>1</v>
      </c>
      <c r="V841" s="320">
        <v>1</v>
      </c>
      <c r="W841" s="236">
        <f>IFERROR(IF(B841="INSUMO",_xlfn.XLOOKUP(S841,Insumos!A:A,Insumos!C:C),""),"Inserir Preço")</f>
        <v>15</v>
      </c>
      <c r="X841" s="235">
        <f ca="1">IF(B841="Complemento do insumo",V841,IF(R841="","",IF(B841="serviço",R841,IF(OR(B841="insumo"),V841*R841,""))))</f>
        <v>1</v>
      </c>
      <c r="Y841" s="236">
        <f t="shared" si="586"/>
        <v>15</v>
      </c>
      <c r="Z841" s="237">
        <f t="shared" ca="1" si="550"/>
        <v>15</v>
      </c>
      <c r="AA841" s="238"/>
      <c r="AB841" s="233" t="str">
        <f>IF(B841="insumo",_xlfn.XLOOKUP(S841,Insumos!A:A,Insumos!D:D),"")</f>
        <v xml:space="preserve"> </v>
      </c>
      <c r="AC841" s="239">
        <f t="shared" ca="1" si="551"/>
        <v>2.1518867580678331E-6</v>
      </c>
      <c r="AE841" s="240">
        <f ca="1">IFERROR(IF(OR(Z841="",Z841=0),"",IF(AF841="","",IF(AF841="R$/mês",Z841/OBRA!$D$12,IF(AF841="R$/m²",Z841/OBRA!$D$10,IF(AF841="R$/apto",Orçamento!Z841/OBRA!$D$11,""))))),"")</f>
        <v>7.7191068478769881E-3</v>
      </c>
      <c r="AF841" s="241" t="s">
        <v>154</v>
      </c>
    </row>
    <row r="842" spans="1:32" s="10" customFormat="1" ht="13.15" customHeight="1" outlineLevel="2" collapsed="1" x14ac:dyDescent="0.2">
      <c r="A842" s="227"/>
      <c r="B842" s="228" t="s">
        <v>2</v>
      </c>
      <c r="C842" s="229" t="str">
        <f t="shared" si="549"/>
        <v/>
      </c>
      <c r="D842" s="227" t="str">
        <f t="shared" ca="1" si="587"/>
        <v>06.002</v>
      </c>
      <c r="E842" s="228" t="str">
        <f t="shared" ca="1" si="588"/>
        <v>06.001.006.006</v>
      </c>
      <c r="F842" s="230">
        <f ca="1">IF($B842="UNIDADE CONSTRUTIVA",OFFSET(F842,-1,0)+1,LARGE(F$10:F841,1))</f>
        <v>2</v>
      </c>
      <c r="G842" s="228" t="str">
        <f t="shared" ca="1" si="577"/>
        <v xml:space="preserve">   GERENCIAMENTO EXECUTIVO</v>
      </c>
      <c r="H842" s="230">
        <f t="shared" ca="1" si="589"/>
        <v>6</v>
      </c>
      <c r="I842" s="228" t="str">
        <f t="shared" ca="1" si="579"/>
        <v xml:space="preserve">   IMPERMEABILIZAÇÃO E TRATAMENTOS</v>
      </c>
      <c r="J842" s="230">
        <f t="shared" ca="1" si="590"/>
        <v>2</v>
      </c>
      <c r="K842" s="228" t="str">
        <f t="shared" ca="1" si="581"/>
        <v xml:space="preserve">   IMPERMEABILIZAÇÃO E TRATAMENTOS - 2º PAVIMENTO - TÉRREO</v>
      </c>
      <c r="L842" s="231">
        <f t="shared" ca="1" si="591"/>
        <v>0</v>
      </c>
      <c r="M842" s="228" t="str">
        <f t="shared" ca="1" si="583"/>
        <v xml:space="preserve">   Mão de Obra</v>
      </c>
      <c r="N842" s="231">
        <f t="shared" ca="1" si="592"/>
        <v>6</v>
      </c>
      <c r="O842" s="228" t="str">
        <f t="shared" ca="1" si="585"/>
        <v>Mão de obra para impermeabilização de Fundação Rasa com tinta asfáltica</v>
      </c>
      <c r="P842" s="232" t="str">
        <f>IF(S842="","",IF(Orçamento!$B842="INSUMO",S842,""))</f>
        <v/>
      </c>
      <c r="Q842" s="244" t="str">
        <f t="shared" si="593"/>
        <v/>
      </c>
      <c r="R842" s="234">
        <f t="shared" ca="1" si="574"/>
        <v>1</v>
      </c>
      <c r="S842" s="233" t="s">
        <v>647</v>
      </c>
      <c r="T842" s="242" t="s">
        <v>35</v>
      </c>
      <c r="U842" s="235" t="str">
        <f>IF($B842="insumo",R842,"")</f>
        <v/>
      </c>
      <c r="V842" s="320" t="s">
        <v>35</v>
      </c>
      <c r="W842" s="236" t="str">
        <f>IFERROR(IF(B842="INSUMO",_xlfn.XLOOKUP(S842,Insumos!A:A,Insumos!C:C),""),"Inserir Preço")</f>
        <v/>
      </c>
      <c r="X842" s="235" t="str">
        <f t="shared" ca="1" si="575"/>
        <v/>
      </c>
      <c r="Y842" s="236" t="str">
        <f t="shared" si="586"/>
        <v/>
      </c>
      <c r="Z842" s="237">
        <f t="shared" ca="1" si="550"/>
        <v>23698.091474999997</v>
      </c>
      <c r="AA842" s="238"/>
      <c r="AB842" s="233" t="str">
        <f>IF(B842="insumo",_xlfn.XLOOKUP(S842,Insumos!A:A,Insumos!D:D),"")</f>
        <v/>
      </c>
      <c r="AC842" s="239">
        <f t="shared" ca="1" si="551"/>
        <v>3.3997072824355134E-3</v>
      </c>
      <c r="AE842" s="240">
        <f ca="1">IFERROR(IF(OR(Z842="",Z842=0),"",IF(AF842="","",IF(AF842="R$/mês",Z842/OBRA!$D$12,IF(AF842="R$/m²",Z842/OBRA!$D$10,IF(AF842="R$/apto",Orçamento!Z842/OBRA!$D$11,""))))),"")</f>
        <v>12.195206679085851</v>
      </c>
      <c r="AF842" s="241" t="s">
        <v>154</v>
      </c>
    </row>
    <row r="843" spans="1:32" s="10" customFormat="1" ht="13.15" hidden="1" customHeight="1" outlineLevel="3" collapsed="1" x14ac:dyDescent="0.2">
      <c r="A843" s="227"/>
      <c r="B843" s="228" t="s">
        <v>3</v>
      </c>
      <c r="C843" s="229" t="str">
        <f t="shared" si="549"/>
        <v/>
      </c>
      <c r="D843" s="227" t="str">
        <f t="shared" ref="D843:D876" ca="1" si="594">IF(B843="Unidade Construtiva",TEXT(F843,"00"),IF(B843="Célula Construtiva",TEXT(H843,"00"),IF(B843="Etapa",CONCATENATE(TEXT(H843,"00"),".",TEXT(J843,"000")),IF(B843="Subetapa",CONCATENATE(TEXT(H843,"00"),".",TEXT(J843,"000"),".",TEXT(L843,"000")),IF(B843="Serviço",CONCATENATE(TEXT(H843,"00"),".",TEXT(J843,"000"),".",TEXT(L843,"000"),".",TEXT(N843,"000")),"")))))</f>
        <v>06.002.001</v>
      </c>
      <c r="E843" s="228" t="str">
        <f t="shared" ref="E843:E876" ca="1" si="595">IF(B843="*","",IFERROR(IF(B843="SERVIÇO",D843,OFFSET(E843,-1,0)),""))</f>
        <v>06.001.006.006</v>
      </c>
      <c r="F843" s="230">
        <f ca="1">IF($B843="UNIDADE CONSTRUTIVA",OFFSET(F843,-1,0)+1,LARGE(F$10:F842,1))</f>
        <v>2</v>
      </c>
      <c r="G843" s="228" t="str">
        <f t="shared" ca="1" si="577"/>
        <v xml:space="preserve">   GERENCIAMENTO EXECUTIVO</v>
      </c>
      <c r="H843" s="230">
        <f t="shared" ref="H843:H876" ca="1" si="596">IF(B843="UNIDADE CONSTRUTIVA",0,IF(B843="CÉLULA CONSTRUTIVA",OFFSET(H843,-1,0)+1,OFFSET(H843,-1,0)))</f>
        <v>6</v>
      </c>
      <c r="I843" s="228" t="str">
        <f t="shared" ca="1" si="579"/>
        <v xml:space="preserve">   IMPERMEABILIZAÇÃO E TRATAMENTOS</v>
      </c>
      <c r="J843" s="230">
        <f t="shared" ref="J843:J876" ca="1" si="597">IF(B843="CÉLULA CONSTRUTIVA",0,IF(B843="ETAPA",OFFSET(J843,-1,0)+1,OFFSET(J843,-1,0)))</f>
        <v>2</v>
      </c>
      <c r="K843" s="228" t="str">
        <f t="shared" ca="1" si="581"/>
        <v xml:space="preserve">   IMPERMEABILIZAÇÃO E TRATAMENTOS - 2º PAVIMENTO - TÉRREO</v>
      </c>
      <c r="L843" s="231">
        <f t="shared" ref="L843:L876" ca="1" si="598">IF(B843="ETAPA",0,IF(B843="SUBETAPA",OFFSET(L843,-1,0)+1,OFFSET(L843,-1,0)))</f>
        <v>1</v>
      </c>
      <c r="M843" s="228" t="str">
        <f t="shared" ca="1" si="583"/>
        <v xml:space="preserve">   Regularizacao de superficie para impermeabilizacao</v>
      </c>
      <c r="N843" s="231">
        <f t="shared" ref="N843:N876" ca="1" si="599">IF(B843="Subetapa",0,IF(B843="serviço",OFFSET(N843,-1,0)+1,OFFSET(N843,-1,0)))</f>
        <v>0</v>
      </c>
      <c r="O843" s="228" t="str">
        <f t="shared" ca="1" si="585"/>
        <v>Mão de obra para impermeabilização de Fundação Rasa com tinta asfáltica</v>
      </c>
      <c r="P843" s="232" t="str">
        <f>IF(S843="","",IF(Orçamento!$B843="INSUMO",S843,""))</f>
        <v/>
      </c>
      <c r="Q843" s="244" t="str">
        <f t="shared" ref="Q843:Q876" si="600">IF(B843="","",IF(B843="Serviço",S843,""))</f>
        <v/>
      </c>
      <c r="R843" s="234">
        <f t="shared" ca="1" si="574"/>
        <v>1</v>
      </c>
      <c r="S843" s="233" t="s">
        <v>464</v>
      </c>
      <c r="T843" s="242" t="s">
        <v>35</v>
      </c>
      <c r="U843" s="235" t="str">
        <f>IF($B843="insumo",R843,"")</f>
        <v/>
      </c>
      <c r="V843" s="320" t="s">
        <v>35</v>
      </c>
      <c r="W843" s="236" t="str">
        <f>IFERROR(IF(B843="INSUMO",_xlfn.XLOOKUP(S843,Insumos!A:A,Insumos!C:C),""),"Inserir Preço")</f>
        <v/>
      </c>
      <c r="X843" s="235" t="str">
        <f t="shared" ca="1" si="575"/>
        <v/>
      </c>
      <c r="Y843" s="236" t="str">
        <f t="shared" si="586"/>
        <v/>
      </c>
      <c r="Z843" s="237">
        <f t="shared" ca="1" si="550"/>
        <v>931.87723499999993</v>
      </c>
      <c r="AA843" s="238"/>
      <c r="AB843" s="233" t="str">
        <f>IF(B843="insumo",_xlfn.XLOOKUP(S843,Insumos!A:A,Insumos!D:D),"")</f>
        <v/>
      </c>
      <c r="AC843" s="239">
        <f t="shared" ca="1" si="551"/>
        <v>1.3368628547609108E-4</v>
      </c>
      <c r="AE843" s="240">
        <f ca="1">IFERROR(IF(OR(Z843="",Z843=0),"",IF(AF843="","",IF(AF843="R$/mês",Z843/OBRA!$D$12,IF(AF843="R$/m²",Z843/OBRA!$D$10,IF(AF843="R$/apto",Orçamento!Z843/OBRA!$D$11,""))))),"")</f>
        <v>0.47955066307127819</v>
      </c>
      <c r="AF843" s="241" t="s">
        <v>154</v>
      </c>
    </row>
    <row r="844" spans="1:32" s="10" customFormat="1" ht="13.15" hidden="1" customHeight="1" outlineLevel="4" x14ac:dyDescent="0.2">
      <c r="A844" s="227"/>
      <c r="B844" s="228" t="s">
        <v>4</v>
      </c>
      <c r="C844" s="229">
        <f t="shared" ref="C844:C907" si="601">IF(B844="INSUMO",COUNTIFS(B:B,"INSUMO",S:S,S844),IF(B844="SERVIÇO",COUNTIFS(B:B,"SERVIÇO",S:S,S844),""))</f>
        <v>5</v>
      </c>
      <c r="D844" s="227" t="str">
        <f t="shared" ca="1" si="594"/>
        <v>06.002.001.001</v>
      </c>
      <c r="E844" s="228" t="str">
        <f t="shared" ca="1" si="595"/>
        <v>06.002.001.001</v>
      </c>
      <c r="F844" s="230">
        <f ca="1">IF($B844="UNIDADE CONSTRUTIVA",OFFSET(F844,-1,0)+1,LARGE(F$10:F843,1))</f>
        <v>2</v>
      </c>
      <c r="G844" s="228" t="str">
        <f t="shared" ca="1" si="577"/>
        <v xml:space="preserve">   GERENCIAMENTO EXECUTIVO</v>
      </c>
      <c r="H844" s="230">
        <f t="shared" ca="1" si="596"/>
        <v>6</v>
      </c>
      <c r="I844" s="228" t="str">
        <f t="shared" ca="1" si="579"/>
        <v xml:space="preserve">   IMPERMEABILIZAÇÃO E TRATAMENTOS</v>
      </c>
      <c r="J844" s="230">
        <f t="shared" ca="1" si="597"/>
        <v>2</v>
      </c>
      <c r="K844" s="228" t="str">
        <f t="shared" ca="1" si="581"/>
        <v xml:space="preserve">   IMPERMEABILIZAÇÃO E TRATAMENTOS - 2º PAVIMENTO - TÉRREO</v>
      </c>
      <c r="L844" s="231">
        <f t="shared" ca="1" si="598"/>
        <v>1</v>
      </c>
      <c r="M844" s="228" t="str">
        <f t="shared" ca="1" si="583"/>
        <v xml:space="preserve">   Regularizacao de superficie para impermeabilizacao</v>
      </c>
      <c r="N844" s="231">
        <f t="shared" ca="1" si="599"/>
        <v>1</v>
      </c>
      <c r="O844" s="228" t="str">
        <f t="shared" ca="1" si="585"/>
        <v>Regularizacao de superficie para impermeabilizacao</v>
      </c>
      <c r="P844" s="232" t="str">
        <f>IF(S844="","",IF(Orçamento!$B844="INSUMO",S844,""))</f>
        <v/>
      </c>
      <c r="Q844" s="244" t="str">
        <f t="shared" si="600"/>
        <v>Regularizacao de superficie para impermeabilizacao</v>
      </c>
      <c r="R844" s="234">
        <f t="shared" ca="1" si="574"/>
        <v>139.88999999999999</v>
      </c>
      <c r="S844" s="233" t="s">
        <v>465</v>
      </c>
      <c r="T844" s="242" t="s">
        <v>140</v>
      </c>
      <c r="U844" s="235">
        <f>U848+U855</f>
        <v>139.88999999999999</v>
      </c>
      <c r="V844" s="320" t="s">
        <v>35</v>
      </c>
      <c r="W844" s="236" t="str">
        <f>IFERROR(IF(B844="INSUMO",_xlfn.XLOOKUP(S844,Insumos!A:A,Insumos!C:C),""),"Inserir Preço")</f>
        <v/>
      </c>
      <c r="X844" s="235">
        <f t="shared" ca="1" si="575"/>
        <v>139.88999999999999</v>
      </c>
      <c r="Y844" s="236">
        <f t="shared" ca="1" si="586"/>
        <v>6.6615000000000002</v>
      </c>
      <c r="Z844" s="237">
        <f t="shared" ref="Z844:Z907" ca="1" si="602">IFERROR(IF(B844="Unidade Construtiva",SUMIFS(Z:Z,B:B,"Célula Construtiva",G:G,G844),IF(B844="célula construtiva",SUMIFS(Z:Z,B:B,"Insumo",I:I,I844,G:G,G844),IF(B844="ETAPA",SUMIFS(Z:Z,B:B,"Insumo",K:K,K844,I:I,I844,G:G,G844),IF(B844="subetapa",SUMIFS(Z:Z,M:M,M844,B:B,"insumo",K:K,K844,I:I,I844,G:G,G844),IF(B844="complemento do insumo",V844*W844,IF(B844="INSUMO",R844*V844*W844,X844*Y844)))))),"")</f>
        <v>931.87723499999993</v>
      </c>
      <c r="AA844" s="238"/>
      <c r="AB844" s="233" t="str">
        <f>IF(B844="insumo",_xlfn.XLOOKUP(S844,Insumos!A:A,Insumos!D:D),"")</f>
        <v/>
      </c>
      <c r="AC844" s="239">
        <f t="shared" ref="AC844:AC907" ca="1" si="603">IFERROR(IF(B844="","",Z844/SUMIF(B:B,"INSUMO",Z:Z)),0)</f>
        <v>1.3368628547609108E-4</v>
      </c>
      <c r="AE844" s="240">
        <f ca="1">IFERROR(IF(OR(Z844="",Z844=0),"",IF(AF844="","",IF(AF844="R$/mês",Z844/OBRA!$D$12,IF(AF844="R$/m²",Z844/OBRA!$D$10,IF(AF844="R$/apto",Orçamento!Z844/OBRA!$D$11,""))))),"")</f>
        <v>0.47955066307127819</v>
      </c>
      <c r="AF844" s="241" t="s">
        <v>154</v>
      </c>
    </row>
    <row r="845" spans="1:32" s="10" customFormat="1" ht="13.15" hidden="1" customHeight="1" outlineLevel="4" x14ac:dyDescent="0.2">
      <c r="A845" s="227"/>
      <c r="B845" s="228" t="s">
        <v>19</v>
      </c>
      <c r="C845" s="229">
        <f t="shared" si="601"/>
        <v>13</v>
      </c>
      <c r="D845" s="227" t="str">
        <f t="shared" si="594"/>
        <v/>
      </c>
      <c r="E845" s="228" t="str">
        <f t="shared" ca="1" si="595"/>
        <v>06.002.001.001</v>
      </c>
      <c r="F845" s="230">
        <f ca="1">IF($B845="UNIDADE CONSTRUTIVA",OFFSET(F845,-1,0)+1,LARGE(F$10:F844,1))</f>
        <v>2</v>
      </c>
      <c r="G845" s="228" t="str">
        <f t="shared" ref="G845:G876" ca="1" si="604">IF(B845="*","",IF(B845="UNIDADE CONSTRUTIVA",S845,OFFSET(G845,-1,0)))</f>
        <v xml:space="preserve">   GERENCIAMENTO EXECUTIVO</v>
      </c>
      <c r="H845" s="230">
        <f t="shared" ca="1" si="596"/>
        <v>6</v>
      </c>
      <c r="I845" s="228" t="str">
        <f t="shared" ref="I845:I876" ca="1" si="605">IF(B845="*","",IF(B845="CÉLULA CONSTRUTIVA",S845,OFFSET(I845,-1,0)))</f>
        <v xml:space="preserve">   IMPERMEABILIZAÇÃO E TRATAMENTOS</v>
      </c>
      <c r="J845" s="230">
        <f t="shared" ca="1" si="597"/>
        <v>2</v>
      </c>
      <c r="K845" s="228" t="str">
        <f t="shared" ref="K845:K876" ca="1" si="606">IF(B845="*","",IF(B845="ETAPA",S845,OFFSET(K845,-1,0)))</f>
        <v xml:space="preserve">   IMPERMEABILIZAÇÃO E TRATAMENTOS - 2º PAVIMENTO - TÉRREO</v>
      </c>
      <c r="L845" s="231">
        <f t="shared" ca="1" si="598"/>
        <v>1</v>
      </c>
      <c r="M845" s="228" t="str">
        <f t="shared" ref="M845:M876" ca="1" si="607">IF(B845="*","",IF(B845="SUBETAPA",S845,OFFSET(M845,-1,0)))</f>
        <v xml:space="preserve">   Regularizacao de superficie para impermeabilizacao</v>
      </c>
      <c r="N845" s="231">
        <f t="shared" ca="1" si="599"/>
        <v>1</v>
      </c>
      <c r="O845" s="228" t="str">
        <f t="shared" ref="O845:O876" ca="1" si="608">IF(B845="*","",IF(B845="SERVIÇO",S845,OFFSET(O845,-1,0)))</f>
        <v>Regularizacao de superficie para impermeabilizacao</v>
      </c>
      <c r="P845" s="232" t="str">
        <f>IF(S845="","",IF(Orçamento!$B845="INSUMO",S845,""))</f>
        <v>CIMENTO PORTLAND CP II 32 - Z</v>
      </c>
      <c r="Q845" s="244" t="str">
        <f t="shared" si="600"/>
        <v/>
      </c>
      <c r="R845" s="234">
        <f t="shared" ref="R845:R876" ca="1" si="609">IF(B845="serviço",U845,OFFSET(R845,-1,0))</f>
        <v>139.88999999999999</v>
      </c>
      <c r="S845" s="233" t="s">
        <v>343</v>
      </c>
      <c r="T845" s="242" t="str">
        <f>_xlfn.XLOOKUP(S845,Insumos!$A$3:$A$371,Insumos!$B$3:$B$371)</f>
        <v>KG</v>
      </c>
      <c r="U845" s="235">
        <f ca="1">IF($B845="insumo",R845,"")</f>
        <v>139.88999999999999</v>
      </c>
      <c r="V845" s="320">
        <v>6.3</v>
      </c>
      <c r="W845" s="236">
        <f>IFERROR(IF(B845="INSUMO",_xlfn.XLOOKUP(S845,Insumos!A:A,Insumos!C:C),""),"Inserir Preço")</f>
        <v>0.74</v>
      </c>
      <c r="X845" s="235">
        <f t="shared" ref="X845:X876" ca="1" si="610">IF(B845="Complemento do insumo",V845,IF(R845="","",IF(B845="serviço",R845,IF(OR(B845="insumo"),V845*R845,""))))</f>
        <v>881.3069999999999</v>
      </c>
      <c r="Y845" s="236">
        <f t="shared" si="586"/>
        <v>4.6619999999999999</v>
      </c>
      <c r="Z845" s="237">
        <f t="shared" ca="1" si="602"/>
        <v>652.16717999999992</v>
      </c>
      <c r="AA845" s="238"/>
      <c r="AB845" s="233" t="str">
        <f>IF(B845="insumo",_xlfn.XLOOKUP(S845,Insumos!A:A,Insumos!D:D),"")</f>
        <v xml:space="preserve"> </v>
      </c>
      <c r="AC845" s="239">
        <f t="shared" ca="1" si="603"/>
        <v>9.3559327912562721E-5</v>
      </c>
      <c r="AE845" s="240">
        <f ca="1">IFERROR(IF(OR(Z845="",Z845=0),"",IF(AF845="","",IF(AF845="R$/mês",Z845/OBRA!$D$12,IF(AF845="R$/m²",Z845/OBRA!$D$10,IF(AF845="R$/apto",Orçamento!Z845/OBRA!$D$11,""))))),"")</f>
        <v>0.33560987633990824</v>
      </c>
      <c r="AF845" s="241" t="s">
        <v>154</v>
      </c>
    </row>
    <row r="846" spans="1:32" s="10" customFormat="1" ht="13.15" hidden="1" customHeight="1" outlineLevel="4" x14ac:dyDescent="0.2">
      <c r="A846" s="227"/>
      <c r="B846" s="228" t="s">
        <v>19</v>
      </c>
      <c r="C846" s="229">
        <f t="shared" si="601"/>
        <v>7</v>
      </c>
      <c r="D846" s="227" t="str">
        <f t="shared" si="594"/>
        <v/>
      </c>
      <c r="E846" s="228" t="str">
        <f t="shared" ca="1" si="595"/>
        <v>06.002.001.001</v>
      </c>
      <c r="F846" s="230">
        <f ca="1">IF($B846="UNIDADE CONSTRUTIVA",OFFSET(F846,-1,0)+1,LARGE(F$10:F845,1))</f>
        <v>2</v>
      </c>
      <c r="G846" s="228" t="str">
        <f t="shared" ca="1" si="604"/>
        <v xml:space="preserve">   GERENCIAMENTO EXECUTIVO</v>
      </c>
      <c r="H846" s="230">
        <f t="shared" ca="1" si="596"/>
        <v>6</v>
      </c>
      <c r="I846" s="228" t="str">
        <f t="shared" ca="1" si="605"/>
        <v xml:space="preserve">   IMPERMEABILIZAÇÃO E TRATAMENTOS</v>
      </c>
      <c r="J846" s="230">
        <f t="shared" ca="1" si="597"/>
        <v>2</v>
      </c>
      <c r="K846" s="228" t="str">
        <f t="shared" ca="1" si="606"/>
        <v xml:space="preserve">   IMPERMEABILIZAÇÃO E TRATAMENTOS - 2º PAVIMENTO - TÉRREO</v>
      </c>
      <c r="L846" s="231">
        <f t="shared" ca="1" si="598"/>
        <v>1</v>
      </c>
      <c r="M846" s="228" t="str">
        <f t="shared" ca="1" si="607"/>
        <v xml:space="preserve">   Regularizacao de superficie para impermeabilizacao</v>
      </c>
      <c r="N846" s="231">
        <f t="shared" ca="1" si="599"/>
        <v>1</v>
      </c>
      <c r="O846" s="228" t="str">
        <f t="shared" ca="1" si="608"/>
        <v>Regularizacao de superficie para impermeabilizacao</v>
      </c>
      <c r="P846" s="232" t="str">
        <f>IF(S846="","",IF(Orçamento!$B846="INSUMO",S846,""))</f>
        <v>AREIA MEDIA</v>
      </c>
      <c r="Q846" s="244" t="str">
        <f t="shared" si="600"/>
        <v/>
      </c>
      <c r="R846" s="234">
        <f t="shared" ca="1" si="609"/>
        <v>139.88999999999999</v>
      </c>
      <c r="S846" s="233" t="s">
        <v>359</v>
      </c>
      <c r="T846" s="242" t="str">
        <f>_xlfn.XLOOKUP(S846,Insumos!$A$3:$A$371,Insumos!$B$3:$B$371)</f>
        <v>M3</v>
      </c>
      <c r="U846" s="235">
        <f ca="1">IF($B846="insumo",R846,"")</f>
        <v>139.88999999999999</v>
      </c>
      <c r="V846" s="320">
        <v>1.55E-2</v>
      </c>
      <c r="W846" s="236">
        <f>IFERROR(IF(B846="INSUMO",_xlfn.XLOOKUP(S846,Insumos!A:A,Insumos!C:C),""),"Inserir Preço")</f>
        <v>129</v>
      </c>
      <c r="X846" s="235">
        <f t="shared" ca="1" si="610"/>
        <v>2.1682949999999996</v>
      </c>
      <c r="Y846" s="236">
        <f t="shared" si="586"/>
        <v>1.9995000000000001</v>
      </c>
      <c r="Z846" s="237">
        <f t="shared" ca="1" si="602"/>
        <v>279.71005499999995</v>
      </c>
      <c r="AA846" s="238"/>
      <c r="AB846" s="233" t="str">
        <f>IF(B846="insumo",_xlfn.XLOOKUP(S846,Insumos!A:A,Insumos!D:D),"")</f>
        <v>Agregados Nestor</v>
      </c>
      <c r="AC846" s="239">
        <f t="shared" ca="1" si="603"/>
        <v>4.012695756352835E-5</v>
      </c>
      <c r="AE846" s="240">
        <f ca="1">IFERROR(IF(OR(Z846="",Z846=0),"",IF(AF846="","",IF(AF846="R$/mês",Z846/OBRA!$D$12,IF(AF846="R$/m²",Z846/OBRA!$D$10,IF(AF846="R$/apto",Orçamento!Z846/OBRA!$D$11,""))))),"")</f>
        <v>0.14394078673136992</v>
      </c>
      <c r="AF846" s="241" t="s">
        <v>154</v>
      </c>
    </row>
    <row r="847" spans="1:32" s="10" customFormat="1" ht="13.15" hidden="1" customHeight="1" outlineLevel="3" collapsed="1" x14ac:dyDescent="0.2">
      <c r="A847" s="227"/>
      <c r="B847" s="228" t="s">
        <v>3</v>
      </c>
      <c r="C847" s="229" t="str">
        <f t="shared" si="601"/>
        <v/>
      </c>
      <c r="D847" s="227" t="str">
        <f t="shared" ca="1" si="594"/>
        <v>06.002.002</v>
      </c>
      <c r="E847" s="228" t="str">
        <f t="shared" ca="1" si="595"/>
        <v>06.002.001.001</v>
      </c>
      <c r="F847" s="230">
        <f ca="1">IF($B847="UNIDADE CONSTRUTIVA",OFFSET(F847,-1,0)+1,LARGE(F$10:F846,1))</f>
        <v>2</v>
      </c>
      <c r="G847" s="228" t="str">
        <f t="shared" ca="1" si="604"/>
        <v xml:space="preserve">   GERENCIAMENTO EXECUTIVO</v>
      </c>
      <c r="H847" s="230">
        <f t="shared" ca="1" si="596"/>
        <v>6</v>
      </c>
      <c r="I847" s="228" t="str">
        <f t="shared" ca="1" si="605"/>
        <v xml:space="preserve">   IMPERMEABILIZAÇÃO E TRATAMENTOS</v>
      </c>
      <c r="J847" s="230">
        <f t="shared" ca="1" si="597"/>
        <v>2</v>
      </c>
      <c r="K847" s="228" t="str">
        <f t="shared" ca="1" si="606"/>
        <v xml:space="preserve">   IMPERMEABILIZAÇÃO E TRATAMENTOS - 2º PAVIMENTO - TÉRREO</v>
      </c>
      <c r="L847" s="231">
        <f t="shared" ca="1" si="598"/>
        <v>2</v>
      </c>
      <c r="M847" s="228" t="str">
        <f t="shared" ca="1" si="607"/>
        <v xml:space="preserve">   Impermeabilização Flexível com Manta</v>
      </c>
      <c r="N847" s="231">
        <f t="shared" ca="1" si="599"/>
        <v>0</v>
      </c>
      <c r="O847" s="228" t="str">
        <f t="shared" ca="1" si="608"/>
        <v>Regularizacao de superficie para impermeabilizacao</v>
      </c>
      <c r="P847" s="232" t="str">
        <f>IF(S847="","",IF(Orçamento!$B847="INSUMO",S847,""))</f>
        <v/>
      </c>
      <c r="Q847" s="244" t="str">
        <f t="shared" si="600"/>
        <v/>
      </c>
      <c r="R847" s="234">
        <f t="shared" ca="1" si="609"/>
        <v>139.88999999999999</v>
      </c>
      <c r="S847" s="233" t="s">
        <v>466</v>
      </c>
      <c r="T847" s="242" t="s">
        <v>35</v>
      </c>
      <c r="U847" s="235" t="str">
        <f>IF($B847="insumo",R847,"")</f>
        <v/>
      </c>
      <c r="V847" s="320" t="s">
        <v>35</v>
      </c>
      <c r="W847" s="236" t="str">
        <f>IFERROR(IF(B847="INSUMO",_xlfn.XLOOKUP(S847,Insumos!A:A,Insumos!C:C),""),"Inserir Preço")</f>
        <v/>
      </c>
      <c r="X847" s="235" t="str">
        <f t="shared" ca="1" si="610"/>
        <v/>
      </c>
      <c r="Y847" s="236" t="str">
        <f t="shared" si="586"/>
        <v/>
      </c>
      <c r="Z847" s="237">
        <f t="shared" ca="1" si="602"/>
        <v>4963.9251999999997</v>
      </c>
      <c r="AA847" s="238"/>
      <c r="AB847" s="233" t="str">
        <f>IF(B847="insumo",_xlfn.XLOOKUP(S847,Insumos!A:A,Insumos!D:D),"")</f>
        <v/>
      </c>
      <c r="AC847" s="239">
        <f t="shared" ca="1" si="603"/>
        <v>7.1212032706128128E-4</v>
      </c>
      <c r="AE847" s="240">
        <f ca="1">IFERROR(IF(OR(Z847="",Z847=0),"",IF(AF847="","",IF(AF847="R$/mês",Z847/OBRA!$D$12,IF(AF847="R$/m²",Z847/OBRA!$D$10,IF(AF847="R$/apto",Orçamento!Z847/OBRA!$D$11,""))))),"")</f>
        <v>2.5544712669112766</v>
      </c>
      <c r="AF847" s="241" t="s">
        <v>154</v>
      </c>
    </row>
    <row r="848" spans="1:32" s="10" customFormat="1" ht="13.15" hidden="1" customHeight="1" outlineLevel="4" x14ac:dyDescent="0.2">
      <c r="A848" s="227"/>
      <c r="B848" s="228" t="s">
        <v>4</v>
      </c>
      <c r="C848" s="229">
        <f t="shared" si="601"/>
        <v>5</v>
      </c>
      <c r="D848" s="227" t="str">
        <f t="shared" ca="1" si="594"/>
        <v>06.002.002.001</v>
      </c>
      <c r="E848" s="228" t="str">
        <f t="shared" ca="1" si="595"/>
        <v>06.002.002.001</v>
      </c>
      <c r="F848" s="230">
        <f ca="1">IF($B848="UNIDADE CONSTRUTIVA",OFFSET(F848,-1,0)+1,LARGE(F$10:F847,1))</f>
        <v>2</v>
      </c>
      <c r="G848" s="228" t="str">
        <f t="shared" ca="1" si="604"/>
        <v xml:space="preserve">   GERENCIAMENTO EXECUTIVO</v>
      </c>
      <c r="H848" s="230">
        <f t="shared" ca="1" si="596"/>
        <v>6</v>
      </c>
      <c r="I848" s="228" t="str">
        <f t="shared" ca="1" si="605"/>
        <v xml:space="preserve">   IMPERMEABILIZAÇÃO E TRATAMENTOS</v>
      </c>
      <c r="J848" s="230">
        <f t="shared" ca="1" si="597"/>
        <v>2</v>
      </c>
      <c r="K848" s="228" t="str">
        <f t="shared" ca="1" si="606"/>
        <v xml:space="preserve">   IMPERMEABILIZAÇÃO E TRATAMENTOS - 2º PAVIMENTO - TÉRREO</v>
      </c>
      <c r="L848" s="231">
        <f t="shared" ca="1" si="598"/>
        <v>2</v>
      </c>
      <c r="M848" s="228" t="str">
        <f t="shared" ca="1" si="607"/>
        <v xml:space="preserve">   Impermeabilização Flexível com Manta</v>
      </c>
      <c r="N848" s="231">
        <f t="shared" ca="1" si="599"/>
        <v>1</v>
      </c>
      <c r="O848" s="228" t="str">
        <f t="shared" ca="1" si="608"/>
        <v>Impermeabilizacao com manta asfaltica espessura 4mm, uma camada, aplicacao com primer asfaltico</v>
      </c>
      <c r="P848" s="232" t="str">
        <f>IF(S848="","",IF(Orçamento!$B848="INSUMO",S848,""))</f>
        <v/>
      </c>
      <c r="Q848" s="244" t="str">
        <f t="shared" si="600"/>
        <v>Impermeabilizacao com manta asfaltica espessura 4mm, uma camada, aplicacao com primer asfaltico</v>
      </c>
      <c r="R848" s="234">
        <f t="shared" ca="1" si="609"/>
        <v>98.6</v>
      </c>
      <c r="S848" s="233" t="s">
        <v>467</v>
      </c>
      <c r="T848" s="242" t="s">
        <v>140</v>
      </c>
      <c r="U848" s="235">
        <v>98.6</v>
      </c>
      <c r="V848" s="320" t="s">
        <v>35</v>
      </c>
      <c r="W848" s="236" t="str">
        <f>IFERROR(IF(B848="INSUMO",_xlfn.XLOOKUP(S848,Insumos!A:A,Insumos!C:C),""),"Inserir Preço")</f>
        <v/>
      </c>
      <c r="X848" s="235">
        <f t="shared" ca="1" si="610"/>
        <v>98.6</v>
      </c>
      <c r="Y848" s="236">
        <f t="shared" ca="1" si="586"/>
        <v>48.632000000000005</v>
      </c>
      <c r="Z848" s="237">
        <f t="shared" ca="1" si="602"/>
        <v>4795.1152000000002</v>
      </c>
      <c r="AA848" s="238"/>
      <c r="AB848" s="233" t="str">
        <f>IF(B848="insumo",_xlfn.XLOOKUP(S848,Insumos!A:A,Insumos!D:D),"")</f>
        <v/>
      </c>
      <c r="AC848" s="239">
        <f t="shared" ca="1" si="603"/>
        <v>6.8790299348598597E-4</v>
      </c>
      <c r="AE848" s="240">
        <f ca="1">IFERROR(IF(OR(Z848="",Z848=0),"",IF(AF848="","",IF(AF848="R$/mês",Z848/OBRA!$D$12,IF(AF848="R$/m²",Z848/OBRA!$D$10,IF(AF848="R$/apto",Orçamento!Z848/OBRA!$D$11,""))))),"")</f>
        <v>2.467600438445269</v>
      </c>
      <c r="AF848" s="241" t="s">
        <v>154</v>
      </c>
    </row>
    <row r="849" spans="1:32" s="10" customFormat="1" ht="13.15" hidden="1" customHeight="1" outlineLevel="4" x14ac:dyDescent="0.2">
      <c r="A849" s="227"/>
      <c r="B849" s="228" t="s">
        <v>19</v>
      </c>
      <c r="C849" s="229">
        <f t="shared" si="601"/>
        <v>5</v>
      </c>
      <c r="D849" s="227" t="str">
        <f t="shared" si="594"/>
        <v/>
      </c>
      <c r="E849" s="228" t="str">
        <f t="shared" ca="1" si="595"/>
        <v>06.002.002.001</v>
      </c>
      <c r="F849" s="230">
        <f ca="1">IF($B849="UNIDADE CONSTRUTIVA",OFFSET(F849,-1,0)+1,LARGE(F$10:F848,1))</f>
        <v>2</v>
      </c>
      <c r="G849" s="228" t="str">
        <f t="shared" ca="1" si="604"/>
        <v xml:space="preserve">   GERENCIAMENTO EXECUTIVO</v>
      </c>
      <c r="H849" s="230">
        <f t="shared" ca="1" si="596"/>
        <v>6</v>
      </c>
      <c r="I849" s="228" t="str">
        <f t="shared" ca="1" si="605"/>
        <v xml:space="preserve">   IMPERMEABILIZAÇÃO E TRATAMENTOS</v>
      </c>
      <c r="J849" s="230">
        <f t="shared" ca="1" si="597"/>
        <v>2</v>
      </c>
      <c r="K849" s="228" t="str">
        <f t="shared" ca="1" si="606"/>
        <v xml:space="preserve">   IMPERMEABILIZAÇÃO E TRATAMENTOS - 2º PAVIMENTO - TÉRREO</v>
      </c>
      <c r="L849" s="231">
        <f t="shared" ca="1" si="598"/>
        <v>2</v>
      </c>
      <c r="M849" s="228" t="str">
        <f t="shared" ca="1" si="607"/>
        <v xml:space="preserve">   Impermeabilização Flexível com Manta</v>
      </c>
      <c r="N849" s="231">
        <f t="shared" ca="1" si="599"/>
        <v>1</v>
      </c>
      <c r="O849" s="228" t="str">
        <f t="shared" ca="1" si="608"/>
        <v>Impermeabilizacao com manta asfaltica espessura 4mm, uma camada, aplicacao com primer asfaltico</v>
      </c>
      <c r="P849" s="232" t="str">
        <f>IF(S849="","",IF(Orçamento!$B849="INSUMO",S849,""))</f>
        <v>PRIMER A BASE DE ASFALTO MODIFICADO DILUIDO EM SOLVENTE APLIC. A FRIO</v>
      </c>
      <c r="Q849" s="244" t="str">
        <f t="shared" si="600"/>
        <v/>
      </c>
      <c r="R849" s="234">
        <f t="shared" ca="1" si="609"/>
        <v>98.6</v>
      </c>
      <c r="S849" s="233" t="s">
        <v>367</v>
      </c>
      <c r="T849" s="242" t="str">
        <f>_xlfn.XLOOKUP(S849,Insumos!$A$3:$A$371,Insumos!$B$3:$B$371)</f>
        <v>L</v>
      </c>
      <c r="U849" s="235">
        <f ca="1">IF($B849="insumo",R849,"")</f>
        <v>98.6</v>
      </c>
      <c r="V849" s="320">
        <v>0.6</v>
      </c>
      <c r="W849" s="236">
        <f>IFERROR(IF(B849="INSUMO",_xlfn.XLOOKUP(S849,Insumos!A:A,Insumos!C:C),""),"Inserir Preço")</f>
        <v>11.9</v>
      </c>
      <c r="X849" s="235">
        <f t="shared" ca="1" si="610"/>
        <v>59.16</v>
      </c>
      <c r="Y849" s="236">
        <f t="shared" si="586"/>
        <v>7.14</v>
      </c>
      <c r="Z849" s="237">
        <f t="shared" ca="1" si="602"/>
        <v>704.00400000000002</v>
      </c>
      <c r="AA849" s="238"/>
      <c r="AB849" s="233" t="str">
        <f>IF(B849="insumo",_xlfn.XLOOKUP(S849,Insumos!A:A,Insumos!D:D),"")</f>
        <v xml:space="preserve"> </v>
      </c>
      <c r="AC849" s="239">
        <f t="shared" ca="1" si="603"/>
        <v>1.0099579234845245E-4</v>
      </c>
      <c r="AE849" s="240">
        <f ca="1">IFERROR(IF(OR(Z849="",Z849=0),"",IF(AF849="","",IF(AF849="R$/mês",Z849/OBRA!$D$12,IF(AF849="R$/m²",Z849/OBRA!$D$10,IF(AF849="R$/apto",Orçamento!Z849/OBRA!$D$11,""))))),"")</f>
        <v>0.3622854731555194</v>
      </c>
      <c r="AF849" s="241" t="s">
        <v>154</v>
      </c>
    </row>
    <row r="850" spans="1:32" s="10" customFormat="1" ht="13.15" hidden="1" customHeight="1" outlineLevel="4" x14ac:dyDescent="0.2">
      <c r="A850" s="227"/>
      <c r="B850" s="228" t="s">
        <v>19</v>
      </c>
      <c r="C850" s="229">
        <f t="shared" si="601"/>
        <v>5</v>
      </c>
      <c r="D850" s="227" t="str">
        <f t="shared" si="594"/>
        <v/>
      </c>
      <c r="E850" s="228" t="str">
        <f t="shared" ca="1" si="595"/>
        <v>06.002.002.001</v>
      </c>
      <c r="F850" s="230">
        <f ca="1">IF($B850="UNIDADE CONSTRUTIVA",OFFSET(F850,-1,0)+1,LARGE(F$10:F849,1))</f>
        <v>2</v>
      </c>
      <c r="G850" s="228" t="str">
        <f t="shared" ca="1" si="604"/>
        <v xml:space="preserve">   GERENCIAMENTO EXECUTIVO</v>
      </c>
      <c r="H850" s="230">
        <f t="shared" ca="1" si="596"/>
        <v>6</v>
      </c>
      <c r="I850" s="228" t="str">
        <f t="shared" ca="1" si="605"/>
        <v xml:space="preserve">   IMPERMEABILIZAÇÃO E TRATAMENTOS</v>
      </c>
      <c r="J850" s="230">
        <f t="shared" ca="1" si="597"/>
        <v>2</v>
      </c>
      <c r="K850" s="228" t="str">
        <f t="shared" ca="1" si="606"/>
        <v xml:space="preserve">   IMPERMEABILIZAÇÃO E TRATAMENTOS - 2º PAVIMENTO - TÉRREO</v>
      </c>
      <c r="L850" s="231">
        <f t="shared" ca="1" si="598"/>
        <v>2</v>
      </c>
      <c r="M850" s="228" t="str">
        <f t="shared" ca="1" si="607"/>
        <v xml:space="preserve">   Impermeabilização Flexível com Manta</v>
      </c>
      <c r="N850" s="231">
        <f t="shared" ca="1" si="599"/>
        <v>1</v>
      </c>
      <c r="O850" s="228" t="str">
        <f t="shared" ca="1" si="608"/>
        <v>Impermeabilizacao com manta asfaltica espessura 4mm, uma camada, aplicacao com primer asfaltico</v>
      </c>
      <c r="P850" s="232" t="str">
        <f>IF(S850="","",IF(Orçamento!$B850="INSUMO",S850,""))</f>
        <v>MANTA ASFALTICA ELASTOMERICA EM POLIESTER 3MM, TIPO III, CLASSE B, ACA</v>
      </c>
      <c r="Q850" s="244" t="str">
        <f t="shared" si="600"/>
        <v/>
      </c>
      <c r="R850" s="234">
        <f t="shared" ca="1" si="609"/>
        <v>98.6</v>
      </c>
      <c r="S850" s="233" t="s">
        <v>326</v>
      </c>
      <c r="T850" s="242" t="str">
        <f>_xlfn.XLOOKUP(S850,Insumos!$A$3:$A$371,Insumos!$B$3:$B$371)</f>
        <v>M2</v>
      </c>
      <c r="U850" s="235">
        <f ca="1">IF($B850="insumo",R850,"")</f>
        <v>98.6</v>
      </c>
      <c r="V850" s="320">
        <v>1.1000000000000001</v>
      </c>
      <c r="W850" s="236">
        <f>IFERROR(IF(B850="INSUMO",_xlfn.XLOOKUP(S850,Insumos!A:A,Insumos!C:C),""),"Inserir Preço")</f>
        <v>37.72</v>
      </c>
      <c r="X850" s="235">
        <f t="shared" ca="1" si="610"/>
        <v>108.46000000000001</v>
      </c>
      <c r="Y850" s="236">
        <f t="shared" si="586"/>
        <v>41.492000000000004</v>
      </c>
      <c r="Z850" s="237">
        <f t="shared" ca="1" si="602"/>
        <v>4091.1112000000003</v>
      </c>
      <c r="AA850" s="238"/>
      <c r="AB850" s="233" t="str">
        <f>IF(B850="insumo",_xlfn.XLOOKUP(S850,Insumos!A:A,Insumos!D:D),"")</f>
        <v xml:space="preserve"> </v>
      </c>
      <c r="AC850" s="239">
        <f t="shared" ca="1" si="603"/>
        <v>5.8690720113753351E-4</v>
      </c>
      <c r="AE850" s="240">
        <f ca="1">IFERROR(IF(OR(Z850="",Z850=0),"",IF(AF850="","",IF(AF850="R$/mês",Z850/OBRA!$D$12,IF(AF850="R$/m²",Z850/OBRA!$D$10,IF(AF850="R$/apto",Orçamento!Z850/OBRA!$D$11,""))))),"")</f>
        <v>2.1053149652897498</v>
      </c>
      <c r="AF850" s="241" t="s">
        <v>154</v>
      </c>
    </row>
    <row r="851" spans="1:32" s="10" customFormat="1" ht="13.15" hidden="1" customHeight="1" outlineLevel="4" x14ac:dyDescent="0.2">
      <c r="A851" s="227"/>
      <c r="B851" s="228" t="s">
        <v>4</v>
      </c>
      <c r="C851" s="229">
        <f t="shared" si="601"/>
        <v>4</v>
      </c>
      <c r="D851" s="227" t="str">
        <f ca="1">IF(B851="Unidade Construtiva",TEXT(F851,"00"),IF(B851="Célula Construtiva",TEXT(H851,"00"),IF(B851="Etapa",CONCATENATE(TEXT(H851,"00"),".",TEXT(J851,"000")),IF(B851="Subetapa",CONCATENATE(TEXT(H851,"00"),".",TEXT(J851,"000"),".",TEXT(L851,"000")),IF(B851="Serviço",CONCATENATE(TEXT(H851,"00"),".",TEXT(J851,"000"),".",TEXT(L851,"000"),".",TEXT(N851,"000")),"")))))</f>
        <v>06.002.002.002</v>
      </c>
      <c r="E851" s="228" t="str">
        <f ca="1">IF(B851="*","",IFERROR(IF(B851="SERVIÇO",D851,OFFSET(E851,-1,0)),""))</f>
        <v>06.002.002.002</v>
      </c>
      <c r="F851" s="230">
        <f ca="1">IF($B851="UNIDADE CONSTRUTIVA",OFFSET(F851,-1,0)+1,LARGE(F$10:F850,1))</f>
        <v>2</v>
      </c>
      <c r="G851" s="228" t="str">
        <f ca="1">IF(B851="*","",IF(B851="UNIDADE CONSTRUTIVA",S851,OFFSET(G851,-1,0)))</f>
        <v xml:space="preserve">   GERENCIAMENTO EXECUTIVO</v>
      </c>
      <c r="H851" s="230">
        <f ca="1">IF(B851="UNIDADE CONSTRUTIVA",0,IF(B851="CÉLULA CONSTRUTIVA",OFFSET(H851,-1,0)+1,OFFSET(H851,-1,0)))</f>
        <v>6</v>
      </c>
      <c r="I851" s="228" t="str">
        <f ca="1">IF(B851="*","",IF(B851="CÉLULA CONSTRUTIVA",S851,OFFSET(I851,-1,0)))</f>
        <v xml:space="preserve">   IMPERMEABILIZAÇÃO E TRATAMENTOS</v>
      </c>
      <c r="J851" s="230">
        <f ca="1">IF(B851="CÉLULA CONSTRUTIVA",0,IF(B851="ETAPA",OFFSET(J851,-1,0)+1,OFFSET(J851,-1,0)))</f>
        <v>2</v>
      </c>
      <c r="K851" s="228" t="str">
        <f ca="1">IF(B851="*","",IF(B851="ETAPA",S851,OFFSET(K851,-1,0)))</f>
        <v xml:space="preserve">   IMPERMEABILIZAÇÃO E TRATAMENTOS - 2º PAVIMENTO - TÉRREO</v>
      </c>
      <c r="L851" s="231">
        <f ca="1">IF(B851="ETAPA",0,IF(B851="SUBETAPA",OFFSET(L851,-1,0)+1,OFFSET(L851,-1,0)))</f>
        <v>2</v>
      </c>
      <c r="M851" s="228" t="str">
        <f ca="1">IF(B851="*","",IF(B851="SUBETAPA",S851,OFFSET(M851,-1,0)))</f>
        <v xml:space="preserve">   Impermeabilização Flexível com Manta</v>
      </c>
      <c r="N851" s="231">
        <f ca="1">IF(B851="Subetapa",0,IF(B851="serviço",OFFSET(N851,-1,0)+1,OFFSET(N851,-1,0)))</f>
        <v>2</v>
      </c>
      <c r="O851" s="228" t="str">
        <f ca="1">IF(B851="*","",IF(B851="SERVIÇO",S851,OFFSET(O851,-1,0)))</f>
        <v>Tratamento de ralo com manta de poliester</v>
      </c>
      <c r="P851" s="232" t="str">
        <f>IF(S851="","",IF(Orçamento!$B851="INSUMO",S851,""))</f>
        <v/>
      </c>
      <c r="Q851" s="244" t="str">
        <f>IF(B851="","",IF(B851="Serviço",S851,""))</f>
        <v>Tratamento de ralo com manta de poliester</v>
      </c>
      <c r="R851" s="234">
        <f ca="1">IF(B851="serviço",U851,OFFSET(R851,-1,0))</f>
        <v>15</v>
      </c>
      <c r="S851" s="233" t="s">
        <v>1153</v>
      </c>
      <c r="T851" s="242" t="s">
        <v>142</v>
      </c>
      <c r="U851" s="235">
        <v>15</v>
      </c>
      <c r="V851" s="320" t="s">
        <v>35</v>
      </c>
      <c r="W851" s="236" t="str">
        <f>IFERROR(IF(B851="INSUMO",_xlfn.XLOOKUP(S851,Insumos!A:A,Insumos!C:C),""),"Inserir Preço")</f>
        <v/>
      </c>
      <c r="X851" s="235">
        <f ca="1">IF(B851="Complemento do insumo",V851,IF(R851="","",IF(B851="serviço",R851,IF(OR(B851="insumo"),V851*R851,""))))</f>
        <v>15</v>
      </c>
      <c r="Y851" s="236">
        <f t="shared" ca="1" si="586"/>
        <v>11.254</v>
      </c>
      <c r="Z851" s="237">
        <f t="shared" ca="1" si="602"/>
        <v>168.81</v>
      </c>
      <c r="AA851" s="238"/>
      <c r="AB851" s="233" t="str">
        <f>IF(B851="insumo",_xlfn.XLOOKUP(S851,Insumos!A:A,Insumos!D:D),"")</f>
        <v/>
      </c>
      <c r="AC851" s="239">
        <f t="shared" ca="1" si="603"/>
        <v>2.4217333575295396E-5</v>
      </c>
      <c r="AE851" s="240">
        <f ca="1">IFERROR(IF(OR(Z851="",Z851=0),"",IF(AF851="","",IF(AF851="R$/mês",Z851/OBRA!$D$12,IF(AF851="R$/m²",Z851/OBRA!$D$10,IF(AF851="R$/apto",Orçamento!Z851/OBRA!$D$11,""))))),"")</f>
        <v>8.6870828466007632E-2</v>
      </c>
      <c r="AF851" s="241" t="s">
        <v>154</v>
      </c>
    </row>
    <row r="852" spans="1:32" s="10" customFormat="1" ht="13.15" hidden="1" customHeight="1" outlineLevel="4" x14ac:dyDescent="0.2">
      <c r="A852" s="227"/>
      <c r="B852" s="228" t="s">
        <v>19</v>
      </c>
      <c r="C852" s="229">
        <f t="shared" si="601"/>
        <v>4</v>
      </c>
      <c r="D852" s="227" t="str">
        <f>IF(B852="Unidade Construtiva",TEXT(F852,"00"),IF(B852="Célula Construtiva",TEXT(H852,"00"),IF(B852="Etapa",CONCATENATE(TEXT(H852,"00"),".",TEXT(J852,"000")),IF(B852="Subetapa",CONCATENATE(TEXT(H852,"00"),".",TEXT(J852,"000"),".",TEXT(L852,"000")),IF(B852="Serviço",CONCATENATE(TEXT(H852,"00"),".",TEXT(J852,"000"),".",TEXT(L852,"000"),".",TEXT(N852,"000")),"")))))</f>
        <v/>
      </c>
      <c r="E852" s="228" t="str">
        <f ca="1">IF(B852="*","",IFERROR(IF(B852="SERVIÇO",D852,OFFSET(E852,-1,0)),""))</f>
        <v>06.002.002.002</v>
      </c>
      <c r="F852" s="230">
        <f ca="1">IF($B852="UNIDADE CONSTRUTIVA",OFFSET(F852,-1,0)+1,LARGE(F$10:F851,1))</f>
        <v>2</v>
      </c>
      <c r="G852" s="228" t="str">
        <f ca="1">IF(B852="*","",IF(B852="UNIDADE CONSTRUTIVA",S852,OFFSET(G852,-1,0)))</f>
        <v xml:space="preserve">   GERENCIAMENTO EXECUTIVO</v>
      </c>
      <c r="H852" s="230">
        <f ca="1">IF(B852="UNIDADE CONSTRUTIVA",0,IF(B852="CÉLULA CONSTRUTIVA",OFFSET(H852,-1,0)+1,OFFSET(H852,-1,0)))</f>
        <v>6</v>
      </c>
      <c r="I852" s="228" t="str">
        <f ca="1">IF(B852="*","",IF(B852="CÉLULA CONSTRUTIVA",S852,OFFSET(I852,-1,0)))</f>
        <v xml:space="preserve">   IMPERMEABILIZAÇÃO E TRATAMENTOS</v>
      </c>
      <c r="J852" s="230">
        <f ca="1">IF(B852="CÉLULA CONSTRUTIVA",0,IF(B852="ETAPA",OFFSET(J852,-1,0)+1,OFFSET(J852,-1,0)))</f>
        <v>2</v>
      </c>
      <c r="K852" s="228" t="str">
        <f ca="1">IF(B852="*","",IF(B852="ETAPA",S852,OFFSET(K852,-1,0)))</f>
        <v xml:space="preserve">   IMPERMEABILIZAÇÃO E TRATAMENTOS - 2º PAVIMENTO - TÉRREO</v>
      </c>
      <c r="L852" s="231">
        <f ca="1">IF(B852="ETAPA",0,IF(B852="SUBETAPA",OFFSET(L852,-1,0)+1,OFFSET(L852,-1,0)))</f>
        <v>2</v>
      </c>
      <c r="M852" s="228" t="str">
        <f ca="1">IF(B852="*","",IF(B852="SUBETAPA",S852,OFFSET(M852,-1,0)))</f>
        <v xml:space="preserve">   Impermeabilização Flexível com Manta</v>
      </c>
      <c r="N852" s="231">
        <f ca="1">IF(B852="Subetapa",0,IF(B852="serviço",OFFSET(N852,-1,0)+1,OFFSET(N852,-1,0)))</f>
        <v>2</v>
      </c>
      <c r="O852" s="228" t="str">
        <f ca="1">IF(B852="*","",IF(B852="SERVIÇO",S852,OFFSET(O852,-1,0)))</f>
        <v>Tratamento de ralo com manta de poliester</v>
      </c>
      <c r="P852" s="232" t="str">
        <f>IF(S852="","",IF(Orçamento!$B852="INSUMO",S852,""))</f>
        <v>MANTA VEU POLIESTER BRANCA, L=1,05 M X 100 M</v>
      </c>
      <c r="Q852" s="244" t="str">
        <f>IF(B852="","",IF(B852="Serviço",S852,""))</f>
        <v/>
      </c>
      <c r="R852" s="234">
        <f ca="1">IF(B852="serviço",U852,OFFSET(R852,-1,0))</f>
        <v>15</v>
      </c>
      <c r="S852" s="233" t="s">
        <v>1155</v>
      </c>
      <c r="T852" s="242" t="str">
        <f>_xlfn.XLOOKUP(S852,Insumos!$A$3:$A$371,Insumos!$B$3:$B$371)</f>
        <v>M2</v>
      </c>
      <c r="U852" s="235">
        <v>0.26400000000000001</v>
      </c>
      <c r="V852" s="320">
        <v>0.61499999999999999</v>
      </c>
      <c r="W852" s="236">
        <f>IFERROR(IF(B852="INSUMO",_xlfn.XLOOKUP(S852,Insumos!A:A,Insumos!C:C),""),"Inserir Preço")</f>
        <v>3.4</v>
      </c>
      <c r="X852" s="235">
        <f ca="1">IF(B852="Complemento do insumo",V852,IF(R852="","",IF(B852="serviço",R852,IF(OR(B852="insumo"),V852*R852,""))))</f>
        <v>9.2249999999999996</v>
      </c>
      <c r="Y852" s="236">
        <f t="shared" si="586"/>
        <v>2.0909999999999997</v>
      </c>
      <c r="Z852" s="237">
        <f t="shared" ca="1" si="602"/>
        <v>31.364999999999998</v>
      </c>
      <c r="AA852" s="238"/>
      <c r="AB852" s="233" t="str">
        <f>IF(B852="insumo",_xlfn.XLOOKUP(S852,Insumos!A:A,Insumos!D:D),"")</f>
        <v xml:space="preserve"> </v>
      </c>
      <c r="AC852" s="239">
        <f t="shared" ca="1" si="603"/>
        <v>4.4995952111198388E-6</v>
      </c>
      <c r="AE852" s="240">
        <f ca="1">IFERROR(IF(OR(Z852="",Z852=0),"",IF(AF852="","",IF(AF852="R$/mês",Z852/OBRA!$D$12,IF(AF852="R$/m²",Z852/OBRA!$D$10,IF(AF852="R$/apto",Orçamento!Z852/OBRA!$D$11,""))))),"")</f>
        <v>1.6140652418910783E-2</v>
      </c>
      <c r="AF852" s="241" t="s">
        <v>154</v>
      </c>
    </row>
    <row r="853" spans="1:32" s="10" customFormat="1" ht="13.15" hidden="1" customHeight="1" outlineLevel="4" x14ac:dyDescent="0.2">
      <c r="A853" s="227"/>
      <c r="B853" s="228" t="s">
        <v>19</v>
      </c>
      <c r="C853" s="229">
        <f t="shared" si="601"/>
        <v>4</v>
      </c>
      <c r="D853" s="227" t="str">
        <f>IF(B853="Unidade Construtiva",TEXT(F853,"00"),IF(B853="Célula Construtiva",TEXT(H853,"00"),IF(B853="Etapa",CONCATENATE(TEXT(H853,"00"),".",TEXT(J853,"000")),IF(B853="Subetapa",CONCATENATE(TEXT(H853,"00"),".",TEXT(J853,"000"),".",TEXT(L853,"000")),IF(B853="Serviço",CONCATENATE(TEXT(H853,"00"),".",TEXT(J853,"000"),".",TEXT(L853,"000"),".",TEXT(N853,"000")),"")))))</f>
        <v/>
      </c>
      <c r="E853" s="228" t="str">
        <f ca="1">IF(B853="*","",IFERROR(IF(B853="SERVIÇO",D853,OFFSET(E853,-1,0)),""))</f>
        <v>06.002.002.002</v>
      </c>
      <c r="F853" s="230">
        <f ca="1">IF($B853="UNIDADE CONSTRUTIVA",OFFSET(F853,-1,0)+1,LARGE(F$10:F852,1))</f>
        <v>2</v>
      </c>
      <c r="G853" s="228" t="str">
        <f ca="1">IF(B853="*","",IF(B853="UNIDADE CONSTRUTIVA",S853,OFFSET(G853,-1,0)))</f>
        <v xml:space="preserve">   GERENCIAMENTO EXECUTIVO</v>
      </c>
      <c r="H853" s="230">
        <f ca="1">IF(B853="UNIDADE CONSTRUTIVA",0,IF(B853="CÉLULA CONSTRUTIVA",OFFSET(H853,-1,0)+1,OFFSET(H853,-1,0)))</f>
        <v>6</v>
      </c>
      <c r="I853" s="228" t="str">
        <f ca="1">IF(B853="*","",IF(B853="CÉLULA CONSTRUTIVA",S853,OFFSET(I853,-1,0)))</f>
        <v xml:space="preserve">   IMPERMEABILIZAÇÃO E TRATAMENTOS</v>
      </c>
      <c r="J853" s="230">
        <f ca="1">IF(B853="CÉLULA CONSTRUTIVA",0,IF(B853="ETAPA",OFFSET(J853,-1,0)+1,OFFSET(J853,-1,0)))</f>
        <v>2</v>
      </c>
      <c r="K853" s="228" t="str">
        <f ca="1">IF(B853="*","",IF(B853="ETAPA",S853,OFFSET(K853,-1,0)))</f>
        <v xml:space="preserve">   IMPERMEABILIZAÇÃO E TRATAMENTOS - 2º PAVIMENTO - TÉRREO</v>
      </c>
      <c r="L853" s="231">
        <f ca="1">IF(B853="ETAPA",0,IF(B853="SUBETAPA",OFFSET(L853,-1,0)+1,OFFSET(L853,-1,0)))</f>
        <v>2</v>
      </c>
      <c r="M853" s="228" t="str">
        <f ca="1">IF(B853="*","",IF(B853="SUBETAPA",S853,OFFSET(M853,-1,0)))</f>
        <v xml:space="preserve">   Impermeabilização Flexível com Manta</v>
      </c>
      <c r="N853" s="231">
        <f ca="1">IF(B853="Subetapa",0,IF(B853="serviço",OFFSET(N853,-1,0)+1,OFFSET(N853,-1,0)))</f>
        <v>2</v>
      </c>
      <c r="O853" s="228" t="str">
        <f ca="1">IF(B853="*","",IF(B853="SERVIÇO",S853,OFFSET(O853,-1,0)))</f>
        <v>Tratamento de ralo com manta de poliester</v>
      </c>
      <c r="P853" s="232" t="str">
        <f>IF(S853="","",IF(Orçamento!$B853="INSUMO",S853,""))</f>
        <v>IMPERMEABILIZANTE FLEXÍVEL E ELÁSTICO BICOMPONENTE COM FIBRAS</v>
      </c>
      <c r="Q853" s="244" t="str">
        <f>IF(B853="","",IF(B853="Serviço",S853,""))</f>
        <v/>
      </c>
      <c r="R853" s="234">
        <f ca="1">IF(B853="serviço",U853,OFFSET(R853,-1,0))</f>
        <v>15</v>
      </c>
      <c r="S853" s="233" t="s">
        <v>1154</v>
      </c>
      <c r="T853" s="242" t="str">
        <f>_xlfn.XLOOKUP(S853,Insumos!$A$3:$A$371,Insumos!$B$3:$B$371)</f>
        <v>KG</v>
      </c>
      <c r="U853" s="235">
        <v>0.67200000000000004</v>
      </c>
      <c r="V853" s="320">
        <v>1.1000000000000001</v>
      </c>
      <c r="W853" s="236">
        <f>IFERROR(IF(B853="INSUMO",_xlfn.XLOOKUP(S853,Insumos!A:A,Insumos!C:C),""),"Inserir Preço")</f>
        <v>8.33</v>
      </c>
      <c r="X853" s="235">
        <f ca="1">IF(B853="Complemento do insumo",V853,IF(R853="","",IF(B853="serviço",R853,IF(OR(B853="insumo"),V853*R853,""))))</f>
        <v>16.5</v>
      </c>
      <c r="Y853" s="236">
        <f t="shared" si="586"/>
        <v>9.1630000000000003</v>
      </c>
      <c r="Z853" s="237">
        <f t="shared" ca="1" si="602"/>
        <v>137.44499999999999</v>
      </c>
      <c r="AA853" s="238"/>
      <c r="AB853" s="233" t="str">
        <f>IF(B853="insumo",_xlfn.XLOOKUP(S853,Insumos!A:A,Insumos!D:D),"")</f>
        <v xml:space="preserve"> </v>
      </c>
      <c r="AC853" s="239">
        <f t="shared" ca="1" si="603"/>
        <v>1.9717738364175554E-5</v>
      </c>
      <c r="AE853" s="240">
        <f ca="1">IFERROR(IF(OR(Z853="",Z853=0),"",IF(AF853="","",IF(AF853="R$/mês",Z853/OBRA!$D$12,IF(AF853="R$/m²",Z853/OBRA!$D$10,IF(AF853="R$/apto",Orçamento!Z853/OBRA!$D$11,""))))),"")</f>
        <v>7.0730176047096846E-2</v>
      </c>
      <c r="AF853" s="241" t="s">
        <v>154</v>
      </c>
    </row>
    <row r="854" spans="1:32" s="10" customFormat="1" ht="13.15" hidden="1" customHeight="1" outlineLevel="3" collapsed="1" x14ac:dyDescent="0.2">
      <c r="A854" s="227"/>
      <c r="B854" s="228" t="s">
        <v>3</v>
      </c>
      <c r="C854" s="229" t="str">
        <f t="shared" si="601"/>
        <v/>
      </c>
      <c r="D854" s="227" t="str">
        <f t="shared" ca="1" si="594"/>
        <v>06.002.003</v>
      </c>
      <c r="E854" s="228" t="str">
        <f t="shared" ca="1" si="595"/>
        <v>06.002.002.002</v>
      </c>
      <c r="F854" s="230">
        <f ca="1">IF($B854="UNIDADE CONSTRUTIVA",OFFSET(F854,-1,0)+1,LARGE(F$10:F853,1))</f>
        <v>2</v>
      </c>
      <c r="G854" s="228" t="str">
        <f t="shared" ca="1" si="604"/>
        <v xml:space="preserve">   GERENCIAMENTO EXECUTIVO</v>
      </c>
      <c r="H854" s="230">
        <f t="shared" ca="1" si="596"/>
        <v>6</v>
      </c>
      <c r="I854" s="228" t="str">
        <f t="shared" ca="1" si="605"/>
        <v xml:space="preserve">   IMPERMEABILIZAÇÃO E TRATAMENTOS</v>
      </c>
      <c r="J854" s="230">
        <f t="shared" ca="1" si="597"/>
        <v>2</v>
      </c>
      <c r="K854" s="228" t="str">
        <f t="shared" ca="1" si="606"/>
        <v xml:space="preserve">   IMPERMEABILIZAÇÃO E TRATAMENTOS - 2º PAVIMENTO - TÉRREO</v>
      </c>
      <c r="L854" s="231">
        <f t="shared" ca="1" si="598"/>
        <v>3</v>
      </c>
      <c r="M854" s="228" t="str">
        <f t="shared" ca="1" si="607"/>
        <v xml:space="preserve">   Impermeabilização Rígida</v>
      </c>
      <c r="N854" s="231">
        <f t="shared" ca="1" si="599"/>
        <v>0</v>
      </c>
      <c r="O854" s="228" t="str">
        <f t="shared" ca="1" si="608"/>
        <v>Tratamento de ralo com manta de poliester</v>
      </c>
      <c r="P854" s="232" t="str">
        <f>IF(S854="","",IF(Orçamento!$B854="INSUMO",S854,""))</f>
        <v/>
      </c>
      <c r="Q854" s="244" t="str">
        <f t="shared" si="600"/>
        <v/>
      </c>
      <c r="R854" s="234">
        <f t="shared" ca="1" si="609"/>
        <v>15</v>
      </c>
      <c r="S854" s="233" t="s">
        <v>468</v>
      </c>
      <c r="T854" s="242" t="s">
        <v>35</v>
      </c>
      <c r="U854" s="235" t="str">
        <f>IF($B854="insumo",R854,"")</f>
        <v/>
      </c>
      <c r="V854" s="320" t="s">
        <v>35</v>
      </c>
      <c r="W854" s="236" t="str">
        <f>IFERROR(IF(B854="INSUMO",_xlfn.XLOOKUP(S854,Insumos!A:A,Insumos!C:C),""),"Inserir Preço")</f>
        <v/>
      </c>
      <c r="X854" s="235" t="str">
        <f t="shared" ca="1" si="610"/>
        <v/>
      </c>
      <c r="Y854" s="236" t="str">
        <f t="shared" si="586"/>
        <v/>
      </c>
      <c r="Z854" s="237">
        <f t="shared" ca="1" si="602"/>
        <v>1497.0102400000001</v>
      </c>
      <c r="AA854" s="238"/>
      <c r="AB854" s="233" t="str">
        <f>IF(B854="insumo",_xlfn.XLOOKUP(S854,Insumos!A:A,Insumos!D:D),"")</f>
        <v/>
      </c>
      <c r="AC854" s="239">
        <f t="shared" ca="1" si="603"/>
        <v>2.1475976747652994E-4</v>
      </c>
      <c r="AE854" s="240">
        <f ca="1">IFERROR(IF(OR(Z854="",Z854=0),"",IF(AF854="","",IF(AF854="R$/mês",Z854/OBRA!$D$12,IF(AF854="R$/m²",Z854/OBRA!$D$10,IF(AF854="R$/apto",Orçamento!Z854/OBRA!$D$11,""))))),"")</f>
        <v>0.77037213299506491</v>
      </c>
      <c r="AF854" s="241" t="s">
        <v>154</v>
      </c>
    </row>
    <row r="855" spans="1:32" s="10" customFormat="1" ht="13.15" hidden="1" customHeight="1" outlineLevel="4" x14ac:dyDescent="0.2">
      <c r="A855" s="227"/>
      <c r="B855" s="228" t="s">
        <v>4</v>
      </c>
      <c r="C855" s="229">
        <f t="shared" si="601"/>
        <v>4</v>
      </c>
      <c r="D855" s="227" t="str">
        <f t="shared" ca="1" si="594"/>
        <v>06.002.003.001</v>
      </c>
      <c r="E855" s="228" t="str">
        <f t="shared" ca="1" si="595"/>
        <v>06.002.003.001</v>
      </c>
      <c r="F855" s="230">
        <f ca="1">IF($B855="UNIDADE CONSTRUTIVA",OFFSET(F855,-1,0)+1,LARGE(F$10:F854,1))</f>
        <v>2</v>
      </c>
      <c r="G855" s="228" t="str">
        <f t="shared" ca="1" si="604"/>
        <v xml:space="preserve">   GERENCIAMENTO EXECUTIVO</v>
      </c>
      <c r="H855" s="230">
        <f t="shared" ca="1" si="596"/>
        <v>6</v>
      </c>
      <c r="I855" s="228" t="str">
        <f t="shared" ca="1" si="605"/>
        <v xml:space="preserve">   IMPERMEABILIZAÇÃO E TRATAMENTOS</v>
      </c>
      <c r="J855" s="230">
        <f t="shared" ca="1" si="597"/>
        <v>2</v>
      </c>
      <c r="K855" s="228" t="str">
        <f t="shared" ca="1" si="606"/>
        <v xml:space="preserve">   IMPERMEABILIZAÇÃO E TRATAMENTOS - 2º PAVIMENTO - TÉRREO</v>
      </c>
      <c r="L855" s="231">
        <f t="shared" ca="1" si="598"/>
        <v>3</v>
      </c>
      <c r="M855" s="228" t="str">
        <f t="shared" ca="1" si="607"/>
        <v xml:space="preserve">   Impermeabilização Rígida</v>
      </c>
      <c r="N855" s="231">
        <f t="shared" ca="1" si="599"/>
        <v>1</v>
      </c>
      <c r="O855" s="228" t="str">
        <f t="shared" ca="1" si="608"/>
        <v>Impermeabilizacao com argamassa polimerica impermeabilizante</v>
      </c>
      <c r="P855" s="232" t="str">
        <f>IF(S855="","",IF(Orçamento!$B855="INSUMO",S855,""))</f>
        <v/>
      </c>
      <c r="Q855" s="244" t="str">
        <f t="shared" si="600"/>
        <v>Impermeabilizacao com argamassa polimerica impermeabilizante</v>
      </c>
      <c r="R855" s="234">
        <f t="shared" ca="1" si="609"/>
        <v>41.29</v>
      </c>
      <c r="S855" s="233" t="s">
        <v>469</v>
      </c>
      <c r="T855" s="242" t="s">
        <v>140</v>
      </c>
      <c r="U855" s="235">
        <v>41.29</v>
      </c>
      <c r="V855" s="320" t="s">
        <v>35</v>
      </c>
      <c r="W855" s="236" t="str">
        <f>IFERROR(IF(B855="INSUMO",_xlfn.XLOOKUP(S855,Insumos!A:A,Insumos!C:C),""),"Inserir Preço")</f>
        <v/>
      </c>
      <c r="X855" s="235">
        <f t="shared" ca="1" si="610"/>
        <v>41.29</v>
      </c>
      <c r="Y855" s="236">
        <f t="shared" ca="1" si="586"/>
        <v>36.256</v>
      </c>
      <c r="Z855" s="237">
        <f t="shared" ca="1" si="602"/>
        <v>1497.0102400000001</v>
      </c>
      <c r="AA855" s="238"/>
      <c r="AB855" s="233" t="str">
        <f>IF(B855="insumo",_xlfn.XLOOKUP(S855,Insumos!A:A,Insumos!D:D),"")</f>
        <v/>
      </c>
      <c r="AC855" s="239">
        <f t="shared" ca="1" si="603"/>
        <v>2.1475976747652994E-4</v>
      </c>
      <c r="AE855" s="240">
        <f ca="1">IFERROR(IF(OR(Z855="",Z855=0),"",IF(AF855="","",IF(AF855="R$/mês",Z855/OBRA!$D$12,IF(AF855="R$/m²",Z855/OBRA!$D$10,IF(AF855="R$/apto",Orçamento!Z855/OBRA!$D$11,""))))),"")</f>
        <v>0.77037213299506491</v>
      </c>
      <c r="AF855" s="241" t="s">
        <v>154</v>
      </c>
    </row>
    <row r="856" spans="1:32" s="10" customFormat="1" ht="13.15" hidden="1" customHeight="1" outlineLevel="4" x14ac:dyDescent="0.2">
      <c r="A856" s="227"/>
      <c r="B856" s="228" t="s">
        <v>19</v>
      </c>
      <c r="C856" s="229">
        <f t="shared" si="601"/>
        <v>4</v>
      </c>
      <c r="D856" s="227" t="str">
        <f t="shared" si="594"/>
        <v/>
      </c>
      <c r="E856" s="228" t="str">
        <f t="shared" ca="1" si="595"/>
        <v>06.002.003.001</v>
      </c>
      <c r="F856" s="230">
        <f ca="1">IF($B856="UNIDADE CONSTRUTIVA",OFFSET(F856,-1,0)+1,LARGE(F$10:F855,1))</f>
        <v>2</v>
      </c>
      <c r="G856" s="228" t="str">
        <f t="shared" ca="1" si="604"/>
        <v xml:space="preserve">   GERENCIAMENTO EXECUTIVO</v>
      </c>
      <c r="H856" s="230">
        <f t="shared" ca="1" si="596"/>
        <v>6</v>
      </c>
      <c r="I856" s="228" t="str">
        <f t="shared" ca="1" si="605"/>
        <v xml:space="preserve">   IMPERMEABILIZAÇÃO E TRATAMENTOS</v>
      </c>
      <c r="J856" s="230">
        <f t="shared" ca="1" si="597"/>
        <v>2</v>
      </c>
      <c r="K856" s="228" t="str">
        <f t="shared" ca="1" si="606"/>
        <v xml:space="preserve">   IMPERMEABILIZAÇÃO E TRATAMENTOS - 2º PAVIMENTO - TÉRREO</v>
      </c>
      <c r="L856" s="231">
        <f t="shared" ca="1" si="598"/>
        <v>3</v>
      </c>
      <c r="M856" s="228" t="str">
        <f t="shared" ca="1" si="607"/>
        <v xml:space="preserve">   Impermeabilização Rígida</v>
      </c>
      <c r="N856" s="231">
        <f t="shared" ca="1" si="599"/>
        <v>1</v>
      </c>
      <c r="O856" s="228" t="str">
        <f t="shared" ca="1" si="608"/>
        <v>Impermeabilizacao com argamassa polimerica impermeabilizante</v>
      </c>
      <c r="P856" s="232" t="str">
        <f>IF(S856="","",IF(Orçamento!$B856="INSUMO",S856,""))</f>
        <v>Argamassa Polimerica Impermeabilizante</v>
      </c>
      <c r="Q856" s="244" t="str">
        <f t="shared" si="600"/>
        <v/>
      </c>
      <c r="R856" s="234">
        <f t="shared" ca="1" si="609"/>
        <v>41.29</v>
      </c>
      <c r="S856" s="233" t="s">
        <v>539</v>
      </c>
      <c r="T856" s="242" t="str">
        <f>_xlfn.XLOOKUP(S856,Insumos!$A$3:$A$371,Insumos!$B$3:$B$371)</f>
        <v>KG</v>
      </c>
      <c r="U856" s="235">
        <f ca="1">IF($B856="insumo",R856,"")</f>
        <v>41.29</v>
      </c>
      <c r="V856" s="320">
        <v>3.2</v>
      </c>
      <c r="W856" s="236">
        <f>IFERROR(IF(B856="INSUMO",_xlfn.XLOOKUP(S856,Insumos!A:A,Insumos!C:C),""),"Inserir Preço")</f>
        <v>11.33</v>
      </c>
      <c r="X856" s="235">
        <f t="shared" ca="1" si="610"/>
        <v>132.12800000000001</v>
      </c>
      <c r="Y856" s="236">
        <f t="shared" si="586"/>
        <v>36.256</v>
      </c>
      <c r="Z856" s="237">
        <f t="shared" ca="1" si="602"/>
        <v>1497.0102400000001</v>
      </c>
      <c r="AA856" s="238"/>
      <c r="AB856" s="233" t="str">
        <f>IF(B856="insumo",_xlfn.XLOOKUP(S856,Insumos!A:A,Insumos!D:D),"")</f>
        <v xml:space="preserve"> </v>
      </c>
      <c r="AC856" s="239">
        <f t="shared" ca="1" si="603"/>
        <v>2.1475976747652994E-4</v>
      </c>
      <c r="AE856" s="240">
        <f ca="1">IFERROR(IF(OR(Z856="",Z856=0),"",IF(AF856="","",IF(AF856="R$/mês",Z856/OBRA!$D$12,IF(AF856="R$/m²",Z856/OBRA!$D$10,IF(AF856="R$/apto",Orçamento!Z856/OBRA!$D$11,""))))),"")</f>
        <v>0.77037213299506491</v>
      </c>
      <c r="AF856" s="241" t="s">
        <v>154</v>
      </c>
    </row>
    <row r="857" spans="1:32" s="10" customFormat="1" ht="13.15" hidden="1" customHeight="1" outlineLevel="3" collapsed="1" x14ac:dyDescent="0.2">
      <c r="A857" s="227"/>
      <c r="B857" s="228" t="s">
        <v>3</v>
      </c>
      <c r="C857" s="229" t="str">
        <f t="shared" si="601"/>
        <v/>
      </c>
      <c r="D857" s="227" t="str">
        <f t="shared" ca="1" si="594"/>
        <v>06.002.004</v>
      </c>
      <c r="E857" s="228" t="str">
        <f t="shared" ca="1" si="595"/>
        <v>06.002.003.001</v>
      </c>
      <c r="F857" s="230">
        <f ca="1">IF($B857="UNIDADE CONSTRUTIVA",OFFSET(F857,-1,0)+1,LARGE(F$10:F856,1))</f>
        <v>2</v>
      </c>
      <c r="G857" s="228" t="str">
        <f t="shared" ca="1" si="604"/>
        <v xml:space="preserve">   GERENCIAMENTO EXECUTIVO</v>
      </c>
      <c r="H857" s="230">
        <f t="shared" ca="1" si="596"/>
        <v>6</v>
      </c>
      <c r="I857" s="228" t="str">
        <f t="shared" ca="1" si="605"/>
        <v xml:space="preserve">   IMPERMEABILIZAÇÃO E TRATAMENTOS</v>
      </c>
      <c r="J857" s="230">
        <f t="shared" ca="1" si="597"/>
        <v>2</v>
      </c>
      <c r="K857" s="228" t="str">
        <f t="shared" ca="1" si="606"/>
        <v xml:space="preserve">   IMPERMEABILIZAÇÃO E TRATAMENTOS - 2º PAVIMENTO - TÉRREO</v>
      </c>
      <c r="L857" s="231">
        <f t="shared" ca="1" si="598"/>
        <v>4</v>
      </c>
      <c r="M857" s="228" t="str">
        <f t="shared" ca="1" si="607"/>
        <v xml:space="preserve">   Impermeabilização Flexível com Membrana</v>
      </c>
      <c r="N857" s="231">
        <f t="shared" ca="1" si="599"/>
        <v>0</v>
      </c>
      <c r="O857" s="228" t="str">
        <f t="shared" ca="1" si="608"/>
        <v>Impermeabilizacao com argamassa polimerica impermeabilizante</v>
      </c>
      <c r="P857" s="232" t="str">
        <f>IF(S857="","",IF(Orçamento!$B857="INSUMO",S857,""))</f>
        <v/>
      </c>
      <c r="Q857" s="244" t="str">
        <f t="shared" si="600"/>
        <v/>
      </c>
      <c r="R857" s="234">
        <f t="shared" ca="1" si="609"/>
        <v>41.29</v>
      </c>
      <c r="S857" s="233" t="s">
        <v>460</v>
      </c>
      <c r="T857" s="242" t="s">
        <v>35</v>
      </c>
      <c r="U857" s="235" t="str">
        <f>IF($B857="insumo",R857,"")</f>
        <v/>
      </c>
      <c r="V857" s="320" t="s">
        <v>35</v>
      </c>
      <c r="W857" s="236" t="str">
        <f>IFERROR(IF(B857="INSUMO",_xlfn.XLOOKUP(S857,Insumos!A:A,Insumos!C:C),""),"Inserir Preço")</f>
        <v/>
      </c>
      <c r="X857" s="235" t="str">
        <f t="shared" ca="1" si="610"/>
        <v/>
      </c>
      <c r="Y857" s="236" t="str">
        <f t="shared" si="586"/>
        <v/>
      </c>
      <c r="Z857" s="237">
        <f t="shared" ca="1" si="602"/>
        <v>204.71249999999998</v>
      </c>
      <c r="AA857" s="238"/>
      <c r="AB857" s="233" t="str">
        <f>IF(B857="insumo",_xlfn.XLOOKUP(S857,Insumos!A:A,Insumos!D:D),"")</f>
        <v/>
      </c>
      <c r="AC857" s="239">
        <f t="shared" ca="1" si="603"/>
        <v>2.9367874530730749E-5</v>
      </c>
      <c r="AE857" s="240">
        <f ca="1">IFERROR(IF(OR(Z857="",Z857=0),"",IF(AF857="","",IF(AF857="R$/mês",Z857/OBRA!$D$12,IF(AF857="R$/m²",Z857/OBRA!$D$10,IF(AF857="R$/apto",Orçamento!Z857/OBRA!$D$11,""))))),"")</f>
        <v>0.10534651070640119</v>
      </c>
      <c r="AF857" s="241" t="s">
        <v>154</v>
      </c>
    </row>
    <row r="858" spans="1:32" s="10" customFormat="1" ht="13.15" hidden="1" customHeight="1" outlineLevel="4" x14ac:dyDescent="0.2">
      <c r="A858" s="227"/>
      <c r="B858" s="228" t="s">
        <v>4</v>
      </c>
      <c r="C858" s="229">
        <f t="shared" si="601"/>
        <v>4</v>
      </c>
      <c r="D858" s="227" t="str">
        <f t="shared" ca="1" si="594"/>
        <v>06.002.004.001</v>
      </c>
      <c r="E858" s="228" t="str">
        <f t="shared" ca="1" si="595"/>
        <v>06.002.004.001</v>
      </c>
      <c r="F858" s="230">
        <f ca="1">IF($B858="UNIDADE CONSTRUTIVA",OFFSET(F858,-1,0)+1,LARGE(F$10:F857,1))</f>
        <v>2</v>
      </c>
      <c r="G858" s="228" t="str">
        <f t="shared" ca="1" si="604"/>
        <v xml:space="preserve">   GERENCIAMENTO EXECUTIVO</v>
      </c>
      <c r="H858" s="230">
        <f t="shared" ca="1" si="596"/>
        <v>6</v>
      </c>
      <c r="I858" s="228" t="str">
        <f t="shared" ca="1" si="605"/>
        <v xml:space="preserve">   IMPERMEABILIZAÇÃO E TRATAMENTOS</v>
      </c>
      <c r="J858" s="230">
        <f t="shared" ca="1" si="597"/>
        <v>2</v>
      </c>
      <c r="K858" s="228" t="str">
        <f t="shared" ca="1" si="606"/>
        <v xml:space="preserve">   IMPERMEABILIZAÇÃO E TRATAMENTOS - 2º PAVIMENTO - TÉRREO</v>
      </c>
      <c r="L858" s="231">
        <f t="shared" ca="1" si="598"/>
        <v>4</v>
      </c>
      <c r="M858" s="228" t="str">
        <f t="shared" ca="1" si="607"/>
        <v xml:space="preserve">   Impermeabilização Flexível com Membrana</v>
      </c>
      <c r="N858" s="231">
        <f t="shared" ca="1" si="599"/>
        <v>1</v>
      </c>
      <c r="O858" s="228" t="str">
        <f t="shared" ca="1" si="608"/>
        <v>Impermeabilizacao com manta liquida em peitoris</v>
      </c>
      <c r="P858" s="232" t="str">
        <f>IF(S858="","",IF(Orçamento!$B858="INSUMO",S858,""))</f>
        <v/>
      </c>
      <c r="Q858" s="244" t="str">
        <f t="shared" si="600"/>
        <v>Impermeabilizacao com manta liquida em peitoris</v>
      </c>
      <c r="R858" s="234">
        <f t="shared" ca="1" si="609"/>
        <v>5.3</v>
      </c>
      <c r="S858" s="233" t="s">
        <v>461</v>
      </c>
      <c r="T858" s="242" t="s">
        <v>140</v>
      </c>
      <c r="U858" s="235">
        <v>5.3</v>
      </c>
      <c r="V858" s="320" t="s">
        <v>35</v>
      </c>
      <c r="W858" s="236" t="str">
        <f>IFERROR(IF(B858="INSUMO",_xlfn.XLOOKUP(S858,Insumos!A:A,Insumos!C:C),""),"Inserir Preço")</f>
        <v/>
      </c>
      <c r="X858" s="235">
        <f t="shared" ca="1" si="610"/>
        <v>5.3</v>
      </c>
      <c r="Y858" s="236">
        <f t="shared" ca="1" si="586"/>
        <v>38.625</v>
      </c>
      <c r="Z858" s="237">
        <f t="shared" ca="1" si="602"/>
        <v>204.71250000000001</v>
      </c>
      <c r="AA858" s="238"/>
      <c r="AB858" s="233" t="str">
        <f>IF(B858="insumo",_xlfn.XLOOKUP(S858,Insumos!A:A,Insumos!D:D),"")</f>
        <v/>
      </c>
      <c r="AC858" s="239">
        <f t="shared" ca="1" si="603"/>
        <v>2.9367874530730752E-5</v>
      </c>
      <c r="AE858" s="240">
        <f ca="1">IFERROR(IF(OR(Z858="",Z858=0),"",IF(AF858="","",IF(AF858="R$/mês",Z858/OBRA!$D$12,IF(AF858="R$/m²",Z858/OBRA!$D$10,IF(AF858="R$/apto",Orçamento!Z858/OBRA!$D$11,""))))),"")</f>
        <v>0.10534651070640121</v>
      </c>
      <c r="AF858" s="241" t="s">
        <v>154</v>
      </c>
    </row>
    <row r="859" spans="1:32" s="10" customFormat="1" ht="13.15" hidden="1" customHeight="1" outlineLevel="4" x14ac:dyDescent="0.2">
      <c r="A859" s="227"/>
      <c r="B859" s="228" t="s">
        <v>19</v>
      </c>
      <c r="C859" s="229">
        <f t="shared" si="601"/>
        <v>4</v>
      </c>
      <c r="D859" s="227" t="str">
        <f t="shared" si="594"/>
        <v/>
      </c>
      <c r="E859" s="228" t="str">
        <f t="shared" ca="1" si="595"/>
        <v>06.002.004.001</v>
      </c>
      <c r="F859" s="230">
        <f ca="1">IF($B859="UNIDADE CONSTRUTIVA",OFFSET(F859,-1,0)+1,LARGE(F$10:F858,1))</f>
        <v>2</v>
      </c>
      <c r="G859" s="228" t="str">
        <f t="shared" ca="1" si="604"/>
        <v xml:space="preserve">   GERENCIAMENTO EXECUTIVO</v>
      </c>
      <c r="H859" s="230">
        <f t="shared" ca="1" si="596"/>
        <v>6</v>
      </c>
      <c r="I859" s="228" t="str">
        <f t="shared" ca="1" si="605"/>
        <v xml:space="preserve">   IMPERMEABILIZAÇÃO E TRATAMENTOS</v>
      </c>
      <c r="J859" s="230">
        <f t="shared" ca="1" si="597"/>
        <v>2</v>
      </c>
      <c r="K859" s="228" t="str">
        <f t="shared" ca="1" si="606"/>
        <v xml:space="preserve">   IMPERMEABILIZAÇÃO E TRATAMENTOS - 2º PAVIMENTO - TÉRREO</v>
      </c>
      <c r="L859" s="231">
        <f t="shared" ca="1" si="598"/>
        <v>4</v>
      </c>
      <c r="M859" s="228" t="str">
        <f t="shared" ca="1" si="607"/>
        <v xml:space="preserve">   Impermeabilização Flexível com Membrana</v>
      </c>
      <c r="N859" s="231">
        <f t="shared" ca="1" si="599"/>
        <v>1</v>
      </c>
      <c r="O859" s="228" t="str">
        <f t="shared" ca="1" si="608"/>
        <v>Impermeabilizacao com manta liquida em peitoris</v>
      </c>
      <c r="P859" s="232" t="str">
        <f>IF(S859="","",IF(Orçamento!$B859="INSUMO",S859,""))</f>
        <v>IMPERMEABILIZANTE MANTA LIQUIDA BRANCA</v>
      </c>
      <c r="Q859" s="244" t="str">
        <f t="shared" si="600"/>
        <v/>
      </c>
      <c r="R859" s="234">
        <f t="shared" ca="1" si="609"/>
        <v>5.3</v>
      </c>
      <c r="S859" s="233" t="s">
        <v>380</v>
      </c>
      <c r="T859" s="242" t="str">
        <f>_xlfn.XLOOKUP(S859,Insumos!$A$3:$A$371,Insumos!$B$3:$B$371)</f>
        <v>KG</v>
      </c>
      <c r="U859" s="235">
        <f ca="1">IF($B859="insumo",R859,"")</f>
        <v>5.3</v>
      </c>
      <c r="V859" s="320">
        <v>1.5</v>
      </c>
      <c r="W859" s="236">
        <f>IFERROR(IF(B859="INSUMO",_xlfn.XLOOKUP(S859,Insumos!A:A,Insumos!C:C),""),"Inserir Preço")</f>
        <v>25.75</v>
      </c>
      <c r="X859" s="235">
        <f t="shared" ca="1" si="610"/>
        <v>7.9499999999999993</v>
      </c>
      <c r="Y859" s="236">
        <f t="shared" si="586"/>
        <v>38.625</v>
      </c>
      <c r="Z859" s="237">
        <f t="shared" ca="1" si="602"/>
        <v>204.71249999999998</v>
      </c>
      <c r="AA859" s="238"/>
      <c r="AB859" s="233" t="str">
        <f>IF(B859="insumo",_xlfn.XLOOKUP(S859,Insumos!A:A,Insumos!D:D),"")</f>
        <v xml:space="preserve"> </v>
      </c>
      <c r="AC859" s="239">
        <f t="shared" ca="1" si="603"/>
        <v>2.9367874530730749E-5</v>
      </c>
      <c r="AE859" s="240">
        <f ca="1">IFERROR(IF(OR(Z859="",Z859=0),"",IF(AF859="","",IF(AF859="R$/mês",Z859/OBRA!$D$12,IF(AF859="R$/m²",Z859/OBRA!$D$10,IF(AF859="R$/apto",Orçamento!Z859/OBRA!$D$11,""))))),"")</f>
        <v>0.10534651070640119</v>
      </c>
      <c r="AF859" s="241" t="s">
        <v>154</v>
      </c>
    </row>
    <row r="860" spans="1:32" s="10" customFormat="1" ht="13.15" hidden="1" customHeight="1" outlineLevel="3" collapsed="1" x14ac:dyDescent="0.2">
      <c r="A860" s="227"/>
      <c r="B860" s="228" t="s">
        <v>3</v>
      </c>
      <c r="C860" s="229" t="str">
        <f t="shared" si="601"/>
        <v/>
      </c>
      <c r="D860" s="227" t="str">
        <f t="shared" ca="1" si="594"/>
        <v>06.002.005</v>
      </c>
      <c r="E860" s="228" t="str">
        <f t="shared" ca="1" si="595"/>
        <v>06.002.004.001</v>
      </c>
      <c r="F860" s="230">
        <f ca="1">IF($B860="UNIDADE CONSTRUTIVA",OFFSET(F860,-1,0)+1,LARGE(F$10:F859,1))</f>
        <v>2</v>
      </c>
      <c r="G860" s="228" t="str">
        <f t="shared" ca="1" si="604"/>
        <v xml:space="preserve">   GERENCIAMENTO EXECUTIVO</v>
      </c>
      <c r="H860" s="230">
        <f t="shared" ca="1" si="596"/>
        <v>6</v>
      </c>
      <c r="I860" s="228" t="str">
        <f t="shared" ca="1" si="605"/>
        <v xml:space="preserve">   IMPERMEABILIZAÇÃO E TRATAMENTOS</v>
      </c>
      <c r="J860" s="230">
        <f t="shared" ca="1" si="597"/>
        <v>2</v>
      </c>
      <c r="K860" s="228" t="str">
        <f t="shared" ca="1" si="606"/>
        <v xml:space="preserve">   IMPERMEABILIZAÇÃO E TRATAMENTOS - 2º PAVIMENTO - TÉRREO</v>
      </c>
      <c r="L860" s="231">
        <f t="shared" ca="1" si="598"/>
        <v>5</v>
      </c>
      <c r="M860" s="228" t="str">
        <f t="shared" ca="1" si="607"/>
        <v xml:space="preserve">   Proteção Mecânica</v>
      </c>
      <c r="N860" s="231">
        <f t="shared" ca="1" si="599"/>
        <v>0</v>
      </c>
      <c r="O860" s="228" t="str">
        <f t="shared" ca="1" si="608"/>
        <v>Impermeabilizacao com manta liquida em peitoris</v>
      </c>
      <c r="P860" s="232" t="str">
        <f>IF(S860="","",IF(Orçamento!$B860="INSUMO",S860,""))</f>
        <v/>
      </c>
      <c r="Q860" s="244" t="str">
        <f t="shared" si="600"/>
        <v/>
      </c>
      <c r="R860" s="234">
        <f t="shared" ca="1" si="609"/>
        <v>5.3</v>
      </c>
      <c r="S860" s="233" t="s">
        <v>470</v>
      </c>
      <c r="T860" s="242" t="s">
        <v>35</v>
      </c>
      <c r="U860" s="235" t="str">
        <f>IF($B860="insumo",R860,"")</f>
        <v/>
      </c>
      <c r="V860" s="320" t="s">
        <v>35</v>
      </c>
      <c r="W860" s="236" t="str">
        <f>IFERROR(IF(B860="INSUMO",_xlfn.XLOOKUP(S860,Insumos!A:A,Insumos!C:C),""),"Inserir Preço")</f>
        <v/>
      </c>
      <c r="X860" s="235" t="str">
        <f t="shared" ca="1" si="610"/>
        <v/>
      </c>
      <c r="Y860" s="236" t="str">
        <f t="shared" si="586"/>
        <v/>
      </c>
      <c r="Z860" s="237">
        <f t="shared" ca="1" si="602"/>
        <v>3948.3877000000002</v>
      </c>
      <c r="AA860" s="238"/>
      <c r="AB860" s="233" t="str">
        <f>IF(B860="insumo",_xlfn.XLOOKUP(S860,Insumos!A:A,Insumos!D:D),"")</f>
        <v/>
      </c>
      <c r="AC860" s="239">
        <f t="shared" ca="1" si="603"/>
        <v>5.6643221382319392E-4</v>
      </c>
      <c r="AE860" s="240">
        <f ca="1">IFERROR(IF(OR(Z860="",Z860=0),"",IF(AF860="","",IF(AF860="R$/mês",Z860/OBRA!$D$12,IF(AF860="R$/m²",Z860/OBRA!$D$10,IF(AF860="R$/apto",Orçamento!Z860/OBRA!$D$11,""))))),"")</f>
        <v>2.0318684355428851</v>
      </c>
      <c r="AF860" s="241" t="s">
        <v>154</v>
      </c>
    </row>
    <row r="861" spans="1:32" s="10" customFormat="1" ht="13.15" hidden="1" customHeight="1" outlineLevel="4" x14ac:dyDescent="0.2">
      <c r="A861" s="227"/>
      <c r="B861" s="228" t="s">
        <v>4</v>
      </c>
      <c r="C861" s="229">
        <f t="shared" si="601"/>
        <v>5</v>
      </c>
      <c r="D861" s="227" t="str">
        <f t="shared" ca="1" si="594"/>
        <v>06.002.005.001</v>
      </c>
      <c r="E861" s="228" t="str">
        <f t="shared" ca="1" si="595"/>
        <v>06.002.005.001</v>
      </c>
      <c r="F861" s="230">
        <f ca="1">IF($B861="UNIDADE CONSTRUTIVA",OFFSET(F861,-1,0)+1,LARGE(F$10:F860,1))</f>
        <v>2</v>
      </c>
      <c r="G861" s="228" t="str">
        <f t="shared" ca="1" si="604"/>
        <v xml:space="preserve">   GERENCIAMENTO EXECUTIVO</v>
      </c>
      <c r="H861" s="230">
        <f t="shared" ca="1" si="596"/>
        <v>6</v>
      </c>
      <c r="I861" s="228" t="str">
        <f t="shared" ca="1" si="605"/>
        <v xml:space="preserve">   IMPERMEABILIZAÇÃO E TRATAMENTOS</v>
      </c>
      <c r="J861" s="230">
        <f t="shared" ca="1" si="597"/>
        <v>2</v>
      </c>
      <c r="K861" s="228" t="str">
        <f t="shared" ca="1" si="606"/>
        <v xml:space="preserve">   IMPERMEABILIZAÇÃO E TRATAMENTOS - 2º PAVIMENTO - TÉRREO</v>
      </c>
      <c r="L861" s="231">
        <f t="shared" ca="1" si="598"/>
        <v>5</v>
      </c>
      <c r="M861" s="228" t="str">
        <f t="shared" ca="1" si="607"/>
        <v xml:space="preserve">   Proteção Mecânica</v>
      </c>
      <c r="N861" s="231">
        <f t="shared" ca="1" si="599"/>
        <v>1</v>
      </c>
      <c r="O861" s="228" t="str">
        <f t="shared" ca="1" si="608"/>
        <v>Protecao mecanica de superficie com argamassa de cimento e areia , traço 1:3, E=5cm</v>
      </c>
      <c r="P861" s="232" t="str">
        <f>IF(S861="","",IF(Orçamento!$B861="INSUMO",S861,""))</f>
        <v/>
      </c>
      <c r="Q861" s="244" t="str">
        <f t="shared" si="600"/>
        <v>Protecao mecanica de superficie com argamassa de cimento e areia , traço 1:3, E=5cm</v>
      </c>
      <c r="R861" s="234">
        <f t="shared" ca="1" si="609"/>
        <v>98.6</v>
      </c>
      <c r="S861" s="233" t="s">
        <v>471</v>
      </c>
      <c r="T861" s="242" t="s">
        <v>140</v>
      </c>
      <c r="U861" s="235">
        <f>U848</f>
        <v>98.6</v>
      </c>
      <c r="V861" s="320" t="s">
        <v>35</v>
      </c>
      <c r="W861" s="236" t="str">
        <f>IFERROR(IF(B861="INSUMO",_xlfn.XLOOKUP(S861,Insumos!A:A,Insumos!C:C),""),"Inserir Preço")</f>
        <v/>
      </c>
      <c r="X861" s="235">
        <f t="shared" ca="1" si="610"/>
        <v>98.6</v>
      </c>
      <c r="Y861" s="236">
        <f t="shared" ca="1" si="586"/>
        <v>40.044499999999999</v>
      </c>
      <c r="Z861" s="237">
        <f t="shared" ca="1" si="602"/>
        <v>3948.3876999999998</v>
      </c>
      <c r="AA861" s="238"/>
      <c r="AB861" s="233" t="str">
        <f>IF(B861="insumo",_xlfn.XLOOKUP(S861,Insumos!A:A,Insumos!D:D),"")</f>
        <v/>
      </c>
      <c r="AC861" s="239">
        <f t="shared" ca="1" si="603"/>
        <v>5.6643221382319381E-4</v>
      </c>
      <c r="AE861" s="240">
        <f ca="1">IFERROR(IF(OR(Z861="",Z861=0),"",IF(AF861="","",IF(AF861="R$/mês",Z861/OBRA!$D$12,IF(AF861="R$/m²",Z861/OBRA!$D$10,IF(AF861="R$/apto",Orçamento!Z861/OBRA!$D$11,""))))),"")</f>
        <v>2.0318684355428847</v>
      </c>
      <c r="AF861" s="241" t="s">
        <v>154</v>
      </c>
    </row>
    <row r="862" spans="1:32" s="10" customFormat="1" ht="13.15" hidden="1" customHeight="1" outlineLevel="4" x14ac:dyDescent="0.2">
      <c r="A862" s="227"/>
      <c r="B862" s="228" t="s">
        <v>19</v>
      </c>
      <c r="C862" s="229">
        <f t="shared" si="601"/>
        <v>11</v>
      </c>
      <c r="D862" s="227" t="str">
        <f t="shared" si="594"/>
        <v/>
      </c>
      <c r="E862" s="228" t="str">
        <f t="shared" ca="1" si="595"/>
        <v>06.002.005.001</v>
      </c>
      <c r="F862" s="230">
        <f ca="1">IF($B862="UNIDADE CONSTRUTIVA",OFFSET(F862,-1,0)+1,LARGE(F$10:F861,1))</f>
        <v>2</v>
      </c>
      <c r="G862" s="228" t="str">
        <f t="shared" ca="1" si="604"/>
        <v xml:space="preserve">   GERENCIAMENTO EXECUTIVO</v>
      </c>
      <c r="H862" s="230">
        <f t="shared" ca="1" si="596"/>
        <v>6</v>
      </c>
      <c r="I862" s="228" t="str">
        <f t="shared" ca="1" si="605"/>
        <v xml:space="preserve">   IMPERMEABILIZAÇÃO E TRATAMENTOS</v>
      </c>
      <c r="J862" s="230">
        <f t="shared" ca="1" si="597"/>
        <v>2</v>
      </c>
      <c r="K862" s="228" t="str">
        <f t="shared" ca="1" si="606"/>
        <v xml:space="preserve">   IMPERMEABILIZAÇÃO E TRATAMENTOS - 2º PAVIMENTO - TÉRREO</v>
      </c>
      <c r="L862" s="231">
        <f t="shared" ca="1" si="598"/>
        <v>5</v>
      </c>
      <c r="M862" s="228" t="str">
        <f t="shared" ca="1" si="607"/>
        <v xml:space="preserve">   Proteção Mecânica</v>
      </c>
      <c r="N862" s="231">
        <f t="shared" ca="1" si="599"/>
        <v>1</v>
      </c>
      <c r="O862" s="228" t="str">
        <f t="shared" ca="1" si="608"/>
        <v>Protecao mecanica de superficie com argamassa de cimento e areia , traço 1:3, E=5cm</v>
      </c>
      <c r="P862" s="232" t="str">
        <f>IF(S862="","",IF(Orçamento!$B862="INSUMO",S862,""))</f>
        <v>ARGAMASSA ESTABILIZADA P/ CONTRAPISO</v>
      </c>
      <c r="Q862" s="244" t="str">
        <f t="shared" si="600"/>
        <v/>
      </c>
      <c r="R862" s="234">
        <f t="shared" ca="1" si="609"/>
        <v>98.6</v>
      </c>
      <c r="S862" s="233" t="s">
        <v>277</v>
      </c>
      <c r="T862" s="242" t="str">
        <f>_xlfn.XLOOKUP(S862,Insumos!$A$3:$A$371,Insumos!$B$3:$B$371)</f>
        <v>M3</v>
      </c>
      <c r="U862" s="235">
        <f ca="1">IF($B862="insumo",R862,"")</f>
        <v>98.6</v>
      </c>
      <c r="V862" s="320">
        <v>6.25E-2</v>
      </c>
      <c r="W862" s="236">
        <f>IFERROR(IF(B862="INSUMO",_xlfn.XLOOKUP(S862,Insumos!A:A,Insumos!C:C),""),"Inserir Preço")</f>
        <v>425</v>
      </c>
      <c r="X862" s="235">
        <f t="shared" ca="1" si="610"/>
        <v>6.1624999999999996</v>
      </c>
      <c r="Y862" s="236">
        <f t="shared" si="586"/>
        <v>26.5625</v>
      </c>
      <c r="Z862" s="237">
        <f t="shared" ca="1" si="602"/>
        <v>2619.0625</v>
      </c>
      <c r="AA862" s="238"/>
      <c r="AB862" s="233" t="str">
        <f>IF(B862="insumo",_xlfn.XLOOKUP(S862,Insumos!A:A,Insumos!D:D),"")</f>
        <v xml:space="preserve"> </v>
      </c>
      <c r="AC862" s="239">
        <f t="shared" ca="1" si="603"/>
        <v>3.7572839415346896E-4</v>
      </c>
      <c r="AE862" s="240">
        <f ca="1">IFERROR(IF(OR(Z862="",Z862=0),"",IF(AF862="","",IF(AF862="R$/mês",Z862/OBRA!$D$12,IF(AF862="R$/m²",Z862/OBRA!$D$10,IF(AF862="R$/apto",Orçamento!Z862/OBRA!$D$11,""))))),"")</f>
        <v>1.3477882185845216</v>
      </c>
      <c r="AF862" s="241" t="s">
        <v>154</v>
      </c>
    </row>
    <row r="863" spans="1:32" s="10" customFormat="1" ht="13.15" hidden="1" customHeight="1" outlineLevel="4" x14ac:dyDescent="0.2">
      <c r="A863" s="227"/>
      <c r="B863" s="228" t="s">
        <v>19</v>
      </c>
      <c r="C863" s="229">
        <f t="shared" si="601"/>
        <v>5</v>
      </c>
      <c r="D863" s="227" t="str">
        <f t="shared" si="594"/>
        <v/>
      </c>
      <c r="E863" s="228" t="str">
        <f t="shared" ca="1" si="595"/>
        <v>06.002.005.001</v>
      </c>
      <c r="F863" s="230">
        <f ca="1">IF($B863="UNIDADE CONSTRUTIVA",OFFSET(F863,-1,0)+1,LARGE(F$10:F862,1))</f>
        <v>2</v>
      </c>
      <c r="G863" s="228" t="str">
        <f t="shared" ca="1" si="604"/>
        <v xml:space="preserve">   GERENCIAMENTO EXECUTIVO</v>
      </c>
      <c r="H863" s="230">
        <f t="shared" ca="1" si="596"/>
        <v>6</v>
      </c>
      <c r="I863" s="228" t="str">
        <f t="shared" ca="1" si="605"/>
        <v xml:space="preserve">   IMPERMEABILIZAÇÃO E TRATAMENTOS</v>
      </c>
      <c r="J863" s="230">
        <f t="shared" ca="1" si="597"/>
        <v>2</v>
      </c>
      <c r="K863" s="228" t="str">
        <f t="shared" ca="1" si="606"/>
        <v xml:space="preserve">   IMPERMEABILIZAÇÃO E TRATAMENTOS - 2º PAVIMENTO - TÉRREO</v>
      </c>
      <c r="L863" s="231">
        <f t="shared" ca="1" si="598"/>
        <v>5</v>
      </c>
      <c r="M863" s="228" t="str">
        <f t="shared" ca="1" si="607"/>
        <v xml:space="preserve">   Proteção Mecânica</v>
      </c>
      <c r="N863" s="231">
        <f t="shared" ca="1" si="599"/>
        <v>1</v>
      </c>
      <c r="O863" s="228" t="str">
        <f t="shared" ca="1" si="608"/>
        <v>Protecao mecanica de superficie com argamassa de cimento e areia , traço 1:3, E=5cm</v>
      </c>
      <c r="P863" s="232" t="str">
        <f>IF(S863="","",IF(Orçamento!$B863="INSUMO",S863,""))</f>
        <v>TELA ARAME GALVANIZADO FIO 24 BWG MALHA 1/2"</v>
      </c>
      <c r="Q863" s="244" t="str">
        <f t="shared" si="600"/>
        <v/>
      </c>
      <c r="R863" s="234">
        <f t="shared" ca="1" si="609"/>
        <v>98.6</v>
      </c>
      <c r="S863" s="233" t="s">
        <v>351</v>
      </c>
      <c r="T863" s="242" t="str">
        <f>_xlfn.XLOOKUP(S863,Insumos!$A$3:$A$371,Insumos!$B$3:$B$371)</f>
        <v>M2</v>
      </c>
      <c r="U863" s="235">
        <f ca="1">IF($B863="insumo",R863,"")</f>
        <v>98.6</v>
      </c>
      <c r="V863" s="320">
        <v>1.05</v>
      </c>
      <c r="W863" s="236">
        <f>IFERROR(IF(B863="INSUMO",_xlfn.XLOOKUP(S863,Insumos!A:A,Insumos!C:C),""),"Inserir Preço")</f>
        <v>12.84</v>
      </c>
      <c r="X863" s="235">
        <f t="shared" ca="1" si="610"/>
        <v>103.53</v>
      </c>
      <c r="Y863" s="236">
        <f t="shared" si="586"/>
        <v>13.482000000000001</v>
      </c>
      <c r="Z863" s="237">
        <f t="shared" ca="1" si="602"/>
        <v>1329.3252</v>
      </c>
      <c r="AA863" s="238"/>
      <c r="AB863" s="233" t="str">
        <f>IF(B863="insumo",_xlfn.XLOOKUP(S863,Insumos!A:A,Insumos!D:D),"")</f>
        <v xml:space="preserve"> </v>
      </c>
      <c r="AC863" s="239">
        <f t="shared" ca="1" si="603"/>
        <v>1.9070381966972494E-4</v>
      </c>
      <c r="AE863" s="240">
        <f ca="1">IFERROR(IF(OR(Z863="",Z863=0),"",IF(AF863="","",IF(AF863="R$/mês",Z863/OBRA!$D$12,IF(AF863="R$/m²",Z863/OBRA!$D$10,IF(AF863="R$/apto",Orçamento!Z863/OBRA!$D$11,""))))),"")</f>
        <v>0.68408021695836307</v>
      </c>
      <c r="AF863" s="241" t="s">
        <v>154</v>
      </c>
    </row>
    <row r="864" spans="1:32" s="10" customFormat="1" ht="13.15" hidden="1" customHeight="1" outlineLevel="3" collapsed="1" x14ac:dyDescent="0.2">
      <c r="A864" s="227"/>
      <c r="B864" s="228" t="s">
        <v>3</v>
      </c>
      <c r="C864" s="229" t="str">
        <f t="shared" si="601"/>
        <v/>
      </c>
      <c r="D864" s="227" t="str">
        <f t="shared" ca="1" si="594"/>
        <v>06.002.006</v>
      </c>
      <c r="E864" s="228" t="str">
        <f t="shared" ca="1" si="595"/>
        <v>06.002.005.001</v>
      </c>
      <c r="F864" s="230">
        <f ca="1">IF($B864="UNIDADE CONSTRUTIVA",OFFSET(F864,-1,0)+1,LARGE(F$10:F863,1))</f>
        <v>2</v>
      </c>
      <c r="G864" s="228" t="str">
        <f t="shared" ca="1" si="604"/>
        <v xml:space="preserve">   GERENCIAMENTO EXECUTIVO</v>
      </c>
      <c r="H864" s="230">
        <f t="shared" ca="1" si="596"/>
        <v>6</v>
      </c>
      <c r="I864" s="228" t="str">
        <f t="shared" ca="1" si="605"/>
        <v xml:space="preserve">   IMPERMEABILIZAÇÃO E TRATAMENTOS</v>
      </c>
      <c r="J864" s="230">
        <f t="shared" ca="1" si="597"/>
        <v>2</v>
      </c>
      <c r="K864" s="228" t="str">
        <f t="shared" ca="1" si="606"/>
        <v xml:space="preserve">   IMPERMEABILIZAÇÃO E TRATAMENTOS - 2º PAVIMENTO - TÉRREO</v>
      </c>
      <c r="L864" s="231">
        <f t="shared" ca="1" si="598"/>
        <v>6</v>
      </c>
      <c r="M864" s="228" t="str">
        <f t="shared" ca="1" si="607"/>
        <v xml:space="preserve">   Mão de Obra</v>
      </c>
      <c r="N864" s="231">
        <f t="shared" ca="1" si="599"/>
        <v>0</v>
      </c>
      <c r="O864" s="228" t="str">
        <f t="shared" ca="1" si="608"/>
        <v>Protecao mecanica de superficie com argamassa de cimento e areia , traço 1:3, E=5cm</v>
      </c>
      <c r="P864" s="232" t="str">
        <f>IF(S864="","",IF(Orçamento!$B864="INSUMO",S864,""))</f>
        <v/>
      </c>
      <c r="Q864" s="244" t="str">
        <f t="shared" si="600"/>
        <v/>
      </c>
      <c r="R864" s="234">
        <f t="shared" ca="1" si="609"/>
        <v>98.6</v>
      </c>
      <c r="S864" s="233" t="s">
        <v>438</v>
      </c>
      <c r="T864" s="242" t="s">
        <v>35</v>
      </c>
      <c r="U864" s="235" t="str">
        <f>IF($B864="insumo",R864,"")</f>
        <v/>
      </c>
      <c r="V864" s="320" t="s">
        <v>35</v>
      </c>
      <c r="W864" s="236" t="str">
        <f>IFERROR(IF(B864="INSUMO",_xlfn.XLOOKUP(S864,Insumos!A:A,Insumos!C:C),""),"Inserir Preço")</f>
        <v/>
      </c>
      <c r="X864" s="235" t="str">
        <f t="shared" ca="1" si="610"/>
        <v/>
      </c>
      <c r="Y864" s="236" t="str">
        <f t="shared" si="586"/>
        <v/>
      </c>
      <c r="Z864" s="237">
        <f t="shared" ca="1" si="602"/>
        <v>12152.178600000001</v>
      </c>
      <c r="AA864" s="238"/>
      <c r="AB864" s="233" t="str">
        <f>IF(B864="insumo",_xlfn.XLOOKUP(S864,Insumos!A:A,Insumos!D:D),"")</f>
        <v/>
      </c>
      <c r="AC864" s="239">
        <f t="shared" ca="1" si="603"/>
        <v>1.7433408140676869E-3</v>
      </c>
      <c r="AE864" s="240">
        <f ca="1">IFERROR(IF(OR(Z864="",Z864=0),"",IF(AF864="","",IF(AF864="R$/mês",Z864/OBRA!$D$12,IF(AF864="R$/m²",Z864/OBRA!$D$10,IF(AF864="R$/apto",Orçamento!Z864/OBRA!$D$11,""))))),"")</f>
        <v>6.2535976698589471</v>
      </c>
      <c r="AF864" s="241" t="s">
        <v>154</v>
      </c>
    </row>
    <row r="865" spans="1:32" s="10" customFormat="1" ht="13.15" hidden="1" customHeight="1" outlineLevel="4" x14ac:dyDescent="0.2">
      <c r="A865" s="227"/>
      <c r="B865" s="228" t="s">
        <v>4</v>
      </c>
      <c r="C865" s="229">
        <f t="shared" si="601"/>
        <v>5</v>
      </c>
      <c r="D865" s="227" t="str">
        <f t="shared" ca="1" si="594"/>
        <v>06.002.006.001</v>
      </c>
      <c r="E865" s="228" t="str">
        <f t="shared" ca="1" si="595"/>
        <v>06.002.006.001</v>
      </c>
      <c r="F865" s="230">
        <f ca="1">IF($B865="UNIDADE CONSTRUTIVA",OFFSET(F865,-1,0)+1,LARGE(F$10:F864,1))</f>
        <v>2</v>
      </c>
      <c r="G865" s="228" t="str">
        <f t="shared" ca="1" si="604"/>
        <v xml:space="preserve">   GERENCIAMENTO EXECUTIVO</v>
      </c>
      <c r="H865" s="230">
        <f t="shared" ca="1" si="596"/>
        <v>6</v>
      </c>
      <c r="I865" s="228" t="str">
        <f t="shared" ca="1" si="605"/>
        <v xml:space="preserve">   IMPERMEABILIZAÇÃO E TRATAMENTOS</v>
      </c>
      <c r="J865" s="230">
        <f t="shared" ca="1" si="597"/>
        <v>2</v>
      </c>
      <c r="K865" s="228" t="str">
        <f t="shared" ca="1" si="606"/>
        <v xml:space="preserve">   IMPERMEABILIZAÇÃO E TRATAMENTOS - 2º PAVIMENTO - TÉRREO</v>
      </c>
      <c r="L865" s="231">
        <f t="shared" ca="1" si="598"/>
        <v>6</v>
      </c>
      <c r="M865" s="228" t="str">
        <f t="shared" ca="1" si="607"/>
        <v xml:space="preserve">   Mão de Obra</v>
      </c>
      <c r="N865" s="231">
        <f t="shared" ca="1" si="599"/>
        <v>1</v>
      </c>
      <c r="O865" s="228" t="str">
        <f t="shared" ca="1" si="608"/>
        <v>Mao de obra para regularizacao de superficie</v>
      </c>
      <c r="P865" s="232" t="str">
        <f>IF(S865="","",IF(Orçamento!$B865="INSUMO",S865,""))</f>
        <v/>
      </c>
      <c r="Q865" s="244" t="str">
        <f t="shared" si="600"/>
        <v>Mao de obra para regularizacao de superficie</v>
      </c>
      <c r="R865" s="234">
        <f t="shared" ca="1" si="609"/>
        <v>139.88999999999999</v>
      </c>
      <c r="S865" s="233" t="s">
        <v>472</v>
      </c>
      <c r="T865" s="242" t="s">
        <v>140</v>
      </c>
      <c r="U865" s="235">
        <f>U844</f>
        <v>139.88999999999999</v>
      </c>
      <c r="V865" s="320" t="s">
        <v>35</v>
      </c>
      <c r="W865" s="236" t="str">
        <f>IFERROR(IF(B865="INSUMO",_xlfn.XLOOKUP(S865,Insumos!A:A,Insumos!C:C),""),"Inserir Preço")</f>
        <v/>
      </c>
      <c r="X865" s="235">
        <f t="shared" ca="1" si="610"/>
        <v>139.88999999999999</v>
      </c>
      <c r="Y865" s="236">
        <f t="shared" ca="1" si="586"/>
        <v>18</v>
      </c>
      <c r="Z865" s="237">
        <f t="shared" ca="1" si="602"/>
        <v>2518.0199999999995</v>
      </c>
      <c r="AA865" s="238"/>
      <c r="AB865" s="233" t="str">
        <f>IF(B865="insumo",_xlfn.XLOOKUP(S865,Insumos!A:A,Insumos!D:D),"")</f>
        <v/>
      </c>
      <c r="AC865" s="239">
        <f t="shared" ca="1" si="603"/>
        <v>3.6123292630333093E-4</v>
      </c>
      <c r="AE865" s="240">
        <f ca="1">IFERROR(IF(OR(Z865="",Z865=0),"",IF(AF865="","",IF(AF865="R$/mês",Z865/OBRA!$D$12,IF(AF865="R$/m²",Z865/OBRA!$D$10,IF(AF865="R$/apto",Orçamento!Z865/OBRA!$D$11,""))))),"")</f>
        <v>1.2957910283394141</v>
      </c>
      <c r="AF865" s="241" t="s">
        <v>154</v>
      </c>
    </row>
    <row r="866" spans="1:32" s="10" customFormat="1" ht="13.15" hidden="1" customHeight="1" outlineLevel="4" x14ac:dyDescent="0.2">
      <c r="A866" s="227"/>
      <c r="B866" s="228" t="s">
        <v>19</v>
      </c>
      <c r="C866" s="229">
        <f t="shared" si="601"/>
        <v>5</v>
      </c>
      <c r="D866" s="227" t="str">
        <f t="shared" si="594"/>
        <v/>
      </c>
      <c r="E866" s="228" t="str">
        <f t="shared" ca="1" si="595"/>
        <v>06.002.006.001</v>
      </c>
      <c r="F866" s="230">
        <f ca="1">IF($B866="UNIDADE CONSTRUTIVA",OFFSET(F866,-1,0)+1,LARGE(F$10:F865,1))</f>
        <v>2</v>
      </c>
      <c r="G866" s="228" t="str">
        <f t="shared" ca="1" si="604"/>
        <v xml:space="preserve">   GERENCIAMENTO EXECUTIVO</v>
      </c>
      <c r="H866" s="230">
        <f t="shared" ca="1" si="596"/>
        <v>6</v>
      </c>
      <c r="I866" s="228" t="str">
        <f t="shared" ca="1" si="605"/>
        <v xml:space="preserve">   IMPERMEABILIZAÇÃO E TRATAMENTOS</v>
      </c>
      <c r="J866" s="230">
        <f t="shared" ca="1" si="597"/>
        <v>2</v>
      </c>
      <c r="K866" s="228" t="str">
        <f t="shared" ca="1" si="606"/>
        <v xml:space="preserve">   IMPERMEABILIZAÇÃO E TRATAMENTOS - 2º PAVIMENTO - TÉRREO</v>
      </c>
      <c r="L866" s="231">
        <f t="shared" ca="1" si="598"/>
        <v>6</v>
      </c>
      <c r="M866" s="228" t="str">
        <f t="shared" ca="1" si="607"/>
        <v xml:space="preserve">   Mão de Obra</v>
      </c>
      <c r="N866" s="231">
        <f t="shared" ca="1" si="599"/>
        <v>1</v>
      </c>
      <c r="O866" s="228" t="str">
        <f t="shared" ca="1" si="608"/>
        <v>Mao de obra para regularizacao de superficie</v>
      </c>
      <c r="P866" s="232" t="str">
        <f>IF(S866="","",IF(Orçamento!$B866="INSUMO",S866,""))</f>
        <v>MAO DE OBRA PARA REGULARIZACAO DE SUPERFICIE</v>
      </c>
      <c r="Q866" s="244" t="str">
        <f t="shared" si="600"/>
        <v/>
      </c>
      <c r="R866" s="234">
        <f t="shared" ca="1" si="609"/>
        <v>139.88999999999999</v>
      </c>
      <c r="S866" s="233" t="s">
        <v>308</v>
      </c>
      <c r="T866" s="242" t="str">
        <f>_xlfn.XLOOKUP(S866,Insumos!$A$3:$A$371,Insumos!$B$3:$B$371)</f>
        <v>M2</v>
      </c>
      <c r="U866" s="235">
        <f ca="1">IF($B866="insumo",R866,"")</f>
        <v>139.88999999999999</v>
      </c>
      <c r="V866" s="320">
        <v>1</v>
      </c>
      <c r="W866" s="236">
        <f>IFERROR(IF(B866="INSUMO",_xlfn.XLOOKUP(S866,Insumos!A:A,Insumos!C:C),""),"Inserir Preço")</f>
        <v>18</v>
      </c>
      <c r="X866" s="235">
        <f t="shared" ca="1" si="610"/>
        <v>139.88999999999999</v>
      </c>
      <c r="Y866" s="236">
        <f t="shared" si="586"/>
        <v>18</v>
      </c>
      <c r="Z866" s="237">
        <f t="shared" ca="1" si="602"/>
        <v>2518.0199999999995</v>
      </c>
      <c r="AA866" s="238"/>
      <c r="AB866" s="233" t="str">
        <f>IF(B866="insumo",_xlfn.XLOOKUP(S866,Insumos!A:A,Insumos!D:D),"")</f>
        <v xml:space="preserve"> </v>
      </c>
      <c r="AC866" s="239">
        <f t="shared" ca="1" si="603"/>
        <v>3.6123292630333093E-4</v>
      </c>
      <c r="AE866" s="240">
        <f ca="1">IFERROR(IF(OR(Z866="",Z866=0),"",IF(AF866="","",IF(AF866="R$/mês",Z866/OBRA!$D$12,IF(AF866="R$/m²",Z866/OBRA!$D$10,IF(AF866="R$/apto",Orçamento!Z866/OBRA!$D$11,""))))),"")</f>
        <v>1.2957910283394141</v>
      </c>
      <c r="AF866" s="241" t="s">
        <v>154</v>
      </c>
    </row>
    <row r="867" spans="1:32" s="10" customFormat="1" ht="13.15" hidden="1" customHeight="1" outlineLevel="4" x14ac:dyDescent="0.2">
      <c r="A867" s="227"/>
      <c r="B867" s="228" t="s">
        <v>4</v>
      </c>
      <c r="C867" s="229">
        <f t="shared" si="601"/>
        <v>5</v>
      </c>
      <c r="D867" s="227" t="str">
        <f t="shared" ca="1" si="594"/>
        <v>06.002.006.002</v>
      </c>
      <c r="E867" s="228" t="str">
        <f t="shared" ca="1" si="595"/>
        <v>06.002.006.002</v>
      </c>
      <c r="F867" s="230">
        <f ca="1">IF($B867="UNIDADE CONSTRUTIVA",OFFSET(F867,-1,0)+1,LARGE(F$10:F866,1))</f>
        <v>2</v>
      </c>
      <c r="G867" s="228" t="str">
        <f t="shared" ca="1" si="604"/>
        <v xml:space="preserve">   GERENCIAMENTO EXECUTIVO</v>
      </c>
      <c r="H867" s="230">
        <f t="shared" ca="1" si="596"/>
        <v>6</v>
      </c>
      <c r="I867" s="228" t="str">
        <f t="shared" ca="1" si="605"/>
        <v xml:space="preserve">   IMPERMEABILIZAÇÃO E TRATAMENTOS</v>
      </c>
      <c r="J867" s="230">
        <f t="shared" ca="1" si="597"/>
        <v>2</v>
      </c>
      <c r="K867" s="228" t="str">
        <f t="shared" ca="1" si="606"/>
        <v xml:space="preserve">   IMPERMEABILIZAÇÃO E TRATAMENTOS - 2º PAVIMENTO - TÉRREO</v>
      </c>
      <c r="L867" s="231">
        <f t="shared" ca="1" si="598"/>
        <v>6</v>
      </c>
      <c r="M867" s="228" t="str">
        <f t="shared" ca="1" si="607"/>
        <v xml:space="preserve">   Mão de Obra</v>
      </c>
      <c r="N867" s="231">
        <f t="shared" ca="1" si="599"/>
        <v>2</v>
      </c>
      <c r="O867" s="228" t="str">
        <f t="shared" ca="1" si="608"/>
        <v>Mao de obra para impermeabilizacao de manta asfaltica</v>
      </c>
      <c r="P867" s="232" t="str">
        <f>IF(S867="","",IF(Orçamento!$B867="INSUMO",S867,""))</f>
        <v/>
      </c>
      <c r="Q867" s="244" t="str">
        <f t="shared" si="600"/>
        <v>Mao de obra para impermeabilizacao de manta asfaltica</v>
      </c>
      <c r="R867" s="234">
        <f t="shared" ca="1" si="609"/>
        <v>98.6</v>
      </c>
      <c r="S867" s="233" t="s">
        <v>473</v>
      </c>
      <c r="T867" s="242" t="s">
        <v>140</v>
      </c>
      <c r="U867" s="235">
        <f>U848</f>
        <v>98.6</v>
      </c>
      <c r="V867" s="320" t="s">
        <v>35</v>
      </c>
      <c r="W867" s="236" t="str">
        <f>IFERROR(IF(B867="INSUMO",_xlfn.XLOOKUP(S867,Insumos!A:A,Insumos!C:C),""),"Inserir Preço")</f>
        <v/>
      </c>
      <c r="X867" s="235">
        <f t="shared" ca="1" si="610"/>
        <v>98.6</v>
      </c>
      <c r="Y867" s="236">
        <f t="shared" ca="1" si="586"/>
        <v>65.19</v>
      </c>
      <c r="Z867" s="237">
        <f t="shared" ca="1" si="602"/>
        <v>6427.7339999999995</v>
      </c>
      <c r="AA867" s="238"/>
      <c r="AB867" s="233" t="str">
        <f>IF(B867="insumo",_xlfn.XLOOKUP(S867,Insumos!A:A,Insumos!D:D),"")</f>
        <v/>
      </c>
      <c r="AC867" s="239">
        <f t="shared" ca="1" si="603"/>
        <v>9.2211704526549228E-4</v>
      </c>
      <c r="AE867" s="240">
        <f ca="1">IFERROR(IF(OR(Z867="",Z867=0),"",IF(AF867="","",IF(AF867="R$/mês",Z867/OBRA!$D$12,IF(AF867="R$/m²",Z867/OBRA!$D$10,IF(AF867="R$/apto",Orçamento!Z867/OBRA!$D$11,""))))),"")</f>
        <v>3.3077577023821161</v>
      </c>
      <c r="AF867" s="241" t="s">
        <v>154</v>
      </c>
    </row>
    <row r="868" spans="1:32" s="10" customFormat="1" ht="13.15" hidden="1" customHeight="1" outlineLevel="4" x14ac:dyDescent="0.2">
      <c r="A868" s="227"/>
      <c r="B868" s="228" t="s">
        <v>19</v>
      </c>
      <c r="C868" s="229">
        <f t="shared" si="601"/>
        <v>5</v>
      </c>
      <c r="D868" s="227" t="str">
        <f t="shared" si="594"/>
        <v/>
      </c>
      <c r="E868" s="228" t="str">
        <f t="shared" ca="1" si="595"/>
        <v>06.002.006.002</v>
      </c>
      <c r="F868" s="230">
        <f ca="1">IF($B868="UNIDADE CONSTRUTIVA",OFFSET(F868,-1,0)+1,LARGE(F$10:F867,1))</f>
        <v>2</v>
      </c>
      <c r="G868" s="228" t="str">
        <f t="shared" ca="1" si="604"/>
        <v xml:space="preserve">   GERENCIAMENTO EXECUTIVO</v>
      </c>
      <c r="H868" s="230">
        <f t="shared" ca="1" si="596"/>
        <v>6</v>
      </c>
      <c r="I868" s="228" t="str">
        <f t="shared" ca="1" si="605"/>
        <v xml:space="preserve">   IMPERMEABILIZAÇÃO E TRATAMENTOS</v>
      </c>
      <c r="J868" s="230">
        <f t="shared" ca="1" si="597"/>
        <v>2</v>
      </c>
      <c r="K868" s="228" t="str">
        <f t="shared" ca="1" si="606"/>
        <v xml:space="preserve">   IMPERMEABILIZAÇÃO E TRATAMENTOS - 2º PAVIMENTO - TÉRREO</v>
      </c>
      <c r="L868" s="231">
        <f t="shared" ca="1" si="598"/>
        <v>6</v>
      </c>
      <c r="M868" s="228" t="str">
        <f t="shared" ca="1" si="607"/>
        <v xml:space="preserve">   Mão de Obra</v>
      </c>
      <c r="N868" s="231">
        <f t="shared" ca="1" si="599"/>
        <v>2</v>
      </c>
      <c r="O868" s="228" t="str">
        <f t="shared" ca="1" si="608"/>
        <v>Mao de obra para impermeabilizacao de manta asfaltica</v>
      </c>
      <c r="P868" s="232" t="str">
        <f>IF(S868="","",IF(Orçamento!$B868="INSUMO",S868,""))</f>
        <v>MAO DE OBRA DE IMPERMEABILIZACAO</v>
      </c>
      <c r="Q868" s="244" t="str">
        <f t="shared" si="600"/>
        <v/>
      </c>
      <c r="R868" s="234">
        <f t="shared" ca="1" si="609"/>
        <v>98.6</v>
      </c>
      <c r="S868" s="233" t="s">
        <v>322</v>
      </c>
      <c r="T868" s="242" t="str">
        <f>_xlfn.XLOOKUP(S868,Insumos!$A$3:$A$371,Insumos!$B$3:$B$371)</f>
        <v>M2</v>
      </c>
      <c r="U868" s="235">
        <f ca="1">IF($B868="insumo",R868,"")</f>
        <v>98.6</v>
      </c>
      <c r="V868" s="320">
        <v>1</v>
      </c>
      <c r="W868" s="236">
        <f>IFERROR(IF(B868="INSUMO",_xlfn.XLOOKUP(S868,Insumos!A:A,Insumos!C:C),""),"Inserir Preço")</f>
        <v>65.19</v>
      </c>
      <c r="X868" s="235">
        <f t="shared" ca="1" si="610"/>
        <v>98.6</v>
      </c>
      <c r="Y868" s="236">
        <f t="shared" si="586"/>
        <v>65.19</v>
      </c>
      <c r="Z868" s="237">
        <f t="shared" ca="1" si="602"/>
        <v>6427.7339999999995</v>
      </c>
      <c r="AA868" s="238"/>
      <c r="AB868" s="233" t="str">
        <f>IF(B868="insumo",_xlfn.XLOOKUP(S868,Insumos!A:A,Insumos!D:D),"")</f>
        <v xml:space="preserve"> </v>
      </c>
      <c r="AC868" s="239">
        <f t="shared" ca="1" si="603"/>
        <v>9.2211704526549228E-4</v>
      </c>
      <c r="AE868" s="240">
        <f ca="1">IFERROR(IF(OR(Z868="",Z868=0),"",IF(AF868="","",IF(AF868="R$/mês",Z868/OBRA!$D$12,IF(AF868="R$/m²",Z868/OBRA!$D$10,IF(AF868="R$/apto",Orçamento!Z868/OBRA!$D$11,""))))),"")</f>
        <v>3.3077577023821161</v>
      </c>
      <c r="AF868" s="241" t="s">
        <v>154</v>
      </c>
    </row>
    <row r="869" spans="1:32" s="10" customFormat="1" ht="13.15" hidden="1" customHeight="1" outlineLevel="4" x14ac:dyDescent="0.2">
      <c r="A869" s="227"/>
      <c r="B869" s="228" t="s">
        <v>4</v>
      </c>
      <c r="C869" s="229">
        <f t="shared" si="601"/>
        <v>4</v>
      </c>
      <c r="D869" s="227" t="str">
        <f ca="1">IF(B869="Unidade Construtiva",TEXT(F869,"00"),IF(B869="Célula Construtiva",TEXT(H869,"00"),IF(B869="Etapa",CONCATENATE(TEXT(H869,"00"),".",TEXT(J869,"000")),IF(B869="Subetapa",CONCATENATE(TEXT(H869,"00"),".",TEXT(J869,"000"),".",TEXT(L869,"000")),IF(B869="Serviço",CONCATENATE(TEXT(H869,"00"),".",TEXT(J869,"000"),".",TEXT(L869,"000"),".",TEXT(N869,"000")),"")))))</f>
        <v>06.002.006.003</v>
      </c>
      <c r="E869" s="228" t="str">
        <f ca="1">IF(B869="*","",IFERROR(IF(B869="SERVIÇO",D869,OFFSET(E869,-1,0)),""))</f>
        <v>06.002.006.003</v>
      </c>
      <c r="F869" s="230">
        <f ca="1">IF($B869="UNIDADE CONSTRUTIVA",OFFSET(F869,-1,0)+1,LARGE(F$10:F868,1))</f>
        <v>2</v>
      </c>
      <c r="G869" s="228" t="str">
        <f ca="1">IF(B869="*","",IF(B869="UNIDADE CONSTRUTIVA",S869,OFFSET(G869,-1,0)))</f>
        <v xml:space="preserve">   GERENCIAMENTO EXECUTIVO</v>
      </c>
      <c r="H869" s="230">
        <f ca="1">IF(B869="UNIDADE CONSTRUTIVA",0,IF(B869="CÉLULA CONSTRUTIVA",OFFSET(H869,-1,0)+1,OFFSET(H869,-1,0)))</f>
        <v>6</v>
      </c>
      <c r="I869" s="228" t="str">
        <f ca="1">IF(B869="*","",IF(B869="CÉLULA CONSTRUTIVA",S869,OFFSET(I869,-1,0)))</f>
        <v xml:space="preserve">   IMPERMEABILIZAÇÃO E TRATAMENTOS</v>
      </c>
      <c r="J869" s="230">
        <f ca="1">IF(B869="CÉLULA CONSTRUTIVA",0,IF(B869="ETAPA",OFFSET(J869,-1,0)+1,OFFSET(J869,-1,0)))</f>
        <v>2</v>
      </c>
      <c r="K869" s="228" t="str">
        <f ca="1">IF(B869="*","",IF(B869="ETAPA",S869,OFFSET(K869,-1,0)))</f>
        <v xml:space="preserve">   IMPERMEABILIZAÇÃO E TRATAMENTOS - 2º PAVIMENTO - TÉRREO</v>
      </c>
      <c r="L869" s="231">
        <f ca="1">IF(B869="ETAPA",0,IF(B869="SUBETAPA",OFFSET(L869,-1,0)+1,OFFSET(L869,-1,0)))</f>
        <v>6</v>
      </c>
      <c r="M869" s="228" t="str">
        <f ca="1">IF(B869="*","",IF(B869="SUBETAPA",S869,OFFSET(M869,-1,0)))</f>
        <v xml:space="preserve">   Mão de Obra</v>
      </c>
      <c r="N869" s="231">
        <f ca="1">IF(B869="Subetapa",0,IF(B869="serviço",OFFSET(N869,-1,0)+1,OFFSET(N869,-1,0)))</f>
        <v>3</v>
      </c>
      <c r="O869" s="228" t="str">
        <f ca="1">IF(B869="*","",IF(B869="SERVIÇO",S869,OFFSET(O869,-1,0)))</f>
        <v>Mão de obra para tratamento de ralos</v>
      </c>
      <c r="P869" s="232" t="str">
        <f>IF(S869="","",IF(Orçamento!$B869="INSUMO",S869,""))</f>
        <v/>
      </c>
      <c r="Q869" s="244" t="str">
        <f>IF(B869="","",IF(B869="Serviço",S869,""))</f>
        <v>Mão de obra para tratamento de ralos</v>
      </c>
      <c r="R869" s="234">
        <f ca="1">IF(B869="serviço",U869,OFFSET(R869,-1,0))</f>
        <v>15</v>
      </c>
      <c r="S869" s="233" t="s">
        <v>1156</v>
      </c>
      <c r="T869" s="242" t="s">
        <v>140</v>
      </c>
      <c r="U869" s="377">
        <f>U851</f>
        <v>15</v>
      </c>
      <c r="V869" s="320" t="s">
        <v>35</v>
      </c>
      <c r="W869" s="236" t="str">
        <f>IFERROR(IF(B869="INSUMO",_xlfn.XLOOKUP(S869,Insumos!A:A,Insumos!C:C),""),"Inserir Preço")</f>
        <v/>
      </c>
      <c r="X869" s="235">
        <f ca="1">IF(B869="Complemento do insumo",V869,IF(R869="","",IF(B869="serviço",R869,IF(OR(B869="insumo"),V869*R869,""))))</f>
        <v>15</v>
      </c>
      <c r="Y869" s="236">
        <f t="shared" ca="1" si="586"/>
        <v>80</v>
      </c>
      <c r="Z869" s="237">
        <f t="shared" ca="1" si="602"/>
        <v>1200</v>
      </c>
      <c r="AA869" s="238"/>
      <c r="AB869" s="233" t="str">
        <f>IF(B869="insumo",_xlfn.XLOOKUP(S869,Insumos!A:A,Insumos!D:D),"")</f>
        <v/>
      </c>
      <c r="AC869" s="239">
        <f t="shared" ca="1" si="603"/>
        <v>1.7215094064542666E-4</v>
      </c>
      <c r="AE869" s="240">
        <f ca="1">IFERROR(IF(OR(Z869="",Z869=0),"",IF(AF869="","",IF(AF869="R$/mês",Z869/OBRA!$D$12,IF(AF869="R$/m²",Z869/OBRA!$D$10,IF(AF869="R$/apto",Orçamento!Z869/OBRA!$D$11,""))))),"")</f>
        <v>0.61752854783015909</v>
      </c>
      <c r="AF869" s="241" t="s">
        <v>154</v>
      </c>
    </row>
    <row r="870" spans="1:32" s="10" customFormat="1" ht="13.15" hidden="1" customHeight="1" outlineLevel="4" x14ac:dyDescent="0.2">
      <c r="A870" s="227"/>
      <c r="B870" s="228" t="s">
        <v>19</v>
      </c>
      <c r="C870" s="229">
        <f t="shared" si="601"/>
        <v>4</v>
      </c>
      <c r="D870" s="227" t="str">
        <f>IF(B870="Unidade Construtiva",TEXT(F870,"00"),IF(B870="Célula Construtiva",TEXT(H870,"00"),IF(B870="Etapa",CONCATENATE(TEXT(H870,"00"),".",TEXT(J870,"000")),IF(B870="Subetapa",CONCATENATE(TEXT(H870,"00"),".",TEXT(J870,"000"),".",TEXT(L870,"000")),IF(B870="Serviço",CONCATENATE(TEXT(H870,"00"),".",TEXT(J870,"000"),".",TEXT(L870,"000"),".",TEXT(N870,"000")),"")))))</f>
        <v/>
      </c>
      <c r="E870" s="228" t="str">
        <f ca="1">IF(B870="*","",IFERROR(IF(B870="SERVIÇO",D870,OFFSET(E870,-1,0)),""))</f>
        <v>06.002.006.003</v>
      </c>
      <c r="F870" s="230">
        <f ca="1">IF($B870="UNIDADE CONSTRUTIVA",OFFSET(F870,-1,0)+1,LARGE(F$10:F869,1))</f>
        <v>2</v>
      </c>
      <c r="G870" s="228" t="str">
        <f ca="1">IF(B870="*","",IF(B870="UNIDADE CONSTRUTIVA",S870,OFFSET(G870,-1,0)))</f>
        <v xml:space="preserve">   GERENCIAMENTO EXECUTIVO</v>
      </c>
      <c r="H870" s="230">
        <f ca="1">IF(B870="UNIDADE CONSTRUTIVA",0,IF(B870="CÉLULA CONSTRUTIVA",OFFSET(H870,-1,0)+1,OFFSET(H870,-1,0)))</f>
        <v>6</v>
      </c>
      <c r="I870" s="228" t="str">
        <f ca="1">IF(B870="*","",IF(B870="CÉLULA CONSTRUTIVA",S870,OFFSET(I870,-1,0)))</f>
        <v xml:space="preserve">   IMPERMEABILIZAÇÃO E TRATAMENTOS</v>
      </c>
      <c r="J870" s="230">
        <f ca="1">IF(B870="CÉLULA CONSTRUTIVA",0,IF(B870="ETAPA",OFFSET(J870,-1,0)+1,OFFSET(J870,-1,0)))</f>
        <v>2</v>
      </c>
      <c r="K870" s="228" t="str">
        <f ca="1">IF(B870="*","",IF(B870="ETAPA",S870,OFFSET(K870,-1,0)))</f>
        <v xml:space="preserve">   IMPERMEABILIZAÇÃO E TRATAMENTOS - 2º PAVIMENTO - TÉRREO</v>
      </c>
      <c r="L870" s="231">
        <f ca="1">IF(B870="ETAPA",0,IF(B870="SUBETAPA",OFFSET(L870,-1,0)+1,OFFSET(L870,-1,0)))</f>
        <v>6</v>
      </c>
      <c r="M870" s="228" t="str">
        <f ca="1">IF(B870="*","",IF(B870="SUBETAPA",S870,OFFSET(M870,-1,0)))</f>
        <v xml:space="preserve">   Mão de Obra</v>
      </c>
      <c r="N870" s="231">
        <f ca="1">IF(B870="Subetapa",0,IF(B870="serviço",OFFSET(N870,-1,0)+1,OFFSET(N870,-1,0)))</f>
        <v>3</v>
      </c>
      <c r="O870" s="228" t="str">
        <f ca="1">IF(B870="*","",IF(B870="SERVIÇO",S870,OFFSET(O870,-1,0)))</f>
        <v>Mão de obra para tratamento de ralos</v>
      </c>
      <c r="P870" s="232" t="str">
        <f>IF(S870="","",IF(Orçamento!$B870="INSUMO",S870,""))</f>
        <v>MÃO DE OBRA PARA TRATAMENTO DE RALO</v>
      </c>
      <c r="Q870" s="244" t="str">
        <f>IF(B870="","",IF(B870="Serviço",S870,""))</f>
        <v/>
      </c>
      <c r="R870" s="234">
        <f ca="1">IF(B870="serviço",U870,OFFSET(R870,-1,0))</f>
        <v>15</v>
      </c>
      <c r="S870" s="233" t="s">
        <v>1157</v>
      </c>
      <c r="T870" s="242" t="str">
        <f>_xlfn.XLOOKUP(S870,Insumos!$A$3:$A$371,Insumos!$B$3:$B$371)</f>
        <v>UN</v>
      </c>
      <c r="U870" s="235">
        <f ca="1">IF($B870="insumo",R870,"")</f>
        <v>15</v>
      </c>
      <c r="V870" s="320">
        <v>1</v>
      </c>
      <c r="W870" s="236">
        <f>IFERROR(IF(B870="INSUMO",_xlfn.XLOOKUP(S870,Insumos!A:A,Insumos!C:C),""),"Inserir Preço")</f>
        <v>80</v>
      </c>
      <c r="X870" s="235">
        <f ca="1">IF(B870="Complemento do insumo",V870,IF(R870="","",IF(B870="serviço",R870,IF(OR(B870="insumo"),V870*R870,""))))</f>
        <v>15</v>
      </c>
      <c r="Y870" s="236">
        <f t="shared" si="586"/>
        <v>80</v>
      </c>
      <c r="Z870" s="237">
        <f t="shared" ca="1" si="602"/>
        <v>1200</v>
      </c>
      <c r="AA870" s="238"/>
      <c r="AB870" s="233" t="str">
        <f>IF(B870="insumo",_xlfn.XLOOKUP(S870,Insumos!A:A,Insumos!D:D),"")</f>
        <v xml:space="preserve"> </v>
      </c>
      <c r="AC870" s="239">
        <f t="shared" ca="1" si="603"/>
        <v>1.7215094064542666E-4</v>
      </c>
      <c r="AE870" s="240">
        <f ca="1">IFERROR(IF(OR(Z870="",Z870=0),"",IF(AF870="","",IF(AF870="R$/mês",Z870/OBRA!$D$12,IF(AF870="R$/m²",Z870/OBRA!$D$10,IF(AF870="R$/apto",Orçamento!Z870/OBRA!$D$11,""))))),"")</f>
        <v>0.61752854783015909</v>
      </c>
      <c r="AF870" s="241" t="s">
        <v>154</v>
      </c>
    </row>
    <row r="871" spans="1:32" s="10" customFormat="1" ht="13.15" hidden="1" customHeight="1" outlineLevel="4" x14ac:dyDescent="0.2">
      <c r="A871" s="227"/>
      <c r="B871" s="228" t="s">
        <v>4</v>
      </c>
      <c r="C871" s="229">
        <f t="shared" si="601"/>
        <v>5</v>
      </c>
      <c r="D871" s="227" t="str">
        <f t="shared" ca="1" si="594"/>
        <v>06.002.006.004</v>
      </c>
      <c r="E871" s="228" t="str">
        <f t="shared" ca="1" si="595"/>
        <v>06.002.006.004</v>
      </c>
      <c r="F871" s="230">
        <f ca="1">IF($B871="UNIDADE CONSTRUTIVA",OFFSET(F871,-1,0)+1,LARGE(F$10:F870,1))</f>
        <v>2</v>
      </c>
      <c r="G871" s="228" t="str">
        <f t="shared" ca="1" si="604"/>
        <v xml:space="preserve">   GERENCIAMENTO EXECUTIVO</v>
      </c>
      <c r="H871" s="230">
        <f t="shared" ca="1" si="596"/>
        <v>6</v>
      </c>
      <c r="I871" s="228" t="str">
        <f t="shared" ca="1" si="605"/>
        <v xml:space="preserve">   IMPERMEABILIZAÇÃO E TRATAMENTOS</v>
      </c>
      <c r="J871" s="230">
        <f t="shared" ca="1" si="597"/>
        <v>2</v>
      </c>
      <c r="K871" s="228" t="str">
        <f t="shared" ca="1" si="606"/>
        <v xml:space="preserve">   IMPERMEABILIZAÇÃO E TRATAMENTOS - 2º PAVIMENTO - TÉRREO</v>
      </c>
      <c r="L871" s="231">
        <f t="shared" ca="1" si="598"/>
        <v>6</v>
      </c>
      <c r="M871" s="228" t="str">
        <f t="shared" ca="1" si="607"/>
        <v xml:space="preserve">   Mão de Obra</v>
      </c>
      <c r="N871" s="231">
        <f t="shared" ca="1" si="599"/>
        <v>4</v>
      </c>
      <c r="O871" s="228" t="str">
        <f t="shared" ca="1" si="608"/>
        <v>Mao de obra para execucao de protecao mecanica em superficie impermeabilizada</v>
      </c>
      <c r="P871" s="232" t="str">
        <f>IF(S871="","",IF(Orçamento!$B871="INSUMO",S871,""))</f>
        <v/>
      </c>
      <c r="Q871" s="244" t="str">
        <f t="shared" si="600"/>
        <v>Mao de obra para execucao de protecao mecanica em superficie impermeabilizada</v>
      </c>
      <c r="R871" s="234">
        <f t="shared" ca="1" si="609"/>
        <v>98.6</v>
      </c>
      <c r="S871" s="233" t="s">
        <v>475</v>
      </c>
      <c r="T871" s="242" t="s">
        <v>140</v>
      </c>
      <c r="U871" s="235">
        <f>U861</f>
        <v>98.6</v>
      </c>
      <c r="V871" s="320" t="s">
        <v>35</v>
      </c>
      <c r="W871" s="236" t="str">
        <f>IFERROR(IF(B871="INSUMO",_xlfn.XLOOKUP(S871,Insumos!A:A,Insumos!C:C),""),"Inserir Preço")</f>
        <v/>
      </c>
      <c r="X871" s="235">
        <f t="shared" ca="1" si="610"/>
        <v>98.6</v>
      </c>
      <c r="Y871" s="236">
        <f t="shared" ca="1" si="586"/>
        <v>4.5</v>
      </c>
      <c r="Z871" s="237">
        <f t="shared" ca="1" si="602"/>
        <v>443.7</v>
      </c>
      <c r="AA871" s="238"/>
      <c r="AB871" s="233" t="str">
        <f>IF(B871="insumo",_xlfn.XLOOKUP(S871,Insumos!A:A,Insumos!D:D),"")</f>
        <v/>
      </c>
      <c r="AC871" s="239">
        <f t="shared" ca="1" si="603"/>
        <v>6.3652810303646508E-5</v>
      </c>
      <c r="AE871" s="240">
        <f ca="1">IFERROR(IF(OR(Z871="",Z871=0),"",IF(AF871="","",IF(AF871="R$/mês",Z871/OBRA!$D$12,IF(AF871="R$/m²",Z871/OBRA!$D$10,IF(AF871="R$/apto",Orçamento!Z871/OBRA!$D$11,""))))),"")</f>
        <v>0.2283311805602013</v>
      </c>
      <c r="AF871" s="241" t="s">
        <v>154</v>
      </c>
    </row>
    <row r="872" spans="1:32" s="10" customFormat="1" ht="13.15" hidden="1" customHeight="1" outlineLevel="4" x14ac:dyDescent="0.2">
      <c r="A872" s="227"/>
      <c r="B872" s="228" t="s">
        <v>19</v>
      </c>
      <c r="C872" s="229">
        <f t="shared" si="601"/>
        <v>5</v>
      </c>
      <c r="D872" s="227" t="str">
        <f t="shared" si="594"/>
        <v/>
      </c>
      <c r="E872" s="228" t="str">
        <f t="shared" ca="1" si="595"/>
        <v>06.002.006.004</v>
      </c>
      <c r="F872" s="230">
        <f ca="1">IF($B872="UNIDADE CONSTRUTIVA",OFFSET(F872,-1,0)+1,LARGE(F$10:F871,1))</f>
        <v>2</v>
      </c>
      <c r="G872" s="228" t="str">
        <f t="shared" ca="1" si="604"/>
        <v xml:space="preserve">   GERENCIAMENTO EXECUTIVO</v>
      </c>
      <c r="H872" s="230">
        <f t="shared" ca="1" si="596"/>
        <v>6</v>
      </c>
      <c r="I872" s="228" t="str">
        <f t="shared" ca="1" si="605"/>
        <v xml:space="preserve">   IMPERMEABILIZAÇÃO E TRATAMENTOS</v>
      </c>
      <c r="J872" s="230">
        <f t="shared" ca="1" si="597"/>
        <v>2</v>
      </c>
      <c r="K872" s="228" t="str">
        <f t="shared" ca="1" si="606"/>
        <v xml:space="preserve">   IMPERMEABILIZAÇÃO E TRATAMENTOS - 2º PAVIMENTO - TÉRREO</v>
      </c>
      <c r="L872" s="231">
        <f t="shared" ca="1" si="598"/>
        <v>6</v>
      </c>
      <c r="M872" s="228" t="str">
        <f t="shared" ca="1" si="607"/>
        <v xml:space="preserve">   Mão de Obra</v>
      </c>
      <c r="N872" s="231">
        <f t="shared" ca="1" si="599"/>
        <v>4</v>
      </c>
      <c r="O872" s="228" t="str">
        <f t="shared" ca="1" si="608"/>
        <v>Mao de obra para execucao de protecao mecanica em superficie impermeabilizada</v>
      </c>
      <c r="P872" s="232" t="str">
        <f>IF(S872="","",IF(Orçamento!$B872="INSUMO",S872,""))</f>
        <v>M.O. PARA EXECUCAO DE PROTECAO MECANICA EM SUPERFICIE IMPERMEABILIZADA</v>
      </c>
      <c r="Q872" s="244" t="str">
        <f t="shared" si="600"/>
        <v/>
      </c>
      <c r="R872" s="234">
        <f t="shared" ca="1" si="609"/>
        <v>98.6</v>
      </c>
      <c r="S872" s="233" t="s">
        <v>325</v>
      </c>
      <c r="T872" s="242" t="str">
        <f>_xlfn.XLOOKUP(S872,Insumos!$A$3:$A$371,Insumos!$B$3:$B$371)</f>
        <v>M2</v>
      </c>
      <c r="U872" s="235">
        <f ca="1">IF($B872="insumo",R872,"")</f>
        <v>98.6</v>
      </c>
      <c r="V872" s="320">
        <v>1</v>
      </c>
      <c r="W872" s="236">
        <f>IFERROR(IF(B872="INSUMO",_xlfn.XLOOKUP(S872,Insumos!A:A,Insumos!C:C),""),"Inserir Preço")</f>
        <v>4.5</v>
      </c>
      <c r="X872" s="235">
        <f t="shared" ca="1" si="610"/>
        <v>98.6</v>
      </c>
      <c r="Y872" s="236">
        <f t="shared" ref="Y872:Y935" si="611">IF(B872="insumo",W872*V872,IF(B872="serviço",SUMIFS(Y:Y,B:B,"insumo",E:E,E872,I:I,I872),""))</f>
        <v>4.5</v>
      </c>
      <c r="Z872" s="237">
        <f t="shared" ca="1" si="602"/>
        <v>443.7</v>
      </c>
      <c r="AA872" s="238"/>
      <c r="AB872" s="233" t="str">
        <f>IF(B872="insumo",_xlfn.XLOOKUP(S872,Insumos!A:A,Insumos!D:D),"")</f>
        <v xml:space="preserve"> </v>
      </c>
      <c r="AC872" s="239">
        <f t="shared" ca="1" si="603"/>
        <v>6.3652810303646508E-5</v>
      </c>
      <c r="AE872" s="240">
        <f ca="1">IFERROR(IF(OR(Z872="",Z872=0),"",IF(AF872="","",IF(AF872="R$/mês",Z872/OBRA!$D$12,IF(AF872="R$/m²",Z872/OBRA!$D$10,IF(AF872="R$/apto",Orçamento!Z872/OBRA!$D$11,""))))),"")</f>
        <v>0.2283311805602013</v>
      </c>
      <c r="AF872" s="241" t="s">
        <v>154</v>
      </c>
    </row>
    <row r="873" spans="1:32" s="10" customFormat="1" ht="13.15" hidden="1" customHeight="1" outlineLevel="4" x14ac:dyDescent="0.2">
      <c r="A873" s="227"/>
      <c r="B873" s="228" t="s">
        <v>4</v>
      </c>
      <c r="C873" s="229">
        <f t="shared" si="601"/>
        <v>4</v>
      </c>
      <c r="D873" s="227" t="str">
        <f t="shared" ca="1" si="594"/>
        <v>06.002.006.005</v>
      </c>
      <c r="E873" s="228" t="str">
        <f t="shared" ca="1" si="595"/>
        <v>06.002.006.005</v>
      </c>
      <c r="F873" s="230">
        <f ca="1">IF($B873="UNIDADE CONSTRUTIVA",OFFSET(F873,-1,0)+1,LARGE(F$10:F872,1))</f>
        <v>2</v>
      </c>
      <c r="G873" s="228" t="str">
        <f t="shared" ca="1" si="604"/>
        <v xml:space="preserve">   GERENCIAMENTO EXECUTIVO</v>
      </c>
      <c r="H873" s="230">
        <f t="shared" ca="1" si="596"/>
        <v>6</v>
      </c>
      <c r="I873" s="228" t="str">
        <f t="shared" ca="1" si="605"/>
        <v xml:space="preserve">   IMPERMEABILIZAÇÃO E TRATAMENTOS</v>
      </c>
      <c r="J873" s="230">
        <f t="shared" ca="1" si="597"/>
        <v>2</v>
      </c>
      <c r="K873" s="228" t="str">
        <f t="shared" ca="1" si="606"/>
        <v xml:space="preserve">   IMPERMEABILIZAÇÃO E TRATAMENTOS - 2º PAVIMENTO - TÉRREO</v>
      </c>
      <c r="L873" s="231">
        <f t="shared" ca="1" si="598"/>
        <v>6</v>
      </c>
      <c r="M873" s="228" t="str">
        <f t="shared" ca="1" si="607"/>
        <v xml:space="preserve">   Mão de Obra</v>
      </c>
      <c r="N873" s="231">
        <f t="shared" ca="1" si="599"/>
        <v>5</v>
      </c>
      <c r="O873" s="228" t="str">
        <f t="shared" ca="1" si="608"/>
        <v>Mao de obra para impermeabilizacao com argamassa polimerica</v>
      </c>
      <c r="P873" s="232" t="str">
        <f>IF(S873="","",IF(Orçamento!$B873="INSUMO",S873,""))</f>
        <v/>
      </c>
      <c r="Q873" s="244" t="str">
        <f t="shared" si="600"/>
        <v>Mao de obra para impermeabilizacao com argamassa polimerica</v>
      </c>
      <c r="R873" s="234">
        <f t="shared" ca="1" si="609"/>
        <v>41.29</v>
      </c>
      <c r="S873" s="233" t="s">
        <v>474</v>
      </c>
      <c r="T873" s="242" t="s">
        <v>140</v>
      </c>
      <c r="U873" s="235">
        <f>U855</f>
        <v>41.29</v>
      </c>
      <c r="V873" s="320" t="s">
        <v>35</v>
      </c>
      <c r="W873" s="236" t="str">
        <f>IFERROR(IF(B873="INSUMO",_xlfn.XLOOKUP(S873,Insumos!A:A,Insumos!C:C),""),"Inserir Preço")</f>
        <v/>
      </c>
      <c r="X873" s="235">
        <f t="shared" ca="1" si="610"/>
        <v>41.29</v>
      </c>
      <c r="Y873" s="236">
        <f t="shared" ca="1" si="611"/>
        <v>33.74</v>
      </c>
      <c r="Z873" s="237">
        <f t="shared" ca="1" si="602"/>
        <v>1393.1246000000001</v>
      </c>
      <c r="AA873" s="238"/>
      <c r="AB873" s="233" t="str">
        <f>IF(B873="insumo",_xlfn.XLOOKUP(S873,Insumos!A:A,Insumos!D:D),"")</f>
        <v/>
      </c>
      <c r="AC873" s="239">
        <f t="shared" ca="1" si="603"/>
        <v>1.9985642527190313E-4</v>
      </c>
      <c r="AE873" s="240">
        <f ca="1">IFERROR(IF(OR(Z873="",Z873=0),"",IF(AF873="","",IF(AF873="R$/mês",Z873/OBRA!$D$12,IF(AF873="R$/m²",Z873/OBRA!$D$10,IF(AF873="R$/apto",Orçamento!Z873/OBRA!$D$11,""))))),"")</f>
        <v>0.71691184265372609</v>
      </c>
      <c r="AF873" s="241" t="s">
        <v>154</v>
      </c>
    </row>
    <row r="874" spans="1:32" s="10" customFormat="1" ht="13.15" hidden="1" customHeight="1" outlineLevel="4" x14ac:dyDescent="0.2">
      <c r="A874" s="227"/>
      <c r="B874" s="228" t="s">
        <v>19</v>
      </c>
      <c r="C874" s="229">
        <f t="shared" si="601"/>
        <v>4</v>
      </c>
      <c r="D874" s="227" t="str">
        <f t="shared" si="594"/>
        <v/>
      </c>
      <c r="E874" s="228" t="str">
        <f t="shared" ca="1" si="595"/>
        <v>06.002.006.005</v>
      </c>
      <c r="F874" s="230">
        <f ca="1">IF($B874="UNIDADE CONSTRUTIVA",OFFSET(F874,-1,0)+1,LARGE(F$10:F873,1))</f>
        <v>2</v>
      </c>
      <c r="G874" s="228" t="str">
        <f t="shared" ca="1" si="604"/>
        <v xml:space="preserve">   GERENCIAMENTO EXECUTIVO</v>
      </c>
      <c r="H874" s="230">
        <f t="shared" ca="1" si="596"/>
        <v>6</v>
      </c>
      <c r="I874" s="228" t="str">
        <f t="shared" ca="1" si="605"/>
        <v xml:space="preserve">   IMPERMEABILIZAÇÃO E TRATAMENTOS</v>
      </c>
      <c r="J874" s="230">
        <f t="shared" ca="1" si="597"/>
        <v>2</v>
      </c>
      <c r="K874" s="228" t="str">
        <f t="shared" ca="1" si="606"/>
        <v xml:space="preserve">   IMPERMEABILIZAÇÃO E TRATAMENTOS - 2º PAVIMENTO - TÉRREO</v>
      </c>
      <c r="L874" s="231">
        <f t="shared" ca="1" si="598"/>
        <v>6</v>
      </c>
      <c r="M874" s="228" t="str">
        <f t="shared" ca="1" si="607"/>
        <v xml:space="preserve">   Mão de Obra</v>
      </c>
      <c r="N874" s="231">
        <f t="shared" ca="1" si="599"/>
        <v>5</v>
      </c>
      <c r="O874" s="228" t="str">
        <f t="shared" ca="1" si="608"/>
        <v>Mao de obra para impermeabilizacao com argamassa polimerica</v>
      </c>
      <c r="P874" s="232" t="str">
        <f>IF(S874="","",IF(Orçamento!$B874="INSUMO",S874,""))</f>
        <v>MAO DE OBRA PARA IMPERMEABILIZACAO COM ARGAMASSA POLIMERICA</v>
      </c>
      <c r="Q874" s="244" t="str">
        <f t="shared" si="600"/>
        <v/>
      </c>
      <c r="R874" s="234">
        <f t="shared" ca="1" si="609"/>
        <v>41.29</v>
      </c>
      <c r="S874" s="233" t="s">
        <v>302</v>
      </c>
      <c r="T874" s="242" t="str">
        <f>_xlfn.XLOOKUP(S874,Insumos!$A$3:$A$371,Insumos!$B$3:$B$371)</f>
        <v>M2</v>
      </c>
      <c r="U874" s="235">
        <f ca="1">IF($B874="insumo",R874,"")</f>
        <v>41.29</v>
      </c>
      <c r="V874" s="320">
        <v>1</v>
      </c>
      <c r="W874" s="236">
        <f>IFERROR(IF(B874="INSUMO",_xlfn.XLOOKUP(S874,Insumos!A:A,Insumos!C:C),""),"Inserir Preço")</f>
        <v>33.74</v>
      </c>
      <c r="X874" s="235">
        <f t="shared" ca="1" si="610"/>
        <v>41.29</v>
      </c>
      <c r="Y874" s="236">
        <f t="shared" si="611"/>
        <v>33.74</v>
      </c>
      <c r="Z874" s="237">
        <f t="shared" ca="1" si="602"/>
        <v>1393.1246000000001</v>
      </c>
      <c r="AA874" s="238"/>
      <c r="AB874" s="233" t="str">
        <f>IF(B874="insumo",_xlfn.XLOOKUP(S874,Insumos!A:A,Insumos!D:D),"")</f>
        <v xml:space="preserve"> </v>
      </c>
      <c r="AC874" s="239">
        <f t="shared" ca="1" si="603"/>
        <v>1.9985642527190313E-4</v>
      </c>
      <c r="AE874" s="240">
        <f ca="1">IFERROR(IF(OR(Z874="",Z874=0),"",IF(AF874="","",IF(AF874="R$/mês",Z874/OBRA!$D$12,IF(AF874="R$/m²",Z874/OBRA!$D$10,IF(AF874="R$/apto",Orçamento!Z874/OBRA!$D$11,""))))),"")</f>
        <v>0.71691184265372609</v>
      </c>
      <c r="AF874" s="241" t="s">
        <v>154</v>
      </c>
    </row>
    <row r="875" spans="1:32" s="10" customFormat="1" ht="13.15" hidden="1" customHeight="1" outlineLevel="4" x14ac:dyDescent="0.2">
      <c r="A875" s="227"/>
      <c r="B875" s="228" t="s">
        <v>4</v>
      </c>
      <c r="C875" s="229">
        <f t="shared" si="601"/>
        <v>4</v>
      </c>
      <c r="D875" s="227" t="str">
        <f t="shared" ca="1" si="594"/>
        <v>06.002.006.006</v>
      </c>
      <c r="E875" s="228" t="str">
        <f t="shared" ca="1" si="595"/>
        <v>06.002.006.006</v>
      </c>
      <c r="F875" s="230">
        <f ca="1">IF($B875="UNIDADE CONSTRUTIVA",OFFSET(F875,-1,0)+1,LARGE(F$10:F874,1))</f>
        <v>2</v>
      </c>
      <c r="G875" s="228" t="str">
        <f t="shared" ca="1" si="604"/>
        <v xml:space="preserve">   GERENCIAMENTO EXECUTIVO</v>
      </c>
      <c r="H875" s="230">
        <f t="shared" ca="1" si="596"/>
        <v>6</v>
      </c>
      <c r="I875" s="228" t="str">
        <f t="shared" ca="1" si="605"/>
        <v xml:space="preserve">   IMPERMEABILIZAÇÃO E TRATAMENTOS</v>
      </c>
      <c r="J875" s="230">
        <f t="shared" ca="1" si="597"/>
        <v>2</v>
      </c>
      <c r="K875" s="228" t="str">
        <f t="shared" ca="1" si="606"/>
        <v xml:space="preserve">   IMPERMEABILIZAÇÃO E TRATAMENTOS - 2º PAVIMENTO - TÉRREO</v>
      </c>
      <c r="L875" s="231">
        <f t="shared" ca="1" si="598"/>
        <v>6</v>
      </c>
      <c r="M875" s="228" t="str">
        <f t="shared" ca="1" si="607"/>
        <v xml:space="preserve">   Mão de Obra</v>
      </c>
      <c r="N875" s="231">
        <f t="shared" ca="1" si="599"/>
        <v>6</v>
      </c>
      <c r="O875" s="228" t="str">
        <f t="shared" ca="1" si="608"/>
        <v>Mao de obra para impermeabilizacao de peitoris</v>
      </c>
      <c r="P875" s="232" t="str">
        <f>IF(S875="","",IF(Orçamento!$B875="INSUMO",S875,""))</f>
        <v/>
      </c>
      <c r="Q875" s="244" t="str">
        <f t="shared" si="600"/>
        <v>Mao de obra para impermeabilizacao de peitoris</v>
      </c>
      <c r="R875" s="234">
        <f t="shared" ca="1" si="609"/>
        <v>5.3</v>
      </c>
      <c r="S875" s="233" t="s">
        <v>463</v>
      </c>
      <c r="T875" s="242" t="s">
        <v>140</v>
      </c>
      <c r="U875" s="235">
        <f>U858</f>
        <v>5.3</v>
      </c>
      <c r="V875" s="320" t="s">
        <v>35</v>
      </c>
      <c r="W875" s="236" t="str">
        <f>IFERROR(IF(B875="INSUMO",_xlfn.XLOOKUP(S875,Insumos!A:A,Insumos!C:C),""),"Inserir Preço")</f>
        <v/>
      </c>
      <c r="X875" s="235">
        <f t="shared" ca="1" si="610"/>
        <v>5.3</v>
      </c>
      <c r="Y875" s="236">
        <f t="shared" ca="1" si="611"/>
        <v>32</v>
      </c>
      <c r="Z875" s="237">
        <f t="shared" ca="1" si="602"/>
        <v>169.6</v>
      </c>
      <c r="AA875" s="238"/>
      <c r="AB875" s="233" t="str">
        <f>IF(B875="insumo",_xlfn.XLOOKUP(S875,Insumos!A:A,Insumos!D:D),"")</f>
        <v/>
      </c>
      <c r="AC875" s="239">
        <f t="shared" ca="1" si="603"/>
        <v>2.4330666277886967E-5</v>
      </c>
      <c r="AE875" s="240">
        <f ca="1">IFERROR(IF(OR(Z875="",Z875=0),"",IF(AF875="","",IF(AF875="R$/mês",Z875/OBRA!$D$12,IF(AF875="R$/m²",Z875/OBRA!$D$10,IF(AF875="R$/apto",Orçamento!Z875/OBRA!$D$11,""))))),"")</f>
        <v>8.7277368093329144E-2</v>
      </c>
      <c r="AF875" s="241" t="s">
        <v>154</v>
      </c>
    </row>
    <row r="876" spans="1:32" s="10" customFormat="1" ht="13.15" hidden="1" customHeight="1" outlineLevel="4" x14ac:dyDescent="0.2">
      <c r="A876" s="227"/>
      <c r="B876" s="228" t="s">
        <v>19</v>
      </c>
      <c r="C876" s="229">
        <f t="shared" si="601"/>
        <v>4</v>
      </c>
      <c r="D876" s="227" t="str">
        <f t="shared" si="594"/>
        <v/>
      </c>
      <c r="E876" s="228" t="str">
        <f t="shared" ca="1" si="595"/>
        <v>06.002.006.006</v>
      </c>
      <c r="F876" s="230">
        <f ca="1">IF($B876="UNIDADE CONSTRUTIVA",OFFSET(F876,-1,0)+1,LARGE(F$10:F875,1))</f>
        <v>2</v>
      </c>
      <c r="G876" s="228" t="str">
        <f t="shared" ca="1" si="604"/>
        <v xml:space="preserve">   GERENCIAMENTO EXECUTIVO</v>
      </c>
      <c r="H876" s="230">
        <f t="shared" ca="1" si="596"/>
        <v>6</v>
      </c>
      <c r="I876" s="228" t="str">
        <f t="shared" ca="1" si="605"/>
        <v xml:space="preserve">   IMPERMEABILIZAÇÃO E TRATAMENTOS</v>
      </c>
      <c r="J876" s="230">
        <f t="shared" ca="1" si="597"/>
        <v>2</v>
      </c>
      <c r="K876" s="228" t="str">
        <f t="shared" ca="1" si="606"/>
        <v xml:space="preserve">   IMPERMEABILIZAÇÃO E TRATAMENTOS - 2º PAVIMENTO - TÉRREO</v>
      </c>
      <c r="L876" s="231">
        <f t="shared" ca="1" si="598"/>
        <v>6</v>
      </c>
      <c r="M876" s="228" t="str">
        <f t="shared" ca="1" si="607"/>
        <v xml:space="preserve">   Mão de Obra</v>
      </c>
      <c r="N876" s="231">
        <f t="shared" ca="1" si="599"/>
        <v>6</v>
      </c>
      <c r="O876" s="228" t="str">
        <f t="shared" ca="1" si="608"/>
        <v>Mao de obra para impermeabilizacao de peitoris</v>
      </c>
      <c r="P876" s="232" t="str">
        <f>IF(S876="","",IF(Orçamento!$B876="INSUMO",S876,""))</f>
        <v>MAO DE OBRA PARA IMPERMEABILIZACAO COM MANTA LIQUIDA</v>
      </c>
      <c r="Q876" s="244" t="str">
        <f t="shared" si="600"/>
        <v/>
      </c>
      <c r="R876" s="234">
        <f t="shared" ca="1" si="609"/>
        <v>5.3</v>
      </c>
      <c r="S876" s="233" t="s">
        <v>382</v>
      </c>
      <c r="T876" s="242" t="str">
        <f>_xlfn.XLOOKUP(S876,Insumos!$A$3:$A$371,Insumos!$B$3:$B$371)</f>
        <v>M2</v>
      </c>
      <c r="U876" s="235">
        <f ca="1">IF($B876="insumo",R876,"")</f>
        <v>5.3</v>
      </c>
      <c r="V876" s="320">
        <v>1</v>
      </c>
      <c r="W876" s="236">
        <f>IFERROR(IF(B876="INSUMO",_xlfn.XLOOKUP(S876,Insumos!A:A,Insumos!C:C),""),"Inserir Preço")</f>
        <v>32</v>
      </c>
      <c r="X876" s="235">
        <f t="shared" ca="1" si="610"/>
        <v>5.3</v>
      </c>
      <c r="Y876" s="236">
        <f t="shared" si="611"/>
        <v>32</v>
      </c>
      <c r="Z876" s="237">
        <f t="shared" ca="1" si="602"/>
        <v>169.6</v>
      </c>
      <c r="AA876" s="238"/>
      <c r="AB876" s="233" t="str">
        <f>IF(B876="insumo",_xlfn.XLOOKUP(S876,Insumos!A:A,Insumos!D:D),"")</f>
        <v xml:space="preserve"> </v>
      </c>
      <c r="AC876" s="239">
        <f t="shared" ca="1" si="603"/>
        <v>2.4330666277886967E-5</v>
      </c>
      <c r="AE876" s="240">
        <f ca="1">IFERROR(IF(OR(Z876="",Z876=0),"",IF(AF876="","",IF(AF876="R$/mês",Z876/OBRA!$D$12,IF(AF876="R$/m²",Z876/OBRA!$D$10,IF(AF876="R$/apto",Orçamento!Z876/OBRA!$D$11,""))))),"")</f>
        <v>8.7277368093329144E-2</v>
      </c>
      <c r="AF876" s="241" t="s">
        <v>154</v>
      </c>
    </row>
    <row r="877" spans="1:32" s="10" customFormat="1" ht="13.15" customHeight="1" outlineLevel="2" collapsed="1" x14ac:dyDescent="0.2">
      <c r="A877" s="227"/>
      <c r="B877" s="228" t="s">
        <v>2</v>
      </c>
      <c r="C877" s="229" t="str">
        <f t="shared" si="601"/>
        <v/>
      </c>
      <c r="D877" s="227" t="str">
        <f ca="1">IF(B877="Unidade Construtiva",TEXT(F877,"00"),IF(B877="Célula Construtiva",TEXT(H877,"00"),IF(B877="Etapa",CONCATENATE(TEXT(H877,"00"),".",TEXT(J877,"000")),IF(B877="Subetapa",CONCATENATE(TEXT(H877,"00"),".",TEXT(J877,"000"),".",TEXT(L877,"000")),IF(B877="Serviço",CONCATENATE(TEXT(H877,"00"),".",TEXT(J877,"000"),".",TEXT(L877,"000"),".",TEXT(N877,"000")),"")))))</f>
        <v>06.003</v>
      </c>
      <c r="E877" s="228" t="str">
        <f ca="1">IF(B877="*","",IFERROR(IF(B877="SERVIÇO",D877,OFFSET(E877,-1,0)),""))</f>
        <v>06.002.006.006</v>
      </c>
      <c r="F877" s="230">
        <f ca="1">IF($B877="UNIDADE CONSTRUTIVA",OFFSET(F877,-1,0)+1,LARGE(F$10:F876,1))</f>
        <v>2</v>
      </c>
      <c r="G877" s="228" t="str">
        <f ca="1">IF(B877="*","",IF(B877="UNIDADE CONSTRUTIVA",S877,OFFSET(G877,-1,0)))</f>
        <v xml:space="preserve">   GERENCIAMENTO EXECUTIVO</v>
      </c>
      <c r="H877" s="230">
        <f ca="1">IF(B877="UNIDADE CONSTRUTIVA",0,IF(B877="CÉLULA CONSTRUTIVA",OFFSET(H877,-1,0)+1,OFFSET(H877,-1,0)))</f>
        <v>6</v>
      </c>
      <c r="I877" s="228" t="str">
        <f ca="1">IF(B877="*","",IF(B877="CÉLULA CONSTRUTIVA",S877,OFFSET(I877,-1,0)))</f>
        <v xml:space="preserve">   IMPERMEABILIZAÇÃO E TRATAMENTOS</v>
      </c>
      <c r="J877" s="230">
        <f ca="1">IF(B877="CÉLULA CONSTRUTIVA",0,IF(B877="ETAPA",OFFSET(J877,-1,0)+1,OFFSET(J877,-1,0)))</f>
        <v>3</v>
      </c>
      <c r="K877" s="228" t="str">
        <f ca="1">IF(B877="*","",IF(B877="ETAPA",S877,OFFSET(K877,-1,0)))</f>
        <v xml:space="preserve">   IMPERMEABILIZAÇÃO E TRATAMENTOS - 3º  ao 7º PAVIMENTO - TIPO</v>
      </c>
      <c r="L877" s="231">
        <f ca="1">IF(B877="ETAPA",0,IF(B877="SUBETAPA",OFFSET(L877,-1,0)+1,OFFSET(L877,-1,0)))</f>
        <v>0</v>
      </c>
      <c r="M877" s="228" t="str">
        <f ca="1">IF(B877="*","",IF(B877="SUBETAPA",S877,OFFSET(M877,-1,0)))</f>
        <v xml:space="preserve">   Mão de Obra</v>
      </c>
      <c r="N877" s="231">
        <f ca="1">IF(B877="Subetapa",0,IF(B877="serviço",OFFSET(N877,-1,0)+1,OFFSET(N877,-1,0)))</f>
        <v>6</v>
      </c>
      <c r="O877" s="228" t="str">
        <f ca="1">IF(B877="*","",IF(B877="SERVIÇO",S877,OFFSET(O877,-1,0)))</f>
        <v>Mao de obra para impermeabilizacao de peitoris</v>
      </c>
      <c r="P877" s="232" t="str">
        <f>IF(S877="","",IF(Orçamento!$B877="INSUMO",S877,""))</f>
        <v/>
      </c>
      <c r="Q877" s="244" t="str">
        <f>IF(B877="","",IF(B877="Serviço",S877,""))</f>
        <v/>
      </c>
      <c r="R877" s="234">
        <f ca="1">IF(B877="serviço",U877,OFFSET(R877,-1,0))</f>
        <v>5.3</v>
      </c>
      <c r="S877" s="233" t="s">
        <v>673</v>
      </c>
      <c r="T877" s="242" t="s">
        <v>35</v>
      </c>
      <c r="U877" s="235" t="str">
        <f>IF($B877="insumo",R877,"")</f>
        <v/>
      </c>
      <c r="V877" s="320" t="s">
        <v>35</v>
      </c>
      <c r="W877" s="236" t="str">
        <f>IFERROR(IF(B877="INSUMO",_xlfn.XLOOKUP(S877,Insumos!A:A,Insumos!C:C),""),"Inserir Preço")</f>
        <v/>
      </c>
      <c r="X877" s="235" t="str">
        <f ca="1">IF(B877="Complemento do insumo",V877,IF(R877="","",IF(B877="serviço",R877,IF(OR(B877="insumo"),V877*R877,""))))</f>
        <v/>
      </c>
      <c r="Y877" s="236" t="str">
        <f t="shared" si="611"/>
        <v/>
      </c>
      <c r="Z877" s="237">
        <f t="shared" ca="1" si="602"/>
        <v>55409.030320000005</v>
      </c>
      <c r="AA877" s="238"/>
      <c r="AB877" s="233" t="str">
        <f>IF(B877="insumo",_xlfn.XLOOKUP(S877,Insumos!A:A,Insumos!D:D),"")</f>
        <v/>
      </c>
      <c r="AC877" s="239">
        <f t="shared" ca="1" si="603"/>
        <v>7.9489305748658059E-3</v>
      </c>
      <c r="AE877" s="240">
        <f ca="1">IFERROR(IF(OR(Z877="",Z877=0),"",IF(AF877="","",IF(AF877="R$/mês",Z877/OBRA!$D$12,IF(AF877="R$/m²",Z877/OBRA!$D$10,IF(AF877="R$/apto",Orçamento!Z877/OBRA!$D$11,""))))),"")</f>
        <v>28.51388169182238</v>
      </c>
      <c r="AF877" s="241" t="s">
        <v>154</v>
      </c>
    </row>
    <row r="878" spans="1:32" s="10" customFormat="1" ht="13.15" hidden="1" customHeight="1" outlineLevel="3" collapsed="1" x14ac:dyDescent="0.2">
      <c r="A878" s="227"/>
      <c r="B878" s="228" t="s">
        <v>3</v>
      </c>
      <c r="C878" s="229" t="str">
        <f t="shared" si="601"/>
        <v/>
      </c>
      <c r="D878" s="227" t="str">
        <f t="shared" ref="D878:D911" ca="1" si="612">IF(B878="Unidade Construtiva",TEXT(F878,"00"),IF(B878="Célula Construtiva",TEXT(H878,"00"),IF(B878="Etapa",CONCATENATE(TEXT(H878,"00"),".",TEXT(J878,"000")),IF(B878="Subetapa",CONCATENATE(TEXT(H878,"00"),".",TEXT(J878,"000"),".",TEXT(L878,"000")),IF(B878="Serviço",CONCATENATE(TEXT(H878,"00"),".",TEXT(J878,"000"),".",TEXT(L878,"000"),".",TEXT(N878,"000")),"")))))</f>
        <v>06.003.001</v>
      </c>
      <c r="E878" s="228" t="str">
        <f t="shared" ref="E878:E911" ca="1" si="613">IF(B878="*","",IFERROR(IF(B878="SERVIÇO",D878,OFFSET(E878,-1,0)),""))</f>
        <v>06.002.006.006</v>
      </c>
      <c r="F878" s="230">
        <f ca="1">IF($B878="UNIDADE CONSTRUTIVA",OFFSET(F878,-1,0)+1,LARGE(F$10:F877,1))</f>
        <v>2</v>
      </c>
      <c r="G878" s="228" t="str">
        <f t="shared" ref="G878:G911" ca="1" si="614">IF(B878="*","",IF(B878="UNIDADE CONSTRUTIVA",S878,OFFSET(G878,-1,0)))</f>
        <v xml:space="preserve">   GERENCIAMENTO EXECUTIVO</v>
      </c>
      <c r="H878" s="230">
        <f t="shared" ref="H878:H911" ca="1" si="615">IF(B878="UNIDADE CONSTRUTIVA",0,IF(B878="CÉLULA CONSTRUTIVA",OFFSET(H878,-1,0)+1,OFFSET(H878,-1,0)))</f>
        <v>6</v>
      </c>
      <c r="I878" s="228" t="str">
        <f t="shared" ref="I878:I911" ca="1" si="616">IF(B878="*","",IF(B878="CÉLULA CONSTRUTIVA",S878,OFFSET(I878,-1,0)))</f>
        <v xml:space="preserve">   IMPERMEABILIZAÇÃO E TRATAMENTOS</v>
      </c>
      <c r="J878" s="230">
        <f t="shared" ref="J878:J911" ca="1" si="617">IF(B878="CÉLULA CONSTRUTIVA",0,IF(B878="ETAPA",OFFSET(J878,-1,0)+1,OFFSET(J878,-1,0)))</f>
        <v>3</v>
      </c>
      <c r="K878" s="228" t="str">
        <f t="shared" ref="K878:K911" ca="1" si="618">IF(B878="*","",IF(B878="ETAPA",S878,OFFSET(K878,-1,0)))</f>
        <v xml:space="preserve">   IMPERMEABILIZAÇÃO E TRATAMENTOS - 3º  ao 7º PAVIMENTO - TIPO</v>
      </c>
      <c r="L878" s="231">
        <f t="shared" ref="L878:L911" ca="1" si="619">IF(B878="ETAPA",0,IF(B878="SUBETAPA",OFFSET(L878,-1,0)+1,OFFSET(L878,-1,0)))</f>
        <v>1</v>
      </c>
      <c r="M878" s="228" t="str">
        <f t="shared" ref="M878:M911" ca="1" si="620">IF(B878="*","",IF(B878="SUBETAPA",S878,OFFSET(M878,-1,0)))</f>
        <v xml:space="preserve">   Regularizacao de superficie para impermeabilizacao</v>
      </c>
      <c r="N878" s="231">
        <f t="shared" ref="N878:N911" ca="1" si="621">IF(B878="Subetapa",0,IF(B878="serviço",OFFSET(N878,-1,0)+1,OFFSET(N878,-1,0)))</f>
        <v>0</v>
      </c>
      <c r="O878" s="228" t="str">
        <f t="shared" ref="O878:O911" ca="1" si="622">IF(B878="*","",IF(B878="SERVIÇO",S878,OFFSET(O878,-1,0)))</f>
        <v>Mao de obra para impermeabilizacao de peitoris</v>
      </c>
      <c r="P878" s="232" t="str">
        <f>IF(S878="","",IF(Orçamento!$B878="INSUMO",S878,""))</f>
        <v/>
      </c>
      <c r="Q878" s="244" t="str">
        <f t="shared" ref="Q878:Q911" si="623">IF(B878="","",IF(B878="Serviço",S878,""))</f>
        <v/>
      </c>
      <c r="R878" s="234">
        <f t="shared" ref="R878:R911" ca="1" si="624">IF(B878="serviço",U878,OFFSET(R878,-1,0))</f>
        <v>5.3</v>
      </c>
      <c r="S878" s="233" t="s">
        <v>464</v>
      </c>
      <c r="T878" s="242" t="s">
        <v>35</v>
      </c>
      <c r="U878" s="235" t="str">
        <f>IF($B878="insumo",R878,"")</f>
        <v/>
      </c>
      <c r="V878" s="320" t="s">
        <v>35</v>
      </c>
      <c r="W878" s="236" t="str">
        <f>IFERROR(IF(B878="INSUMO",_xlfn.XLOOKUP(S878,Insumos!A:A,Insumos!C:C),""),"Inserir Preço")</f>
        <v/>
      </c>
      <c r="X878" s="235" t="str">
        <f t="shared" ref="X878:X911" ca="1" si="625">IF(B878="Complemento do insumo",V878,IF(R878="","",IF(B878="serviço",R878,IF(OR(B878="insumo"),V878*R878,""))))</f>
        <v/>
      </c>
      <c r="Y878" s="236" t="str">
        <f t="shared" si="611"/>
        <v/>
      </c>
      <c r="Z878" s="237">
        <f t="shared" ca="1" si="602"/>
        <v>3262.4696250000002</v>
      </c>
      <c r="AA878" s="238"/>
      <c r="AB878" s="233" t="str">
        <f>IF(B878="insumo",_xlfn.XLOOKUP(S878,Insumos!A:A,Insumos!D:D),"")</f>
        <v/>
      </c>
      <c r="AC878" s="239">
        <f t="shared" ca="1" si="603"/>
        <v>4.6803101230906863E-4</v>
      </c>
      <c r="AE878" s="240">
        <f ca="1">IFERROR(IF(OR(Z878="",Z878=0),"",IF(AF878="","",IF(AF878="R$/mês",Z878/OBRA!$D$12,IF(AF878="R$/m²",Z878/OBRA!$D$10,IF(AF878="R$/apto",Orçamento!Z878/OBRA!$D$11,""))))),"")</f>
        <v>1.6788901082218781</v>
      </c>
      <c r="AF878" s="241" t="s">
        <v>154</v>
      </c>
    </row>
    <row r="879" spans="1:32" s="10" customFormat="1" ht="13.15" hidden="1" customHeight="1" outlineLevel="4" x14ac:dyDescent="0.2">
      <c r="A879" s="227"/>
      <c r="B879" s="228" t="s">
        <v>4</v>
      </c>
      <c r="C879" s="229">
        <f t="shared" si="601"/>
        <v>5</v>
      </c>
      <c r="D879" s="227" t="str">
        <f t="shared" ca="1" si="612"/>
        <v>06.003.001.001</v>
      </c>
      <c r="E879" s="228" t="str">
        <f t="shared" ca="1" si="613"/>
        <v>06.003.001.001</v>
      </c>
      <c r="F879" s="230">
        <f ca="1">IF($B879="UNIDADE CONSTRUTIVA",OFFSET(F879,-1,0)+1,LARGE(F$10:F878,1))</f>
        <v>2</v>
      </c>
      <c r="G879" s="228" t="str">
        <f t="shared" ca="1" si="614"/>
        <v xml:space="preserve">   GERENCIAMENTO EXECUTIVO</v>
      </c>
      <c r="H879" s="230">
        <f t="shared" ca="1" si="615"/>
        <v>6</v>
      </c>
      <c r="I879" s="228" t="str">
        <f t="shared" ca="1" si="616"/>
        <v xml:space="preserve">   IMPERMEABILIZAÇÃO E TRATAMENTOS</v>
      </c>
      <c r="J879" s="230">
        <f t="shared" ca="1" si="617"/>
        <v>3</v>
      </c>
      <c r="K879" s="228" t="str">
        <f t="shared" ca="1" si="618"/>
        <v xml:space="preserve">   IMPERMEABILIZAÇÃO E TRATAMENTOS - 3º  ao 7º PAVIMENTO - TIPO</v>
      </c>
      <c r="L879" s="231">
        <f t="shared" ca="1" si="619"/>
        <v>1</v>
      </c>
      <c r="M879" s="228" t="str">
        <f t="shared" ca="1" si="620"/>
        <v xml:space="preserve">   Regularizacao de superficie para impermeabilizacao</v>
      </c>
      <c r="N879" s="231">
        <f t="shared" ca="1" si="621"/>
        <v>1</v>
      </c>
      <c r="O879" s="228" t="str">
        <f t="shared" ca="1" si="622"/>
        <v>Regularizacao de superficie para impermeabilizacao</v>
      </c>
      <c r="P879" s="232" t="str">
        <f>IF(S879="","",IF(Orçamento!$B879="INSUMO",S879,""))</f>
        <v/>
      </c>
      <c r="Q879" s="244" t="str">
        <f t="shared" si="623"/>
        <v>Regularizacao de superficie para impermeabilizacao</v>
      </c>
      <c r="R879" s="234">
        <f t="shared" ca="1" si="624"/>
        <v>489.75000000000006</v>
      </c>
      <c r="S879" s="233" t="s">
        <v>465</v>
      </c>
      <c r="T879" s="242" t="s">
        <v>140</v>
      </c>
      <c r="U879" s="235">
        <f>U883+U890</f>
        <v>489.75000000000006</v>
      </c>
      <c r="V879" s="320" t="s">
        <v>35</v>
      </c>
      <c r="W879" s="236" t="str">
        <f>IFERROR(IF(B879="INSUMO",_xlfn.XLOOKUP(S879,Insumos!A:A,Insumos!C:C),""),"Inserir Preço")</f>
        <v/>
      </c>
      <c r="X879" s="235">
        <f t="shared" ca="1" si="625"/>
        <v>489.75000000000006</v>
      </c>
      <c r="Y879" s="236">
        <f t="shared" ca="1" si="611"/>
        <v>6.6615000000000002</v>
      </c>
      <c r="Z879" s="237">
        <f t="shared" ca="1" si="602"/>
        <v>3262.4696250000006</v>
      </c>
      <c r="AA879" s="238"/>
      <c r="AB879" s="233" t="str">
        <f>IF(B879="insumo",_xlfn.XLOOKUP(S879,Insumos!A:A,Insumos!D:D),"")</f>
        <v/>
      </c>
      <c r="AC879" s="239">
        <f t="shared" ca="1" si="603"/>
        <v>4.6803101230906869E-4</v>
      </c>
      <c r="AE879" s="240">
        <f ca="1">IFERROR(IF(OR(Z879="",Z879=0),"",IF(AF879="","",IF(AF879="R$/mês",Z879/OBRA!$D$12,IF(AF879="R$/m²",Z879/OBRA!$D$10,IF(AF879="R$/apto",Orçamento!Z879/OBRA!$D$11,""))))),"")</f>
        <v>1.6788901082218783</v>
      </c>
      <c r="AF879" s="241" t="s">
        <v>154</v>
      </c>
    </row>
    <row r="880" spans="1:32" s="10" customFormat="1" ht="13.15" hidden="1" customHeight="1" outlineLevel="4" x14ac:dyDescent="0.2">
      <c r="A880" s="227"/>
      <c r="B880" s="228" t="s">
        <v>19</v>
      </c>
      <c r="C880" s="229">
        <f t="shared" si="601"/>
        <v>13</v>
      </c>
      <c r="D880" s="227" t="str">
        <f t="shared" si="612"/>
        <v/>
      </c>
      <c r="E880" s="228" t="str">
        <f t="shared" ca="1" si="613"/>
        <v>06.003.001.001</v>
      </c>
      <c r="F880" s="230">
        <f ca="1">IF($B880="UNIDADE CONSTRUTIVA",OFFSET(F880,-1,0)+1,LARGE(F$10:F879,1))</f>
        <v>2</v>
      </c>
      <c r="G880" s="228" t="str">
        <f t="shared" ca="1" si="614"/>
        <v xml:space="preserve">   GERENCIAMENTO EXECUTIVO</v>
      </c>
      <c r="H880" s="230">
        <f t="shared" ca="1" si="615"/>
        <v>6</v>
      </c>
      <c r="I880" s="228" t="str">
        <f t="shared" ca="1" si="616"/>
        <v xml:space="preserve">   IMPERMEABILIZAÇÃO E TRATAMENTOS</v>
      </c>
      <c r="J880" s="230">
        <f t="shared" ca="1" si="617"/>
        <v>3</v>
      </c>
      <c r="K880" s="228" t="str">
        <f t="shared" ca="1" si="618"/>
        <v xml:space="preserve">   IMPERMEABILIZAÇÃO E TRATAMENTOS - 3º  ao 7º PAVIMENTO - TIPO</v>
      </c>
      <c r="L880" s="231">
        <f t="shared" ca="1" si="619"/>
        <v>1</v>
      </c>
      <c r="M880" s="228" t="str">
        <f t="shared" ca="1" si="620"/>
        <v xml:space="preserve">   Regularizacao de superficie para impermeabilizacao</v>
      </c>
      <c r="N880" s="231">
        <f t="shared" ca="1" si="621"/>
        <v>1</v>
      </c>
      <c r="O880" s="228" t="str">
        <f t="shared" ca="1" si="622"/>
        <v>Regularizacao de superficie para impermeabilizacao</v>
      </c>
      <c r="P880" s="232" t="str">
        <f>IF(S880="","",IF(Orçamento!$B880="INSUMO",S880,""))</f>
        <v>CIMENTO PORTLAND CP II 32 - Z</v>
      </c>
      <c r="Q880" s="244" t="str">
        <f t="shared" si="623"/>
        <v/>
      </c>
      <c r="R880" s="234">
        <f t="shared" ca="1" si="624"/>
        <v>489.75000000000006</v>
      </c>
      <c r="S880" s="233" t="s">
        <v>343</v>
      </c>
      <c r="T880" s="242" t="str">
        <f>_xlfn.XLOOKUP(S880,Insumos!$A$3:$A$371,Insumos!$B$3:$B$371)</f>
        <v>KG</v>
      </c>
      <c r="U880" s="235">
        <f ca="1">IF($B880="insumo",R880,"")</f>
        <v>489.75000000000006</v>
      </c>
      <c r="V880" s="320">
        <v>6.3</v>
      </c>
      <c r="W880" s="236">
        <f>IFERROR(IF(B880="INSUMO",_xlfn.XLOOKUP(S880,Insumos!A:A,Insumos!C:C),""),"Inserir Preço")</f>
        <v>0.74</v>
      </c>
      <c r="X880" s="235">
        <f t="shared" ca="1" si="625"/>
        <v>3085.4250000000002</v>
      </c>
      <c r="Y880" s="236">
        <f t="shared" si="611"/>
        <v>4.6619999999999999</v>
      </c>
      <c r="Z880" s="237">
        <f t="shared" ca="1" si="602"/>
        <v>2283.2145</v>
      </c>
      <c r="AA880" s="238"/>
      <c r="AB880" s="233" t="str">
        <f>IF(B880="insumo",_xlfn.XLOOKUP(S880,Insumos!A:A,Insumos!D:D),"")</f>
        <v xml:space="preserve"> </v>
      </c>
      <c r="AC880" s="239">
        <f t="shared" ca="1" si="603"/>
        <v>3.2754793655856456E-4</v>
      </c>
      <c r="AE880" s="240">
        <f ca="1">IFERROR(IF(OR(Z880="",Z880=0),"",IF(AF880="","",IF(AF880="R$/mês",Z880/OBRA!$D$12,IF(AF880="R$/m²",Z880/OBRA!$D$10,IF(AF880="R$/apto",Orçamento!Z880/OBRA!$D$11,""))))),"")</f>
        <v>1.1749584454748023</v>
      </c>
      <c r="AF880" s="241" t="s">
        <v>154</v>
      </c>
    </row>
    <row r="881" spans="1:32" s="10" customFormat="1" ht="13.15" hidden="1" customHeight="1" outlineLevel="4" x14ac:dyDescent="0.2">
      <c r="A881" s="227"/>
      <c r="B881" s="228" t="s">
        <v>19</v>
      </c>
      <c r="C881" s="229">
        <f t="shared" si="601"/>
        <v>7</v>
      </c>
      <c r="D881" s="227" t="str">
        <f t="shared" si="612"/>
        <v/>
      </c>
      <c r="E881" s="228" t="str">
        <f t="shared" ca="1" si="613"/>
        <v>06.003.001.001</v>
      </c>
      <c r="F881" s="230">
        <f ca="1">IF($B881="UNIDADE CONSTRUTIVA",OFFSET(F881,-1,0)+1,LARGE(F$10:F880,1))</f>
        <v>2</v>
      </c>
      <c r="G881" s="228" t="str">
        <f t="shared" ca="1" si="614"/>
        <v xml:space="preserve">   GERENCIAMENTO EXECUTIVO</v>
      </c>
      <c r="H881" s="230">
        <f t="shared" ca="1" si="615"/>
        <v>6</v>
      </c>
      <c r="I881" s="228" t="str">
        <f t="shared" ca="1" si="616"/>
        <v xml:space="preserve">   IMPERMEABILIZAÇÃO E TRATAMENTOS</v>
      </c>
      <c r="J881" s="230">
        <f t="shared" ca="1" si="617"/>
        <v>3</v>
      </c>
      <c r="K881" s="228" t="str">
        <f t="shared" ca="1" si="618"/>
        <v xml:space="preserve">   IMPERMEABILIZAÇÃO E TRATAMENTOS - 3º  ao 7º PAVIMENTO - TIPO</v>
      </c>
      <c r="L881" s="231">
        <f t="shared" ca="1" si="619"/>
        <v>1</v>
      </c>
      <c r="M881" s="228" t="str">
        <f t="shared" ca="1" si="620"/>
        <v xml:space="preserve">   Regularizacao de superficie para impermeabilizacao</v>
      </c>
      <c r="N881" s="231">
        <f t="shared" ca="1" si="621"/>
        <v>1</v>
      </c>
      <c r="O881" s="228" t="str">
        <f t="shared" ca="1" si="622"/>
        <v>Regularizacao de superficie para impermeabilizacao</v>
      </c>
      <c r="P881" s="232" t="str">
        <f>IF(S881="","",IF(Orçamento!$B881="INSUMO",S881,""))</f>
        <v>AREIA MEDIA</v>
      </c>
      <c r="Q881" s="244" t="str">
        <f t="shared" si="623"/>
        <v/>
      </c>
      <c r="R881" s="234">
        <f t="shared" ca="1" si="624"/>
        <v>489.75000000000006</v>
      </c>
      <c r="S881" s="233" t="s">
        <v>359</v>
      </c>
      <c r="T881" s="242" t="str">
        <f>_xlfn.XLOOKUP(S881,Insumos!$A$3:$A$371,Insumos!$B$3:$B$371)</f>
        <v>M3</v>
      </c>
      <c r="U881" s="235">
        <f ca="1">IF($B881="insumo",R881,"")</f>
        <v>489.75000000000006</v>
      </c>
      <c r="V881" s="320">
        <v>1.55E-2</v>
      </c>
      <c r="W881" s="236">
        <f>IFERROR(IF(B881="INSUMO",_xlfn.XLOOKUP(S881,Insumos!A:A,Insumos!C:C),""),"Inserir Preço")</f>
        <v>129</v>
      </c>
      <c r="X881" s="235">
        <f t="shared" ca="1" si="625"/>
        <v>7.5911250000000008</v>
      </c>
      <c r="Y881" s="236">
        <f t="shared" si="611"/>
        <v>1.9995000000000001</v>
      </c>
      <c r="Z881" s="237">
        <f t="shared" ca="1" si="602"/>
        <v>979.25512500000013</v>
      </c>
      <c r="AA881" s="238"/>
      <c r="AB881" s="233" t="str">
        <f>IF(B881="insumo",_xlfn.XLOOKUP(S881,Insumos!A:A,Insumos!D:D),"")</f>
        <v>Agregados Nestor</v>
      </c>
      <c r="AC881" s="239">
        <f t="shared" ca="1" si="603"/>
        <v>1.4048307575050407E-4</v>
      </c>
      <c r="AE881" s="240">
        <f ca="1">IFERROR(IF(OR(Z881="",Z881=0),"",IF(AF881="","",IF(AF881="R$/mês",Z881/OBRA!$D$12,IF(AF881="R$/m²",Z881/OBRA!$D$10,IF(AF881="R$/apto",Orçamento!Z881/OBRA!$D$11,""))))),"")</f>
        <v>0.50393166274707579</v>
      </c>
      <c r="AF881" s="241" t="s">
        <v>154</v>
      </c>
    </row>
    <row r="882" spans="1:32" s="10" customFormat="1" ht="13.15" hidden="1" customHeight="1" outlineLevel="3" collapsed="1" x14ac:dyDescent="0.2">
      <c r="A882" s="227"/>
      <c r="B882" s="228" t="s">
        <v>3</v>
      </c>
      <c r="C882" s="229" t="str">
        <f t="shared" si="601"/>
        <v/>
      </c>
      <c r="D882" s="227" t="str">
        <f t="shared" ca="1" si="612"/>
        <v>06.003.002</v>
      </c>
      <c r="E882" s="228" t="str">
        <f t="shared" ca="1" si="613"/>
        <v>06.003.001.001</v>
      </c>
      <c r="F882" s="230">
        <f ca="1">IF($B882="UNIDADE CONSTRUTIVA",OFFSET(F882,-1,0)+1,LARGE(F$10:F881,1))</f>
        <v>2</v>
      </c>
      <c r="G882" s="228" t="str">
        <f t="shared" ca="1" si="614"/>
        <v xml:space="preserve">   GERENCIAMENTO EXECUTIVO</v>
      </c>
      <c r="H882" s="230">
        <f t="shared" ca="1" si="615"/>
        <v>6</v>
      </c>
      <c r="I882" s="228" t="str">
        <f t="shared" ca="1" si="616"/>
        <v xml:space="preserve">   IMPERMEABILIZAÇÃO E TRATAMENTOS</v>
      </c>
      <c r="J882" s="230">
        <f t="shared" ca="1" si="617"/>
        <v>3</v>
      </c>
      <c r="K882" s="228" t="str">
        <f t="shared" ca="1" si="618"/>
        <v xml:space="preserve">   IMPERMEABILIZAÇÃO E TRATAMENTOS - 3º  ao 7º PAVIMENTO - TIPO</v>
      </c>
      <c r="L882" s="231">
        <f t="shared" ca="1" si="619"/>
        <v>2</v>
      </c>
      <c r="M882" s="228" t="str">
        <f t="shared" ca="1" si="620"/>
        <v xml:space="preserve">   Impermeabilização Flexível com Manta</v>
      </c>
      <c r="N882" s="231">
        <f t="shared" ca="1" si="621"/>
        <v>0</v>
      </c>
      <c r="O882" s="228" t="str">
        <f t="shared" ca="1" si="622"/>
        <v>Regularizacao de superficie para impermeabilizacao</v>
      </c>
      <c r="P882" s="232" t="str">
        <f>IF(S882="","",IF(Orçamento!$B882="INSUMO",S882,""))</f>
        <v/>
      </c>
      <c r="Q882" s="244" t="str">
        <f t="shared" si="623"/>
        <v/>
      </c>
      <c r="R882" s="234">
        <f t="shared" ca="1" si="624"/>
        <v>489.75000000000006</v>
      </c>
      <c r="S882" s="233" t="s">
        <v>466</v>
      </c>
      <c r="T882" s="242" t="s">
        <v>35</v>
      </c>
      <c r="U882" s="235" t="str">
        <f>IF($B882="insumo",R882,"")</f>
        <v/>
      </c>
      <c r="V882" s="320" t="s">
        <v>35</v>
      </c>
      <c r="W882" s="236" t="str">
        <f>IFERROR(IF(B882="INSUMO",_xlfn.XLOOKUP(S882,Insumos!A:A,Insumos!C:C),""),"Inserir Preço")</f>
        <v/>
      </c>
      <c r="X882" s="235" t="str">
        <f t="shared" ca="1" si="625"/>
        <v/>
      </c>
      <c r="Y882" s="236" t="str">
        <f t="shared" si="611"/>
        <v/>
      </c>
      <c r="Z882" s="237">
        <f t="shared" ca="1" si="602"/>
        <v>1750.2072800000001</v>
      </c>
      <c r="AA882" s="238"/>
      <c r="AB882" s="233" t="str">
        <f>IF(B882="insumo",_xlfn.XLOOKUP(S882,Insumos!A:A,Insumos!D:D),"")</f>
        <v/>
      </c>
      <c r="AC882" s="239">
        <f t="shared" ca="1" si="603"/>
        <v>2.5108319131372802E-4</v>
      </c>
      <c r="AE882" s="240">
        <f ca="1">IFERROR(IF(OR(Z882="",Z882=0),"",IF(AF882="","",IF(AF882="R$/mês",Z882/OBRA!$D$12,IF(AF882="R$/m²",Z882/OBRA!$D$10,IF(AF882="R$/apto",Orçamento!Z882/OBRA!$D$11,""))))),"")</f>
        <v>0.90066913335014387</v>
      </c>
      <c r="AF882" s="241" t="s">
        <v>154</v>
      </c>
    </row>
    <row r="883" spans="1:32" s="10" customFormat="1" ht="13.15" hidden="1" customHeight="1" outlineLevel="4" x14ac:dyDescent="0.2">
      <c r="A883" s="227"/>
      <c r="B883" s="228" t="s">
        <v>4</v>
      </c>
      <c r="C883" s="229">
        <f t="shared" si="601"/>
        <v>5</v>
      </c>
      <c r="D883" s="227" t="str">
        <f t="shared" ca="1" si="612"/>
        <v>06.003.002.001</v>
      </c>
      <c r="E883" s="228" t="str">
        <f t="shared" ca="1" si="613"/>
        <v>06.003.002.001</v>
      </c>
      <c r="F883" s="230">
        <f ca="1">IF($B883="UNIDADE CONSTRUTIVA",OFFSET(F883,-1,0)+1,LARGE(F$10:F882,1))</f>
        <v>2</v>
      </c>
      <c r="G883" s="228" t="str">
        <f t="shared" ca="1" si="614"/>
        <v xml:space="preserve">   GERENCIAMENTO EXECUTIVO</v>
      </c>
      <c r="H883" s="230">
        <f t="shared" ca="1" si="615"/>
        <v>6</v>
      </c>
      <c r="I883" s="228" t="str">
        <f t="shared" ca="1" si="616"/>
        <v xml:space="preserve">   IMPERMEABILIZAÇÃO E TRATAMENTOS</v>
      </c>
      <c r="J883" s="230">
        <f t="shared" ca="1" si="617"/>
        <v>3</v>
      </c>
      <c r="K883" s="228" t="str">
        <f t="shared" ca="1" si="618"/>
        <v xml:space="preserve">   IMPERMEABILIZAÇÃO E TRATAMENTOS - 3º  ao 7º PAVIMENTO - TIPO</v>
      </c>
      <c r="L883" s="231">
        <f t="shared" ca="1" si="619"/>
        <v>2</v>
      </c>
      <c r="M883" s="228" t="str">
        <f t="shared" ca="1" si="620"/>
        <v xml:space="preserve">   Impermeabilização Flexível com Manta</v>
      </c>
      <c r="N883" s="231">
        <f t="shared" ca="1" si="621"/>
        <v>1</v>
      </c>
      <c r="O883" s="228" t="str">
        <f t="shared" ca="1" si="622"/>
        <v>Impermeabilizacao com manta asfaltica espessura 4mm, uma camada, aplicacao com primer asfaltico</v>
      </c>
      <c r="P883" s="232" t="str">
        <f>IF(S883="","",IF(Orçamento!$B883="INSUMO",S883,""))</f>
        <v/>
      </c>
      <c r="Q883" s="244" t="str">
        <f t="shared" si="623"/>
        <v>Impermeabilizacao com manta asfaltica espessura 4mm, uma camada, aplicacao com primer asfaltico</v>
      </c>
      <c r="R883" s="234">
        <f t="shared" ca="1" si="624"/>
        <v>19.79</v>
      </c>
      <c r="S883" s="233" t="s">
        <v>467</v>
      </c>
      <c r="T883" s="242" t="s">
        <v>140</v>
      </c>
      <c r="U883" s="235">
        <v>19.79</v>
      </c>
      <c r="V883" s="320" t="s">
        <v>35</v>
      </c>
      <c r="W883" s="236" t="str">
        <f>IFERROR(IF(B883="INSUMO",_xlfn.XLOOKUP(S883,Insumos!A:A,Insumos!C:C),""),"Inserir Preço")</f>
        <v/>
      </c>
      <c r="X883" s="235">
        <f t="shared" ca="1" si="625"/>
        <v>19.79</v>
      </c>
      <c r="Y883" s="236">
        <f t="shared" ca="1" si="611"/>
        <v>48.632000000000005</v>
      </c>
      <c r="Z883" s="237">
        <f t="shared" ca="1" si="602"/>
        <v>962.42728000000011</v>
      </c>
      <c r="AA883" s="238"/>
      <c r="AB883" s="233" t="str">
        <f>IF(B883="insumo",_xlfn.XLOOKUP(S883,Insumos!A:A,Insumos!D:D),"")</f>
        <v/>
      </c>
      <c r="AC883" s="239">
        <f t="shared" ca="1" si="603"/>
        <v>1.3806896796234952E-4</v>
      </c>
      <c r="AE883" s="240">
        <f ca="1">IFERROR(IF(OR(Z883="",Z883=0),"",IF(AF883="","",IF(AF883="R$/mês",Z883/OBRA!$D$12,IF(AF883="R$/m²",Z883/OBRA!$D$10,IF(AF883="R$/apto",Orçamento!Z883/OBRA!$D$11,""))))),"")</f>
        <v>0.49527193384210827</v>
      </c>
      <c r="AF883" s="241" t="s">
        <v>154</v>
      </c>
    </row>
    <row r="884" spans="1:32" s="10" customFormat="1" ht="13.15" hidden="1" customHeight="1" outlineLevel="4" x14ac:dyDescent="0.2">
      <c r="A884" s="227"/>
      <c r="B884" s="228" t="s">
        <v>19</v>
      </c>
      <c r="C884" s="229">
        <f t="shared" si="601"/>
        <v>5</v>
      </c>
      <c r="D884" s="227" t="str">
        <f t="shared" si="612"/>
        <v/>
      </c>
      <c r="E884" s="228" t="str">
        <f t="shared" ca="1" si="613"/>
        <v>06.003.002.001</v>
      </c>
      <c r="F884" s="230">
        <f ca="1">IF($B884="UNIDADE CONSTRUTIVA",OFFSET(F884,-1,0)+1,LARGE(F$10:F883,1))</f>
        <v>2</v>
      </c>
      <c r="G884" s="228" t="str">
        <f t="shared" ca="1" si="614"/>
        <v xml:space="preserve">   GERENCIAMENTO EXECUTIVO</v>
      </c>
      <c r="H884" s="230">
        <f t="shared" ca="1" si="615"/>
        <v>6</v>
      </c>
      <c r="I884" s="228" t="str">
        <f t="shared" ca="1" si="616"/>
        <v xml:space="preserve">   IMPERMEABILIZAÇÃO E TRATAMENTOS</v>
      </c>
      <c r="J884" s="230">
        <f t="shared" ca="1" si="617"/>
        <v>3</v>
      </c>
      <c r="K884" s="228" t="str">
        <f t="shared" ca="1" si="618"/>
        <v xml:space="preserve">   IMPERMEABILIZAÇÃO E TRATAMENTOS - 3º  ao 7º PAVIMENTO - TIPO</v>
      </c>
      <c r="L884" s="231">
        <f t="shared" ca="1" si="619"/>
        <v>2</v>
      </c>
      <c r="M884" s="228" t="str">
        <f t="shared" ca="1" si="620"/>
        <v xml:space="preserve">   Impermeabilização Flexível com Manta</v>
      </c>
      <c r="N884" s="231">
        <f t="shared" ca="1" si="621"/>
        <v>1</v>
      </c>
      <c r="O884" s="228" t="str">
        <f t="shared" ca="1" si="622"/>
        <v>Impermeabilizacao com manta asfaltica espessura 4mm, uma camada, aplicacao com primer asfaltico</v>
      </c>
      <c r="P884" s="232" t="str">
        <f>IF(S884="","",IF(Orçamento!$B884="INSUMO",S884,""))</f>
        <v>PRIMER A BASE DE ASFALTO MODIFICADO DILUIDO EM SOLVENTE APLIC. A FRIO</v>
      </c>
      <c r="Q884" s="244" t="str">
        <f t="shared" si="623"/>
        <v/>
      </c>
      <c r="R884" s="234">
        <f t="shared" ca="1" si="624"/>
        <v>19.79</v>
      </c>
      <c r="S884" s="233" t="s">
        <v>367</v>
      </c>
      <c r="T884" s="242" t="str">
        <f>_xlfn.XLOOKUP(S884,Insumos!$A$3:$A$371,Insumos!$B$3:$B$371)</f>
        <v>L</v>
      </c>
      <c r="U884" s="235">
        <f ca="1">IF($B884="insumo",R884,"")</f>
        <v>19.79</v>
      </c>
      <c r="V884" s="320">
        <v>0.6</v>
      </c>
      <c r="W884" s="236">
        <f>IFERROR(IF(B884="INSUMO",_xlfn.XLOOKUP(S884,Insumos!A:A,Insumos!C:C),""),"Inserir Preço")</f>
        <v>11.9</v>
      </c>
      <c r="X884" s="235">
        <f t="shared" ca="1" si="625"/>
        <v>11.873999999999999</v>
      </c>
      <c r="Y884" s="236">
        <f t="shared" si="611"/>
        <v>7.14</v>
      </c>
      <c r="Z884" s="237">
        <f t="shared" ca="1" si="602"/>
        <v>141.3006</v>
      </c>
      <c r="AA884" s="238"/>
      <c r="AB884" s="233" t="str">
        <f>IF(B884="insumo",_xlfn.XLOOKUP(S884,Insumos!A:A,Insumos!D:D),"")</f>
        <v xml:space="preserve"> </v>
      </c>
      <c r="AC884" s="239">
        <f t="shared" ca="1" si="603"/>
        <v>2.0270859336469311E-5</v>
      </c>
      <c r="AE884" s="240">
        <f ca="1">IFERROR(IF(OR(Z884="",Z884=0),"",IF(AF884="","",IF(AF884="R$/mês",Z884/OBRA!$D$12,IF(AF884="R$/m²",Z884/OBRA!$D$10,IF(AF884="R$/apto",Orçamento!Z884/OBRA!$D$11,""))))),"")</f>
        <v>7.2714295271275139E-2</v>
      </c>
      <c r="AF884" s="241" t="s">
        <v>154</v>
      </c>
    </row>
    <row r="885" spans="1:32" s="10" customFormat="1" ht="13.15" hidden="1" customHeight="1" outlineLevel="4" x14ac:dyDescent="0.2">
      <c r="A885" s="227"/>
      <c r="B885" s="228" t="s">
        <v>19</v>
      </c>
      <c r="C885" s="229">
        <f t="shared" si="601"/>
        <v>5</v>
      </c>
      <c r="D885" s="227" t="str">
        <f t="shared" si="612"/>
        <v/>
      </c>
      <c r="E885" s="228" t="str">
        <f t="shared" ca="1" si="613"/>
        <v>06.003.002.001</v>
      </c>
      <c r="F885" s="230">
        <f ca="1">IF($B885="UNIDADE CONSTRUTIVA",OFFSET(F885,-1,0)+1,LARGE(F$10:F884,1))</f>
        <v>2</v>
      </c>
      <c r="G885" s="228" t="str">
        <f t="shared" ca="1" si="614"/>
        <v xml:space="preserve">   GERENCIAMENTO EXECUTIVO</v>
      </c>
      <c r="H885" s="230">
        <f t="shared" ca="1" si="615"/>
        <v>6</v>
      </c>
      <c r="I885" s="228" t="str">
        <f t="shared" ca="1" si="616"/>
        <v xml:space="preserve">   IMPERMEABILIZAÇÃO E TRATAMENTOS</v>
      </c>
      <c r="J885" s="230">
        <f t="shared" ca="1" si="617"/>
        <v>3</v>
      </c>
      <c r="K885" s="228" t="str">
        <f t="shared" ca="1" si="618"/>
        <v xml:space="preserve">   IMPERMEABILIZAÇÃO E TRATAMENTOS - 3º  ao 7º PAVIMENTO - TIPO</v>
      </c>
      <c r="L885" s="231">
        <f t="shared" ca="1" si="619"/>
        <v>2</v>
      </c>
      <c r="M885" s="228" t="str">
        <f t="shared" ca="1" si="620"/>
        <v xml:space="preserve">   Impermeabilização Flexível com Manta</v>
      </c>
      <c r="N885" s="231">
        <f t="shared" ca="1" si="621"/>
        <v>1</v>
      </c>
      <c r="O885" s="228" t="str">
        <f t="shared" ca="1" si="622"/>
        <v>Impermeabilizacao com manta asfaltica espessura 4mm, uma camada, aplicacao com primer asfaltico</v>
      </c>
      <c r="P885" s="232" t="str">
        <f>IF(S885="","",IF(Orçamento!$B885="INSUMO",S885,""))</f>
        <v>MANTA ASFALTICA ELASTOMERICA EM POLIESTER 3MM, TIPO III, CLASSE B, ACA</v>
      </c>
      <c r="Q885" s="244" t="str">
        <f t="shared" si="623"/>
        <v/>
      </c>
      <c r="R885" s="234">
        <f t="shared" ca="1" si="624"/>
        <v>19.79</v>
      </c>
      <c r="S885" s="233" t="s">
        <v>326</v>
      </c>
      <c r="T885" s="242" t="str">
        <f>_xlfn.XLOOKUP(S885,Insumos!$A$3:$A$371,Insumos!$B$3:$B$371)</f>
        <v>M2</v>
      </c>
      <c r="U885" s="235">
        <f ca="1">IF($B885="insumo",R885,"")</f>
        <v>19.79</v>
      </c>
      <c r="V885" s="320">
        <v>1.1000000000000001</v>
      </c>
      <c r="W885" s="236">
        <f>IFERROR(IF(B885="INSUMO",_xlfn.XLOOKUP(S885,Insumos!A:A,Insumos!C:C),""),"Inserir Preço")</f>
        <v>37.72</v>
      </c>
      <c r="X885" s="235">
        <f t="shared" ca="1" si="625"/>
        <v>21.769000000000002</v>
      </c>
      <c r="Y885" s="236">
        <f t="shared" si="611"/>
        <v>41.492000000000004</v>
      </c>
      <c r="Z885" s="237">
        <f t="shared" ca="1" si="602"/>
        <v>821.12668000000008</v>
      </c>
      <c r="AA885" s="238"/>
      <c r="AB885" s="233" t="str">
        <f>IF(B885="insumo",_xlfn.XLOOKUP(S885,Insumos!A:A,Insumos!D:D),"")</f>
        <v xml:space="preserve"> </v>
      </c>
      <c r="AC885" s="239">
        <f t="shared" ca="1" si="603"/>
        <v>1.1779810862588021E-4</v>
      </c>
      <c r="AE885" s="240">
        <f ca="1">IFERROR(IF(OR(Z885="",Z885=0),"",IF(AF885="","",IF(AF885="R$/mês",Z885/OBRA!$D$12,IF(AF885="R$/m²",Z885/OBRA!$D$10,IF(AF885="R$/apto",Orçamento!Z885/OBRA!$D$11,""))))),"")</f>
        <v>0.42255763857083312</v>
      </c>
      <c r="AF885" s="241" t="s">
        <v>154</v>
      </c>
    </row>
    <row r="886" spans="1:32" s="10" customFormat="1" ht="13.15" hidden="1" customHeight="1" outlineLevel="4" x14ac:dyDescent="0.2">
      <c r="A886" s="227"/>
      <c r="B886" s="228" t="s">
        <v>4</v>
      </c>
      <c r="C886" s="229">
        <f t="shared" si="601"/>
        <v>4</v>
      </c>
      <c r="D886" s="227" t="str">
        <f t="shared" ca="1" si="612"/>
        <v>06.003.002.002</v>
      </c>
      <c r="E886" s="228" t="str">
        <f t="shared" ca="1" si="613"/>
        <v>06.003.002.002</v>
      </c>
      <c r="F886" s="230">
        <f ca="1">IF($B886="UNIDADE CONSTRUTIVA",OFFSET(F886,-1,0)+1,LARGE(F$10:F885,1))</f>
        <v>2</v>
      </c>
      <c r="G886" s="228" t="str">
        <f t="shared" ca="1" si="614"/>
        <v xml:space="preserve">   GERENCIAMENTO EXECUTIVO</v>
      </c>
      <c r="H886" s="230">
        <f t="shared" ca="1" si="615"/>
        <v>6</v>
      </c>
      <c r="I886" s="228" t="str">
        <f t="shared" ca="1" si="616"/>
        <v xml:space="preserve">   IMPERMEABILIZAÇÃO E TRATAMENTOS</v>
      </c>
      <c r="J886" s="230">
        <f t="shared" ca="1" si="617"/>
        <v>3</v>
      </c>
      <c r="K886" s="228" t="str">
        <f t="shared" ca="1" si="618"/>
        <v xml:space="preserve">   IMPERMEABILIZAÇÃO E TRATAMENTOS - 3º  ao 7º PAVIMENTO - TIPO</v>
      </c>
      <c r="L886" s="231">
        <f t="shared" ca="1" si="619"/>
        <v>2</v>
      </c>
      <c r="M886" s="228" t="str">
        <f t="shared" ca="1" si="620"/>
        <v xml:space="preserve">   Impermeabilização Flexível com Manta</v>
      </c>
      <c r="N886" s="231">
        <f t="shared" ca="1" si="621"/>
        <v>2</v>
      </c>
      <c r="O886" s="228" t="str">
        <f t="shared" ca="1" si="622"/>
        <v>Tratamento de ralo com manta de poliester</v>
      </c>
      <c r="P886" s="232" t="str">
        <f>IF(S886="","",IF(Orçamento!$B886="INSUMO",S886,""))</f>
        <v/>
      </c>
      <c r="Q886" s="244" t="str">
        <f t="shared" si="623"/>
        <v>Tratamento de ralo com manta de poliester</v>
      </c>
      <c r="R886" s="234">
        <f t="shared" ca="1" si="624"/>
        <v>70</v>
      </c>
      <c r="S886" s="233" t="s">
        <v>1153</v>
      </c>
      <c r="T886" s="242" t="s">
        <v>142</v>
      </c>
      <c r="U886" s="235">
        <f>14*5</f>
        <v>70</v>
      </c>
      <c r="V886" s="320" t="s">
        <v>35</v>
      </c>
      <c r="W886" s="236" t="str">
        <f>IFERROR(IF(B886="INSUMO",_xlfn.XLOOKUP(S886,Insumos!A:A,Insumos!C:C),""),"Inserir Preço")</f>
        <v/>
      </c>
      <c r="X886" s="235">
        <f t="shared" ca="1" si="625"/>
        <v>70</v>
      </c>
      <c r="Y886" s="236">
        <f t="shared" ca="1" si="611"/>
        <v>11.254</v>
      </c>
      <c r="Z886" s="237">
        <f t="shared" ca="1" si="602"/>
        <v>787.78</v>
      </c>
      <c r="AA886" s="238"/>
      <c r="AB886" s="233" t="str">
        <f>IF(B886="insumo",_xlfn.XLOOKUP(S886,Insumos!A:A,Insumos!D:D),"")</f>
        <v/>
      </c>
      <c r="AC886" s="239">
        <f t="shared" ca="1" si="603"/>
        <v>1.130142233513785E-4</v>
      </c>
      <c r="AE886" s="240">
        <f ca="1">IFERROR(IF(OR(Z886="",Z886=0),"",IF(AF886="","",IF(AF886="R$/mês",Z886/OBRA!$D$12,IF(AF886="R$/m²",Z886/OBRA!$D$10,IF(AF886="R$/apto",Orçamento!Z886/OBRA!$D$11,""))))),"")</f>
        <v>0.4053971995080356</v>
      </c>
      <c r="AF886" s="241" t="s">
        <v>154</v>
      </c>
    </row>
    <row r="887" spans="1:32" s="10" customFormat="1" ht="13.15" hidden="1" customHeight="1" outlineLevel="4" x14ac:dyDescent="0.2">
      <c r="A887" s="227"/>
      <c r="B887" s="228" t="s">
        <v>19</v>
      </c>
      <c r="C887" s="229">
        <f t="shared" si="601"/>
        <v>4</v>
      </c>
      <c r="D887" s="227" t="str">
        <f t="shared" si="612"/>
        <v/>
      </c>
      <c r="E887" s="228" t="str">
        <f t="shared" ca="1" si="613"/>
        <v>06.003.002.002</v>
      </c>
      <c r="F887" s="230">
        <f ca="1">IF($B887="UNIDADE CONSTRUTIVA",OFFSET(F887,-1,0)+1,LARGE(F$10:F886,1))</f>
        <v>2</v>
      </c>
      <c r="G887" s="228" t="str">
        <f t="shared" ca="1" si="614"/>
        <v xml:space="preserve">   GERENCIAMENTO EXECUTIVO</v>
      </c>
      <c r="H887" s="230">
        <f t="shared" ca="1" si="615"/>
        <v>6</v>
      </c>
      <c r="I887" s="228" t="str">
        <f t="shared" ca="1" si="616"/>
        <v xml:space="preserve">   IMPERMEABILIZAÇÃO E TRATAMENTOS</v>
      </c>
      <c r="J887" s="230">
        <f t="shared" ca="1" si="617"/>
        <v>3</v>
      </c>
      <c r="K887" s="228" t="str">
        <f t="shared" ca="1" si="618"/>
        <v xml:space="preserve">   IMPERMEABILIZAÇÃO E TRATAMENTOS - 3º  ao 7º PAVIMENTO - TIPO</v>
      </c>
      <c r="L887" s="231">
        <f t="shared" ca="1" si="619"/>
        <v>2</v>
      </c>
      <c r="M887" s="228" t="str">
        <f t="shared" ca="1" si="620"/>
        <v xml:space="preserve">   Impermeabilização Flexível com Manta</v>
      </c>
      <c r="N887" s="231">
        <f t="shared" ca="1" si="621"/>
        <v>2</v>
      </c>
      <c r="O887" s="228" t="str">
        <f t="shared" ca="1" si="622"/>
        <v>Tratamento de ralo com manta de poliester</v>
      </c>
      <c r="P887" s="232" t="str">
        <f>IF(S887="","",IF(Orçamento!$B887="INSUMO",S887,""))</f>
        <v>MANTA VEU POLIESTER BRANCA, L=1,05 M X 100 M</v>
      </c>
      <c r="Q887" s="244" t="str">
        <f t="shared" si="623"/>
        <v/>
      </c>
      <c r="R887" s="234">
        <f t="shared" ca="1" si="624"/>
        <v>70</v>
      </c>
      <c r="S887" s="233" t="s">
        <v>1155</v>
      </c>
      <c r="T887" s="242" t="str">
        <f>_xlfn.XLOOKUP(S887,Insumos!$A$3:$A$371,Insumos!$B$3:$B$371)</f>
        <v>M2</v>
      </c>
      <c r="U887" s="235">
        <v>0.26400000000000001</v>
      </c>
      <c r="V887" s="320">
        <v>0.61499999999999999</v>
      </c>
      <c r="W887" s="236">
        <f>IFERROR(IF(B887="INSUMO",_xlfn.XLOOKUP(S887,Insumos!A:A,Insumos!C:C),""),"Inserir Preço")</f>
        <v>3.4</v>
      </c>
      <c r="X887" s="235">
        <f t="shared" ca="1" si="625"/>
        <v>43.05</v>
      </c>
      <c r="Y887" s="236">
        <f t="shared" si="611"/>
        <v>2.0909999999999997</v>
      </c>
      <c r="Z887" s="237">
        <f t="shared" ca="1" si="602"/>
        <v>146.36999999999998</v>
      </c>
      <c r="AA887" s="238"/>
      <c r="AB887" s="233" t="str">
        <f>IF(B887="insumo",_xlfn.XLOOKUP(S887,Insumos!A:A,Insumos!D:D),"")</f>
        <v xml:space="preserve"> </v>
      </c>
      <c r="AC887" s="239">
        <f t="shared" ca="1" si="603"/>
        <v>2.0998110985225914E-5</v>
      </c>
      <c r="AE887" s="240">
        <f ca="1">IFERROR(IF(OR(Z887="",Z887=0),"",IF(AF887="","",IF(AF887="R$/mês",Z887/OBRA!$D$12,IF(AF887="R$/m²",Z887/OBRA!$D$10,IF(AF887="R$/apto",Orçamento!Z887/OBRA!$D$11,""))))),"")</f>
        <v>7.5323044621583637E-2</v>
      </c>
      <c r="AF887" s="241" t="s">
        <v>154</v>
      </c>
    </row>
    <row r="888" spans="1:32" s="10" customFormat="1" ht="13.15" hidden="1" customHeight="1" outlineLevel="4" x14ac:dyDescent="0.2">
      <c r="A888" s="227"/>
      <c r="B888" s="228" t="s">
        <v>19</v>
      </c>
      <c r="C888" s="229">
        <f t="shared" si="601"/>
        <v>4</v>
      </c>
      <c r="D888" s="227" t="str">
        <f t="shared" si="612"/>
        <v/>
      </c>
      <c r="E888" s="228" t="str">
        <f t="shared" ca="1" si="613"/>
        <v>06.003.002.002</v>
      </c>
      <c r="F888" s="230">
        <f ca="1">IF($B888="UNIDADE CONSTRUTIVA",OFFSET(F888,-1,0)+1,LARGE(F$10:F887,1))</f>
        <v>2</v>
      </c>
      <c r="G888" s="228" t="str">
        <f t="shared" ca="1" si="614"/>
        <v xml:space="preserve">   GERENCIAMENTO EXECUTIVO</v>
      </c>
      <c r="H888" s="230">
        <f t="shared" ca="1" si="615"/>
        <v>6</v>
      </c>
      <c r="I888" s="228" t="str">
        <f t="shared" ca="1" si="616"/>
        <v xml:space="preserve">   IMPERMEABILIZAÇÃO E TRATAMENTOS</v>
      </c>
      <c r="J888" s="230">
        <f t="shared" ca="1" si="617"/>
        <v>3</v>
      </c>
      <c r="K888" s="228" t="str">
        <f t="shared" ca="1" si="618"/>
        <v xml:space="preserve">   IMPERMEABILIZAÇÃO E TRATAMENTOS - 3º  ao 7º PAVIMENTO - TIPO</v>
      </c>
      <c r="L888" s="231">
        <f t="shared" ca="1" si="619"/>
        <v>2</v>
      </c>
      <c r="M888" s="228" t="str">
        <f t="shared" ca="1" si="620"/>
        <v xml:space="preserve">   Impermeabilização Flexível com Manta</v>
      </c>
      <c r="N888" s="231">
        <f t="shared" ca="1" si="621"/>
        <v>2</v>
      </c>
      <c r="O888" s="228" t="str">
        <f t="shared" ca="1" si="622"/>
        <v>Tratamento de ralo com manta de poliester</v>
      </c>
      <c r="P888" s="232" t="str">
        <f>IF(S888="","",IF(Orçamento!$B888="INSUMO",S888,""))</f>
        <v>IMPERMEABILIZANTE FLEXÍVEL E ELÁSTICO BICOMPONENTE COM FIBRAS</v>
      </c>
      <c r="Q888" s="244" t="str">
        <f t="shared" si="623"/>
        <v/>
      </c>
      <c r="R888" s="234">
        <f t="shared" ca="1" si="624"/>
        <v>70</v>
      </c>
      <c r="S888" s="233" t="s">
        <v>1154</v>
      </c>
      <c r="T888" s="242" t="str">
        <f>_xlfn.XLOOKUP(S888,Insumos!$A$3:$A$371,Insumos!$B$3:$B$371)</f>
        <v>KG</v>
      </c>
      <c r="U888" s="235">
        <v>0.67200000000000004</v>
      </c>
      <c r="V888" s="320">
        <v>1.1000000000000001</v>
      </c>
      <c r="W888" s="236">
        <f>IFERROR(IF(B888="INSUMO",_xlfn.XLOOKUP(S888,Insumos!A:A,Insumos!C:C),""),"Inserir Preço")</f>
        <v>8.33</v>
      </c>
      <c r="X888" s="235">
        <f t="shared" ca="1" si="625"/>
        <v>77</v>
      </c>
      <c r="Y888" s="236">
        <f t="shared" si="611"/>
        <v>9.1630000000000003</v>
      </c>
      <c r="Z888" s="237">
        <f t="shared" ca="1" si="602"/>
        <v>641.41</v>
      </c>
      <c r="AA888" s="238"/>
      <c r="AB888" s="233" t="str">
        <f>IF(B888="insumo",_xlfn.XLOOKUP(S888,Insumos!A:A,Insumos!D:D),"")</f>
        <v xml:space="preserve"> </v>
      </c>
      <c r="AC888" s="239">
        <f t="shared" ca="1" si="603"/>
        <v>9.2016112366152591E-5</v>
      </c>
      <c r="AE888" s="240">
        <f ca="1">IFERROR(IF(OR(Z888="",Z888=0),"",IF(AF888="","",IF(AF888="R$/mês",Z888/OBRA!$D$12,IF(AF888="R$/m²",Z888/OBRA!$D$10,IF(AF888="R$/apto",Orçamento!Z888/OBRA!$D$11,""))))),"")</f>
        <v>0.33007415488645192</v>
      </c>
      <c r="AF888" s="241" t="s">
        <v>154</v>
      </c>
    </row>
    <row r="889" spans="1:32" s="10" customFormat="1" ht="13.15" hidden="1" customHeight="1" outlineLevel="3" collapsed="1" x14ac:dyDescent="0.2">
      <c r="A889" s="227"/>
      <c r="B889" s="228" t="s">
        <v>3</v>
      </c>
      <c r="C889" s="229" t="str">
        <f t="shared" si="601"/>
        <v/>
      </c>
      <c r="D889" s="227" t="str">
        <f t="shared" ca="1" si="612"/>
        <v>06.003.003</v>
      </c>
      <c r="E889" s="228" t="str">
        <f t="shared" ca="1" si="613"/>
        <v>06.003.002.002</v>
      </c>
      <c r="F889" s="230">
        <f ca="1">IF($B889="UNIDADE CONSTRUTIVA",OFFSET(F889,-1,0)+1,LARGE(F$10:F888,1))</f>
        <v>2</v>
      </c>
      <c r="G889" s="228" t="str">
        <f t="shared" ca="1" si="614"/>
        <v xml:space="preserve">   GERENCIAMENTO EXECUTIVO</v>
      </c>
      <c r="H889" s="230">
        <f t="shared" ca="1" si="615"/>
        <v>6</v>
      </c>
      <c r="I889" s="228" t="str">
        <f t="shared" ca="1" si="616"/>
        <v xml:space="preserve">   IMPERMEABILIZAÇÃO E TRATAMENTOS</v>
      </c>
      <c r="J889" s="230">
        <f t="shared" ca="1" si="617"/>
        <v>3</v>
      </c>
      <c r="K889" s="228" t="str">
        <f t="shared" ca="1" si="618"/>
        <v xml:space="preserve">   IMPERMEABILIZAÇÃO E TRATAMENTOS - 3º  ao 7º PAVIMENTO - TIPO</v>
      </c>
      <c r="L889" s="231">
        <f t="shared" ca="1" si="619"/>
        <v>3</v>
      </c>
      <c r="M889" s="228" t="str">
        <f t="shared" ca="1" si="620"/>
        <v xml:space="preserve">   Impermeabilização Rígida</v>
      </c>
      <c r="N889" s="231">
        <f t="shared" ca="1" si="621"/>
        <v>0</v>
      </c>
      <c r="O889" s="228" t="str">
        <f t="shared" ca="1" si="622"/>
        <v>Tratamento de ralo com manta de poliester</v>
      </c>
      <c r="P889" s="232" t="str">
        <f>IF(S889="","",IF(Orçamento!$B889="INSUMO",S889,""))</f>
        <v/>
      </c>
      <c r="Q889" s="244" t="str">
        <f t="shared" si="623"/>
        <v/>
      </c>
      <c r="R889" s="234">
        <f t="shared" ca="1" si="624"/>
        <v>70</v>
      </c>
      <c r="S889" s="233" t="s">
        <v>468</v>
      </c>
      <c r="T889" s="242" t="s">
        <v>35</v>
      </c>
      <c r="U889" s="235" t="str">
        <f>IF($B889="insumo",R889,"")</f>
        <v/>
      </c>
      <c r="V889" s="320" t="s">
        <v>35</v>
      </c>
      <c r="W889" s="236" t="str">
        <f>IFERROR(IF(B889="INSUMO",_xlfn.XLOOKUP(S889,Insumos!A:A,Insumos!C:C),""),"Inserir Preço")</f>
        <v/>
      </c>
      <c r="X889" s="235" t="str">
        <f t="shared" ca="1" si="625"/>
        <v/>
      </c>
      <c r="Y889" s="236" t="str">
        <f t="shared" si="611"/>
        <v/>
      </c>
      <c r="Z889" s="237">
        <f t="shared" ca="1" si="602"/>
        <v>17038.869760000005</v>
      </c>
      <c r="AA889" s="238"/>
      <c r="AB889" s="233" t="str">
        <f>IF(B889="insumo",_xlfn.XLOOKUP(S889,Insumos!A:A,Insumos!D:D),"")</f>
        <v/>
      </c>
      <c r="AC889" s="239">
        <f t="shared" ca="1" si="603"/>
        <v>2.4443812139324297E-3</v>
      </c>
      <c r="AE889" s="240">
        <f ca="1">IFERROR(IF(OR(Z889="",Z889=0),"",IF(AF889="","",IF(AF889="R$/mês",Z889/OBRA!$D$12,IF(AF889="R$/m²",Z889/OBRA!$D$10,IF(AF889="R$/apto",Orçamento!Z889/OBRA!$D$11,""))))),"")</f>
        <v>8.7683237496333444</v>
      </c>
      <c r="AF889" s="241" t="s">
        <v>154</v>
      </c>
    </row>
    <row r="890" spans="1:32" s="10" customFormat="1" ht="13.15" hidden="1" customHeight="1" outlineLevel="4" x14ac:dyDescent="0.2">
      <c r="A890" s="227"/>
      <c r="B890" s="228" t="s">
        <v>4</v>
      </c>
      <c r="C890" s="229">
        <f t="shared" si="601"/>
        <v>4</v>
      </c>
      <c r="D890" s="227" t="str">
        <f t="shared" ca="1" si="612"/>
        <v>06.003.003.001</v>
      </c>
      <c r="E890" s="228" t="str">
        <f t="shared" ca="1" si="613"/>
        <v>06.003.003.001</v>
      </c>
      <c r="F890" s="230">
        <f ca="1">IF($B890="UNIDADE CONSTRUTIVA",OFFSET(F890,-1,0)+1,LARGE(F$10:F889,1))</f>
        <v>2</v>
      </c>
      <c r="G890" s="228" t="str">
        <f t="shared" ca="1" si="614"/>
        <v xml:space="preserve">   GERENCIAMENTO EXECUTIVO</v>
      </c>
      <c r="H890" s="230">
        <f t="shared" ca="1" si="615"/>
        <v>6</v>
      </c>
      <c r="I890" s="228" t="str">
        <f t="shared" ca="1" si="616"/>
        <v xml:space="preserve">   IMPERMEABILIZAÇÃO E TRATAMENTOS</v>
      </c>
      <c r="J890" s="230">
        <f t="shared" ca="1" si="617"/>
        <v>3</v>
      </c>
      <c r="K890" s="228" t="str">
        <f t="shared" ca="1" si="618"/>
        <v xml:space="preserve">   IMPERMEABILIZAÇÃO E TRATAMENTOS - 3º  ao 7º PAVIMENTO - TIPO</v>
      </c>
      <c r="L890" s="231">
        <f t="shared" ca="1" si="619"/>
        <v>3</v>
      </c>
      <c r="M890" s="228" t="str">
        <f t="shared" ca="1" si="620"/>
        <v xml:space="preserve">   Impermeabilização Rígida</v>
      </c>
      <c r="N890" s="231">
        <f t="shared" ca="1" si="621"/>
        <v>1</v>
      </c>
      <c r="O890" s="228" t="str">
        <f t="shared" ca="1" si="622"/>
        <v>Impermeabilizacao com argamassa polimerica impermeabilizante</v>
      </c>
      <c r="P890" s="232" t="str">
        <f>IF(S890="","",IF(Orçamento!$B890="INSUMO",S890,""))</f>
        <v/>
      </c>
      <c r="Q890" s="244" t="str">
        <f t="shared" si="623"/>
        <v>Impermeabilizacao com argamassa polimerica impermeabilizante</v>
      </c>
      <c r="R890" s="234">
        <f t="shared" ca="1" si="624"/>
        <v>469.96000000000004</v>
      </c>
      <c r="S890" s="233" t="s">
        <v>469</v>
      </c>
      <c r="T890" s="242" t="s">
        <v>140</v>
      </c>
      <c r="U890" s="235">
        <v>469.96000000000004</v>
      </c>
      <c r="V890" s="320" t="s">
        <v>35</v>
      </c>
      <c r="W890" s="236" t="str">
        <f>IFERROR(IF(B890="INSUMO",_xlfn.XLOOKUP(S890,Insumos!A:A,Insumos!C:C),""),"Inserir Preço")</f>
        <v/>
      </c>
      <c r="X890" s="235">
        <f t="shared" ca="1" si="625"/>
        <v>469.96000000000004</v>
      </c>
      <c r="Y890" s="236">
        <f t="shared" ca="1" si="611"/>
        <v>36.256</v>
      </c>
      <c r="Z890" s="237">
        <f t="shared" ca="1" si="602"/>
        <v>17038.869760000001</v>
      </c>
      <c r="AA890" s="238"/>
      <c r="AB890" s="233" t="str">
        <f>IF(B890="insumo",_xlfn.XLOOKUP(S890,Insumos!A:A,Insumos!D:D),"")</f>
        <v/>
      </c>
      <c r="AC890" s="239">
        <f t="shared" ca="1" si="603"/>
        <v>2.4443812139324293E-3</v>
      </c>
      <c r="AE890" s="240">
        <f ca="1">IFERROR(IF(OR(Z890="",Z890=0),"",IF(AF890="","",IF(AF890="R$/mês",Z890/OBRA!$D$12,IF(AF890="R$/m²",Z890/OBRA!$D$10,IF(AF890="R$/apto",Orçamento!Z890/OBRA!$D$11,""))))),"")</f>
        <v>8.7683237496333426</v>
      </c>
      <c r="AF890" s="241" t="s">
        <v>154</v>
      </c>
    </row>
    <row r="891" spans="1:32" s="10" customFormat="1" ht="13.15" hidden="1" customHeight="1" outlineLevel="4" x14ac:dyDescent="0.2">
      <c r="A891" s="227"/>
      <c r="B891" s="228" t="s">
        <v>19</v>
      </c>
      <c r="C891" s="229">
        <f t="shared" si="601"/>
        <v>4</v>
      </c>
      <c r="D891" s="227" t="str">
        <f t="shared" si="612"/>
        <v/>
      </c>
      <c r="E891" s="228" t="str">
        <f t="shared" ca="1" si="613"/>
        <v>06.003.003.001</v>
      </c>
      <c r="F891" s="230">
        <f ca="1">IF($B891="UNIDADE CONSTRUTIVA",OFFSET(F891,-1,0)+1,LARGE(F$10:F890,1))</f>
        <v>2</v>
      </c>
      <c r="G891" s="228" t="str">
        <f t="shared" ca="1" si="614"/>
        <v xml:space="preserve">   GERENCIAMENTO EXECUTIVO</v>
      </c>
      <c r="H891" s="230">
        <f t="shared" ca="1" si="615"/>
        <v>6</v>
      </c>
      <c r="I891" s="228" t="str">
        <f t="shared" ca="1" si="616"/>
        <v xml:space="preserve">   IMPERMEABILIZAÇÃO E TRATAMENTOS</v>
      </c>
      <c r="J891" s="230">
        <f t="shared" ca="1" si="617"/>
        <v>3</v>
      </c>
      <c r="K891" s="228" t="str">
        <f t="shared" ca="1" si="618"/>
        <v xml:space="preserve">   IMPERMEABILIZAÇÃO E TRATAMENTOS - 3º  ao 7º PAVIMENTO - TIPO</v>
      </c>
      <c r="L891" s="231">
        <f t="shared" ca="1" si="619"/>
        <v>3</v>
      </c>
      <c r="M891" s="228" t="str">
        <f t="shared" ca="1" si="620"/>
        <v xml:space="preserve">   Impermeabilização Rígida</v>
      </c>
      <c r="N891" s="231">
        <f t="shared" ca="1" si="621"/>
        <v>1</v>
      </c>
      <c r="O891" s="228" t="str">
        <f t="shared" ca="1" si="622"/>
        <v>Impermeabilizacao com argamassa polimerica impermeabilizante</v>
      </c>
      <c r="P891" s="232" t="str">
        <f>IF(S891="","",IF(Orçamento!$B891="INSUMO",S891,""))</f>
        <v>Argamassa Polimerica Impermeabilizante</v>
      </c>
      <c r="Q891" s="244" t="str">
        <f t="shared" si="623"/>
        <v/>
      </c>
      <c r="R891" s="234">
        <f t="shared" ca="1" si="624"/>
        <v>469.96000000000004</v>
      </c>
      <c r="S891" s="233" t="s">
        <v>539</v>
      </c>
      <c r="T891" s="242" t="str">
        <f>_xlfn.XLOOKUP(S891,Insumos!$A$3:$A$371,Insumos!$B$3:$B$371)</f>
        <v>KG</v>
      </c>
      <c r="U891" s="235">
        <f ca="1">IF($B891="insumo",R891,"")</f>
        <v>469.96000000000004</v>
      </c>
      <c r="V891" s="320">
        <v>3.2</v>
      </c>
      <c r="W891" s="236">
        <f>IFERROR(IF(B891="INSUMO",_xlfn.XLOOKUP(S891,Insumos!A:A,Insumos!C:C),""),"Inserir Preço")</f>
        <v>11.33</v>
      </c>
      <c r="X891" s="235">
        <f t="shared" ca="1" si="625"/>
        <v>1503.8720000000003</v>
      </c>
      <c r="Y891" s="236">
        <f t="shared" si="611"/>
        <v>36.256</v>
      </c>
      <c r="Z891" s="237">
        <f t="shared" ca="1" si="602"/>
        <v>17038.869760000005</v>
      </c>
      <c r="AA891" s="238"/>
      <c r="AB891" s="233" t="str">
        <f>IF(B891="insumo",_xlfn.XLOOKUP(S891,Insumos!A:A,Insumos!D:D),"")</f>
        <v xml:space="preserve"> </v>
      </c>
      <c r="AC891" s="239">
        <f t="shared" ca="1" si="603"/>
        <v>2.4443812139324297E-3</v>
      </c>
      <c r="AE891" s="240">
        <f ca="1">IFERROR(IF(OR(Z891="",Z891=0),"",IF(AF891="","",IF(AF891="R$/mês",Z891/OBRA!$D$12,IF(AF891="R$/m²",Z891/OBRA!$D$10,IF(AF891="R$/apto",Orçamento!Z891/OBRA!$D$11,""))))),"")</f>
        <v>8.7683237496333444</v>
      </c>
      <c r="AF891" s="241" t="s">
        <v>154</v>
      </c>
    </row>
    <row r="892" spans="1:32" s="10" customFormat="1" ht="13.15" hidden="1" customHeight="1" outlineLevel="3" collapsed="1" x14ac:dyDescent="0.2">
      <c r="A892" s="227"/>
      <c r="B892" s="228" t="s">
        <v>3</v>
      </c>
      <c r="C892" s="229" t="str">
        <f t="shared" si="601"/>
        <v/>
      </c>
      <c r="D892" s="227" t="str">
        <f t="shared" ca="1" si="612"/>
        <v>06.003.004</v>
      </c>
      <c r="E892" s="228" t="str">
        <f t="shared" ca="1" si="613"/>
        <v>06.003.003.001</v>
      </c>
      <c r="F892" s="230">
        <f ca="1">IF($B892="UNIDADE CONSTRUTIVA",OFFSET(F892,-1,0)+1,LARGE(F$10:F891,1))</f>
        <v>2</v>
      </c>
      <c r="G892" s="228" t="str">
        <f t="shared" ca="1" si="614"/>
        <v xml:space="preserve">   GERENCIAMENTO EXECUTIVO</v>
      </c>
      <c r="H892" s="230">
        <f t="shared" ca="1" si="615"/>
        <v>6</v>
      </c>
      <c r="I892" s="228" t="str">
        <f t="shared" ca="1" si="616"/>
        <v xml:space="preserve">   IMPERMEABILIZAÇÃO E TRATAMENTOS</v>
      </c>
      <c r="J892" s="230">
        <f t="shared" ca="1" si="617"/>
        <v>3</v>
      </c>
      <c r="K892" s="228" t="str">
        <f t="shared" ca="1" si="618"/>
        <v xml:space="preserve">   IMPERMEABILIZAÇÃO E TRATAMENTOS - 3º  ao 7º PAVIMENTO - TIPO</v>
      </c>
      <c r="L892" s="231">
        <f t="shared" ca="1" si="619"/>
        <v>4</v>
      </c>
      <c r="M892" s="228" t="str">
        <f t="shared" ca="1" si="620"/>
        <v xml:space="preserve">   Impermeabilização Flexível com Membrana</v>
      </c>
      <c r="N892" s="231">
        <f t="shared" ca="1" si="621"/>
        <v>0</v>
      </c>
      <c r="O892" s="228" t="str">
        <f t="shared" ca="1" si="622"/>
        <v>Impermeabilizacao com argamassa polimerica impermeabilizante</v>
      </c>
      <c r="P892" s="232" t="str">
        <f>IF(S892="","",IF(Orçamento!$B892="INSUMO",S892,""))</f>
        <v/>
      </c>
      <c r="Q892" s="244" t="str">
        <f t="shared" si="623"/>
        <v/>
      </c>
      <c r="R892" s="234">
        <f t="shared" ca="1" si="624"/>
        <v>469.96000000000004</v>
      </c>
      <c r="S892" s="233" t="s">
        <v>460</v>
      </c>
      <c r="T892" s="242" t="s">
        <v>35</v>
      </c>
      <c r="U892" s="235" t="str">
        <f>IF($B892="insumo",R892,"")</f>
        <v/>
      </c>
      <c r="V892" s="320" t="s">
        <v>35</v>
      </c>
      <c r="W892" s="236" t="str">
        <f>IFERROR(IF(B892="INSUMO",_xlfn.XLOOKUP(S892,Insumos!A:A,Insumos!C:C),""),"Inserir Preço")</f>
        <v/>
      </c>
      <c r="X892" s="235" t="str">
        <f t="shared" ca="1" si="625"/>
        <v/>
      </c>
      <c r="Y892" s="236" t="str">
        <f t="shared" si="611"/>
        <v/>
      </c>
      <c r="Z892" s="237">
        <f t="shared" ca="1" si="602"/>
        <v>499.80750000000012</v>
      </c>
      <c r="AA892" s="238"/>
      <c r="AB892" s="233" t="str">
        <f>IF(B892="insumo",_xlfn.XLOOKUP(S892,Insumos!A:A,Insumos!D:D),"")</f>
        <v/>
      </c>
      <c r="AC892" s="239">
        <f t="shared" ca="1" si="603"/>
        <v>7.1701942722199251E-5</v>
      </c>
      <c r="AE892" s="240">
        <f ca="1">IFERROR(IF(OR(Z892="",Z892=0),"",IF(AF892="","",IF(AF892="R$/mês",Z892/OBRA!$D$12,IF(AF892="R$/m²",Z892/OBRA!$D$10,IF(AF892="R$/apto",Orçamento!Z892/OBRA!$D$11,""))))),"")</f>
        <v>0.25720449972468523</v>
      </c>
      <c r="AF892" s="241" t="s">
        <v>154</v>
      </c>
    </row>
    <row r="893" spans="1:32" s="10" customFormat="1" ht="13.15" hidden="1" customHeight="1" outlineLevel="4" x14ac:dyDescent="0.2">
      <c r="A893" s="227"/>
      <c r="B893" s="228" t="s">
        <v>4</v>
      </c>
      <c r="C893" s="229">
        <f t="shared" si="601"/>
        <v>4</v>
      </c>
      <c r="D893" s="227" t="str">
        <f t="shared" ca="1" si="612"/>
        <v>06.003.004.001</v>
      </c>
      <c r="E893" s="228" t="str">
        <f t="shared" ca="1" si="613"/>
        <v>06.003.004.001</v>
      </c>
      <c r="F893" s="230">
        <f ca="1">IF($B893="UNIDADE CONSTRUTIVA",OFFSET(F893,-1,0)+1,LARGE(F$10:F892,1))</f>
        <v>2</v>
      </c>
      <c r="G893" s="228" t="str">
        <f t="shared" ca="1" si="614"/>
        <v xml:space="preserve">   GERENCIAMENTO EXECUTIVO</v>
      </c>
      <c r="H893" s="230">
        <f t="shared" ca="1" si="615"/>
        <v>6</v>
      </c>
      <c r="I893" s="228" t="str">
        <f t="shared" ca="1" si="616"/>
        <v xml:space="preserve">   IMPERMEABILIZAÇÃO E TRATAMENTOS</v>
      </c>
      <c r="J893" s="230">
        <f t="shared" ca="1" si="617"/>
        <v>3</v>
      </c>
      <c r="K893" s="228" t="str">
        <f t="shared" ca="1" si="618"/>
        <v xml:space="preserve">   IMPERMEABILIZAÇÃO E TRATAMENTOS - 3º  ao 7º PAVIMENTO - TIPO</v>
      </c>
      <c r="L893" s="231">
        <f t="shared" ca="1" si="619"/>
        <v>4</v>
      </c>
      <c r="M893" s="228" t="str">
        <f t="shared" ca="1" si="620"/>
        <v xml:space="preserve">   Impermeabilização Flexível com Membrana</v>
      </c>
      <c r="N893" s="231">
        <f t="shared" ca="1" si="621"/>
        <v>1</v>
      </c>
      <c r="O893" s="228" t="str">
        <f t="shared" ca="1" si="622"/>
        <v>Impermeabilizacao com manta liquida em peitoris</v>
      </c>
      <c r="P893" s="232" t="str">
        <f>IF(S893="","",IF(Orçamento!$B893="INSUMO",S893,""))</f>
        <v/>
      </c>
      <c r="Q893" s="244" t="str">
        <f t="shared" si="623"/>
        <v>Impermeabilizacao com manta liquida em peitoris</v>
      </c>
      <c r="R893" s="234">
        <f t="shared" ca="1" si="624"/>
        <v>12.940000000000001</v>
      </c>
      <c r="S893" s="233" t="s">
        <v>461</v>
      </c>
      <c r="T893" s="242" t="s">
        <v>140</v>
      </c>
      <c r="U893" s="235">
        <v>12.940000000000001</v>
      </c>
      <c r="V893" s="320" t="s">
        <v>35</v>
      </c>
      <c r="W893" s="236" t="str">
        <f>IFERROR(IF(B893="INSUMO",_xlfn.XLOOKUP(S893,Insumos!A:A,Insumos!C:C),""),"Inserir Preço")</f>
        <v/>
      </c>
      <c r="X893" s="235">
        <f t="shared" ca="1" si="625"/>
        <v>12.940000000000001</v>
      </c>
      <c r="Y893" s="236">
        <f t="shared" ca="1" si="611"/>
        <v>38.625</v>
      </c>
      <c r="Z893" s="237">
        <f t="shared" ca="1" si="602"/>
        <v>499.80750000000006</v>
      </c>
      <c r="AA893" s="238"/>
      <c r="AB893" s="233" t="str">
        <f>IF(B893="insumo",_xlfn.XLOOKUP(S893,Insumos!A:A,Insumos!D:D),"")</f>
        <v/>
      </c>
      <c r="AC893" s="239">
        <f t="shared" ca="1" si="603"/>
        <v>7.1701942722199238E-5</v>
      </c>
      <c r="AE893" s="240">
        <f ca="1">IFERROR(IF(OR(Z893="",Z893=0),"",IF(AF893="","",IF(AF893="R$/mês",Z893/OBRA!$D$12,IF(AF893="R$/m²",Z893/OBRA!$D$10,IF(AF893="R$/apto",Orçamento!Z893/OBRA!$D$11,""))))),"")</f>
        <v>0.25720449972468523</v>
      </c>
      <c r="AF893" s="241" t="s">
        <v>154</v>
      </c>
    </row>
    <row r="894" spans="1:32" s="10" customFormat="1" ht="13.15" hidden="1" customHeight="1" outlineLevel="4" x14ac:dyDescent="0.2">
      <c r="A894" s="227"/>
      <c r="B894" s="228" t="s">
        <v>19</v>
      </c>
      <c r="C894" s="229">
        <f t="shared" si="601"/>
        <v>4</v>
      </c>
      <c r="D894" s="227" t="str">
        <f t="shared" si="612"/>
        <v/>
      </c>
      <c r="E894" s="228" t="str">
        <f t="shared" ca="1" si="613"/>
        <v>06.003.004.001</v>
      </c>
      <c r="F894" s="230">
        <f ca="1">IF($B894="UNIDADE CONSTRUTIVA",OFFSET(F894,-1,0)+1,LARGE(F$10:F893,1))</f>
        <v>2</v>
      </c>
      <c r="G894" s="228" t="str">
        <f t="shared" ca="1" si="614"/>
        <v xml:space="preserve">   GERENCIAMENTO EXECUTIVO</v>
      </c>
      <c r="H894" s="230">
        <f t="shared" ca="1" si="615"/>
        <v>6</v>
      </c>
      <c r="I894" s="228" t="str">
        <f t="shared" ca="1" si="616"/>
        <v xml:space="preserve">   IMPERMEABILIZAÇÃO E TRATAMENTOS</v>
      </c>
      <c r="J894" s="230">
        <f t="shared" ca="1" si="617"/>
        <v>3</v>
      </c>
      <c r="K894" s="228" t="str">
        <f t="shared" ca="1" si="618"/>
        <v xml:space="preserve">   IMPERMEABILIZAÇÃO E TRATAMENTOS - 3º  ao 7º PAVIMENTO - TIPO</v>
      </c>
      <c r="L894" s="231">
        <f t="shared" ca="1" si="619"/>
        <v>4</v>
      </c>
      <c r="M894" s="228" t="str">
        <f t="shared" ca="1" si="620"/>
        <v xml:space="preserve">   Impermeabilização Flexível com Membrana</v>
      </c>
      <c r="N894" s="231">
        <f t="shared" ca="1" si="621"/>
        <v>1</v>
      </c>
      <c r="O894" s="228" t="str">
        <f t="shared" ca="1" si="622"/>
        <v>Impermeabilizacao com manta liquida em peitoris</v>
      </c>
      <c r="P894" s="232" t="str">
        <f>IF(S894="","",IF(Orçamento!$B894="INSUMO",S894,""))</f>
        <v>IMPERMEABILIZANTE MANTA LIQUIDA BRANCA</v>
      </c>
      <c r="Q894" s="244" t="str">
        <f t="shared" si="623"/>
        <v/>
      </c>
      <c r="R894" s="234">
        <f t="shared" ca="1" si="624"/>
        <v>12.940000000000001</v>
      </c>
      <c r="S894" s="233" t="s">
        <v>380</v>
      </c>
      <c r="T894" s="242" t="str">
        <f>_xlfn.XLOOKUP(S894,Insumos!$A$3:$A$371,Insumos!$B$3:$B$371)</f>
        <v>KG</v>
      </c>
      <c r="U894" s="235">
        <f ca="1">IF($B894="insumo",R894,"")</f>
        <v>12.940000000000001</v>
      </c>
      <c r="V894" s="320">
        <v>1.5</v>
      </c>
      <c r="W894" s="236">
        <f>IFERROR(IF(B894="INSUMO",_xlfn.XLOOKUP(S894,Insumos!A:A,Insumos!C:C),""),"Inserir Preço")</f>
        <v>25.75</v>
      </c>
      <c r="X894" s="235">
        <f t="shared" ca="1" si="625"/>
        <v>19.410000000000004</v>
      </c>
      <c r="Y894" s="236">
        <f t="shared" si="611"/>
        <v>38.625</v>
      </c>
      <c r="Z894" s="237">
        <f t="shared" ca="1" si="602"/>
        <v>499.80750000000012</v>
      </c>
      <c r="AA894" s="238"/>
      <c r="AB894" s="233" t="str">
        <f>IF(B894="insumo",_xlfn.XLOOKUP(S894,Insumos!A:A,Insumos!D:D),"")</f>
        <v xml:space="preserve"> </v>
      </c>
      <c r="AC894" s="239">
        <f t="shared" ca="1" si="603"/>
        <v>7.1701942722199251E-5</v>
      </c>
      <c r="AE894" s="240">
        <f ca="1">IFERROR(IF(OR(Z894="",Z894=0),"",IF(AF894="","",IF(AF894="R$/mês",Z894/OBRA!$D$12,IF(AF894="R$/m²",Z894/OBRA!$D$10,IF(AF894="R$/apto",Orçamento!Z894/OBRA!$D$11,""))))),"")</f>
        <v>0.25720449972468523</v>
      </c>
      <c r="AF894" s="241" t="s">
        <v>154</v>
      </c>
    </row>
    <row r="895" spans="1:32" s="10" customFormat="1" ht="13.15" hidden="1" customHeight="1" outlineLevel="3" collapsed="1" x14ac:dyDescent="0.2">
      <c r="A895" s="227"/>
      <c r="B895" s="228" t="s">
        <v>3</v>
      </c>
      <c r="C895" s="229" t="str">
        <f t="shared" si="601"/>
        <v/>
      </c>
      <c r="D895" s="227" t="str">
        <f t="shared" ca="1" si="612"/>
        <v>06.003.005</v>
      </c>
      <c r="E895" s="228" t="str">
        <f t="shared" ca="1" si="613"/>
        <v>06.003.004.001</v>
      </c>
      <c r="F895" s="230">
        <f ca="1">IF($B895="UNIDADE CONSTRUTIVA",OFFSET(F895,-1,0)+1,LARGE(F$10:F894,1))</f>
        <v>2</v>
      </c>
      <c r="G895" s="228" t="str">
        <f t="shared" ca="1" si="614"/>
        <v xml:space="preserve">   GERENCIAMENTO EXECUTIVO</v>
      </c>
      <c r="H895" s="230">
        <f t="shared" ca="1" si="615"/>
        <v>6</v>
      </c>
      <c r="I895" s="228" t="str">
        <f t="shared" ca="1" si="616"/>
        <v xml:space="preserve">   IMPERMEABILIZAÇÃO E TRATAMENTOS</v>
      </c>
      <c r="J895" s="230">
        <f t="shared" ca="1" si="617"/>
        <v>3</v>
      </c>
      <c r="K895" s="228" t="str">
        <f t="shared" ca="1" si="618"/>
        <v xml:space="preserve">   IMPERMEABILIZAÇÃO E TRATAMENTOS - 3º  ao 7º PAVIMENTO - TIPO</v>
      </c>
      <c r="L895" s="231">
        <f t="shared" ca="1" si="619"/>
        <v>5</v>
      </c>
      <c r="M895" s="228" t="str">
        <f t="shared" ca="1" si="620"/>
        <v xml:space="preserve">   Proteção Mecânica</v>
      </c>
      <c r="N895" s="231">
        <f t="shared" ca="1" si="621"/>
        <v>0</v>
      </c>
      <c r="O895" s="228" t="str">
        <f t="shared" ca="1" si="622"/>
        <v>Impermeabilizacao com manta liquida em peitoris</v>
      </c>
      <c r="P895" s="232" t="str">
        <f>IF(S895="","",IF(Orçamento!$B895="INSUMO",S895,""))</f>
        <v/>
      </c>
      <c r="Q895" s="244" t="str">
        <f t="shared" si="623"/>
        <v/>
      </c>
      <c r="R895" s="234">
        <f t="shared" ca="1" si="624"/>
        <v>12.940000000000001</v>
      </c>
      <c r="S895" s="233" t="s">
        <v>470</v>
      </c>
      <c r="T895" s="242" t="s">
        <v>35</v>
      </c>
      <c r="U895" s="235" t="str">
        <f>IF($B895="insumo",R895,"")</f>
        <v/>
      </c>
      <c r="V895" s="320" t="s">
        <v>35</v>
      </c>
      <c r="W895" s="236" t="str">
        <f>IFERROR(IF(B895="INSUMO",_xlfn.XLOOKUP(S895,Insumos!A:A,Insumos!C:C),""),"Inserir Preço")</f>
        <v/>
      </c>
      <c r="X895" s="235" t="str">
        <f t="shared" ca="1" si="625"/>
        <v/>
      </c>
      <c r="Y895" s="236" t="str">
        <f t="shared" si="611"/>
        <v/>
      </c>
      <c r="Z895" s="237">
        <f t="shared" ca="1" si="602"/>
        <v>792.48065499999996</v>
      </c>
      <c r="AA895" s="238"/>
      <c r="AB895" s="233" t="str">
        <f>IF(B895="insumo",_xlfn.XLOOKUP(S895,Insumos!A:A,Insumos!D:D),"")</f>
        <v/>
      </c>
      <c r="AC895" s="239">
        <f t="shared" ca="1" si="603"/>
        <v>1.1368857516796152E-4</v>
      </c>
      <c r="AE895" s="240">
        <f ca="1">IFERROR(IF(OR(Z895="",Z895=0),"",IF(AF895="","",IF(AF895="R$/mês",Z895/OBRA!$D$12,IF(AF895="R$/m²",Z895/OBRA!$D$10,IF(AF895="R$/apto",Orçamento!Z895/OBRA!$D$11,""))))),"")</f>
        <v>0.40781619005470271</v>
      </c>
      <c r="AF895" s="241" t="s">
        <v>154</v>
      </c>
    </row>
    <row r="896" spans="1:32" s="10" customFormat="1" ht="13.15" hidden="1" customHeight="1" outlineLevel="4" x14ac:dyDescent="0.2">
      <c r="A896" s="227"/>
      <c r="B896" s="228" t="s">
        <v>4</v>
      </c>
      <c r="C896" s="229">
        <f t="shared" si="601"/>
        <v>5</v>
      </c>
      <c r="D896" s="227" t="str">
        <f t="shared" ca="1" si="612"/>
        <v>06.003.005.001</v>
      </c>
      <c r="E896" s="228" t="str">
        <f t="shared" ca="1" si="613"/>
        <v>06.003.005.001</v>
      </c>
      <c r="F896" s="230">
        <f ca="1">IF($B896="UNIDADE CONSTRUTIVA",OFFSET(F896,-1,0)+1,LARGE(F$10:F895,1))</f>
        <v>2</v>
      </c>
      <c r="G896" s="228" t="str">
        <f t="shared" ca="1" si="614"/>
        <v xml:space="preserve">   GERENCIAMENTO EXECUTIVO</v>
      </c>
      <c r="H896" s="230">
        <f t="shared" ca="1" si="615"/>
        <v>6</v>
      </c>
      <c r="I896" s="228" t="str">
        <f t="shared" ca="1" si="616"/>
        <v xml:space="preserve">   IMPERMEABILIZAÇÃO E TRATAMENTOS</v>
      </c>
      <c r="J896" s="230">
        <f t="shared" ca="1" si="617"/>
        <v>3</v>
      </c>
      <c r="K896" s="228" t="str">
        <f t="shared" ca="1" si="618"/>
        <v xml:space="preserve">   IMPERMEABILIZAÇÃO E TRATAMENTOS - 3º  ao 7º PAVIMENTO - TIPO</v>
      </c>
      <c r="L896" s="231">
        <f t="shared" ca="1" si="619"/>
        <v>5</v>
      </c>
      <c r="M896" s="228" t="str">
        <f t="shared" ca="1" si="620"/>
        <v xml:space="preserve">   Proteção Mecânica</v>
      </c>
      <c r="N896" s="231">
        <f t="shared" ca="1" si="621"/>
        <v>1</v>
      </c>
      <c r="O896" s="228" t="str">
        <f t="shared" ca="1" si="622"/>
        <v>Protecao mecanica de superficie com argamassa de cimento e areia , traço 1:3, E=5cm</v>
      </c>
      <c r="P896" s="232" t="str">
        <f>IF(S896="","",IF(Orçamento!$B896="INSUMO",S896,""))</f>
        <v/>
      </c>
      <c r="Q896" s="244" t="str">
        <f t="shared" si="623"/>
        <v>Protecao mecanica de superficie com argamassa de cimento e areia , traço 1:3, E=5cm</v>
      </c>
      <c r="R896" s="234">
        <f t="shared" ca="1" si="624"/>
        <v>19.79</v>
      </c>
      <c r="S896" s="233" t="s">
        <v>471</v>
      </c>
      <c r="T896" s="242" t="s">
        <v>140</v>
      </c>
      <c r="U896" s="235">
        <f>U883</f>
        <v>19.79</v>
      </c>
      <c r="V896" s="320" t="s">
        <v>35</v>
      </c>
      <c r="W896" s="236" t="str">
        <f>IFERROR(IF(B896="INSUMO",_xlfn.XLOOKUP(S896,Insumos!A:A,Insumos!C:C),""),"Inserir Preço")</f>
        <v/>
      </c>
      <c r="X896" s="235">
        <f t="shared" ca="1" si="625"/>
        <v>19.79</v>
      </c>
      <c r="Y896" s="236">
        <f t="shared" ca="1" si="611"/>
        <v>40.044499999999999</v>
      </c>
      <c r="Z896" s="237">
        <f t="shared" ca="1" si="602"/>
        <v>792.48065499999996</v>
      </c>
      <c r="AA896" s="238"/>
      <c r="AB896" s="233" t="str">
        <f>IF(B896="insumo",_xlfn.XLOOKUP(S896,Insumos!A:A,Insumos!D:D),"")</f>
        <v/>
      </c>
      <c r="AC896" s="239">
        <f t="shared" ca="1" si="603"/>
        <v>1.1368857516796152E-4</v>
      </c>
      <c r="AE896" s="240">
        <f ca="1">IFERROR(IF(OR(Z896="",Z896=0),"",IF(AF896="","",IF(AF896="R$/mês",Z896/OBRA!$D$12,IF(AF896="R$/m²",Z896/OBRA!$D$10,IF(AF896="R$/apto",Orçamento!Z896/OBRA!$D$11,""))))),"")</f>
        <v>0.40781619005470271</v>
      </c>
      <c r="AF896" s="241" t="s">
        <v>154</v>
      </c>
    </row>
    <row r="897" spans="1:32" s="10" customFormat="1" ht="13.15" hidden="1" customHeight="1" outlineLevel="4" x14ac:dyDescent="0.2">
      <c r="A897" s="227"/>
      <c r="B897" s="228" t="s">
        <v>19</v>
      </c>
      <c r="C897" s="229">
        <f t="shared" si="601"/>
        <v>11</v>
      </c>
      <c r="D897" s="227" t="str">
        <f t="shared" si="612"/>
        <v/>
      </c>
      <c r="E897" s="228" t="str">
        <f t="shared" ca="1" si="613"/>
        <v>06.003.005.001</v>
      </c>
      <c r="F897" s="230">
        <f ca="1">IF($B897="UNIDADE CONSTRUTIVA",OFFSET(F897,-1,0)+1,LARGE(F$10:F896,1))</f>
        <v>2</v>
      </c>
      <c r="G897" s="228" t="str">
        <f t="shared" ca="1" si="614"/>
        <v xml:space="preserve">   GERENCIAMENTO EXECUTIVO</v>
      </c>
      <c r="H897" s="230">
        <f t="shared" ca="1" si="615"/>
        <v>6</v>
      </c>
      <c r="I897" s="228" t="str">
        <f t="shared" ca="1" si="616"/>
        <v xml:space="preserve">   IMPERMEABILIZAÇÃO E TRATAMENTOS</v>
      </c>
      <c r="J897" s="230">
        <f t="shared" ca="1" si="617"/>
        <v>3</v>
      </c>
      <c r="K897" s="228" t="str">
        <f t="shared" ca="1" si="618"/>
        <v xml:space="preserve">   IMPERMEABILIZAÇÃO E TRATAMENTOS - 3º  ao 7º PAVIMENTO - TIPO</v>
      </c>
      <c r="L897" s="231">
        <f t="shared" ca="1" si="619"/>
        <v>5</v>
      </c>
      <c r="M897" s="228" t="str">
        <f t="shared" ca="1" si="620"/>
        <v xml:space="preserve">   Proteção Mecânica</v>
      </c>
      <c r="N897" s="231">
        <f t="shared" ca="1" si="621"/>
        <v>1</v>
      </c>
      <c r="O897" s="228" t="str">
        <f t="shared" ca="1" si="622"/>
        <v>Protecao mecanica de superficie com argamassa de cimento e areia , traço 1:3, E=5cm</v>
      </c>
      <c r="P897" s="232" t="str">
        <f>IF(S897="","",IF(Orçamento!$B897="INSUMO",S897,""))</f>
        <v>ARGAMASSA ESTABILIZADA P/ CONTRAPISO</v>
      </c>
      <c r="Q897" s="244" t="str">
        <f t="shared" si="623"/>
        <v/>
      </c>
      <c r="R897" s="234">
        <f t="shared" ca="1" si="624"/>
        <v>19.79</v>
      </c>
      <c r="S897" s="233" t="s">
        <v>277</v>
      </c>
      <c r="T897" s="242" t="str">
        <f>_xlfn.XLOOKUP(S897,Insumos!$A$3:$A$371,Insumos!$B$3:$B$371)</f>
        <v>M3</v>
      </c>
      <c r="U897" s="235">
        <f ca="1">IF($B897="insumo",R897,"")</f>
        <v>19.79</v>
      </c>
      <c r="V897" s="320">
        <v>6.25E-2</v>
      </c>
      <c r="W897" s="236">
        <f>IFERROR(IF(B897="INSUMO",_xlfn.XLOOKUP(S897,Insumos!A:A,Insumos!C:C),""),"Inserir Preço")</f>
        <v>425</v>
      </c>
      <c r="X897" s="235">
        <f t="shared" ca="1" si="625"/>
        <v>1.2368749999999999</v>
      </c>
      <c r="Y897" s="236">
        <f t="shared" si="611"/>
        <v>26.5625</v>
      </c>
      <c r="Z897" s="237">
        <f t="shared" ca="1" si="602"/>
        <v>525.671875</v>
      </c>
      <c r="AA897" s="238"/>
      <c r="AB897" s="233" t="str">
        <f>IF(B897="insumo",_xlfn.XLOOKUP(S897,Insumos!A:A,Insumos!D:D),"")</f>
        <v xml:space="preserve"> </v>
      </c>
      <c r="AC897" s="239">
        <f t="shared" ca="1" si="603"/>
        <v>7.5412423126745951E-5</v>
      </c>
      <c r="AE897" s="240">
        <f ca="1">IFERROR(IF(OR(Z897="",Z897=0),"",IF(AF897="","",IF(AF897="R$/mês",Z897/OBRA!$D$12,IF(AF897="R$/m²",Z897/OBRA!$D$10,IF(AF897="R$/apto",Orçamento!Z897/OBRA!$D$11,""))))),"")</f>
        <v>0.27051449133658906</v>
      </c>
      <c r="AF897" s="241" t="s">
        <v>154</v>
      </c>
    </row>
    <row r="898" spans="1:32" s="10" customFormat="1" ht="13.15" hidden="1" customHeight="1" outlineLevel="4" x14ac:dyDescent="0.2">
      <c r="A898" s="227"/>
      <c r="B898" s="228" t="s">
        <v>19</v>
      </c>
      <c r="C898" s="229">
        <f t="shared" si="601"/>
        <v>5</v>
      </c>
      <c r="D898" s="227" t="str">
        <f t="shared" si="612"/>
        <v/>
      </c>
      <c r="E898" s="228" t="str">
        <f t="shared" ca="1" si="613"/>
        <v>06.003.005.001</v>
      </c>
      <c r="F898" s="230">
        <f ca="1">IF($B898="UNIDADE CONSTRUTIVA",OFFSET(F898,-1,0)+1,LARGE(F$10:F897,1))</f>
        <v>2</v>
      </c>
      <c r="G898" s="228" t="str">
        <f t="shared" ca="1" si="614"/>
        <v xml:space="preserve">   GERENCIAMENTO EXECUTIVO</v>
      </c>
      <c r="H898" s="230">
        <f t="shared" ca="1" si="615"/>
        <v>6</v>
      </c>
      <c r="I898" s="228" t="str">
        <f t="shared" ca="1" si="616"/>
        <v xml:space="preserve">   IMPERMEABILIZAÇÃO E TRATAMENTOS</v>
      </c>
      <c r="J898" s="230">
        <f t="shared" ca="1" si="617"/>
        <v>3</v>
      </c>
      <c r="K898" s="228" t="str">
        <f t="shared" ca="1" si="618"/>
        <v xml:space="preserve">   IMPERMEABILIZAÇÃO E TRATAMENTOS - 3º  ao 7º PAVIMENTO - TIPO</v>
      </c>
      <c r="L898" s="231">
        <f t="shared" ca="1" si="619"/>
        <v>5</v>
      </c>
      <c r="M898" s="228" t="str">
        <f t="shared" ca="1" si="620"/>
        <v xml:space="preserve">   Proteção Mecânica</v>
      </c>
      <c r="N898" s="231">
        <f t="shared" ca="1" si="621"/>
        <v>1</v>
      </c>
      <c r="O898" s="228" t="str">
        <f t="shared" ca="1" si="622"/>
        <v>Protecao mecanica de superficie com argamassa de cimento e areia , traço 1:3, E=5cm</v>
      </c>
      <c r="P898" s="232" t="str">
        <f>IF(S898="","",IF(Orçamento!$B898="INSUMO",S898,""))</f>
        <v>TELA ARAME GALVANIZADO FIO 24 BWG MALHA 1/2"</v>
      </c>
      <c r="Q898" s="244" t="str">
        <f t="shared" si="623"/>
        <v/>
      </c>
      <c r="R898" s="234">
        <f t="shared" ca="1" si="624"/>
        <v>19.79</v>
      </c>
      <c r="S898" s="233" t="s">
        <v>351</v>
      </c>
      <c r="T898" s="242" t="str">
        <f>_xlfn.XLOOKUP(S898,Insumos!$A$3:$A$371,Insumos!$B$3:$B$371)</f>
        <v>M2</v>
      </c>
      <c r="U898" s="235">
        <f ca="1">IF($B898="insumo",R898,"")</f>
        <v>19.79</v>
      </c>
      <c r="V898" s="320">
        <v>1.05</v>
      </c>
      <c r="W898" s="236">
        <f>IFERROR(IF(B898="INSUMO",_xlfn.XLOOKUP(S898,Insumos!A:A,Insumos!C:C),""),"Inserir Preço")</f>
        <v>12.84</v>
      </c>
      <c r="X898" s="235">
        <f t="shared" ca="1" si="625"/>
        <v>20.779499999999999</v>
      </c>
      <c r="Y898" s="236">
        <f t="shared" si="611"/>
        <v>13.482000000000001</v>
      </c>
      <c r="Z898" s="237">
        <f t="shared" ca="1" si="602"/>
        <v>266.80877999999996</v>
      </c>
      <c r="AA898" s="238"/>
      <c r="AB898" s="233" t="str">
        <f>IF(B898="insumo",_xlfn.XLOOKUP(S898,Insumos!A:A,Insumos!D:D),"")</f>
        <v xml:space="preserve"> </v>
      </c>
      <c r="AC898" s="239">
        <f t="shared" ca="1" si="603"/>
        <v>3.8276152041215573E-5</v>
      </c>
      <c r="AE898" s="240">
        <f ca="1">IFERROR(IF(OR(Z898="",Z898=0),"",IF(AF898="","",IF(AF898="R$/mês",Z898/OBRA!$D$12,IF(AF898="R$/m²",Z898/OBRA!$D$10,IF(AF898="R$/apto",Orçamento!Z898/OBRA!$D$11,""))))),"")</f>
        <v>0.13730169871811362</v>
      </c>
      <c r="AF898" s="241" t="s">
        <v>154</v>
      </c>
    </row>
    <row r="899" spans="1:32" s="10" customFormat="1" ht="13.15" hidden="1" customHeight="1" outlineLevel="3" collapsed="1" x14ac:dyDescent="0.2">
      <c r="A899" s="227"/>
      <c r="B899" s="228" t="s">
        <v>3</v>
      </c>
      <c r="C899" s="229" t="str">
        <f t="shared" si="601"/>
        <v/>
      </c>
      <c r="D899" s="227" t="str">
        <f t="shared" ca="1" si="612"/>
        <v>06.003.006</v>
      </c>
      <c r="E899" s="228" t="str">
        <f t="shared" ca="1" si="613"/>
        <v>06.003.005.001</v>
      </c>
      <c r="F899" s="230">
        <f ca="1">IF($B899="UNIDADE CONSTRUTIVA",OFFSET(F899,-1,0)+1,LARGE(F$10:F898,1))</f>
        <v>2</v>
      </c>
      <c r="G899" s="228" t="str">
        <f t="shared" ca="1" si="614"/>
        <v xml:space="preserve">   GERENCIAMENTO EXECUTIVO</v>
      </c>
      <c r="H899" s="230">
        <f t="shared" ca="1" si="615"/>
        <v>6</v>
      </c>
      <c r="I899" s="228" t="str">
        <f t="shared" ca="1" si="616"/>
        <v xml:space="preserve">   IMPERMEABILIZAÇÃO E TRATAMENTOS</v>
      </c>
      <c r="J899" s="230">
        <f t="shared" ca="1" si="617"/>
        <v>3</v>
      </c>
      <c r="K899" s="228" t="str">
        <f t="shared" ca="1" si="618"/>
        <v xml:space="preserve">   IMPERMEABILIZAÇÃO E TRATAMENTOS - 3º  ao 7º PAVIMENTO - TIPO</v>
      </c>
      <c r="L899" s="231">
        <f t="shared" ca="1" si="619"/>
        <v>6</v>
      </c>
      <c r="M899" s="228" t="str">
        <f t="shared" ca="1" si="620"/>
        <v xml:space="preserve">   Mão de Obra</v>
      </c>
      <c r="N899" s="231">
        <f t="shared" ca="1" si="621"/>
        <v>0</v>
      </c>
      <c r="O899" s="228" t="str">
        <f t="shared" ca="1" si="622"/>
        <v>Protecao mecanica de superficie com argamassa de cimento e areia , traço 1:3, E=5cm</v>
      </c>
      <c r="P899" s="232" t="str">
        <f>IF(S899="","",IF(Orçamento!$B899="INSUMO",S899,""))</f>
        <v/>
      </c>
      <c r="Q899" s="244" t="str">
        <f t="shared" si="623"/>
        <v/>
      </c>
      <c r="R899" s="234">
        <f t="shared" ca="1" si="624"/>
        <v>19.79</v>
      </c>
      <c r="S899" s="233" t="s">
        <v>438</v>
      </c>
      <c r="T899" s="242" t="s">
        <v>35</v>
      </c>
      <c r="U899" s="235" t="str">
        <f>IF($B899="insumo",R899,"")</f>
        <v/>
      </c>
      <c r="V899" s="320" t="s">
        <v>35</v>
      </c>
      <c r="W899" s="236" t="str">
        <f>IFERROR(IF(B899="INSUMO",_xlfn.XLOOKUP(S899,Insumos!A:A,Insumos!C:C),""),"Inserir Preço")</f>
        <v/>
      </c>
      <c r="X899" s="235" t="str">
        <f t="shared" ca="1" si="625"/>
        <v/>
      </c>
      <c r="Y899" s="236" t="str">
        <f t="shared" si="611"/>
        <v/>
      </c>
      <c r="Z899" s="237">
        <f t="shared" ca="1" si="602"/>
        <v>32065.195500000005</v>
      </c>
      <c r="AA899" s="238"/>
      <c r="AB899" s="233" t="str">
        <f>IF(B899="insumo",_xlfn.XLOOKUP(S899,Insumos!A:A,Insumos!D:D),"")</f>
        <v/>
      </c>
      <c r="AC899" s="239">
        <f t="shared" ca="1" si="603"/>
        <v>4.6000446394204187E-3</v>
      </c>
      <c r="AE899" s="240">
        <f ca="1">IFERROR(IF(OR(Z899="",Z899=0),"",IF(AF899="","",IF(AF899="R$/mês",Z899/OBRA!$D$12,IF(AF899="R$/m²",Z899/OBRA!$D$10,IF(AF899="R$/apto",Orçamento!Z899/OBRA!$D$11,""))))),"")</f>
        <v>16.500978010837628</v>
      </c>
      <c r="AF899" s="241" t="s">
        <v>154</v>
      </c>
    </row>
    <row r="900" spans="1:32" s="10" customFormat="1" ht="13.15" hidden="1" customHeight="1" outlineLevel="4" x14ac:dyDescent="0.2">
      <c r="A900" s="227"/>
      <c r="B900" s="228" t="s">
        <v>4</v>
      </c>
      <c r="C900" s="229">
        <f t="shared" si="601"/>
        <v>5</v>
      </c>
      <c r="D900" s="227" t="str">
        <f t="shared" ca="1" si="612"/>
        <v>06.003.006.001</v>
      </c>
      <c r="E900" s="228" t="str">
        <f t="shared" ca="1" si="613"/>
        <v>06.003.006.001</v>
      </c>
      <c r="F900" s="230">
        <f ca="1">IF($B900="UNIDADE CONSTRUTIVA",OFFSET(F900,-1,0)+1,LARGE(F$10:F899,1))</f>
        <v>2</v>
      </c>
      <c r="G900" s="228" t="str">
        <f t="shared" ca="1" si="614"/>
        <v xml:space="preserve">   GERENCIAMENTO EXECUTIVO</v>
      </c>
      <c r="H900" s="230">
        <f t="shared" ca="1" si="615"/>
        <v>6</v>
      </c>
      <c r="I900" s="228" t="str">
        <f t="shared" ca="1" si="616"/>
        <v xml:space="preserve">   IMPERMEABILIZAÇÃO E TRATAMENTOS</v>
      </c>
      <c r="J900" s="230">
        <f t="shared" ca="1" si="617"/>
        <v>3</v>
      </c>
      <c r="K900" s="228" t="str">
        <f t="shared" ca="1" si="618"/>
        <v xml:space="preserve">   IMPERMEABILIZAÇÃO E TRATAMENTOS - 3º  ao 7º PAVIMENTO - TIPO</v>
      </c>
      <c r="L900" s="231">
        <f t="shared" ca="1" si="619"/>
        <v>6</v>
      </c>
      <c r="M900" s="228" t="str">
        <f t="shared" ca="1" si="620"/>
        <v xml:space="preserve">   Mão de Obra</v>
      </c>
      <c r="N900" s="231">
        <f t="shared" ca="1" si="621"/>
        <v>1</v>
      </c>
      <c r="O900" s="228" t="str">
        <f t="shared" ca="1" si="622"/>
        <v>Mao de obra para regularizacao de superficie</v>
      </c>
      <c r="P900" s="232" t="str">
        <f>IF(S900="","",IF(Orçamento!$B900="INSUMO",S900,""))</f>
        <v/>
      </c>
      <c r="Q900" s="244" t="str">
        <f t="shared" si="623"/>
        <v>Mao de obra para regularizacao de superficie</v>
      </c>
      <c r="R900" s="234">
        <f t="shared" ca="1" si="624"/>
        <v>489.75000000000006</v>
      </c>
      <c r="S900" s="233" t="s">
        <v>472</v>
      </c>
      <c r="T900" s="242" t="s">
        <v>140</v>
      </c>
      <c r="U900" s="235">
        <f>U879</f>
        <v>489.75000000000006</v>
      </c>
      <c r="V900" s="320" t="s">
        <v>35</v>
      </c>
      <c r="W900" s="236" t="str">
        <f>IFERROR(IF(B900="INSUMO",_xlfn.XLOOKUP(S900,Insumos!A:A,Insumos!C:C),""),"Inserir Preço")</f>
        <v/>
      </c>
      <c r="X900" s="235">
        <f t="shared" ca="1" si="625"/>
        <v>489.75000000000006</v>
      </c>
      <c r="Y900" s="236">
        <f t="shared" ca="1" si="611"/>
        <v>18</v>
      </c>
      <c r="Z900" s="237">
        <f t="shared" ca="1" si="602"/>
        <v>8815.5000000000018</v>
      </c>
      <c r="AA900" s="238"/>
      <c r="AB900" s="233" t="str">
        <f>IF(B900="insumo",_xlfn.XLOOKUP(S900,Insumos!A:A,Insumos!D:D),"")</f>
        <v/>
      </c>
      <c r="AC900" s="239">
        <f t="shared" ca="1" si="603"/>
        <v>1.2646638477164659E-3</v>
      </c>
      <c r="AE900" s="240">
        <f ca="1">IFERROR(IF(OR(Z900="",Z900=0),"",IF(AF900="","",IF(AF900="R$/mês",Z900/OBRA!$D$12,IF(AF900="R$/m²",Z900/OBRA!$D$10,IF(AF900="R$/apto",Orçamento!Z900/OBRA!$D$11,""))))),"")</f>
        <v>4.5365190944973071</v>
      </c>
      <c r="AF900" s="241" t="s">
        <v>154</v>
      </c>
    </row>
    <row r="901" spans="1:32" s="10" customFormat="1" ht="13.15" hidden="1" customHeight="1" outlineLevel="4" x14ac:dyDescent="0.2">
      <c r="A901" s="227"/>
      <c r="B901" s="228" t="s">
        <v>19</v>
      </c>
      <c r="C901" s="229">
        <f t="shared" si="601"/>
        <v>5</v>
      </c>
      <c r="D901" s="227" t="str">
        <f t="shared" si="612"/>
        <v/>
      </c>
      <c r="E901" s="228" t="str">
        <f t="shared" ca="1" si="613"/>
        <v>06.003.006.001</v>
      </c>
      <c r="F901" s="230">
        <f ca="1">IF($B901="UNIDADE CONSTRUTIVA",OFFSET(F901,-1,0)+1,LARGE(F$10:F900,1))</f>
        <v>2</v>
      </c>
      <c r="G901" s="228" t="str">
        <f t="shared" ca="1" si="614"/>
        <v xml:space="preserve">   GERENCIAMENTO EXECUTIVO</v>
      </c>
      <c r="H901" s="230">
        <f t="shared" ca="1" si="615"/>
        <v>6</v>
      </c>
      <c r="I901" s="228" t="str">
        <f t="shared" ca="1" si="616"/>
        <v xml:space="preserve">   IMPERMEABILIZAÇÃO E TRATAMENTOS</v>
      </c>
      <c r="J901" s="230">
        <f t="shared" ca="1" si="617"/>
        <v>3</v>
      </c>
      <c r="K901" s="228" t="str">
        <f t="shared" ca="1" si="618"/>
        <v xml:space="preserve">   IMPERMEABILIZAÇÃO E TRATAMENTOS - 3º  ao 7º PAVIMENTO - TIPO</v>
      </c>
      <c r="L901" s="231">
        <f t="shared" ca="1" si="619"/>
        <v>6</v>
      </c>
      <c r="M901" s="228" t="str">
        <f t="shared" ca="1" si="620"/>
        <v xml:space="preserve">   Mão de Obra</v>
      </c>
      <c r="N901" s="231">
        <f t="shared" ca="1" si="621"/>
        <v>1</v>
      </c>
      <c r="O901" s="228" t="str">
        <f t="shared" ca="1" si="622"/>
        <v>Mao de obra para regularizacao de superficie</v>
      </c>
      <c r="P901" s="232" t="str">
        <f>IF(S901="","",IF(Orçamento!$B901="INSUMO",S901,""))</f>
        <v>MAO DE OBRA PARA REGULARIZACAO DE SUPERFICIE</v>
      </c>
      <c r="Q901" s="244" t="str">
        <f t="shared" si="623"/>
        <v/>
      </c>
      <c r="R901" s="234">
        <f t="shared" ca="1" si="624"/>
        <v>489.75000000000006</v>
      </c>
      <c r="S901" s="233" t="s">
        <v>308</v>
      </c>
      <c r="T901" s="242" t="str">
        <f>_xlfn.XLOOKUP(S901,Insumos!$A$3:$A$371,Insumos!$B$3:$B$371)</f>
        <v>M2</v>
      </c>
      <c r="U901" s="235">
        <f ca="1">IF($B901="insumo",R901,"")</f>
        <v>489.75000000000006</v>
      </c>
      <c r="V901" s="320">
        <v>1</v>
      </c>
      <c r="W901" s="236">
        <f>IFERROR(IF(B901="INSUMO",_xlfn.XLOOKUP(S901,Insumos!A:A,Insumos!C:C),""),"Inserir Preço")</f>
        <v>18</v>
      </c>
      <c r="X901" s="235">
        <f t="shared" ca="1" si="625"/>
        <v>489.75000000000006</v>
      </c>
      <c r="Y901" s="236">
        <f t="shared" si="611"/>
        <v>18</v>
      </c>
      <c r="Z901" s="237">
        <f t="shared" ca="1" si="602"/>
        <v>8815.5000000000018</v>
      </c>
      <c r="AA901" s="238"/>
      <c r="AB901" s="233" t="str">
        <f>IF(B901="insumo",_xlfn.XLOOKUP(S901,Insumos!A:A,Insumos!D:D),"")</f>
        <v xml:space="preserve"> </v>
      </c>
      <c r="AC901" s="239">
        <f t="shared" ca="1" si="603"/>
        <v>1.2646638477164659E-3</v>
      </c>
      <c r="AE901" s="240">
        <f ca="1">IFERROR(IF(OR(Z901="",Z901=0),"",IF(AF901="","",IF(AF901="R$/mês",Z901/OBRA!$D$12,IF(AF901="R$/m²",Z901/OBRA!$D$10,IF(AF901="R$/apto",Orçamento!Z901/OBRA!$D$11,""))))),"")</f>
        <v>4.5365190944973071</v>
      </c>
      <c r="AF901" s="241" t="s">
        <v>154</v>
      </c>
    </row>
    <row r="902" spans="1:32" s="10" customFormat="1" ht="13.15" hidden="1" customHeight="1" outlineLevel="4" x14ac:dyDescent="0.2">
      <c r="A902" s="227"/>
      <c r="B902" s="228" t="s">
        <v>4</v>
      </c>
      <c r="C902" s="229">
        <f t="shared" si="601"/>
        <v>5</v>
      </c>
      <c r="D902" s="227" t="str">
        <f t="shared" ca="1" si="612"/>
        <v>06.003.006.002</v>
      </c>
      <c r="E902" s="228" t="str">
        <f t="shared" ca="1" si="613"/>
        <v>06.003.006.002</v>
      </c>
      <c r="F902" s="230">
        <f ca="1">IF($B902="UNIDADE CONSTRUTIVA",OFFSET(F902,-1,0)+1,LARGE(F$10:F901,1))</f>
        <v>2</v>
      </c>
      <c r="G902" s="228" t="str">
        <f t="shared" ca="1" si="614"/>
        <v xml:space="preserve">   GERENCIAMENTO EXECUTIVO</v>
      </c>
      <c r="H902" s="230">
        <f t="shared" ca="1" si="615"/>
        <v>6</v>
      </c>
      <c r="I902" s="228" t="str">
        <f t="shared" ca="1" si="616"/>
        <v xml:space="preserve">   IMPERMEABILIZAÇÃO E TRATAMENTOS</v>
      </c>
      <c r="J902" s="230">
        <f t="shared" ca="1" si="617"/>
        <v>3</v>
      </c>
      <c r="K902" s="228" t="str">
        <f t="shared" ca="1" si="618"/>
        <v xml:space="preserve">   IMPERMEABILIZAÇÃO E TRATAMENTOS - 3º  ao 7º PAVIMENTO - TIPO</v>
      </c>
      <c r="L902" s="231">
        <f t="shared" ca="1" si="619"/>
        <v>6</v>
      </c>
      <c r="M902" s="228" t="str">
        <f t="shared" ca="1" si="620"/>
        <v xml:space="preserve">   Mão de Obra</v>
      </c>
      <c r="N902" s="231">
        <f t="shared" ca="1" si="621"/>
        <v>2</v>
      </c>
      <c r="O902" s="228" t="str">
        <f t="shared" ca="1" si="622"/>
        <v>Mao de obra para impermeabilizacao de manta asfaltica</v>
      </c>
      <c r="P902" s="232" t="str">
        <f>IF(S902="","",IF(Orçamento!$B902="INSUMO",S902,""))</f>
        <v/>
      </c>
      <c r="Q902" s="244" t="str">
        <f t="shared" si="623"/>
        <v>Mao de obra para impermeabilizacao de manta asfaltica</v>
      </c>
      <c r="R902" s="234">
        <f t="shared" ca="1" si="624"/>
        <v>19.79</v>
      </c>
      <c r="S902" s="233" t="s">
        <v>473</v>
      </c>
      <c r="T902" s="242" t="s">
        <v>140</v>
      </c>
      <c r="U902" s="235">
        <f>U883</f>
        <v>19.79</v>
      </c>
      <c r="V902" s="320" t="s">
        <v>35</v>
      </c>
      <c r="W902" s="236" t="str">
        <f>IFERROR(IF(B902="INSUMO",_xlfn.XLOOKUP(S902,Insumos!A:A,Insumos!C:C),""),"Inserir Preço")</f>
        <v/>
      </c>
      <c r="X902" s="235">
        <f t="shared" ca="1" si="625"/>
        <v>19.79</v>
      </c>
      <c r="Y902" s="236">
        <f t="shared" ca="1" si="611"/>
        <v>65.19</v>
      </c>
      <c r="Z902" s="237">
        <f t="shared" ca="1" si="602"/>
        <v>1290.1100999999999</v>
      </c>
      <c r="AA902" s="238"/>
      <c r="AB902" s="233" t="str">
        <f>IF(B902="insumo",_xlfn.XLOOKUP(S902,Insumos!A:A,Insumos!D:D),"")</f>
        <v/>
      </c>
      <c r="AC902" s="239">
        <f t="shared" ca="1" si="603"/>
        <v>1.8507805604263785E-4</v>
      </c>
      <c r="AE902" s="240">
        <f ca="1">IFERROR(IF(OR(Z902="",Z902=0),"",IF(AF902="","",IF(AF902="R$/mês",Z902/OBRA!$D$12,IF(AF902="R$/m²",Z902/OBRA!$D$10,IF(AF902="R$/apto",Orçamento!Z902/OBRA!$D$11,""))))),"")</f>
        <v>0.66389984716168438</v>
      </c>
      <c r="AF902" s="241" t="s">
        <v>154</v>
      </c>
    </row>
    <row r="903" spans="1:32" s="10" customFormat="1" ht="13.15" hidden="1" customHeight="1" outlineLevel="4" x14ac:dyDescent="0.2">
      <c r="A903" s="227"/>
      <c r="B903" s="228" t="s">
        <v>19</v>
      </c>
      <c r="C903" s="229">
        <f t="shared" si="601"/>
        <v>5</v>
      </c>
      <c r="D903" s="227" t="str">
        <f t="shared" si="612"/>
        <v/>
      </c>
      <c r="E903" s="228" t="str">
        <f t="shared" ca="1" si="613"/>
        <v>06.003.006.002</v>
      </c>
      <c r="F903" s="230">
        <f ca="1">IF($B903="UNIDADE CONSTRUTIVA",OFFSET(F903,-1,0)+1,LARGE(F$10:F902,1))</f>
        <v>2</v>
      </c>
      <c r="G903" s="228" t="str">
        <f t="shared" ca="1" si="614"/>
        <v xml:space="preserve">   GERENCIAMENTO EXECUTIVO</v>
      </c>
      <c r="H903" s="230">
        <f t="shared" ca="1" si="615"/>
        <v>6</v>
      </c>
      <c r="I903" s="228" t="str">
        <f t="shared" ca="1" si="616"/>
        <v xml:space="preserve">   IMPERMEABILIZAÇÃO E TRATAMENTOS</v>
      </c>
      <c r="J903" s="230">
        <f t="shared" ca="1" si="617"/>
        <v>3</v>
      </c>
      <c r="K903" s="228" t="str">
        <f t="shared" ca="1" si="618"/>
        <v xml:space="preserve">   IMPERMEABILIZAÇÃO E TRATAMENTOS - 3º  ao 7º PAVIMENTO - TIPO</v>
      </c>
      <c r="L903" s="231">
        <f t="shared" ca="1" si="619"/>
        <v>6</v>
      </c>
      <c r="M903" s="228" t="str">
        <f t="shared" ca="1" si="620"/>
        <v xml:space="preserve">   Mão de Obra</v>
      </c>
      <c r="N903" s="231">
        <f t="shared" ca="1" si="621"/>
        <v>2</v>
      </c>
      <c r="O903" s="228" t="str">
        <f t="shared" ca="1" si="622"/>
        <v>Mao de obra para impermeabilizacao de manta asfaltica</v>
      </c>
      <c r="P903" s="232" t="str">
        <f>IF(S903="","",IF(Orçamento!$B903="INSUMO",S903,""))</f>
        <v>MAO DE OBRA DE IMPERMEABILIZACAO</v>
      </c>
      <c r="Q903" s="244" t="str">
        <f t="shared" si="623"/>
        <v/>
      </c>
      <c r="R903" s="234">
        <f t="shared" ca="1" si="624"/>
        <v>19.79</v>
      </c>
      <c r="S903" s="233" t="s">
        <v>322</v>
      </c>
      <c r="T903" s="242" t="str">
        <f>_xlfn.XLOOKUP(S903,Insumos!$A$3:$A$371,Insumos!$B$3:$B$371)</f>
        <v>M2</v>
      </c>
      <c r="U903" s="235">
        <f ca="1">IF($B903="insumo",R903,"")</f>
        <v>19.79</v>
      </c>
      <c r="V903" s="320">
        <v>1</v>
      </c>
      <c r="W903" s="236">
        <f>IFERROR(IF(B903="INSUMO",_xlfn.XLOOKUP(S903,Insumos!A:A,Insumos!C:C),""),"Inserir Preço")</f>
        <v>65.19</v>
      </c>
      <c r="X903" s="235">
        <f t="shared" ca="1" si="625"/>
        <v>19.79</v>
      </c>
      <c r="Y903" s="236">
        <f t="shared" si="611"/>
        <v>65.19</v>
      </c>
      <c r="Z903" s="237">
        <f t="shared" ca="1" si="602"/>
        <v>1290.1100999999999</v>
      </c>
      <c r="AA903" s="238"/>
      <c r="AB903" s="233" t="str">
        <f>IF(B903="insumo",_xlfn.XLOOKUP(S903,Insumos!A:A,Insumos!D:D),"")</f>
        <v xml:space="preserve"> </v>
      </c>
      <c r="AC903" s="239">
        <f t="shared" ca="1" si="603"/>
        <v>1.8507805604263785E-4</v>
      </c>
      <c r="AE903" s="240">
        <f ca="1">IFERROR(IF(OR(Z903="",Z903=0),"",IF(AF903="","",IF(AF903="R$/mês",Z903/OBRA!$D$12,IF(AF903="R$/m²",Z903/OBRA!$D$10,IF(AF903="R$/apto",Orçamento!Z903/OBRA!$D$11,""))))),"")</f>
        <v>0.66389984716168438</v>
      </c>
      <c r="AF903" s="241" t="s">
        <v>154</v>
      </c>
    </row>
    <row r="904" spans="1:32" s="10" customFormat="1" ht="13.15" hidden="1" customHeight="1" outlineLevel="4" x14ac:dyDescent="0.2">
      <c r="A904" s="227"/>
      <c r="B904" s="228" t="s">
        <v>4</v>
      </c>
      <c r="C904" s="229">
        <f t="shared" si="601"/>
        <v>4</v>
      </c>
      <c r="D904" s="227" t="str">
        <f t="shared" ca="1" si="612"/>
        <v>06.003.006.003</v>
      </c>
      <c r="E904" s="228" t="str">
        <f t="shared" ca="1" si="613"/>
        <v>06.003.006.003</v>
      </c>
      <c r="F904" s="230">
        <f ca="1">IF($B904="UNIDADE CONSTRUTIVA",OFFSET(F904,-1,0)+1,LARGE(F$10:F903,1))</f>
        <v>2</v>
      </c>
      <c r="G904" s="228" t="str">
        <f t="shared" ca="1" si="614"/>
        <v xml:space="preserve">   GERENCIAMENTO EXECUTIVO</v>
      </c>
      <c r="H904" s="230">
        <f t="shared" ca="1" si="615"/>
        <v>6</v>
      </c>
      <c r="I904" s="228" t="str">
        <f t="shared" ca="1" si="616"/>
        <v xml:space="preserve">   IMPERMEABILIZAÇÃO E TRATAMENTOS</v>
      </c>
      <c r="J904" s="230">
        <f t="shared" ca="1" si="617"/>
        <v>3</v>
      </c>
      <c r="K904" s="228" t="str">
        <f t="shared" ca="1" si="618"/>
        <v xml:space="preserve">   IMPERMEABILIZAÇÃO E TRATAMENTOS - 3º  ao 7º PAVIMENTO - TIPO</v>
      </c>
      <c r="L904" s="231">
        <f t="shared" ca="1" si="619"/>
        <v>6</v>
      </c>
      <c r="M904" s="228" t="str">
        <f t="shared" ca="1" si="620"/>
        <v xml:space="preserve">   Mão de Obra</v>
      </c>
      <c r="N904" s="231">
        <f t="shared" ca="1" si="621"/>
        <v>3</v>
      </c>
      <c r="O904" s="228" t="str">
        <f t="shared" ca="1" si="622"/>
        <v>Mão de obra para tratamento de ralos</v>
      </c>
      <c r="P904" s="232" t="str">
        <f>IF(S904="","",IF(Orçamento!$B904="INSUMO",S904,""))</f>
        <v/>
      </c>
      <c r="Q904" s="244" t="str">
        <f t="shared" si="623"/>
        <v>Mão de obra para tratamento de ralos</v>
      </c>
      <c r="R904" s="234">
        <f t="shared" ca="1" si="624"/>
        <v>70</v>
      </c>
      <c r="S904" s="233" t="s">
        <v>1156</v>
      </c>
      <c r="T904" s="242" t="s">
        <v>140</v>
      </c>
      <c r="U904" s="377">
        <f>U886</f>
        <v>70</v>
      </c>
      <c r="V904" s="320" t="s">
        <v>35</v>
      </c>
      <c r="W904" s="236" t="str">
        <f>IFERROR(IF(B904="INSUMO",_xlfn.XLOOKUP(S904,Insumos!A:A,Insumos!C:C),""),"Inserir Preço")</f>
        <v/>
      </c>
      <c r="X904" s="235">
        <f t="shared" ca="1" si="625"/>
        <v>70</v>
      </c>
      <c r="Y904" s="236">
        <f t="shared" ca="1" si="611"/>
        <v>80</v>
      </c>
      <c r="Z904" s="237">
        <f t="shared" ca="1" si="602"/>
        <v>5600</v>
      </c>
      <c r="AA904" s="238"/>
      <c r="AB904" s="233" t="str">
        <f>IF(B904="insumo",_xlfn.XLOOKUP(S904,Insumos!A:A,Insumos!D:D),"")</f>
        <v/>
      </c>
      <c r="AC904" s="239">
        <f t="shared" ca="1" si="603"/>
        <v>8.0337105634532434E-4</v>
      </c>
      <c r="AE904" s="240">
        <f ca="1">IFERROR(IF(OR(Z904="",Z904=0),"",IF(AF904="","",IF(AF904="R$/mês",Z904/OBRA!$D$12,IF(AF904="R$/m²",Z904/OBRA!$D$10,IF(AF904="R$/apto",Orçamento!Z904/OBRA!$D$11,""))))),"")</f>
        <v>2.8817998898740758</v>
      </c>
      <c r="AF904" s="241" t="s">
        <v>154</v>
      </c>
    </row>
    <row r="905" spans="1:32" s="10" customFormat="1" ht="13.15" hidden="1" customHeight="1" outlineLevel="4" x14ac:dyDescent="0.2">
      <c r="A905" s="227"/>
      <c r="B905" s="228" t="s">
        <v>19</v>
      </c>
      <c r="C905" s="229">
        <f t="shared" si="601"/>
        <v>4</v>
      </c>
      <c r="D905" s="227" t="str">
        <f t="shared" si="612"/>
        <v/>
      </c>
      <c r="E905" s="228" t="str">
        <f t="shared" ca="1" si="613"/>
        <v>06.003.006.003</v>
      </c>
      <c r="F905" s="230">
        <f ca="1">IF($B905="UNIDADE CONSTRUTIVA",OFFSET(F905,-1,0)+1,LARGE(F$10:F904,1))</f>
        <v>2</v>
      </c>
      <c r="G905" s="228" t="str">
        <f t="shared" ca="1" si="614"/>
        <v xml:space="preserve">   GERENCIAMENTO EXECUTIVO</v>
      </c>
      <c r="H905" s="230">
        <f t="shared" ca="1" si="615"/>
        <v>6</v>
      </c>
      <c r="I905" s="228" t="str">
        <f t="shared" ca="1" si="616"/>
        <v xml:space="preserve">   IMPERMEABILIZAÇÃO E TRATAMENTOS</v>
      </c>
      <c r="J905" s="230">
        <f t="shared" ca="1" si="617"/>
        <v>3</v>
      </c>
      <c r="K905" s="228" t="str">
        <f t="shared" ca="1" si="618"/>
        <v xml:space="preserve">   IMPERMEABILIZAÇÃO E TRATAMENTOS - 3º  ao 7º PAVIMENTO - TIPO</v>
      </c>
      <c r="L905" s="231">
        <f t="shared" ca="1" si="619"/>
        <v>6</v>
      </c>
      <c r="M905" s="228" t="str">
        <f t="shared" ca="1" si="620"/>
        <v xml:space="preserve">   Mão de Obra</v>
      </c>
      <c r="N905" s="231">
        <f t="shared" ca="1" si="621"/>
        <v>3</v>
      </c>
      <c r="O905" s="228" t="str">
        <f t="shared" ca="1" si="622"/>
        <v>Mão de obra para tratamento de ralos</v>
      </c>
      <c r="P905" s="232" t="str">
        <f>IF(S905="","",IF(Orçamento!$B905="INSUMO",S905,""))</f>
        <v>MÃO DE OBRA PARA TRATAMENTO DE RALO</v>
      </c>
      <c r="Q905" s="244" t="str">
        <f t="shared" si="623"/>
        <v/>
      </c>
      <c r="R905" s="234">
        <f t="shared" ca="1" si="624"/>
        <v>70</v>
      </c>
      <c r="S905" s="233" t="s">
        <v>1157</v>
      </c>
      <c r="T905" s="242" t="str">
        <f>_xlfn.XLOOKUP(S905,Insumos!$A$3:$A$371,Insumos!$B$3:$B$371)</f>
        <v>UN</v>
      </c>
      <c r="U905" s="235">
        <f ca="1">IF($B905="insumo",R905,"")</f>
        <v>70</v>
      </c>
      <c r="V905" s="320">
        <v>1</v>
      </c>
      <c r="W905" s="236">
        <f>IFERROR(IF(B905="INSUMO",_xlfn.XLOOKUP(S905,Insumos!A:A,Insumos!C:C),""),"Inserir Preço")</f>
        <v>80</v>
      </c>
      <c r="X905" s="235">
        <f t="shared" ca="1" si="625"/>
        <v>70</v>
      </c>
      <c r="Y905" s="236">
        <f t="shared" si="611"/>
        <v>80</v>
      </c>
      <c r="Z905" s="237">
        <f t="shared" ca="1" si="602"/>
        <v>5600</v>
      </c>
      <c r="AA905" s="238"/>
      <c r="AB905" s="233" t="str">
        <f>IF(B905="insumo",_xlfn.XLOOKUP(S905,Insumos!A:A,Insumos!D:D),"")</f>
        <v xml:space="preserve"> </v>
      </c>
      <c r="AC905" s="239">
        <f t="shared" ca="1" si="603"/>
        <v>8.0337105634532434E-4</v>
      </c>
      <c r="AE905" s="240">
        <f ca="1">IFERROR(IF(OR(Z905="",Z905=0),"",IF(AF905="","",IF(AF905="R$/mês",Z905/OBRA!$D$12,IF(AF905="R$/m²",Z905/OBRA!$D$10,IF(AF905="R$/apto",Orçamento!Z905/OBRA!$D$11,""))))),"")</f>
        <v>2.8817998898740758</v>
      </c>
      <c r="AF905" s="241" t="s">
        <v>154</v>
      </c>
    </row>
    <row r="906" spans="1:32" s="10" customFormat="1" ht="13.15" hidden="1" customHeight="1" outlineLevel="4" x14ac:dyDescent="0.2">
      <c r="A906" s="227"/>
      <c r="B906" s="228" t="s">
        <v>4</v>
      </c>
      <c r="C906" s="229">
        <f t="shared" si="601"/>
        <v>5</v>
      </c>
      <c r="D906" s="227" t="str">
        <f t="shared" ca="1" si="612"/>
        <v>06.003.006.004</v>
      </c>
      <c r="E906" s="228" t="str">
        <f t="shared" ca="1" si="613"/>
        <v>06.003.006.004</v>
      </c>
      <c r="F906" s="230">
        <f ca="1">IF($B906="UNIDADE CONSTRUTIVA",OFFSET(F906,-1,0)+1,LARGE(F$10:F905,1))</f>
        <v>2</v>
      </c>
      <c r="G906" s="228" t="str">
        <f t="shared" ca="1" si="614"/>
        <v xml:space="preserve">   GERENCIAMENTO EXECUTIVO</v>
      </c>
      <c r="H906" s="230">
        <f t="shared" ca="1" si="615"/>
        <v>6</v>
      </c>
      <c r="I906" s="228" t="str">
        <f t="shared" ca="1" si="616"/>
        <v xml:space="preserve">   IMPERMEABILIZAÇÃO E TRATAMENTOS</v>
      </c>
      <c r="J906" s="230">
        <f t="shared" ca="1" si="617"/>
        <v>3</v>
      </c>
      <c r="K906" s="228" t="str">
        <f t="shared" ca="1" si="618"/>
        <v xml:space="preserve">   IMPERMEABILIZAÇÃO E TRATAMENTOS - 3º  ao 7º PAVIMENTO - TIPO</v>
      </c>
      <c r="L906" s="231">
        <f t="shared" ca="1" si="619"/>
        <v>6</v>
      </c>
      <c r="M906" s="228" t="str">
        <f t="shared" ca="1" si="620"/>
        <v xml:space="preserve">   Mão de Obra</v>
      </c>
      <c r="N906" s="231">
        <f t="shared" ca="1" si="621"/>
        <v>4</v>
      </c>
      <c r="O906" s="228" t="str">
        <f t="shared" ca="1" si="622"/>
        <v>Mao de obra para execucao de protecao mecanica em superficie impermeabilizada</v>
      </c>
      <c r="P906" s="232" t="str">
        <f>IF(S906="","",IF(Orçamento!$B906="INSUMO",S906,""))</f>
        <v/>
      </c>
      <c r="Q906" s="244" t="str">
        <f t="shared" si="623"/>
        <v>Mao de obra para execucao de protecao mecanica em superficie impermeabilizada</v>
      </c>
      <c r="R906" s="234">
        <f t="shared" ca="1" si="624"/>
        <v>19.79</v>
      </c>
      <c r="S906" s="233" t="s">
        <v>475</v>
      </c>
      <c r="T906" s="242" t="s">
        <v>140</v>
      </c>
      <c r="U906" s="235">
        <f>U896</f>
        <v>19.79</v>
      </c>
      <c r="V906" s="320" t="s">
        <v>35</v>
      </c>
      <c r="W906" s="236" t="str">
        <f>IFERROR(IF(B906="INSUMO",_xlfn.XLOOKUP(S906,Insumos!A:A,Insumos!C:C),""),"Inserir Preço")</f>
        <v/>
      </c>
      <c r="X906" s="235">
        <f t="shared" ca="1" si="625"/>
        <v>19.79</v>
      </c>
      <c r="Y906" s="236">
        <f t="shared" ca="1" si="611"/>
        <v>4.5</v>
      </c>
      <c r="Z906" s="237">
        <f t="shared" ca="1" si="602"/>
        <v>89.054999999999993</v>
      </c>
      <c r="AA906" s="238"/>
      <c r="AB906" s="233" t="str">
        <f>IF(B906="insumo",_xlfn.XLOOKUP(S906,Insumos!A:A,Insumos!D:D),"")</f>
        <v/>
      </c>
      <c r="AC906" s="239">
        <f t="shared" ca="1" si="603"/>
        <v>1.2775751682648724E-5</v>
      </c>
      <c r="AE906" s="240">
        <f ca="1">IFERROR(IF(OR(Z906="",Z906=0),"",IF(AF906="","",IF(AF906="R$/mês",Z906/OBRA!$D$12,IF(AF906="R$/m²",Z906/OBRA!$D$10,IF(AF906="R$/apto",Orçamento!Z906/OBRA!$D$11,""))))),"")</f>
        <v>4.5828337355845676E-2</v>
      </c>
      <c r="AF906" s="241" t="s">
        <v>154</v>
      </c>
    </row>
    <row r="907" spans="1:32" s="10" customFormat="1" ht="13.15" hidden="1" customHeight="1" outlineLevel="4" x14ac:dyDescent="0.2">
      <c r="A907" s="227"/>
      <c r="B907" s="228" t="s">
        <v>19</v>
      </c>
      <c r="C907" s="229">
        <f t="shared" si="601"/>
        <v>5</v>
      </c>
      <c r="D907" s="227" t="str">
        <f t="shared" si="612"/>
        <v/>
      </c>
      <c r="E907" s="228" t="str">
        <f t="shared" ca="1" si="613"/>
        <v>06.003.006.004</v>
      </c>
      <c r="F907" s="230">
        <f ca="1">IF($B907="UNIDADE CONSTRUTIVA",OFFSET(F907,-1,0)+1,LARGE(F$10:F906,1))</f>
        <v>2</v>
      </c>
      <c r="G907" s="228" t="str">
        <f t="shared" ca="1" si="614"/>
        <v xml:space="preserve">   GERENCIAMENTO EXECUTIVO</v>
      </c>
      <c r="H907" s="230">
        <f t="shared" ca="1" si="615"/>
        <v>6</v>
      </c>
      <c r="I907" s="228" t="str">
        <f t="shared" ca="1" si="616"/>
        <v xml:space="preserve">   IMPERMEABILIZAÇÃO E TRATAMENTOS</v>
      </c>
      <c r="J907" s="230">
        <f t="shared" ca="1" si="617"/>
        <v>3</v>
      </c>
      <c r="K907" s="228" t="str">
        <f t="shared" ca="1" si="618"/>
        <v xml:space="preserve">   IMPERMEABILIZAÇÃO E TRATAMENTOS - 3º  ao 7º PAVIMENTO - TIPO</v>
      </c>
      <c r="L907" s="231">
        <f t="shared" ca="1" si="619"/>
        <v>6</v>
      </c>
      <c r="M907" s="228" t="str">
        <f t="shared" ca="1" si="620"/>
        <v xml:space="preserve">   Mão de Obra</v>
      </c>
      <c r="N907" s="231">
        <f t="shared" ca="1" si="621"/>
        <v>4</v>
      </c>
      <c r="O907" s="228" t="str">
        <f t="shared" ca="1" si="622"/>
        <v>Mao de obra para execucao de protecao mecanica em superficie impermeabilizada</v>
      </c>
      <c r="P907" s="232" t="str">
        <f>IF(S907="","",IF(Orçamento!$B907="INSUMO",S907,""))</f>
        <v>M.O. PARA EXECUCAO DE PROTECAO MECANICA EM SUPERFICIE IMPERMEABILIZADA</v>
      </c>
      <c r="Q907" s="244" t="str">
        <f t="shared" si="623"/>
        <v/>
      </c>
      <c r="R907" s="234">
        <f t="shared" ca="1" si="624"/>
        <v>19.79</v>
      </c>
      <c r="S907" s="233" t="s">
        <v>325</v>
      </c>
      <c r="T907" s="242" t="str">
        <f>_xlfn.XLOOKUP(S907,Insumos!$A$3:$A$371,Insumos!$B$3:$B$371)</f>
        <v>M2</v>
      </c>
      <c r="U907" s="235">
        <f ca="1">IF($B907="insumo",R907,"")</f>
        <v>19.79</v>
      </c>
      <c r="V907" s="320">
        <v>1</v>
      </c>
      <c r="W907" s="236">
        <f>IFERROR(IF(B907="INSUMO",_xlfn.XLOOKUP(S907,Insumos!A:A,Insumos!C:C),""),"Inserir Preço")</f>
        <v>4.5</v>
      </c>
      <c r="X907" s="235">
        <f t="shared" ca="1" si="625"/>
        <v>19.79</v>
      </c>
      <c r="Y907" s="236">
        <f t="shared" si="611"/>
        <v>4.5</v>
      </c>
      <c r="Z907" s="237">
        <f t="shared" ca="1" si="602"/>
        <v>89.054999999999993</v>
      </c>
      <c r="AA907" s="238"/>
      <c r="AB907" s="233" t="str">
        <f>IF(B907="insumo",_xlfn.XLOOKUP(S907,Insumos!A:A,Insumos!D:D),"")</f>
        <v xml:space="preserve"> </v>
      </c>
      <c r="AC907" s="239">
        <f t="shared" ca="1" si="603"/>
        <v>1.2775751682648724E-5</v>
      </c>
      <c r="AE907" s="240">
        <f ca="1">IFERROR(IF(OR(Z907="",Z907=0),"",IF(AF907="","",IF(AF907="R$/mês",Z907/OBRA!$D$12,IF(AF907="R$/m²",Z907/OBRA!$D$10,IF(AF907="R$/apto",Orçamento!Z907/OBRA!$D$11,""))))),"")</f>
        <v>4.5828337355845676E-2</v>
      </c>
      <c r="AF907" s="241" t="s">
        <v>154</v>
      </c>
    </row>
    <row r="908" spans="1:32" s="10" customFormat="1" ht="13.15" hidden="1" customHeight="1" outlineLevel="4" x14ac:dyDescent="0.2">
      <c r="A908" s="227"/>
      <c r="B908" s="228" t="s">
        <v>4</v>
      </c>
      <c r="C908" s="229">
        <f t="shared" ref="C908:C971" si="626">IF(B908="INSUMO",COUNTIFS(B:B,"INSUMO",S:S,S908),IF(B908="SERVIÇO",COUNTIFS(B:B,"SERVIÇO",S:S,S908),""))</f>
        <v>4</v>
      </c>
      <c r="D908" s="227" t="str">
        <f t="shared" ca="1" si="612"/>
        <v>06.003.006.005</v>
      </c>
      <c r="E908" s="228" t="str">
        <f t="shared" ca="1" si="613"/>
        <v>06.003.006.005</v>
      </c>
      <c r="F908" s="230">
        <f ca="1">IF($B908="UNIDADE CONSTRUTIVA",OFFSET(F908,-1,0)+1,LARGE(F$10:F907,1))</f>
        <v>2</v>
      </c>
      <c r="G908" s="228" t="str">
        <f t="shared" ca="1" si="614"/>
        <v xml:space="preserve">   GERENCIAMENTO EXECUTIVO</v>
      </c>
      <c r="H908" s="230">
        <f t="shared" ca="1" si="615"/>
        <v>6</v>
      </c>
      <c r="I908" s="228" t="str">
        <f t="shared" ca="1" si="616"/>
        <v xml:space="preserve">   IMPERMEABILIZAÇÃO E TRATAMENTOS</v>
      </c>
      <c r="J908" s="230">
        <f t="shared" ca="1" si="617"/>
        <v>3</v>
      </c>
      <c r="K908" s="228" t="str">
        <f t="shared" ca="1" si="618"/>
        <v xml:space="preserve">   IMPERMEABILIZAÇÃO E TRATAMENTOS - 3º  ao 7º PAVIMENTO - TIPO</v>
      </c>
      <c r="L908" s="231">
        <f t="shared" ca="1" si="619"/>
        <v>6</v>
      </c>
      <c r="M908" s="228" t="str">
        <f t="shared" ca="1" si="620"/>
        <v xml:space="preserve">   Mão de Obra</v>
      </c>
      <c r="N908" s="231">
        <f t="shared" ca="1" si="621"/>
        <v>5</v>
      </c>
      <c r="O908" s="228" t="str">
        <f t="shared" ca="1" si="622"/>
        <v>Mao de obra para impermeabilizacao com argamassa polimerica</v>
      </c>
      <c r="P908" s="232" t="str">
        <f>IF(S908="","",IF(Orçamento!$B908="INSUMO",S908,""))</f>
        <v/>
      </c>
      <c r="Q908" s="244" t="str">
        <f t="shared" si="623"/>
        <v>Mao de obra para impermeabilizacao com argamassa polimerica</v>
      </c>
      <c r="R908" s="234">
        <f t="shared" ca="1" si="624"/>
        <v>469.96000000000004</v>
      </c>
      <c r="S908" s="233" t="s">
        <v>474</v>
      </c>
      <c r="T908" s="242" t="s">
        <v>140</v>
      </c>
      <c r="U908" s="235">
        <f>U890</f>
        <v>469.96000000000004</v>
      </c>
      <c r="V908" s="320" t="s">
        <v>35</v>
      </c>
      <c r="W908" s="236" t="str">
        <f>IFERROR(IF(B908="INSUMO",_xlfn.XLOOKUP(S908,Insumos!A:A,Insumos!C:C),""),"Inserir Preço")</f>
        <v/>
      </c>
      <c r="X908" s="235">
        <f t="shared" ca="1" si="625"/>
        <v>469.96000000000004</v>
      </c>
      <c r="Y908" s="236">
        <f t="shared" ca="1" si="611"/>
        <v>33.74</v>
      </c>
      <c r="Z908" s="237">
        <f t="shared" ref="Z908:Z971" ca="1" si="627">IFERROR(IF(B908="Unidade Construtiva",SUMIFS(Z:Z,B:B,"Célula Construtiva",G:G,G908),IF(B908="célula construtiva",SUMIFS(Z:Z,B:B,"Insumo",I:I,I908,G:G,G908),IF(B908="ETAPA",SUMIFS(Z:Z,B:B,"Insumo",K:K,K908,I:I,I908,G:G,G908),IF(B908="subetapa",SUMIFS(Z:Z,M:M,M908,B:B,"insumo",K:K,K908,I:I,I908,G:G,G908),IF(B908="complemento do insumo",V908*W908,IF(B908="INSUMO",R908*V908*W908,X908*Y908)))))),"")</f>
        <v>15856.450400000002</v>
      </c>
      <c r="AA908" s="238"/>
      <c r="AB908" s="233" t="str">
        <f>IF(B908="insumo",_xlfn.XLOOKUP(S908,Insumos!A:A,Insumos!D:D),"")</f>
        <v/>
      </c>
      <c r="AC908" s="239">
        <f t="shared" ref="AC908:AC971" ca="1" si="628">IFERROR(IF(B908="","",Z908/SUMIF(B:B,"INSUMO",Z:Z)),0)</f>
        <v>2.2747523763812934E-3</v>
      </c>
      <c r="AE908" s="240">
        <f ca="1">IFERROR(IF(OR(Z908="",Z908=0),"",IF(AF908="","",IF(AF908="R$/mês",Z908/OBRA!$D$12,IF(AF908="R$/m²",Z908/OBRA!$D$10,IF(AF908="R$/apto",Orçamento!Z908/OBRA!$D$11,""))))),"")</f>
        <v>8.159842324377454</v>
      </c>
      <c r="AF908" s="241" t="s">
        <v>154</v>
      </c>
    </row>
    <row r="909" spans="1:32" s="10" customFormat="1" ht="13.15" hidden="1" customHeight="1" outlineLevel="4" x14ac:dyDescent="0.2">
      <c r="A909" s="227"/>
      <c r="B909" s="228" t="s">
        <v>19</v>
      </c>
      <c r="C909" s="229">
        <f t="shared" si="626"/>
        <v>4</v>
      </c>
      <c r="D909" s="227" t="str">
        <f t="shared" si="612"/>
        <v/>
      </c>
      <c r="E909" s="228" t="str">
        <f t="shared" ca="1" si="613"/>
        <v>06.003.006.005</v>
      </c>
      <c r="F909" s="230">
        <f ca="1">IF($B909="UNIDADE CONSTRUTIVA",OFFSET(F909,-1,0)+1,LARGE(F$10:F908,1))</f>
        <v>2</v>
      </c>
      <c r="G909" s="228" t="str">
        <f t="shared" ca="1" si="614"/>
        <v xml:space="preserve">   GERENCIAMENTO EXECUTIVO</v>
      </c>
      <c r="H909" s="230">
        <f t="shared" ca="1" si="615"/>
        <v>6</v>
      </c>
      <c r="I909" s="228" t="str">
        <f t="shared" ca="1" si="616"/>
        <v xml:space="preserve">   IMPERMEABILIZAÇÃO E TRATAMENTOS</v>
      </c>
      <c r="J909" s="230">
        <f t="shared" ca="1" si="617"/>
        <v>3</v>
      </c>
      <c r="K909" s="228" t="str">
        <f t="shared" ca="1" si="618"/>
        <v xml:space="preserve">   IMPERMEABILIZAÇÃO E TRATAMENTOS - 3º  ao 7º PAVIMENTO - TIPO</v>
      </c>
      <c r="L909" s="231">
        <f t="shared" ca="1" si="619"/>
        <v>6</v>
      </c>
      <c r="M909" s="228" t="str">
        <f t="shared" ca="1" si="620"/>
        <v xml:space="preserve">   Mão de Obra</v>
      </c>
      <c r="N909" s="231">
        <f t="shared" ca="1" si="621"/>
        <v>5</v>
      </c>
      <c r="O909" s="228" t="str">
        <f t="shared" ca="1" si="622"/>
        <v>Mao de obra para impermeabilizacao com argamassa polimerica</v>
      </c>
      <c r="P909" s="232" t="str">
        <f>IF(S909="","",IF(Orçamento!$B909="INSUMO",S909,""))</f>
        <v>MAO DE OBRA PARA IMPERMEABILIZACAO COM ARGAMASSA POLIMERICA</v>
      </c>
      <c r="Q909" s="244" t="str">
        <f t="shared" si="623"/>
        <v/>
      </c>
      <c r="R909" s="234">
        <f t="shared" ca="1" si="624"/>
        <v>469.96000000000004</v>
      </c>
      <c r="S909" s="233" t="s">
        <v>302</v>
      </c>
      <c r="T909" s="242" t="str">
        <f>_xlfn.XLOOKUP(S909,Insumos!$A$3:$A$371,Insumos!$B$3:$B$371)</f>
        <v>M2</v>
      </c>
      <c r="U909" s="235">
        <f ca="1">IF($B909="insumo",R909,"")</f>
        <v>469.96000000000004</v>
      </c>
      <c r="V909" s="320">
        <v>1</v>
      </c>
      <c r="W909" s="236">
        <f>IFERROR(IF(B909="INSUMO",_xlfn.XLOOKUP(S909,Insumos!A:A,Insumos!C:C),""),"Inserir Preço")</f>
        <v>33.74</v>
      </c>
      <c r="X909" s="235">
        <f t="shared" ca="1" si="625"/>
        <v>469.96000000000004</v>
      </c>
      <c r="Y909" s="236">
        <f t="shared" si="611"/>
        <v>33.74</v>
      </c>
      <c r="Z909" s="237">
        <f t="shared" ca="1" si="627"/>
        <v>15856.450400000002</v>
      </c>
      <c r="AA909" s="238"/>
      <c r="AB909" s="233" t="str">
        <f>IF(B909="insumo",_xlfn.XLOOKUP(S909,Insumos!A:A,Insumos!D:D),"")</f>
        <v xml:space="preserve"> </v>
      </c>
      <c r="AC909" s="239">
        <f t="shared" ca="1" si="628"/>
        <v>2.2747523763812934E-3</v>
      </c>
      <c r="AE909" s="240">
        <f ca="1">IFERROR(IF(OR(Z909="",Z909=0),"",IF(AF909="","",IF(AF909="R$/mês",Z909/OBRA!$D$12,IF(AF909="R$/m²",Z909/OBRA!$D$10,IF(AF909="R$/apto",Orçamento!Z909/OBRA!$D$11,""))))),"")</f>
        <v>8.159842324377454</v>
      </c>
      <c r="AF909" s="241" t="s">
        <v>154</v>
      </c>
    </row>
    <row r="910" spans="1:32" s="10" customFormat="1" ht="13.15" hidden="1" customHeight="1" outlineLevel="4" x14ac:dyDescent="0.2">
      <c r="A910" s="227"/>
      <c r="B910" s="228" t="s">
        <v>4</v>
      </c>
      <c r="C910" s="229">
        <f t="shared" si="626"/>
        <v>4</v>
      </c>
      <c r="D910" s="227" t="str">
        <f t="shared" ca="1" si="612"/>
        <v>06.003.006.006</v>
      </c>
      <c r="E910" s="228" t="str">
        <f t="shared" ca="1" si="613"/>
        <v>06.003.006.006</v>
      </c>
      <c r="F910" s="230">
        <f ca="1">IF($B910="UNIDADE CONSTRUTIVA",OFFSET(F910,-1,0)+1,LARGE(F$10:F909,1))</f>
        <v>2</v>
      </c>
      <c r="G910" s="228" t="str">
        <f t="shared" ca="1" si="614"/>
        <v xml:space="preserve">   GERENCIAMENTO EXECUTIVO</v>
      </c>
      <c r="H910" s="230">
        <f t="shared" ca="1" si="615"/>
        <v>6</v>
      </c>
      <c r="I910" s="228" t="str">
        <f t="shared" ca="1" si="616"/>
        <v xml:space="preserve">   IMPERMEABILIZAÇÃO E TRATAMENTOS</v>
      </c>
      <c r="J910" s="230">
        <f t="shared" ca="1" si="617"/>
        <v>3</v>
      </c>
      <c r="K910" s="228" t="str">
        <f t="shared" ca="1" si="618"/>
        <v xml:space="preserve">   IMPERMEABILIZAÇÃO E TRATAMENTOS - 3º  ao 7º PAVIMENTO - TIPO</v>
      </c>
      <c r="L910" s="231">
        <f t="shared" ca="1" si="619"/>
        <v>6</v>
      </c>
      <c r="M910" s="228" t="str">
        <f t="shared" ca="1" si="620"/>
        <v xml:space="preserve">   Mão de Obra</v>
      </c>
      <c r="N910" s="231">
        <f t="shared" ca="1" si="621"/>
        <v>6</v>
      </c>
      <c r="O910" s="228" t="str">
        <f t="shared" ca="1" si="622"/>
        <v>Mao de obra para impermeabilizacao de peitoris</v>
      </c>
      <c r="P910" s="232" t="str">
        <f>IF(S910="","",IF(Orçamento!$B910="INSUMO",S910,""))</f>
        <v/>
      </c>
      <c r="Q910" s="244" t="str">
        <f t="shared" si="623"/>
        <v>Mao de obra para impermeabilizacao de peitoris</v>
      </c>
      <c r="R910" s="234">
        <f t="shared" ca="1" si="624"/>
        <v>12.940000000000001</v>
      </c>
      <c r="S910" s="233" t="s">
        <v>463</v>
      </c>
      <c r="T910" s="242" t="s">
        <v>140</v>
      </c>
      <c r="U910" s="235">
        <f>U893</f>
        <v>12.940000000000001</v>
      </c>
      <c r="V910" s="320" t="s">
        <v>35</v>
      </c>
      <c r="W910" s="236" t="str">
        <f>IFERROR(IF(B910="INSUMO",_xlfn.XLOOKUP(S910,Insumos!A:A,Insumos!C:C),""),"Inserir Preço")</f>
        <v/>
      </c>
      <c r="X910" s="235">
        <f t="shared" ca="1" si="625"/>
        <v>12.940000000000001</v>
      </c>
      <c r="Y910" s="236">
        <f t="shared" ca="1" si="611"/>
        <v>32</v>
      </c>
      <c r="Z910" s="237">
        <f t="shared" ca="1" si="627"/>
        <v>414.08000000000004</v>
      </c>
      <c r="AA910" s="238"/>
      <c r="AB910" s="233" t="str">
        <f>IF(B910="insumo",_xlfn.XLOOKUP(S910,Insumos!A:A,Insumos!D:D),"")</f>
        <v/>
      </c>
      <c r="AC910" s="239">
        <f t="shared" ca="1" si="628"/>
        <v>5.9403551252048559E-5</v>
      </c>
      <c r="AE910" s="240">
        <f ca="1">IFERROR(IF(OR(Z910="",Z910=0),"",IF(AF910="","",IF(AF910="R$/mês",Z910/OBRA!$D$12,IF(AF910="R$/m²",Z910/OBRA!$D$10,IF(AF910="R$/apto",Orçamento!Z910/OBRA!$D$11,""))))),"")</f>
        <v>0.21308851757126024</v>
      </c>
      <c r="AF910" s="241" t="s">
        <v>154</v>
      </c>
    </row>
    <row r="911" spans="1:32" s="10" customFormat="1" ht="13.15" hidden="1" customHeight="1" outlineLevel="4" x14ac:dyDescent="0.2">
      <c r="A911" s="227"/>
      <c r="B911" s="228" t="s">
        <v>19</v>
      </c>
      <c r="C911" s="229">
        <f t="shared" si="626"/>
        <v>4</v>
      </c>
      <c r="D911" s="227" t="str">
        <f t="shared" si="612"/>
        <v/>
      </c>
      <c r="E911" s="228" t="str">
        <f t="shared" ca="1" si="613"/>
        <v>06.003.006.006</v>
      </c>
      <c r="F911" s="230">
        <f ca="1">IF($B911="UNIDADE CONSTRUTIVA",OFFSET(F911,-1,0)+1,LARGE(F$10:F910,1))</f>
        <v>2</v>
      </c>
      <c r="G911" s="228" t="str">
        <f t="shared" ca="1" si="614"/>
        <v xml:space="preserve">   GERENCIAMENTO EXECUTIVO</v>
      </c>
      <c r="H911" s="230">
        <f t="shared" ca="1" si="615"/>
        <v>6</v>
      </c>
      <c r="I911" s="228" t="str">
        <f t="shared" ca="1" si="616"/>
        <v xml:space="preserve">   IMPERMEABILIZAÇÃO E TRATAMENTOS</v>
      </c>
      <c r="J911" s="230">
        <f t="shared" ca="1" si="617"/>
        <v>3</v>
      </c>
      <c r="K911" s="228" t="str">
        <f t="shared" ca="1" si="618"/>
        <v xml:space="preserve">   IMPERMEABILIZAÇÃO E TRATAMENTOS - 3º  ao 7º PAVIMENTO - TIPO</v>
      </c>
      <c r="L911" s="231">
        <f t="shared" ca="1" si="619"/>
        <v>6</v>
      </c>
      <c r="M911" s="228" t="str">
        <f t="shared" ca="1" si="620"/>
        <v xml:space="preserve">   Mão de Obra</v>
      </c>
      <c r="N911" s="231">
        <f t="shared" ca="1" si="621"/>
        <v>6</v>
      </c>
      <c r="O911" s="228" t="str">
        <f t="shared" ca="1" si="622"/>
        <v>Mao de obra para impermeabilizacao de peitoris</v>
      </c>
      <c r="P911" s="232" t="str">
        <f>IF(S911="","",IF(Orçamento!$B911="INSUMO",S911,""))</f>
        <v>MAO DE OBRA PARA IMPERMEABILIZACAO COM MANTA LIQUIDA</v>
      </c>
      <c r="Q911" s="244" t="str">
        <f t="shared" si="623"/>
        <v/>
      </c>
      <c r="R911" s="234">
        <f t="shared" ca="1" si="624"/>
        <v>12.940000000000001</v>
      </c>
      <c r="S911" s="233" t="s">
        <v>382</v>
      </c>
      <c r="T911" s="242" t="str">
        <f>_xlfn.XLOOKUP(S911,Insumos!$A$3:$A$371,Insumos!$B$3:$B$371)</f>
        <v>M2</v>
      </c>
      <c r="U911" s="235">
        <f ca="1">IF($B911="insumo",R911,"")</f>
        <v>12.940000000000001</v>
      </c>
      <c r="V911" s="320">
        <v>1</v>
      </c>
      <c r="W911" s="236">
        <f>IFERROR(IF(B911="INSUMO",_xlfn.XLOOKUP(S911,Insumos!A:A,Insumos!C:C),""),"Inserir Preço")</f>
        <v>32</v>
      </c>
      <c r="X911" s="235">
        <f t="shared" ca="1" si="625"/>
        <v>12.940000000000001</v>
      </c>
      <c r="Y911" s="236">
        <f t="shared" si="611"/>
        <v>32</v>
      </c>
      <c r="Z911" s="237">
        <f t="shared" ca="1" si="627"/>
        <v>414.08000000000004</v>
      </c>
      <c r="AA911" s="238"/>
      <c r="AB911" s="233" t="str">
        <f>IF(B911="insumo",_xlfn.XLOOKUP(S911,Insumos!A:A,Insumos!D:D),"")</f>
        <v xml:space="preserve"> </v>
      </c>
      <c r="AC911" s="239">
        <f t="shared" ca="1" si="628"/>
        <v>5.9403551252048559E-5</v>
      </c>
      <c r="AE911" s="240">
        <f ca="1">IFERROR(IF(OR(Z911="",Z911=0),"",IF(AF911="","",IF(AF911="R$/mês",Z911/OBRA!$D$12,IF(AF911="R$/m²",Z911/OBRA!$D$10,IF(AF911="R$/apto",Orçamento!Z911/OBRA!$D$11,""))))),"")</f>
        <v>0.21308851757126024</v>
      </c>
      <c r="AF911" s="241" t="s">
        <v>154</v>
      </c>
    </row>
    <row r="912" spans="1:32" s="10" customFormat="1" ht="13.15" customHeight="1" outlineLevel="2" collapsed="1" x14ac:dyDescent="0.2">
      <c r="A912" s="227"/>
      <c r="B912" s="228" t="s">
        <v>2</v>
      </c>
      <c r="C912" s="229" t="str">
        <f t="shared" si="626"/>
        <v/>
      </c>
      <c r="D912" s="227" t="str">
        <f t="shared" ref="D912:D936" ca="1" si="629">IF(B912="Unidade Construtiva",TEXT(F912,"00"),IF(B912="Célula Construtiva",TEXT(H912,"00"),IF(B912="Etapa",CONCATENATE(TEXT(H912,"00"),".",TEXT(J912,"000")),IF(B912="Subetapa",CONCATENATE(TEXT(H912,"00"),".",TEXT(J912,"000"),".",TEXT(L912,"000")),IF(B912="Serviço",CONCATENATE(TEXT(H912,"00"),".",TEXT(J912,"000"),".",TEXT(L912,"000"),".",TEXT(N912,"000")),"")))))</f>
        <v>06.004</v>
      </c>
      <c r="E912" s="228" t="str">
        <f t="shared" ref="E912:E936" ca="1" si="630">IF(B912="*","",IFERROR(IF(B912="SERVIÇO",D912,OFFSET(E912,-1,0)),""))</f>
        <v>06.003.006.006</v>
      </c>
      <c r="F912" s="230">
        <f ca="1">IF($B912="UNIDADE CONSTRUTIVA",OFFSET(F912,-1,0)+1,LARGE(F$10:F911,1))</f>
        <v>2</v>
      </c>
      <c r="G912" s="228" t="str">
        <f ca="1">IF(B912="*","",IF(B912="UNIDADE CONSTRUTIVA",S912,OFFSET(G912,-1,0)))</f>
        <v xml:space="preserve">   GERENCIAMENTO EXECUTIVO</v>
      </c>
      <c r="H912" s="230">
        <f t="shared" ref="H912:H936" ca="1" si="631">IF(B912="UNIDADE CONSTRUTIVA",0,IF(B912="CÉLULA CONSTRUTIVA",OFFSET(H912,-1,0)+1,OFFSET(H912,-1,0)))</f>
        <v>6</v>
      </c>
      <c r="I912" s="228" t="str">
        <f ca="1">IF(B912="*","",IF(B912="CÉLULA CONSTRUTIVA",S912,OFFSET(I912,-1,0)))</f>
        <v xml:space="preserve">   IMPERMEABILIZAÇÃO E TRATAMENTOS</v>
      </c>
      <c r="J912" s="230">
        <f t="shared" ref="J912:J936" ca="1" si="632">IF(B912="CÉLULA CONSTRUTIVA",0,IF(B912="ETAPA",OFFSET(J912,-1,0)+1,OFFSET(J912,-1,0)))</f>
        <v>4</v>
      </c>
      <c r="K912" s="228" t="str">
        <f ca="1">IF(B912="*","",IF(B912="ETAPA",S912,OFFSET(K912,-1,0)))</f>
        <v xml:space="preserve">   IMPERMEABILIZAÇÃO E TRATAMENTOS - 8º PAVIMENTO - COBERTURA</v>
      </c>
      <c r="L912" s="231">
        <f t="shared" ref="L912:L936" ca="1" si="633">IF(B912="ETAPA",0,IF(B912="SUBETAPA",OFFSET(L912,-1,0)+1,OFFSET(L912,-1,0)))</f>
        <v>0</v>
      </c>
      <c r="M912" s="228" t="str">
        <f ca="1">IF(B912="*","",IF(B912="SUBETAPA",S912,OFFSET(M912,-1,0)))</f>
        <v xml:space="preserve">   Mão de Obra</v>
      </c>
      <c r="N912" s="231">
        <f t="shared" ref="N912:N936" ca="1" si="634">IF(B912="Subetapa",0,IF(B912="serviço",OFFSET(N912,-1,0)+1,OFFSET(N912,-1,0)))</f>
        <v>6</v>
      </c>
      <c r="O912" s="228" t="str">
        <f ca="1">IF(B912="*","",IF(B912="SERVIÇO",S912,OFFSET(O912,-1,0)))</f>
        <v>Mao de obra para impermeabilizacao de peitoris</v>
      </c>
      <c r="P912" s="232" t="str">
        <f>IF(S912="","",IF(Orçamento!$B912="INSUMO",S912,""))</f>
        <v/>
      </c>
      <c r="Q912" s="244" t="str">
        <f t="shared" ref="Q912:Q923" si="635">IF(B912="","",IF(B912="Serviço",S912,""))</f>
        <v/>
      </c>
      <c r="R912" s="234">
        <f ca="1">IF(B912="serviço",U912,OFFSET(R912,-1,0))</f>
        <v>12.940000000000001</v>
      </c>
      <c r="S912" s="233" t="s">
        <v>655</v>
      </c>
      <c r="T912" s="242" t="s">
        <v>35</v>
      </c>
      <c r="U912" s="235" t="str">
        <f>IF($B912="insumo",R912,"")</f>
        <v/>
      </c>
      <c r="V912" s="320" t="s">
        <v>35</v>
      </c>
      <c r="W912" s="236" t="str">
        <f>IFERROR(IF(B912="INSUMO",_xlfn.XLOOKUP(S912,Insumos!A:A,Insumos!C:C),""),"Inserir Preço")</f>
        <v/>
      </c>
      <c r="X912" s="235" t="str">
        <f ca="1">IF(B912="Complemento do insumo",V912,IF(R912="","",IF(B912="serviço",R912,IF(OR(B912="insumo"),V912*R912,""))))</f>
        <v/>
      </c>
      <c r="Y912" s="236" t="str">
        <f t="shared" si="611"/>
        <v/>
      </c>
      <c r="Z912" s="237">
        <f t="shared" ca="1" si="627"/>
        <v>39103.230049999998</v>
      </c>
      <c r="AA912" s="238"/>
      <c r="AB912" s="233" t="str">
        <f>IF(B912="insumo",_xlfn.XLOOKUP(S912,Insumos!A:A,Insumos!D:D),"")</f>
        <v/>
      </c>
      <c r="AC912" s="239">
        <f t="shared" ca="1" si="628"/>
        <v>5.6097148628183446E-3</v>
      </c>
      <c r="AE912" s="240">
        <f ca="1">IFERROR(IF(OR(Z912="",Z912=0),"",IF(AF912="","",IF(AF912="R$/mês",Z912/OBRA!$D$12,IF(AF912="R$/m²",Z912/OBRA!$D$10,IF(AF912="R$/apto",Orçamento!Z912/OBRA!$D$11,""))))),"")</f>
        <v>20.122800723537615</v>
      </c>
      <c r="AF912" s="241" t="s">
        <v>154</v>
      </c>
    </row>
    <row r="913" spans="1:32" s="10" customFormat="1" ht="13.15" hidden="1" customHeight="1" outlineLevel="3" collapsed="1" x14ac:dyDescent="0.2">
      <c r="A913" s="227"/>
      <c r="B913" s="228" t="s">
        <v>3</v>
      </c>
      <c r="C913" s="229" t="str">
        <f t="shared" si="626"/>
        <v/>
      </c>
      <c r="D913" s="227" t="str">
        <f t="shared" ca="1" si="629"/>
        <v>06.004.001</v>
      </c>
      <c r="E913" s="228" t="str">
        <f t="shared" ca="1" si="630"/>
        <v>06.003.006.006</v>
      </c>
      <c r="F913" s="230">
        <f ca="1">IF($B913="UNIDADE CONSTRUTIVA",OFFSET(F913,-1,0)+1,LARGE(F$10:F912,1))</f>
        <v>2</v>
      </c>
      <c r="G913" s="228" t="str">
        <f ca="1">IF(B913="*","",IF(B913="UNIDADE CONSTRUTIVA",S913,OFFSET(G913,-1,0)))</f>
        <v xml:space="preserve">   GERENCIAMENTO EXECUTIVO</v>
      </c>
      <c r="H913" s="230">
        <f t="shared" ca="1" si="631"/>
        <v>6</v>
      </c>
      <c r="I913" s="228" t="str">
        <f ca="1">IF(B913="*","",IF(B913="CÉLULA CONSTRUTIVA",S913,OFFSET(I913,-1,0)))</f>
        <v xml:space="preserve">   IMPERMEABILIZAÇÃO E TRATAMENTOS</v>
      </c>
      <c r="J913" s="230">
        <f t="shared" ca="1" si="632"/>
        <v>4</v>
      </c>
      <c r="K913" s="228" t="str">
        <f ca="1">IF(B913="*","",IF(B913="ETAPA",S913,OFFSET(K913,-1,0)))</f>
        <v xml:space="preserve">   IMPERMEABILIZAÇÃO E TRATAMENTOS - 8º PAVIMENTO - COBERTURA</v>
      </c>
      <c r="L913" s="231">
        <f t="shared" ca="1" si="633"/>
        <v>1</v>
      </c>
      <c r="M913" s="228" t="str">
        <f ca="1">IF(B913="*","",IF(B913="SUBETAPA",S913,OFFSET(M913,-1,0)))</f>
        <v xml:space="preserve">   Regularizacao de superficie para impermeabilizacao</v>
      </c>
      <c r="N913" s="231">
        <f t="shared" ca="1" si="634"/>
        <v>0</v>
      </c>
      <c r="O913" s="228" t="str">
        <f ca="1">IF(B913="*","",IF(B913="SERVIÇO",S913,OFFSET(O913,-1,0)))</f>
        <v>Mao de obra para impermeabilizacao de peitoris</v>
      </c>
      <c r="P913" s="232" t="str">
        <f>IF(S913="","",IF(Orçamento!$B913="INSUMO",S913,""))</f>
        <v/>
      </c>
      <c r="Q913" s="244" t="str">
        <f t="shared" si="635"/>
        <v/>
      </c>
      <c r="R913" s="234">
        <f ca="1">IF(B913="serviço",U913,OFFSET(R913,-1,0))</f>
        <v>12.940000000000001</v>
      </c>
      <c r="S913" s="233" t="s">
        <v>464</v>
      </c>
      <c r="T913" s="242" t="s">
        <v>35</v>
      </c>
      <c r="U913" s="235" t="str">
        <f>IF($B913="insumo",R913,"")</f>
        <v/>
      </c>
      <c r="V913" s="320" t="s">
        <v>35</v>
      </c>
      <c r="W913" s="236" t="str">
        <f>IFERROR(IF(B913="INSUMO",_xlfn.XLOOKUP(S913,Insumos!A:A,Insumos!C:C),""),"Inserir Preço")</f>
        <v/>
      </c>
      <c r="X913" s="235" t="str">
        <f ca="1">IF(B913="Complemento do insumo",V913,IF(R913="","",IF(B913="serviço",R913,IF(OR(B913="insumo"),V913*R913,""))))</f>
        <v/>
      </c>
      <c r="Y913" s="236" t="str">
        <f t="shared" si="611"/>
        <v/>
      </c>
      <c r="Z913" s="237">
        <f t="shared" ca="1" si="627"/>
        <v>1359.545535</v>
      </c>
      <c r="AA913" s="238"/>
      <c r="AB913" s="233" t="str">
        <f>IF(B913="insumo",_xlfn.XLOOKUP(S913,Insumos!A:A,Insumos!D:D),"")</f>
        <v/>
      </c>
      <c r="AC913" s="239">
        <f t="shared" ca="1" si="628"/>
        <v>1.9503920225044985E-4</v>
      </c>
      <c r="AE913" s="240">
        <f ca="1">IFERROR(IF(OR(Z913="",Z913=0),"",IF(AF913="","",IF(AF913="R$/mês",Z913/OBRA!$D$12,IF(AF913="R$/m²",Z913/OBRA!$D$10,IF(AF913="R$/apto",Orçamento!Z913/OBRA!$D$11,""))))),"")</f>
        <v>0.69963181661460561</v>
      </c>
      <c r="AF913" s="241" t="s">
        <v>154</v>
      </c>
    </row>
    <row r="914" spans="1:32" s="10" customFormat="1" ht="13.15" hidden="1" customHeight="1" outlineLevel="4" x14ac:dyDescent="0.2">
      <c r="A914" s="227"/>
      <c r="B914" s="228" t="s">
        <v>4</v>
      </c>
      <c r="C914" s="229">
        <f t="shared" si="626"/>
        <v>5</v>
      </c>
      <c r="D914" s="227" t="str">
        <f t="shared" ca="1" si="629"/>
        <v>06.004.001.001</v>
      </c>
      <c r="E914" s="228" t="str">
        <f t="shared" ca="1" si="630"/>
        <v>06.004.001.001</v>
      </c>
      <c r="F914" s="230">
        <f ca="1">IF($B914="UNIDADE CONSTRUTIVA",OFFSET(F914,-1,0)+1,LARGE(F$10:F913,1))</f>
        <v>2</v>
      </c>
      <c r="G914" s="228" t="str">
        <f ca="1">IF(B914="*","",IF(B914="UNIDADE CONSTRUTIVA",S914,OFFSET(G914,-1,0)))</f>
        <v xml:space="preserve">   GERENCIAMENTO EXECUTIVO</v>
      </c>
      <c r="H914" s="230">
        <f t="shared" ca="1" si="631"/>
        <v>6</v>
      </c>
      <c r="I914" s="228" t="str">
        <f ca="1">IF(B914="*","",IF(B914="CÉLULA CONSTRUTIVA",S914,OFFSET(I914,-1,0)))</f>
        <v xml:space="preserve">   IMPERMEABILIZAÇÃO E TRATAMENTOS</v>
      </c>
      <c r="J914" s="230">
        <f t="shared" ca="1" si="632"/>
        <v>4</v>
      </c>
      <c r="K914" s="228" t="str">
        <f ca="1">IF(B914="*","",IF(B914="ETAPA",S914,OFFSET(K914,-1,0)))</f>
        <v xml:space="preserve">   IMPERMEABILIZAÇÃO E TRATAMENTOS - 8º PAVIMENTO - COBERTURA</v>
      </c>
      <c r="L914" s="231">
        <f t="shared" ca="1" si="633"/>
        <v>1</v>
      </c>
      <c r="M914" s="228" t="str">
        <f ca="1">IF(B914="*","",IF(B914="SUBETAPA",S914,OFFSET(M914,-1,0)))</f>
        <v xml:space="preserve">   Regularizacao de superficie para impermeabilizacao</v>
      </c>
      <c r="N914" s="231">
        <f t="shared" ca="1" si="634"/>
        <v>1</v>
      </c>
      <c r="O914" s="228" t="str">
        <f ca="1">IF(B914="*","",IF(B914="SERVIÇO",S914,OFFSET(O914,-1,0)))</f>
        <v>Regularizacao de superficie para impermeabilizacao</v>
      </c>
      <c r="P914" s="232" t="str">
        <f>IF(S914="","",IF(Orçamento!$B914="INSUMO",S914,""))</f>
        <v/>
      </c>
      <c r="Q914" s="244" t="str">
        <f t="shared" si="635"/>
        <v>Regularizacao de superficie para impermeabilizacao</v>
      </c>
      <c r="R914" s="234">
        <f ca="1">IF(B914="serviço",U914,OFFSET(R914,-1,0))</f>
        <v>204.09</v>
      </c>
      <c r="S914" s="233" t="s">
        <v>465</v>
      </c>
      <c r="T914" s="242" t="s">
        <v>140</v>
      </c>
      <c r="U914" s="235">
        <f>U918</f>
        <v>204.09</v>
      </c>
      <c r="V914" s="320" t="s">
        <v>35</v>
      </c>
      <c r="W914" s="236" t="str">
        <f>IFERROR(IF(B914="INSUMO",_xlfn.XLOOKUP(S914,Insumos!A:A,Insumos!C:C),""),"Inserir Preço")</f>
        <v/>
      </c>
      <c r="X914" s="235">
        <f ca="1">IF(B914="Complemento do insumo",V914,IF(R914="","",IF(B914="serviço",R914,IF(OR(B914="insumo"),V914*R914,""))))</f>
        <v>204.09</v>
      </c>
      <c r="Y914" s="236">
        <f t="shared" ca="1" si="611"/>
        <v>6.6615000000000002</v>
      </c>
      <c r="Z914" s="237">
        <f t="shared" ca="1" si="627"/>
        <v>1359.545535</v>
      </c>
      <c r="AA914" s="238"/>
      <c r="AB914" s="233" t="str">
        <f>IF(B914="insumo",_xlfn.XLOOKUP(S914,Insumos!A:A,Insumos!D:D),"")</f>
        <v/>
      </c>
      <c r="AC914" s="239">
        <f t="shared" ca="1" si="628"/>
        <v>1.9503920225044985E-4</v>
      </c>
      <c r="AE914" s="240">
        <f ca="1">IFERROR(IF(OR(Z914="",Z914=0),"",IF(AF914="","",IF(AF914="R$/mês",Z914/OBRA!$D$12,IF(AF914="R$/m²",Z914/OBRA!$D$10,IF(AF914="R$/apto",Orçamento!Z914/OBRA!$D$11,""))))),"")</f>
        <v>0.69963181661460561</v>
      </c>
      <c r="AF914" s="241" t="s">
        <v>154</v>
      </c>
    </row>
    <row r="915" spans="1:32" s="10" customFormat="1" ht="13.15" hidden="1" customHeight="1" outlineLevel="4" x14ac:dyDescent="0.2">
      <c r="A915" s="227"/>
      <c r="B915" s="228" t="s">
        <v>19</v>
      </c>
      <c r="C915" s="229">
        <f t="shared" si="626"/>
        <v>13</v>
      </c>
      <c r="D915" s="227" t="str">
        <f t="shared" si="629"/>
        <v/>
      </c>
      <c r="E915" s="228" t="str">
        <f t="shared" ca="1" si="630"/>
        <v>06.004.001.001</v>
      </c>
      <c r="F915" s="230">
        <f ca="1">IF($B915="UNIDADE CONSTRUTIVA",OFFSET(F915,-1,0)+1,LARGE(F$10:F914,1))</f>
        <v>2</v>
      </c>
      <c r="G915" s="228" t="str">
        <f ca="1">IF(B915="*","",IF(B915="UNIDADE CONSTRUTIVA",S915,OFFSET(G915,-1,0)))</f>
        <v xml:space="preserve">   GERENCIAMENTO EXECUTIVO</v>
      </c>
      <c r="H915" s="230">
        <f t="shared" ca="1" si="631"/>
        <v>6</v>
      </c>
      <c r="I915" s="228" t="str">
        <f ca="1">IF(B915="*","",IF(B915="CÉLULA CONSTRUTIVA",S915,OFFSET(I915,-1,0)))</f>
        <v xml:space="preserve">   IMPERMEABILIZAÇÃO E TRATAMENTOS</v>
      </c>
      <c r="J915" s="230">
        <f t="shared" ca="1" si="632"/>
        <v>4</v>
      </c>
      <c r="K915" s="228" t="str">
        <f ca="1">IF(B915="*","",IF(B915="ETAPA",S915,OFFSET(K915,-1,0)))</f>
        <v xml:space="preserve">   IMPERMEABILIZAÇÃO E TRATAMENTOS - 8º PAVIMENTO - COBERTURA</v>
      </c>
      <c r="L915" s="231">
        <f t="shared" ca="1" si="633"/>
        <v>1</v>
      </c>
      <c r="M915" s="228" t="str">
        <f ca="1">IF(B915="*","",IF(B915="SUBETAPA",S915,OFFSET(M915,-1,0)))</f>
        <v xml:space="preserve">   Regularizacao de superficie para impermeabilizacao</v>
      </c>
      <c r="N915" s="231">
        <f t="shared" ca="1" si="634"/>
        <v>1</v>
      </c>
      <c r="O915" s="228" t="str">
        <f ca="1">IF(B915="*","",IF(B915="SERVIÇO",S915,OFFSET(O915,-1,0)))</f>
        <v>Regularizacao de superficie para impermeabilizacao</v>
      </c>
      <c r="P915" s="232" t="str">
        <f>IF(S915="","",IF(Orçamento!$B915="INSUMO",S915,""))</f>
        <v>CIMENTO PORTLAND CP II 32 - Z</v>
      </c>
      <c r="Q915" s="244" t="str">
        <f t="shared" si="635"/>
        <v/>
      </c>
      <c r="R915" s="234">
        <f ca="1">IF(B915="serviço",U915,OFFSET(R915,-1,0))</f>
        <v>204.09</v>
      </c>
      <c r="S915" s="233" t="s">
        <v>343</v>
      </c>
      <c r="T915" s="242" t="str">
        <f>_xlfn.XLOOKUP(S915,Insumos!$A$3:$A$371,Insumos!$B$3:$B$371)</f>
        <v>KG</v>
      </c>
      <c r="U915" s="235">
        <f ca="1">IF($B915="insumo",R915,"")</f>
        <v>204.09</v>
      </c>
      <c r="V915" s="320">
        <v>6.3</v>
      </c>
      <c r="W915" s="236">
        <f>IFERROR(IF(B915="INSUMO",_xlfn.XLOOKUP(S915,Insumos!A:A,Insumos!C:C),""),"Inserir Preço")</f>
        <v>0.74</v>
      </c>
      <c r="X915" s="235">
        <f ca="1">IF(B915="Complemento do insumo",V915,IF(R915="","",IF(B915="serviço",R915,IF(OR(B915="insumo"),V915*R915,""))))</f>
        <v>1285.7670000000001</v>
      </c>
      <c r="Y915" s="236">
        <f t="shared" si="611"/>
        <v>4.6619999999999999</v>
      </c>
      <c r="Z915" s="237">
        <f t="shared" ca="1" si="627"/>
        <v>951.46758</v>
      </c>
      <c r="AA915" s="238"/>
      <c r="AB915" s="233" t="str">
        <f>IF(B915="insumo",_xlfn.XLOOKUP(S915,Insumos!A:A,Insumos!D:D),"")</f>
        <v xml:space="preserve"> </v>
      </c>
      <c r="AC915" s="239">
        <f t="shared" ca="1" si="628"/>
        <v>1.3649669907552311E-4</v>
      </c>
      <c r="AE915" s="240">
        <f ca="1">IFERROR(IF(OR(Z915="",Z915=0),"",IF(AF915="","",IF(AF915="R$/mês",Z915/OBRA!$D$12,IF(AF915="R$/m²",Z915/OBRA!$D$10,IF(AF915="R$/apto",Orçamento!Z915/OBRA!$D$11,""))))),"")</f>
        <v>0.48963199415406305</v>
      </c>
      <c r="AF915" s="241" t="s">
        <v>154</v>
      </c>
    </row>
    <row r="916" spans="1:32" s="10" customFormat="1" ht="13.15" hidden="1" customHeight="1" outlineLevel="4" x14ac:dyDescent="0.2">
      <c r="A916" s="227"/>
      <c r="B916" s="228" t="s">
        <v>19</v>
      </c>
      <c r="C916" s="229">
        <f t="shared" si="626"/>
        <v>7</v>
      </c>
      <c r="D916" s="227" t="str">
        <f t="shared" si="629"/>
        <v/>
      </c>
      <c r="E916" s="228" t="str">
        <f t="shared" ca="1" si="630"/>
        <v>06.004.001.001</v>
      </c>
      <c r="F916" s="230">
        <f ca="1">IF($B916="UNIDADE CONSTRUTIVA",OFFSET(F916,-1,0)+1,LARGE(F$10:F915,1))</f>
        <v>2</v>
      </c>
      <c r="G916" s="228" t="str">
        <f t="shared" ref="G916:G951" ca="1" si="636">IF(B916="*","",IF(B916="UNIDADE CONSTRUTIVA",S916,OFFSET(G916,-1,0)))</f>
        <v xml:space="preserve">   GERENCIAMENTO EXECUTIVO</v>
      </c>
      <c r="H916" s="230">
        <f t="shared" ca="1" si="631"/>
        <v>6</v>
      </c>
      <c r="I916" s="228" t="str">
        <f t="shared" ref="I916:I951" ca="1" si="637">IF(B916="*","",IF(B916="CÉLULA CONSTRUTIVA",S916,OFFSET(I916,-1,0)))</f>
        <v xml:space="preserve">   IMPERMEABILIZAÇÃO E TRATAMENTOS</v>
      </c>
      <c r="J916" s="230">
        <f t="shared" ca="1" si="632"/>
        <v>4</v>
      </c>
      <c r="K916" s="228" t="str">
        <f t="shared" ref="K916:K951" ca="1" si="638">IF(B916="*","",IF(B916="ETAPA",S916,OFFSET(K916,-1,0)))</f>
        <v xml:space="preserve">   IMPERMEABILIZAÇÃO E TRATAMENTOS - 8º PAVIMENTO - COBERTURA</v>
      </c>
      <c r="L916" s="231">
        <f t="shared" ca="1" si="633"/>
        <v>1</v>
      </c>
      <c r="M916" s="228" t="str">
        <f t="shared" ref="M916:M951" ca="1" si="639">IF(B916="*","",IF(B916="SUBETAPA",S916,OFFSET(M916,-1,0)))</f>
        <v xml:space="preserve">   Regularizacao de superficie para impermeabilizacao</v>
      </c>
      <c r="N916" s="231">
        <f t="shared" ca="1" si="634"/>
        <v>1</v>
      </c>
      <c r="O916" s="228" t="str">
        <f t="shared" ref="O916:O951" ca="1" si="640">IF(B916="*","",IF(B916="SERVIÇO",S916,OFFSET(O916,-1,0)))</f>
        <v>Regularizacao de superficie para impermeabilizacao</v>
      </c>
      <c r="P916" s="232" t="str">
        <f>IF(S916="","",IF(Orçamento!$B916="INSUMO",S916,""))</f>
        <v>AREIA MEDIA</v>
      </c>
      <c r="Q916" s="244" t="str">
        <f t="shared" si="635"/>
        <v/>
      </c>
      <c r="R916" s="234">
        <f t="shared" ref="R916:R951" ca="1" si="641">IF(B916="serviço",U916,OFFSET(R916,-1,0))</f>
        <v>204.09</v>
      </c>
      <c r="S916" s="233" t="s">
        <v>359</v>
      </c>
      <c r="T916" s="242" t="str">
        <f>_xlfn.XLOOKUP(S916,Insumos!$A$3:$A$371,Insumos!$B$3:$B$371)</f>
        <v>M3</v>
      </c>
      <c r="U916" s="235">
        <f ca="1">IF($B916="insumo",R916,"")</f>
        <v>204.09</v>
      </c>
      <c r="V916" s="320">
        <v>1.55E-2</v>
      </c>
      <c r="W916" s="236">
        <f>IFERROR(IF(B916="INSUMO",_xlfn.XLOOKUP(S916,Insumos!A:A,Insumos!C:C),""),"Inserir Preço")</f>
        <v>129</v>
      </c>
      <c r="X916" s="235">
        <f ca="1">IF(B916="Complemento do insumo",V916,IF(R916="","",IF(B916="serviço",R916,IF(OR(B916="insumo"),V916*R916,""))))</f>
        <v>3.163395</v>
      </c>
      <c r="Y916" s="236">
        <f t="shared" si="611"/>
        <v>1.9995000000000001</v>
      </c>
      <c r="Z916" s="237">
        <f t="shared" ca="1" si="627"/>
        <v>408.07795499999997</v>
      </c>
      <c r="AA916" s="238"/>
      <c r="AB916" s="233" t="str">
        <f>IF(B916="insumo",_xlfn.XLOOKUP(S916,Insumos!A:A,Insumos!D:D),"")</f>
        <v>Agregados Nestor</v>
      </c>
      <c r="AC916" s="239">
        <f t="shared" ca="1" si="628"/>
        <v>5.8542503174926736E-5</v>
      </c>
      <c r="AE916" s="240">
        <f ca="1">IFERROR(IF(OR(Z916="",Z916=0),"",IF(AF916="","",IF(AF916="R$/mês",Z916/OBRA!$D$12,IF(AF916="R$/m²",Z916/OBRA!$D$10,IF(AF916="R$/apto",Orçamento!Z916/OBRA!$D$11,""))))),"")</f>
        <v>0.2099998224605425</v>
      </c>
      <c r="AF916" s="241" t="s">
        <v>154</v>
      </c>
    </row>
    <row r="917" spans="1:32" s="10" customFormat="1" ht="13.15" hidden="1" customHeight="1" outlineLevel="3" collapsed="1" x14ac:dyDescent="0.2">
      <c r="A917" s="227"/>
      <c r="B917" s="228" t="s">
        <v>3</v>
      </c>
      <c r="C917" s="229" t="str">
        <f t="shared" si="626"/>
        <v/>
      </c>
      <c r="D917" s="227" t="str">
        <f t="shared" ca="1" si="629"/>
        <v>06.004.002</v>
      </c>
      <c r="E917" s="228" t="str">
        <f t="shared" ca="1" si="630"/>
        <v>06.004.001.001</v>
      </c>
      <c r="F917" s="230">
        <f ca="1">IF($B917="UNIDADE CONSTRUTIVA",OFFSET(F917,-1,0)+1,LARGE(F$10:F916,1))</f>
        <v>2</v>
      </c>
      <c r="G917" s="228" t="str">
        <f t="shared" ca="1" si="636"/>
        <v xml:space="preserve">   GERENCIAMENTO EXECUTIVO</v>
      </c>
      <c r="H917" s="230">
        <f t="shared" ca="1" si="631"/>
        <v>6</v>
      </c>
      <c r="I917" s="228" t="str">
        <f t="shared" ca="1" si="637"/>
        <v xml:space="preserve">   IMPERMEABILIZAÇÃO E TRATAMENTOS</v>
      </c>
      <c r="J917" s="230">
        <f t="shared" ca="1" si="632"/>
        <v>4</v>
      </c>
      <c r="K917" s="228" t="str">
        <f t="shared" ca="1" si="638"/>
        <v xml:space="preserve">   IMPERMEABILIZAÇÃO E TRATAMENTOS - 8º PAVIMENTO - COBERTURA</v>
      </c>
      <c r="L917" s="231">
        <f t="shared" ca="1" si="633"/>
        <v>2</v>
      </c>
      <c r="M917" s="228" t="str">
        <f t="shared" ca="1" si="639"/>
        <v xml:space="preserve">   Impermeabilização Flexível com Manta</v>
      </c>
      <c r="N917" s="231">
        <f t="shared" ca="1" si="634"/>
        <v>0</v>
      </c>
      <c r="O917" s="228" t="str">
        <f t="shared" ca="1" si="640"/>
        <v>Regularizacao de superficie para impermeabilizacao</v>
      </c>
      <c r="P917" s="232" t="str">
        <f>IF(S917="","",IF(Orçamento!$B917="INSUMO",S917,""))</f>
        <v/>
      </c>
      <c r="Q917" s="244" t="str">
        <f t="shared" si="635"/>
        <v/>
      </c>
      <c r="R917" s="234">
        <f t="shared" ca="1" si="641"/>
        <v>204.09</v>
      </c>
      <c r="S917" s="233" t="s">
        <v>466</v>
      </c>
      <c r="T917" s="242" t="s">
        <v>35</v>
      </c>
      <c r="U917" s="235" t="str">
        <f>IF($B917="insumo",R917,"")</f>
        <v/>
      </c>
      <c r="V917" s="320" t="s">
        <v>35</v>
      </c>
      <c r="W917" s="236" t="str">
        <f>IFERROR(IF(B917="INSUMO",_xlfn.XLOOKUP(S917,Insumos!A:A,Insumos!C:C),""),"Inserir Preço")</f>
        <v/>
      </c>
      <c r="X917" s="235" t="str">
        <f t="shared" ref="X917:X952" ca="1" si="642">IF(B917="Complemento do insumo",V917,IF(R917="","",IF(B917="serviço",R917,IF(OR(B917="insumo"),V917*R917,""))))</f>
        <v/>
      </c>
      <c r="Y917" s="236" t="str">
        <f t="shared" si="611"/>
        <v/>
      </c>
      <c r="Z917" s="237">
        <f t="shared" ca="1" si="627"/>
        <v>10094.114880000001</v>
      </c>
      <c r="AA917" s="238"/>
      <c r="AB917" s="233" t="str">
        <f>IF(B917="insumo",_xlfn.XLOOKUP(S917,Insumos!A:A,Insumos!D:D),"")</f>
        <v/>
      </c>
      <c r="AC917" s="239">
        <f t="shared" ca="1" si="628"/>
        <v>1.4480928096458317E-3</v>
      </c>
      <c r="AE917" s="240">
        <f ca="1">IFERROR(IF(OR(Z917="",Z917=0),"",IF(AF917="","",IF(AF917="R$/mês",Z917/OBRA!$D$12,IF(AF917="R$/m²",Z917/OBRA!$D$10,IF(AF917="R$/apto",Orçamento!Z917/OBRA!$D$11,""))))),"")</f>
        <v>5.1945034195643345</v>
      </c>
      <c r="AF917" s="241" t="s">
        <v>154</v>
      </c>
    </row>
    <row r="918" spans="1:32" s="10" customFormat="1" ht="13.15" hidden="1" customHeight="1" outlineLevel="4" x14ac:dyDescent="0.2">
      <c r="A918" s="227"/>
      <c r="B918" s="228" t="s">
        <v>4</v>
      </c>
      <c r="C918" s="229">
        <f t="shared" si="626"/>
        <v>5</v>
      </c>
      <c r="D918" s="227" t="str">
        <f t="shared" ca="1" si="629"/>
        <v>06.004.002.001</v>
      </c>
      <c r="E918" s="228" t="str">
        <f t="shared" ca="1" si="630"/>
        <v>06.004.002.001</v>
      </c>
      <c r="F918" s="230">
        <f ca="1">IF($B918="UNIDADE CONSTRUTIVA",OFFSET(F918,-1,0)+1,LARGE(F$10:F917,1))</f>
        <v>2</v>
      </c>
      <c r="G918" s="228" t="str">
        <f t="shared" ca="1" si="636"/>
        <v xml:space="preserve">   GERENCIAMENTO EXECUTIVO</v>
      </c>
      <c r="H918" s="230">
        <f t="shared" ca="1" si="631"/>
        <v>6</v>
      </c>
      <c r="I918" s="228" t="str">
        <f t="shared" ca="1" si="637"/>
        <v xml:space="preserve">   IMPERMEABILIZAÇÃO E TRATAMENTOS</v>
      </c>
      <c r="J918" s="230">
        <f t="shared" ca="1" si="632"/>
        <v>4</v>
      </c>
      <c r="K918" s="228" t="str">
        <f t="shared" ca="1" si="638"/>
        <v xml:space="preserve">   IMPERMEABILIZAÇÃO E TRATAMENTOS - 8º PAVIMENTO - COBERTURA</v>
      </c>
      <c r="L918" s="231">
        <f t="shared" ca="1" si="633"/>
        <v>2</v>
      </c>
      <c r="M918" s="228" t="str">
        <f t="shared" ca="1" si="639"/>
        <v xml:space="preserve">   Impermeabilização Flexível com Manta</v>
      </c>
      <c r="N918" s="231">
        <f t="shared" ca="1" si="634"/>
        <v>1</v>
      </c>
      <c r="O918" s="228" t="str">
        <f t="shared" ca="1" si="640"/>
        <v>Impermeabilizacao com manta asfaltica espessura 4mm, uma camada, aplicacao com primer asfaltico</v>
      </c>
      <c r="P918" s="232" t="str">
        <f>IF(S918="","",IF(Orçamento!$B918="INSUMO",S918,""))</f>
        <v/>
      </c>
      <c r="Q918" s="244" t="str">
        <f t="shared" si="635"/>
        <v>Impermeabilizacao com manta asfaltica espessura 4mm, uma camada, aplicacao com primer asfaltico</v>
      </c>
      <c r="R918" s="234">
        <f t="shared" ca="1" si="641"/>
        <v>204.09</v>
      </c>
      <c r="S918" s="233" t="s">
        <v>467</v>
      </c>
      <c r="T918" s="242" t="s">
        <v>140</v>
      </c>
      <c r="U918" s="235">
        <v>204.09</v>
      </c>
      <c r="V918" s="320" t="s">
        <v>35</v>
      </c>
      <c r="W918" s="236" t="str">
        <f>IFERROR(IF(B918="INSUMO",_xlfn.XLOOKUP(S918,Insumos!A:A,Insumos!C:C),""),"Inserir Preço")</f>
        <v/>
      </c>
      <c r="X918" s="235">
        <f t="shared" ca="1" si="642"/>
        <v>204.09</v>
      </c>
      <c r="Y918" s="236">
        <f t="shared" ca="1" si="611"/>
        <v>48.632000000000005</v>
      </c>
      <c r="Z918" s="237">
        <f t="shared" ca="1" si="627"/>
        <v>9925.3048800000015</v>
      </c>
      <c r="AA918" s="238"/>
      <c r="AB918" s="233" t="str">
        <f>IF(B918="insumo",_xlfn.XLOOKUP(S918,Insumos!A:A,Insumos!D:D),"")</f>
        <v/>
      </c>
      <c r="AC918" s="239">
        <f t="shared" ca="1" si="628"/>
        <v>1.4238754760705365E-3</v>
      </c>
      <c r="AE918" s="240">
        <f ca="1">IFERROR(IF(OR(Z918="",Z918=0),"",IF(AF918="","",IF(AF918="R$/mês",Z918/OBRA!$D$12,IF(AF918="R$/m²",Z918/OBRA!$D$10,IF(AF918="R$/apto",Orçamento!Z918/OBRA!$D$11,""))))),"")</f>
        <v>5.1076325910983265</v>
      </c>
      <c r="AF918" s="241" t="s">
        <v>154</v>
      </c>
    </row>
    <row r="919" spans="1:32" s="10" customFormat="1" ht="13.15" hidden="1" customHeight="1" outlineLevel="4" x14ac:dyDescent="0.2">
      <c r="A919" s="227"/>
      <c r="B919" s="228" t="s">
        <v>19</v>
      </c>
      <c r="C919" s="229">
        <f t="shared" si="626"/>
        <v>5</v>
      </c>
      <c r="D919" s="227" t="str">
        <f t="shared" si="629"/>
        <v/>
      </c>
      <c r="E919" s="228" t="str">
        <f t="shared" ca="1" si="630"/>
        <v>06.004.002.001</v>
      </c>
      <c r="F919" s="230">
        <f ca="1">IF($B919="UNIDADE CONSTRUTIVA",OFFSET(F919,-1,0)+1,LARGE(F$10:F918,1))</f>
        <v>2</v>
      </c>
      <c r="G919" s="228" t="str">
        <f t="shared" ca="1" si="636"/>
        <v xml:space="preserve">   GERENCIAMENTO EXECUTIVO</v>
      </c>
      <c r="H919" s="230">
        <f t="shared" ca="1" si="631"/>
        <v>6</v>
      </c>
      <c r="I919" s="228" t="str">
        <f t="shared" ca="1" si="637"/>
        <v xml:space="preserve">   IMPERMEABILIZAÇÃO E TRATAMENTOS</v>
      </c>
      <c r="J919" s="230">
        <f t="shared" ca="1" si="632"/>
        <v>4</v>
      </c>
      <c r="K919" s="228" t="str">
        <f t="shared" ca="1" si="638"/>
        <v xml:space="preserve">   IMPERMEABILIZAÇÃO E TRATAMENTOS - 8º PAVIMENTO - COBERTURA</v>
      </c>
      <c r="L919" s="231">
        <f t="shared" ca="1" si="633"/>
        <v>2</v>
      </c>
      <c r="M919" s="228" t="str">
        <f t="shared" ca="1" si="639"/>
        <v xml:space="preserve">   Impermeabilização Flexível com Manta</v>
      </c>
      <c r="N919" s="231">
        <f t="shared" ca="1" si="634"/>
        <v>1</v>
      </c>
      <c r="O919" s="228" t="str">
        <f t="shared" ca="1" si="640"/>
        <v>Impermeabilizacao com manta asfaltica espessura 4mm, uma camada, aplicacao com primer asfaltico</v>
      </c>
      <c r="P919" s="232" t="str">
        <f>IF(S919="","",IF(Orçamento!$B919="INSUMO",S919,""))</f>
        <v>PRIMER A BASE DE ASFALTO MODIFICADO DILUIDO EM SOLVENTE APLIC. A FRIO</v>
      </c>
      <c r="Q919" s="244" t="str">
        <f t="shared" si="635"/>
        <v/>
      </c>
      <c r="R919" s="234">
        <f t="shared" ca="1" si="641"/>
        <v>204.09</v>
      </c>
      <c r="S919" s="233" t="s">
        <v>367</v>
      </c>
      <c r="T919" s="242" t="str">
        <f>_xlfn.XLOOKUP(S919,Insumos!$A$3:$A$371,Insumos!$B$3:$B$371)</f>
        <v>L</v>
      </c>
      <c r="U919" s="235">
        <f ca="1">IF($B919="insumo",R919,"")</f>
        <v>204.09</v>
      </c>
      <c r="V919" s="320">
        <v>0.6</v>
      </c>
      <c r="W919" s="236">
        <f>IFERROR(IF(B919="INSUMO",_xlfn.XLOOKUP(S919,Insumos!A:A,Insumos!C:C),""),"Inserir Preço")</f>
        <v>11.9</v>
      </c>
      <c r="X919" s="235">
        <f t="shared" ca="1" si="642"/>
        <v>122.45399999999999</v>
      </c>
      <c r="Y919" s="236">
        <f t="shared" si="611"/>
        <v>7.14</v>
      </c>
      <c r="Z919" s="237">
        <f t="shared" ca="1" si="627"/>
        <v>1457.2026000000001</v>
      </c>
      <c r="AA919" s="238"/>
      <c r="AB919" s="233" t="str">
        <f>IF(B919="insumo",_xlfn.XLOOKUP(S919,Insumos!A:A,Insumos!D:D),"")</f>
        <v xml:space="preserve"> </v>
      </c>
      <c r="AC919" s="239">
        <f t="shared" ca="1" si="628"/>
        <v>2.090489985841345E-4</v>
      </c>
      <c r="AE919" s="240">
        <f ca="1">IFERROR(IF(OR(Z919="",Z919=0),"",IF(AF919="","",IF(AF919="R$/mês",Z919/OBRA!$D$12,IF(AF919="R$/m²",Z919/OBRA!$D$10,IF(AF919="R$/apto",Orçamento!Z919/OBRA!$D$11,""))))),"")</f>
        <v>0.7498868378936101</v>
      </c>
      <c r="AF919" s="241" t="s">
        <v>154</v>
      </c>
    </row>
    <row r="920" spans="1:32" s="10" customFormat="1" ht="13.15" hidden="1" customHeight="1" outlineLevel="4" x14ac:dyDescent="0.2">
      <c r="A920" s="227"/>
      <c r="B920" s="228" t="s">
        <v>19</v>
      </c>
      <c r="C920" s="229">
        <f t="shared" si="626"/>
        <v>5</v>
      </c>
      <c r="D920" s="227" t="str">
        <f t="shared" si="629"/>
        <v/>
      </c>
      <c r="E920" s="228" t="str">
        <f t="shared" ca="1" si="630"/>
        <v>06.004.002.001</v>
      </c>
      <c r="F920" s="230">
        <f ca="1">IF($B920="UNIDADE CONSTRUTIVA",OFFSET(F920,-1,0)+1,LARGE(F$10:F919,1))</f>
        <v>2</v>
      </c>
      <c r="G920" s="228" t="str">
        <f t="shared" ca="1" si="636"/>
        <v xml:space="preserve">   GERENCIAMENTO EXECUTIVO</v>
      </c>
      <c r="H920" s="230">
        <f t="shared" ca="1" si="631"/>
        <v>6</v>
      </c>
      <c r="I920" s="228" t="str">
        <f t="shared" ca="1" si="637"/>
        <v xml:space="preserve">   IMPERMEABILIZAÇÃO E TRATAMENTOS</v>
      </c>
      <c r="J920" s="230">
        <f t="shared" ca="1" si="632"/>
        <v>4</v>
      </c>
      <c r="K920" s="228" t="str">
        <f t="shared" ca="1" si="638"/>
        <v xml:space="preserve">   IMPERMEABILIZAÇÃO E TRATAMENTOS - 8º PAVIMENTO - COBERTURA</v>
      </c>
      <c r="L920" s="231">
        <f t="shared" ca="1" si="633"/>
        <v>2</v>
      </c>
      <c r="M920" s="228" t="str">
        <f t="shared" ca="1" si="639"/>
        <v xml:space="preserve">   Impermeabilização Flexível com Manta</v>
      </c>
      <c r="N920" s="231">
        <f t="shared" ca="1" si="634"/>
        <v>1</v>
      </c>
      <c r="O920" s="228" t="str">
        <f t="shared" ca="1" si="640"/>
        <v>Impermeabilizacao com manta asfaltica espessura 4mm, uma camada, aplicacao com primer asfaltico</v>
      </c>
      <c r="P920" s="232" t="str">
        <f>IF(S920="","",IF(Orçamento!$B920="INSUMO",S920,""))</f>
        <v>MANTA ASFALTICA ELASTOMERICA EM POLIESTER 3MM, TIPO III, CLASSE B, ACA</v>
      </c>
      <c r="Q920" s="244" t="str">
        <f t="shared" si="635"/>
        <v/>
      </c>
      <c r="R920" s="234">
        <f t="shared" ca="1" si="641"/>
        <v>204.09</v>
      </c>
      <c r="S920" s="233" t="s">
        <v>326</v>
      </c>
      <c r="T920" s="242" t="str">
        <f>_xlfn.XLOOKUP(S920,Insumos!$A$3:$A$371,Insumos!$B$3:$B$371)</f>
        <v>M2</v>
      </c>
      <c r="U920" s="235">
        <f ca="1">IF($B920="insumo",R920,"")</f>
        <v>204.09</v>
      </c>
      <c r="V920" s="320">
        <v>1.1000000000000001</v>
      </c>
      <c r="W920" s="236">
        <f>IFERROR(IF(B920="INSUMO",_xlfn.XLOOKUP(S920,Insumos!A:A,Insumos!C:C),""),"Inserir Preço")</f>
        <v>37.72</v>
      </c>
      <c r="X920" s="235">
        <f t="shared" ca="1" si="642"/>
        <v>224.49900000000002</v>
      </c>
      <c r="Y920" s="236">
        <f t="shared" si="611"/>
        <v>41.492000000000004</v>
      </c>
      <c r="Z920" s="237">
        <f t="shared" ca="1" si="627"/>
        <v>8468.102280000001</v>
      </c>
      <c r="AA920" s="238"/>
      <c r="AB920" s="233" t="str">
        <f>IF(B920="insumo",_xlfn.XLOOKUP(S920,Insumos!A:A,Insumos!D:D),"")</f>
        <v xml:space="preserve"> </v>
      </c>
      <c r="AC920" s="239">
        <f t="shared" ca="1" si="628"/>
        <v>1.214826477486402E-3</v>
      </c>
      <c r="AE920" s="240">
        <f ca="1">IFERROR(IF(OR(Z920="",Z920=0),"",IF(AF920="","",IF(AF920="R$/mês",Z920/OBRA!$D$12,IF(AF920="R$/m²",Z920/OBRA!$D$10,IF(AF920="R$/apto",Orçamento!Z920/OBRA!$D$11,""))))),"")</f>
        <v>4.3577457532047159</v>
      </c>
      <c r="AF920" s="241" t="s">
        <v>154</v>
      </c>
    </row>
    <row r="921" spans="1:32" s="10" customFormat="1" ht="13.15" hidden="1" customHeight="1" outlineLevel="4" x14ac:dyDescent="0.2">
      <c r="A921" s="227"/>
      <c r="B921" s="228" t="s">
        <v>4</v>
      </c>
      <c r="C921" s="229">
        <f t="shared" si="626"/>
        <v>4</v>
      </c>
      <c r="D921" s="227" t="str">
        <f t="shared" ca="1" si="629"/>
        <v>06.004.002.002</v>
      </c>
      <c r="E921" s="228" t="str">
        <f t="shared" ca="1" si="630"/>
        <v>06.004.002.002</v>
      </c>
      <c r="F921" s="230">
        <f ca="1">IF($B921="UNIDADE CONSTRUTIVA",OFFSET(F921,-1,0)+1,LARGE(F$10:F920,1))</f>
        <v>2</v>
      </c>
      <c r="G921" s="228" t="str">
        <f t="shared" ca="1" si="636"/>
        <v xml:space="preserve">   GERENCIAMENTO EXECUTIVO</v>
      </c>
      <c r="H921" s="230">
        <f t="shared" ca="1" si="631"/>
        <v>6</v>
      </c>
      <c r="I921" s="228" t="str">
        <f t="shared" ca="1" si="637"/>
        <v xml:space="preserve">   IMPERMEABILIZAÇÃO E TRATAMENTOS</v>
      </c>
      <c r="J921" s="230">
        <f t="shared" ca="1" si="632"/>
        <v>4</v>
      </c>
      <c r="K921" s="228" t="str">
        <f t="shared" ca="1" si="638"/>
        <v xml:space="preserve">   IMPERMEABILIZAÇÃO E TRATAMENTOS - 8º PAVIMENTO - COBERTURA</v>
      </c>
      <c r="L921" s="231">
        <f t="shared" ca="1" si="633"/>
        <v>2</v>
      </c>
      <c r="M921" s="228" t="str">
        <f t="shared" ca="1" si="639"/>
        <v xml:space="preserve">   Impermeabilização Flexível com Manta</v>
      </c>
      <c r="N921" s="231">
        <f t="shared" ca="1" si="634"/>
        <v>2</v>
      </c>
      <c r="O921" s="228" t="str">
        <f t="shared" ca="1" si="640"/>
        <v>Tratamento de ralo com manta de poliester</v>
      </c>
      <c r="P921" s="232" t="str">
        <f>IF(S921="","",IF(Orçamento!$B921="INSUMO",S921,""))</f>
        <v/>
      </c>
      <c r="Q921" s="244" t="str">
        <f t="shared" si="635"/>
        <v>Tratamento de ralo com manta de poliester</v>
      </c>
      <c r="R921" s="234">
        <f t="shared" ca="1" si="641"/>
        <v>15</v>
      </c>
      <c r="S921" s="233" t="s">
        <v>1153</v>
      </c>
      <c r="T921" s="242" t="s">
        <v>142</v>
      </c>
      <c r="U921" s="235">
        <v>15</v>
      </c>
      <c r="V921" s="320" t="s">
        <v>35</v>
      </c>
      <c r="W921" s="236" t="str">
        <f>IFERROR(IF(B921="INSUMO",_xlfn.XLOOKUP(S921,Insumos!A:A,Insumos!C:C),""),"Inserir Preço")</f>
        <v/>
      </c>
      <c r="X921" s="235">
        <f t="shared" ca="1" si="642"/>
        <v>15</v>
      </c>
      <c r="Y921" s="236">
        <f t="shared" ca="1" si="611"/>
        <v>11.254</v>
      </c>
      <c r="Z921" s="237">
        <f t="shared" ca="1" si="627"/>
        <v>168.81</v>
      </c>
      <c r="AA921" s="238"/>
      <c r="AB921" s="233" t="str">
        <f>IF(B921="insumo",_xlfn.XLOOKUP(S921,Insumos!A:A,Insumos!D:D),"")</f>
        <v/>
      </c>
      <c r="AC921" s="239">
        <f t="shared" ca="1" si="628"/>
        <v>2.4217333575295396E-5</v>
      </c>
      <c r="AE921" s="240">
        <f ca="1">IFERROR(IF(OR(Z921="",Z921=0),"",IF(AF921="","",IF(AF921="R$/mês",Z921/OBRA!$D$12,IF(AF921="R$/m²",Z921/OBRA!$D$10,IF(AF921="R$/apto",Orçamento!Z921/OBRA!$D$11,""))))),"")</f>
        <v>8.6870828466007632E-2</v>
      </c>
      <c r="AF921" s="241" t="s">
        <v>154</v>
      </c>
    </row>
    <row r="922" spans="1:32" s="10" customFormat="1" ht="13.15" hidden="1" customHeight="1" outlineLevel="4" x14ac:dyDescent="0.2">
      <c r="A922" s="227"/>
      <c r="B922" s="228" t="s">
        <v>19</v>
      </c>
      <c r="C922" s="229">
        <f t="shared" si="626"/>
        <v>4</v>
      </c>
      <c r="D922" s="227" t="str">
        <f t="shared" si="629"/>
        <v/>
      </c>
      <c r="E922" s="228" t="str">
        <f t="shared" ca="1" si="630"/>
        <v>06.004.002.002</v>
      </c>
      <c r="F922" s="230">
        <f ca="1">IF($B922="UNIDADE CONSTRUTIVA",OFFSET(F922,-1,0)+1,LARGE(F$10:F921,1))</f>
        <v>2</v>
      </c>
      <c r="G922" s="228" t="str">
        <f t="shared" ca="1" si="636"/>
        <v xml:space="preserve">   GERENCIAMENTO EXECUTIVO</v>
      </c>
      <c r="H922" s="230">
        <f t="shared" ca="1" si="631"/>
        <v>6</v>
      </c>
      <c r="I922" s="228" t="str">
        <f t="shared" ca="1" si="637"/>
        <v xml:space="preserve">   IMPERMEABILIZAÇÃO E TRATAMENTOS</v>
      </c>
      <c r="J922" s="230">
        <f t="shared" ca="1" si="632"/>
        <v>4</v>
      </c>
      <c r="K922" s="228" t="str">
        <f t="shared" ca="1" si="638"/>
        <v xml:space="preserve">   IMPERMEABILIZAÇÃO E TRATAMENTOS - 8º PAVIMENTO - COBERTURA</v>
      </c>
      <c r="L922" s="231">
        <f t="shared" ca="1" si="633"/>
        <v>2</v>
      </c>
      <c r="M922" s="228" t="str">
        <f t="shared" ca="1" si="639"/>
        <v xml:space="preserve">   Impermeabilização Flexível com Manta</v>
      </c>
      <c r="N922" s="231">
        <f t="shared" ca="1" si="634"/>
        <v>2</v>
      </c>
      <c r="O922" s="228" t="str">
        <f t="shared" ca="1" si="640"/>
        <v>Tratamento de ralo com manta de poliester</v>
      </c>
      <c r="P922" s="232" t="str">
        <f>IF(S922="","",IF(Orçamento!$B922="INSUMO",S922,""))</f>
        <v>MANTA VEU POLIESTER BRANCA, L=1,05 M X 100 M</v>
      </c>
      <c r="Q922" s="244" t="str">
        <f t="shared" si="635"/>
        <v/>
      </c>
      <c r="R922" s="234">
        <f t="shared" ca="1" si="641"/>
        <v>15</v>
      </c>
      <c r="S922" s="233" t="s">
        <v>1155</v>
      </c>
      <c r="T922" s="242" t="str">
        <f>_xlfn.XLOOKUP(S922,Insumos!$A$3:$A$371,Insumos!$B$3:$B$371)</f>
        <v>M2</v>
      </c>
      <c r="U922" s="235">
        <v>0.26400000000000001</v>
      </c>
      <c r="V922" s="320">
        <v>0.61499999999999999</v>
      </c>
      <c r="W922" s="236">
        <f>IFERROR(IF(B922="INSUMO",_xlfn.XLOOKUP(S922,Insumos!A:A,Insumos!C:C),""),"Inserir Preço")</f>
        <v>3.4</v>
      </c>
      <c r="X922" s="235">
        <f t="shared" ca="1" si="642"/>
        <v>9.2249999999999996</v>
      </c>
      <c r="Y922" s="236">
        <f t="shared" si="611"/>
        <v>2.0909999999999997</v>
      </c>
      <c r="Z922" s="237">
        <f t="shared" ca="1" si="627"/>
        <v>31.364999999999998</v>
      </c>
      <c r="AA922" s="238"/>
      <c r="AB922" s="233" t="str">
        <f>IF(B922="insumo",_xlfn.XLOOKUP(S922,Insumos!A:A,Insumos!D:D),"")</f>
        <v xml:space="preserve"> </v>
      </c>
      <c r="AC922" s="239">
        <f t="shared" ca="1" si="628"/>
        <v>4.4995952111198388E-6</v>
      </c>
      <c r="AE922" s="240">
        <f ca="1">IFERROR(IF(OR(Z922="",Z922=0),"",IF(AF922="","",IF(AF922="R$/mês",Z922/OBRA!$D$12,IF(AF922="R$/m²",Z922/OBRA!$D$10,IF(AF922="R$/apto",Orçamento!Z922/OBRA!$D$11,""))))),"")</f>
        <v>1.6140652418910783E-2</v>
      </c>
      <c r="AF922" s="241" t="s">
        <v>154</v>
      </c>
    </row>
    <row r="923" spans="1:32" s="10" customFormat="1" ht="13.15" hidden="1" customHeight="1" outlineLevel="4" x14ac:dyDescent="0.2">
      <c r="A923" s="227"/>
      <c r="B923" s="228" t="s">
        <v>19</v>
      </c>
      <c r="C923" s="229">
        <f t="shared" si="626"/>
        <v>4</v>
      </c>
      <c r="D923" s="227" t="str">
        <f t="shared" si="629"/>
        <v/>
      </c>
      <c r="E923" s="228" t="str">
        <f t="shared" ca="1" si="630"/>
        <v>06.004.002.002</v>
      </c>
      <c r="F923" s="230">
        <f ca="1">IF($B923="UNIDADE CONSTRUTIVA",OFFSET(F923,-1,0)+1,LARGE(F$10:F922,1))</f>
        <v>2</v>
      </c>
      <c r="G923" s="228" t="str">
        <f t="shared" ca="1" si="636"/>
        <v xml:space="preserve">   GERENCIAMENTO EXECUTIVO</v>
      </c>
      <c r="H923" s="230">
        <f t="shared" ca="1" si="631"/>
        <v>6</v>
      </c>
      <c r="I923" s="228" t="str">
        <f t="shared" ca="1" si="637"/>
        <v xml:space="preserve">   IMPERMEABILIZAÇÃO E TRATAMENTOS</v>
      </c>
      <c r="J923" s="230">
        <f t="shared" ca="1" si="632"/>
        <v>4</v>
      </c>
      <c r="K923" s="228" t="str">
        <f t="shared" ca="1" si="638"/>
        <v xml:space="preserve">   IMPERMEABILIZAÇÃO E TRATAMENTOS - 8º PAVIMENTO - COBERTURA</v>
      </c>
      <c r="L923" s="231">
        <f t="shared" ca="1" si="633"/>
        <v>2</v>
      </c>
      <c r="M923" s="228" t="str">
        <f t="shared" ca="1" si="639"/>
        <v xml:space="preserve">   Impermeabilização Flexível com Manta</v>
      </c>
      <c r="N923" s="231">
        <f t="shared" ca="1" si="634"/>
        <v>2</v>
      </c>
      <c r="O923" s="228" t="str">
        <f t="shared" ca="1" si="640"/>
        <v>Tratamento de ralo com manta de poliester</v>
      </c>
      <c r="P923" s="232" t="str">
        <f>IF(S923="","",IF(Orçamento!$B923="INSUMO",S923,""))</f>
        <v>IMPERMEABILIZANTE FLEXÍVEL E ELÁSTICO BICOMPONENTE COM FIBRAS</v>
      </c>
      <c r="Q923" s="244" t="str">
        <f t="shared" si="635"/>
        <v/>
      </c>
      <c r="R923" s="234">
        <f t="shared" ca="1" si="641"/>
        <v>15</v>
      </c>
      <c r="S923" s="233" t="s">
        <v>1154</v>
      </c>
      <c r="T923" s="242" t="str">
        <f>_xlfn.XLOOKUP(S923,Insumos!$A$3:$A$371,Insumos!$B$3:$B$371)</f>
        <v>KG</v>
      </c>
      <c r="U923" s="235">
        <v>0.67200000000000004</v>
      </c>
      <c r="V923" s="320">
        <v>1.1000000000000001</v>
      </c>
      <c r="W923" s="236">
        <f>IFERROR(IF(B923="INSUMO",_xlfn.XLOOKUP(S923,Insumos!A:A,Insumos!C:C),""),"Inserir Preço")</f>
        <v>8.33</v>
      </c>
      <c r="X923" s="235">
        <f t="shared" ca="1" si="642"/>
        <v>16.5</v>
      </c>
      <c r="Y923" s="236">
        <f t="shared" si="611"/>
        <v>9.1630000000000003</v>
      </c>
      <c r="Z923" s="237">
        <f t="shared" ca="1" si="627"/>
        <v>137.44499999999999</v>
      </c>
      <c r="AA923" s="238"/>
      <c r="AB923" s="233" t="str">
        <f>IF(B923="insumo",_xlfn.XLOOKUP(S923,Insumos!A:A,Insumos!D:D),"")</f>
        <v xml:space="preserve"> </v>
      </c>
      <c r="AC923" s="239">
        <f t="shared" ca="1" si="628"/>
        <v>1.9717738364175554E-5</v>
      </c>
      <c r="AE923" s="240">
        <f ca="1">IFERROR(IF(OR(Z923="",Z923=0),"",IF(AF923="","",IF(AF923="R$/mês",Z923/OBRA!$D$12,IF(AF923="R$/m²",Z923/OBRA!$D$10,IF(AF923="R$/apto",Orçamento!Z923/OBRA!$D$11,""))))),"")</f>
        <v>7.0730176047096846E-2</v>
      </c>
      <c r="AF923" s="241" t="s">
        <v>154</v>
      </c>
    </row>
    <row r="924" spans="1:32" s="10" customFormat="1" ht="13.15" hidden="1" customHeight="1" outlineLevel="3" collapsed="1" x14ac:dyDescent="0.2">
      <c r="A924" s="227"/>
      <c r="B924" s="228" t="s">
        <v>3</v>
      </c>
      <c r="C924" s="229" t="str">
        <f t="shared" si="626"/>
        <v/>
      </c>
      <c r="D924" s="227" t="str">
        <f t="shared" ca="1" si="629"/>
        <v>06.004.003</v>
      </c>
      <c r="E924" s="228" t="str">
        <f t="shared" ca="1" si="630"/>
        <v>06.004.002.002</v>
      </c>
      <c r="F924" s="230">
        <f ca="1">IF($B924="UNIDADE CONSTRUTIVA",OFFSET(F924,-1,0)+1,LARGE(F$10:F923,1))</f>
        <v>2</v>
      </c>
      <c r="G924" s="228" t="str">
        <f t="shared" ca="1" si="636"/>
        <v xml:space="preserve">   GERENCIAMENTO EXECUTIVO</v>
      </c>
      <c r="H924" s="230">
        <f t="shared" ca="1" si="631"/>
        <v>6</v>
      </c>
      <c r="I924" s="228" t="str">
        <f t="shared" ca="1" si="637"/>
        <v xml:space="preserve">   IMPERMEABILIZAÇÃO E TRATAMENTOS</v>
      </c>
      <c r="J924" s="230">
        <f t="shared" ca="1" si="632"/>
        <v>4</v>
      </c>
      <c r="K924" s="228" t="str">
        <f t="shared" ca="1" si="638"/>
        <v xml:space="preserve">   IMPERMEABILIZAÇÃO E TRATAMENTOS - 8º PAVIMENTO - COBERTURA</v>
      </c>
      <c r="L924" s="231">
        <f t="shared" ca="1" si="633"/>
        <v>3</v>
      </c>
      <c r="M924" s="228" t="str">
        <f t="shared" ca="1" si="639"/>
        <v xml:space="preserve">   Impermeabilização Rígida</v>
      </c>
      <c r="N924" s="231">
        <f t="shared" ca="1" si="634"/>
        <v>0</v>
      </c>
      <c r="O924" s="228" t="str">
        <f t="shared" ca="1" si="640"/>
        <v>Tratamento de ralo com manta de poliester</v>
      </c>
      <c r="P924" s="232" t="str">
        <f>IF(S924="","",IF(Orçamento!$B924="INSUMO",S924,""))</f>
        <v/>
      </c>
      <c r="Q924" s="244" t="str">
        <f t="shared" ref="Q924:Q956" si="643">IF(B924="","",IF(B924="Serviço",S924,""))</f>
        <v/>
      </c>
      <c r="R924" s="234">
        <f t="shared" ca="1" si="641"/>
        <v>15</v>
      </c>
      <c r="S924" s="233" t="s">
        <v>468</v>
      </c>
      <c r="T924" s="242" t="s">
        <v>35</v>
      </c>
      <c r="U924" s="235" t="str">
        <f>IF($B924="insumo",R924,"")</f>
        <v/>
      </c>
      <c r="V924" s="320" t="s">
        <v>35</v>
      </c>
      <c r="W924" s="236" t="str">
        <f>IFERROR(IF(B924="INSUMO",_xlfn.XLOOKUP(S924,Insumos!A:A,Insumos!C:C),""),"Inserir Preço")</f>
        <v/>
      </c>
      <c r="X924" s="235" t="str">
        <f t="shared" ca="1" si="642"/>
        <v/>
      </c>
      <c r="Y924" s="236" t="str">
        <f t="shared" si="611"/>
        <v/>
      </c>
      <c r="Z924" s="237">
        <f t="shared" ca="1" si="627"/>
        <v>187.80608000000001</v>
      </c>
      <c r="AA924" s="238"/>
      <c r="AB924" s="233" t="str">
        <f>IF(B924="insumo",_xlfn.XLOOKUP(S924,Insumos!A:A,Insumos!D:D),"")</f>
        <v/>
      </c>
      <c r="AC924" s="239">
        <f t="shared" ca="1" si="628"/>
        <v>2.6942494442441875E-5</v>
      </c>
      <c r="AE924" s="240">
        <f ca="1">IFERROR(IF(OR(Z924="",Z924=0),"",IF(AF924="","",IF(AF924="R$/mês",Z924/OBRA!$D$12,IF(AF924="R$/m²",Z924/OBRA!$D$10,IF(AF924="R$/apto",Orçamento!Z924/OBRA!$D$11,""))))),"")</f>
        <v>9.6646346546728906E-2</v>
      </c>
      <c r="AF924" s="241" t="s">
        <v>154</v>
      </c>
    </row>
    <row r="925" spans="1:32" s="10" customFormat="1" ht="13.15" hidden="1" customHeight="1" outlineLevel="4" x14ac:dyDescent="0.2">
      <c r="A925" s="227"/>
      <c r="B925" s="228" t="s">
        <v>4</v>
      </c>
      <c r="C925" s="229">
        <f t="shared" si="626"/>
        <v>4</v>
      </c>
      <c r="D925" s="227" t="str">
        <f t="shared" ca="1" si="629"/>
        <v>06.004.003.001</v>
      </c>
      <c r="E925" s="228" t="str">
        <f t="shared" ca="1" si="630"/>
        <v>06.004.003.001</v>
      </c>
      <c r="F925" s="230">
        <f ca="1">IF($B925="UNIDADE CONSTRUTIVA",OFFSET(F925,-1,0)+1,LARGE(F$10:F924,1))</f>
        <v>2</v>
      </c>
      <c r="G925" s="228" t="str">
        <f t="shared" ca="1" si="636"/>
        <v xml:space="preserve">   GERENCIAMENTO EXECUTIVO</v>
      </c>
      <c r="H925" s="230">
        <f t="shared" ca="1" si="631"/>
        <v>6</v>
      </c>
      <c r="I925" s="228" t="str">
        <f t="shared" ca="1" si="637"/>
        <v xml:space="preserve">   IMPERMEABILIZAÇÃO E TRATAMENTOS</v>
      </c>
      <c r="J925" s="230">
        <f t="shared" ca="1" si="632"/>
        <v>4</v>
      </c>
      <c r="K925" s="228" t="str">
        <f t="shared" ca="1" si="638"/>
        <v xml:space="preserve">   IMPERMEABILIZAÇÃO E TRATAMENTOS - 8º PAVIMENTO - COBERTURA</v>
      </c>
      <c r="L925" s="231">
        <f t="shared" ca="1" si="633"/>
        <v>3</v>
      </c>
      <c r="M925" s="228" t="str">
        <f t="shared" ca="1" si="639"/>
        <v xml:space="preserve">   Impermeabilização Rígida</v>
      </c>
      <c r="N925" s="231">
        <f t="shared" ca="1" si="634"/>
        <v>1</v>
      </c>
      <c r="O925" s="228" t="str">
        <f t="shared" ca="1" si="640"/>
        <v>Impermeabilizacao com argamassa polimerica impermeabilizante</v>
      </c>
      <c r="P925" s="232" t="str">
        <f>IF(S925="","",IF(Orçamento!$B925="INSUMO",S925,""))</f>
        <v/>
      </c>
      <c r="Q925" s="244" t="str">
        <f t="shared" si="643"/>
        <v>Impermeabilizacao com argamassa polimerica impermeabilizante</v>
      </c>
      <c r="R925" s="234">
        <f t="shared" ca="1" si="641"/>
        <v>5.18</v>
      </c>
      <c r="S925" s="233" t="s">
        <v>469</v>
      </c>
      <c r="T925" s="242" t="s">
        <v>140</v>
      </c>
      <c r="U925" s="235">
        <v>5.18</v>
      </c>
      <c r="V925" s="320" t="s">
        <v>35</v>
      </c>
      <c r="W925" s="236" t="str">
        <f>IFERROR(IF(B925="INSUMO",_xlfn.XLOOKUP(S925,Insumos!A:A,Insumos!C:C),""),"Inserir Preço")</f>
        <v/>
      </c>
      <c r="X925" s="235">
        <f t="shared" ca="1" si="642"/>
        <v>5.18</v>
      </c>
      <c r="Y925" s="236">
        <f t="shared" ca="1" si="611"/>
        <v>36.256</v>
      </c>
      <c r="Z925" s="237">
        <f t="shared" ca="1" si="627"/>
        <v>187.80607999999998</v>
      </c>
      <c r="AA925" s="238"/>
      <c r="AB925" s="233" t="str">
        <f>IF(B925="insumo",_xlfn.XLOOKUP(S925,Insumos!A:A,Insumos!D:D),"")</f>
        <v/>
      </c>
      <c r="AC925" s="239">
        <f t="shared" ca="1" si="628"/>
        <v>2.6942494442441872E-5</v>
      </c>
      <c r="AE925" s="240">
        <f ca="1">IFERROR(IF(OR(Z925="",Z925=0),"",IF(AF925="","",IF(AF925="R$/mês",Z925/OBRA!$D$12,IF(AF925="R$/m²",Z925/OBRA!$D$10,IF(AF925="R$/apto",Orçamento!Z925/OBRA!$D$11,""))))),"")</f>
        <v>9.6646346546728892E-2</v>
      </c>
      <c r="AF925" s="241" t="s">
        <v>154</v>
      </c>
    </row>
    <row r="926" spans="1:32" s="10" customFormat="1" ht="13.15" hidden="1" customHeight="1" outlineLevel="4" x14ac:dyDescent="0.2">
      <c r="A926" s="227"/>
      <c r="B926" s="228" t="s">
        <v>19</v>
      </c>
      <c r="C926" s="229">
        <f t="shared" si="626"/>
        <v>4</v>
      </c>
      <c r="D926" s="227" t="str">
        <f t="shared" si="629"/>
        <v/>
      </c>
      <c r="E926" s="228" t="str">
        <f t="shared" ca="1" si="630"/>
        <v>06.004.003.001</v>
      </c>
      <c r="F926" s="230">
        <f ca="1">IF($B926="UNIDADE CONSTRUTIVA",OFFSET(F926,-1,0)+1,LARGE(F$10:F925,1))</f>
        <v>2</v>
      </c>
      <c r="G926" s="228" t="str">
        <f t="shared" ca="1" si="636"/>
        <v xml:space="preserve">   GERENCIAMENTO EXECUTIVO</v>
      </c>
      <c r="H926" s="230">
        <f t="shared" ca="1" si="631"/>
        <v>6</v>
      </c>
      <c r="I926" s="228" t="str">
        <f t="shared" ca="1" si="637"/>
        <v xml:space="preserve">   IMPERMEABILIZAÇÃO E TRATAMENTOS</v>
      </c>
      <c r="J926" s="230">
        <f t="shared" ca="1" si="632"/>
        <v>4</v>
      </c>
      <c r="K926" s="228" t="str">
        <f t="shared" ca="1" si="638"/>
        <v xml:space="preserve">   IMPERMEABILIZAÇÃO E TRATAMENTOS - 8º PAVIMENTO - COBERTURA</v>
      </c>
      <c r="L926" s="231">
        <f t="shared" ca="1" si="633"/>
        <v>3</v>
      </c>
      <c r="M926" s="228" t="str">
        <f t="shared" ca="1" si="639"/>
        <v xml:space="preserve">   Impermeabilização Rígida</v>
      </c>
      <c r="N926" s="231">
        <f t="shared" ca="1" si="634"/>
        <v>1</v>
      </c>
      <c r="O926" s="228" t="str">
        <f t="shared" ca="1" si="640"/>
        <v>Impermeabilizacao com argamassa polimerica impermeabilizante</v>
      </c>
      <c r="P926" s="232" t="str">
        <f>IF(S926="","",IF(Orçamento!$B926="INSUMO",S926,""))</f>
        <v>Argamassa Polimerica Impermeabilizante</v>
      </c>
      <c r="Q926" s="244" t="str">
        <f t="shared" si="643"/>
        <v/>
      </c>
      <c r="R926" s="234">
        <f t="shared" ca="1" si="641"/>
        <v>5.18</v>
      </c>
      <c r="S926" s="233" t="s">
        <v>539</v>
      </c>
      <c r="T926" s="242" t="str">
        <f>_xlfn.XLOOKUP(S926,Insumos!$A$3:$A$371,Insumos!$B$3:$B$371)</f>
        <v>KG</v>
      </c>
      <c r="U926" s="235">
        <f ca="1">IF($B926="insumo",R926,"")</f>
        <v>5.18</v>
      </c>
      <c r="V926" s="320">
        <v>3.2</v>
      </c>
      <c r="W926" s="236">
        <f>IFERROR(IF(B926="INSUMO",_xlfn.XLOOKUP(S926,Insumos!A:A,Insumos!C:C),""),"Inserir Preço")</f>
        <v>11.33</v>
      </c>
      <c r="X926" s="235">
        <f t="shared" ca="1" si="642"/>
        <v>16.576000000000001</v>
      </c>
      <c r="Y926" s="236">
        <f t="shared" si="611"/>
        <v>36.256</v>
      </c>
      <c r="Z926" s="237">
        <f t="shared" ca="1" si="627"/>
        <v>187.80608000000001</v>
      </c>
      <c r="AA926" s="238"/>
      <c r="AB926" s="233" t="str">
        <f>IF(B926="insumo",_xlfn.XLOOKUP(S926,Insumos!A:A,Insumos!D:D),"")</f>
        <v xml:space="preserve"> </v>
      </c>
      <c r="AC926" s="239">
        <f t="shared" ca="1" si="628"/>
        <v>2.6942494442441875E-5</v>
      </c>
      <c r="AE926" s="240">
        <f ca="1">IFERROR(IF(OR(Z926="",Z926=0),"",IF(AF926="","",IF(AF926="R$/mês",Z926/OBRA!$D$12,IF(AF926="R$/m²",Z926/OBRA!$D$10,IF(AF926="R$/apto",Orçamento!Z926/OBRA!$D$11,""))))),"")</f>
        <v>9.6646346546728906E-2</v>
      </c>
      <c r="AF926" s="241" t="s">
        <v>154</v>
      </c>
    </row>
    <row r="927" spans="1:32" s="10" customFormat="1" ht="13.15" hidden="1" customHeight="1" outlineLevel="3" collapsed="1" x14ac:dyDescent="0.2">
      <c r="A927" s="227"/>
      <c r="B927" s="228" t="s">
        <v>3</v>
      </c>
      <c r="C927" s="229" t="str">
        <f t="shared" si="626"/>
        <v/>
      </c>
      <c r="D927" s="227" t="str">
        <f t="shared" ca="1" si="629"/>
        <v>06.004.004</v>
      </c>
      <c r="E927" s="228" t="str">
        <f t="shared" ca="1" si="630"/>
        <v>06.004.003.001</v>
      </c>
      <c r="F927" s="230">
        <f ca="1">IF($B927="UNIDADE CONSTRUTIVA",OFFSET(F927,-1,0)+1,LARGE(F$10:F926,1))</f>
        <v>2</v>
      </c>
      <c r="G927" s="228" t="str">
        <f t="shared" ca="1" si="636"/>
        <v xml:space="preserve">   GERENCIAMENTO EXECUTIVO</v>
      </c>
      <c r="H927" s="230">
        <f t="shared" ca="1" si="631"/>
        <v>6</v>
      </c>
      <c r="I927" s="228" t="str">
        <f t="shared" ca="1" si="637"/>
        <v xml:space="preserve">   IMPERMEABILIZAÇÃO E TRATAMENTOS</v>
      </c>
      <c r="J927" s="230">
        <f t="shared" ca="1" si="632"/>
        <v>4</v>
      </c>
      <c r="K927" s="228" t="str">
        <f t="shared" ca="1" si="638"/>
        <v xml:space="preserve">   IMPERMEABILIZAÇÃO E TRATAMENTOS - 8º PAVIMENTO - COBERTURA</v>
      </c>
      <c r="L927" s="231">
        <f t="shared" ca="1" si="633"/>
        <v>4</v>
      </c>
      <c r="M927" s="228" t="str">
        <f t="shared" ca="1" si="639"/>
        <v xml:space="preserve">   Impermeabilização Flexível com Membrana</v>
      </c>
      <c r="N927" s="231">
        <f t="shared" ca="1" si="634"/>
        <v>0</v>
      </c>
      <c r="O927" s="228" t="str">
        <f t="shared" ca="1" si="640"/>
        <v>Impermeabilizacao com argamassa polimerica impermeabilizante</v>
      </c>
      <c r="P927" s="232" t="str">
        <f>IF(S927="","",IF(Orçamento!$B927="INSUMO",S927,""))</f>
        <v/>
      </c>
      <c r="Q927" s="244" t="str">
        <f t="shared" si="643"/>
        <v/>
      </c>
      <c r="R927" s="234">
        <f t="shared" ca="1" si="641"/>
        <v>5.18</v>
      </c>
      <c r="S927" s="233" t="s">
        <v>460</v>
      </c>
      <c r="T927" s="242" t="s">
        <v>35</v>
      </c>
      <c r="U927" s="235" t="str">
        <f>IF($B927="insumo",R927,"")</f>
        <v/>
      </c>
      <c r="V927" s="320" t="s">
        <v>35</v>
      </c>
      <c r="W927" s="236" t="str">
        <f>IFERROR(IF(B927="INSUMO",_xlfn.XLOOKUP(S927,Insumos!A:A,Insumos!C:C),""),"Inserir Preço")</f>
        <v/>
      </c>
      <c r="X927" s="235" t="str">
        <f t="shared" ca="1" si="642"/>
        <v/>
      </c>
      <c r="Y927" s="236" t="str">
        <f t="shared" si="611"/>
        <v/>
      </c>
      <c r="Z927" s="237">
        <f t="shared" ca="1" si="627"/>
        <v>9.65625</v>
      </c>
      <c r="AA927" s="238"/>
      <c r="AB927" s="233" t="str">
        <f>IF(B927="insumo",_xlfn.XLOOKUP(S927,Insumos!A:A,Insumos!D:D),"")</f>
        <v/>
      </c>
      <c r="AC927" s="239">
        <f t="shared" ca="1" si="628"/>
        <v>1.3852771005061677E-6</v>
      </c>
      <c r="AE927" s="240">
        <f ca="1">IFERROR(IF(OR(Z927="",Z927=0),"",IF(AF927="","",IF(AF927="R$/mês",Z927/OBRA!$D$12,IF(AF927="R$/m²",Z927/OBRA!$D$10,IF(AF927="R$/apto",Orçamento!Z927/OBRA!$D$11,""))))),"")</f>
        <v>4.9691750333208115E-3</v>
      </c>
      <c r="AF927" s="241" t="s">
        <v>154</v>
      </c>
    </row>
    <row r="928" spans="1:32" s="10" customFormat="1" ht="13.15" hidden="1" customHeight="1" outlineLevel="4" x14ac:dyDescent="0.2">
      <c r="A928" s="227"/>
      <c r="B928" s="228" t="s">
        <v>4</v>
      </c>
      <c r="C928" s="229">
        <f t="shared" si="626"/>
        <v>4</v>
      </c>
      <c r="D928" s="227" t="str">
        <f t="shared" ca="1" si="629"/>
        <v>06.004.004.001</v>
      </c>
      <c r="E928" s="228" t="str">
        <f t="shared" ca="1" si="630"/>
        <v>06.004.004.001</v>
      </c>
      <c r="F928" s="230">
        <f ca="1">IF($B928="UNIDADE CONSTRUTIVA",OFFSET(F928,-1,0)+1,LARGE(F$10:F927,1))</f>
        <v>2</v>
      </c>
      <c r="G928" s="228" t="str">
        <f t="shared" ca="1" si="636"/>
        <v xml:space="preserve">   GERENCIAMENTO EXECUTIVO</v>
      </c>
      <c r="H928" s="230">
        <f t="shared" ca="1" si="631"/>
        <v>6</v>
      </c>
      <c r="I928" s="228" t="str">
        <f t="shared" ca="1" si="637"/>
        <v xml:space="preserve">   IMPERMEABILIZAÇÃO E TRATAMENTOS</v>
      </c>
      <c r="J928" s="230">
        <f t="shared" ca="1" si="632"/>
        <v>4</v>
      </c>
      <c r="K928" s="228" t="str">
        <f t="shared" ca="1" si="638"/>
        <v xml:space="preserve">   IMPERMEABILIZAÇÃO E TRATAMENTOS - 8º PAVIMENTO - COBERTURA</v>
      </c>
      <c r="L928" s="231">
        <f t="shared" ca="1" si="633"/>
        <v>4</v>
      </c>
      <c r="M928" s="228" t="str">
        <f t="shared" ca="1" si="639"/>
        <v xml:space="preserve">   Impermeabilização Flexível com Membrana</v>
      </c>
      <c r="N928" s="231">
        <f t="shared" ca="1" si="634"/>
        <v>1</v>
      </c>
      <c r="O928" s="228" t="str">
        <f t="shared" ca="1" si="640"/>
        <v>Impermeabilizacao com manta liquida em peitoris</v>
      </c>
      <c r="P928" s="232" t="str">
        <f>IF(S928="","",IF(Orçamento!$B928="INSUMO",S928,""))</f>
        <v/>
      </c>
      <c r="Q928" s="244" t="str">
        <f t="shared" si="643"/>
        <v>Impermeabilizacao com manta liquida em peitoris</v>
      </c>
      <c r="R928" s="234">
        <f t="shared" ca="1" si="641"/>
        <v>0.25</v>
      </c>
      <c r="S928" s="233" t="s">
        <v>461</v>
      </c>
      <c r="T928" s="242" t="s">
        <v>140</v>
      </c>
      <c r="U928" s="235">
        <v>0.25</v>
      </c>
      <c r="V928" s="320" t="s">
        <v>35</v>
      </c>
      <c r="W928" s="236" t="str">
        <f>IFERROR(IF(B928="INSUMO",_xlfn.XLOOKUP(S928,Insumos!A:A,Insumos!C:C),""),"Inserir Preço")</f>
        <v/>
      </c>
      <c r="X928" s="235">
        <f t="shared" ca="1" si="642"/>
        <v>0.25</v>
      </c>
      <c r="Y928" s="236">
        <f t="shared" ca="1" si="611"/>
        <v>38.625</v>
      </c>
      <c r="Z928" s="237">
        <f t="shared" ca="1" si="627"/>
        <v>9.65625</v>
      </c>
      <c r="AA928" s="238"/>
      <c r="AB928" s="233" t="str">
        <f>IF(B928="insumo",_xlfn.XLOOKUP(S928,Insumos!A:A,Insumos!D:D),"")</f>
        <v/>
      </c>
      <c r="AC928" s="239">
        <f t="shared" ca="1" si="628"/>
        <v>1.3852771005061677E-6</v>
      </c>
      <c r="AE928" s="240">
        <f ca="1">IFERROR(IF(OR(Z928="",Z928=0),"",IF(AF928="","",IF(AF928="R$/mês",Z928/OBRA!$D$12,IF(AF928="R$/m²",Z928/OBRA!$D$10,IF(AF928="R$/apto",Orçamento!Z928/OBRA!$D$11,""))))),"")</f>
        <v>4.9691750333208115E-3</v>
      </c>
      <c r="AF928" s="241" t="s">
        <v>154</v>
      </c>
    </row>
    <row r="929" spans="1:32" s="10" customFormat="1" ht="13.15" hidden="1" customHeight="1" outlineLevel="4" x14ac:dyDescent="0.2">
      <c r="A929" s="227"/>
      <c r="B929" s="228" t="s">
        <v>19</v>
      </c>
      <c r="C929" s="229">
        <f t="shared" si="626"/>
        <v>4</v>
      </c>
      <c r="D929" s="227" t="str">
        <f t="shared" si="629"/>
        <v/>
      </c>
      <c r="E929" s="228" t="str">
        <f t="shared" ca="1" si="630"/>
        <v>06.004.004.001</v>
      </c>
      <c r="F929" s="230">
        <f ca="1">IF($B929="UNIDADE CONSTRUTIVA",OFFSET(F929,-1,0)+1,LARGE(F$10:F928,1))</f>
        <v>2</v>
      </c>
      <c r="G929" s="228" t="str">
        <f t="shared" ca="1" si="636"/>
        <v xml:space="preserve">   GERENCIAMENTO EXECUTIVO</v>
      </c>
      <c r="H929" s="230">
        <f t="shared" ca="1" si="631"/>
        <v>6</v>
      </c>
      <c r="I929" s="228" t="str">
        <f t="shared" ca="1" si="637"/>
        <v xml:space="preserve">   IMPERMEABILIZAÇÃO E TRATAMENTOS</v>
      </c>
      <c r="J929" s="230">
        <f t="shared" ca="1" si="632"/>
        <v>4</v>
      </c>
      <c r="K929" s="228" t="str">
        <f t="shared" ca="1" si="638"/>
        <v xml:space="preserve">   IMPERMEABILIZAÇÃO E TRATAMENTOS - 8º PAVIMENTO - COBERTURA</v>
      </c>
      <c r="L929" s="231">
        <f t="shared" ca="1" si="633"/>
        <v>4</v>
      </c>
      <c r="M929" s="228" t="str">
        <f t="shared" ca="1" si="639"/>
        <v xml:space="preserve">   Impermeabilização Flexível com Membrana</v>
      </c>
      <c r="N929" s="231">
        <f t="shared" ca="1" si="634"/>
        <v>1</v>
      </c>
      <c r="O929" s="228" t="str">
        <f t="shared" ca="1" si="640"/>
        <v>Impermeabilizacao com manta liquida em peitoris</v>
      </c>
      <c r="P929" s="232" t="str">
        <f>IF(S929="","",IF(Orçamento!$B929="INSUMO",S929,""))</f>
        <v>IMPERMEABILIZANTE MANTA LIQUIDA BRANCA</v>
      </c>
      <c r="Q929" s="244" t="str">
        <f t="shared" si="643"/>
        <v/>
      </c>
      <c r="R929" s="234">
        <f t="shared" ca="1" si="641"/>
        <v>0.25</v>
      </c>
      <c r="S929" s="233" t="s">
        <v>380</v>
      </c>
      <c r="T929" s="242" t="str">
        <f>_xlfn.XLOOKUP(S929,Insumos!$A$3:$A$371,Insumos!$B$3:$B$371)</f>
        <v>KG</v>
      </c>
      <c r="U929" s="235">
        <f ca="1">IF($B929="insumo",R929,"")</f>
        <v>0.25</v>
      </c>
      <c r="V929" s="320">
        <v>1.5</v>
      </c>
      <c r="W929" s="236">
        <f>IFERROR(IF(B929="INSUMO",_xlfn.XLOOKUP(S929,Insumos!A:A,Insumos!C:C),""),"Inserir Preço")</f>
        <v>25.75</v>
      </c>
      <c r="X929" s="235">
        <f t="shared" ca="1" si="642"/>
        <v>0.375</v>
      </c>
      <c r="Y929" s="236">
        <f t="shared" si="611"/>
        <v>38.625</v>
      </c>
      <c r="Z929" s="237">
        <f t="shared" ca="1" si="627"/>
        <v>9.65625</v>
      </c>
      <c r="AA929" s="238"/>
      <c r="AB929" s="233" t="str">
        <f>IF(B929="insumo",_xlfn.XLOOKUP(S929,Insumos!A:A,Insumos!D:D),"")</f>
        <v xml:space="preserve"> </v>
      </c>
      <c r="AC929" s="239">
        <f t="shared" ca="1" si="628"/>
        <v>1.3852771005061677E-6</v>
      </c>
      <c r="AE929" s="240">
        <f ca="1">IFERROR(IF(OR(Z929="",Z929=0),"",IF(AF929="","",IF(AF929="R$/mês",Z929/OBRA!$D$12,IF(AF929="R$/m²",Z929/OBRA!$D$10,IF(AF929="R$/apto",Orçamento!Z929/OBRA!$D$11,""))))),"")</f>
        <v>4.9691750333208115E-3</v>
      </c>
      <c r="AF929" s="241" t="s">
        <v>154</v>
      </c>
    </row>
    <row r="930" spans="1:32" s="10" customFormat="1" ht="13.15" hidden="1" customHeight="1" outlineLevel="3" x14ac:dyDescent="0.2">
      <c r="A930" s="227"/>
      <c r="B930" s="228" t="s">
        <v>3</v>
      </c>
      <c r="C930" s="229" t="str">
        <f t="shared" si="626"/>
        <v/>
      </c>
      <c r="D930" s="227" t="str">
        <f t="shared" ca="1" si="629"/>
        <v>06.004.005</v>
      </c>
      <c r="E930" s="228" t="str">
        <f t="shared" ca="1" si="630"/>
        <v>06.004.004.001</v>
      </c>
      <c r="F930" s="230">
        <f ca="1">IF($B930="UNIDADE CONSTRUTIVA",OFFSET(F930,-1,0)+1,LARGE(F$10:F929,1))</f>
        <v>2</v>
      </c>
      <c r="G930" s="228" t="str">
        <f t="shared" ca="1" si="636"/>
        <v xml:space="preserve">   GERENCIAMENTO EXECUTIVO</v>
      </c>
      <c r="H930" s="230">
        <f t="shared" ca="1" si="631"/>
        <v>6</v>
      </c>
      <c r="I930" s="228" t="str">
        <f t="shared" ca="1" si="637"/>
        <v xml:space="preserve">   IMPERMEABILIZAÇÃO E TRATAMENTOS</v>
      </c>
      <c r="J930" s="230">
        <f t="shared" ca="1" si="632"/>
        <v>4</v>
      </c>
      <c r="K930" s="228" t="str">
        <f t="shared" ca="1" si="638"/>
        <v xml:space="preserve">   IMPERMEABILIZAÇÃO E TRATAMENTOS - 8º PAVIMENTO - COBERTURA</v>
      </c>
      <c r="L930" s="231">
        <f t="shared" ca="1" si="633"/>
        <v>5</v>
      </c>
      <c r="M930" s="228" t="str">
        <f t="shared" ca="1" si="639"/>
        <v xml:space="preserve">   Tratamentos</v>
      </c>
      <c r="N930" s="231">
        <f t="shared" ca="1" si="634"/>
        <v>0</v>
      </c>
      <c r="O930" s="228" t="str">
        <f t="shared" ca="1" si="640"/>
        <v>Impermeabilizacao com manta liquida em peitoris</v>
      </c>
      <c r="P930" s="232" t="str">
        <f>IF(S930="","",IF(Orçamento!$B930="INSUMO",S930,""))</f>
        <v/>
      </c>
      <c r="Q930" s="244" t="str">
        <f t="shared" si="643"/>
        <v/>
      </c>
      <c r="R930" s="234">
        <f t="shared" ca="1" si="641"/>
        <v>0.25</v>
      </c>
      <c r="S930" s="233" t="s">
        <v>462</v>
      </c>
      <c r="T930" s="242" t="s">
        <v>35</v>
      </c>
      <c r="U930" s="235" t="str">
        <f>IF($B930="insumo",R930,"")</f>
        <v/>
      </c>
      <c r="V930" s="320" t="s">
        <v>35</v>
      </c>
      <c r="W930" s="236" t="str">
        <f>IFERROR(IF(B930="INSUMO",_xlfn.XLOOKUP(S930,Insumos!A:A,Insumos!C:C),""),"Inserir Preço")</f>
        <v/>
      </c>
      <c r="X930" s="235" t="str">
        <f t="shared" ca="1" si="642"/>
        <v/>
      </c>
      <c r="Y930" s="236" t="str">
        <f t="shared" si="611"/>
        <v/>
      </c>
      <c r="Z930" s="237">
        <f t="shared" ca="1" si="627"/>
        <v>0</v>
      </c>
      <c r="AA930" s="238"/>
      <c r="AB930" s="233" t="str">
        <f>IF(B930="insumo",_xlfn.XLOOKUP(S930,Insumos!A:A,Insumos!D:D),"")</f>
        <v/>
      </c>
      <c r="AC930" s="239">
        <f t="shared" ca="1" si="628"/>
        <v>0</v>
      </c>
      <c r="AE930" s="240" t="str">
        <f ca="1">IFERROR(IF(OR(Z930="",Z930=0),"",IF(AF930="","",IF(AF930="R$/mês",Z930/OBRA!$D$12,IF(AF930="R$/m²",Z930/OBRA!$D$10,IF(AF930="R$/apto",Orçamento!Z930/OBRA!$D$11,""))))),"")</f>
        <v/>
      </c>
      <c r="AF930" s="241" t="s">
        <v>154</v>
      </c>
    </row>
    <row r="931" spans="1:32" s="10" customFormat="1" ht="13.15" hidden="1" customHeight="1" outlineLevel="3" collapsed="1" x14ac:dyDescent="0.2">
      <c r="A931" s="227"/>
      <c r="B931" s="228" t="s">
        <v>3</v>
      </c>
      <c r="C931" s="229" t="str">
        <f t="shared" si="626"/>
        <v/>
      </c>
      <c r="D931" s="227" t="str">
        <f t="shared" ca="1" si="629"/>
        <v>06.004.006</v>
      </c>
      <c r="E931" s="228" t="str">
        <f t="shared" ca="1" si="630"/>
        <v>06.004.004.001</v>
      </c>
      <c r="F931" s="230">
        <f ca="1">IF($B931="UNIDADE CONSTRUTIVA",OFFSET(F931,-1,0)+1,LARGE(F$10:F930,1))</f>
        <v>2</v>
      </c>
      <c r="G931" s="228" t="str">
        <f t="shared" ca="1" si="636"/>
        <v xml:space="preserve">   GERENCIAMENTO EXECUTIVO</v>
      </c>
      <c r="H931" s="230">
        <f t="shared" ca="1" si="631"/>
        <v>6</v>
      </c>
      <c r="I931" s="228" t="str">
        <f t="shared" ca="1" si="637"/>
        <v xml:space="preserve">   IMPERMEABILIZAÇÃO E TRATAMENTOS</v>
      </c>
      <c r="J931" s="230">
        <f t="shared" ca="1" si="632"/>
        <v>4</v>
      </c>
      <c r="K931" s="228" t="str">
        <f t="shared" ca="1" si="638"/>
        <v xml:space="preserve">   IMPERMEABILIZAÇÃO E TRATAMENTOS - 8º PAVIMENTO - COBERTURA</v>
      </c>
      <c r="L931" s="231">
        <f t="shared" ca="1" si="633"/>
        <v>6</v>
      </c>
      <c r="M931" s="228" t="str">
        <f t="shared" ca="1" si="639"/>
        <v xml:space="preserve">   Proteção Mecânica</v>
      </c>
      <c r="N931" s="231">
        <f t="shared" ca="1" si="634"/>
        <v>0</v>
      </c>
      <c r="O931" s="228" t="str">
        <f t="shared" ca="1" si="640"/>
        <v>Impermeabilizacao com manta liquida em peitoris</v>
      </c>
      <c r="P931" s="232" t="str">
        <f>IF(S931="","",IF(Orçamento!$B931="INSUMO",S931,""))</f>
        <v/>
      </c>
      <c r="Q931" s="244" t="str">
        <f t="shared" si="643"/>
        <v/>
      </c>
      <c r="R931" s="234">
        <f t="shared" ca="1" si="641"/>
        <v>0.25</v>
      </c>
      <c r="S931" s="233" t="s">
        <v>470</v>
      </c>
      <c r="T931" s="242" t="s">
        <v>35</v>
      </c>
      <c r="U931" s="235" t="str">
        <f>IF($B931="insumo",R931,"")</f>
        <v/>
      </c>
      <c r="V931" s="320" t="s">
        <v>35</v>
      </c>
      <c r="W931" s="236" t="str">
        <f>IFERROR(IF(B931="INSUMO",_xlfn.XLOOKUP(S931,Insumos!A:A,Insumos!C:C),""),"Inserir Preço")</f>
        <v/>
      </c>
      <c r="X931" s="235" t="str">
        <f t="shared" ca="1" si="642"/>
        <v/>
      </c>
      <c r="Y931" s="236" t="str">
        <f t="shared" si="611"/>
        <v/>
      </c>
      <c r="Z931" s="237">
        <f t="shared" ca="1" si="627"/>
        <v>8172.6820050000006</v>
      </c>
      <c r="AA931" s="238"/>
      <c r="AB931" s="233" t="str">
        <f>IF(B931="insumo",_xlfn.XLOOKUP(S931,Insumos!A:A,Insumos!D:D),"")</f>
        <v/>
      </c>
      <c r="AC931" s="239">
        <f t="shared" ca="1" si="628"/>
        <v>1.1724457456305847E-3</v>
      </c>
      <c r="AE931" s="240">
        <f ca="1">IFERROR(IF(OR(Z931="",Z931=0),"",IF(AF931="","",IF(AF931="R$/mês",Z931/OBRA!$D$12,IF(AF931="R$/m²",Z931/OBRA!$D$10,IF(AF931="R$/apto",Orçamento!Z931/OBRA!$D$11,""))))),"")</f>
        <v>4.2057203753544359</v>
      </c>
      <c r="AF931" s="241" t="s">
        <v>154</v>
      </c>
    </row>
    <row r="932" spans="1:32" s="10" customFormat="1" ht="13.15" hidden="1" customHeight="1" outlineLevel="4" x14ac:dyDescent="0.2">
      <c r="A932" s="227"/>
      <c r="B932" s="228" t="s">
        <v>4</v>
      </c>
      <c r="C932" s="229">
        <f t="shared" si="626"/>
        <v>5</v>
      </c>
      <c r="D932" s="227" t="str">
        <f t="shared" ca="1" si="629"/>
        <v>06.004.006.001</v>
      </c>
      <c r="E932" s="228" t="str">
        <f t="shared" ca="1" si="630"/>
        <v>06.004.006.001</v>
      </c>
      <c r="F932" s="230">
        <f ca="1">IF($B932="UNIDADE CONSTRUTIVA",OFFSET(F932,-1,0)+1,LARGE(F$10:F931,1))</f>
        <v>2</v>
      </c>
      <c r="G932" s="228" t="str">
        <f t="shared" ca="1" si="636"/>
        <v xml:space="preserve">   GERENCIAMENTO EXECUTIVO</v>
      </c>
      <c r="H932" s="230">
        <f t="shared" ca="1" si="631"/>
        <v>6</v>
      </c>
      <c r="I932" s="228" t="str">
        <f t="shared" ca="1" si="637"/>
        <v xml:space="preserve">   IMPERMEABILIZAÇÃO E TRATAMENTOS</v>
      </c>
      <c r="J932" s="230">
        <f t="shared" ca="1" si="632"/>
        <v>4</v>
      </c>
      <c r="K932" s="228" t="str">
        <f t="shared" ca="1" si="638"/>
        <v xml:space="preserve">   IMPERMEABILIZAÇÃO E TRATAMENTOS - 8º PAVIMENTO - COBERTURA</v>
      </c>
      <c r="L932" s="231">
        <f t="shared" ca="1" si="633"/>
        <v>6</v>
      </c>
      <c r="M932" s="228" t="str">
        <f t="shared" ca="1" si="639"/>
        <v xml:space="preserve">   Proteção Mecânica</v>
      </c>
      <c r="N932" s="231">
        <f t="shared" ca="1" si="634"/>
        <v>1</v>
      </c>
      <c r="O932" s="228" t="str">
        <f t="shared" ca="1" si="640"/>
        <v>Protecao mecanica de superficie com argamassa de cimento e areia , traço 1:3, E=5cm</v>
      </c>
      <c r="P932" s="232" t="str">
        <f>IF(S932="","",IF(Orçamento!$B932="INSUMO",S932,""))</f>
        <v/>
      </c>
      <c r="Q932" s="244" t="str">
        <f t="shared" si="643"/>
        <v>Protecao mecanica de superficie com argamassa de cimento e areia , traço 1:3, E=5cm</v>
      </c>
      <c r="R932" s="234">
        <f t="shared" ca="1" si="641"/>
        <v>204.09</v>
      </c>
      <c r="S932" s="233" t="s">
        <v>471</v>
      </c>
      <c r="T932" s="242" t="s">
        <v>140</v>
      </c>
      <c r="U932" s="235">
        <f>U918</f>
        <v>204.09</v>
      </c>
      <c r="V932" s="320" t="s">
        <v>35</v>
      </c>
      <c r="W932" s="236" t="str">
        <f>IFERROR(IF(B932="INSUMO",_xlfn.XLOOKUP(S932,Insumos!A:A,Insumos!C:C),""),"Inserir Preço")</f>
        <v/>
      </c>
      <c r="X932" s="235">
        <f t="shared" ca="1" si="642"/>
        <v>204.09</v>
      </c>
      <c r="Y932" s="236">
        <f t="shared" ca="1" si="611"/>
        <v>40.044499999999999</v>
      </c>
      <c r="Z932" s="237">
        <f t="shared" ca="1" si="627"/>
        <v>8172.6820049999997</v>
      </c>
      <c r="AA932" s="238"/>
      <c r="AB932" s="233" t="str">
        <f>IF(B932="insumo",_xlfn.XLOOKUP(S932,Insumos!A:A,Insumos!D:D),"")</f>
        <v/>
      </c>
      <c r="AC932" s="239">
        <f t="shared" ca="1" si="628"/>
        <v>1.1724457456305844E-3</v>
      </c>
      <c r="AE932" s="240">
        <f ca="1">IFERROR(IF(OR(Z932="",Z932=0),"",IF(AF932="","",IF(AF932="R$/mês",Z932/OBRA!$D$12,IF(AF932="R$/m²",Z932/OBRA!$D$10,IF(AF932="R$/apto",Orçamento!Z932/OBRA!$D$11,""))))),"")</f>
        <v>4.2057203753544359</v>
      </c>
      <c r="AF932" s="241" t="s">
        <v>154</v>
      </c>
    </row>
    <row r="933" spans="1:32" s="10" customFormat="1" ht="13.15" hidden="1" customHeight="1" outlineLevel="4" x14ac:dyDescent="0.2">
      <c r="A933" s="227"/>
      <c r="B933" s="228" t="s">
        <v>19</v>
      </c>
      <c r="C933" s="229">
        <f t="shared" si="626"/>
        <v>11</v>
      </c>
      <c r="D933" s="227" t="str">
        <f t="shared" si="629"/>
        <v/>
      </c>
      <c r="E933" s="228" t="str">
        <f t="shared" ca="1" si="630"/>
        <v>06.004.006.001</v>
      </c>
      <c r="F933" s="230">
        <f ca="1">IF($B933="UNIDADE CONSTRUTIVA",OFFSET(F933,-1,0)+1,LARGE(F$10:F932,1))</f>
        <v>2</v>
      </c>
      <c r="G933" s="228" t="str">
        <f t="shared" ca="1" si="636"/>
        <v xml:space="preserve">   GERENCIAMENTO EXECUTIVO</v>
      </c>
      <c r="H933" s="230">
        <f t="shared" ca="1" si="631"/>
        <v>6</v>
      </c>
      <c r="I933" s="228" t="str">
        <f t="shared" ca="1" si="637"/>
        <v xml:space="preserve">   IMPERMEABILIZAÇÃO E TRATAMENTOS</v>
      </c>
      <c r="J933" s="230">
        <f t="shared" ca="1" si="632"/>
        <v>4</v>
      </c>
      <c r="K933" s="228" t="str">
        <f t="shared" ca="1" si="638"/>
        <v xml:space="preserve">   IMPERMEABILIZAÇÃO E TRATAMENTOS - 8º PAVIMENTO - COBERTURA</v>
      </c>
      <c r="L933" s="231">
        <f t="shared" ca="1" si="633"/>
        <v>6</v>
      </c>
      <c r="M933" s="228" t="str">
        <f t="shared" ca="1" si="639"/>
        <v xml:space="preserve">   Proteção Mecânica</v>
      </c>
      <c r="N933" s="231">
        <f t="shared" ca="1" si="634"/>
        <v>1</v>
      </c>
      <c r="O933" s="228" t="str">
        <f t="shared" ca="1" si="640"/>
        <v>Protecao mecanica de superficie com argamassa de cimento e areia , traço 1:3, E=5cm</v>
      </c>
      <c r="P933" s="232" t="str">
        <f>IF(S933="","",IF(Orçamento!$B933="INSUMO",S933,""))</f>
        <v>ARGAMASSA ESTABILIZADA P/ CONTRAPISO</v>
      </c>
      <c r="Q933" s="244" t="str">
        <f t="shared" si="643"/>
        <v/>
      </c>
      <c r="R933" s="234">
        <f t="shared" ca="1" si="641"/>
        <v>204.09</v>
      </c>
      <c r="S933" s="233" t="s">
        <v>277</v>
      </c>
      <c r="T933" s="242" t="str">
        <f>_xlfn.XLOOKUP(S933,Insumos!$A$3:$A$371,Insumos!$B$3:$B$371)</f>
        <v>M3</v>
      </c>
      <c r="U933" s="235">
        <f ca="1">IF($B933="insumo",R933,"")</f>
        <v>204.09</v>
      </c>
      <c r="V933" s="320">
        <v>6.25E-2</v>
      </c>
      <c r="W933" s="236">
        <f>IFERROR(IF(B933="INSUMO",_xlfn.XLOOKUP(S933,Insumos!A:A,Insumos!C:C),""),"Inserir Preço")</f>
        <v>425</v>
      </c>
      <c r="X933" s="235">
        <f t="shared" ca="1" si="642"/>
        <v>12.755625</v>
      </c>
      <c r="Y933" s="236">
        <f t="shared" si="611"/>
        <v>26.5625</v>
      </c>
      <c r="Z933" s="237">
        <f t="shared" ca="1" si="627"/>
        <v>5421.140625</v>
      </c>
      <c r="AA933" s="238"/>
      <c r="AB933" s="233" t="str">
        <f>IF(B933="insumo",_xlfn.XLOOKUP(S933,Insumos!A:A,Insumos!D:D),"")</f>
        <v xml:space="preserve"> </v>
      </c>
      <c r="AC933" s="239">
        <f t="shared" ca="1" si="628"/>
        <v>7.7771204830407174E-4</v>
      </c>
      <c r="AE933" s="240">
        <f ca="1">IFERROR(IF(OR(Z933="",Z933=0),"",IF(AF933="","",IF(AF933="R$/mês",Z933/OBRA!$D$12,IF(AF933="R$/m²",Z933/OBRA!$D$10,IF(AF933="R$/apto",Orçamento!Z933/OBRA!$D$11,""))))),"")</f>
        <v>2.7897575814494422</v>
      </c>
      <c r="AF933" s="241" t="s">
        <v>154</v>
      </c>
    </row>
    <row r="934" spans="1:32" s="10" customFormat="1" ht="13.15" hidden="1" customHeight="1" outlineLevel="4" x14ac:dyDescent="0.2">
      <c r="A934" s="227"/>
      <c r="B934" s="228" t="s">
        <v>19</v>
      </c>
      <c r="C934" s="229">
        <f t="shared" si="626"/>
        <v>5</v>
      </c>
      <c r="D934" s="227" t="str">
        <f t="shared" si="629"/>
        <v/>
      </c>
      <c r="E934" s="228" t="str">
        <f t="shared" ca="1" si="630"/>
        <v>06.004.006.001</v>
      </c>
      <c r="F934" s="230">
        <f ca="1">IF($B934="UNIDADE CONSTRUTIVA",OFFSET(F934,-1,0)+1,LARGE(F$10:F933,1))</f>
        <v>2</v>
      </c>
      <c r="G934" s="228" t="str">
        <f t="shared" ca="1" si="636"/>
        <v xml:space="preserve">   GERENCIAMENTO EXECUTIVO</v>
      </c>
      <c r="H934" s="230">
        <f t="shared" ca="1" si="631"/>
        <v>6</v>
      </c>
      <c r="I934" s="228" t="str">
        <f t="shared" ca="1" si="637"/>
        <v xml:space="preserve">   IMPERMEABILIZAÇÃO E TRATAMENTOS</v>
      </c>
      <c r="J934" s="230">
        <f t="shared" ca="1" si="632"/>
        <v>4</v>
      </c>
      <c r="K934" s="228" t="str">
        <f t="shared" ca="1" si="638"/>
        <v xml:space="preserve">   IMPERMEABILIZAÇÃO E TRATAMENTOS - 8º PAVIMENTO - COBERTURA</v>
      </c>
      <c r="L934" s="231">
        <f t="shared" ca="1" si="633"/>
        <v>6</v>
      </c>
      <c r="M934" s="228" t="str">
        <f t="shared" ca="1" si="639"/>
        <v xml:space="preserve">   Proteção Mecânica</v>
      </c>
      <c r="N934" s="231">
        <f t="shared" ca="1" si="634"/>
        <v>1</v>
      </c>
      <c r="O934" s="228" t="str">
        <f t="shared" ca="1" si="640"/>
        <v>Protecao mecanica de superficie com argamassa de cimento e areia , traço 1:3, E=5cm</v>
      </c>
      <c r="P934" s="232" t="str">
        <f>IF(S934="","",IF(Orçamento!$B934="INSUMO",S934,""))</f>
        <v>TELA ARAME GALVANIZADO FIO 24 BWG MALHA 1/2"</v>
      </c>
      <c r="Q934" s="244" t="str">
        <f t="shared" si="643"/>
        <v/>
      </c>
      <c r="R934" s="234">
        <f t="shared" ca="1" si="641"/>
        <v>204.09</v>
      </c>
      <c r="S934" s="233" t="s">
        <v>351</v>
      </c>
      <c r="T934" s="242" t="str">
        <f>_xlfn.XLOOKUP(S934,Insumos!$A$3:$A$371,Insumos!$B$3:$B$371)</f>
        <v>M2</v>
      </c>
      <c r="U934" s="235">
        <f ca="1">IF($B934="insumo",R934,"")</f>
        <v>204.09</v>
      </c>
      <c r="V934" s="320">
        <v>1.05</v>
      </c>
      <c r="W934" s="236">
        <f>IFERROR(IF(B934="INSUMO",_xlfn.XLOOKUP(S934,Insumos!A:A,Insumos!C:C),""),"Inserir Preço")</f>
        <v>12.84</v>
      </c>
      <c r="X934" s="235">
        <f t="shared" ca="1" si="642"/>
        <v>214.2945</v>
      </c>
      <c r="Y934" s="236">
        <f t="shared" si="611"/>
        <v>13.482000000000001</v>
      </c>
      <c r="Z934" s="237">
        <f t="shared" ca="1" si="627"/>
        <v>2751.5413800000001</v>
      </c>
      <c r="AA934" s="238"/>
      <c r="AB934" s="233" t="str">
        <f>IF(B934="insumo",_xlfn.XLOOKUP(S934,Insumos!A:A,Insumos!D:D),"")</f>
        <v xml:space="preserve"> </v>
      </c>
      <c r="AC934" s="239">
        <f t="shared" ca="1" si="628"/>
        <v>3.9473369732651281E-4</v>
      </c>
      <c r="AE934" s="240">
        <f ca="1">IFERROR(IF(OR(Z934="",Z934=0),"",IF(AF934="","",IF(AF934="R$/mês",Z934/OBRA!$D$12,IF(AF934="R$/m²",Z934/OBRA!$D$10,IF(AF934="R$/apto",Orçamento!Z934/OBRA!$D$11,""))))),"")</f>
        <v>1.4159627939049932</v>
      </c>
      <c r="AF934" s="241" t="s">
        <v>154</v>
      </c>
    </row>
    <row r="935" spans="1:32" s="10" customFormat="1" ht="13.15" hidden="1" customHeight="1" outlineLevel="3" collapsed="1" x14ac:dyDescent="0.2">
      <c r="A935" s="227"/>
      <c r="B935" s="228" t="s">
        <v>3</v>
      </c>
      <c r="C935" s="229" t="str">
        <f t="shared" si="626"/>
        <v/>
      </c>
      <c r="D935" s="227" t="str">
        <f t="shared" ca="1" si="629"/>
        <v>06.004.007</v>
      </c>
      <c r="E935" s="228" t="str">
        <f t="shared" ca="1" si="630"/>
        <v>06.004.006.001</v>
      </c>
      <c r="F935" s="230">
        <f ca="1">IF($B935="UNIDADE CONSTRUTIVA",OFFSET(F935,-1,0)+1,LARGE(F$10:F934,1))</f>
        <v>2</v>
      </c>
      <c r="G935" s="228" t="str">
        <f t="shared" ca="1" si="636"/>
        <v xml:space="preserve">   GERENCIAMENTO EXECUTIVO</v>
      </c>
      <c r="H935" s="230">
        <f t="shared" ca="1" si="631"/>
        <v>6</v>
      </c>
      <c r="I935" s="228" t="str">
        <f t="shared" ca="1" si="637"/>
        <v xml:space="preserve">   IMPERMEABILIZAÇÃO E TRATAMENTOS</v>
      </c>
      <c r="J935" s="230">
        <f t="shared" ca="1" si="632"/>
        <v>4</v>
      </c>
      <c r="K935" s="228" t="str">
        <f t="shared" ca="1" si="638"/>
        <v xml:space="preserve">   IMPERMEABILIZAÇÃO E TRATAMENTOS - 8º PAVIMENTO - COBERTURA</v>
      </c>
      <c r="L935" s="231">
        <f t="shared" ca="1" si="633"/>
        <v>7</v>
      </c>
      <c r="M935" s="228" t="str">
        <f t="shared" ca="1" si="639"/>
        <v xml:space="preserve">   Mão de Obra</v>
      </c>
      <c r="N935" s="231">
        <f t="shared" ca="1" si="634"/>
        <v>0</v>
      </c>
      <c r="O935" s="228" t="str">
        <f t="shared" ca="1" si="640"/>
        <v>Protecao mecanica de superficie com argamassa de cimento e areia , traço 1:3, E=5cm</v>
      </c>
      <c r="P935" s="232" t="str">
        <f>IF(S935="","",IF(Orçamento!$B935="INSUMO",S935,""))</f>
        <v/>
      </c>
      <c r="Q935" s="244" t="str">
        <f t="shared" si="643"/>
        <v/>
      </c>
      <c r="R935" s="234">
        <f t="shared" ca="1" si="641"/>
        <v>204.09</v>
      </c>
      <c r="S935" s="233" t="s">
        <v>438</v>
      </c>
      <c r="T935" s="242" t="s">
        <v>35</v>
      </c>
      <c r="U935" s="235" t="str">
        <f>IF($B935="insumo",R935,"")</f>
        <v/>
      </c>
      <c r="V935" s="320" t="s">
        <v>35</v>
      </c>
      <c r="W935" s="236" t="str">
        <f>IFERROR(IF(B935="INSUMO",_xlfn.XLOOKUP(S935,Insumos!A:A,Insumos!C:C),""),"Inserir Preço")</f>
        <v/>
      </c>
      <c r="X935" s="235" t="str">
        <f t="shared" ca="1" si="642"/>
        <v/>
      </c>
      <c r="Y935" s="236" t="str">
        <f t="shared" si="611"/>
        <v/>
      </c>
      <c r="Z935" s="237">
        <f t="shared" ca="1" si="627"/>
        <v>19279.425299999999</v>
      </c>
      <c r="AA935" s="238"/>
      <c r="AB935" s="233" t="str">
        <f>IF(B935="insumo",_xlfn.XLOOKUP(S935,Insumos!A:A,Insumos!D:D),"")</f>
        <v/>
      </c>
      <c r="AC935" s="239">
        <f t="shared" ca="1" si="628"/>
        <v>2.7658093337485307E-3</v>
      </c>
      <c r="AE935" s="240">
        <f ca="1">IFERROR(IF(OR(Z935="",Z935=0),"",IF(AF935="","",IF(AF935="R$/mês",Z935/OBRA!$D$12,IF(AF935="R$/m²",Z935/OBRA!$D$10,IF(AF935="R$/apto",Orçamento!Z935/OBRA!$D$11,""))))),"")</f>
        <v>9.9213295904241896</v>
      </c>
      <c r="AF935" s="241" t="s">
        <v>154</v>
      </c>
    </row>
    <row r="936" spans="1:32" s="10" customFormat="1" ht="13.15" hidden="1" customHeight="1" outlineLevel="4" x14ac:dyDescent="0.2">
      <c r="A936" s="227"/>
      <c r="B936" s="228" t="s">
        <v>4</v>
      </c>
      <c r="C936" s="229">
        <f t="shared" si="626"/>
        <v>5</v>
      </c>
      <c r="D936" s="227" t="str">
        <f t="shared" ca="1" si="629"/>
        <v>06.004.007.001</v>
      </c>
      <c r="E936" s="228" t="str">
        <f t="shared" ca="1" si="630"/>
        <v>06.004.007.001</v>
      </c>
      <c r="F936" s="230">
        <f ca="1">IF($B936="UNIDADE CONSTRUTIVA",OFFSET(F936,-1,0)+1,LARGE(F$10:F935,1))</f>
        <v>2</v>
      </c>
      <c r="G936" s="228" t="str">
        <f t="shared" ca="1" si="636"/>
        <v xml:space="preserve">   GERENCIAMENTO EXECUTIVO</v>
      </c>
      <c r="H936" s="230">
        <f t="shared" ca="1" si="631"/>
        <v>6</v>
      </c>
      <c r="I936" s="228" t="str">
        <f t="shared" ca="1" si="637"/>
        <v xml:space="preserve">   IMPERMEABILIZAÇÃO E TRATAMENTOS</v>
      </c>
      <c r="J936" s="230">
        <f t="shared" ca="1" si="632"/>
        <v>4</v>
      </c>
      <c r="K936" s="228" t="str">
        <f t="shared" ca="1" si="638"/>
        <v xml:space="preserve">   IMPERMEABILIZAÇÃO E TRATAMENTOS - 8º PAVIMENTO - COBERTURA</v>
      </c>
      <c r="L936" s="231">
        <f t="shared" ca="1" si="633"/>
        <v>7</v>
      </c>
      <c r="M936" s="228" t="str">
        <f t="shared" ca="1" si="639"/>
        <v xml:space="preserve">   Mão de Obra</v>
      </c>
      <c r="N936" s="231">
        <f t="shared" ca="1" si="634"/>
        <v>1</v>
      </c>
      <c r="O936" s="228" t="str">
        <f t="shared" ca="1" si="640"/>
        <v>Mao de obra para regularizacao de superficie</v>
      </c>
      <c r="P936" s="232" t="str">
        <f>IF(S936="","",IF(Orçamento!$B936="INSUMO",S936,""))</f>
        <v/>
      </c>
      <c r="Q936" s="244" t="str">
        <f t="shared" si="643"/>
        <v>Mao de obra para regularizacao de superficie</v>
      </c>
      <c r="R936" s="234">
        <f t="shared" ca="1" si="641"/>
        <v>204.09</v>
      </c>
      <c r="S936" s="233" t="s">
        <v>472</v>
      </c>
      <c r="T936" s="242" t="s">
        <v>140</v>
      </c>
      <c r="U936" s="235">
        <f>U914</f>
        <v>204.09</v>
      </c>
      <c r="V936" s="320" t="s">
        <v>35</v>
      </c>
      <c r="W936" s="236" t="str">
        <f>IFERROR(IF(B936="INSUMO",_xlfn.XLOOKUP(S936,Insumos!A:A,Insumos!C:C),""),"Inserir Preço")</f>
        <v/>
      </c>
      <c r="X936" s="235">
        <f t="shared" ca="1" si="642"/>
        <v>204.09</v>
      </c>
      <c r="Y936" s="236">
        <f t="shared" ref="Y936:Y999" ca="1" si="644">IF(B936="insumo",W936*V936,IF(B936="serviço",SUMIFS(Y:Y,B:B,"insumo",E:E,E936,I:I,I936),""))</f>
        <v>18</v>
      </c>
      <c r="Z936" s="237">
        <f t="shared" ca="1" si="627"/>
        <v>3673.62</v>
      </c>
      <c r="AA936" s="238"/>
      <c r="AB936" s="233" t="str">
        <f>IF(B936="insumo",_xlfn.XLOOKUP(S936,Insumos!A:A,Insumos!D:D),"")</f>
        <v/>
      </c>
      <c r="AC936" s="239">
        <f t="shared" ca="1" si="628"/>
        <v>5.2701428214487682E-4</v>
      </c>
      <c r="AE936" s="240">
        <f ca="1">IFERROR(IF(OR(Z936="",Z936=0),"",IF(AF936="","",IF(AF936="R$/mês",Z936/OBRA!$D$12,IF(AF936="R$/m²",Z936/OBRA!$D$10,IF(AF936="R$/apto",Orçamento!Z936/OBRA!$D$11,""))))),"")</f>
        <v>1.8904710198998573</v>
      </c>
      <c r="AF936" s="241" t="s">
        <v>154</v>
      </c>
    </row>
    <row r="937" spans="1:32" s="10" customFormat="1" ht="13.15" hidden="1" customHeight="1" outlineLevel="4" x14ac:dyDescent="0.2">
      <c r="A937" s="227"/>
      <c r="B937" s="228" t="s">
        <v>19</v>
      </c>
      <c r="C937" s="229">
        <f t="shared" si="626"/>
        <v>5</v>
      </c>
      <c r="D937" s="227" t="str">
        <f t="shared" ref="D937:D965" si="645">IF(B937="Unidade Construtiva",TEXT(F937,"00"),IF(B937="Célula Construtiva",TEXT(H937,"00"),IF(B937="Etapa",CONCATENATE(TEXT(H937,"00"),".",TEXT(J937,"000")),IF(B937="Subetapa",CONCATENATE(TEXT(H937,"00"),".",TEXT(J937,"000"),".",TEXT(L937,"000")),IF(B937="Serviço",CONCATENATE(TEXT(H937,"00"),".",TEXT(J937,"000"),".",TEXT(L937,"000"),".",TEXT(N937,"000")),"")))))</f>
        <v/>
      </c>
      <c r="E937" s="228" t="str">
        <f t="shared" ref="E937:E965" ca="1" si="646">IF(B937="*","",IFERROR(IF(B937="SERVIÇO",D937,OFFSET(E937,-1,0)),""))</f>
        <v>06.004.007.001</v>
      </c>
      <c r="F937" s="230">
        <f ca="1">IF($B937="UNIDADE CONSTRUTIVA",OFFSET(F937,-1,0)+1,LARGE(F$10:F936,1))</f>
        <v>2</v>
      </c>
      <c r="G937" s="228" t="str">
        <f t="shared" ca="1" si="636"/>
        <v xml:space="preserve">   GERENCIAMENTO EXECUTIVO</v>
      </c>
      <c r="H937" s="230">
        <f t="shared" ref="H937:H965" ca="1" si="647">IF(B937="UNIDADE CONSTRUTIVA",0,IF(B937="CÉLULA CONSTRUTIVA",OFFSET(H937,-1,0)+1,OFFSET(H937,-1,0)))</f>
        <v>6</v>
      </c>
      <c r="I937" s="228" t="str">
        <f t="shared" ca="1" si="637"/>
        <v xml:space="preserve">   IMPERMEABILIZAÇÃO E TRATAMENTOS</v>
      </c>
      <c r="J937" s="230">
        <f t="shared" ref="J937:J965" ca="1" si="648">IF(B937="CÉLULA CONSTRUTIVA",0,IF(B937="ETAPA",OFFSET(J937,-1,0)+1,OFFSET(J937,-1,0)))</f>
        <v>4</v>
      </c>
      <c r="K937" s="228" t="str">
        <f t="shared" ca="1" si="638"/>
        <v xml:space="preserve">   IMPERMEABILIZAÇÃO E TRATAMENTOS - 8º PAVIMENTO - COBERTURA</v>
      </c>
      <c r="L937" s="231">
        <f t="shared" ref="L937:L965" ca="1" si="649">IF(B937="ETAPA",0,IF(B937="SUBETAPA",OFFSET(L937,-1,0)+1,OFFSET(L937,-1,0)))</f>
        <v>7</v>
      </c>
      <c r="M937" s="228" t="str">
        <f t="shared" ca="1" si="639"/>
        <v xml:space="preserve">   Mão de Obra</v>
      </c>
      <c r="N937" s="231">
        <f t="shared" ref="N937:N965" ca="1" si="650">IF(B937="Subetapa",0,IF(B937="serviço",OFFSET(N937,-1,0)+1,OFFSET(N937,-1,0)))</f>
        <v>1</v>
      </c>
      <c r="O937" s="228" t="str">
        <f t="shared" ca="1" si="640"/>
        <v>Mao de obra para regularizacao de superficie</v>
      </c>
      <c r="P937" s="232" t="str">
        <f>IF(S937="","",IF(Orçamento!$B937="INSUMO",S937,""))</f>
        <v>MAO DE OBRA PARA REGULARIZACAO DE SUPERFICIE</v>
      </c>
      <c r="Q937" s="244" t="str">
        <f t="shared" si="643"/>
        <v/>
      </c>
      <c r="R937" s="234">
        <f t="shared" ca="1" si="641"/>
        <v>204.09</v>
      </c>
      <c r="S937" s="233" t="s">
        <v>308</v>
      </c>
      <c r="T937" s="242" t="str">
        <f>_xlfn.XLOOKUP(S937,Insumos!$A$3:$A$371,Insumos!$B$3:$B$371)</f>
        <v>M2</v>
      </c>
      <c r="U937" s="235">
        <f ca="1">IF($B937="insumo",R937,"")</f>
        <v>204.09</v>
      </c>
      <c r="V937" s="320">
        <v>1</v>
      </c>
      <c r="W937" s="236">
        <f>IFERROR(IF(B937="INSUMO",_xlfn.XLOOKUP(S937,Insumos!A:A,Insumos!C:C),""),"Inserir Preço")</f>
        <v>18</v>
      </c>
      <c r="X937" s="235">
        <f t="shared" ca="1" si="642"/>
        <v>204.09</v>
      </c>
      <c r="Y937" s="236">
        <f t="shared" si="644"/>
        <v>18</v>
      </c>
      <c r="Z937" s="237">
        <f t="shared" ca="1" si="627"/>
        <v>3673.62</v>
      </c>
      <c r="AA937" s="238"/>
      <c r="AB937" s="233" t="str">
        <f>IF(B937="insumo",_xlfn.XLOOKUP(S937,Insumos!A:A,Insumos!D:D),"")</f>
        <v xml:space="preserve"> </v>
      </c>
      <c r="AC937" s="239">
        <f t="shared" ca="1" si="628"/>
        <v>5.2701428214487682E-4</v>
      </c>
      <c r="AE937" s="240">
        <f ca="1">IFERROR(IF(OR(Z937="",Z937=0),"",IF(AF937="","",IF(AF937="R$/mês",Z937/OBRA!$D$12,IF(AF937="R$/m²",Z937/OBRA!$D$10,IF(AF937="R$/apto",Orçamento!Z937/OBRA!$D$11,""))))),"")</f>
        <v>1.8904710198998573</v>
      </c>
      <c r="AF937" s="241" t="s">
        <v>154</v>
      </c>
    </row>
    <row r="938" spans="1:32" s="10" customFormat="1" ht="13.15" hidden="1" customHeight="1" outlineLevel="4" x14ac:dyDescent="0.2">
      <c r="A938" s="227"/>
      <c r="B938" s="228" t="s">
        <v>4</v>
      </c>
      <c r="C938" s="229">
        <f t="shared" si="626"/>
        <v>5</v>
      </c>
      <c r="D938" s="227" t="str">
        <f t="shared" ca="1" si="645"/>
        <v>06.004.007.002</v>
      </c>
      <c r="E938" s="228" t="str">
        <f t="shared" ca="1" si="646"/>
        <v>06.004.007.002</v>
      </c>
      <c r="F938" s="230">
        <f ca="1">IF($B938="UNIDADE CONSTRUTIVA",OFFSET(F938,-1,0)+1,LARGE(F$10:F937,1))</f>
        <v>2</v>
      </c>
      <c r="G938" s="228" t="str">
        <f t="shared" ca="1" si="636"/>
        <v xml:space="preserve">   GERENCIAMENTO EXECUTIVO</v>
      </c>
      <c r="H938" s="230">
        <f t="shared" ca="1" si="647"/>
        <v>6</v>
      </c>
      <c r="I938" s="228" t="str">
        <f t="shared" ca="1" si="637"/>
        <v xml:space="preserve">   IMPERMEABILIZAÇÃO E TRATAMENTOS</v>
      </c>
      <c r="J938" s="230">
        <f t="shared" ca="1" si="648"/>
        <v>4</v>
      </c>
      <c r="K938" s="228" t="str">
        <f t="shared" ca="1" si="638"/>
        <v xml:space="preserve">   IMPERMEABILIZAÇÃO E TRATAMENTOS - 8º PAVIMENTO - COBERTURA</v>
      </c>
      <c r="L938" s="231">
        <f t="shared" ca="1" si="649"/>
        <v>7</v>
      </c>
      <c r="M938" s="228" t="str">
        <f t="shared" ca="1" si="639"/>
        <v xml:space="preserve">   Mão de Obra</v>
      </c>
      <c r="N938" s="231">
        <f t="shared" ca="1" si="650"/>
        <v>2</v>
      </c>
      <c r="O938" s="228" t="str">
        <f t="shared" ca="1" si="640"/>
        <v>Mao de obra para impermeabilizacao de manta asfaltica</v>
      </c>
      <c r="P938" s="232" t="str">
        <f>IF(S938="","",IF(Orçamento!$B938="INSUMO",S938,""))</f>
        <v/>
      </c>
      <c r="Q938" s="244" t="str">
        <f t="shared" si="643"/>
        <v>Mao de obra para impermeabilizacao de manta asfaltica</v>
      </c>
      <c r="R938" s="234">
        <f t="shared" ca="1" si="641"/>
        <v>204.09</v>
      </c>
      <c r="S938" s="233" t="s">
        <v>473</v>
      </c>
      <c r="T938" s="242" t="s">
        <v>140</v>
      </c>
      <c r="U938" s="235">
        <f>U918</f>
        <v>204.09</v>
      </c>
      <c r="V938" s="320" t="s">
        <v>35</v>
      </c>
      <c r="W938" s="236" t="str">
        <f>IFERROR(IF(B938="INSUMO",_xlfn.XLOOKUP(S938,Insumos!A:A,Insumos!C:C),""),"Inserir Preço")</f>
        <v/>
      </c>
      <c r="X938" s="235">
        <f t="shared" ca="1" si="642"/>
        <v>204.09</v>
      </c>
      <c r="Y938" s="236">
        <f t="shared" ca="1" si="644"/>
        <v>65.19</v>
      </c>
      <c r="Z938" s="237">
        <f t="shared" ca="1" si="627"/>
        <v>13304.6271</v>
      </c>
      <c r="AA938" s="238"/>
      <c r="AB938" s="233" t="str">
        <f>IF(B938="insumo",_xlfn.XLOOKUP(S938,Insumos!A:A,Insumos!D:D),"")</f>
        <v/>
      </c>
      <c r="AC938" s="239">
        <f t="shared" ca="1" si="628"/>
        <v>1.9086700585013623E-3</v>
      </c>
      <c r="AE938" s="240">
        <f ca="1">IFERROR(IF(OR(Z938="",Z938=0),"",IF(AF938="","",IF(AF938="R$/mês",Z938/OBRA!$D$12,IF(AF938="R$/m²",Z938/OBRA!$D$10,IF(AF938="R$/apto",Orçamento!Z938/OBRA!$D$11,""))))),"")</f>
        <v>6.84665587707065</v>
      </c>
      <c r="AF938" s="241" t="s">
        <v>154</v>
      </c>
    </row>
    <row r="939" spans="1:32" s="10" customFormat="1" ht="13.15" hidden="1" customHeight="1" outlineLevel="4" x14ac:dyDescent="0.2">
      <c r="A939" s="227"/>
      <c r="B939" s="228" t="s">
        <v>19</v>
      </c>
      <c r="C939" s="229">
        <f t="shared" si="626"/>
        <v>5</v>
      </c>
      <c r="D939" s="227" t="str">
        <f t="shared" si="645"/>
        <v/>
      </c>
      <c r="E939" s="228" t="str">
        <f t="shared" ca="1" si="646"/>
        <v>06.004.007.002</v>
      </c>
      <c r="F939" s="230">
        <f ca="1">IF($B939="UNIDADE CONSTRUTIVA",OFFSET(F939,-1,0)+1,LARGE(F$10:F938,1))</f>
        <v>2</v>
      </c>
      <c r="G939" s="228" t="str">
        <f t="shared" ca="1" si="636"/>
        <v xml:space="preserve">   GERENCIAMENTO EXECUTIVO</v>
      </c>
      <c r="H939" s="230">
        <f t="shared" ca="1" si="647"/>
        <v>6</v>
      </c>
      <c r="I939" s="228" t="str">
        <f t="shared" ca="1" si="637"/>
        <v xml:space="preserve">   IMPERMEABILIZAÇÃO E TRATAMENTOS</v>
      </c>
      <c r="J939" s="230">
        <f t="shared" ca="1" si="648"/>
        <v>4</v>
      </c>
      <c r="K939" s="228" t="str">
        <f t="shared" ca="1" si="638"/>
        <v xml:space="preserve">   IMPERMEABILIZAÇÃO E TRATAMENTOS - 8º PAVIMENTO - COBERTURA</v>
      </c>
      <c r="L939" s="231">
        <f t="shared" ca="1" si="649"/>
        <v>7</v>
      </c>
      <c r="M939" s="228" t="str">
        <f t="shared" ca="1" si="639"/>
        <v xml:space="preserve">   Mão de Obra</v>
      </c>
      <c r="N939" s="231">
        <f t="shared" ca="1" si="650"/>
        <v>2</v>
      </c>
      <c r="O939" s="228" t="str">
        <f t="shared" ca="1" si="640"/>
        <v>Mao de obra para impermeabilizacao de manta asfaltica</v>
      </c>
      <c r="P939" s="232" t="str">
        <f>IF(S939="","",IF(Orçamento!$B939="INSUMO",S939,""))</f>
        <v>MAO DE OBRA DE IMPERMEABILIZACAO</v>
      </c>
      <c r="Q939" s="244" t="str">
        <f t="shared" si="643"/>
        <v/>
      </c>
      <c r="R939" s="234">
        <f t="shared" ca="1" si="641"/>
        <v>204.09</v>
      </c>
      <c r="S939" s="233" t="s">
        <v>322</v>
      </c>
      <c r="T939" s="242" t="str">
        <f>_xlfn.XLOOKUP(S939,Insumos!$A$3:$A$371,Insumos!$B$3:$B$371)</f>
        <v>M2</v>
      </c>
      <c r="U939" s="235">
        <f ca="1">IF($B939="insumo",R939,"")</f>
        <v>204.09</v>
      </c>
      <c r="V939" s="320">
        <v>1</v>
      </c>
      <c r="W939" s="236">
        <f>IFERROR(IF(B939="INSUMO",_xlfn.XLOOKUP(S939,Insumos!A:A,Insumos!C:C),""),"Inserir Preço")</f>
        <v>65.19</v>
      </c>
      <c r="X939" s="235">
        <f t="shared" ca="1" si="642"/>
        <v>204.09</v>
      </c>
      <c r="Y939" s="236">
        <f t="shared" si="644"/>
        <v>65.19</v>
      </c>
      <c r="Z939" s="237">
        <f t="shared" ca="1" si="627"/>
        <v>13304.6271</v>
      </c>
      <c r="AA939" s="238"/>
      <c r="AB939" s="233" t="str">
        <f>IF(B939="insumo",_xlfn.XLOOKUP(S939,Insumos!A:A,Insumos!D:D),"")</f>
        <v xml:space="preserve"> </v>
      </c>
      <c r="AC939" s="239">
        <f t="shared" ca="1" si="628"/>
        <v>1.9086700585013623E-3</v>
      </c>
      <c r="AE939" s="240">
        <f ca="1">IFERROR(IF(OR(Z939="",Z939=0),"",IF(AF939="","",IF(AF939="R$/mês",Z939/OBRA!$D$12,IF(AF939="R$/m²",Z939/OBRA!$D$10,IF(AF939="R$/apto",Orçamento!Z939/OBRA!$D$11,""))))),"")</f>
        <v>6.84665587707065</v>
      </c>
      <c r="AF939" s="241" t="s">
        <v>154</v>
      </c>
    </row>
    <row r="940" spans="1:32" s="10" customFormat="1" ht="13.15" hidden="1" customHeight="1" outlineLevel="4" x14ac:dyDescent="0.2">
      <c r="A940" s="227"/>
      <c r="B940" s="228" t="s">
        <v>4</v>
      </c>
      <c r="C940" s="229">
        <f t="shared" si="626"/>
        <v>4</v>
      </c>
      <c r="D940" s="227" t="str">
        <f t="shared" ca="1" si="645"/>
        <v>06.004.007.003</v>
      </c>
      <c r="E940" s="228" t="str">
        <f t="shared" ca="1" si="646"/>
        <v>06.004.007.003</v>
      </c>
      <c r="F940" s="230">
        <f ca="1">IF($B940="UNIDADE CONSTRUTIVA",OFFSET(F940,-1,0)+1,LARGE(F$10:F939,1))</f>
        <v>2</v>
      </c>
      <c r="G940" s="228" t="str">
        <f t="shared" ca="1" si="636"/>
        <v xml:space="preserve">   GERENCIAMENTO EXECUTIVO</v>
      </c>
      <c r="H940" s="230">
        <f t="shared" ca="1" si="647"/>
        <v>6</v>
      </c>
      <c r="I940" s="228" t="str">
        <f t="shared" ca="1" si="637"/>
        <v xml:space="preserve">   IMPERMEABILIZAÇÃO E TRATAMENTOS</v>
      </c>
      <c r="J940" s="230">
        <f t="shared" ca="1" si="648"/>
        <v>4</v>
      </c>
      <c r="K940" s="228" t="str">
        <f t="shared" ca="1" si="638"/>
        <v xml:space="preserve">   IMPERMEABILIZAÇÃO E TRATAMENTOS - 8º PAVIMENTO - COBERTURA</v>
      </c>
      <c r="L940" s="231">
        <f t="shared" ca="1" si="649"/>
        <v>7</v>
      </c>
      <c r="M940" s="228" t="str">
        <f t="shared" ca="1" si="639"/>
        <v xml:space="preserve">   Mão de Obra</v>
      </c>
      <c r="N940" s="231">
        <f t="shared" ca="1" si="650"/>
        <v>3</v>
      </c>
      <c r="O940" s="228" t="str">
        <f t="shared" ca="1" si="640"/>
        <v>Mão de obra para tratamento de ralos</v>
      </c>
      <c r="P940" s="232" t="str">
        <f>IF(S940="","",IF(Orçamento!$B940="INSUMO",S940,""))</f>
        <v/>
      </c>
      <c r="Q940" s="244" t="str">
        <f t="shared" si="643"/>
        <v>Mão de obra para tratamento de ralos</v>
      </c>
      <c r="R940" s="234">
        <f t="shared" ca="1" si="641"/>
        <v>15</v>
      </c>
      <c r="S940" s="233" t="s">
        <v>1156</v>
      </c>
      <c r="T940" s="242" t="s">
        <v>140</v>
      </c>
      <c r="U940" s="377">
        <f>U921</f>
        <v>15</v>
      </c>
      <c r="V940" s="320" t="s">
        <v>35</v>
      </c>
      <c r="W940" s="236" t="str">
        <f>IFERROR(IF(B940="INSUMO",_xlfn.XLOOKUP(S940,Insumos!A:A,Insumos!C:C),""),"Inserir Preço")</f>
        <v/>
      </c>
      <c r="X940" s="235">
        <f t="shared" ca="1" si="642"/>
        <v>15</v>
      </c>
      <c r="Y940" s="236">
        <f t="shared" ca="1" si="644"/>
        <v>80</v>
      </c>
      <c r="Z940" s="237">
        <f t="shared" ca="1" si="627"/>
        <v>1200</v>
      </c>
      <c r="AA940" s="238"/>
      <c r="AB940" s="233" t="str">
        <f>IF(B940="insumo",_xlfn.XLOOKUP(S940,Insumos!A:A,Insumos!D:D),"")</f>
        <v/>
      </c>
      <c r="AC940" s="239">
        <f t="shared" ca="1" si="628"/>
        <v>1.7215094064542666E-4</v>
      </c>
      <c r="AE940" s="240">
        <f ca="1">IFERROR(IF(OR(Z940="",Z940=0),"",IF(AF940="","",IF(AF940="R$/mês",Z940/OBRA!$D$12,IF(AF940="R$/m²",Z940/OBRA!$D$10,IF(AF940="R$/apto",Orçamento!Z940/OBRA!$D$11,""))))),"")</f>
        <v>0.61752854783015909</v>
      </c>
      <c r="AF940" s="241" t="s">
        <v>154</v>
      </c>
    </row>
    <row r="941" spans="1:32" s="10" customFormat="1" ht="13.15" hidden="1" customHeight="1" outlineLevel="4" x14ac:dyDescent="0.2">
      <c r="A941" s="227"/>
      <c r="B941" s="228" t="s">
        <v>19</v>
      </c>
      <c r="C941" s="229">
        <f t="shared" si="626"/>
        <v>4</v>
      </c>
      <c r="D941" s="227" t="str">
        <f t="shared" si="645"/>
        <v/>
      </c>
      <c r="E941" s="228" t="str">
        <f t="shared" ca="1" si="646"/>
        <v>06.004.007.003</v>
      </c>
      <c r="F941" s="230">
        <f ca="1">IF($B941="UNIDADE CONSTRUTIVA",OFFSET(F941,-1,0)+1,LARGE(F$10:F940,1))</f>
        <v>2</v>
      </c>
      <c r="G941" s="228" t="str">
        <f t="shared" ca="1" si="636"/>
        <v xml:space="preserve">   GERENCIAMENTO EXECUTIVO</v>
      </c>
      <c r="H941" s="230">
        <f t="shared" ca="1" si="647"/>
        <v>6</v>
      </c>
      <c r="I941" s="228" t="str">
        <f t="shared" ca="1" si="637"/>
        <v xml:space="preserve">   IMPERMEABILIZAÇÃO E TRATAMENTOS</v>
      </c>
      <c r="J941" s="230">
        <f t="shared" ca="1" si="648"/>
        <v>4</v>
      </c>
      <c r="K941" s="228" t="str">
        <f t="shared" ca="1" si="638"/>
        <v xml:space="preserve">   IMPERMEABILIZAÇÃO E TRATAMENTOS - 8º PAVIMENTO - COBERTURA</v>
      </c>
      <c r="L941" s="231">
        <f t="shared" ca="1" si="649"/>
        <v>7</v>
      </c>
      <c r="M941" s="228" t="str">
        <f t="shared" ca="1" si="639"/>
        <v xml:space="preserve">   Mão de Obra</v>
      </c>
      <c r="N941" s="231">
        <f t="shared" ca="1" si="650"/>
        <v>3</v>
      </c>
      <c r="O941" s="228" t="str">
        <f t="shared" ca="1" si="640"/>
        <v>Mão de obra para tratamento de ralos</v>
      </c>
      <c r="P941" s="232" t="str">
        <f>IF(S941="","",IF(Orçamento!$B941="INSUMO",S941,""))</f>
        <v>MÃO DE OBRA PARA TRATAMENTO DE RALO</v>
      </c>
      <c r="Q941" s="244" t="str">
        <f t="shared" si="643"/>
        <v/>
      </c>
      <c r="R941" s="234">
        <f t="shared" ca="1" si="641"/>
        <v>15</v>
      </c>
      <c r="S941" s="233" t="s">
        <v>1157</v>
      </c>
      <c r="T941" s="242" t="str">
        <f>_xlfn.XLOOKUP(S941,Insumos!$A$3:$A$371,Insumos!$B$3:$B$371)</f>
        <v>UN</v>
      </c>
      <c r="U941" s="235">
        <f ca="1">IF($B941="insumo",R941,"")</f>
        <v>15</v>
      </c>
      <c r="V941" s="320">
        <v>1</v>
      </c>
      <c r="W941" s="236">
        <f>IFERROR(IF(B941="INSUMO",_xlfn.XLOOKUP(S941,Insumos!A:A,Insumos!C:C),""),"Inserir Preço")</f>
        <v>80</v>
      </c>
      <c r="X941" s="235">
        <f t="shared" ca="1" si="642"/>
        <v>15</v>
      </c>
      <c r="Y941" s="236">
        <f t="shared" si="644"/>
        <v>80</v>
      </c>
      <c r="Z941" s="237">
        <f t="shared" ca="1" si="627"/>
        <v>1200</v>
      </c>
      <c r="AA941" s="238"/>
      <c r="AB941" s="233" t="str">
        <f>IF(B941="insumo",_xlfn.XLOOKUP(S941,Insumos!A:A,Insumos!D:D),"")</f>
        <v xml:space="preserve"> </v>
      </c>
      <c r="AC941" s="239">
        <f t="shared" ca="1" si="628"/>
        <v>1.7215094064542666E-4</v>
      </c>
      <c r="AE941" s="240">
        <f ca="1">IFERROR(IF(OR(Z941="",Z941=0),"",IF(AF941="","",IF(AF941="R$/mês",Z941/OBRA!$D$12,IF(AF941="R$/m²",Z941/OBRA!$D$10,IF(AF941="R$/apto",Orçamento!Z941/OBRA!$D$11,""))))),"")</f>
        <v>0.61752854783015909</v>
      </c>
      <c r="AF941" s="241" t="s">
        <v>154</v>
      </c>
    </row>
    <row r="942" spans="1:32" s="10" customFormat="1" ht="13.15" hidden="1" customHeight="1" outlineLevel="4" x14ac:dyDescent="0.2">
      <c r="A942" s="227"/>
      <c r="B942" s="228" t="s">
        <v>4</v>
      </c>
      <c r="C942" s="229">
        <f t="shared" si="626"/>
        <v>5</v>
      </c>
      <c r="D942" s="227" t="str">
        <f t="shared" ca="1" si="645"/>
        <v>06.004.007.004</v>
      </c>
      <c r="E942" s="228" t="str">
        <f t="shared" ca="1" si="646"/>
        <v>06.004.007.004</v>
      </c>
      <c r="F942" s="230">
        <f ca="1">IF($B942="UNIDADE CONSTRUTIVA",OFFSET(F942,-1,0)+1,LARGE(F$10:F941,1))</f>
        <v>2</v>
      </c>
      <c r="G942" s="228" t="str">
        <f t="shared" ca="1" si="636"/>
        <v xml:space="preserve">   GERENCIAMENTO EXECUTIVO</v>
      </c>
      <c r="H942" s="230">
        <f t="shared" ca="1" si="647"/>
        <v>6</v>
      </c>
      <c r="I942" s="228" t="str">
        <f t="shared" ca="1" si="637"/>
        <v xml:space="preserve">   IMPERMEABILIZAÇÃO E TRATAMENTOS</v>
      </c>
      <c r="J942" s="230">
        <f t="shared" ca="1" si="648"/>
        <v>4</v>
      </c>
      <c r="K942" s="228" t="str">
        <f t="shared" ca="1" si="638"/>
        <v xml:space="preserve">   IMPERMEABILIZAÇÃO E TRATAMENTOS - 8º PAVIMENTO - COBERTURA</v>
      </c>
      <c r="L942" s="231">
        <f t="shared" ca="1" si="649"/>
        <v>7</v>
      </c>
      <c r="M942" s="228" t="str">
        <f t="shared" ca="1" si="639"/>
        <v xml:space="preserve">   Mão de Obra</v>
      </c>
      <c r="N942" s="231">
        <f t="shared" ca="1" si="650"/>
        <v>4</v>
      </c>
      <c r="O942" s="228" t="str">
        <f t="shared" ca="1" si="640"/>
        <v>Mao de obra para execucao de protecao mecanica em superficie impermeabilizada</v>
      </c>
      <c r="P942" s="232" t="str">
        <f>IF(S942="","",IF(Orçamento!$B942="INSUMO",S942,""))</f>
        <v/>
      </c>
      <c r="Q942" s="244" t="str">
        <f t="shared" si="643"/>
        <v>Mao de obra para execucao de protecao mecanica em superficie impermeabilizada</v>
      </c>
      <c r="R942" s="234">
        <f t="shared" ca="1" si="641"/>
        <v>204.09</v>
      </c>
      <c r="S942" s="233" t="s">
        <v>475</v>
      </c>
      <c r="T942" s="242" t="s">
        <v>140</v>
      </c>
      <c r="U942" s="235">
        <f>U932</f>
        <v>204.09</v>
      </c>
      <c r="V942" s="320" t="s">
        <v>35</v>
      </c>
      <c r="W942" s="236" t="str">
        <f>IFERROR(IF(B942="INSUMO",_xlfn.XLOOKUP(S942,Insumos!A:A,Insumos!C:C),""),"Inserir Preço")</f>
        <v/>
      </c>
      <c r="X942" s="235">
        <f t="shared" ca="1" si="642"/>
        <v>204.09</v>
      </c>
      <c r="Y942" s="236">
        <f t="shared" ca="1" si="644"/>
        <v>4.5</v>
      </c>
      <c r="Z942" s="237">
        <f t="shared" ca="1" si="627"/>
        <v>918.40499999999997</v>
      </c>
      <c r="AA942" s="238"/>
      <c r="AB942" s="233" t="str">
        <f>IF(B942="insumo",_xlfn.XLOOKUP(S942,Insumos!A:A,Insumos!D:D),"")</f>
        <v/>
      </c>
      <c r="AC942" s="239">
        <f t="shared" ca="1" si="628"/>
        <v>1.317535705362192E-4</v>
      </c>
      <c r="AE942" s="240">
        <f ca="1">IFERROR(IF(OR(Z942="",Z942=0),"",IF(AF942="","",IF(AF942="R$/mês",Z942/OBRA!$D$12,IF(AF942="R$/m²",Z942/OBRA!$D$10,IF(AF942="R$/apto",Orçamento!Z942/OBRA!$D$11,""))))),"")</f>
        <v>0.47261775497496433</v>
      </c>
      <c r="AF942" s="241" t="s">
        <v>154</v>
      </c>
    </row>
    <row r="943" spans="1:32" s="10" customFormat="1" ht="13.15" hidden="1" customHeight="1" outlineLevel="4" x14ac:dyDescent="0.2">
      <c r="A943" s="227"/>
      <c r="B943" s="228" t="s">
        <v>19</v>
      </c>
      <c r="C943" s="229">
        <f t="shared" si="626"/>
        <v>5</v>
      </c>
      <c r="D943" s="227" t="str">
        <f t="shared" si="645"/>
        <v/>
      </c>
      <c r="E943" s="228" t="str">
        <f t="shared" ca="1" si="646"/>
        <v>06.004.007.004</v>
      </c>
      <c r="F943" s="230">
        <f ca="1">IF($B943="UNIDADE CONSTRUTIVA",OFFSET(F943,-1,0)+1,LARGE(F$10:F942,1))</f>
        <v>2</v>
      </c>
      <c r="G943" s="228" t="str">
        <f t="shared" ca="1" si="636"/>
        <v xml:space="preserve">   GERENCIAMENTO EXECUTIVO</v>
      </c>
      <c r="H943" s="230">
        <f t="shared" ca="1" si="647"/>
        <v>6</v>
      </c>
      <c r="I943" s="228" t="str">
        <f t="shared" ca="1" si="637"/>
        <v xml:space="preserve">   IMPERMEABILIZAÇÃO E TRATAMENTOS</v>
      </c>
      <c r="J943" s="230">
        <f t="shared" ca="1" si="648"/>
        <v>4</v>
      </c>
      <c r="K943" s="228" t="str">
        <f t="shared" ca="1" si="638"/>
        <v xml:space="preserve">   IMPERMEABILIZAÇÃO E TRATAMENTOS - 8º PAVIMENTO - COBERTURA</v>
      </c>
      <c r="L943" s="231">
        <f t="shared" ca="1" si="649"/>
        <v>7</v>
      </c>
      <c r="M943" s="228" t="str">
        <f t="shared" ca="1" si="639"/>
        <v xml:space="preserve">   Mão de Obra</v>
      </c>
      <c r="N943" s="231">
        <f t="shared" ca="1" si="650"/>
        <v>4</v>
      </c>
      <c r="O943" s="228" t="str">
        <f t="shared" ca="1" si="640"/>
        <v>Mao de obra para execucao de protecao mecanica em superficie impermeabilizada</v>
      </c>
      <c r="P943" s="232" t="str">
        <f>IF(S943="","",IF(Orçamento!$B943="INSUMO",S943,""))</f>
        <v>M.O. PARA EXECUCAO DE PROTECAO MECANICA EM SUPERFICIE IMPERMEABILIZADA</v>
      </c>
      <c r="Q943" s="244" t="str">
        <f t="shared" si="643"/>
        <v/>
      </c>
      <c r="R943" s="234">
        <f t="shared" ca="1" si="641"/>
        <v>204.09</v>
      </c>
      <c r="S943" s="233" t="s">
        <v>325</v>
      </c>
      <c r="T943" s="242" t="str">
        <f>_xlfn.XLOOKUP(S943,Insumos!$A$3:$A$371,Insumos!$B$3:$B$371)</f>
        <v>M2</v>
      </c>
      <c r="U943" s="235">
        <f ca="1">IF($B943="insumo",R943,"")</f>
        <v>204.09</v>
      </c>
      <c r="V943" s="320">
        <v>1</v>
      </c>
      <c r="W943" s="236">
        <f>IFERROR(IF(B943="INSUMO",_xlfn.XLOOKUP(S943,Insumos!A:A,Insumos!C:C),""),"Inserir Preço")</f>
        <v>4.5</v>
      </c>
      <c r="X943" s="235">
        <f t="shared" ca="1" si="642"/>
        <v>204.09</v>
      </c>
      <c r="Y943" s="236">
        <f t="shared" si="644"/>
        <v>4.5</v>
      </c>
      <c r="Z943" s="237">
        <f t="shared" ca="1" si="627"/>
        <v>918.40499999999997</v>
      </c>
      <c r="AA943" s="238"/>
      <c r="AB943" s="233" t="str">
        <f>IF(B943="insumo",_xlfn.XLOOKUP(S943,Insumos!A:A,Insumos!D:D),"")</f>
        <v xml:space="preserve"> </v>
      </c>
      <c r="AC943" s="239">
        <f t="shared" ca="1" si="628"/>
        <v>1.317535705362192E-4</v>
      </c>
      <c r="AE943" s="240">
        <f ca="1">IFERROR(IF(OR(Z943="",Z943=0),"",IF(AF943="","",IF(AF943="R$/mês",Z943/OBRA!$D$12,IF(AF943="R$/m²",Z943/OBRA!$D$10,IF(AF943="R$/apto",Orçamento!Z943/OBRA!$D$11,""))))),"")</f>
        <v>0.47261775497496433</v>
      </c>
      <c r="AF943" s="241" t="s">
        <v>154</v>
      </c>
    </row>
    <row r="944" spans="1:32" s="10" customFormat="1" ht="13.15" hidden="1" customHeight="1" outlineLevel="4" x14ac:dyDescent="0.2">
      <c r="A944" s="227"/>
      <c r="B944" s="228" t="s">
        <v>4</v>
      </c>
      <c r="C944" s="229">
        <f t="shared" si="626"/>
        <v>4</v>
      </c>
      <c r="D944" s="227" t="str">
        <f t="shared" ca="1" si="645"/>
        <v>06.004.007.005</v>
      </c>
      <c r="E944" s="228" t="str">
        <f t="shared" ca="1" si="646"/>
        <v>06.004.007.005</v>
      </c>
      <c r="F944" s="230">
        <f ca="1">IF($B944="UNIDADE CONSTRUTIVA",OFFSET(F944,-1,0)+1,LARGE(F$10:F943,1))</f>
        <v>2</v>
      </c>
      <c r="G944" s="228" t="str">
        <f t="shared" ca="1" si="636"/>
        <v xml:space="preserve">   GERENCIAMENTO EXECUTIVO</v>
      </c>
      <c r="H944" s="230">
        <f t="shared" ca="1" si="647"/>
        <v>6</v>
      </c>
      <c r="I944" s="228" t="str">
        <f t="shared" ca="1" si="637"/>
        <v xml:space="preserve">   IMPERMEABILIZAÇÃO E TRATAMENTOS</v>
      </c>
      <c r="J944" s="230">
        <f t="shared" ca="1" si="648"/>
        <v>4</v>
      </c>
      <c r="K944" s="228" t="str">
        <f t="shared" ca="1" si="638"/>
        <v xml:space="preserve">   IMPERMEABILIZAÇÃO E TRATAMENTOS - 8º PAVIMENTO - COBERTURA</v>
      </c>
      <c r="L944" s="231">
        <f t="shared" ca="1" si="649"/>
        <v>7</v>
      </c>
      <c r="M944" s="228" t="str">
        <f t="shared" ca="1" si="639"/>
        <v xml:space="preserve">   Mão de Obra</v>
      </c>
      <c r="N944" s="231">
        <f t="shared" ca="1" si="650"/>
        <v>5</v>
      </c>
      <c r="O944" s="228" t="str">
        <f t="shared" ca="1" si="640"/>
        <v>Mao de obra para impermeabilizacao com argamassa polimerica</v>
      </c>
      <c r="P944" s="232" t="str">
        <f>IF(S944="","",IF(Orçamento!$B944="INSUMO",S944,""))</f>
        <v/>
      </c>
      <c r="Q944" s="244" t="str">
        <f t="shared" si="643"/>
        <v>Mao de obra para impermeabilizacao com argamassa polimerica</v>
      </c>
      <c r="R944" s="234">
        <f t="shared" ca="1" si="641"/>
        <v>5.18</v>
      </c>
      <c r="S944" s="233" t="s">
        <v>474</v>
      </c>
      <c r="T944" s="242" t="s">
        <v>140</v>
      </c>
      <c r="U944" s="235">
        <f>U925</f>
        <v>5.18</v>
      </c>
      <c r="V944" s="320" t="s">
        <v>35</v>
      </c>
      <c r="W944" s="236" t="str">
        <f>IFERROR(IF(B944="INSUMO",_xlfn.XLOOKUP(S944,Insumos!A:A,Insumos!C:C),""),"Inserir Preço")</f>
        <v/>
      </c>
      <c r="X944" s="235">
        <f t="shared" ca="1" si="642"/>
        <v>5.18</v>
      </c>
      <c r="Y944" s="236">
        <f t="shared" ca="1" si="644"/>
        <v>33.74</v>
      </c>
      <c r="Z944" s="237">
        <f t="shared" ca="1" si="627"/>
        <v>174.7732</v>
      </c>
      <c r="AA944" s="238"/>
      <c r="AB944" s="233" t="str">
        <f>IF(B944="insumo",_xlfn.XLOOKUP(S944,Insumos!A:A,Insumos!D:D),"")</f>
        <v/>
      </c>
      <c r="AC944" s="239">
        <f t="shared" ca="1" si="628"/>
        <v>2.5072808983009403E-5</v>
      </c>
      <c r="AE944" s="240">
        <f ca="1">IFERROR(IF(OR(Z944="",Z944=0),"",IF(AF944="","",IF(AF944="R$/mês",Z944/OBRA!$D$12,IF(AF944="R$/m²",Z944/OBRA!$D$10,IF(AF944="R$/apto",Orçamento!Z944/OBRA!$D$11,""))))),"")</f>
        <v>8.993953366302497E-2</v>
      </c>
      <c r="AF944" s="241" t="s">
        <v>154</v>
      </c>
    </row>
    <row r="945" spans="1:32" s="10" customFormat="1" ht="13.15" hidden="1" customHeight="1" outlineLevel="4" x14ac:dyDescent="0.2">
      <c r="A945" s="227"/>
      <c r="B945" s="228" t="s">
        <v>19</v>
      </c>
      <c r="C945" s="229">
        <f t="shared" si="626"/>
        <v>4</v>
      </c>
      <c r="D945" s="227" t="str">
        <f t="shared" si="645"/>
        <v/>
      </c>
      <c r="E945" s="228" t="str">
        <f t="shared" ca="1" si="646"/>
        <v>06.004.007.005</v>
      </c>
      <c r="F945" s="230">
        <f ca="1">IF($B945="UNIDADE CONSTRUTIVA",OFFSET(F945,-1,0)+1,LARGE(F$10:F944,1))</f>
        <v>2</v>
      </c>
      <c r="G945" s="228" t="str">
        <f t="shared" ca="1" si="636"/>
        <v xml:space="preserve">   GERENCIAMENTO EXECUTIVO</v>
      </c>
      <c r="H945" s="230">
        <f t="shared" ca="1" si="647"/>
        <v>6</v>
      </c>
      <c r="I945" s="228" t="str">
        <f t="shared" ca="1" si="637"/>
        <v xml:space="preserve">   IMPERMEABILIZAÇÃO E TRATAMENTOS</v>
      </c>
      <c r="J945" s="230">
        <f t="shared" ca="1" si="648"/>
        <v>4</v>
      </c>
      <c r="K945" s="228" t="str">
        <f t="shared" ca="1" si="638"/>
        <v xml:space="preserve">   IMPERMEABILIZAÇÃO E TRATAMENTOS - 8º PAVIMENTO - COBERTURA</v>
      </c>
      <c r="L945" s="231">
        <f t="shared" ca="1" si="649"/>
        <v>7</v>
      </c>
      <c r="M945" s="228" t="str">
        <f t="shared" ca="1" si="639"/>
        <v xml:space="preserve">   Mão de Obra</v>
      </c>
      <c r="N945" s="231">
        <f t="shared" ca="1" si="650"/>
        <v>5</v>
      </c>
      <c r="O945" s="228" t="str">
        <f t="shared" ca="1" si="640"/>
        <v>Mao de obra para impermeabilizacao com argamassa polimerica</v>
      </c>
      <c r="P945" s="232" t="str">
        <f>IF(S945="","",IF(Orçamento!$B945="INSUMO",S945,""))</f>
        <v>MAO DE OBRA PARA IMPERMEABILIZACAO COM ARGAMASSA POLIMERICA</v>
      </c>
      <c r="Q945" s="244" t="str">
        <f t="shared" si="643"/>
        <v/>
      </c>
      <c r="R945" s="234">
        <f t="shared" ca="1" si="641"/>
        <v>5.18</v>
      </c>
      <c r="S945" s="233" t="s">
        <v>302</v>
      </c>
      <c r="T945" s="242" t="str">
        <f>_xlfn.XLOOKUP(S945,Insumos!$A$3:$A$371,Insumos!$B$3:$B$371)</f>
        <v>M2</v>
      </c>
      <c r="U945" s="235">
        <f ca="1">IF($B945="insumo",R945,"")</f>
        <v>5.18</v>
      </c>
      <c r="V945" s="320">
        <v>1</v>
      </c>
      <c r="W945" s="236">
        <f>IFERROR(IF(B945="INSUMO",_xlfn.XLOOKUP(S945,Insumos!A:A,Insumos!C:C),""),"Inserir Preço")</f>
        <v>33.74</v>
      </c>
      <c r="X945" s="235">
        <f t="shared" ca="1" si="642"/>
        <v>5.18</v>
      </c>
      <c r="Y945" s="236">
        <f t="shared" si="644"/>
        <v>33.74</v>
      </c>
      <c r="Z945" s="237">
        <f t="shared" ca="1" si="627"/>
        <v>174.7732</v>
      </c>
      <c r="AA945" s="238"/>
      <c r="AB945" s="233" t="str">
        <f>IF(B945="insumo",_xlfn.XLOOKUP(S945,Insumos!A:A,Insumos!D:D),"")</f>
        <v xml:space="preserve"> </v>
      </c>
      <c r="AC945" s="239">
        <f t="shared" ca="1" si="628"/>
        <v>2.5072808983009403E-5</v>
      </c>
      <c r="AE945" s="240">
        <f ca="1">IFERROR(IF(OR(Z945="",Z945=0),"",IF(AF945="","",IF(AF945="R$/mês",Z945/OBRA!$D$12,IF(AF945="R$/m²",Z945/OBRA!$D$10,IF(AF945="R$/apto",Orçamento!Z945/OBRA!$D$11,""))))),"")</f>
        <v>8.993953366302497E-2</v>
      </c>
      <c r="AF945" s="241" t="s">
        <v>154</v>
      </c>
    </row>
    <row r="946" spans="1:32" s="10" customFormat="1" ht="13.15" hidden="1" customHeight="1" outlineLevel="4" x14ac:dyDescent="0.2">
      <c r="A946" s="227"/>
      <c r="B946" s="228" t="s">
        <v>4</v>
      </c>
      <c r="C946" s="229">
        <f t="shared" si="626"/>
        <v>4</v>
      </c>
      <c r="D946" s="227" t="str">
        <f t="shared" ca="1" si="645"/>
        <v>06.004.007.006</v>
      </c>
      <c r="E946" s="228" t="str">
        <f t="shared" ca="1" si="646"/>
        <v>06.004.007.006</v>
      </c>
      <c r="F946" s="230">
        <f ca="1">IF($B946="UNIDADE CONSTRUTIVA",OFFSET(F946,-1,0)+1,LARGE(F$10:F945,1))</f>
        <v>2</v>
      </c>
      <c r="G946" s="228" t="str">
        <f t="shared" ca="1" si="636"/>
        <v xml:space="preserve">   GERENCIAMENTO EXECUTIVO</v>
      </c>
      <c r="H946" s="230">
        <f t="shared" ca="1" si="647"/>
        <v>6</v>
      </c>
      <c r="I946" s="228" t="str">
        <f t="shared" ca="1" si="637"/>
        <v xml:space="preserve">   IMPERMEABILIZAÇÃO E TRATAMENTOS</v>
      </c>
      <c r="J946" s="230">
        <f t="shared" ca="1" si="648"/>
        <v>4</v>
      </c>
      <c r="K946" s="228" t="str">
        <f t="shared" ca="1" si="638"/>
        <v xml:space="preserve">   IMPERMEABILIZAÇÃO E TRATAMENTOS - 8º PAVIMENTO - COBERTURA</v>
      </c>
      <c r="L946" s="231">
        <f t="shared" ca="1" si="649"/>
        <v>7</v>
      </c>
      <c r="M946" s="228" t="str">
        <f t="shared" ca="1" si="639"/>
        <v xml:space="preserve">   Mão de Obra</v>
      </c>
      <c r="N946" s="231">
        <f t="shared" ca="1" si="650"/>
        <v>6</v>
      </c>
      <c r="O946" s="228" t="str">
        <f t="shared" ca="1" si="640"/>
        <v>Mao de obra para impermeabilizacao de peitoris</v>
      </c>
      <c r="P946" s="232" t="str">
        <f>IF(S946="","",IF(Orçamento!$B946="INSUMO",S946,""))</f>
        <v/>
      </c>
      <c r="Q946" s="244" t="str">
        <f t="shared" si="643"/>
        <v>Mao de obra para impermeabilizacao de peitoris</v>
      </c>
      <c r="R946" s="234">
        <f t="shared" ca="1" si="641"/>
        <v>0.25</v>
      </c>
      <c r="S946" s="233" t="s">
        <v>463</v>
      </c>
      <c r="T946" s="242" t="s">
        <v>140</v>
      </c>
      <c r="U946" s="235">
        <f>U928</f>
        <v>0.25</v>
      </c>
      <c r="V946" s="320" t="s">
        <v>35</v>
      </c>
      <c r="W946" s="236" t="str">
        <f>IFERROR(IF(B946="INSUMO",_xlfn.XLOOKUP(S946,Insumos!A:A,Insumos!C:C),""),"Inserir Preço")</f>
        <v/>
      </c>
      <c r="X946" s="235">
        <f t="shared" ca="1" si="642"/>
        <v>0.25</v>
      </c>
      <c r="Y946" s="236">
        <f t="shared" ca="1" si="644"/>
        <v>32</v>
      </c>
      <c r="Z946" s="237">
        <f t="shared" ca="1" si="627"/>
        <v>8</v>
      </c>
      <c r="AA946" s="238"/>
      <c r="AB946" s="233" t="str">
        <f>IF(B946="insumo",_xlfn.XLOOKUP(S946,Insumos!A:A,Insumos!D:D),"")</f>
        <v/>
      </c>
      <c r="AC946" s="239">
        <f t="shared" ca="1" si="628"/>
        <v>1.1476729376361777E-6</v>
      </c>
      <c r="AE946" s="240">
        <f ca="1">IFERROR(IF(OR(Z946="",Z946=0),"",IF(AF946="","",IF(AF946="R$/mês",Z946/OBRA!$D$12,IF(AF946="R$/m²",Z946/OBRA!$D$10,IF(AF946="R$/apto",Orçamento!Z946/OBRA!$D$11,""))))),"")</f>
        <v>4.116856985534394E-3</v>
      </c>
      <c r="AF946" s="241" t="s">
        <v>154</v>
      </c>
    </row>
    <row r="947" spans="1:32" s="10" customFormat="1" ht="13.15" hidden="1" customHeight="1" outlineLevel="4" x14ac:dyDescent="0.2">
      <c r="A947" s="227"/>
      <c r="B947" s="228" t="s">
        <v>19</v>
      </c>
      <c r="C947" s="229">
        <f t="shared" si="626"/>
        <v>4</v>
      </c>
      <c r="D947" s="227" t="str">
        <f t="shared" si="645"/>
        <v/>
      </c>
      <c r="E947" s="228" t="str">
        <f t="shared" ca="1" si="646"/>
        <v>06.004.007.006</v>
      </c>
      <c r="F947" s="230">
        <f ca="1">IF($B947="UNIDADE CONSTRUTIVA",OFFSET(F947,-1,0)+1,LARGE(F$10:F946,1))</f>
        <v>2</v>
      </c>
      <c r="G947" s="228" t="str">
        <f t="shared" ca="1" si="636"/>
        <v xml:space="preserve">   GERENCIAMENTO EXECUTIVO</v>
      </c>
      <c r="H947" s="230">
        <f t="shared" ca="1" si="647"/>
        <v>6</v>
      </c>
      <c r="I947" s="228" t="str">
        <f t="shared" ca="1" si="637"/>
        <v xml:space="preserve">   IMPERMEABILIZAÇÃO E TRATAMENTOS</v>
      </c>
      <c r="J947" s="230">
        <f t="shared" ca="1" si="648"/>
        <v>4</v>
      </c>
      <c r="K947" s="228" t="str">
        <f t="shared" ca="1" si="638"/>
        <v xml:space="preserve">   IMPERMEABILIZAÇÃO E TRATAMENTOS - 8º PAVIMENTO - COBERTURA</v>
      </c>
      <c r="L947" s="231">
        <f t="shared" ca="1" si="649"/>
        <v>7</v>
      </c>
      <c r="M947" s="228" t="str">
        <f t="shared" ca="1" si="639"/>
        <v xml:space="preserve">   Mão de Obra</v>
      </c>
      <c r="N947" s="231">
        <f t="shared" ca="1" si="650"/>
        <v>6</v>
      </c>
      <c r="O947" s="228" t="str">
        <f t="shared" ca="1" si="640"/>
        <v>Mao de obra para impermeabilizacao de peitoris</v>
      </c>
      <c r="P947" s="232" t="str">
        <f>IF(S947="","",IF(Orçamento!$B947="INSUMO",S947,""))</f>
        <v>MAO DE OBRA PARA IMPERMEABILIZACAO COM MANTA LIQUIDA</v>
      </c>
      <c r="Q947" s="244" t="str">
        <f t="shared" si="643"/>
        <v/>
      </c>
      <c r="R947" s="234">
        <f t="shared" ca="1" si="641"/>
        <v>0.25</v>
      </c>
      <c r="S947" s="233" t="s">
        <v>382</v>
      </c>
      <c r="T947" s="242" t="str">
        <f>_xlfn.XLOOKUP(S947,Insumos!$A$3:$A$371,Insumos!$B$3:$B$371)</f>
        <v>M2</v>
      </c>
      <c r="U947" s="235">
        <f ca="1">IF($B947="insumo",R947,"")</f>
        <v>0.25</v>
      </c>
      <c r="V947" s="320">
        <v>1</v>
      </c>
      <c r="W947" s="236">
        <f>IFERROR(IF(B947="INSUMO",_xlfn.XLOOKUP(S947,Insumos!A:A,Insumos!C:C),""),"Inserir Preço")</f>
        <v>32</v>
      </c>
      <c r="X947" s="235">
        <f t="shared" ca="1" si="642"/>
        <v>0.25</v>
      </c>
      <c r="Y947" s="236">
        <f t="shared" si="644"/>
        <v>32</v>
      </c>
      <c r="Z947" s="237">
        <f t="shared" ca="1" si="627"/>
        <v>8</v>
      </c>
      <c r="AA947" s="238"/>
      <c r="AB947" s="233" t="str">
        <f>IF(B947="insumo",_xlfn.XLOOKUP(S947,Insumos!A:A,Insumos!D:D),"")</f>
        <v xml:space="preserve"> </v>
      </c>
      <c r="AC947" s="239">
        <f t="shared" ca="1" si="628"/>
        <v>1.1476729376361777E-6</v>
      </c>
      <c r="AE947" s="240">
        <f ca="1">IFERROR(IF(OR(Z947="",Z947=0),"",IF(AF947="","",IF(AF947="R$/mês",Z947/OBRA!$D$12,IF(AF947="R$/m²",Z947/OBRA!$D$10,IF(AF947="R$/apto",Orçamento!Z947/OBRA!$D$11,""))))),"")</f>
        <v>4.116856985534394E-3</v>
      </c>
      <c r="AF947" s="241" t="s">
        <v>154</v>
      </c>
    </row>
    <row r="948" spans="1:32" s="10" customFormat="1" ht="13.15" customHeight="1" outlineLevel="2" collapsed="1" x14ac:dyDescent="0.2">
      <c r="A948" s="227"/>
      <c r="B948" s="228" t="s">
        <v>2</v>
      </c>
      <c r="C948" s="229" t="str">
        <f t="shared" si="626"/>
        <v/>
      </c>
      <c r="D948" s="227" t="str">
        <f t="shared" ca="1" si="645"/>
        <v>06.005</v>
      </c>
      <c r="E948" s="228" t="str">
        <f t="shared" ca="1" si="646"/>
        <v>06.004.007.006</v>
      </c>
      <c r="F948" s="230">
        <f ca="1">IF($B948="UNIDADE CONSTRUTIVA",OFFSET(F948,-1,0)+1,LARGE(F$10:F947,1))</f>
        <v>2</v>
      </c>
      <c r="G948" s="228" t="str">
        <f t="shared" ca="1" si="636"/>
        <v xml:space="preserve">   GERENCIAMENTO EXECUTIVO</v>
      </c>
      <c r="H948" s="230">
        <f t="shared" ca="1" si="647"/>
        <v>6</v>
      </c>
      <c r="I948" s="228" t="str">
        <f t="shared" ca="1" si="637"/>
        <v xml:space="preserve">   IMPERMEABILIZAÇÃO E TRATAMENTOS</v>
      </c>
      <c r="J948" s="230">
        <f t="shared" ca="1" si="648"/>
        <v>5</v>
      </c>
      <c r="K948" s="228" t="str">
        <f t="shared" ca="1" si="638"/>
        <v xml:space="preserve">   IMPERMEABILIZAÇÃO E TRATAMENTOS - BARRILETE / CAIXA DÁGUA / CASA DE MÁQUINAS</v>
      </c>
      <c r="L948" s="231">
        <f t="shared" ca="1" si="649"/>
        <v>0</v>
      </c>
      <c r="M948" s="228" t="str">
        <f t="shared" ca="1" si="639"/>
        <v xml:space="preserve">   Mão de Obra</v>
      </c>
      <c r="N948" s="231">
        <f t="shared" ca="1" si="650"/>
        <v>6</v>
      </c>
      <c r="O948" s="228" t="str">
        <f t="shared" ca="1" si="640"/>
        <v>Mao de obra para impermeabilizacao de peitoris</v>
      </c>
      <c r="P948" s="232" t="str">
        <f>IF(S948="","",IF(Orçamento!$B948="INSUMO",S948,""))</f>
        <v/>
      </c>
      <c r="Q948" s="244" t="str">
        <f t="shared" si="643"/>
        <v/>
      </c>
      <c r="R948" s="234">
        <f t="shared" ca="1" si="641"/>
        <v>0.25</v>
      </c>
      <c r="S948" s="233" t="s">
        <v>663</v>
      </c>
      <c r="T948" s="242" t="s">
        <v>35</v>
      </c>
      <c r="U948" s="235" t="str">
        <f>IF($B948="insumo",R948,"")</f>
        <v/>
      </c>
      <c r="V948" s="320" t="s">
        <v>35</v>
      </c>
      <c r="W948" s="236" t="str">
        <f>IFERROR(IF(B948="INSUMO",_xlfn.XLOOKUP(S948,Insumos!A:A,Insumos!C:C),""),"Inserir Preço")</f>
        <v/>
      </c>
      <c r="X948" s="235" t="str">
        <f t="shared" ca="1" si="642"/>
        <v/>
      </c>
      <c r="Y948" s="236" t="str">
        <f t="shared" si="644"/>
        <v/>
      </c>
      <c r="Z948" s="237">
        <f t="shared" ca="1" si="627"/>
        <v>20870.03629</v>
      </c>
      <c r="AA948" s="238"/>
      <c r="AB948" s="233" t="str">
        <f>IF(B948="insumo",_xlfn.XLOOKUP(S948,Insumos!A:A,Insumos!D:D),"")</f>
        <v/>
      </c>
      <c r="AC948" s="239">
        <f t="shared" ca="1" si="628"/>
        <v>2.9939969821897419E-3</v>
      </c>
      <c r="AE948" s="240">
        <f ca="1">IFERROR(IF(OR(Z948="",Z948=0),"",IF(AF948="","",IF(AF948="R$/mês",Z948/OBRA!$D$12,IF(AF948="R$/m²",Z948/OBRA!$D$10,IF(AF948="R$/apto",Orçamento!Z948/OBRA!$D$11,""))))),"")</f>
        <v>10.73986933610535</v>
      </c>
      <c r="AF948" s="241" t="s">
        <v>154</v>
      </c>
    </row>
    <row r="949" spans="1:32" s="10" customFormat="1" ht="13.15" hidden="1" customHeight="1" outlineLevel="3" collapsed="1" x14ac:dyDescent="0.2">
      <c r="A949" s="227"/>
      <c r="B949" s="228" t="s">
        <v>3</v>
      </c>
      <c r="C949" s="229" t="str">
        <f t="shared" si="626"/>
        <v/>
      </c>
      <c r="D949" s="227" t="str">
        <f t="shared" ca="1" si="645"/>
        <v>06.005.001</v>
      </c>
      <c r="E949" s="228" t="str">
        <f t="shared" ca="1" si="646"/>
        <v>06.004.007.006</v>
      </c>
      <c r="F949" s="230">
        <f ca="1">IF($B949="UNIDADE CONSTRUTIVA",OFFSET(F949,-1,0)+1,LARGE(F$10:F948,1))</f>
        <v>2</v>
      </c>
      <c r="G949" s="228" t="str">
        <f t="shared" ca="1" si="636"/>
        <v xml:space="preserve">   GERENCIAMENTO EXECUTIVO</v>
      </c>
      <c r="H949" s="230">
        <f t="shared" ca="1" si="647"/>
        <v>6</v>
      </c>
      <c r="I949" s="228" t="str">
        <f t="shared" ca="1" si="637"/>
        <v xml:space="preserve">   IMPERMEABILIZAÇÃO E TRATAMENTOS</v>
      </c>
      <c r="J949" s="230">
        <f t="shared" ca="1" si="648"/>
        <v>5</v>
      </c>
      <c r="K949" s="228" t="str">
        <f t="shared" ca="1" si="638"/>
        <v xml:space="preserve">   IMPERMEABILIZAÇÃO E TRATAMENTOS - BARRILETE / CAIXA DÁGUA / CASA DE MÁQUINAS</v>
      </c>
      <c r="L949" s="231">
        <f t="shared" ca="1" si="649"/>
        <v>1</v>
      </c>
      <c r="M949" s="228" t="str">
        <f t="shared" ca="1" si="639"/>
        <v xml:space="preserve">   Regularizacao de superficie para impermeabilizacao</v>
      </c>
      <c r="N949" s="231">
        <f t="shared" ca="1" si="650"/>
        <v>0</v>
      </c>
      <c r="O949" s="228" t="str">
        <f t="shared" ca="1" si="640"/>
        <v>Mao de obra para impermeabilizacao de peitoris</v>
      </c>
      <c r="P949" s="232" t="str">
        <f>IF(S949="","",IF(Orçamento!$B949="INSUMO",S949,""))</f>
        <v/>
      </c>
      <c r="Q949" s="244" t="str">
        <f t="shared" si="643"/>
        <v/>
      </c>
      <c r="R949" s="234">
        <f t="shared" ca="1" si="641"/>
        <v>0.25</v>
      </c>
      <c r="S949" s="233" t="s">
        <v>464</v>
      </c>
      <c r="T949" s="242" t="s">
        <v>35</v>
      </c>
      <c r="U949" s="235" t="str">
        <f>IF($B949="insumo",R949,"")</f>
        <v/>
      </c>
      <c r="V949" s="320" t="s">
        <v>35</v>
      </c>
      <c r="W949" s="236" t="str">
        <f>IFERROR(IF(B949="INSUMO",_xlfn.XLOOKUP(S949,Insumos!A:A,Insumos!C:C),""),"Inserir Preço")</f>
        <v/>
      </c>
      <c r="X949" s="235" t="str">
        <f t="shared" ca="1" si="642"/>
        <v/>
      </c>
      <c r="Y949" s="236" t="str">
        <f t="shared" si="644"/>
        <v/>
      </c>
      <c r="Z949" s="237">
        <f t="shared" ca="1" si="627"/>
        <v>758.94469499999991</v>
      </c>
      <c r="AA949" s="238"/>
      <c r="AB949" s="233" t="str">
        <f>IF(B949="insumo",_xlfn.XLOOKUP(S949,Insumos!A:A,Insumos!D:D),"")</f>
        <v/>
      </c>
      <c r="AC949" s="239">
        <f t="shared" ca="1" si="628"/>
        <v>1.0887753595175534E-4</v>
      </c>
      <c r="AE949" s="240">
        <f ca="1">IFERROR(IF(OR(Z949="",Z949=0),"",IF(AF949="","",IF(AF949="R$/mês",Z949/OBRA!$D$12,IF(AF949="R$/m²",Z949/OBRA!$D$10,IF(AF949="R$/apto",Orçamento!Z949/OBRA!$D$11,""))))),"")</f>
        <v>0.39055834615562746</v>
      </c>
      <c r="AF949" s="241" t="s">
        <v>154</v>
      </c>
    </row>
    <row r="950" spans="1:32" s="10" customFormat="1" ht="13.15" hidden="1" customHeight="1" outlineLevel="4" x14ac:dyDescent="0.2">
      <c r="A950" s="227"/>
      <c r="B950" s="228" t="s">
        <v>4</v>
      </c>
      <c r="C950" s="229">
        <f t="shared" si="626"/>
        <v>5</v>
      </c>
      <c r="D950" s="227" t="str">
        <f t="shared" ca="1" si="645"/>
        <v>06.005.001.001</v>
      </c>
      <c r="E950" s="228" t="str">
        <f t="shared" ca="1" si="646"/>
        <v>06.005.001.001</v>
      </c>
      <c r="F950" s="230">
        <f ca="1">IF($B950="UNIDADE CONSTRUTIVA",OFFSET(F950,-1,0)+1,LARGE(F$10:F949,1))</f>
        <v>2</v>
      </c>
      <c r="G950" s="228" t="str">
        <f t="shared" ca="1" si="636"/>
        <v xml:space="preserve">   GERENCIAMENTO EXECUTIVO</v>
      </c>
      <c r="H950" s="230">
        <f t="shared" ca="1" si="647"/>
        <v>6</v>
      </c>
      <c r="I950" s="228" t="str">
        <f t="shared" ca="1" si="637"/>
        <v xml:space="preserve">   IMPERMEABILIZAÇÃO E TRATAMENTOS</v>
      </c>
      <c r="J950" s="230">
        <f t="shared" ca="1" si="648"/>
        <v>5</v>
      </c>
      <c r="K950" s="228" t="str">
        <f t="shared" ca="1" si="638"/>
        <v xml:space="preserve">   IMPERMEABILIZAÇÃO E TRATAMENTOS - BARRILETE / CAIXA DÁGUA / CASA DE MÁQUINAS</v>
      </c>
      <c r="L950" s="231">
        <f t="shared" ca="1" si="649"/>
        <v>1</v>
      </c>
      <c r="M950" s="228" t="str">
        <f t="shared" ca="1" si="639"/>
        <v xml:space="preserve">   Regularizacao de superficie para impermeabilizacao</v>
      </c>
      <c r="N950" s="231">
        <f t="shared" ca="1" si="650"/>
        <v>1</v>
      </c>
      <c r="O950" s="228" t="str">
        <f t="shared" ca="1" si="640"/>
        <v>Regularizacao de superficie para impermeabilizacao</v>
      </c>
      <c r="P950" s="232" t="str">
        <f>IF(S950="","",IF(Orçamento!$B950="INSUMO",S950,""))</f>
        <v/>
      </c>
      <c r="Q950" s="244" t="str">
        <f t="shared" si="643"/>
        <v>Regularizacao de superficie para impermeabilizacao</v>
      </c>
      <c r="R950" s="234">
        <f t="shared" ca="1" si="641"/>
        <v>113.92999999999999</v>
      </c>
      <c r="S950" s="233" t="s">
        <v>465</v>
      </c>
      <c r="T950" s="242" t="s">
        <v>140</v>
      </c>
      <c r="U950" s="235">
        <f>U954</f>
        <v>113.92999999999999</v>
      </c>
      <c r="V950" s="320" t="s">
        <v>35</v>
      </c>
      <c r="W950" s="236" t="str">
        <f>IFERROR(IF(B950="INSUMO",_xlfn.XLOOKUP(S950,Insumos!A:A,Insumos!C:C),""),"Inserir Preço")</f>
        <v/>
      </c>
      <c r="X950" s="235">
        <f t="shared" ca="1" si="642"/>
        <v>113.92999999999999</v>
      </c>
      <c r="Y950" s="236">
        <f t="shared" ca="1" si="644"/>
        <v>6.6615000000000002</v>
      </c>
      <c r="Z950" s="237">
        <f t="shared" ca="1" si="627"/>
        <v>758.94469500000002</v>
      </c>
      <c r="AA950" s="238"/>
      <c r="AB950" s="233" t="str">
        <f>IF(B950="insumo",_xlfn.XLOOKUP(S950,Insumos!A:A,Insumos!D:D),"")</f>
        <v/>
      </c>
      <c r="AC950" s="239">
        <f t="shared" ca="1" si="628"/>
        <v>1.0887753595175537E-4</v>
      </c>
      <c r="AE950" s="240">
        <f ca="1">IFERROR(IF(OR(Z950="",Z950=0),"",IF(AF950="","",IF(AF950="R$/mês",Z950/OBRA!$D$12,IF(AF950="R$/m²",Z950/OBRA!$D$10,IF(AF950="R$/apto",Orçamento!Z950/OBRA!$D$11,""))))),"")</f>
        <v>0.39055834615562751</v>
      </c>
      <c r="AF950" s="241" t="s">
        <v>154</v>
      </c>
    </row>
    <row r="951" spans="1:32" s="10" customFormat="1" ht="13.15" hidden="1" customHeight="1" outlineLevel="4" x14ac:dyDescent="0.2">
      <c r="A951" s="227"/>
      <c r="B951" s="228" t="s">
        <v>19</v>
      </c>
      <c r="C951" s="229">
        <f t="shared" si="626"/>
        <v>13</v>
      </c>
      <c r="D951" s="227" t="str">
        <f t="shared" si="645"/>
        <v/>
      </c>
      <c r="E951" s="228" t="str">
        <f t="shared" ca="1" si="646"/>
        <v>06.005.001.001</v>
      </c>
      <c r="F951" s="230">
        <f ca="1">IF($B951="UNIDADE CONSTRUTIVA",OFFSET(F951,-1,0)+1,LARGE(F$10:F950,1))</f>
        <v>2</v>
      </c>
      <c r="G951" s="228" t="str">
        <f t="shared" ca="1" si="636"/>
        <v xml:space="preserve">   GERENCIAMENTO EXECUTIVO</v>
      </c>
      <c r="H951" s="230">
        <f t="shared" ca="1" si="647"/>
        <v>6</v>
      </c>
      <c r="I951" s="228" t="str">
        <f t="shared" ca="1" si="637"/>
        <v xml:space="preserve">   IMPERMEABILIZAÇÃO E TRATAMENTOS</v>
      </c>
      <c r="J951" s="230">
        <f t="shared" ca="1" si="648"/>
        <v>5</v>
      </c>
      <c r="K951" s="228" t="str">
        <f t="shared" ca="1" si="638"/>
        <v xml:space="preserve">   IMPERMEABILIZAÇÃO E TRATAMENTOS - BARRILETE / CAIXA DÁGUA / CASA DE MÁQUINAS</v>
      </c>
      <c r="L951" s="231">
        <f t="shared" ca="1" si="649"/>
        <v>1</v>
      </c>
      <c r="M951" s="228" t="str">
        <f t="shared" ca="1" si="639"/>
        <v xml:space="preserve">   Regularizacao de superficie para impermeabilizacao</v>
      </c>
      <c r="N951" s="231">
        <f t="shared" ca="1" si="650"/>
        <v>1</v>
      </c>
      <c r="O951" s="228" t="str">
        <f t="shared" ca="1" si="640"/>
        <v>Regularizacao de superficie para impermeabilizacao</v>
      </c>
      <c r="P951" s="232" t="str">
        <f>IF(S951="","",IF(Orçamento!$B951="INSUMO",S951,""))</f>
        <v>CIMENTO PORTLAND CP II 32 - Z</v>
      </c>
      <c r="Q951" s="244" t="str">
        <f t="shared" si="643"/>
        <v/>
      </c>
      <c r="R951" s="234">
        <f t="shared" ca="1" si="641"/>
        <v>113.92999999999999</v>
      </c>
      <c r="S951" s="233" t="s">
        <v>343</v>
      </c>
      <c r="T951" s="242" t="str">
        <f>_xlfn.XLOOKUP(S951,Insumos!$A$3:$A$371,Insumos!$B$3:$B$371)</f>
        <v>KG</v>
      </c>
      <c r="U951" s="235">
        <f ca="1">IF($B951="insumo",R951,"")</f>
        <v>113.92999999999999</v>
      </c>
      <c r="V951" s="320">
        <v>6.3</v>
      </c>
      <c r="W951" s="236">
        <f>IFERROR(IF(B951="INSUMO",_xlfn.XLOOKUP(S951,Insumos!A:A,Insumos!C:C),""),"Inserir Preço")</f>
        <v>0.74</v>
      </c>
      <c r="X951" s="235">
        <f t="shared" ca="1" si="642"/>
        <v>717.7589999999999</v>
      </c>
      <c r="Y951" s="236">
        <f t="shared" si="644"/>
        <v>4.6619999999999999</v>
      </c>
      <c r="Z951" s="237">
        <f t="shared" ca="1" si="627"/>
        <v>531.14165999999989</v>
      </c>
      <c r="AA951" s="238"/>
      <c r="AB951" s="233" t="str">
        <f>IF(B951="insumo",_xlfn.XLOOKUP(S951,Insumos!A:A,Insumos!D:D),"")</f>
        <v xml:space="preserve"> </v>
      </c>
      <c r="AC951" s="239">
        <f t="shared" ca="1" si="628"/>
        <v>7.6197113654144475E-5</v>
      </c>
      <c r="AE951" s="240">
        <f ca="1">IFERROR(IF(OR(Z951="",Z951=0),"",IF(AF951="","",IF(AF951="R$/mês",Z951/OBRA!$D$12,IF(AF951="R$/m²",Z951/OBRA!$D$10,IF(AF951="R$/apto",Orçamento!Z951/OBRA!$D$11,""))))),"")</f>
        <v>0.27332928165991666</v>
      </c>
      <c r="AF951" s="241" t="s">
        <v>154</v>
      </c>
    </row>
    <row r="952" spans="1:32" s="10" customFormat="1" ht="13.15" hidden="1" customHeight="1" outlineLevel="4" x14ac:dyDescent="0.2">
      <c r="A952" s="227"/>
      <c r="B952" s="228" t="s">
        <v>19</v>
      </c>
      <c r="C952" s="229">
        <f t="shared" si="626"/>
        <v>7</v>
      </c>
      <c r="D952" s="227" t="str">
        <f t="shared" si="645"/>
        <v/>
      </c>
      <c r="E952" s="228" t="str">
        <f t="shared" ca="1" si="646"/>
        <v>06.005.001.001</v>
      </c>
      <c r="F952" s="230">
        <f ca="1">IF($B952="UNIDADE CONSTRUTIVA",OFFSET(F952,-1,0)+1,LARGE(F$10:F951,1))</f>
        <v>2</v>
      </c>
      <c r="G952" s="228" t="str">
        <f t="shared" ref="G952:G973" ca="1" si="651">IF(B952="*","",IF(B952="UNIDADE CONSTRUTIVA",S952,OFFSET(G952,-1,0)))</f>
        <v xml:space="preserve">   GERENCIAMENTO EXECUTIVO</v>
      </c>
      <c r="H952" s="230">
        <f t="shared" ca="1" si="647"/>
        <v>6</v>
      </c>
      <c r="I952" s="228" t="str">
        <f t="shared" ref="I952:I973" ca="1" si="652">IF(B952="*","",IF(B952="CÉLULA CONSTRUTIVA",S952,OFFSET(I952,-1,0)))</f>
        <v xml:space="preserve">   IMPERMEABILIZAÇÃO E TRATAMENTOS</v>
      </c>
      <c r="J952" s="230">
        <f t="shared" ca="1" si="648"/>
        <v>5</v>
      </c>
      <c r="K952" s="228" t="str">
        <f t="shared" ref="K952:K973" ca="1" si="653">IF(B952="*","",IF(B952="ETAPA",S952,OFFSET(K952,-1,0)))</f>
        <v xml:space="preserve">   IMPERMEABILIZAÇÃO E TRATAMENTOS - BARRILETE / CAIXA DÁGUA / CASA DE MÁQUINAS</v>
      </c>
      <c r="L952" s="231">
        <f t="shared" ca="1" si="649"/>
        <v>1</v>
      </c>
      <c r="M952" s="228" t="str">
        <f t="shared" ref="M952:M973" ca="1" si="654">IF(B952="*","",IF(B952="SUBETAPA",S952,OFFSET(M952,-1,0)))</f>
        <v xml:space="preserve">   Regularizacao de superficie para impermeabilizacao</v>
      </c>
      <c r="N952" s="231">
        <f t="shared" ca="1" si="650"/>
        <v>1</v>
      </c>
      <c r="O952" s="228" t="str">
        <f t="shared" ref="O952:O973" ca="1" si="655">IF(B952="*","",IF(B952="SERVIÇO",S952,OFFSET(O952,-1,0)))</f>
        <v>Regularizacao de superficie para impermeabilizacao</v>
      </c>
      <c r="P952" s="232" t="str">
        <f>IF(S952="","",IF(Orçamento!$B952="INSUMO",S952,""))</f>
        <v>AREIA MEDIA</v>
      </c>
      <c r="Q952" s="244" t="str">
        <f t="shared" si="643"/>
        <v/>
      </c>
      <c r="R952" s="234">
        <f t="shared" ref="R952:R972" ca="1" si="656">IF(B952="serviço",U952,OFFSET(R952,-1,0))</f>
        <v>113.92999999999999</v>
      </c>
      <c r="S952" s="233" t="s">
        <v>359</v>
      </c>
      <c r="T952" s="242" t="str">
        <f>_xlfn.XLOOKUP(S952,Insumos!$A$3:$A$371,Insumos!$B$3:$B$371)</f>
        <v>M3</v>
      </c>
      <c r="U952" s="235">
        <f ca="1">IF($B952="insumo",R952,"")</f>
        <v>113.92999999999999</v>
      </c>
      <c r="V952" s="320">
        <v>1.55E-2</v>
      </c>
      <c r="W952" s="236">
        <f>IFERROR(IF(B952="INSUMO",_xlfn.XLOOKUP(S952,Insumos!A:A,Insumos!C:C),""),"Inserir Preço")</f>
        <v>129</v>
      </c>
      <c r="X952" s="235">
        <f t="shared" ca="1" si="642"/>
        <v>1.7659149999999999</v>
      </c>
      <c r="Y952" s="236">
        <f t="shared" si="644"/>
        <v>1.9995000000000001</v>
      </c>
      <c r="Z952" s="237">
        <f t="shared" ca="1" si="627"/>
        <v>227.80303499999999</v>
      </c>
      <c r="AA952" s="238"/>
      <c r="AB952" s="233" t="str">
        <f>IF(B952="insumo",_xlfn.XLOOKUP(S952,Insumos!A:A,Insumos!D:D),"")</f>
        <v>Agregados Nestor</v>
      </c>
      <c r="AC952" s="239">
        <f t="shared" ca="1" si="628"/>
        <v>3.2680422297610874E-5</v>
      </c>
      <c r="AE952" s="240">
        <f ca="1">IFERROR(IF(OR(Z952="",Z952=0),"",IF(AF952="","",IF(AF952="R$/mês",Z952/OBRA!$D$12,IF(AF952="R$/m²",Z952/OBRA!$D$10,IF(AF952="R$/apto",Orçamento!Z952/OBRA!$D$11,""))))),"")</f>
        <v>0.11722906449571074</v>
      </c>
      <c r="AF952" s="241" t="s">
        <v>154</v>
      </c>
    </row>
    <row r="953" spans="1:32" s="10" customFormat="1" ht="13.15" hidden="1" customHeight="1" outlineLevel="3" collapsed="1" x14ac:dyDescent="0.2">
      <c r="A953" s="227"/>
      <c r="B953" s="228" t="s">
        <v>3</v>
      </c>
      <c r="C953" s="229" t="str">
        <f t="shared" si="626"/>
        <v/>
      </c>
      <c r="D953" s="227" t="str">
        <f t="shared" ca="1" si="645"/>
        <v>06.005.002</v>
      </c>
      <c r="E953" s="228" t="str">
        <f t="shared" ca="1" si="646"/>
        <v>06.005.001.001</v>
      </c>
      <c r="F953" s="230">
        <f ca="1">IF($B953="UNIDADE CONSTRUTIVA",OFFSET(F953,-1,0)+1,LARGE(F$10:F952,1))</f>
        <v>2</v>
      </c>
      <c r="G953" s="228" t="str">
        <f t="shared" ca="1" si="651"/>
        <v xml:space="preserve">   GERENCIAMENTO EXECUTIVO</v>
      </c>
      <c r="H953" s="230">
        <f t="shared" ca="1" si="647"/>
        <v>6</v>
      </c>
      <c r="I953" s="228" t="str">
        <f t="shared" ca="1" si="652"/>
        <v xml:space="preserve">   IMPERMEABILIZAÇÃO E TRATAMENTOS</v>
      </c>
      <c r="J953" s="230">
        <f t="shared" ca="1" si="648"/>
        <v>5</v>
      </c>
      <c r="K953" s="228" t="str">
        <f t="shared" ca="1" si="653"/>
        <v xml:space="preserve">   IMPERMEABILIZAÇÃO E TRATAMENTOS - BARRILETE / CAIXA DÁGUA / CASA DE MÁQUINAS</v>
      </c>
      <c r="L953" s="231">
        <f t="shared" ca="1" si="649"/>
        <v>2</v>
      </c>
      <c r="M953" s="228" t="str">
        <f t="shared" ca="1" si="654"/>
        <v xml:space="preserve">   Impermeabilização Flexível com Manta</v>
      </c>
      <c r="N953" s="231">
        <f t="shared" ca="1" si="650"/>
        <v>0</v>
      </c>
      <c r="O953" s="228" t="str">
        <f t="shared" ca="1" si="655"/>
        <v>Regularizacao de superficie para impermeabilizacao</v>
      </c>
      <c r="P953" s="232" t="str">
        <f>IF(S953="","",IF(Orçamento!$B953="INSUMO",S953,""))</f>
        <v/>
      </c>
      <c r="Q953" s="244" t="str">
        <f t="shared" si="643"/>
        <v/>
      </c>
      <c r="R953" s="234">
        <f t="shared" ca="1" si="656"/>
        <v>113.92999999999999</v>
      </c>
      <c r="S953" s="233" t="s">
        <v>466</v>
      </c>
      <c r="T953" s="242" t="s">
        <v>35</v>
      </c>
      <c r="U953" s="235" t="str">
        <f>IF($B953="insumo",R953,"")</f>
        <v/>
      </c>
      <c r="V953" s="320" t="s">
        <v>35</v>
      </c>
      <c r="W953" s="236" t="str">
        <f>IFERROR(IF(B953="INSUMO",_xlfn.XLOOKUP(S953,Insumos!A:A,Insumos!C:C),""),"Inserir Preço")</f>
        <v/>
      </c>
      <c r="X953" s="235" t="str">
        <f t="shared" ref="X953:X972" ca="1" si="657">IF(B953="Complemento do insumo",V953,IF(R953="","",IF(B953="serviço",R953,IF(OR(B953="insumo"),V953*R953,""))))</f>
        <v/>
      </c>
      <c r="Y953" s="236" t="str">
        <f t="shared" si="644"/>
        <v/>
      </c>
      <c r="Z953" s="237">
        <f t="shared" ca="1" si="627"/>
        <v>5540.6437599999999</v>
      </c>
      <c r="AA953" s="238"/>
      <c r="AB953" s="233" t="str">
        <f>IF(B953="insumo",_xlfn.XLOOKUP(S953,Insumos!A:A,Insumos!D:D),"")</f>
        <v/>
      </c>
      <c r="AC953" s="239">
        <f t="shared" ca="1" si="628"/>
        <v>7.9485586255434459E-4</v>
      </c>
      <c r="AE953" s="240">
        <f ca="1">IFERROR(IF(OR(Z953="",Z953=0),"",IF(AF953="","",IF(AF953="R$/mês",Z953/OBRA!$D$12,IF(AF953="R$/m²",Z953/OBRA!$D$10,IF(AF953="R$/apto",Orçamento!Z953/OBRA!$D$11,""))))),"")</f>
        <v>2.8512547459641935</v>
      </c>
      <c r="AF953" s="241" t="s">
        <v>154</v>
      </c>
    </row>
    <row r="954" spans="1:32" s="10" customFormat="1" ht="13.15" hidden="1" customHeight="1" outlineLevel="4" x14ac:dyDescent="0.2">
      <c r="A954" s="227"/>
      <c r="B954" s="228" t="s">
        <v>4</v>
      </c>
      <c r="C954" s="229">
        <f t="shared" si="626"/>
        <v>5</v>
      </c>
      <c r="D954" s="227" t="str">
        <f t="shared" ca="1" si="645"/>
        <v>06.005.002.001</v>
      </c>
      <c r="E954" s="228" t="str">
        <f t="shared" ca="1" si="646"/>
        <v>06.005.002.001</v>
      </c>
      <c r="F954" s="230">
        <f ca="1">IF($B954="UNIDADE CONSTRUTIVA",OFFSET(F954,-1,0)+1,LARGE(F$10:F953,1))</f>
        <v>2</v>
      </c>
      <c r="G954" s="228" t="str">
        <f t="shared" ca="1" si="651"/>
        <v xml:space="preserve">   GERENCIAMENTO EXECUTIVO</v>
      </c>
      <c r="H954" s="230">
        <f t="shared" ca="1" si="647"/>
        <v>6</v>
      </c>
      <c r="I954" s="228" t="str">
        <f t="shared" ca="1" si="652"/>
        <v xml:space="preserve">   IMPERMEABILIZAÇÃO E TRATAMENTOS</v>
      </c>
      <c r="J954" s="230">
        <f t="shared" ca="1" si="648"/>
        <v>5</v>
      </c>
      <c r="K954" s="228" t="str">
        <f t="shared" ca="1" si="653"/>
        <v xml:space="preserve">   IMPERMEABILIZAÇÃO E TRATAMENTOS - BARRILETE / CAIXA DÁGUA / CASA DE MÁQUINAS</v>
      </c>
      <c r="L954" s="231">
        <f t="shared" ca="1" si="649"/>
        <v>2</v>
      </c>
      <c r="M954" s="228" t="str">
        <f t="shared" ca="1" si="654"/>
        <v xml:space="preserve">   Impermeabilização Flexível com Manta</v>
      </c>
      <c r="N954" s="231">
        <f t="shared" ca="1" si="650"/>
        <v>1</v>
      </c>
      <c r="O954" s="228" t="str">
        <f t="shared" ca="1" si="655"/>
        <v>Impermeabilizacao com manta asfaltica espessura 4mm, uma camada, aplicacao com primer asfaltico</v>
      </c>
      <c r="P954" s="232" t="str">
        <f>IF(S954="","",IF(Orçamento!$B954="INSUMO",S954,""))</f>
        <v/>
      </c>
      <c r="Q954" s="244" t="str">
        <f t="shared" si="643"/>
        <v>Impermeabilizacao com manta asfaltica espessura 4mm, uma camada, aplicacao com primer asfaltico</v>
      </c>
      <c r="R954" s="234">
        <f t="shared" ca="1" si="656"/>
        <v>113.92999999999999</v>
      </c>
      <c r="S954" s="233" t="s">
        <v>467</v>
      </c>
      <c r="T954" s="242" t="s">
        <v>140</v>
      </c>
      <c r="U954" s="235">
        <v>113.92999999999999</v>
      </c>
      <c r="V954" s="320" t="s">
        <v>35</v>
      </c>
      <c r="W954" s="236" t="str">
        <f>IFERROR(IF(B954="INSUMO",_xlfn.XLOOKUP(S954,Insumos!A:A,Insumos!C:C),""),"Inserir Preço")</f>
        <v/>
      </c>
      <c r="X954" s="235">
        <f t="shared" ca="1" si="657"/>
        <v>113.92999999999999</v>
      </c>
      <c r="Y954" s="236">
        <f t="shared" ca="1" si="644"/>
        <v>48.632000000000005</v>
      </c>
      <c r="Z954" s="237">
        <f t="shared" ca="1" si="627"/>
        <v>5540.6437599999999</v>
      </c>
      <c r="AA954" s="238"/>
      <c r="AB954" s="233" t="str">
        <f>IF(B954="insumo",_xlfn.XLOOKUP(S954,Insumos!A:A,Insumos!D:D),"")</f>
        <v/>
      </c>
      <c r="AC954" s="239">
        <f t="shared" ca="1" si="628"/>
        <v>7.9485586255434459E-4</v>
      </c>
      <c r="AE954" s="240">
        <f ca="1">IFERROR(IF(OR(Z954="",Z954=0),"",IF(AF954="","",IF(AF954="R$/mês",Z954/OBRA!$D$12,IF(AF954="R$/m²",Z954/OBRA!$D$10,IF(AF954="R$/apto",Orçamento!Z954/OBRA!$D$11,""))))),"")</f>
        <v>2.8512547459641935</v>
      </c>
      <c r="AF954" s="241" t="s">
        <v>154</v>
      </c>
    </row>
    <row r="955" spans="1:32" s="10" customFormat="1" ht="13.15" hidden="1" customHeight="1" outlineLevel="4" x14ac:dyDescent="0.2">
      <c r="A955" s="227"/>
      <c r="B955" s="228" t="s">
        <v>19</v>
      </c>
      <c r="C955" s="229">
        <f t="shared" si="626"/>
        <v>5</v>
      </c>
      <c r="D955" s="227" t="str">
        <f t="shared" si="645"/>
        <v/>
      </c>
      <c r="E955" s="228" t="str">
        <f t="shared" ca="1" si="646"/>
        <v>06.005.002.001</v>
      </c>
      <c r="F955" s="230">
        <f ca="1">IF($B955="UNIDADE CONSTRUTIVA",OFFSET(F955,-1,0)+1,LARGE(F$10:F954,1))</f>
        <v>2</v>
      </c>
      <c r="G955" s="228" t="str">
        <f t="shared" ca="1" si="651"/>
        <v xml:space="preserve">   GERENCIAMENTO EXECUTIVO</v>
      </c>
      <c r="H955" s="230">
        <f t="shared" ca="1" si="647"/>
        <v>6</v>
      </c>
      <c r="I955" s="228" t="str">
        <f t="shared" ca="1" si="652"/>
        <v xml:space="preserve">   IMPERMEABILIZAÇÃO E TRATAMENTOS</v>
      </c>
      <c r="J955" s="230">
        <f t="shared" ca="1" si="648"/>
        <v>5</v>
      </c>
      <c r="K955" s="228" t="str">
        <f t="shared" ca="1" si="653"/>
        <v xml:space="preserve">   IMPERMEABILIZAÇÃO E TRATAMENTOS - BARRILETE / CAIXA DÁGUA / CASA DE MÁQUINAS</v>
      </c>
      <c r="L955" s="231">
        <f t="shared" ca="1" si="649"/>
        <v>2</v>
      </c>
      <c r="M955" s="228" t="str">
        <f t="shared" ca="1" si="654"/>
        <v xml:space="preserve">   Impermeabilização Flexível com Manta</v>
      </c>
      <c r="N955" s="231">
        <f t="shared" ca="1" si="650"/>
        <v>1</v>
      </c>
      <c r="O955" s="228" t="str">
        <f t="shared" ca="1" si="655"/>
        <v>Impermeabilizacao com manta asfaltica espessura 4mm, uma camada, aplicacao com primer asfaltico</v>
      </c>
      <c r="P955" s="232" t="str">
        <f>IF(S955="","",IF(Orçamento!$B955="INSUMO",S955,""))</f>
        <v>PRIMER A BASE DE ASFALTO MODIFICADO DILUIDO EM SOLVENTE APLIC. A FRIO</v>
      </c>
      <c r="Q955" s="244" t="str">
        <f t="shared" si="643"/>
        <v/>
      </c>
      <c r="R955" s="234">
        <f t="shared" ca="1" si="656"/>
        <v>113.92999999999999</v>
      </c>
      <c r="S955" s="233" t="s">
        <v>367</v>
      </c>
      <c r="T955" s="242" t="str">
        <f>_xlfn.XLOOKUP(S955,Insumos!$A$3:$A$371,Insumos!$B$3:$B$371)</f>
        <v>L</v>
      </c>
      <c r="U955" s="235">
        <f ca="1">IF($B955="insumo",R955,"")</f>
        <v>113.92999999999999</v>
      </c>
      <c r="V955" s="320">
        <v>0.6</v>
      </c>
      <c r="W955" s="236">
        <f>IFERROR(IF(B955="INSUMO",_xlfn.XLOOKUP(S955,Insumos!A:A,Insumos!C:C),""),"Inserir Preço")</f>
        <v>11.9</v>
      </c>
      <c r="X955" s="235">
        <f t="shared" ca="1" si="657"/>
        <v>68.35799999999999</v>
      </c>
      <c r="Y955" s="236">
        <f t="shared" si="644"/>
        <v>7.14</v>
      </c>
      <c r="Z955" s="237">
        <f t="shared" ca="1" si="627"/>
        <v>813.46019999999987</v>
      </c>
      <c r="AA955" s="238"/>
      <c r="AB955" s="233" t="str">
        <f>IF(B955="insumo",_xlfn.XLOOKUP(S955,Insumos!A:A,Insumos!D:D),"")</f>
        <v xml:space="preserve"> </v>
      </c>
      <c r="AC955" s="239">
        <f t="shared" ca="1" si="628"/>
        <v>1.1669828217301405E-4</v>
      </c>
      <c r="AE955" s="240">
        <f ca="1">IFERROR(IF(OR(Z955="",Z955=0),"",IF(AF955="","",IF(AF955="R$/mês",Z955/OBRA!$D$12,IF(AF955="R$/m²",Z955/OBRA!$D$10,IF(AF955="R$/apto",Orçamento!Z955/OBRA!$D$11,""))))),"")</f>
        <v>0.41861241335302557</v>
      </c>
      <c r="AF955" s="241" t="s">
        <v>154</v>
      </c>
    </row>
    <row r="956" spans="1:32" s="10" customFormat="1" ht="13.15" hidden="1" customHeight="1" outlineLevel="4" x14ac:dyDescent="0.2">
      <c r="A956" s="227"/>
      <c r="B956" s="228" t="s">
        <v>19</v>
      </c>
      <c r="C956" s="229">
        <f t="shared" si="626"/>
        <v>5</v>
      </c>
      <c r="D956" s="227" t="str">
        <f t="shared" si="645"/>
        <v/>
      </c>
      <c r="E956" s="228" t="str">
        <f t="shared" ca="1" si="646"/>
        <v>06.005.002.001</v>
      </c>
      <c r="F956" s="230">
        <f ca="1">IF($B956="UNIDADE CONSTRUTIVA",OFFSET(F956,-1,0)+1,LARGE(F$10:F955,1))</f>
        <v>2</v>
      </c>
      <c r="G956" s="228" t="str">
        <f t="shared" ca="1" si="651"/>
        <v xml:space="preserve">   GERENCIAMENTO EXECUTIVO</v>
      </c>
      <c r="H956" s="230">
        <f t="shared" ca="1" si="647"/>
        <v>6</v>
      </c>
      <c r="I956" s="228" t="str">
        <f t="shared" ca="1" si="652"/>
        <v xml:space="preserve">   IMPERMEABILIZAÇÃO E TRATAMENTOS</v>
      </c>
      <c r="J956" s="230">
        <f t="shared" ca="1" si="648"/>
        <v>5</v>
      </c>
      <c r="K956" s="228" t="str">
        <f t="shared" ca="1" si="653"/>
        <v xml:space="preserve">   IMPERMEABILIZAÇÃO E TRATAMENTOS - BARRILETE / CAIXA DÁGUA / CASA DE MÁQUINAS</v>
      </c>
      <c r="L956" s="231">
        <f t="shared" ca="1" si="649"/>
        <v>2</v>
      </c>
      <c r="M956" s="228" t="str">
        <f t="shared" ca="1" si="654"/>
        <v xml:space="preserve">   Impermeabilização Flexível com Manta</v>
      </c>
      <c r="N956" s="231">
        <f t="shared" ca="1" si="650"/>
        <v>1</v>
      </c>
      <c r="O956" s="228" t="str">
        <f t="shared" ca="1" si="655"/>
        <v>Impermeabilizacao com manta asfaltica espessura 4mm, uma camada, aplicacao com primer asfaltico</v>
      </c>
      <c r="P956" s="232" t="str">
        <f>IF(S956="","",IF(Orçamento!$B956="INSUMO",S956,""))</f>
        <v>MANTA ASFALTICA ELASTOMERICA EM POLIESTER 3MM, TIPO III, CLASSE B, ACA</v>
      </c>
      <c r="Q956" s="244" t="str">
        <f t="shared" si="643"/>
        <v/>
      </c>
      <c r="R956" s="234">
        <f t="shared" ca="1" si="656"/>
        <v>113.92999999999999</v>
      </c>
      <c r="S956" s="233" t="s">
        <v>326</v>
      </c>
      <c r="T956" s="242" t="str">
        <f>_xlfn.XLOOKUP(S956,Insumos!$A$3:$A$371,Insumos!$B$3:$B$371)</f>
        <v>M2</v>
      </c>
      <c r="U956" s="235">
        <f ca="1">IF($B956="insumo",R956,"")</f>
        <v>113.92999999999999</v>
      </c>
      <c r="V956" s="320">
        <v>1.1000000000000001</v>
      </c>
      <c r="W956" s="236">
        <f>IFERROR(IF(B956="INSUMO",_xlfn.XLOOKUP(S956,Insumos!A:A,Insumos!C:C),""),"Inserir Preço")</f>
        <v>37.72</v>
      </c>
      <c r="X956" s="235">
        <f t="shared" ca="1" si="657"/>
        <v>125.32300000000001</v>
      </c>
      <c r="Y956" s="236">
        <f t="shared" si="644"/>
        <v>41.492000000000004</v>
      </c>
      <c r="Z956" s="237">
        <f t="shared" ca="1" si="627"/>
        <v>4727.1835600000004</v>
      </c>
      <c r="AA956" s="238"/>
      <c r="AB956" s="233" t="str">
        <f>IF(B956="insumo",_xlfn.XLOOKUP(S956,Insumos!A:A,Insumos!D:D),"")</f>
        <v xml:space="preserve"> </v>
      </c>
      <c r="AC956" s="239">
        <f t="shared" ca="1" si="628"/>
        <v>6.7815758038133065E-4</v>
      </c>
      <c r="AE956" s="240">
        <f ca="1">IFERROR(IF(OR(Z956="",Z956=0),"",IF(AF956="","",IF(AF956="R$/mês",Z956/OBRA!$D$12,IF(AF956="R$/m²",Z956/OBRA!$D$10,IF(AF956="R$/apto",Orçamento!Z956/OBRA!$D$11,""))))),"")</f>
        <v>2.4326423326111684</v>
      </c>
      <c r="AF956" s="241" t="s">
        <v>154</v>
      </c>
    </row>
    <row r="957" spans="1:32" s="10" customFormat="1" ht="13.15" hidden="1" customHeight="1" outlineLevel="3" collapsed="1" x14ac:dyDescent="0.2">
      <c r="A957" s="227"/>
      <c r="B957" s="228" t="s">
        <v>3</v>
      </c>
      <c r="C957" s="229" t="str">
        <f t="shared" si="626"/>
        <v/>
      </c>
      <c r="D957" s="227" t="str">
        <f t="shared" ca="1" si="645"/>
        <v>06.005.003</v>
      </c>
      <c r="E957" s="228" t="str">
        <f t="shared" ca="1" si="646"/>
        <v>06.005.002.001</v>
      </c>
      <c r="F957" s="230">
        <f ca="1">IF($B957="UNIDADE CONSTRUTIVA",OFFSET(F957,-1,0)+1,LARGE(F$10:F956,1))</f>
        <v>2</v>
      </c>
      <c r="G957" s="228" t="str">
        <f t="shared" ca="1" si="651"/>
        <v xml:space="preserve">   GERENCIAMENTO EXECUTIVO</v>
      </c>
      <c r="H957" s="230">
        <f t="shared" ca="1" si="647"/>
        <v>6</v>
      </c>
      <c r="I957" s="228" t="str">
        <f t="shared" ca="1" si="652"/>
        <v xml:space="preserve">   IMPERMEABILIZAÇÃO E TRATAMENTOS</v>
      </c>
      <c r="J957" s="230">
        <f t="shared" ca="1" si="648"/>
        <v>5</v>
      </c>
      <c r="K957" s="228" t="str">
        <f t="shared" ca="1" si="653"/>
        <v xml:space="preserve">   IMPERMEABILIZAÇÃO E TRATAMENTOS - BARRILETE / CAIXA DÁGUA / CASA DE MÁQUINAS</v>
      </c>
      <c r="L957" s="231">
        <f t="shared" ca="1" si="649"/>
        <v>3</v>
      </c>
      <c r="M957" s="228" t="str">
        <f t="shared" ca="1" si="654"/>
        <v xml:space="preserve">   Impermeabilização Flexível com Membrana</v>
      </c>
      <c r="N957" s="231">
        <f t="shared" ca="1" si="650"/>
        <v>0</v>
      </c>
      <c r="O957" s="228" t="str">
        <f t="shared" ca="1" si="655"/>
        <v>Impermeabilizacao com manta asfaltica espessura 4mm, uma camada, aplicacao com primer asfaltico</v>
      </c>
      <c r="P957" s="232" t="str">
        <f>IF(S957="","",IF(Orçamento!$B957="INSUMO",S957,""))</f>
        <v/>
      </c>
      <c r="Q957" s="244" t="str">
        <f t="shared" ref="Q957:Q972" si="658">IF(B957="","",IF(B957="Serviço",S957,""))</f>
        <v/>
      </c>
      <c r="R957" s="234">
        <f t="shared" ca="1" si="656"/>
        <v>113.92999999999999</v>
      </c>
      <c r="S957" s="233" t="s">
        <v>460</v>
      </c>
      <c r="T957" s="242" t="s">
        <v>35</v>
      </c>
      <c r="U957" s="235" t="str">
        <f>IF($B957="insumo",R957,"")</f>
        <v/>
      </c>
      <c r="V957" s="320" t="s">
        <v>35</v>
      </c>
      <c r="W957" s="236" t="str">
        <f>IFERROR(IF(B957="INSUMO",_xlfn.XLOOKUP(S957,Insumos!A:A,Insumos!C:C),""),"Inserir Preço")</f>
        <v/>
      </c>
      <c r="X957" s="235" t="str">
        <f t="shared" ca="1" si="657"/>
        <v/>
      </c>
      <c r="Y957" s="236" t="str">
        <f t="shared" si="644"/>
        <v/>
      </c>
      <c r="Z957" s="237">
        <f t="shared" ca="1" si="627"/>
        <v>9.65625</v>
      </c>
      <c r="AA957" s="238"/>
      <c r="AB957" s="233" t="str">
        <f>IF(B957="insumo",_xlfn.XLOOKUP(S957,Insumos!A:A,Insumos!D:D),"")</f>
        <v/>
      </c>
      <c r="AC957" s="239">
        <f t="shared" ca="1" si="628"/>
        <v>1.3852771005061677E-6</v>
      </c>
      <c r="AE957" s="240">
        <f ca="1">IFERROR(IF(OR(Z957="",Z957=0),"",IF(AF957="","",IF(AF957="R$/mês",Z957/OBRA!$D$12,IF(AF957="R$/m²",Z957/OBRA!$D$10,IF(AF957="R$/apto",Orçamento!Z957/OBRA!$D$11,""))))),"")</f>
        <v>4.9691750333208115E-3</v>
      </c>
      <c r="AF957" s="241" t="s">
        <v>154</v>
      </c>
    </row>
    <row r="958" spans="1:32" s="10" customFormat="1" ht="13.15" hidden="1" customHeight="1" outlineLevel="4" x14ac:dyDescent="0.2">
      <c r="A958" s="227"/>
      <c r="B958" s="228" t="s">
        <v>4</v>
      </c>
      <c r="C958" s="229">
        <f t="shared" si="626"/>
        <v>4</v>
      </c>
      <c r="D958" s="227" t="str">
        <f t="shared" ca="1" si="645"/>
        <v>06.005.003.001</v>
      </c>
      <c r="E958" s="228" t="str">
        <f t="shared" ca="1" si="646"/>
        <v>06.005.003.001</v>
      </c>
      <c r="F958" s="230">
        <f ca="1">IF($B958="UNIDADE CONSTRUTIVA",OFFSET(F958,-1,0)+1,LARGE(F$10:F957,1))</f>
        <v>2</v>
      </c>
      <c r="G958" s="228" t="str">
        <f t="shared" ca="1" si="651"/>
        <v xml:space="preserve">   GERENCIAMENTO EXECUTIVO</v>
      </c>
      <c r="H958" s="230">
        <f t="shared" ca="1" si="647"/>
        <v>6</v>
      </c>
      <c r="I958" s="228" t="str">
        <f t="shared" ca="1" si="652"/>
        <v xml:space="preserve">   IMPERMEABILIZAÇÃO E TRATAMENTOS</v>
      </c>
      <c r="J958" s="230">
        <f t="shared" ca="1" si="648"/>
        <v>5</v>
      </c>
      <c r="K958" s="228" t="str">
        <f t="shared" ca="1" si="653"/>
        <v xml:space="preserve">   IMPERMEABILIZAÇÃO E TRATAMENTOS - BARRILETE / CAIXA DÁGUA / CASA DE MÁQUINAS</v>
      </c>
      <c r="L958" s="231">
        <f t="shared" ca="1" si="649"/>
        <v>3</v>
      </c>
      <c r="M958" s="228" t="str">
        <f t="shared" ca="1" si="654"/>
        <v xml:space="preserve">   Impermeabilização Flexível com Membrana</v>
      </c>
      <c r="N958" s="231">
        <f t="shared" ca="1" si="650"/>
        <v>1</v>
      </c>
      <c r="O958" s="228" t="str">
        <f t="shared" ca="1" si="655"/>
        <v>Impermeabilizacao com manta liquida em peitoris</v>
      </c>
      <c r="P958" s="232" t="str">
        <f>IF(S958="","",IF(Orçamento!$B958="INSUMO",S958,""))</f>
        <v/>
      </c>
      <c r="Q958" s="244" t="str">
        <f t="shared" si="658"/>
        <v>Impermeabilizacao com manta liquida em peitoris</v>
      </c>
      <c r="R958" s="234">
        <f t="shared" ca="1" si="656"/>
        <v>0.25</v>
      </c>
      <c r="S958" s="233" t="s">
        <v>461</v>
      </c>
      <c r="T958" s="242" t="s">
        <v>140</v>
      </c>
      <c r="U958" s="235">
        <v>0.25</v>
      </c>
      <c r="V958" s="320" t="s">
        <v>35</v>
      </c>
      <c r="W958" s="236" t="str">
        <f>IFERROR(IF(B958="INSUMO",_xlfn.XLOOKUP(S958,Insumos!A:A,Insumos!C:C),""),"Inserir Preço")</f>
        <v/>
      </c>
      <c r="X958" s="235">
        <f t="shared" ca="1" si="657"/>
        <v>0.25</v>
      </c>
      <c r="Y958" s="236">
        <f t="shared" ca="1" si="644"/>
        <v>38.625</v>
      </c>
      <c r="Z958" s="237">
        <f t="shared" ca="1" si="627"/>
        <v>9.65625</v>
      </c>
      <c r="AA958" s="238"/>
      <c r="AB958" s="233" t="str">
        <f>IF(B958="insumo",_xlfn.XLOOKUP(S958,Insumos!A:A,Insumos!D:D),"")</f>
        <v/>
      </c>
      <c r="AC958" s="239">
        <f t="shared" ca="1" si="628"/>
        <v>1.3852771005061677E-6</v>
      </c>
      <c r="AE958" s="240">
        <f ca="1">IFERROR(IF(OR(Z958="",Z958=0),"",IF(AF958="","",IF(AF958="R$/mês",Z958/OBRA!$D$12,IF(AF958="R$/m²",Z958/OBRA!$D$10,IF(AF958="R$/apto",Orçamento!Z958/OBRA!$D$11,""))))),"")</f>
        <v>4.9691750333208115E-3</v>
      </c>
      <c r="AF958" s="241" t="s">
        <v>154</v>
      </c>
    </row>
    <row r="959" spans="1:32" s="10" customFormat="1" ht="13.15" hidden="1" customHeight="1" outlineLevel="4" x14ac:dyDescent="0.2">
      <c r="A959" s="227"/>
      <c r="B959" s="228" t="s">
        <v>19</v>
      </c>
      <c r="C959" s="229">
        <f t="shared" si="626"/>
        <v>4</v>
      </c>
      <c r="D959" s="227" t="str">
        <f t="shared" si="645"/>
        <v/>
      </c>
      <c r="E959" s="228" t="str">
        <f t="shared" ca="1" si="646"/>
        <v>06.005.003.001</v>
      </c>
      <c r="F959" s="230">
        <f ca="1">IF($B959="UNIDADE CONSTRUTIVA",OFFSET(F959,-1,0)+1,LARGE(F$10:F958,1))</f>
        <v>2</v>
      </c>
      <c r="G959" s="228" t="str">
        <f t="shared" ca="1" si="651"/>
        <v xml:space="preserve">   GERENCIAMENTO EXECUTIVO</v>
      </c>
      <c r="H959" s="230">
        <f t="shared" ca="1" si="647"/>
        <v>6</v>
      </c>
      <c r="I959" s="228" t="str">
        <f t="shared" ca="1" si="652"/>
        <v xml:space="preserve">   IMPERMEABILIZAÇÃO E TRATAMENTOS</v>
      </c>
      <c r="J959" s="230">
        <f t="shared" ca="1" si="648"/>
        <v>5</v>
      </c>
      <c r="K959" s="228" t="str">
        <f t="shared" ca="1" si="653"/>
        <v xml:space="preserve">   IMPERMEABILIZAÇÃO E TRATAMENTOS - BARRILETE / CAIXA DÁGUA / CASA DE MÁQUINAS</v>
      </c>
      <c r="L959" s="231">
        <f t="shared" ca="1" si="649"/>
        <v>3</v>
      </c>
      <c r="M959" s="228" t="str">
        <f t="shared" ca="1" si="654"/>
        <v xml:space="preserve">   Impermeabilização Flexível com Membrana</v>
      </c>
      <c r="N959" s="231">
        <f t="shared" ca="1" si="650"/>
        <v>1</v>
      </c>
      <c r="O959" s="228" t="str">
        <f t="shared" ca="1" si="655"/>
        <v>Impermeabilizacao com manta liquida em peitoris</v>
      </c>
      <c r="P959" s="232" t="str">
        <f>IF(S959="","",IF(Orçamento!$B959="INSUMO",S959,""))</f>
        <v>IMPERMEABILIZANTE MANTA LIQUIDA BRANCA</v>
      </c>
      <c r="Q959" s="244" t="str">
        <f t="shared" si="658"/>
        <v/>
      </c>
      <c r="R959" s="234">
        <f t="shared" ca="1" si="656"/>
        <v>0.25</v>
      </c>
      <c r="S959" s="233" t="s">
        <v>380</v>
      </c>
      <c r="T959" s="242" t="str">
        <f>_xlfn.XLOOKUP(S959,Insumos!$A$3:$A$371,Insumos!$B$3:$B$371)</f>
        <v>KG</v>
      </c>
      <c r="U959" s="235">
        <f ca="1">IF($B959="insumo",R959,"")</f>
        <v>0.25</v>
      </c>
      <c r="V959" s="320">
        <v>1.5</v>
      </c>
      <c r="W959" s="236">
        <f>IFERROR(IF(B959="INSUMO",_xlfn.XLOOKUP(S959,Insumos!A:A,Insumos!C:C),""),"Inserir Preço")</f>
        <v>25.75</v>
      </c>
      <c r="X959" s="235">
        <f t="shared" ca="1" si="657"/>
        <v>0.375</v>
      </c>
      <c r="Y959" s="236">
        <f t="shared" si="644"/>
        <v>38.625</v>
      </c>
      <c r="Z959" s="237">
        <f t="shared" ca="1" si="627"/>
        <v>9.65625</v>
      </c>
      <c r="AA959" s="238"/>
      <c r="AB959" s="233" t="str">
        <f>IF(B959="insumo",_xlfn.XLOOKUP(S959,Insumos!A:A,Insumos!D:D),"")</f>
        <v xml:space="preserve"> </v>
      </c>
      <c r="AC959" s="239">
        <f t="shared" ca="1" si="628"/>
        <v>1.3852771005061677E-6</v>
      </c>
      <c r="AE959" s="240">
        <f ca="1">IFERROR(IF(OR(Z959="",Z959=0),"",IF(AF959="","",IF(AF959="R$/mês",Z959/OBRA!$D$12,IF(AF959="R$/m²",Z959/OBRA!$D$10,IF(AF959="R$/apto",Orçamento!Z959/OBRA!$D$11,""))))),"")</f>
        <v>4.9691750333208115E-3</v>
      </c>
      <c r="AF959" s="241" t="s">
        <v>154</v>
      </c>
    </row>
    <row r="960" spans="1:32" s="10" customFormat="1" ht="13.15" hidden="1" customHeight="1" outlineLevel="3" collapsed="1" x14ac:dyDescent="0.2">
      <c r="A960" s="227"/>
      <c r="B960" s="228" t="s">
        <v>3</v>
      </c>
      <c r="C960" s="229" t="str">
        <f t="shared" si="626"/>
        <v/>
      </c>
      <c r="D960" s="227" t="str">
        <f t="shared" ca="1" si="645"/>
        <v>06.005.004</v>
      </c>
      <c r="E960" s="228" t="str">
        <f t="shared" ca="1" si="646"/>
        <v>06.005.003.001</v>
      </c>
      <c r="F960" s="230">
        <f ca="1">IF($B960="UNIDADE CONSTRUTIVA",OFFSET(F960,-1,0)+1,LARGE(F$10:F959,1))</f>
        <v>2</v>
      </c>
      <c r="G960" s="228" t="str">
        <f t="shared" ca="1" si="651"/>
        <v xml:space="preserve">   GERENCIAMENTO EXECUTIVO</v>
      </c>
      <c r="H960" s="230">
        <f t="shared" ca="1" si="647"/>
        <v>6</v>
      </c>
      <c r="I960" s="228" t="str">
        <f t="shared" ca="1" si="652"/>
        <v xml:space="preserve">   IMPERMEABILIZAÇÃO E TRATAMENTOS</v>
      </c>
      <c r="J960" s="230">
        <f t="shared" ca="1" si="648"/>
        <v>5</v>
      </c>
      <c r="K960" s="228" t="str">
        <f t="shared" ca="1" si="653"/>
        <v xml:space="preserve">   IMPERMEABILIZAÇÃO E TRATAMENTOS - BARRILETE / CAIXA DÁGUA / CASA DE MÁQUINAS</v>
      </c>
      <c r="L960" s="231">
        <f t="shared" ca="1" si="649"/>
        <v>4</v>
      </c>
      <c r="M960" s="228" t="str">
        <f t="shared" ca="1" si="654"/>
        <v xml:space="preserve">   Proteção Mecânica</v>
      </c>
      <c r="N960" s="231">
        <f t="shared" ca="1" si="650"/>
        <v>0</v>
      </c>
      <c r="O960" s="228" t="str">
        <f t="shared" ca="1" si="655"/>
        <v>Impermeabilizacao com manta liquida em peitoris</v>
      </c>
      <c r="P960" s="232" t="str">
        <f>IF(S960="","",IF(Orçamento!$B960="INSUMO",S960,""))</f>
        <v/>
      </c>
      <c r="Q960" s="244" t="str">
        <f t="shared" si="658"/>
        <v/>
      </c>
      <c r="R960" s="234">
        <f t="shared" ca="1" si="656"/>
        <v>0.25</v>
      </c>
      <c r="S960" s="233" t="s">
        <v>470</v>
      </c>
      <c r="T960" s="242" t="s">
        <v>35</v>
      </c>
      <c r="U960" s="235" t="str">
        <f>IF($B960="insumo",R960,"")</f>
        <v/>
      </c>
      <c r="V960" s="320" t="s">
        <v>35</v>
      </c>
      <c r="W960" s="236" t="str">
        <f>IFERROR(IF(B960="INSUMO",_xlfn.XLOOKUP(S960,Insumos!A:A,Insumos!C:C),""),"Inserir Preço")</f>
        <v/>
      </c>
      <c r="X960" s="235" t="str">
        <f t="shared" ca="1" si="657"/>
        <v/>
      </c>
      <c r="Y960" s="236" t="str">
        <f t="shared" si="644"/>
        <v/>
      </c>
      <c r="Z960" s="237">
        <f t="shared" ca="1" si="627"/>
        <v>4562.2698849999997</v>
      </c>
      <c r="AA960" s="238"/>
      <c r="AB960" s="233" t="str">
        <f>IF(B960="insumo",_xlfn.XLOOKUP(S960,Insumos!A:A,Insumos!D:D),"")</f>
        <v/>
      </c>
      <c r="AC960" s="239">
        <f t="shared" ca="1" si="628"/>
        <v>6.5449921015087707E-4</v>
      </c>
      <c r="AE960" s="240">
        <f ca="1">IFERROR(IF(OR(Z960="",Z960=0),"",IF(AF960="","",IF(AF960="R$/mês",Z960/OBRA!$D$12,IF(AF960="R$/m²",Z960/OBRA!$D$10,IF(AF960="R$/apto",Orçamento!Z960/OBRA!$D$11,""))))),"")</f>
        <v>2.3477765807444304</v>
      </c>
      <c r="AF960" s="241" t="s">
        <v>154</v>
      </c>
    </row>
    <row r="961" spans="1:32" s="10" customFormat="1" ht="13.15" hidden="1" customHeight="1" outlineLevel="4" x14ac:dyDescent="0.2">
      <c r="A961" s="227"/>
      <c r="B961" s="228" t="s">
        <v>4</v>
      </c>
      <c r="C961" s="229">
        <f t="shared" si="626"/>
        <v>5</v>
      </c>
      <c r="D961" s="227" t="str">
        <f t="shared" ca="1" si="645"/>
        <v>06.005.004.001</v>
      </c>
      <c r="E961" s="228" t="str">
        <f t="shared" ca="1" si="646"/>
        <v>06.005.004.001</v>
      </c>
      <c r="F961" s="230">
        <f ca="1">IF($B961="UNIDADE CONSTRUTIVA",OFFSET(F961,-1,0)+1,LARGE(F$10:F960,1))</f>
        <v>2</v>
      </c>
      <c r="G961" s="228" t="str">
        <f t="shared" ca="1" si="651"/>
        <v xml:space="preserve">   GERENCIAMENTO EXECUTIVO</v>
      </c>
      <c r="H961" s="230">
        <f t="shared" ca="1" si="647"/>
        <v>6</v>
      </c>
      <c r="I961" s="228" t="str">
        <f t="shared" ca="1" si="652"/>
        <v xml:space="preserve">   IMPERMEABILIZAÇÃO E TRATAMENTOS</v>
      </c>
      <c r="J961" s="230">
        <f t="shared" ca="1" si="648"/>
        <v>5</v>
      </c>
      <c r="K961" s="228" t="str">
        <f t="shared" ca="1" si="653"/>
        <v xml:space="preserve">   IMPERMEABILIZAÇÃO E TRATAMENTOS - BARRILETE / CAIXA DÁGUA / CASA DE MÁQUINAS</v>
      </c>
      <c r="L961" s="231">
        <f t="shared" ca="1" si="649"/>
        <v>4</v>
      </c>
      <c r="M961" s="228" t="str">
        <f t="shared" ca="1" si="654"/>
        <v xml:space="preserve">   Proteção Mecânica</v>
      </c>
      <c r="N961" s="231">
        <f t="shared" ca="1" si="650"/>
        <v>1</v>
      </c>
      <c r="O961" s="228" t="str">
        <f t="shared" ca="1" si="655"/>
        <v>Protecao mecanica de superficie com argamassa de cimento e areia , traço 1:3, E=5cm</v>
      </c>
      <c r="P961" s="232" t="str">
        <f>IF(S961="","",IF(Orçamento!$B961="INSUMO",S961,""))</f>
        <v/>
      </c>
      <c r="Q961" s="244" t="str">
        <f t="shared" si="658"/>
        <v>Protecao mecanica de superficie com argamassa de cimento e areia , traço 1:3, E=5cm</v>
      </c>
      <c r="R961" s="234">
        <f t="shared" ca="1" si="656"/>
        <v>113.92999999999999</v>
      </c>
      <c r="S961" s="233" t="s">
        <v>471</v>
      </c>
      <c r="T961" s="242" t="s">
        <v>140</v>
      </c>
      <c r="U961" s="235">
        <f>U954</f>
        <v>113.92999999999999</v>
      </c>
      <c r="V961" s="320" t="s">
        <v>35</v>
      </c>
      <c r="W961" s="236" t="str">
        <f>IFERROR(IF(B961="INSUMO",_xlfn.XLOOKUP(S961,Insumos!A:A,Insumos!C:C),""),"Inserir Preço")</f>
        <v/>
      </c>
      <c r="X961" s="235">
        <f t="shared" ca="1" si="657"/>
        <v>113.92999999999999</v>
      </c>
      <c r="Y961" s="236">
        <f t="shared" ca="1" si="644"/>
        <v>40.044499999999999</v>
      </c>
      <c r="Z961" s="237">
        <f t="shared" ca="1" si="627"/>
        <v>4562.2698849999997</v>
      </c>
      <c r="AA961" s="238"/>
      <c r="AB961" s="233" t="str">
        <f>IF(B961="insumo",_xlfn.XLOOKUP(S961,Insumos!A:A,Insumos!D:D),"")</f>
        <v/>
      </c>
      <c r="AC961" s="239">
        <f t="shared" ca="1" si="628"/>
        <v>6.5449921015087707E-4</v>
      </c>
      <c r="AE961" s="240">
        <f ca="1">IFERROR(IF(OR(Z961="",Z961=0),"",IF(AF961="","",IF(AF961="R$/mês",Z961/OBRA!$D$12,IF(AF961="R$/m²",Z961/OBRA!$D$10,IF(AF961="R$/apto",Orçamento!Z961/OBRA!$D$11,""))))),"")</f>
        <v>2.3477765807444304</v>
      </c>
      <c r="AF961" s="241" t="s">
        <v>154</v>
      </c>
    </row>
    <row r="962" spans="1:32" s="10" customFormat="1" ht="13.15" hidden="1" customHeight="1" outlineLevel="4" x14ac:dyDescent="0.2">
      <c r="A962" s="227"/>
      <c r="B962" s="228" t="s">
        <v>19</v>
      </c>
      <c r="C962" s="229">
        <f t="shared" si="626"/>
        <v>11</v>
      </c>
      <c r="D962" s="227" t="str">
        <f t="shared" si="645"/>
        <v/>
      </c>
      <c r="E962" s="228" t="str">
        <f t="shared" ca="1" si="646"/>
        <v>06.005.004.001</v>
      </c>
      <c r="F962" s="230">
        <f ca="1">IF($B962="UNIDADE CONSTRUTIVA",OFFSET(F962,-1,0)+1,LARGE(F$10:F961,1))</f>
        <v>2</v>
      </c>
      <c r="G962" s="228" t="str">
        <f t="shared" ca="1" si="651"/>
        <v xml:space="preserve">   GERENCIAMENTO EXECUTIVO</v>
      </c>
      <c r="H962" s="230">
        <f t="shared" ca="1" si="647"/>
        <v>6</v>
      </c>
      <c r="I962" s="228" t="str">
        <f t="shared" ca="1" si="652"/>
        <v xml:space="preserve">   IMPERMEABILIZAÇÃO E TRATAMENTOS</v>
      </c>
      <c r="J962" s="230">
        <f t="shared" ca="1" si="648"/>
        <v>5</v>
      </c>
      <c r="K962" s="228" t="str">
        <f t="shared" ca="1" si="653"/>
        <v xml:space="preserve">   IMPERMEABILIZAÇÃO E TRATAMENTOS - BARRILETE / CAIXA DÁGUA / CASA DE MÁQUINAS</v>
      </c>
      <c r="L962" s="231">
        <f t="shared" ca="1" si="649"/>
        <v>4</v>
      </c>
      <c r="M962" s="228" t="str">
        <f t="shared" ca="1" si="654"/>
        <v xml:space="preserve">   Proteção Mecânica</v>
      </c>
      <c r="N962" s="231">
        <f t="shared" ca="1" si="650"/>
        <v>1</v>
      </c>
      <c r="O962" s="228" t="str">
        <f t="shared" ca="1" si="655"/>
        <v>Protecao mecanica de superficie com argamassa de cimento e areia , traço 1:3, E=5cm</v>
      </c>
      <c r="P962" s="232" t="str">
        <f>IF(S962="","",IF(Orçamento!$B962="INSUMO",S962,""))</f>
        <v>ARGAMASSA ESTABILIZADA P/ CONTRAPISO</v>
      </c>
      <c r="Q962" s="244" t="str">
        <f t="shared" si="658"/>
        <v/>
      </c>
      <c r="R962" s="234">
        <f t="shared" ca="1" si="656"/>
        <v>113.92999999999999</v>
      </c>
      <c r="S962" s="233" t="s">
        <v>277</v>
      </c>
      <c r="T962" s="242" t="str">
        <f>_xlfn.XLOOKUP(S962,Insumos!$A$3:$A$371,Insumos!$B$3:$B$371)</f>
        <v>M3</v>
      </c>
      <c r="U962" s="235">
        <f ca="1">IF($B962="insumo",R962,"")</f>
        <v>113.92999999999999</v>
      </c>
      <c r="V962" s="320">
        <v>6.25E-2</v>
      </c>
      <c r="W962" s="236">
        <f>IFERROR(IF(B962="INSUMO",_xlfn.XLOOKUP(S962,Insumos!A:A,Insumos!C:C),""),"Inserir Preço")</f>
        <v>425</v>
      </c>
      <c r="X962" s="235">
        <f t="shared" ca="1" si="657"/>
        <v>7.1206249999999995</v>
      </c>
      <c r="Y962" s="236">
        <f t="shared" si="644"/>
        <v>26.5625</v>
      </c>
      <c r="Z962" s="237">
        <f t="shared" ca="1" si="627"/>
        <v>3026.265625</v>
      </c>
      <c r="AA962" s="238"/>
      <c r="AB962" s="233" t="str">
        <f>IF(B962="insumo",_xlfn.XLOOKUP(S962,Insumos!A:A,Insumos!D:D),"")</f>
        <v xml:space="preserve"> </v>
      </c>
      <c r="AC962" s="239">
        <f t="shared" ca="1" si="628"/>
        <v>4.3414539498889168E-4</v>
      </c>
      <c r="AE962" s="240">
        <f ca="1">IFERROR(IF(OR(Z962="",Z962=0),"",IF(AF962="","",IF(AF962="R$/mês",Z962/OBRA!$D$12,IF(AF962="R$/m²",Z962/OBRA!$D$10,IF(AF962="R$/apto",Orçamento!Z962/OBRA!$D$11,""))))),"")</f>
        <v>1.5573378472954822</v>
      </c>
      <c r="AF962" s="241" t="s">
        <v>154</v>
      </c>
    </row>
    <row r="963" spans="1:32" s="10" customFormat="1" ht="13.15" hidden="1" customHeight="1" outlineLevel="4" x14ac:dyDescent="0.2">
      <c r="A963" s="227"/>
      <c r="B963" s="228" t="s">
        <v>19</v>
      </c>
      <c r="C963" s="229">
        <f t="shared" si="626"/>
        <v>5</v>
      </c>
      <c r="D963" s="227" t="str">
        <f t="shared" si="645"/>
        <v/>
      </c>
      <c r="E963" s="228" t="str">
        <f t="shared" ca="1" si="646"/>
        <v>06.005.004.001</v>
      </c>
      <c r="F963" s="230">
        <f ca="1">IF($B963="UNIDADE CONSTRUTIVA",OFFSET(F963,-1,0)+1,LARGE(F$10:F962,1))</f>
        <v>2</v>
      </c>
      <c r="G963" s="228" t="str">
        <f t="shared" ca="1" si="651"/>
        <v xml:space="preserve">   GERENCIAMENTO EXECUTIVO</v>
      </c>
      <c r="H963" s="230">
        <f t="shared" ca="1" si="647"/>
        <v>6</v>
      </c>
      <c r="I963" s="228" t="str">
        <f t="shared" ca="1" si="652"/>
        <v xml:space="preserve">   IMPERMEABILIZAÇÃO E TRATAMENTOS</v>
      </c>
      <c r="J963" s="230">
        <f t="shared" ca="1" si="648"/>
        <v>5</v>
      </c>
      <c r="K963" s="228" t="str">
        <f t="shared" ca="1" si="653"/>
        <v xml:space="preserve">   IMPERMEABILIZAÇÃO E TRATAMENTOS - BARRILETE / CAIXA DÁGUA / CASA DE MÁQUINAS</v>
      </c>
      <c r="L963" s="231">
        <f t="shared" ca="1" si="649"/>
        <v>4</v>
      </c>
      <c r="M963" s="228" t="str">
        <f t="shared" ca="1" si="654"/>
        <v xml:space="preserve">   Proteção Mecânica</v>
      </c>
      <c r="N963" s="231">
        <f t="shared" ca="1" si="650"/>
        <v>1</v>
      </c>
      <c r="O963" s="228" t="str">
        <f t="shared" ca="1" si="655"/>
        <v>Protecao mecanica de superficie com argamassa de cimento e areia , traço 1:3, E=5cm</v>
      </c>
      <c r="P963" s="232" t="str">
        <f>IF(S963="","",IF(Orçamento!$B963="INSUMO",S963,""))</f>
        <v>TELA ARAME GALVANIZADO FIO 24 BWG MALHA 1/2"</v>
      </c>
      <c r="Q963" s="244" t="str">
        <f t="shared" si="658"/>
        <v/>
      </c>
      <c r="R963" s="234">
        <f t="shared" ca="1" si="656"/>
        <v>113.92999999999999</v>
      </c>
      <c r="S963" s="233" t="s">
        <v>351</v>
      </c>
      <c r="T963" s="242" t="str">
        <f>_xlfn.XLOOKUP(S963,Insumos!$A$3:$A$371,Insumos!$B$3:$B$371)</f>
        <v>M2</v>
      </c>
      <c r="U963" s="235">
        <f ca="1">IF($B963="insumo",R963,"")</f>
        <v>113.92999999999999</v>
      </c>
      <c r="V963" s="320">
        <v>1.05</v>
      </c>
      <c r="W963" s="236">
        <f>IFERROR(IF(B963="INSUMO",_xlfn.XLOOKUP(S963,Insumos!A:A,Insumos!C:C),""),"Inserir Preço")</f>
        <v>12.84</v>
      </c>
      <c r="X963" s="235">
        <f t="shared" ca="1" si="657"/>
        <v>119.62649999999999</v>
      </c>
      <c r="Y963" s="236">
        <f t="shared" si="644"/>
        <v>13.482000000000001</v>
      </c>
      <c r="Z963" s="237">
        <f t="shared" ca="1" si="627"/>
        <v>1536.0042599999999</v>
      </c>
      <c r="AA963" s="238"/>
      <c r="AB963" s="233" t="str">
        <f>IF(B963="insumo",_xlfn.XLOOKUP(S963,Insumos!A:A,Insumos!D:D),"")</f>
        <v xml:space="preserve"> </v>
      </c>
      <c r="AC963" s="239">
        <f t="shared" ca="1" si="628"/>
        <v>2.2035381516198539E-4</v>
      </c>
      <c r="AE963" s="240">
        <f ca="1">IFERROR(IF(OR(Z963="",Z963=0),"",IF(AF963="","",IF(AF963="R$/mês",Z963/OBRA!$D$12,IF(AF963="R$/m²",Z963/OBRA!$D$10,IF(AF963="R$/apto",Orçamento!Z963/OBRA!$D$11,""))))),"")</f>
        <v>0.79043873344894833</v>
      </c>
      <c r="AF963" s="241" t="s">
        <v>154</v>
      </c>
    </row>
    <row r="964" spans="1:32" s="10" customFormat="1" ht="13.15" hidden="1" customHeight="1" outlineLevel="3" collapsed="1" x14ac:dyDescent="0.2">
      <c r="A964" s="227"/>
      <c r="B964" s="228" t="s">
        <v>3</v>
      </c>
      <c r="C964" s="229" t="str">
        <f t="shared" si="626"/>
        <v/>
      </c>
      <c r="D964" s="227" t="str">
        <f t="shared" ca="1" si="645"/>
        <v>06.005.005</v>
      </c>
      <c r="E964" s="228" t="str">
        <f t="shared" ca="1" si="646"/>
        <v>06.005.004.001</v>
      </c>
      <c r="F964" s="230">
        <f ca="1">IF($B964="UNIDADE CONSTRUTIVA",OFFSET(F964,-1,0)+1,LARGE(F$10:F963,1))</f>
        <v>2</v>
      </c>
      <c r="G964" s="228" t="str">
        <f t="shared" ca="1" si="651"/>
        <v xml:space="preserve">   GERENCIAMENTO EXECUTIVO</v>
      </c>
      <c r="H964" s="230">
        <f t="shared" ca="1" si="647"/>
        <v>6</v>
      </c>
      <c r="I964" s="228" t="str">
        <f t="shared" ca="1" si="652"/>
        <v xml:space="preserve">   IMPERMEABILIZAÇÃO E TRATAMENTOS</v>
      </c>
      <c r="J964" s="230">
        <f t="shared" ca="1" si="648"/>
        <v>5</v>
      </c>
      <c r="K964" s="228" t="str">
        <f t="shared" ca="1" si="653"/>
        <v xml:space="preserve">   IMPERMEABILIZAÇÃO E TRATAMENTOS - BARRILETE / CAIXA DÁGUA / CASA DE MÁQUINAS</v>
      </c>
      <c r="L964" s="231">
        <f t="shared" ca="1" si="649"/>
        <v>5</v>
      </c>
      <c r="M964" s="228" t="str">
        <f t="shared" ca="1" si="654"/>
        <v xml:space="preserve">   Mão de Obra</v>
      </c>
      <c r="N964" s="231">
        <f t="shared" ca="1" si="650"/>
        <v>0</v>
      </c>
      <c r="O964" s="228" t="str">
        <f t="shared" ca="1" si="655"/>
        <v>Protecao mecanica de superficie com argamassa de cimento e areia , traço 1:3, E=5cm</v>
      </c>
      <c r="P964" s="232" t="str">
        <f>IF(S964="","",IF(Orçamento!$B964="INSUMO",S964,""))</f>
        <v/>
      </c>
      <c r="Q964" s="244" t="str">
        <f t="shared" si="658"/>
        <v/>
      </c>
      <c r="R964" s="234">
        <f t="shared" ca="1" si="656"/>
        <v>113.92999999999999</v>
      </c>
      <c r="S964" s="233" t="s">
        <v>438</v>
      </c>
      <c r="T964" s="242" t="s">
        <v>35</v>
      </c>
      <c r="U964" s="235" t="str">
        <f>IF($B964="insumo",R964,"")</f>
        <v/>
      </c>
      <c r="V964" s="320" t="s">
        <v>35</v>
      </c>
      <c r="W964" s="236" t="str">
        <f>IFERROR(IF(B964="INSUMO",_xlfn.XLOOKUP(S964,Insumos!A:A,Insumos!C:C),""),"Inserir Preço")</f>
        <v/>
      </c>
      <c r="X964" s="235" t="str">
        <f t="shared" ca="1" si="657"/>
        <v/>
      </c>
      <c r="Y964" s="236" t="str">
        <f t="shared" si="644"/>
        <v/>
      </c>
      <c r="Z964" s="237">
        <f t="shared" ca="1" si="627"/>
        <v>9998.5216999999993</v>
      </c>
      <c r="AA964" s="238"/>
      <c r="AB964" s="233" t="str">
        <f>IF(B964="insumo",_xlfn.XLOOKUP(S964,Insumos!A:A,Insumos!D:D),"")</f>
        <v/>
      </c>
      <c r="AC964" s="239">
        <f t="shared" ca="1" si="628"/>
        <v>1.4343790964322586E-3</v>
      </c>
      <c r="AE964" s="240">
        <f ca="1">IFERROR(IF(OR(Z964="",Z964=0),"",IF(AF964="","",IF(AF964="R$/mês",Z964/OBRA!$D$12,IF(AF964="R$/m²",Z964/OBRA!$D$10,IF(AF964="R$/apto",Orçamento!Z964/OBRA!$D$11,""))))),"")</f>
        <v>5.1453104882077776</v>
      </c>
      <c r="AF964" s="241" t="s">
        <v>154</v>
      </c>
    </row>
    <row r="965" spans="1:32" s="10" customFormat="1" ht="13.15" hidden="1" customHeight="1" outlineLevel="4" x14ac:dyDescent="0.2">
      <c r="A965" s="227"/>
      <c r="B965" s="228" t="s">
        <v>4</v>
      </c>
      <c r="C965" s="229">
        <f t="shared" si="626"/>
        <v>5</v>
      </c>
      <c r="D965" s="227" t="str">
        <f t="shared" ca="1" si="645"/>
        <v>06.005.005.001</v>
      </c>
      <c r="E965" s="228" t="str">
        <f t="shared" ca="1" si="646"/>
        <v>06.005.005.001</v>
      </c>
      <c r="F965" s="230">
        <f ca="1">IF($B965="UNIDADE CONSTRUTIVA",OFFSET(F965,-1,0)+1,LARGE(F$10:F964,1))</f>
        <v>2</v>
      </c>
      <c r="G965" s="228" t="str">
        <f t="shared" ca="1" si="651"/>
        <v xml:space="preserve">   GERENCIAMENTO EXECUTIVO</v>
      </c>
      <c r="H965" s="230">
        <f t="shared" ca="1" si="647"/>
        <v>6</v>
      </c>
      <c r="I965" s="228" t="str">
        <f t="shared" ca="1" si="652"/>
        <v xml:space="preserve">   IMPERMEABILIZAÇÃO E TRATAMENTOS</v>
      </c>
      <c r="J965" s="230">
        <f t="shared" ca="1" si="648"/>
        <v>5</v>
      </c>
      <c r="K965" s="228" t="str">
        <f t="shared" ca="1" si="653"/>
        <v xml:space="preserve">   IMPERMEABILIZAÇÃO E TRATAMENTOS - BARRILETE / CAIXA DÁGUA / CASA DE MÁQUINAS</v>
      </c>
      <c r="L965" s="231">
        <f t="shared" ca="1" si="649"/>
        <v>5</v>
      </c>
      <c r="M965" s="228" t="str">
        <f t="shared" ca="1" si="654"/>
        <v xml:space="preserve">   Mão de Obra</v>
      </c>
      <c r="N965" s="231">
        <f t="shared" ca="1" si="650"/>
        <v>1</v>
      </c>
      <c r="O965" s="228" t="str">
        <f t="shared" ca="1" si="655"/>
        <v>Mao de obra para regularizacao de superficie</v>
      </c>
      <c r="P965" s="232" t="str">
        <f>IF(S965="","",IF(Orçamento!$B965="INSUMO",S965,""))</f>
        <v/>
      </c>
      <c r="Q965" s="244" t="str">
        <f t="shared" si="658"/>
        <v>Mao de obra para regularizacao de superficie</v>
      </c>
      <c r="R965" s="234">
        <f t="shared" ca="1" si="656"/>
        <v>113.92999999999999</v>
      </c>
      <c r="S965" s="233" t="s">
        <v>472</v>
      </c>
      <c r="T965" s="242" t="s">
        <v>140</v>
      </c>
      <c r="U965" s="235">
        <f>U950</f>
        <v>113.92999999999999</v>
      </c>
      <c r="V965" s="320" t="s">
        <v>35</v>
      </c>
      <c r="W965" s="236" t="str">
        <f>IFERROR(IF(B965="INSUMO",_xlfn.XLOOKUP(S965,Insumos!A:A,Insumos!C:C),""),"Inserir Preço")</f>
        <v/>
      </c>
      <c r="X965" s="235">
        <f t="shared" ca="1" si="657"/>
        <v>113.92999999999999</v>
      </c>
      <c r="Y965" s="236">
        <f t="shared" ca="1" si="644"/>
        <v>18</v>
      </c>
      <c r="Z965" s="237">
        <f t="shared" ca="1" si="627"/>
        <v>2050.7399999999998</v>
      </c>
      <c r="AA965" s="238"/>
      <c r="AB965" s="233" t="str">
        <f>IF(B965="insumo",_xlfn.XLOOKUP(S965,Insumos!A:A,Insumos!D:D),"")</f>
        <v/>
      </c>
      <c r="AC965" s="239">
        <f t="shared" ca="1" si="628"/>
        <v>2.9419735001600186E-4</v>
      </c>
      <c r="AE965" s="240">
        <f ca="1">IFERROR(IF(OR(Z965="",Z965=0),"",IF(AF965="","",IF(AF965="R$/mês",Z965/OBRA!$D$12,IF(AF965="R$/m²",Z965/OBRA!$D$10,IF(AF965="R$/apto",Orçamento!Z965/OBRA!$D$11,""))))),"")</f>
        <v>1.0553254118143502</v>
      </c>
      <c r="AF965" s="241" t="s">
        <v>154</v>
      </c>
    </row>
    <row r="966" spans="1:32" s="10" customFormat="1" ht="13.15" hidden="1" customHeight="1" outlineLevel="4" x14ac:dyDescent="0.2">
      <c r="A966" s="227"/>
      <c r="B966" s="228" t="s">
        <v>19</v>
      </c>
      <c r="C966" s="229">
        <f t="shared" si="626"/>
        <v>5</v>
      </c>
      <c r="D966" s="227" t="str">
        <f t="shared" ref="D966:D972" si="659">IF(B966="Unidade Construtiva",TEXT(F966,"00"),IF(B966="Célula Construtiva",TEXT(H966,"00"),IF(B966="Etapa",CONCATENATE(TEXT(H966,"00"),".",TEXT(J966,"000")),IF(B966="Subetapa",CONCATENATE(TEXT(H966,"00"),".",TEXT(J966,"000"),".",TEXT(L966,"000")),IF(B966="Serviço",CONCATENATE(TEXT(H966,"00"),".",TEXT(J966,"000"),".",TEXT(L966,"000"),".",TEXT(N966,"000")),"")))))</f>
        <v/>
      </c>
      <c r="E966" s="228" t="str">
        <f t="shared" ref="E966:E972" ca="1" si="660">IF(B966="*","",IFERROR(IF(B966="SERVIÇO",D966,OFFSET(E966,-1,0)),""))</f>
        <v>06.005.005.001</v>
      </c>
      <c r="F966" s="230">
        <f ca="1">IF($B966="UNIDADE CONSTRUTIVA",OFFSET(F966,-1,0)+1,LARGE(F$10:F965,1))</f>
        <v>2</v>
      </c>
      <c r="G966" s="228" t="str">
        <f t="shared" ca="1" si="651"/>
        <v xml:space="preserve">   GERENCIAMENTO EXECUTIVO</v>
      </c>
      <c r="H966" s="230">
        <f t="shared" ref="H966:H972" ca="1" si="661">IF(B966="UNIDADE CONSTRUTIVA",0,IF(B966="CÉLULA CONSTRUTIVA",OFFSET(H966,-1,0)+1,OFFSET(H966,-1,0)))</f>
        <v>6</v>
      </c>
      <c r="I966" s="228" t="str">
        <f t="shared" ca="1" si="652"/>
        <v xml:space="preserve">   IMPERMEABILIZAÇÃO E TRATAMENTOS</v>
      </c>
      <c r="J966" s="230">
        <f t="shared" ref="J966:J972" ca="1" si="662">IF(B966="CÉLULA CONSTRUTIVA",0,IF(B966="ETAPA",OFFSET(J966,-1,0)+1,OFFSET(J966,-1,0)))</f>
        <v>5</v>
      </c>
      <c r="K966" s="228" t="str">
        <f t="shared" ca="1" si="653"/>
        <v xml:space="preserve">   IMPERMEABILIZAÇÃO E TRATAMENTOS - BARRILETE / CAIXA DÁGUA / CASA DE MÁQUINAS</v>
      </c>
      <c r="L966" s="231">
        <f t="shared" ref="L966:L972" ca="1" si="663">IF(B966="ETAPA",0,IF(B966="SUBETAPA",OFFSET(L966,-1,0)+1,OFFSET(L966,-1,0)))</f>
        <v>5</v>
      </c>
      <c r="M966" s="228" t="str">
        <f t="shared" ca="1" si="654"/>
        <v xml:space="preserve">   Mão de Obra</v>
      </c>
      <c r="N966" s="231">
        <f t="shared" ref="N966:N972" ca="1" si="664">IF(B966="Subetapa",0,IF(B966="serviço",OFFSET(N966,-1,0)+1,OFFSET(N966,-1,0)))</f>
        <v>1</v>
      </c>
      <c r="O966" s="228" t="str">
        <f t="shared" ca="1" si="655"/>
        <v>Mao de obra para regularizacao de superficie</v>
      </c>
      <c r="P966" s="232" t="str">
        <f>IF(S966="","",IF(Orçamento!$B966="INSUMO",S966,""))</f>
        <v>MAO DE OBRA PARA REGULARIZACAO DE SUPERFICIE</v>
      </c>
      <c r="Q966" s="244" t="str">
        <f t="shared" si="658"/>
        <v/>
      </c>
      <c r="R966" s="234">
        <f t="shared" ca="1" si="656"/>
        <v>113.92999999999999</v>
      </c>
      <c r="S966" s="233" t="s">
        <v>308</v>
      </c>
      <c r="T966" s="242" t="str">
        <f>_xlfn.XLOOKUP(S966,Insumos!$A$3:$A$371,Insumos!$B$3:$B$371)</f>
        <v>M2</v>
      </c>
      <c r="U966" s="235">
        <f ca="1">IF($B966="insumo",R966,"")</f>
        <v>113.92999999999999</v>
      </c>
      <c r="V966" s="320">
        <v>1</v>
      </c>
      <c r="W966" s="236">
        <f>IFERROR(IF(B966="INSUMO",_xlfn.XLOOKUP(S966,Insumos!A:A,Insumos!C:C),""),"Inserir Preço")</f>
        <v>18</v>
      </c>
      <c r="X966" s="235">
        <f t="shared" ca="1" si="657"/>
        <v>113.92999999999999</v>
      </c>
      <c r="Y966" s="236">
        <f t="shared" si="644"/>
        <v>18</v>
      </c>
      <c r="Z966" s="237">
        <f t="shared" ca="1" si="627"/>
        <v>2050.7399999999998</v>
      </c>
      <c r="AA966" s="238"/>
      <c r="AB966" s="233" t="str">
        <f>IF(B966="insumo",_xlfn.XLOOKUP(S966,Insumos!A:A,Insumos!D:D),"")</f>
        <v xml:space="preserve"> </v>
      </c>
      <c r="AC966" s="239">
        <f t="shared" ca="1" si="628"/>
        <v>2.9419735001600186E-4</v>
      </c>
      <c r="AE966" s="240">
        <f ca="1">IFERROR(IF(OR(Z966="",Z966=0),"",IF(AF966="","",IF(AF966="R$/mês",Z966/OBRA!$D$12,IF(AF966="R$/m²",Z966/OBRA!$D$10,IF(AF966="R$/apto",Orçamento!Z966/OBRA!$D$11,""))))),"")</f>
        <v>1.0553254118143502</v>
      </c>
      <c r="AF966" s="241" t="s">
        <v>154</v>
      </c>
    </row>
    <row r="967" spans="1:32" s="10" customFormat="1" ht="13.15" hidden="1" customHeight="1" outlineLevel="4" x14ac:dyDescent="0.2">
      <c r="A967" s="227"/>
      <c r="B967" s="228" t="s">
        <v>4</v>
      </c>
      <c r="C967" s="229">
        <f t="shared" si="626"/>
        <v>5</v>
      </c>
      <c r="D967" s="227" t="str">
        <f t="shared" ca="1" si="659"/>
        <v>06.005.005.002</v>
      </c>
      <c r="E967" s="228" t="str">
        <f t="shared" ca="1" si="660"/>
        <v>06.005.005.002</v>
      </c>
      <c r="F967" s="230">
        <f ca="1">IF($B967="UNIDADE CONSTRUTIVA",OFFSET(F967,-1,0)+1,LARGE(F$10:F966,1))</f>
        <v>2</v>
      </c>
      <c r="G967" s="228" t="str">
        <f t="shared" ca="1" si="651"/>
        <v xml:space="preserve">   GERENCIAMENTO EXECUTIVO</v>
      </c>
      <c r="H967" s="230">
        <f t="shared" ca="1" si="661"/>
        <v>6</v>
      </c>
      <c r="I967" s="228" t="str">
        <f t="shared" ca="1" si="652"/>
        <v xml:space="preserve">   IMPERMEABILIZAÇÃO E TRATAMENTOS</v>
      </c>
      <c r="J967" s="230">
        <f t="shared" ca="1" si="662"/>
        <v>5</v>
      </c>
      <c r="K967" s="228" t="str">
        <f t="shared" ca="1" si="653"/>
        <v xml:space="preserve">   IMPERMEABILIZAÇÃO E TRATAMENTOS - BARRILETE / CAIXA DÁGUA / CASA DE MÁQUINAS</v>
      </c>
      <c r="L967" s="231">
        <f t="shared" ca="1" si="663"/>
        <v>5</v>
      </c>
      <c r="M967" s="228" t="str">
        <f t="shared" ca="1" si="654"/>
        <v xml:space="preserve">   Mão de Obra</v>
      </c>
      <c r="N967" s="231">
        <f t="shared" ca="1" si="664"/>
        <v>2</v>
      </c>
      <c r="O967" s="228" t="str">
        <f t="shared" ca="1" si="655"/>
        <v>Mao de obra para impermeabilizacao de manta asfaltica</v>
      </c>
      <c r="P967" s="232" t="str">
        <f>IF(S967="","",IF(Orçamento!$B967="INSUMO",S967,""))</f>
        <v/>
      </c>
      <c r="Q967" s="244" t="str">
        <f t="shared" si="658"/>
        <v>Mao de obra para impermeabilizacao de manta asfaltica</v>
      </c>
      <c r="R967" s="234">
        <f t="shared" ca="1" si="656"/>
        <v>113.92999999999999</v>
      </c>
      <c r="S967" s="233" t="s">
        <v>473</v>
      </c>
      <c r="T967" s="242" t="s">
        <v>140</v>
      </c>
      <c r="U967" s="235">
        <f>U954</f>
        <v>113.92999999999999</v>
      </c>
      <c r="V967" s="320" t="s">
        <v>35</v>
      </c>
      <c r="W967" s="236" t="str">
        <f>IFERROR(IF(B967="INSUMO",_xlfn.XLOOKUP(S967,Insumos!A:A,Insumos!C:C),""),"Inserir Preço")</f>
        <v/>
      </c>
      <c r="X967" s="235">
        <f t="shared" ca="1" si="657"/>
        <v>113.92999999999999</v>
      </c>
      <c r="Y967" s="236">
        <f t="shared" ca="1" si="644"/>
        <v>65.19</v>
      </c>
      <c r="Z967" s="237">
        <f t="shared" ca="1" si="627"/>
        <v>7427.0966999999991</v>
      </c>
      <c r="AA967" s="238"/>
      <c r="AB967" s="233" t="str">
        <f>IF(B967="insumo",_xlfn.XLOOKUP(S967,Insumos!A:A,Insumos!D:D),"")</f>
        <v/>
      </c>
      <c r="AC967" s="239">
        <f t="shared" ca="1" si="628"/>
        <v>1.06548473597462E-3</v>
      </c>
      <c r="AE967" s="240">
        <f ca="1">IFERROR(IF(OR(Z967="",Z967=0),"",IF(AF967="","",IF(AF967="R$/mês",Z967/OBRA!$D$12,IF(AF967="R$/m²",Z967/OBRA!$D$10,IF(AF967="R$/apto",Orçamento!Z967/OBRA!$D$11,""))))),"")</f>
        <v>3.822036866454305</v>
      </c>
      <c r="AF967" s="241" t="s">
        <v>154</v>
      </c>
    </row>
    <row r="968" spans="1:32" s="10" customFormat="1" ht="13.15" hidden="1" customHeight="1" outlineLevel="4" x14ac:dyDescent="0.2">
      <c r="A968" s="227"/>
      <c r="B968" s="228" t="s">
        <v>19</v>
      </c>
      <c r="C968" s="229">
        <f t="shared" si="626"/>
        <v>5</v>
      </c>
      <c r="D968" s="227" t="str">
        <f t="shared" si="659"/>
        <v/>
      </c>
      <c r="E968" s="228" t="str">
        <f t="shared" ca="1" si="660"/>
        <v>06.005.005.002</v>
      </c>
      <c r="F968" s="230">
        <f ca="1">IF($B968="UNIDADE CONSTRUTIVA",OFFSET(F968,-1,0)+1,LARGE(F$10:F967,1))</f>
        <v>2</v>
      </c>
      <c r="G968" s="228" t="str">
        <f t="shared" ca="1" si="651"/>
        <v xml:space="preserve">   GERENCIAMENTO EXECUTIVO</v>
      </c>
      <c r="H968" s="230">
        <f t="shared" ca="1" si="661"/>
        <v>6</v>
      </c>
      <c r="I968" s="228" t="str">
        <f t="shared" ca="1" si="652"/>
        <v xml:space="preserve">   IMPERMEABILIZAÇÃO E TRATAMENTOS</v>
      </c>
      <c r="J968" s="230">
        <f t="shared" ca="1" si="662"/>
        <v>5</v>
      </c>
      <c r="K968" s="228" t="str">
        <f t="shared" ca="1" si="653"/>
        <v xml:space="preserve">   IMPERMEABILIZAÇÃO E TRATAMENTOS - BARRILETE / CAIXA DÁGUA / CASA DE MÁQUINAS</v>
      </c>
      <c r="L968" s="231">
        <f t="shared" ca="1" si="663"/>
        <v>5</v>
      </c>
      <c r="M968" s="228" t="str">
        <f t="shared" ca="1" si="654"/>
        <v xml:space="preserve">   Mão de Obra</v>
      </c>
      <c r="N968" s="231">
        <f t="shared" ca="1" si="664"/>
        <v>2</v>
      </c>
      <c r="O968" s="228" t="str">
        <f t="shared" ca="1" si="655"/>
        <v>Mao de obra para impermeabilizacao de manta asfaltica</v>
      </c>
      <c r="P968" s="232" t="str">
        <f>IF(S968="","",IF(Orçamento!$B968="INSUMO",S968,""))</f>
        <v>MAO DE OBRA DE IMPERMEABILIZACAO</v>
      </c>
      <c r="Q968" s="244" t="str">
        <f t="shared" si="658"/>
        <v/>
      </c>
      <c r="R968" s="234">
        <f t="shared" ca="1" si="656"/>
        <v>113.92999999999999</v>
      </c>
      <c r="S968" s="233" t="s">
        <v>322</v>
      </c>
      <c r="T968" s="242" t="str">
        <f>_xlfn.XLOOKUP(S968,Insumos!$A$3:$A$371,Insumos!$B$3:$B$371)</f>
        <v>M2</v>
      </c>
      <c r="U968" s="235">
        <f ca="1">IF($B968="insumo",R968,"")</f>
        <v>113.92999999999999</v>
      </c>
      <c r="V968" s="320">
        <v>1</v>
      </c>
      <c r="W968" s="236">
        <f>IFERROR(IF(B968="INSUMO",_xlfn.XLOOKUP(S968,Insumos!A:A,Insumos!C:C),""),"Inserir Preço")</f>
        <v>65.19</v>
      </c>
      <c r="X968" s="235">
        <f t="shared" ca="1" si="657"/>
        <v>113.92999999999999</v>
      </c>
      <c r="Y968" s="236">
        <f t="shared" si="644"/>
        <v>65.19</v>
      </c>
      <c r="Z968" s="237">
        <f t="shared" ca="1" si="627"/>
        <v>7427.0966999999991</v>
      </c>
      <c r="AA968" s="238"/>
      <c r="AB968" s="233" t="str">
        <f>IF(B968="insumo",_xlfn.XLOOKUP(S968,Insumos!A:A,Insumos!D:D),"")</f>
        <v xml:space="preserve"> </v>
      </c>
      <c r="AC968" s="239">
        <f t="shared" ca="1" si="628"/>
        <v>1.06548473597462E-3</v>
      </c>
      <c r="AE968" s="240">
        <f ca="1">IFERROR(IF(OR(Z968="",Z968=0),"",IF(AF968="","",IF(AF968="R$/mês",Z968/OBRA!$D$12,IF(AF968="R$/m²",Z968/OBRA!$D$10,IF(AF968="R$/apto",Orçamento!Z968/OBRA!$D$11,""))))),"")</f>
        <v>3.822036866454305</v>
      </c>
      <c r="AF968" s="241" t="s">
        <v>154</v>
      </c>
    </row>
    <row r="969" spans="1:32" s="10" customFormat="1" ht="13.15" hidden="1" customHeight="1" outlineLevel="4" x14ac:dyDescent="0.2">
      <c r="A969" s="227"/>
      <c r="B969" s="228" t="s">
        <v>4</v>
      </c>
      <c r="C969" s="229">
        <f t="shared" si="626"/>
        <v>5</v>
      </c>
      <c r="D969" s="227" t="str">
        <f t="shared" ca="1" si="659"/>
        <v>06.005.005.003</v>
      </c>
      <c r="E969" s="228" t="str">
        <f t="shared" ca="1" si="660"/>
        <v>06.005.005.003</v>
      </c>
      <c r="F969" s="230">
        <f ca="1">IF($B969="UNIDADE CONSTRUTIVA",OFFSET(F969,-1,0)+1,LARGE(F$10:F968,1))</f>
        <v>2</v>
      </c>
      <c r="G969" s="228" t="str">
        <f t="shared" ca="1" si="651"/>
        <v xml:space="preserve">   GERENCIAMENTO EXECUTIVO</v>
      </c>
      <c r="H969" s="230">
        <f t="shared" ca="1" si="661"/>
        <v>6</v>
      </c>
      <c r="I969" s="228" t="str">
        <f t="shared" ca="1" si="652"/>
        <v xml:space="preserve">   IMPERMEABILIZAÇÃO E TRATAMENTOS</v>
      </c>
      <c r="J969" s="230">
        <f t="shared" ca="1" si="662"/>
        <v>5</v>
      </c>
      <c r="K969" s="228" t="str">
        <f t="shared" ca="1" si="653"/>
        <v xml:space="preserve">   IMPERMEABILIZAÇÃO E TRATAMENTOS - BARRILETE / CAIXA DÁGUA / CASA DE MÁQUINAS</v>
      </c>
      <c r="L969" s="231">
        <f t="shared" ca="1" si="663"/>
        <v>5</v>
      </c>
      <c r="M969" s="228" t="str">
        <f t="shared" ca="1" si="654"/>
        <v xml:space="preserve">   Mão de Obra</v>
      </c>
      <c r="N969" s="231">
        <f t="shared" ca="1" si="664"/>
        <v>3</v>
      </c>
      <c r="O969" s="228" t="str">
        <f t="shared" ca="1" si="655"/>
        <v>Mao de obra para execucao de protecao mecanica em superficie impermeabilizada</v>
      </c>
      <c r="P969" s="232" t="str">
        <f>IF(S969="","",IF(Orçamento!$B969="INSUMO",S969,""))</f>
        <v/>
      </c>
      <c r="Q969" s="244" t="str">
        <f t="shared" si="658"/>
        <v>Mao de obra para execucao de protecao mecanica em superficie impermeabilizada</v>
      </c>
      <c r="R969" s="234">
        <f t="shared" ca="1" si="656"/>
        <v>113.92999999999999</v>
      </c>
      <c r="S969" s="233" t="s">
        <v>475</v>
      </c>
      <c r="T969" s="242" t="s">
        <v>140</v>
      </c>
      <c r="U969" s="235">
        <f>U961</f>
        <v>113.92999999999999</v>
      </c>
      <c r="V969" s="320" t="s">
        <v>35</v>
      </c>
      <c r="W969" s="236" t="str">
        <f>IFERROR(IF(B969="INSUMO",_xlfn.XLOOKUP(S969,Insumos!A:A,Insumos!C:C),""),"Inserir Preço")</f>
        <v/>
      </c>
      <c r="X969" s="235">
        <f t="shared" ca="1" si="657"/>
        <v>113.92999999999999</v>
      </c>
      <c r="Y969" s="236">
        <f t="shared" ca="1" si="644"/>
        <v>4.5</v>
      </c>
      <c r="Z969" s="237">
        <f t="shared" ca="1" si="627"/>
        <v>512.68499999999995</v>
      </c>
      <c r="AA969" s="238"/>
      <c r="AB969" s="233" t="str">
        <f>IF(B969="insumo",_xlfn.XLOOKUP(S969,Insumos!A:A,Insumos!D:D),"")</f>
        <v/>
      </c>
      <c r="AC969" s="239">
        <f t="shared" ca="1" si="628"/>
        <v>7.3549337504000465E-5</v>
      </c>
      <c r="AE969" s="240">
        <f ca="1">IFERROR(IF(OR(Z969="",Z969=0),"",IF(AF969="","",IF(AF969="R$/mês",Z969/OBRA!$D$12,IF(AF969="R$/m²",Z969/OBRA!$D$10,IF(AF969="R$/apto",Orçamento!Z969/OBRA!$D$11,""))))),"")</f>
        <v>0.26383135295358756</v>
      </c>
      <c r="AF969" s="241" t="s">
        <v>154</v>
      </c>
    </row>
    <row r="970" spans="1:32" s="10" customFormat="1" ht="13.15" hidden="1" customHeight="1" outlineLevel="4" x14ac:dyDescent="0.2">
      <c r="A970" s="227"/>
      <c r="B970" s="228" t="s">
        <v>19</v>
      </c>
      <c r="C970" s="229">
        <f t="shared" si="626"/>
        <v>5</v>
      </c>
      <c r="D970" s="227" t="str">
        <f t="shared" si="659"/>
        <v/>
      </c>
      <c r="E970" s="228" t="str">
        <f t="shared" ca="1" si="660"/>
        <v>06.005.005.003</v>
      </c>
      <c r="F970" s="230">
        <f ca="1">IF($B970="UNIDADE CONSTRUTIVA",OFFSET(F970,-1,0)+1,LARGE(F$10:F969,1))</f>
        <v>2</v>
      </c>
      <c r="G970" s="228" t="str">
        <f t="shared" ca="1" si="651"/>
        <v xml:space="preserve">   GERENCIAMENTO EXECUTIVO</v>
      </c>
      <c r="H970" s="230">
        <f t="shared" ca="1" si="661"/>
        <v>6</v>
      </c>
      <c r="I970" s="228" t="str">
        <f t="shared" ca="1" si="652"/>
        <v xml:space="preserve">   IMPERMEABILIZAÇÃO E TRATAMENTOS</v>
      </c>
      <c r="J970" s="230">
        <f t="shared" ca="1" si="662"/>
        <v>5</v>
      </c>
      <c r="K970" s="228" t="str">
        <f t="shared" ca="1" si="653"/>
        <v xml:space="preserve">   IMPERMEABILIZAÇÃO E TRATAMENTOS - BARRILETE / CAIXA DÁGUA / CASA DE MÁQUINAS</v>
      </c>
      <c r="L970" s="231">
        <f t="shared" ca="1" si="663"/>
        <v>5</v>
      </c>
      <c r="M970" s="228" t="str">
        <f t="shared" ca="1" si="654"/>
        <v xml:space="preserve">   Mão de Obra</v>
      </c>
      <c r="N970" s="231">
        <f t="shared" ca="1" si="664"/>
        <v>3</v>
      </c>
      <c r="O970" s="228" t="str">
        <f t="shared" ca="1" si="655"/>
        <v>Mao de obra para execucao de protecao mecanica em superficie impermeabilizada</v>
      </c>
      <c r="P970" s="232" t="str">
        <f>IF(S970="","",IF(Orçamento!$B970="INSUMO",S970,""))</f>
        <v>M.O. PARA EXECUCAO DE PROTECAO MECANICA EM SUPERFICIE IMPERMEABILIZADA</v>
      </c>
      <c r="Q970" s="244" t="str">
        <f t="shared" si="658"/>
        <v/>
      </c>
      <c r="R970" s="234">
        <f t="shared" ca="1" si="656"/>
        <v>113.92999999999999</v>
      </c>
      <c r="S970" s="233" t="s">
        <v>325</v>
      </c>
      <c r="T970" s="242" t="str">
        <f>_xlfn.XLOOKUP(S970,Insumos!$A$3:$A$371,Insumos!$B$3:$B$371)</f>
        <v>M2</v>
      </c>
      <c r="U970" s="235">
        <f ca="1">IF($B970="insumo",R970,"")</f>
        <v>113.92999999999999</v>
      </c>
      <c r="V970" s="320">
        <v>1</v>
      </c>
      <c r="W970" s="236">
        <f>IFERROR(IF(B970="INSUMO",_xlfn.XLOOKUP(S970,Insumos!A:A,Insumos!C:C),""),"Inserir Preço")</f>
        <v>4.5</v>
      </c>
      <c r="X970" s="235">
        <f t="shared" ca="1" si="657"/>
        <v>113.92999999999999</v>
      </c>
      <c r="Y970" s="236">
        <f t="shared" si="644"/>
        <v>4.5</v>
      </c>
      <c r="Z970" s="237">
        <f t="shared" ca="1" si="627"/>
        <v>512.68499999999995</v>
      </c>
      <c r="AA970" s="238"/>
      <c r="AB970" s="233" t="str">
        <f>IF(B970="insumo",_xlfn.XLOOKUP(S970,Insumos!A:A,Insumos!D:D),"")</f>
        <v xml:space="preserve"> </v>
      </c>
      <c r="AC970" s="239">
        <f t="shared" ca="1" si="628"/>
        <v>7.3549337504000465E-5</v>
      </c>
      <c r="AE970" s="240">
        <f ca="1">IFERROR(IF(OR(Z970="",Z970=0),"",IF(AF970="","",IF(AF970="R$/mês",Z970/OBRA!$D$12,IF(AF970="R$/m²",Z970/OBRA!$D$10,IF(AF970="R$/apto",Orçamento!Z970/OBRA!$D$11,""))))),"")</f>
        <v>0.26383135295358756</v>
      </c>
      <c r="AF970" s="241" t="s">
        <v>154</v>
      </c>
    </row>
    <row r="971" spans="1:32" s="10" customFormat="1" ht="13.15" hidden="1" customHeight="1" outlineLevel="4" x14ac:dyDescent="0.2">
      <c r="A971" s="227"/>
      <c r="B971" s="228" t="s">
        <v>4</v>
      </c>
      <c r="C971" s="229">
        <f t="shared" si="626"/>
        <v>4</v>
      </c>
      <c r="D971" s="227" t="str">
        <f t="shared" ca="1" si="659"/>
        <v>06.005.005.004</v>
      </c>
      <c r="E971" s="228" t="str">
        <f t="shared" ca="1" si="660"/>
        <v>06.005.005.004</v>
      </c>
      <c r="F971" s="230">
        <f ca="1">IF($B971="UNIDADE CONSTRUTIVA",OFFSET(F971,-1,0)+1,LARGE(F$10:F970,1))</f>
        <v>2</v>
      </c>
      <c r="G971" s="228" t="str">
        <f t="shared" ca="1" si="651"/>
        <v xml:space="preserve">   GERENCIAMENTO EXECUTIVO</v>
      </c>
      <c r="H971" s="230">
        <f t="shared" ca="1" si="661"/>
        <v>6</v>
      </c>
      <c r="I971" s="228" t="str">
        <f t="shared" ca="1" si="652"/>
        <v xml:space="preserve">   IMPERMEABILIZAÇÃO E TRATAMENTOS</v>
      </c>
      <c r="J971" s="230">
        <f t="shared" ca="1" si="662"/>
        <v>5</v>
      </c>
      <c r="K971" s="228" t="str">
        <f t="shared" ca="1" si="653"/>
        <v xml:space="preserve">   IMPERMEABILIZAÇÃO E TRATAMENTOS - BARRILETE / CAIXA DÁGUA / CASA DE MÁQUINAS</v>
      </c>
      <c r="L971" s="231">
        <f t="shared" ca="1" si="663"/>
        <v>5</v>
      </c>
      <c r="M971" s="228" t="str">
        <f t="shared" ca="1" si="654"/>
        <v xml:space="preserve">   Mão de Obra</v>
      </c>
      <c r="N971" s="231">
        <f t="shared" ca="1" si="664"/>
        <v>4</v>
      </c>
      <c r="O971" s="228" t="str">
        <f t="shared" ca="1" si="655"/>
        <v>Mao de obra para impermeabilizacao de peitoris</v>
      </c>
      <c r="P971" s="232" t="str">
        <f>IF(S971="","",IF(Orçamento!$B971="INSUMO",S971,""))</f>
        <v/>
      </c>
      <c r="Q971" s="244" t="str">
        <f t="shared" si="658"/>
        <v>Mao de obra para impermeabilizacao de peitoris</v>
      </c>
      <c r="R971" s="234">
        <f t="shared" ca="1" si="656"/>
        <v>0.25</v>
      </c>
      <c r="S971" s="233" t="s">
        <v>463</v>
      </c>
      <c r="T971" s="242" t="s">
        <v>140</v>
      </c>
      <c r="U971" s="235">
        <f>U958</f>
        <v>0.25</v>
      </c>
      <c r="V971" s="320" t="s">
        <v>35</v>
      </c>
      <c r="W971" s="236" t="str">
        <f>IFERROR(IF(B971="INSUMO",_xlfn.XLOOKUP(S971,Insumos!A:A,Insumos!C:C),""),"Inserir Preço")</f>
        <v/>
      </c>
      <c r="X971" s="235">
        <f t="shared" ca="1" si="657"/>
        <v>0.25</v>
      </c>
      <c r="Y971" s="236">
        <f t="shared" ca="1" si="644"/>
        <v>32</v>
      </c>
      <c r="Z971" s="237">
        <f t="shared" ca="1" si="627"/>
        <v>8</v>
      </c>
      <c r="AA971" s="238"/>
      <c r="AB971" s="233" t="str">
        <f>IF(B971="insumo",_xlfn.XLOOKUP(S971,Insumos!A:A,Insumos!D:D),"")</f>
        <v/>
      </c>
      <c r="AC971" s="239">
        <f t="shared" ca="1" si="628"/>
        <v>1.1476729376361777E-6</v>
      </c>
      <c r="AE971" s="240">
        <f ca="1">IFERROR(IF(OR(Z971="",Z971=0),"",IF(AF971="","",IF(AF971="R$/mês",Z971/OBRA!$D$12,IF(AF971="R$/m²",Z971/OBRA!$D$10,IF(AF971="R$/apto",Orçamento!Z971/OBRA!$D$11,""))))),"")</f>
        <v>4.116856985534394E-3</v>
      </c>
      <c r="AF971" s="241" t="s">
        <v>154</v>
      </c>
    </row>
    <row r="972" spans="1:32" s="10" customFormat="1" ht="13.15" hidden="1" customHeight="1" outlineLevel="4" x14ac:dyDescent="0.2">
      <c r="A972" s="227"/>
      <c r="B972" s="228" t="s">
        <v>19</v>
      </c>
      <c r="C972" s="229">
        <f t="shared" ref="C972:C1035" si="665">IF(B972="INSUMO",COUNTIFS(B:B,"INSUMO",S:S,S972),IF(B972="SERVIÇO",COUNTIFS(B:B,"SERVIÇO",S:S,S972),""))</f>
        <v>4</v>
      </c>
      <c r="D972" s="227" t="str">
        <f t="shared" si="659"/>
        <v/>
      </c>
      <c r="E972" s="228" t="str">
        <f t="shared" ca="1" si="660"/>
        <v>06.005.005.004</v>
      </c>
      <c r="F972" s="230">
        <f ca="1">IF($B972="UNIDADE CONSTRUTIVA",OFFSET(F972,-1,0)+1,LARGE(F$10:F971,1))</f>
        <v>2</v>
      </c>
      <c r="G972" s="228" t="str">
        <f t="shared" ca="1" si="651"/>
        <v xml:space="preserve">   GERENCIAMENTO EXECUTIVO</v>
      </c>
      <c r="H972" s="230">
        <f t="shared" ca="1" si="661"/>
        <v>6</v>
      </c>
      <c r="I972" s="228" t="str">
        <f t="shared" ca="1" si="652"/>
        <v xml:space="preserve">   IMPERMEABILIZAÇÃO E TRATAMENTOS</v>
      </c>
      <c r="J972" s="230">
        <f t="shared" ca="1" si="662"/>
        <v>5</v>
      </c>
      <c r="K972" s="228" t="str">
        <f t="shared" ca="1" si="653"/>
        <v xml:space="preserve">   IMPERMEABILIZAÇÃO E TRATAMENTOS - BARRILETE / CAIXA DÁGUA / CASA DE MÁQUINAS</v>
      </c>
      <c r="L972" s="231">
        <f t="shared" ca="1" si="663"/>
        <v>5</v>
      </c>
      <c r="M972" s="228" t="str">
        <f t="shared" ca="1" si="654"/>
        <v xml:space="preserve">   Mão de Obra</v>
      </c>
      <c r="N972" s="231">
        <f t="shared" ca="1" si="664"/>
        <v>4</v>
      </c>
      <c r="O972" s="228" t="str">
        <f t="shared" ca="1" si="655"/>
        <v>Mao de obra para impermeabilizacao de peitoris</v>
      </c>
      <c r="P972" s="232" t="str">
        <f>IF(S972="","",IF(Orçamento!$B972="INSUMO",S972,""))</f>
        <v>MAO DE OBRA PARA IMPERMEABILIZACAO COM MANTA LIQUIDA</v>
      </c>
      <c r="Q972" s="244" t="str">
        <f t="shared" si="658"/>
        <v/>
      </c>
      <c r="R972" s="234">
        <f t="shared" ca="1" si="656"/>
        <v>0.25</v>
      </c>
      <c r="S972" s="233" t="s">
        <v>382</v>
      </c>
      <c r="T972" s="242" t="str">
        <f>_xlfn.XLOOKUP(S972,Insumos!$A$3:$A$371,Insumos!$B$3:$B$371)</f>
        <v>M2</v>
      </c>
      <c r="U972" s="235">
        <f ca="1">IF($B972="insumo",R972,"")</f>
        <v>0.25</v>
      </c>
      <c r="V972" s="320">
        <v>1</v>
      </c>
      <c r="W972" s="236">
        <f>IFERROR(IF(B972="INSUMO",_xlfn.XLOOKUP(S972,Insumos!A:A,Insumos!C:C),""),"Inserir Preço")</f>
        <v>32</v>
      </c>
      <c r="X972" s="235">
        <f t="shared" ca="1" si="657"/>
        <v>0.25</v>
      </c>
      <c r="Y972" s="236">
        <f t="shared" si="644"/>
        <v>32</v>
      </c>
      <c r="Z972" s="237">
        <f t="shared" ref="Z972:Z1035" ca="1" si="666">IFERROR(IF(B972="Unidade Construtiva",SUMIFS(Z:Z,B:B,"Célula Construtiva",G:G,G972),IF(B972="célula construtiva",SUMIFS(Z:Z,B:B,"Insumo",I:I,I972,G:G,G972),IF(B972="ETAPA",SUMIFS(Z:Z,B:B,"Insumo",K:K,K972,I:I,I972,G:G,G972),IF(B972="subetapa",SUMIFS(Z:Z,M:M,M972,B:B,"insumo",K:K,K972,I:I,I972,G:G,G972),IF(B972="complemento do insumo",V972*W972,IF(B972="INSUMO",R972*V972*W972,X972*Y972)))))),"")</f>
        <v>8</v>
      </c>
      <c r="AA972" s="238"/>
      <c r="AB972" s="233" t="str">
        <f>IF(B972="insumo",_xlfn.XLOOKUP(S972,Insumos!A:A,Insumos!D:D),"")</f>
        <v xml:space="preserve"> </v>
      </c>
      <c r="AC972" s="239">
        <f t="shared" ref="AC972:AC1035" ca="1" si="667">IFERROR(IF(B972="","",Z972/SUMIF(B:B,"INSUMO",Z:Z)),0)</f>
        <v>1.1476729376361777E-6</v>
      </c>
      <c r="AE972" s="240">
        <f ca="1">IFERROR(IF(OR(Z972="",Z972=0),"",IF(AF972="","",IF(AF972="R$/mês",Z972/OBRA!$D$12,IF(AF972="R$/m²",Z972/OBRA!$D$10,IF(AF972="R$/apto",Orçamento!Z972/OBRA!$D$11,""))))),"")</f>
        <v>4.116856985534394E-3</v>
      </c>
      <c r="AF972" s="241" t="s">
        <v>154</v>
      </c>
    </row>
    <row r="973" spans="1:32" s="10" customFormat="1" ht="13.15" customHeight="1" outlineLevel="1" x14ac:dyDescent="0.2">
      <c r="A973" s="227"/>
      <c r="B973" s="228" t="s">
        <v>1</v>
      </c>
      <c r="C973" s="229" t="str">
        <f t="shared" si="665"/>
        <v/>
      </c>
      <c r="D973" s="227" t="str">
        <f t="shared" ref="D973:D1012" ca="1" si="668">IF(B973="Unidade Construtiva",TEXT(F973,"00"),IF(B973="Célula Construtiva",TEXT(H973,"00"),IF(B973="Etapa",CONCATENATE(TEXT(H973,"00"),".",TEXT(J973,"000")),IF(B973="Subetapa",CONCATENATE(TEXT(H973,"00"),".",TEXT(J973,"000"),".",TEXT(L973,"000")),IF(B973="Serviço",CONCATENATE(TEXT(H973,"00"),".",TEXT(J973,"000"),".",TEXT(L973,"000"),".",TEXT(N973,"000")),"")))))</f>
        <v>07</v>
      </c>
      <c r="E973" s="228" t="str">
        <f ca="1">IF(B973="*","",IFERROR(IF(B973="SERVIÇO",D973,OFFSET(E973,-1,0)),""))</f>
        <v>06.005.005.004</v>
      </c>
      <c r="F973" s="230">
        <f ca="1">IF($B973="UNIDADE CONSTRUTIVA",OFFSET(F973,-1,0)+1,LARGE(F$10:F972,1))</f>
        <v>2</v>
      </c>
      <c r="G973" s="228" t="str">
        <f t="shared" ca="1" si="651"/>
        <v xml:space="preserve">   GERENCIAMENTO EXECUTIVO</v>
      </c>
      <c r="H973" s="230">
        <f ca="1">IF(B973="UNIDADE CONSTRUTIVA",0,IF(B973="CÉLULA CONSTRUTIVA",OFFSET(H973,-1,0)+1,OFFSET(H973,-1,0)))</f>
        <v>7</v>
      </c>
      <c r="I973" s="228" t="str">
        <f t="shared" ca="1" si="652"/>
        <v xml:space="preserve">   SISTEMAS E INSTALAÇÕES ELÉTRICAS</v>
      </c>
      <c r="J973" s="230">
        <f ca="1">IF(B973="CÉLULA CONSTRUTIVA",0,IF(B973="ETAPA",OFFSET(J973,-1,0)+1,OFFSET(J973,-1,0)))</f>
        <v>0</v>
      </c>
      <c r="K973" s="228" t="str">
        <f t="shared" ca="1" si="653"/>
        <v xml:space="preserve">   IMPERMEABILIZAÇÃO E TRATAMENTOS - BARRILETE / CAIXA DÁGUA / CASA DE MÁQUINAS</v>
      </c>
      <c r="L973" s="231">
        <f ca="1">IF(B973="ETAPA",0,IF(B973="SUBETAPA",OFFSET(L973,-1,0)+1,OFFSET(L973,-1,0)))</f>
        <v>5</v>
      </c>
      <c r="M973" s="228" t="str">
        <f t="shared" ca="1" si="654"/>
        <v xml:space="preserve">   Mão de Obra</v>
      </c>
      <c r="N973" s="231">
        <f ca="1">IF(B973="Subetapa",0,IF(B973="serviço",OFFSET(N973,-1,0)+1,OFFSET(N973,-1,0)))</f>
        <v>4</v>
      </c>
      <c r="O973" s="228" t="str">
        <f t="shared" ca="1" si="655"/>
        <v>Mao de obra para impermeabilizacao de peitoris</v>
      </c>
      <c r="P973" s="232" t="str">
        <f>IF(S973="","",IF(Orçamento!$B973="INSUMO",S973,""))</f>
        <v/>
      </c>
      <c r="Q973" s="244" t="str">
        <f t="shared" ref="Q973:Q1004" si="669">IF(B973="","",IF(B973="Serviço",S973,""))</f>
        <v/>
      </c>
      <c r="R973" s="234">
        <f t="shared" ref="R973:R999" ca="1" si="670">IF(B973="serviço",U973,OFFSET(R973,-1,0))</f>
        <v>0.25</v>
      </c>
      <c r="S973" s="233" t="s">
        <v>546</v>
      </c>
      <c r="T973" s="242" t="s">
        <v>35</v>
      </c>
      <c r="U973" s="235" t="str">
        <f>IF($B973="insumo",R973,"")</f>
        <v/>
      </c>
      <c r="V973" s="320" t="s">
        <v>35</v>
      </c>
      <c r="W973" s="236" t="str">
        <f>IFERROR(IF(B973="INSUMO",_xlfn.XLOOKUP(S973,Insumos!A:A,Insumos!C:C),""),"Inserir Preço")</f>
        <v/>
      </c>
      <c r="X973" s="235" t="str">
        <f t="shared" ref="X973:X999" ca="1" si="671">IF(B973="Complemento do insumo",V973,IF(R973="","",IF(B973="serviço",R973,IF(OR(B973="insumo"),V973*R973,""))))</f>
        <v/>
      </c>
      <c r="Y973" s="236" t="str">
        <f t="shared" si="644"/>
        <v/>
      </c>
      <c r="Z973" s="237">
        <f t="shared" ca="1" si="666"/>
        <v>340562.94650748651</v>
      </c>
      <c r="AA973" s="238"/>
      <c r="AB973" s="233" t="str">
        <f>IF(B973="insumo",_xlfn.XLOOKUP(S973,Insumos!A:A,Insumos!D:D),"")</f>
        <v/>
      </c>
      <c r="AC973" s="239">
        <f t="shared" ca="1" si="667"/>
        <v>4.8856859658534937E-2</v>
      </c>
      <c r="AE973" s="240">
        <f ca="1">IFERROR(IF(OR(Z973="",Z973=0),"",IF(AF973="","",IF(AF973="R$/mês",Z973/OBRA!$D$12,IF(AF973="R$/m²",Z973/OBRA!$D$10,IF(AF973="R$/apto",Orçamento!Z973/OBRA!$D$11,""))))),"")</f>
        <v>175.25611816794023</v>
      </c>
      <c r="AF973" s="241" t="s">
        <v>154</v>
      </c>
    </row>
    <row r="974" spans="1:32" s="10" customFormat="1" ht="13.15" customHeight="1" outlineLevel="2" collapsed="1" x14ac:dyDescent="0.2">
      <c r="A974" s="227"/>
      <c r="B974" s="228" t="s">
        <v>2</v>
      </c>
      <c r="C974" s="229" t="str">
        <f t="shared" si="665"/>
        <v/>
      </c>
      <c r="D974" s="227" t="str">
        <f t="shared" ca="1" si="668"/>
        <v>07.001</v>
      </c>
      <c r="E974" s="228" t="str">
        <f t="shared" ref="E974:E1012" ca="1" si="672">IF(B974="*","",IFERROR(IF(B974="SERVIÇO",D974,OFFSET(E974,-1,0)),""))</f>
        <v>06.005.005.004</v>
      </c>
      <c r="F974" s="230">
        <f ca="1">IF($B974="UNIDADE CONSTRUTIVA",OFFSET(F974,-1,0)+1,LARGE(F$10:F973,1))</f>
        <v>2</v>
      </c>
      <c r="G974" s="228" t="str">
        <f t="shared" ref="G974:G999" ca="1" si="673">IF(B974="*","",IF(B974="UNIDADE CONSTRUTIVA",S974,OFFSET(G974,-1,0)))</f>
        <v xml:space="preserve">   GERENCIAMENTO EXECUTIVO</v>
      </c>
      <c r="H974" s="230">
        <f t="shared" ref="H974:H1012" ca="1" si="674">IF(B974="UNIDADE CONSTRUTIVA",0,IF(B974="CÉLULA CONSTRUTIVA",OFFSET(H974,-1,0)+1,OFFSET(H974,-1,0)))</f>
        <v>7</v>
      </c>
      <c r="I974" s="228" t="str">
        <f t="shared" ref="I974:I999" ca="1" si="675">IF(B974="*","",IF(B974="CÉLULA CONSTRUTIVA",S974,OFFSET(I974,-1,0)))</f>
        <v xml:space="preserve">   SISTEMAS E INSTALAÇÕES ELÉTRICAS</v>
      </c>
      <c r="J974" s="230">
        <f t="shared" ref="J974:J1012" ca="1" si="676">IF(B974="CÉLULA CONSTRUTIVA",0,IF(B974="ETAPA",OFFSET(J974,-1,0)+1,OFFSET(J974,-1,0)))</f>
        <v>1</v>
      </c>
      <c r="K974" s="228" t="str">
        <f t="shared" ref="K974:K999" ca="1" si="677">IF(B974="*","",IF(B974="ETAPA",S974,OFFSET(K974,-1,0)))</f>
        <v xml:space="preserve">   SISTEMAS E INSTALAÇÕES ELÉTRICAS - 1º PAVIMENTO - SUBSOLO</v>
      </c>
      <c r="L974" s="231">
        <f t="shared" ref="L974:L1012" ca="1" si="678">IF(B974="ETAPA",0,IF(B974="SUBETAPA",OFFSET(L974,-1,0)+1,OFFSET(L974,-1,0)))</f>
        <v>0</v>
      </c>
      <c r="M974" s="228" t="str">
        <f t="shared" ref="M974:M999" ca="1" si="679">IF(B974="*","",IF(B974="SUBETAPA",S974,OFFSET(M974,-1,0)))</f>
        <v xml:space="preserve">   Mão de Obra</v>
      </c>
      <c r="N974" s="231">
        <f t="shared" ref="N974:N1012" ca="1" si="680">IF(B974="Subetapa",0,IF(B974="serviço",OFFSET(N974,-1,0)+1,OFFSET(N974,-1,0)))</f>
        <v>4</v>
      </c>
      <c r="O974" s="228" t="str">
        <f t="shared" ref="O974:O999" ca="1" si="681">IF(B974="*","",IF(B974="SERVIÇO",S974,OFFSET(O974,-1,0)))</f>
        <v>Mao de obra para impermeabilizacao de peitoris</v>
      </c>
      <c r="P974" s="232" t="str">
        <f>IF(S974="","",IF(Orçamento!$B974="INSUMO",S974,""))</f>
        <v/>
      </c>
      <c r="Q974" s="244" t="str">
        <f t="shared" si="669"/>
        <v/>
      </c>
      <c r="R974" s="234">
        <f t="shared" ca="1" si="670"/>
        <v>0.25</v>
      </c>
      <c r="S974" s="233" t="s">
        <v>678</v>
      </c>
      <c r="T974" s="242" t="s">
        <v>35</v>
      </c>
      <c r="U974" s="235" t="str">
        <f>IF($B974="insumo",R974,"")</f>
        <v/>
      </c>
      <c r="V974" s="320" t="s">
        <v>35</v>
      </c>
      <c r="W974" s="236" t="str">
        <f>IFERROR(IF(B974="INSUMO",_xlfn.XLOOKUP(S974,Insumos!A:A,Insumos!C:C),""),"Inserir Preço")</f>
        <v/>
      </c>
      <c r="X974" s="235" t="str">
        <f t="shared" ca="1" si="671"/>
        <v/>
      </c>
      <c r="Y974" s="236" t="str">
        <f t="shared" si="644"/>
        <v/>
      </c>
      <c r="Z974" s="237">
        <f t="shared" ca="1" si="666"/>
        <v>68338.688007505247</v>
      </c>
      <c r="AA974" s="238"/>
      <c r="AB974" s="233" t="str">
        <f>IF(B974="insumo",_xlfn.XLOOKUP(S974,Insumos!A:A,Insumos!D:D),"")</f>
        <v/>
      </c>
      <c r="AC974" s="239">
        <f t="shared" ca="1" si="667"/>
        <v>9.8038078524719709E-3</v>
      </c>
      <c r="AE974" s="240">
        <f ca="1">IFERROR(IF(OR(Z974="",Z974=0),"",IF(AF974="","",IF(AF974="R$/mês",Z974/OBRA!$D$12,IF(AF974="R$/m²",Z974/OBRA!$D$10,IF(AF974="R$/apto",Orçamento!Z974/OBRA!$D$11,""))))),"")</f>
        <v>35.167575638244188</v>
      </c>
      <c r="AF974" s="241" t="s">
        <v>154</v>
      </c>
    </row>
    <row r="975" spans="1:32" s="10" customFormat="1" ht="13.15" hidden="1" customHeight="1" outlineLevel="3" collapsed="1" x14ac:dyDescent="0.2">
      <c r="A975" s="227"/>
      <c r="B975" s="228" t="s">
        <v>3</v>
      </c>
      <c r="C975" s="229" t="str">
        <f t="shared" si="665"/>
        <v/>
      </c>
      <c r="D975" s="227" t="str">
        <f t="shared" ca="1" si="668"/>
        <v>07.001.001</v>
      </c>
      <c r="E975" s="228" t="str">
        <f t="shared" ca="1" si="672"/>
        <v>06.005.005.004</v>
      </c>
      <c r="F975" s="230">
        <f ca="1">IF($B975="UNIDADE CONSTRUTIVA",OFFSET(F975,-1,0)+1,LARGE(F$10:F974,1))</f>
        <v>2</v>
      </c>
      <c r="G975" s="228" t="str">
        <f t="shared" ca="1" si="673"/>
        <v xml:space="preserve">   GERENCIAMENTO EXECUTIVO</v>
      </c>
      <c r="H975" s="230">
        <f t="shared" ca="1" si="674"/>
        <v>7</v>
      </c>
      <c r="I975" s="228" t="str">
        <f t="shared" ca="1" si="675"/>
        <v xml:space="preserve">   SISTEMAS E INSTALAÇÕES ELÉTRICAS</v>
      </c>
      <c r="J975" s="230">
        <f t="shared" ca="1" si="676"/>
        <v>1</v>
      </c>
      <c r="K975" s="228" t="str">
        <f t="shared" ca="1" si="677"/>
        <v xml:space="preserve">   SISTEMAS E INSTALAÇÕES ELÉTRICAS - 1º PAVIMENTO - SUBSOLO</v>
      </c>
      <c r="L975" s="231">
        <f t="shared" ca="1" si="678"/>
        <v>1</v>
      </c>
      <c r="M975" s="228" t="str">
        <f t="shared" ca="1" si="679"/>
        <v xml:space="preserve">   Quadros Elétricos e Disjuntores</v>
      </c>
      <c r="N975" s="231">
        <f t="shared" ca="1" si="680"/>
        <v>0</v>
      </c>
      <c r="O975" s="228" t="str">
        <f t="shared" ca="1" si="681"/>
        <v>Mao de obra para impermeabilizacao de peitoris</v>
      </c>
      <c r="P975" s="232" t="str">
        <f>IF(S975="","",IF(Orçamento!$B975="INSUMO",S975,""))</f>
        <v/>
      </c>
      <c r="Q975" s="244" t="str">
        <f t="shared" si="669"/>
        <v/>
      </c>
      <c r="R975" s="234">
        <f t="shared" ca="1" si="670"/>
        <v>0.25</v>
      </c>
      <c r="S975" s="233" t="s">
        <v>442</v>
      </c>
      <c r="T975" s="242" t="s">
        <v>35</v>
      </c>
      <c r="U975" s="235" t="str">
        <f>IF($B975="insumo",R975,"")</f>
        <v/>
      </c>
      <c r="V975" s="320" t="s">
        <v>35</v>
      </c>
      <c r="W975" s="236" t="str">
        <f>IFERROR(IF(B975="INSUMO",_xlfn.XLOOKUP(S975,Insumos!A:A,Insumos!C:C),""),"Inserir Preço")</f>
        <v/>
      </c>
      <c r="X975" s="235" t="str">
        <f t="shared" ca="1" si="671"/>
        <v/>
      </c>
      <c r="Y975" s="236" t="str">
        <f t="shared" si="644"/>
        <v/>
      </c>
      <c r="Z975" s="237">
        <f t="shared" ca="1" si="666"/>
        <v>6489.6546573177948</v>
      </c>
      <c r="AA975" s="238"/>
      <c r="AB975" s="233" t="str">
        <f>IF(B975="insumo",_xlfn.XLOOKUP(S975,Insumos!A:A,Insumos!D:D),"")</f>
        <v/>
      </c>
      <c r="AC975" s="239">
        <f t="shared" ca="1" si="667"/>
        <v>9.3100012810102693E-4</v>
      </c>
      <c r="AE975" s="240">
        <f ca="1">IFERROR(IF(OR(Z975="",Z975=0),"",IF(AF975="","",IF(AF975="R$/mês",Z975/OBRA!$D$12,IF(AF975="R$/m²",Z975/OBRA!$D$10,IF(AF975="R$/apto",Orçamento!Z975/OBRA!$D$11,""))))),"")</f>
        <v>3.3396225137105717</v>
      </c>
      <c r="AF975" s="241" t="s">
        <v>154</v>
      </c>
    </row>
    <row r="976" spans="1:32" s="10" customFormat="1" ht="13.15" hidden="1" customHeight="1" outlineLevel="4" x14ac:dyDescent="0.2">
      <c r="A976" s="227"/>
      <c r="B976" s="228" t="s">
        <v>4</v>
      </c>
      <c r="C976" s="229">
        <f t="shared" si="665"/>
        <v>1</v>
      </c>
      <c r="D976" s="227" t="str">
        <f t="shared" ca="1" si="668"/>
        <v>07.001.001.001</v>
      </c>
      <c r="E976" s="228" t="str">
        <f t="shared" ca="1" si="672"/>
        <v>07.001.001.001</v>
      </c>
      <c r="F976" s="230">
        <f ca="1">IF($B976="UNIDADE CONSTRUTIVA",OFFSET(F976,-1,0)+1,LARGE(F$10:F975,1))</f>
        <v>2</v>
      </c>
      <c r="G976" s="228" t="str">
        <f t="shared" ca="1" si="673"/>
        <v xml:space="preserve">   GERENCIAMENTO EXECUTIVO</v>
      </c>
      <c r="H976" s="230">
        <f t="shared" ca="1" si="674"/>
        <v>7</v>
      </c>
      <c r="I976" s="228" t="str">
        <f t="shared" ca="1" si="675"/>
        <v xml:space="preserve">   SISTEMAS E INSTALAÇÕES ELÉTRICAS</v>
      </c>
      <c r="J976" s="230">
        <f t="shared" ca="1" si="676"/>
        <v>1</v>
      </c>
      <c r="K976" s="228" t="str">
        <f t="shared" ca="1" si="677"/>
        <v xml:space="preserve">   SISTEMAS E INSTALAÇÕES ELÉTRICAS - 1º PAVIMENTO - SUBSOLO</v>
      </c>
      <c r="L976" s="231">
        <f t="shared" ca="1" si="678"/>
        <v>1</v>
      </c>
      <c r="M976" s="228" t="str">
        <f t="shared" ca="1" si="679"/>
        <v xml:space="preserve">   Quadros Elétricos e Disjuntores</v>
      </c>
      <c r="N976" s="231">
        <f t="shared" ca="1" si="680"/>
        <v>1</v>
      </c>
      <c r="O976" s="228" t="str">
        <f t="shared" ca="1" si="681"/>
        <v xml:space="preserve">Quadros e Disjuntores - Subsolo </v>
      </c>
      <c r="P976" s="232" t="str">
        <f>IF(S976="","",IF(Orçamento!$B976="INSUMO",S976,""))</f>
        <v/>
      </c>
      <c r="Q976" s="244" t="str">
        <f t="shared" si="669"/>
        <v xml:space="preserve">Quadros e Disjuntores - Subsolo </v>
      </c>
      <c r="R976" s="234">
        <f t="shared" ca="1" si="670"/>
        <v>1</v>
      </c>
      <c r="S976" s="233" t="s">
        <v>1217</v>
      </c>
      <c r="T976" s="242" t="s">
        <v>170</v>
      </c>
      <c r="U976" s="235">
        <v>1</v>
      </c>
      <c r="V976" s="320" t="s">
        <v>35</v>
      </c>
      <c r="W976" s="236" t="str">
        <f>IFERROR(IF(B976="INSUMO",_xlfn.XLOOKUP(S976,Insumos!A:A,Insumos!C:C),""),"Inserir Preço")</f>
        <v/>
      </c>
      <c r="X976" s="235">
        <f t="shared" ca="1" si="671"/>
        <v>1</v>
      </c>
      <c r="Y976" s="236">
        <f t="shared" ca="1" si="644"/>
        <v>6489.6546573177948</v>
      </c>
      <c r="Z976" s="237">
        <f t="shared" ca="1" si="666"/>
        <v>6489.6546573177948</v>
      </c>
      <c r="AA976" s="238"/>
      <c r="AB976" s="233" t="str">
        <f>IF(B976="insumo",_xlfn.XLOOKUP(S976,Insumos!A:A,Insumos!D:D),"")</f>
        <v/>
      </c>
      <c r="AC976" s="239">
        <f t="shared" ca="1" si="667"/>
        <v>9.3100012810102693E-4</v>
      </c>
      <c r="AE976" s="240">
        <f ca="1">IFERROR(IF(OR(Z976="",Z976=0),"",IF(AF976="","",IF(AF976="R$/mês",Z976/OBRA!$D$12,IF(AF976="R$/m²",Z976/OBRA!$D$10,IF(AF976="R$/apto",Orçamento!Z976/OBRA!$D$11,""))))),"")</f>
        <v>3.3396225137105717</v>
      </c>
      <c r="AF976" s="241" t="s">
        <v>154</v>
      </c>
    </row>
    <row r="977" spans="1:32" s="10" customFormat="1" ht="13.15" hidden="1" customHeight="1" outlineLevel="4" x14ac:dyDescent="0.2">
      <c r="A977" s="227"/>
      <c r="B977" s="228" t="s">
        <v>19</v>
      </c>
      <c r="C977" s="229">
        <f t="shared" si="665"/>
        <v>1</v>
      </c>
      <c r="D977" s="227" t="str">
        <f t="shared" si="668"/>
        <v/>
      </c>
      <c r="E977" s="228" t="str">
        <f t="shared" ca="1" si="672"/>
        <v>07.001.001.001</v>
      </c>
      <c r="F977" s="230">
        <f ca="1">IF($B977="UNIDADE CONSTRUTIVA",OFFSET(F977,-1,0)+1,LARGE(F$10:F976,1))</f>
        <v>2</v>
      </c>
      <c r="G977" s="228" t="str">
        <f t="shared" ca="1" si="673"/>
        <v xml:space="preserve">   GERENCIAMENTO EXECUTIVO</v>
      </c>
      <c r="H977" s="230">
        <f t="shared" ca="1" si="674"/>
        <v>7</v>
      </c>
      <c r="I977" s="228" t="str">
        <f t="shared" ca="1" si="675"/>
        <v xml:space="preserve">   SISTEMAS E INSTALAÇÕES ELÉTRICAS</v>
      </c>
      <c r="J977" s="230">
        <f t="shared" ca="1" si="676"/>
        <v>1</v>
      </c>
      <c r="K977" s="228" t="str">
        <f t="shared" ca="1" si="677"/>
        <v xml:space="preserve">   SISTEMAS E INSTALAÇÕES ELÉTRICAS - 1º PAVIMENTO - SUBSOLO</v>
      </c>
      <c r="L977" s="231">
        <f t="shared" ca="1" si="678"/>
        <v>1</v>
      </c>
      <c r="M977" s="228" t="str">
        <f t="shared" ca="1" si="679"/>
        <v xml:space="preserve">   Quadros Elétricos e Disjuntores</v>
      </c>
      <c r="N977" s="231">
        <f t="shared" ca="1" si="680"/>
        <v>1</v>
      </c>
      <c r="O977" s="228" t="str">
        <f t="shared" ca="1" si="681"/>
        <v xml:space="preserve">Quadros e Disjuntores - Subsolo </v>
      </c>
      <c r="P977" s="232" t="str">
        <f>IF(S977="","",IF(Orçamento!$B977="INSUMO",S977,""))</f>
        <v>QUADROS E DISJUNTORES - SUBSOLO</v>
      </c>
      <c r="Q977" s="244" t="str">
        <f t="shared" si="669"/>
        <v/>
      </c>
      <c r="R977" s="234">
        <f t="shared" ca="1" si="670"/>
        <v>1</v>
      </c>
      <c r="S977" s="233" t="s">
        <v>953</v>
      </c>
      <c r="T977" s="242" t="str">
        <f>_xlfn.XLOOKUP(S977,Insumos!$A$3:$A$371,Insumos!$B$3:$B$371)</f>
        <v>VB</v>
      </c>
      <c r="U977" s="235">
        <f ca="1">IF($B977="insumo",R977,"")</f>
        <v>1</v>
      </c>
      <c r="V977" s="320">
        <v>1</v>
      </c>
      <c r="W977" s="236">
        <f>IFERROR(IF(B977="INSUMO",_xlfn.XLOOKUP(S977,Insumos!A:A,Insumos!C:C),""),"Inserir Preço")</f>
        <v>6489.6546573177948</v>
      </c>
      <c r="X977" s="235">
        <f t="shared" ca="1" si="671"/>
        <v>1</v>
      </c>
      <c r="Y977" s="236">
        <f t="shared" si="644"/>
        <v>6489.6546573177948</v>
      </c>
      <c r="Z977" s="237">
        <f t="shared" ca="1" si="666"/>
        <v>6489.6546573177948</v>
      </c>
      <c r="AA977" s="238"/>
      <c r="AB977" s="233" t="str">
        <f>IF(B977="insumo",_xlfn.XLOOKUP(S977,Insumos!A:A,Insumos!D:D),"")</f>
        <v>Lista de Elétrica</v>
      </c>
      <c r="AC977" s="239">
        <f t="shared" ca="1" si="667"/>
        <v>9.3100012810102693E-4</v>
      </c>
      <c r="AE977" s="240">
        <f ca="1">IFERROR(IF(OR(Z977="",Z977=0),"",IF(AF977="","",IF(AF977="R$/mês",Z977/OBRA!$D$12,IF(AF977="R$/m²",Z977/OBRA!$D$10,IF(AF977="R$/apto",Orçamento!Z977/OBRA!$D$11,""))))),"")</f>
        <v>3.3396225137105717</v>
      </c>
      <c r="AF977" s="241" t="s">
        <v>154</v>
      </c>
    </row>
    <row r="978" spans="1:32" s="10" customFormat="1" ht="13.15" hidden="1" customHeight="1" outlineLevel="3" collapsed="1" x14ac:dyDescent="0.2">
      <c r="A978" s="227"/>
      <c r="B978" s="228" t="s">
        <v>3</v>
      </c>
      <c r="C978" s="229" t="str">
        <f t="shared" si="665"/>
        <v/>
      </c>
      <c r="D978" s="227" t="str">
        <f t="shared" ca="1" si="668"/>
        <v>07.001.002</v>
      </c>
      <c r="E978" s="228" t="str">
        <f t="shared" ca="1" si="672"/>
        <v>07.001.001.001</v>
      </c>
      <c r="F978" s="230">
        <f ca="1">IF($B978="UNIDADE CONSTRUTIVA",OFFSET(F978,-1,0)+1,LARGE(F$10:F977,1))</f>
        <v>2</v>
      </c>
      <c r="G978" s="228" t="str">
        <f t="shared" ca="1" si="673"/>
        <v xml:space="preserve">   GERENCIAMENTO EXECUTIVO</v>
      </c>
      <c r="H978" s="230">
        <f t="shared" ca="1" si="674"/>
        <v>7</v>
      </c>
      <c r="I978" s="228" t="str">
        <f t="shared" ca="1" si="675"/>
        <v xml:space="preserve">   SISTEMAS E INSTALAÇÕES ELÉTRICAS</v>
      </c>
      <c r="J978" s="230">
        <f t="shared" ca="1" si="676"/>
        <v>1</v>
      </c>
      <c r="K978" s="228" t="str">
        <f t="shared" ca="1" si="677"/>
        <v xml:space="preserve">   SISTEMAS E INSTALAÇÕES ELÉTRICAS - 1º PAVIMENTO - SUBSOLO</v>
      </c>
      <c r="L978" s="231">
        <f t="shared" ca="1" si="678"/>
        <v>2</v>
      </c>
      <c r="M978" s="228" t="str">
        <f t="shared" ca="1" si="679"/>
        <v xml:space="preserve">   Eletrodutos e Eletrocalhas</v>
      </c>
      <c r="N978" s="231">
        <f t="shared" ca="1" si="680"/>
        <v>0</v>
      </c>
      <c r="O978" s="228" t="str">
        <f t="shared" ca="1" si="681"/>
        <v xml:space="preserve">Quadros e Disjuntores - Subsolo </v>
      </c>
      <c r="P978" s="232" t="str">
        <f>IF(S978="","",IF(Orçamento!$B978="INSUMO",S978,""))</f>
        <v/>
      </c>
      <c r="Q978" s="244" t="str">
        <f t="shared" si="669"/>
        <v/>
      </c>
      <c r="R978" s="234">
        <f t="shared" ca="1" si="670"/>
        <v>1</v>
      </c>
      <c r="S978" s="233" t="s">
        <v>443</v>
      </c>
      <c r="T978" s="242" t="s">
        <v>35</v>
      </c>
      <c r="U978" s="235" t="str">
        <f>IF($B978="insumo",R978,"")</f>
        <v/>
      </c>
      <c r="V978" s="320" t="s">
        <v>35</v>
      </c>
      <c r="W978" s="236" t="str">
        <f>IFERROR(IF(B978="INSUMO",_xlfn.XLOOKUP(S978,Insumos!A:A,Insumos!C:C),""),"Inserir Preço")</f>
        <v/>
      </c>
      <c r="X978" s="235" t="str">
        <f t="shared" ca="1" si="671"/>
        <v/>
      </c>
      <c r="Y978" s="236" t="str">
        <f t="shared" si="644"/>
        <v/>
      </c>
      <c r="Z978" s="237">
        <f t="shared" ca="1" si="666"/>
        <v>10009.513655419161</v>
      </c>
      <c r="AA978" s="238"/>
      <c r="AB978" s="233" t="str">
        <f>IF(B978="insumo",_xlfn.XLOOKUP(S978,Insumos!A:A,Insumos!D:D),"")</f>
        <v/>
      </c>
      <c r="AC978" s="239">
        <f t="shared" ca="1" si="667"/>
        <v>1.4359559926530429E-3</v>
      </c>
      <c r="AE978" s="240">
        <f ca="1">IFERROR(IF(OR(Z978="",Z978=0),"",IF(AF978="","",IF(AF978="R$/mês",Z978/OBRA!$D$12,IF(AF978="R$/m²",Z978/OBRA!$D$10,IF(AF978="R$/apto",Orçamento!Z978/OBRA!$D$11,""))))),"")</f>
        <v>5.1509670267642846</v>
      </c>
      <c r="AF978" s="241" t="s">
        <v>154</v>
      </c>
    </row>
    <row r="979" spans="1:32" s="10" customFormat="1" ht="13.15" hidden="1" customHeight="1" outlineLevel="4" x14ac:dyDescent="0.2">
      <c r="A979" s="227"/>
      <c r="B979" s="228" t="s">
        <v>4</v>
      </c>
      <c r="C979" s="229">
        <f t="shared" si="665"/>
        <v>1</v>
      </c>
      <c r="D979" s="227" t="str">
        <f t="shared" ca="1" si="668"/>
        <v>07.001.002.001</v>
      </c>
      <c r="E979" s="228" t="str">
        <f t="shared" ca="1" si="672"/>
        <v>07.001.002.001</v>
      </c>
      <c r="F979" s="230">
        <f ca="1">IF($B979="UNIDADE CONSTRUTIVA",OFFSET(F979,-1,0)+1,LARGE(F$10:F978,1))</f>
        <v>2</v>
      </c>
      <c r="G979" s="228" t="str">
        <f t="shared" ca="1" si="673"/>
        <v xml:space="preserve">   GERENCIAMENTO EXECUTIVO</v>
      </c>
      <c r="H979" s="230">
        <f t="shared" ca="1" si="674"/>
        <v>7</v>
      </c>
      <c r="I979" s="228" t="str">
        <f t="shared" ca="1" si="675"/>
        <v xml:space="preserve">   SISTEMAS E INSTALAÇÕES ELÉTRICAS</v>
      </c>
      <c r="J979" s="230">
        <f t="shared" ca="1" si="676"/>
        <v>1</v>
      </c>
      <c r="K979" s="228" t="str">
        <f t="shared" ca="1" si="677"/>
        <v xml:space="preserve">   SISTEMAS E INSTALAÇÕES ELÉTRICAS - 1º PAVIMENTO - SUBSOLO</v>
      </c>
      <c r="L979" s="231">
        <f t="shared" ca="1" si="678"/>
        <v>2</v>
      </c>
      <c r="M979" s="228" t="str">
        <f t="shared" ca="1" si="679"/>
        <v xml:space="preserve">   Eletrodutos e Eletrocalhas</v>
      </c>
      <c r="N979" s="231">
        <f t="shared" ca="1" si="680"/>
        <v>1</v>
      </c>
      <c r="O979" s="228" t="str">
        <f t="shared" ca="1" si="681"/>
        <v>Eletrodutos e Eletrocalhas - Subsolo</v>
      </c>
      <c r="P979" s="232" t="str">
        <f>IF(S979="","",IF(Orçamento!$B979="INSUMO",S979,""))</f>
        <v/>
      </c>
      <c r="Q979" s="244" t="str">
        <f t="shared" si="669"/>
        <v>Eletrodutos e Eletrocalhas - Subsolo</v>
      </c>
      <c r="R979" s="234">
        <f t="shared" ca="1" si="670"/>
        <v>1</v>
      </c>
      <c r="S979" s="233" t="s">
        <v>981</v>
      </c>
      <c r="T979" s="242" t="s">
        <v>170</v>
      </c>
      <c r="U979" s="235">
        <v>1</v>
      </c>
      <c r="V979" s="320" t="s">
        <v>35</v>
      </c>
      <c r="W979" s="236" t="str">
        <f>IFERROR(IF(B979="INSUMO",_xlfn.XLOOKUP(S979,Insumos!A:A,Insumos!C:C),""),"Inserir Preço")</f>
        <v/>
      </c>
      <c r="X979" s="235">
        <f t="shared" ca="1" si="671"/>
        <v>1</v>
      </c>
      <c r="Y979" s="236">
        <f t="shared" ca="1" si="644"/>
        <v>10009.513655419161</v>
      </c>
      <c r="Z979" s="237">
        <f t="shared" ca="1" si="666"/>
        <v>10009.513655419161</v>
      </c>
      <c r="AA979" s="238"/>
      <c r="AB979" s="233" t="str">
        <f>IF(B979="insumo",_xlfn.XLOOKUP(S979,Insumos!A:A,Insumos!D:D),"")</f>
        <v/>
      </c>
      <c r="AC979" s="239">
        <f t="shared" ca="1" si="667"/>
        <v>1.4359559926530429E-3</v>
      </c>
      <c r="AE979" s="240">
        <f ca="1">IFERROR(IF(OR(Z979="",Z979=0),"",IF(AF979="","",IF(AF979="R$/mês",Z979/OBRA!$D$12,IF(AF979="R$/m²",Z979/OBRA!$D$10,IF(AF979="R$/apto",Orçamento!Z979/OBRA!$D$11,""))))),"")</f>
        <v>5.1509670267642846</v>
      </c>
      <c r="AF979" s="241" t="s">
        <v>154</v>
      </c>
    </row>
    <row r="980" spans="1:32" s="10" customFormat="1" ht="13.15" hidden="1" customHeight="1" outlineLevel="4" x14ac:dyDescent="0.2">
      <c r="A980" s="227"/>
      <c r="B980" s="228" t="s">
        <v>19</v>
      </c>
      <c r="C980" s="229">
        <f t="shared" si="665"/>
        <v>1</v>
      </c>
      <c r="D980" s="227" t="str">
        <f t="shared" si="668"/>
        <v/>
      </c>
      <c r="E980" s="228" t="str">
        <f t="shared" ca="1" si="672"/>
        <v>07.001.002.001</v>
      </c>
      <c r="F980" s="230">
        <f ca="1">IF($B980="UNIDADE CONSTRUTIVA",OFFSET(F980,-1,0)+1,LARGE(F$10:F979,1))</f>
        <v>2</v>
      </c>
      <c r="G980" s="228" t="str">
        <f t="shared" ca="1" si="673"/>
        <v xml:space="preserve">   GERENCIAMENTO EXECUTIVO</v>
      </c>
      <c r="H980" s="230">
        <f t="shared" ca="1" si="674"/>
        <v>7</v>
      </c>
      <c r="I980" s="228" t="str">
        <f t="shared" ca="1" si="675"/>
        <v xml:space="preserve">   SISTEMAS E INSTALAÇÕES ELÉTRICAS</v>
      </c>
      <c r="J980" s="230">
        <f t="shared" ca="1" si="676"/>
        <v>1</v>
      </c>
      <c r="K980" s="228" t="str">
        <f t="shared" ca="1" si="677"/>
        <v xml:space="preserve">   SISTEMAS E INSTALAÇÕES ELÉTRICAS - 1º PAVIMENTO - SUBSOLO</v>
      </c>
      <c r="L980" s="231">
        <f t="shared" ca="1" si="678"/>
        <v>2</v>
      </c>
      <c r="M980" s="228" t="str">
        <f t="shared" ca="1" si="679"/>
        <v xml:space="preserve">   Eletrodutos e Eletrocalhas</v>
      </c>
      <c r="N980" s="231">
        <f t="shared" ca="1" si="680"/>
        <v>1</v>
      </c>
      <c r="O980" s="228" t="str">
        <f t="shared" ca="1" si="681"/>
        <v>Eletrodutos e Eletrocalhas - Subsolo</v>
      </c>
      <c r="P980" s="232" t="str">
        <f>IF(S980="","",IF(Orçamento!$B980="INSUMO",S980,""))</f>
        <v>ELETRODUTOS, CAIXAS E ELETROCALHAS - SUBSOLO</v>
      </c>
      <c r="Q980" s="244" t="str">
        <f t="shared" si="669"/>
        <v/>
      </c>
      <c r="R980" s="234">
        <f t="shared" ca="1" si="670"/>
        <v>1</v>
      </c>
      <c r="S980" s="233" t="s">
        <v>958</v>
      </c>
      <c r="T980" s="242" t="str">
        <f>_xlfn.XLOOKUP(S980,Insumos!$A$3:$A$371,Insumos!$B$3:$B$371)</f>
        <v>VB</v>
      </c>
      <c r="U980" s="235">
        <f ca="1">IF($B980="insumo",R980,"")</f>
        <v>1</v>
      </c>
      <c r="V980" s="320">
        <v>1</v>
      </c>
      <c r="W980" s="236">
        <f>IFERROR(IF(B980="INSUMO",_xlfn.XLOOKUP(S980,Insumos!A:A,Insumos!C:C),""),"Inserir Preço")</f>
        <v>10009.513655419161</v>
      </c>
      <c r="X980" s="235">
        <f t="shared" ca="1" si="671"/>
        <v>1</v>
      </c>
      <c r="Y980" s="236">
        <f t="shared" si="644"/>
        <v>10009.513655419161</v>
      </c>
      <c r="Z980" s="237">
        <f t="shared" ca="1" si="666"/>
        <v>10009.513655419161</v>
      </c>
      <c r="AA980" s="238"/>
      <c r="AB980" s="233" t="str">
        <f>IF(B980="insumo",_xlfn.XLOOKUP(S980,Insumos!A:A,Insumos!D:D),"")</f>
        <v>Lista de Elétrica</v>
      </c>
      <c r="AC980" s="239">
        <f t="shared" ca="1" si="667"/>
        <v>1.4359559926530429E-3</v>
      </c>
      <c r="AE980" s="240">
        <f ca="1">IFERROR(IF(OR(Z980="",Z980=0),"",IF(AF980="","",IF(AF980="R$/mês",Z980/OBRA!$D$12,IF(AF980="R$/m²",Z980/OBRA!$D$10,IF(AF980="R$/apto",Orçamento!Z980/OBRA!$D$11,""))))),"")</f>
        <v>5.1509670267642846</v>
      </c>
      <c r="AF980" s="241" t="s">
        <v>154</v>
      </c>
    </row>
    <row r="981" spans="1:32" s="10" customFormat="1" ht="13.15" hidden="1" customHeight="1" outlineLevel="3" collapsed="1" x14ac:dyDescent="0.2">
      <c r="A981" s="227"/>
      <c r="B981" s="228" t="s">
        <v>3</v>
      </c>
      <c r="C981" s="229" t="str">
        <f t="shared" si="665"/>
        <v/>
      </c>
      <c r="D981" s="227" t="str">
        <f t="shared" ca="1" si="668"/>
        <v>07.001.003</v>
      </c>
      <c r="E981" s="228" t="str">
        <f t="shared" ca="1" si="672"/>
        <v>07.001.002.001</v>
      </c>
      <c r="F981" s="230">
        <f ca="1">IF($B981="UNIDADE CONSTRUTIVA",OFFSET(F981,-1,0)+1,LARGE(F$10:F980,1))</f>
        <v>2</v>
      </c>
      <c r="G981" s="228" t="str">
        <f t="shared" ca="1" si="673"/>
        <v xml:space="preserve">   GERENCIAMENTO EXECUTIVO</v>
      </c>
      <c r="H981" s="230">
        <f t="shared" ca="1" si="674"/>
        <v>7</v>
      </c>
      <c r="I981" s="228" t="str">
        <f t="shared" ca="1" si="675"/>
        <v xml:space="preserve">   SISTEMAS E INSTALAÇÕES ELÉTRICAS</v>
      </c>
      <c r="J981" s="230">
        <f t="shared" ca="1" si="676"/>
        <v>1</v>
      </c>
      <c r="K981" s="228" t="str">
        <f t="shared" ca="1" si="677"/>
        <v xml:space="preserve">   SISTEMAS E INSTALAÇÕES ELÉTRICAS - 1º PAVIMENTO - SUBSOLO</v>
      </c>
      <c r="L981" s="231">
        <f t="shared" ca="1" si="678"/>
        <v>3</v>
      </c>
      <c r="M981" s="228" t="str">
        <f t="shared" ca="1" si="679"/>
        <v xml:space="preserve">   Fios e Cabos Elétricos</v>
      </c>
      <c r="N981" s="231">
        <f t="shared" ca="1" si="680"/>
        <v>0</v>
      </c>
      <c r="O981" s="228" t="str">
        <f t="shared" ca="1" si="681"/>
        <v>Eletrodutos e Eletrocalhas - Subsolo</v>
      </c>
      <c r="P981" s="232" t="str">
        <f>IF(S981="","",IF(Orçamento!$B981="INSUMO",S981,""))</f>
        <v/>
      </c>
      <c r="Q981" s="244" t="str">
        <f t="shared" si="669"/>
        <v/>
      </c>
      <c r="R981" s="234">
        <f t="shared" ca="1" si="670"/>
        <v>1</v>
      </c>
      <c r="S981" s="233" t="s">
        <v>444</v>
      </c>
      <c r="T981" s="242" t="s">
        <v>35</v>
      </c>
      <c r="U981" s="235" t="str">
        <f>IF($B981="insumo",R981,"")</f>
        <v/>
      </c>
      <c r="V981" s="320" t="s">
        <v>35</v>
      </c>
      <c r="W981" s="236" t="str">
        <f>IFERROR(IF(B981="INSUMO",_xlfn.XLOOKUP(S981,Insumos!A:A,Insumos!C:C),""),"Inserir Preço")</f>
        <v/>
      </c>
      <c r="X981" s="235" t="str">
        <f t="shared" ca="1" si="671"/>
        <v/>
      </c>
      <c r="Y981" s="236" t="str">
        <f t="shared" si="644"/>
        <v/>
      </c>
      <c r="Z981" s="237">
        <f t="shared" ca="1" si="666"/>
        <v>30072.356023839933</v>
      </c>
      <c r="AA981" s="238"/>
      <c r="AB981" s="233" t="str">
        <f>IF(B981="insumo",_xlfn.XLOOKUP(S981,Insumos!A:A,Insumos!D:D),"")</f>
        <v/>
      </c>
      <c r="AC981" s="239">
        <f t="shared" ca="1" si="667"/>
        <v>4.314153647440172E-3</v>
      </c>
      <c r="AE981" s="240">
        <f ca="1">IFERROR(IF(OR(Z981="",Z981=0),"",IF(AF981="","",IF(AF981="R$/mês",Z981/OBRA!$D$12,IF(AF981="R$/m²",Z981/OBRA!$D$10,IF(AF981="R$/apto",Orçamento!Z981/OBRA!$D$11,""))))),"")</f>
        <v>15.475448621027843</v>
      </c>
      <c r="AF981" s="241" t="s">
        <v>154</v>
      </c>
    </row>
    <row r="982" spans="1:32" s="10" customFormat="1" ht="13.15" hidden="1" customHeight="1" outlineLevel="4" x14ac:dyDescent="0.2">
      <c r="A982" s="227"/>
      <c r="B982" s="228" t="s">
        <v>4</v>
      </c>
      <c r="C982" s="229">
        <f t="shared" si="665"/>
        <v>1</v>
      </c>
      <c r="D982" s="227" t="str">
        <f t="shared" ca="1" si="668"/>
        <v>07.001.003.001</v>
      </c>
      <c r="E982" s="228" t="str">
        <f t="shared" ca="1" si="672"/>
        <v>07.001.003.001</v>
      </c>
      <c r="F982" s="230">
        <f ca="1">IF($B982="UNIDADE CONSTRUTIVA",OFFSET(F982,-1,0)+1,LARGE(F$10:F981,1))</f>
        <v>2</v>
      </c>
      <c r="G982" s="228" t="str">
        <f t="shared" ca="1" si="673"/>
        <v xml:space="preserve">   GERENCIAMENTO EXECUTIVO</v>
      </c>
      <c r="H982" s="230">
        <f t="shared" ca="1" si="674"/>
        <v>7</v>
      </c>
      <c r="I982" s="228" t="str">
        <f t="shared" ca="1" si="675"/>
        <v xml:space="preserve">   SISTEMAS E INSTALAÇÕES ELÉTRICAS</v>
      </c>
      <c r="J982" s="230">
        <f t="shared" ca="1" si="676"/>
        <v>1</v>
      </c>
      <c r="K982" s="228" t="str">
        <f t="shared" ca="1" si="677"/>
        <v xml:space="preserve">   SISTEMAS E INSTALAÇÕES ELÉTRICAS - 1º PAVIMENTO - SUBSOLO</v>
      </c>
      <c r="L982" s="231">
        <f t="shared" ca="1" si="678"/>
        <v>3</v>
      </c>
      <c r="M982" s="228" t="str">
        <f t="shared" ca="1" si="679"/>
        <v xml:space="preserve">   Fios e Cabos Elétricos</v>
      </c>
      <c r="N982" s="231">
        <f t="shared" ca="1" si="680"/>
        <v>1</v>
      </c>
      <c r="O982" s="228" t="str">
        <f t="shared" ca="1" si="681"/>
        <v>Cabos e Fiacoes - Subsolo</v>
      </c>
      <c r="P982" s="232" t="str">
        <f>IF(S982="","",IF(Orçamento!$B982="INSUMO",S982,""))</f>
        <v/>
      </c>
      <c r="Q982" s="244" t="str">
        <f t="shared" si="669"/>
        <v>Cabos e Fiacoes - Subsolo</v>
      </c>
      <c r="R982" s="234">
        <f t="shared" ca="1" si="670"/>
        <v>1</v>
      </c>
      <c r="S982" s="233" t="s">
        <v>980</v>
      </c>
      <c r="T982" s="242" t="s">
        <v>170</v>
      </c>
      <c r="U982" s="235">
        <v>1</v>
      </c>
      <c r="V982" s="320" t="s">
        <v>35</v>
      </c>
      <c r="W982" s="236" t="str">
        <f>IFERROR(IF(B982="INSUMO",_xlfn.XLOOKUP(S982,Insumos!A:A,Insumos!C:C),""),"Inserir Preço")</f>
        <v/>
      </c>
      <c r="X982" s="235">
        <f t="shared" ca="1" si="671"/>
        <v>1</v>
      </c>
      <c r="Y982" s="236">
        <f t="shared" ca="1" si="644"/>
        <v>30072.356023839933</v>
      </c>
      <c r="Z982" s="237">
        <f t="shared" ca="1" si="666"/>
        <v>30072.356023839933</v>
      </c>
      <c r="AA982" s="238"/>
      <c r="AB982" s="233" t="str">
        <f>IF(B982="insumo",_xlfn.XLOOKUP(S982,Insumos!A:A,Insumos!D:D),"")</f>
        <v/>
      </c>
      <c r="AC982" s="239">
        <f t="shared" ca="1" si="667"/>
        <v>4.314153647440172E-3</v>
      </c>
      <c r="AE982" s="240">
        <f ca="1">IFERROR(IF(OR(Z982="",Z982=0),"",IF(AF982="","",IF(AF982="R$/mês",Z982/OBRA!$D$12,IF(AF982="R$/m²",Z982/OBRA!$D$10,IF(AF982="R$/apto",Orçamento!Z982/OBRA!$D$11,""))))),"")</f>
        <v>15.475448621027843</v>
      </c>
      <c r="AF982" s="241" t="s">
        <v>154</v>
      </c>
    </row>
    <row r="983" spans="1:32" s="10" customFormat="1" ht="13.15" hidden="1" customHeight="1" outlineLevel="4" x14ac:dyDescent="0.2">
      <c r="A983" s="227"/>
      <c r="B983" s="228" t="s">
        <v>19</v>
      </c>
      <c r="C983" s="229">
        <f t="shared" si="665"/>
        <v>1</v>
      </c>
      <c r="D983" s="227" t="str">
        <f t="shared" si="668"/>
        <v/>
      </c>
      <c r="E983" s="228" t="str">
        <f t="shared" ca="1" si="672"/>
        <v>07.001.003.001</v>
      </c>
      <c r="F983" s="230">
        <f ca="1">IF($B983="UNIDADE CONSTRUTIVA",OFFSET(F983,-1,0)+1,LARGE(F$10:F982,1))</f>
        <v>2</v>
      </c>
      <c r="G983" s="228" t="str">
        <f t="shared" ca="1" si="673"/>
        <v xml:space="preserve">   GERENCIAMENTO EXECUTIVO</v>
      </c>
      <c r="H983" s="230">
        <f t="shared" ca="1" si="674"/>
        <v>7</v>
      </c>
      <c r="I983" s="228" t="str">
        <f t="shared" ca="1" si="675"/>
        <v xml:space="preserve">   SISTEMAS E INSTALAÇÕES ELÉTRICAS</v>
      </c>
      <c r="J983" s="230">
        <f t="shared" ca="1" si="676"/>
        <v>1</v>
      </c>
      <c r="K983" s="228" t="str">
        <f t="shared" ca="1" si="677"/>
        <v xml:space="preserve">   SISTEMAS E INSTALAÇÕES ELÉTRICAS - 1º PAVIMENTO - SUBSOLO</v>
      </c>
      <c r="L983" s="231">
        <f t="shared" ca="1" si="678"/>
        <v>3</v>
      </c>
      <c r="M983" s="228" t="str">
        <f t="shared" ca="1" si="679"/>
        <v xml:space="preserve">   Fios e Cabos Elétricos</v>
      </c>
      <c r="N983" s="231">
        <f t="shared" ca="1" si="680"/>
        <v>1</v>
      </c>
      <c r="O983" s="228" t="str">
        <f t="shared" ca="1" si="681"/>
        <v>Cabos e Fiacoes - Subsolo</v>
      </c>
      <c r="P983" s="232" t="str">
        <f>IF(S983="","",IF(Orçamento!$B983="INSUMO",S983,""))</f>
        <v>FIAÇÃO - SUBSOLO</v>
      </c>
      <c r="Q983" s="244" t="str">
        <f t="shared" si="669"/>
        <v/>
      </c>
      <c r="R983" s="234">
        <f t="shared" ca="1" si="670"/>
        <v>1</v>
      </c>
      <c r="S983" s="233" t="s">
        <v>963</v>
      </c>
      <c r="T983" s="242" t="str">
        <f>_xlfn.XLOOKUP(S983,Insumos!$A$3:$A$371,Insumos!$B$3:$B$371)</f>
        <v>VB</v>
      </c>
      <c r="U983" s="235">
        <f ca="1">IF($B983="insumo",R983,"")</f>
        <v>1</v>
      </c>
      <c r="V983" s="320">
        <v>1</v>
      </c>
      <c r="W983" s="236">
        <f>IFERROR(IF(B983="INSUMO",_xlfn.XLOOKUP(S983,Insumos!A:A,Insumos!C:C),""),"Inserir Preço")</f>
        <v>30072.356023839933</v>
      </c>
      <c r="X983" s="235">
        <f t="shared" ca="1" si="671"/>
        <v>1</v>
      </c>
      <c r="Y983" s="236">
        <f t="shared" si="644"/>
        <v>30072.356023839933</v>
      </c>
      <c r="Z983" s="237">
        <f t="shared" ca="1" si="666"/>
        <v>30072.356023839933</v>
      </c>
      <c r="AA983" s="238"/>
      <c r="AB983" s="233" t="str">
        <f>IF(B983="insumo",_xlfn.XLOOKUP(S983,Insumos!A:A,Insumos!D:D),"")</f>
        <v>Lista de Elétrica</v>
      </c>
      <c r="AC983" s="239">
        <f t="shared" ca="1" si="667"/>
        <v>4.314153647440172E-3</v>
      </c>
      <c r="AE983" s="240">
        <f ca="1">IFERROR(IF(OR(Z983="",Z983=0),"",IF(AF983="","",IF(AF983="R$/mês",Z983/OBRA!$D$12,IF(AF983="R$/m²",Z983/OBRA!$D$10,IF(AF983="R$/apto",Orçamento!Z983/OBRA!$D$11,""))))),"")</f>
        <v>15.475448621027843</v>
      </c>
      <c r="AF983" s="241" t="s">
        <v>154</v>
      </c>
    </row>
    <row r="984" spans="1:32" s="10" customFormat="1" ht="13.15" hidden="1" customHeight="1" outlineLevel="3" collapsed="1" x14ac:dyDescent="0.2">
      <c r="A984" s="227"/>
      <c r="B984" s="228" t="s">
        <v>3</v>
      </c>
      <c r="C984" s="229" t="str">
        <f t="shared" si="665"/>
        <v/>
      </c>
      <c r="D984" s="227" t="str">
        <f t="shared" ca="1" si="668"/>
        <v>07.001.004</v>
      </c>
      <c r="E984" s="228" t="str">
        <f t="shared" ca="1" si="672"/>
        <v>07.001.003.001</v>
      </c>
      <c r="F984" s="230">
        <f ca="1">IF($B984="UNIDADE CONSTRUTIVA",OFFSET(F984,-1,0)+1,LARGE(F$10:F983,1))</f>
        <v>2</v>
      </c>
      <c r="G984" s="228" t="str">
        <f t="shared" ca="1" si="673"/>
        <v xml:space="preserve">   GERENCIAMENTO EXECUTIVO</v>
      </c>
      <c r="H984" s="230">
        <f t="shared" ca="1" si="674"/>
        <v>7</v>
      </c>
      <c r="I984" s="228" t="str">
        <f t="shared" ca="1" si="675"/>
        <v xml:space="preserve">   SISTEMAS E INSTALAÇÕES ELÉTRICAS</v>
      </c>
      <c r="J984" s="230">
        <f t="shared" ca="1" si="676"/>
        <v>1</v>
      </c>
      <c r="K984" s="228" t="str">
        <f t="shared" ca="1" si="677"/>
        <v xml:space="preserve">   SISTEMAS E INSTALAÇÕES ELÉTRICAS - 1º PAVIMENTO - SUBSOLO</v>
      </c>
      <c r="L984" s="231">
        <f t="shared" ca="1" si="678"/>
        <v>4</v>
      </c>
      <c r="M984" s="228" t="str">
        <f t="shared" ca="1" si="679"/>
        <v xml:space="preserve">   Pontos de Tomadas e Interruptores</v>
      </c>
      <c r="N984" s="231">
        <f t="shared" ca="1" si="680"/>
        <v>0</v>
      </c>
      <c r="O984" s="228" t="str">
        <f t="shared" ca="1" si="681"/>
        <v>Cabos e Fiacoes - Subsolo</v>
      </c>
      <c r="P984" s="232" t="str">
        <f>IF(S984="","",IF(Orçamento!$B984="INSUMO",S984,""))</f>
        <v/>
      </c>
      <c r="Q984" s="244" t="str">
        <f t="shared" si="669"/>
        <v/>
      </c>
      <c r="R984" s="234">
        <f t="shared" ca="1" si="670"/>
        <v>1</v>
      </c>
      <c r="S984" s="233" t="s">
        <v>445</v>
      </c>
      <c r="T984" s="242" t="s">
        <v>35</v>
      </c>
      <c r="U984" s="235" t="str">
        <f>IF($B984="insumo",R984,"")</f>
        <v/>
      </c>
      <c r="V984" s="320" t="s">
        <v>35</v>
      </c>
      <c r="W984" s="236" t="str">
        <f>IFERROR(IF(B984="INSUMO",_xlfn.XLOOKUP(S984,Insumos!A:A,Insumos!C:C),""),"Inserir Preço")</f>
        <v/>
      </c>
      <c r="X984" s="235" t="str">
        <f t="shared" ca="1" si="671"/>
        <v/>
      </c>
      <c r="Y984" s="236" t="str">
        <f t="shared" si="644"/>
        <v/>
      </c>
      <c r="Z984" s="237">
        <f t="shared" ca="1" si="666"/>
        <v>3218.5033858336856</v>
      </c>
      <c r="AA984" s="238"/>
      <c r="AB984" s="233" t="str">
        <f>IF(B984="insumo",_xlfn.XLOOKUP(S984,Insumos!A:A,Insumos!D:D),"")</f>
        <v/>
      </c>
      <c r="AC984" s="239">
        <f t="shared" ca="1" si="667"/>
        <v>4.6172365445146626E-4</v>
      </c>
      <c r="AE984" s="240">
        <f ca="1">IFERROR(IF(OR(Z984="",Z984=0),"",IF(AF984="","",IF(AF984="R$/mês",Z984/OBRA!$D$12,IF(AF984="R$/m²",Z984/OBRA!$D$10,IF(AF984="R$/apto",Orçamento!Z984/OBRA!$D$11,""))))),"")</f>
        <v>1.6562647683669383</v>
      </c>
      <c r="AF984" s="241" t="s">
        <v>154</v>
      </c>
    </row>
    <row r="985" spans="1:32" s="10" customFormat="1" ht="13.15" hidden="1" customHeight="1" outlineLevel="4" x14ac:dyDescent="0.2">
      <c r="A985" s="227"/>
      <c r="B985" s="228" t="s">
        <v>4</v>
      </c>
      <c r="C985" s="229">
        <f t="shared" si="665"/>
        <v>1</v>
      </c>
      <c r="D985" s="227" t="str">
        <f t="shared" ca="1" si="668"/>
        <v>07.001.004.001</v>
      </c>
      <c r="E985" s="228" t="str">
        <f t="shared" ca="1" si="672"/>
        <v>07.001.004.001</v>
      </c>
      <c r="F985" s="230">
        <f ca="1">IF($B985="UNIDADE CONSTRUTIVA",OFFSET(F985,-1,0)+1,LARGE(F$10:F984,1))</f>
        <v>2</v>
      </c>
      <c r="G985" s="228" t="str">
        <f t="shared" ca="1" si="673"/>
        <v xml:space="preserve">   GERENCIAMENTO EXECUTIVO</v>
      </c>
      <c r="H985" s="230">
        <f t="shared" ca="1" si="674"/>
        <v>7</v>
      </c>
      <c r="I985" s="228" t="str">
        <f t="shared" ca="1" si="675"/>
        <v xml:space="preserve">   SISTEMAS E INSTALAÇÕES ELÉTRICAS</v>
      </c>
      <c r="J985" s="230">
        <f t="shared" ca="1" si="676"/>
        <v>1</v>
      </c>
      <c r="K985" s="228" t="str">
        <f t="shared" ca="1" si="677"/>
        <v xml:space="preserve">   SISTEMAS E INSTALAÇÕES ELÉTRICAS - 1º PAVIMENTO - SUBSOLO</v>
      </c>
      <c r="L985" s="231">
        <f t="shared" ca="1" si="678"/>
        <v>4</v>
      </c>
      <c r="M985" s="228" t="str">
        <f t="shared" ca="1" si="679"/>
        <v xml:space="preserve">   Pontos de Tomadas e Interruptores</v>
      </c>
      <c r="N985" s="231">
        <f t="shared" ca="1" si="680"/>
        <v>1</v>
      </c>
      <c r="O985" s="228" t="str">
        <f t="shared" ca="1" si="681"/>
        <v>Pontos de Tomadas e Interruptores - Subsolo</v>
      </c>
      <c r="P985" s="232" t="str">
        <f>IF(S985="","",IF(Orçamento!$B985="INSUMO",S985,""))</f>
        <v/>
      </c>
      <c r="Q985" s="244" t="str">
        <f t="shared" si="669"/>
        <v>Pontos de Tomadas e Interruptores - Subsolo</v>
      </c>
      <c r="R985" s="234">
        <f t="shared" ca="1" si="670"/>
        <v>1</v>
      </c>
      <c r="S985" s="233" t="s">
        <v>979</v>
      </c>
      <c r="T985" s="242" t="s">
        <v>170</v>
      </c>
      <c r="U985" s="235">
        <v>1</v>
      </c>
      <c r="V985" s="320" t="s">
        <v>35</v>
      </c>
      <c r="W985" s="236" t="str">
        <f>IFERROR(IF(B985="INSUMO",_xlfn.XLOOKUP(S985,Insumos!A:A,Insumos!C:C),""),"Inserir Preço")</f>
        <v/>
      </c>
      <c r="X985" s="235">
        <f t="shared" ca="1" si="671"/>
        <v>1</v>
      </c>
      <c r="Y985" s="236">
        <f t="shared" ca="1" si="644"/>
        <v>3218.5033858336856</v>
      </c>
      <c r="Z985" s="237">
        <f t="shared" ca="1" si="666"/>
        <v>3218.5033858336856</v>
      </c>
      <c r="AA985" s="238"/>
      <c r="AB985" s="233" t="str">
        <f>IF(B985="insumo",_xlfn.XLOOKUP(S985,Insumos!A:A,Insumos!D:D),"")</f>
        <v/>
      </c>
      <c r="AC985" s="239">
        <f t="shared" ca="1" si="667"/>
        <v>4.6172365445146626E-4</v>
      </c>
      <c r="AE985" s="240">
        <f ca="1">IFERROR(IF(OR(Z985="",Z985=0),"",IF(AF985="","",IF(AF985="R$/mês",Z985/OBRA!$D$12,IF(AF985="R$/m²",Z985/OBRA!$D$10,IF(AF985="R$/apto",Orçamento!Z985/OBRA!$D$11,""))))),"")</f>
        <v>1.6562647683669383</v>
      </c>
      <c r="AF985" s="241" t="s">
        <v>154</v>
      </c>
    </row>
    <row r="986" spans="1:32" s="10" customFormat="1" ht="13.15" hidden="1" customHeight="1" outlineLevel="4" x14ac:dyDescent="0.2">
      <c r="A986" s="227"/>
      <c r="B986" s="228" t="s">
        <v>19</v>
      </c>
      <c r="C986" s="229">
        <f t="shared" si="665"/>
        <v>1</v>
      </c>
      <c r="D986" s="227" t="str">
        <f t="shared" si="668"/>
        <v/>
      </c>
      <c r="E986" s="228" t="str">
        <f t="shared" ca="1" si="672"/>
        <v>07.001.004.001</v>
      </c>
      <c r="F986" s="230">
        <f ca="1">IF($B986="UNIDADE CONSTRUTIVA",OFFSET(F986,-1,0)+1,LARGE(F$10:F985,1))</f>
        <v>2</v>
      </c>
      <c r="G986" s="228" t="str">
        <f t="shared" ca="1" si="673"/>
        <v xml:space="preserve">   GERENCIAMENTO EXECUTIVO</v>
      </c>
      <c r="H986" s="230">
        <f t="shared" ca="1" si="674"/>
        <v>7</v>
      </c>
      <c r="I986" s="228" t="str">
        <f t="shared" ca="1" si="675"/>
        <v xml:space="preserve">   SISTEMAS E INSTALAÇÕES ELÉTRICAS</v>
      </c>
      <c r="J986" s="230">
        <f t="shared" ca="1" si="676"/>
        <v>1</v>
      </c>
      <c r="K986" s="228" t="str">
        <f t="shared" ca="1" si="677"/>
        <v xml:space="preserve">   SISTEMAS E INSTALAÇÕES ELÉTRICAS - 1º PAVIMENTO - SUBSOLO</v>
      </c>
      <c r="L986" s="231">
        <f t="shared" ca="1" si="678"/>
        <v>4</v>
      </c>
      <c r="M986" s="228" t="str">
        <f t="shared" ca="1" si="679"/>
        <v xml:space="preserve">   Pontos de Tomadas e Interruptores</v>
      </c>
      <c r="N986" s="231">
        <f t="shared" ca="1" si="680"/>
        <v>1</v>
      </c>
      <c r="O986" s="228" t="str">
        <f t="shared" ca="1" si="681"/>
        <v>Pontos de Tomadas e Interruptores - Subsolo</v>
      </c>
      <c r="P986" s="232" t="str">
        <f>IF(S986="","",IF(Orçamento!$B986="INSUMO",S986,""))</f>
        <v>PONTOS DE TOMADA E INTERRUPTORES - SUBSOLO</v>
      </c>
      <c r="Q986" s="244" t="str">
        <f t="shared" si="669"/>
        <v/>
      </c>
      <c r="R986" s="234">
        <f t="shared" ca="1" si="670"/>
        <v>1</v>
      </c>
      <c r="S986" s="233" t="s">
        <v>973</v>
      </c>
      <c r="T986" s="242" t="str">
        <f>_xlfn.XLOOKUP(S986,Insumos!$A$3:$A$371,Insumos!$B$3:$B$371)</f>
        <v>VB</v>
      </c>
      <c r="U986" s="235">
        <f ca="1">IF($B986="insumo",R986,"")</f>
        <v>1</v>
      </c>
      <c r="V986" s="320">
        <v>1</v>
      </c>
      <c r="W986" s="236">
        <f>IFERROR(IF(B986="INSUMO",_xlfn.XLOOKUP(S986,Insumos!A:A,Insumos!C:C),""),"Inserir Preço")</f>
        <v>3218.5033858336856</v>
      </c>
      <c r="X986" s="235">
        <f t="shared" ca="1" si="671"/>
        <v>1</v>
      </c>
      <c r="Y986" s="236">
        <f t="shared" si="644"/>
        <v>3218.5033858336856</v>
      </c>
      <c r="Z986" s="237">
        <f t="shared" ca="1" si="666"/>
        <v>3218.5033858336856</v>
      </c>
      <c r="AA986" s="238"/>
      <c r="AB986" s="233" t="str">
        <f>IF(B986="insumo",_xlfn.XLOOKUP(S986,Insumos!A:A,Insumos!D:D),"")</f>
        <v>Lista de Elétrica</v>
      </c>
      <c r="AC986" s="239">
        <f t="shared" ca="1" si="667"/>
        <v>4.6172365445146626E-4</v>
      </c>
      <c r="AE986" s="240">
        <f ca="1">IFERROR(IF(OR(Z986="",Z986=0),"",IF(AF986="","",IF(AF986="R$/mês",Z986/OBRA!$D$12,IF(AF986="R$/m²",Z986/OBRA!$D$10,IF(AF986="R$/apto",Orçamento!Z986/OBRA!$D$11,""))))),"")</f>
        <v>1.6562647683669383</v>
      </c>
      <c r="AF986" s="241" t="s">
        <v>154</v>
      </c>
    </row>
    <row r="987" spans="1:32" s="10" customFormat="1" ht="13.15" hidden="1" customHeight="1" outlineLevel="3" collapsed="1" x14ac:dyDescent="0.2">
      <c r="A987" s="227"/>
      <c r="B987" s="228" t="s">
        <v>3</v>
      </c>
      <c r="C987" s="229" t="str">
        <f t="shared" si="665"/>
        <v/>
      </c>
      <c r="D987" s="227" t="str">
        <f t="shared" ca="1" si="668"/>
        <v>07.001.005</v>
      </c>
      <c r="E987" s="228" t="str">
        <f t="shared" ca="1" si="672"/>
        <v>07.001.004.001</v>
      </c>
      <c r="F987" s="230">
        <f ca="1">IF($B987="UNIDADE CONSTRUTIVA",OFFSET(F987,-1,0)+1,LARGE(F$10:F986,1))</f>
        <v>2</v>
      </c>
      <c r="G987" s="228" t="str">
        <f t="shared" ca="1" si="673"/>
        <v xml:space="preserve">   GERENCIAMENTO EXECUTIVO</v>
      </c>
      <c r="H987" s="230">
        <f t="shared" ca="1" si="674"/>
        <v>7</v>
      </c>
      <c r="I987" s="228" t="str">
        <f t="shared" ca="1" si="675"/>
        <v xml:space="preserve">   SISTEMAS E INSTALAÇÕES ELÉTRICAS</v>
      </c>
      <c r="J987" s="230">
        <f t="shared" ca="1" si="676"/>
        <v>1</v>
      </c>
      <c r="K987" s="228" t="str">
        <f t="shared" ca="1" si="677"/>
        <v xml:space="preserve">   SISTEMAS E INSTALAÇÕES ELÉTRICAS - 1º PAVIMENTO - SUBSOLO</v>
      </c>
      <c r="L987" s="231">
        <f t="shared" ca="1" si="678"/>
        <v>5</v>
      </c>
      <c r="M987" s="228" t="str">
        <f t="shared" ca="1" si="679"/>
        <v xml:space="preserve">   Luminárias - Lâmpadas e Acessórios</v>
      </c>
      <c r="N987" s="231">
        <f t="shared" ca="1" si="680"/>
        <v>0</v>
      </c>
      <c r="O987" s="228" t="str">
        <f t="shared" ca="1" si="681"/>
        <v>Pontos de Tomadas e Interruptores - Subsolo</v>
      </c>
      <c r="P987" s="232" t="str">
        <f>IF(S987="","",IF(Orçamento!$B987="INSUMO",S987,""))</f>
        <v/>
      </c>
      <c r="Q987" s="244" t="str">
        <f t="shared" si="669"/>
        <v/>
      </c>
      <c r="R987" s="234">
        <f t="shared" ca="1" si="670"/>
        <v>1</v>
      </c>
      <c r="S987" s="233" t="s">
        <v>446</v>
      </c>
      <c r="T987" s="242" t="s">
        <v>35</v>
      </c>
      <c r="U987" s="235" t="str">
        <f>IF($B987="insumo",R987,"")</f>
        <v/>
      </c>
      <c r="V987" s="320" t="s">
        <v>35</v>
      </c>
      <c r="W987" s="236" t="str">
        <f>IFERROR(IF(B987="INSUMO",_xlfn.XLOOKUP(S987,Insumos!A:A,Insumos!C:C),""),"Inserir Preço")</f>
        <v/>
      </c>
      <c r="X987" s="235" t="str">
        <f t="shared" ca="1" si="671"/>
        <v/>
      </c>
      <c r="Y987" s="236" t="str">
        <f t="shared" si="644"/>
        <v/>
      </c>
      <c r="Z987" s="237">
        <f t="shared" ca="1" si="666"/>
        <v>779.87220899209137</v>
      </c>
      <c r="AA987" s="238"/>
      <c r="AB987" s="233" t="str">
        <f>IF(B987="insumo",_xlfn.XLOOKUP(S987,Insumos!A:A,Insumos!D:D),"")</f>
        <v/>
      </c>
      <c r="AC987" s="239">
        <f t="shared" ca="1" si="667"/>
        <v>1.1187977863434608E-4</v>
      </c>
      <c r="AE987" s="240">
        <f ca="1">IFERROR(IF(OR(Z987="",Z987=0),"",IF(AF987="","",IF(AF987="R$/mês",Z987/OBRA!$D$12,IF(AF987="R$/m²",Z987/OBRA!$D$10,IF(AF987="R$/apto",Orçamento!Z987/OBRA!$D$11,""))))),"")</f>
        <v>0.40132779392665374</v>
      </c>
      <c r="AF987" s="241" t="s">
        <v>154</v>
      </c>
    </row>
    <row r="988" spans="1:32" s="10" customFormat="1" ht="14.25" hidden="1" customHeight="1" outlineLevel="4" x14ac:dyDescent="0.2">
      <c r="A988" s="227"/>
      <c r="B988" s="228" t="s">
        <v>4</v>
      </c>
      <c r="C988" s="229">
        <f t="shared" si="665"/>
        <v>1</v>
      </c>
      <c r="D988" s="227" t="str">
        <f ca="1">IF(B988="Unidade Construtiva",TEXT(F988,"00"),IF(B988="Célula Construtiva",TEXT(H988,"00"),IF(B988="Etapa",CONCATENATE(TEXT(H988,"00"),".",TEXT(J988,"000")),IF(B988="Subetapa",CONCATENATE(TEXT(H988,"00"),".",TEXT(J988,"000"),".",TEXT(L988,"000")),IF(B988="Serviço",CONCATENATE(TEXT(H988,"00"),".",TEXT(J988,"000"),".",TEXT(L988,"000"),".",TEXT(N988,"000")),"")))))</f>
        <v>07.001.005.001</v>
      </c>
      <c r="E988" s="228" t="str">
        <f ca="1">IF(B988="*","",IFERROR(IF(B988="SERVIÇO",D988,OFFSET(E988,-1,0)),""))</f>
        <v>07.001.005.001</v>
      </c>
      <c r="F988" s="230">
        <f ca="1">IF($B988="UNIDADE CONSTRUTIVA",OFFSET(F988,-1,0)+1,LARGE(F$10:F987,1))</f>
        <v>2</v>
      </c>
      <c r="G988" s="228" t="str">
        <f t="shared" ca="1" si="673"/>
        <v xml:space="preserve">   GERENCIAMENTO EXECUTIVO</v>
      </c>
      <c r="H988" s="230">
        <f ca="1">IF(B988="UNIDADE CONSTRUTIVA",0,IF(B988="CÉLULA CONSTRUTIVA",OFFSET(H988,-1,0)+1,OFFSET(H988,-1,0)))</f>
        <v>7</v>
      </c>
      <c r="I988" s="228" t="str">
        <f t="shared" ca="1" si="675"/>
        <v xml:space="preserve">   SISTEMAS E INSTALAÇÕES ELÉTRICAS</v>
      </c>
      <c r="J988" s="230">
        <f ca="1">IF(B988="CÉLULA CONSTRUTIVA",0,IF(B988="ETAPA",OFFSET(J988,-1,0)+1,OFFSET(J988,-1,0)))</f>
        <v>1</v>
      </c>
      <c r="K988" s="228" t="str">
        <f t="shared" ca="1" si="677"/>
        <v xml:space="preserve">   SISTEMAS E INSTALAÇÕES ELÉTRICAS - 1º PAVIMENTO - SUBSOLO</v>
      </c>
      <c r="L988" s="231">
        <f ca="1">IF(B988="ETAPA",0,IF(B988="SUBETAPA",OFFSET(L988,-1,0)+1,OFFSET(L988,-1,0)))</f>
        <v>5</v>
      </c>
      <c r="M988" s="228" t="str">
        <f t="shared" ca="1" si="679"/>
        <v xml:space="preserve">   Luminárias - Lâmpadas e Acessórios</v>
      </c>
      <c r="N988" s="231">
        <f ca="1">IF(B988="Subetapa",0,IF(B988="serviço",OFFSET(N988,-1,0)+1,OFFSET(N988,-1,0)))</f>
        <v>1</v>
      </c>
      <c r="O988" s="228" t="str">
        <f t="shared" ca="1" si="681"/>
        <v>Luminárias e Acessorios - Subsolo</v>
      </c>
      <c r="P988" s="232" t="str">
        <f>IF(S988="","",IF(Orçamento!$B988="INSUMO",S988,""))</f>
        <v/>
      </c>
      <c r="Q988" s="244" t="str">
        <f t="shared" si="669"/>
        <v>Luminárias e Acessorios - Subsolo</v>
      </c>
      <c r="R988" s="234">
        <f t="shared" ca="1" si="670"/>
        <v>1</v>
      </c>
      <c r="S988" s="233" t="s">
        <v>978</v>
      </c>
      <c r="T988" s="242" t="s">
        <v>170</v>
      </c>
      <c r="U988" s="235">
        <v>1</v>
      </c>
      <c r="V988" s="320" t="s">
        <v>35</v>
      </c>
      <c r="W988" s="236" t="str">
        <f>IFERROR(IF(B988="INSUMO",_xlfn.XLOOKUP(S988,Insumos!A:A,Insumos!C:C),""),"Inserir Preço")</f>
        <v/>
      </c>
      <c r="X988" s="235">
        <f t="shared" ca="1" si="671"/>
        <v>1</v>
      </c>
      <c r="Y988" s="236">
        <f t="shared" ca="1" si="644"/>
        <v>779.87220899209137</v>
      </c>
      <c r="Z988" s="237">
        <f t="shared" ca="1" si="666"/>
        <v>779.87220899209137</v>
      </c>
      <c r="AA988" s="238"/>
      <c r="AB988" s="233" t="str">
        <f>IF(B988="insumo",_xlfn.XLOOKUP(S988,Insumos!A:A,Insumos!D:D),"")</f>
        <v/>
      </c>
      <c r="AC988" s="239">
        <f t="shared" ca="1" si="667"/>
        <v>1.1187977863434608E-4</v>
      </c>
      <c r="AE988" s="240">
        <f ca="1">IFERROR(IF(OR(Z988="",Z988=0),"",IF(AF988="","",IF(AF988="R$/mês",Z988/OBRA!$D$12,IF(AF988="R$/m²",Z988/OBRA!$D$10,IF(AF988="R$/apto",Orçamento!Z988/OBRA!$D$11,""))))),"")</f>
        <v>0.40132779392665374</v>
      </c>
      <c r="AF988" s="241" t="s">
        <v>154</v>
      </c>
    </row>
    <row r="989" spans="1:32" s="10" customFormat="1" ht="13.15" hidden="1" customHeight="1" outlineLevel="4" x14ac:dyDescent="0.2">
      <c r="A989" s="227"/>
      <c r="B989" s="228" t="s">
        <v>19</v>
      </c>
      <c r="C989" s="229">
        <f t="shared" si="665"/>
        <v>1</v>
      </c>
      <c r="D989" s="227" t="str">
        <f>IF(B989="Unidade Construtiva",TEXT(F989,"00"),IF(B989="Célula Construtiva",TEXT(H989,"00"),IF(B989="Etapa",CONCATENATE(TEXT(H989,"00"),".",TEXT(J989,"000")),IF(B989="Subetapa",CONCATENATE(TEXT(H989,"00"),".",TEXT(J989,"000"),".",TEXT(L989,"000")),IF(B989="Serviço",CONCATENATE(TEXT(H989,"00"),".",TEXT(J989,"000"),".",TEXT(L989,"000"),".",TEXT(N989,"000")),"")))))</f>
        <v/>
      </c>
      <c r="E989" s="228" t="str">
        <f ca="1">IF(B989="*","",IFERROR(IF(B989="SERVIÇO",D989,OFFSET(E989,-1,0)),""))</f>
        <v>07.001.005.001</v>
      </c>
      <c r="F989" s="230">
        <f ca="1">IF($B989="UNIDADE CONSTRUTIVA",OFFSET(F989,-1,0)+1,LARGE(F$10:F988,1))</f>
        <v>2</v>
      </c>
      <c r="G989" s="228" t="str">
        <f t="shared" ca="1" si="673"/>
        <v xml:space="preserve">   GERENCIAMENTO EXECUTIVO</v>
      </c>
      <c r="H989" s="230">
        <f ca="1">IF(B989="UNIDADE CONSTRUTIVA",0,IF(B989="CÉLULA CONSTRUTIVA",OFFSET(H989,-1,0)+1,OFFSET(H989,-1,0)))</f>
        <v>7</v>
      </c>
      <c r="I989" s="228" t="str">
        <f t="shared" ca="1" si="675"/>
        <v xml:space="preserve">   SISTEMAS E INSTALAÇÕES ELÉTRICAS</v>
      </c>
      <c r="J989" s="230">
        <f ca="1">IF(B989="CÉLULA CONSTRUTIVA",0,IF(B989="ETAPA",OFFSET(J989,-1,0)+1,OFFSET(J989,-1,0)))</f>
        <v>1</v>
      </c>
      <c r="K989" s="228" t="str">
        <f t="shared" ca="1" si="677"/>
        <v xml:space="preserve">   SISTEMAS E INSTALAÇÕES ELÉTRICAS - 1º PAVIMENTO - SUBSOLO</v>
      </c>
      <c r="L989" s="231">
        <f ca="1">IF(B989="ETAPA",0,IF(B989="SUBETAPA",OFFSET(L989,-1,0)+1,OFFSET(L989,-1,0)))</f>
        <v>5</v>
      </c>
      <c r="M989" s="228" t="str">
        <f t="shared" ca="1" si="679"/>
        <v xml:space="preserve">   Luminárias - Lâmpadas e Acessórios</v>
      </c>
      <c r="N989" s="231">
        <f ca="1">IF(B989="Subetapa",0,IF(B989="serviço",OFFSET(N989,-1,0)+1,OFFSET(N989,-1,0)))</f>
        <v>1</v>
      </c>
      <c r="O989" s="228" t="str">
        <f t="shared" ca="1" si="681"/>
        <v>Luminárias e Acessorios - Subsolo</v>
      </c>
      <c r="P989" s="232" t="str">
        <f>IF(S989="","",IF(Orçamento!$B989="INSUMO",S989,""))</f>
        <v>LUMINÁRIAS - SUBSOLO</v>
      </c>
      <c r="Q989" s="244" t="str">
        <f>IF(B989="","",IF(B989="Serviço",S989,""))</f>
        <v/>
      </c>
      <c r="R989" s="234">
        <f t="shared" ca="1" si="670"/>
        <v>1</v>
      </c>
      <c r="S989" s="233" t="s">
        <v>968</v>
      </c>
      <c r="T989" s="242" t="str">
        <f>_xlfn.XLOOKUP(S989,Insumos!$A$3:$A$371,Insumos!$B$3:$B$371)</f>
        <v>VB</v>
      </c>
      <c r="U989" s="235">
        <f ca="1">IF($B989="insumo",R989,"")</f>
        <v>1</v>
      </c>
      <c r="V989" s="320">
        <v>1</v>
      </c>
      <c r="W989" s="236">
        <f>IFERROR(IF(B989="INSUMO",_xlfn.XLOOKUP(S989,Insumos!A:A,Insumos!C:C),""),"Inserir Preço")</f>
        <v>779.87220899209137</v>
      </c>
      <c r="X989" s="235">
        <f t="shared" ca="1" si="671"/>
        <v>1</v>
      </c>
      <c r="Y989" s="236">
        <f t="shared" si="644"/>
        <v>779.87220899209137</v>
      </c>
      <c r="Z989" s="237">
        <f t="shared" ca="1" si="666"/>
        <v>779.87220899209137</v>
      </c>
      <c r="AA989" s="238"/>
      <c r="AB989" s="233" t="str">
        <f>IF(B989="insumo",_xlfn.XLOOKUP(S989,Insumos!A:A,Insumos!D:D),"")</f>
        <v>Lista de Elétrica</v>
      </c>
      <c r="AC989" s="239">
        <f t="shared" ca="1" si="667"/>
        <v>1.1187977863434608E-4</v>
      </c>
      <c r="AE989" s="240">
        <f ca="1">IFERROR(IF(OR(Z989="",Z989=0),"",IF(AF989="","",IF(AF989="R$/mês",Z989/OBRA!$D$12,IF(AF989="R$/m²",Z989/OBRA!$D$10,IF(AF989="R$/apto",Orçamento!Z989/OBRA!$D$11,""))))),"")</f>
        <v>0.40132779392665374</v>
      </c>
      <c r="AF989" s="241" t="s">
        <v>154</v>
      </c>
    </row>
    <row r="990" spans="1:32" s="10" customFormat="1" ht="13.15" hidden="1" customHeight="1" outlineLevel="3" collapsed="1" x14ac:dyDescent="0.2">
      <c r="A990" s="227"/>
      <c r="B990" s="228" t="s">
        <v>3</v>
      </c>
      <c r="C990" s="229" t="str">
        <f t="shared" si="665"/>
        <v/>
      </c>
      <c r="D990" s="227" t="str">
        <f t="shared" ca="1" si="668"/>
        <v>07.001.006</v>
      </c>
      <c r="E990" s="228" t="str">
        <f t="shared" ca="1" si="672"/>
        <v>07.001.005.001</v>
      </c>
      <c r="F990" s="230">
        <f ca="1">IF($B990="UNIDADE CONSTRUTIVA",OFFSET(F990,-1,0)+1,LARGE(F$10:F989,1))</f>
        <v>2</v>
      </c>
      <c r="G990" s="228" t="str">
        <f t="shared" ca="1" si="673"/>
        <v xml:space="preserve">   GERENCIAMENTO EXECUTIVO</v>
      </c>
      <c r="H990" s="230">
        <f t="shared" ca="1" si="674"/>
        <v>7</v>
      </c>
      <c r="I990" s="228" t="str">
        <f t="shared" ca="1" si="675"/>
        <v xml:space="preserve">   SISTEMAS E INSTALAÇÕES ELÉTRICAS</v>
      </c>
      <c r="J990" s="230">
        <f t="shared" ca="1" si="676"/>
        <v>1</v>
      </c>
      <c r="K990" s="228" t="str">
        <f t="shared" ca="1" si="677"/>
        <v xml:space="preserve">   SISTEMAS E INSTALAÇÕES ELÉTRICAS - 1º PAVIMENTO - SUBSOLO</v>
      </c>
      <c r="L990" s="231">
        <f t="shared" ca="1" si="678"/>
        <v>6</v>
      </c>
      <c r="M990" s="228" t="str">
        <f t="shared" ca="1" si="679"/>
        <v xml:space="preserve">   Mão de Obra</v>
      </c>
      <c r="N990" s="231">
        <f t="shared" ca="1" si="680"/>
        <v>0</v>
      </c>
      <c r="O990" s="228" t="str">
        <f t="shared" ca="1" si="681"/>
        <v>Luminárias e Acessorios - Subsolo</v>
      </c>
      <c r="P990" s="232" t="str">
        <f>IF(S990="","",IF(Orçamento!$B990="INSUMO",S990,""))</f>
        <v/>
      </c>
      <c r="Q990" s="244" t="str">
        <f t="shared" si="669"/>
        <v/>
      </c>
      <c r="R990" s="234">
        <f t="shared" ca="1" si="670"/>
        <v>1</v>
      </c>
      <c r="S990" s="233" t="s">
        <v>438</v>
      </c>
      <c r="T990" s="242" t="s">
        <v>35</v>
      </c>
      <c r="U990" s="235" t="str">
        <f>IF($B990="insumo",R990,"")</f>
        <v/>
      </c>
      <c r="V990" s="320" t="s">
        <v>35</v>
      </c>
      <c r="W990" s="236" t="str">
        <f>IFERROR(IF(B990="INSUMO",_xlfn.XLOOKUP(S990,Insumos!A:A,Insumos!C:C),""),"Inserir Preço")</f>
        <v/>
      </c>
      <c r="X990" s="235" t="str">
        <f t="shared" ca="1" si="671"/>
        <v/>
      </c>
      <c r="Y990" s="236" t="str">
        <f t="shared" si="644"/>
        <v/>
      </c>
      <c r="Z990" s="237">
        <f t="shared" ca="1" si="666"/>
        <v>17768.788076102592</v>
      </c>
      <c r="AA990" s="238"/>
      <c r="AB990" s="233" t="str">
        <f>IF(B990="insumo",_xlfn.XLOOKUP(S990,Insumos!A:A,Insumos!D:D),"")</f>
        <v/>
      </c>
      <c r="AC990" s="239">
        <f t="shared" ca="1" si="667"/>
        <v>2.5490946511919185E-3</v>
      </c>
      <c r="AE990" s="240">
        <f ca="1">IFERROR(IF(OR(Z990="",Z990=0),"",IF(AF990="","",IF(AF990="R$/mês",Z990/OBRA!$D$12,IF(AF990="R$/m²",Z990/OBRA!$D$10,IF(AF990="R$/apto",Orçamento!Z990/OBRA!$D$11,""))))),"")</f>
        <v>9.1439449144478999</v>
      </c>
      <c r="AF990" s="241" t="s">
        <v>154</v>
      </c>
    </row>
    <row r="991" spans="1:32" s="10" customFormat="1" ht="13.15" hidden="1" customHeight="1" outlineLevel="4" x14ac:dyDescent="0.2">
      <c r="A991" s="227"/>
      <c r="B991" s="228" t="s">
        <v>4</v>
      </c>
      <c r="C991" s="229">
        <f t="shared" si="665"/>
        <v>5</v>
      </c>
      <c r="D991" s="227" t="str">
        <f t="shared" ca="1" si="668"/>
        <v>07.001.006.001</v>
      </c>
      <c r="E991" s="228" t="str">
        <f t="shared" ca="1" si="672"/>
        <v>07.001.006.001</v>
      </c>
      <c r="F991" s="230">
        <f ca="1">IF($B991="UNIDADE CONSTRUTIVA",OFFSET(F991,-1,0)+1,LARGE(F$10:F990,1))</f>
        <v>2</v>
      </c>
      <c r="G991" s="228" t="str">
        <f t="shared" ca="1" si="673"/>
        <v xml:space="preserve">   GERENCIAMENTO EXECUTIVO</v>
      </c>
      <c r="H991" s="230">
        <f t="shared" ca="1" si="674"/>
        <v>7</v>
      </c>
      <c r="I991" s="228" t="str">
        <f t="shared" ca="1" si="675"/>
        <v xml:space="preserve">   SISTEMAS E INSTALAÇÕES ELÉTRICAS</v>
      </c>
      <c r="J991" s="230">
        <f t="shared" ca="1" si="676"/>
        <v>1</v>
      </c>
      <c r="K991" s="228" t="str">
        <f t="shared" ca="1" si="677"/>
        <v xml:space="preserve">   SISTEMAS E INSTALAÇÕES ELÉTRICAS - 1º PAVIMENTO - SUBSOLO</v>
      </c>
      <c r="L991" s="231">
        <f t="shared" ca="1" si="678"/>
        <v>6</v>
      </c>
      <c r="M991" s="228" t="str">
        <f t="shared" ca="1" si="679"/>
        <v xml:space="preserve">   Mão de Obra</v>
      </c>
      <c r="N991" s="231">
        <f t="shared" ca="1" si="680"/>
        <v>1</v>
      </c>
      <c r="O991" s="228" t="str">
        <f t="shared" ca="1" si="681"/>
        <v>Mao de obra de instalacoes eletricas</v>
      </c>
      <c r="P991" s="232" t="str">
        <f>IF(S991="","",IF(Orçamento!$B991="INSUMO",S991,""))</f>
        <v/>
      </c>
      <c r="Q991" s="244" t="str">
        <f t="shared" si="669"/>
        <v>Mao de obra de instalacoes eletricas</v>
      </c>
      <c r="R991" s="234">
        <f t="shared" ca="1" si="670"/>
        <v>483.03789999999998</v>
      </c>
      <c r="S991" s="233" t="s">
        <v>447</v>
      </c>
      <c r="T991" s="242" t="s">
        <v>140</v>
      </c>
      <c r="U991" s="235">
        <f ca="1">'Custos Serviços'!B19</f>
        <v>483.03789999999998</v>
      </c>
      <c r="V991" s="320" t="s">
        <v>35</v>
      </c>
      <c r="W991" s="236" t="str">
        <f>IFERROR(IF(B991="INSUMO",_xlfn.XLOOKUP(S991,Insumos!A:A,Insumos!C:C),""),"Inserir Preço")</f>
        <v/>
      </c>
      <c r="X991" s="235">
        <f t="shared" ca="1" si="671"/>
        <v>483.03789999999998</v>
      </c>
      <c r="Y991" s="236">
        <f t="shared" ca="1" si="644"/>
        <v>36.785494629101763</v>
      </c>
      <c r="Z991" s="237">
        <f t="shared" ca="1" si="666"/>
        <v>17768.788076102592</v>
      </c>
      <c r="AA991" s="238"/>
      <c r="AB991" s="233" t="str">
        <f>IF(B991="insumo",_xlfn.XLOOKUP(S991,Insumos!A:A,Insumos!D:D),"")</f>
        <v/>
      </c>
      <c r="AC991" s="239">
        <f t="shared" ca="1" si="667"/>
        <v>2.5490946511919185E-3</v>
      </c>
      <c r="AE991" s="240">
        <f ca="1">IFERROR(IF(OR(Z991="",Z991=0),"",IF(AF991="","",IF(AF991="R$/mês",Z991/OBRA!$D$12,IF(AF991="R$/m²",Z991/OBRA!$D$10,IF(AF991="R$/apto",Orçamento!Z991/OBRA!$D$11,""))))),"")</f>
        <v>9.1439449144478999</v>
      </c>
      <c r="AF991" s="241" t="s">
        <v>154</v>
      </c>
    </row>
    <row r="992" spans="1:32" s="10" customFormat="1" ht="13.15" hidden="1" customHeight="1" outlineLevel="4" x14ac:dyDescent="0.2">
      <c r="A992" s="227"/>
      <c r="B992" s="228" t="s">
        <v>19</v>
      </c>
      <c r="C992" s="229">
        <f t="shared" si="665"/>
        <v>5</v>
      </c>
      <c r="D992" s="227" t="str">
        <f t="shared" si="668"/>
        <v/>
      </c>
      <c r="E992" s="228" t="str">
        <f t="shared" ca="1" si="672"/>
        <v>07.001.006.001</v>
      </c>
      <c r="F992" s="230">
        <f ca="1">IF($B992="UNIDADE CONSTRUTIVA",OFFSET(F992,-1,0)+1,LARGE(F$10:F991,1))</f>
        <v>2</v>
      </c>
      <c r="G992" s="228" t="str">
        <f t="shared" ca="1" si="673"/>
        <v xml:space="preserve">   GERENCIAMENTO EXECUTIVO</v>
      </c>
      <c r="H992" s="230">
        <f t="shared" ca="1" si="674"/>
        <v>7</v>
      </c>
      <c r="I992" s="228" t="str">
        <f t="shared" ca="1" si="675"/>
        <v xml:space="preserve">   SISTEMAS E INSTALAÇÕES ELÉTRICAS</v>
      </c>
      <c r="J992" s="230">
        <f t="shared" ca="1" si="676"/>
        <v>1</v>
      </c>
      <c r="K992" s="228" t="str">
        <f t="shared" ca="1" si="677"/>
        <v xml:space="preserve">   SISTEMAS E INSTALAÇÕES ELÉTRICAS - 1º PAVIMENTO - SUBSOLO</v>
      </c>
      <c r="L992" s="231">
        <f t="shared" ca="1" si="678"/>
        <v>6</v>
      </c>
      <c r="M992" s="228" t="str">
        <f t="shared" ca="1" si="679"/>
        <v xml:space="preserve">   Mão de Obra</v>
      </c>
      <c r="N992" s="231">
        <f t="shared" ca="1" si="680"/>
        <v>1</v>
      </c>
      <c r="O992" s="228" t="str">
        <f t="shared" ca="1" si="681"/>
        <v>Mao de obra de instalacoes eletricas</v>
      </c>
      <c r="P992" s="232" t="str">
        <f>IF(S992="","",IF(Orçamento!$B992="INSUMO",S992,""))</f>
        <v>Mão de obra de instalações eletricas</v>
      </c>
      <c r="Q992" s="244" t="str">
        <f t="shared" si="669"/>
        <v/>
      </c>
      <c r="R992" s="234">
        <f t="shared" ca="1" si="670"/>
        <v>483.03789999999998</v>
      </c>
      <c r="S992" s="233" t="s">
        <v>251</v>
      </c>
      <c r="T992" s="242" t="str">
        <f>_xlfn.XLOOKUP(S992,Insumos!$A$3:$A$371,Insumos!$B$3:$B$371)</f>
        <v>VB</v>
      </c>
      <c r="U992" s="235">
        <f ca="1">IF($B992="insumo",R992,"")</f>
        <v>483.03789999999998</v>
      </c>
      <c r="V992" s="320">
        <v>1</v>
      </c>
      <c r="W992" s="236">
        <f ca="1">IFERROR(IF(B992="INSUMO",_xlfn.XLOOKUP(S992,Insumos!A:A,Insumos!C:C),""),"Inserir Preço")</f>
        <v>36.785494629101763</v>
      </c>
      <c r="X992" s="235">
        <f t="shared" ca="1" si="671"/>
        <v>483.03789999999998</v>
      </c>
      <c r="Y992" s="236">
        <f t="shared" ca="1" si="644"/>
        <v>36.785494629101763</v>
      </c>
      <c r="Z992" s="237">
        <f t="shared" ca="1" si="666"/>
        <v>17768.788076102592</v>
      </c>
      <c r="AA992" s="238"/>
      <c r="AB992" s="233" t="str">
        <f>IF(B992="insumo",_xlfn.XLOOKUP(S992,Insumos!A:A,Insumos!D:D),"")</f>
        <v>Aba Custo Serviços</v>
      </c>
      <c r="AC992" s="239">
        <f t="shared" ca="1" si="667"/>
        <v>2.5490946511919185E-3</v>
      </c>
      <c r="AE992" s="240">
        <f ca="1">IFERROR(IF(OR(Z992="",Z992=0),"",IF(AF992="","",IF(AF992="R$/mês",Z992/OBRA!$D$12,IF(AF992="R$/m²",Z992/OBRA!$D$10,IF(AF992="R$/apto",Orçamento!Z992/OBRA!$D$11,""))))),"")</f>
        <v>9.1439449144478999</v>
      </c>
      <c r="AF992" s="241" t="s">
        <v>154</v>
      </c>
    </row>
    <row r="993" spans="1:32" s="10" customFormat="1" ht="13.15" customHeight="1" outlineLevel="2" collapsed="1" x14ac:dyDescent="0.2">
      <c r="A993" s="227"/>
      <c r="B993" s="228" t="s">
        <v>2</v>
      </c>
      <c r="C993" s="229" t="str">
        <f t="shared" si="665"/>
        <v/>
      </c>
      <c r="D993" s="227" t="str">
        <f t="shared" ca="1" si="668"/>
        <v>07.002</v>
      </c>
      <c r="E993" s="228" t="str">
        <f t="shared" ca="1" si="672"/>
        <v>07.001.006.001</v>
      </c>
      <c r="F993" s="230">
        <f ca="1">IF($B993="UNIDADE CONSTRUTIVA",OFFSET(F993,-1,0)+1,LARGE(F$10:F992,1))</f>
        <v>2</v>
      </c>
      <c r="G993" s="228" t="str">
        <f t="shared" ca="1" si="673"/>
        <v xml:space="preserve">   GERENCIAMENTO EXECUTIVO</v>
      </c>
      <c r="H993" s="230">
        <f t="shared" ca="1" si="674"/>
        <v>7</v>
      </c>
      <c r="I993" s="228" t="str">
        <f t="shared" ca="1" si="675"/>
        <v xml:space="preserve">   SISTEMAS E INSTALAÇÕES ELÉTRICAS</v>
      </c>
      <c r="J993" s="230">
        <f t="shared" ca="1" si="676"/>
        <v>2</v>
      </c>
      <c r="K993" s="228" t="str">
        <f t="shared" ca="1" si="677"/>
        <v xml:space="preserve">   SISTEMAS E INSTALAÇÕES ELÉTRICAS - 2º PAVIMENTO - TÉRREO</v>
      </c>
      <c r="L993" s="231">
        <f t="shared" ca="1" si="678"/>
        <v>0</v>
      </c>
      <c r="M993" s="228" t="str">
        <f t="shared" ca="1" si="679"/>
        <v xml:space="preserve">   Mão de Obra</v>
      </c>
      <c r="N993" s="231">
        <f t="shared" ca="1" si="680"/>
        <v>1</v>
      </c>
      <c r="O993" s="228" t="str">
        <f t="shared" ca="1" si="681"/>
        <v>Mao de obra de instalacoes eletricas</v>
      </c>
      <c r="P993" s="232" t="str">
        <f>IF(S993="","",IF(Orçamento!$B993="INSUMO",S993,""))</f>
        <v/>
      </c>
      <c r="Q993" s="244" t="str">
        <f t="shared" si="669"/>
        <v/>
      </c>
      <c r="R993" s="234">
        <f t="shared" ca="1" si="670"/>
        <v>483.03789999999998</v>
      </c>
      <c r="S993" s="233" t="s">
        <v>643</v>
      </c>
      <c r="T993" s="242" t="s">
        <v>35</v>
      </c>
      <c r="U993" s="235" t="str">
        <f>IF($B993="insumo",R993,"")</f>
        <v/>
      </c>
      <c r="V993" s="320" t="s">
        <v>35</v>
      </c>
      <c r="W993" s="236" t="str">
        <f>IFERROR(IF(B993="INSUMO",_xlfn.XLOOKUP(S993,Insumos!A:A,Insumos!C:C),""),"Inserir Preço")</f>
        <v/>
      </c>
      <c r="X993" s="235" t="str">
        <f t="shared" ca="1" si="671"/>
        <v/>
      </c>
      <c r="Y993" s="236" t="str">
        <f t="shared" si="644"/>
        <v/>
      </c>
      <c r="Z993" s="237">
        <f t="shared" ca="1" si="666"/>
        <v>46253.879082852218</v>
      </c>
      <c r="AA993" s="238"/>
      <c r="AB993" s="233" t="str">
        <f>IF(B993="insumo",_xlfn.XLOOKUP(S993,Insumos!A:A,Insumos!D:D),"")</f>
        <v/>
      </c>
      <c r="AC993" s="239">
        <f t="shared" ca="1" si="667"/>
        <v>6.6355406605106944E-3</v>
      </c>
      <c r="AE993" s="240">
        <f ca="1">IFERROR(IF(OR(Z993="",Z993=0),"",IF(AF993="","",IF(AF993="R$/mês",Z993/OBRA!$D$12,IF(AF993="R$/m²",Z993/OBRA!$D$10,IF(AF993="R$/apto",Orçamento!Z993/OBRA!$D$11,""))))),"")</f>
        <v>23.802575651287917</v>
      </c>
      <c r="AF993" s="241" t="s">
        <v>154</v>
      </c>
    </row>
    <row r="994" spans="1:32" s="10" customFormat="1" ht="13.15" hidden="1" customHeight="1" outlineLevel="3" collapsed="1" x14ac:dyDescent="0.2">
      <c r="A994" s="227"/>
      <c r="B994" s="228" t="s">
        <v>3</v>
      </c>
      <c r="C994" s="229" t="str">
        <f t="shared" si="665"/>
        <v/>
      </c>
      <c r="D994" s="227" t="str">
        <f t="shared" ca="1" si="668"/>
        <v>07.002.001</v>
      </c>
      <c r="E994" s="228" t="str">
        <f t="shared" ca="1" si="672"/>
        <v>07.001.006.001</v>
      </c>
      <c r="F994" s="230">
        <f ca="1">IF($B994="UNIDADE CONSTRUTIVA",OFFSET(F994,-1,0)+1,LARGE(F$10:F993,1))</f>
        <v>2</v>
      </c>
      <c r="G994" s="228" t="str">
        <f t="shared" ca="1" si="673"/>
        <v xml:space="preserve">   GERENCIAMENTO EXECUTIVO</v>
      </c>
      <c r="H994" s="230">
        <f t="shared" ca="1" si="674"/>
        <v>7</v>
      </c>
      <c r="I994" s="228" t="str">
        <f t="shared" ca="1" si="675"/>
        <v xml:space="preserve">   SISTEMAS E INSTALAÇÕES ELÉTRICAS</v>
      </c>
      <c r="J994" s="230">
        <f t="shared" ca="1" si="676"/>
        <v>2</v>
      </c>
      <c r="K994" s="228" t="str">
        <f t="shared" ca="1" si="677"/>
        <v xml:space="preserve">   SISTEMAS E INSTALAÇÕES ELÉTRICAS - 2º PAVIMENTO - TÉRREO</v>
      </c>
      <c r="L994" s="231">
        <f t="shared" ca="1" si="678"/>
        <v>1</v>
      </c>
      <c r="M994" s="228" t="str">
        <f t="shared" ca="1" si="679"/>
        <v xml:space="preserve">   Quadros Elétricos e Disjuntores</v>
      </c>
      <c r="N994" s="231">
        <f t="shared" ca="1" si="680"/>
        <v>0</v>
      </c>
      <c r="O994" s="228" t="str">
        <f t="shared" ca="1" si="681"/>
        <v>Mao de obra de instalacoes eletricas</v>
      </c>
      <c r="P994" s="232" t="str">
        <f>IF(S994="","",IF(Orçamento!$B994="INSUMO",S994,""))</f>
        <v/>
      </c>
      <c r="Q994" s="244" t="str">
        <f t="shared" si="669"/>
        <v/>
      </c>
      <c r="R994" s="234">
        <f t="shared" ca="1" si="670"/>
        <v>483.03789999999998</v>
      </c>
      <c r="S994" s="233" t="s">
        <v>442</v>
      </c>
      <c r="T994" s="242" t="s">
        <v>35</v>
      </c>
      <c r="U994" s="235" t="str">
        <f>IF($B994="insumo",R994,"")</f>
        <v/>
      </c>
      <c r="V994" s="320" t="s">
        <v>35</v>
      </c>
      <c r="W994" s="236" t="str">
        <f>IFERROR(IF(B994="INSUMO",_xlfn.XLOOKUP(S994,Insumos!A:A,Insumos!C:C),""),"Inserir Preço")</f>
        <v/>
      </c>
      <c r="X994" s="235" t="str">
        <f t="shared" ca="1" si="671"/>
        <v/>
      </c>
      <c r="Y994" s="236" t="str">
        <f t="shared" si="644"/>
        <v/>
      </c>
      <c r="Z994" s="237">
        <f t="shared" ca="1" si="666"/>
        <v>4392.4124176349396</v>
      </c>
      <c r="AA994" s="238"/>
      <c r="AB994" s="233" t="str">
        <f>IF(B994="insumo",_xlfn.XLOOKUP(S994,Insumos!A:A,Insumos!D:D),"")</f>
        <v/>
      </c>
      <c r="AC994" s="239">
        <f t="shared" ca="1" si="667"/>
        <v>6.3013160783208959E-4</v>
      </c>
      <c r="AE994" s="240">
        <f ca="1">IFERROR(IF(OR(Z994="",Z994=0),"",IF(AF994="","",IF(AF994="R$/mês",Z994/OBRA!$D$12,IF(AF994="R$/m²",Z994/OBRA!$D$10,IF(AF994="R$/apto",Orçamento!Z994/OBRA!$D$11,""))))),"")</f>
        <v>2.2603667181110518</v>
      </c>
      <c r="AF994" s="241" t="s">
        <v>154</v>
      </c>
    </row>
    <row r="995" spans="1:32" s="10" customFormat="1" ht="13.15" hidden="1" customHeight="1" outlineLevel="4" x14ac:dyDescent="0.2">
      <c r="A995" s="227"/>
      <c r="B995" s="228" t="s">
        <v>4</v>
      </c>
      <c r="C995" s="229">
        <f t="shared" si="665"/>
        <v>1</v>
      </c>
      <c r="D995" s="227" t="str">
        <f t="shared" ca="1" si="668"/>
        <v>07.002.001.001</v>
      </c>
      <c r="E995" s="228" t="str">
        <f t="shared" ca="1" si="672"/>
        <v>07.002.001.001</v>
      </c>
      <c r="F995" s="230">
        <f ca="1">IF($B995="UNIDADE CONSTRUTIVA",OFFSET(F995,-1,0)+1,LARGE(F$10:F994,1))</f>
        <v>2</v>
      </c>
      <c r="G995" s="228" t="str">
        <f t="shared" ca="1" si="673"/>
        <v xml:space="preserve">   GERENCIAMENTO EXECUTIVO</v>
      </c>
      <c r="H995" s="230">
        <f t="shared" ca="1" si="674"/>
        <v>7</v>
      </c>
      <c r="I995" s="228" t="str">
        <f t="shared" ca="1" si="675"/>
        <v xml:space="preserve">   SISTEMAS E INSTALAÇÕES ELÉTRICAS</v>
      </c>
      <c r="J995" s="230">
        <f t="shared" ca="1" si="676"/>
        <v>2</v>
      </c>
      <c r="K995" s="228" t="str">
        <f t="shared" ca="1" si="677"/>
        <v xml:space="preserve">   SISTEMAS E INSTALAÇÕES ELÉTRICAS - 2º PAVIMENTO - TÉRREO</v>
      </c>
      <c r="L995" s="231">
        <f t="shared" ca="1" si="678"/>
        <v>1</v>
      </c>
      <c r="M995" s="228" t="str">
        <f t="shared" ca="1" si="679"/>
        <v xml:space="preserve">   Quadros Elétricos e Disjuntores</v>
      </c>
      <c r="N995" s="231">
        <f t="shared" ca="1" si="680"/>
        <v>1</v>
      </c>
      <c r="O995" s="228" t="str">
        <f t="shared" ca="1" si="681"/>
        <v>Quadros e Disjuntores - Térreo</v>
      </c>
      <c r="P995" s="232" t="str">
        <f>IF(S995="","",IF(Orçamento!$B995="INSUMO",S995,""))</f>
        <v/>
      </c>
      <c r="Q995" s="244" t="str">
        <f t="shared" si="669"/>
        <v>Quadros e Disjuntores - Térreo</v>
      </c>
      <c r="R995" s="234">
        <f t="shared" ca="1" si="670"/>
        <v>1</v>
      </c>
      <c r="S995" s="233" t="s">
        <v>982</v>
      </c>
      <c r="T995" s="242" t="s">
        <v>170</v>
      </c>
      <c r="U995" s="235">
        <v>1</v>
      </c>
      <c r="V995" s="320" t="s">
        <v>35</v>
      </c>
      <c r="W995" s="236" t="str">
        <f>IFERROR(IF(B995="INSUMO",_xlfn.XLOOKUP(S995,Insumos!A:A,Insumos!C:C),""),"Inserir Preço")</f>
        <v/>
      </c>
      <c r="X995" s="235">
        <f t="shared" ca="1" si="671"/>
        <v>1</v>
      </c>
      <c r="Y995" s="236">
        <f t="shared" ca="1" si="644"/>
        <v>4392.4124176349396</v>
      </c>
      <c r="Z995" s="237">
        <f t="shared" ca="1" si="666"/>
        <v>4392.4124176349396</v>
      </c>
      <c r="AA995" s="238"/>
      <c r="AB995" s="233" t="str">
        <f>IF(B995="insumo",_xlfn.XLOOKUP(S995,Insumos!A:A,Insumos!D:D),"")</f>
        <v/>
      </c>
      <c r="AC995" s="239">
        <f t="shared" ca="1" si="667"/>
        <v>6.3013160783208959E-4</v>
      </c>
      <c r="AE995" s="240">
        <f ca="1">IFERROR(IF(OR(Z995="",Z995=0),"",IF(AF995="","",IF(AF995="R$/mês",Z995/OBRA!$D$12,IF(AF995="R$/m²",Z995/OBRA!$D$10,IF(AF995="R$/apto",Orçamento!Z995/OBRA!$D$11,""))))),"")</f>
        <v>2.2603667181110518</v>
      </c>
      <c r="AF995" s="241" t="s">
        <v>154</v>
      </c>
    </row>
    <row r="996" spans="1:32" s="10" customFormat="1" ht="13.15" hidden="1" customHeight="1" outlineLevel="4" x14ac:dyDescent="0.2">
      <c r="A996" s="227"/>
      <c r="B996" s="228" t="s">
        <v>19</v>
      </c>
      <c r="C996" s="229">
        <f t="shared" si="665"/>
        <v>1</v>
      </c>
      <c r="D996" s="227" t="str">
        <f t="shared" si="668"/>
        <v/>
      </c>
      <c r="E996" s="228" t="str">
        <f t="shared" ca="1" si="672"/>
        <v>07.002.001.001</v>
      </c>
      <c r="F996" s="230">
        <f ca="1">IF($B996="UNIDADE CONSTRUTIVA",OFFSET(F996,-1,0)+1,LARGE(F$10:F995,1))</f>
        <v>2</v>
      </c>
      <c r="G996" s="228" t="str">
        <f t="shared" ca="1" si="673"/>
        <v xml:space="preserve">   GERENCIAMENTO EXECUTIVO</v>
      </c>
      <c r="H996" s="230">
        <f t="shared" ca="1" si="674"/>
        <v>7</v>
      </c>
      <c r="I996" s="228" t="str">
        <f t="shared" ca="1" si="675"/>
        <v xml:space="preserve">   SISTEMAS E INSTALAÇÕES ELÉTRICAS</v>
      </c>
      <c r="J996" s="230">
        <f t="shared" ca="1" si="676"/>
        <v>2</v>
      </c>
      <c r="K996" s="228" t="str">
        <f t="shared" ca="1" si="677"/>
        <v xml:space="preserve">   SISTEMAS E INSTALAÇÕES ELÉTRICAS - 2º PAVIMENTO - TÉRREO</v>
      </c>
      <c r="L996" s="231">
        <f t="shared" ca="1" si="678"/>
        <v>1</v>
      </c>
      <c r="M996" s="228" t="str">
        <f t="shared" ca="1" si="679"/>
        <v xml:space="preserve">   Quadros Elétricos e Disjuntores</v>
      </c>
      <c r="N996" s="231">
        <f t="shared" ca="1" si="680"/>
        <v>1</v>
      </c>
      <c r="O996" s="228" t="str">
        <f t="shared" ca="1" si="681"/>
        <v>Quadros e Disjuntores - Térreo</v>
      </c>
      <c r="P996" s="232" t="str">
        <f>IF(S996="","",IF(Orçamento!$B996="INSUMO",S996,""))</f>
        <v>QUADROS E DISJUNTORES - TERREO</v>
      </c>
      <c r="Q996" s="244" t="str">
        <f t="shared" si="669"/>
        <v/>
      </c>
      <c r="R996" s="234">
        <f t="shared" ca="1" si="670"/>
        <v>1</v>
      </c>
      <c r="S996" s="233" t="s">
        <v>954</v>
      </c>
      <c r="T996" s="242" t="str">
        <f>_xlfn.XLOOKUP(S996,Insumos!$A$3:$A$371,Insumos!$B$3:$B$371)</f>
        <v>VB</v>
      </c>
      <c r="U996" s="235">
        <f ca="1">IF($B996="insumo",R996,"")</f>
        <v>1</v>
      </c>
      <c r="V996" s="320">
        <v>1</v>
      </c>
      <c r="W996" s="236">
        <f>IFERROR(IF(B996="INSUMO",_xlfn.XLOOKUP(S996,Insumos!A:A,Insumos!C:C),""),"Inserir Preço")</f>
        <v>4392.4124176349396</v>
      </c>
      <c r="X996" s="235">
        <f t="shared" ca="1" si="671"/>
        <v>1</v>
      </c>
      <c r="Y996" s="236">
        <f t="shared" si="644"/>
        <v>4392.4124176349396</v>
      </c>
      <c r="Z996" s="237">
        <f t="shared" ca="1" si="666"/>
        <v>4392.4124176349396</v>
      </c>
      <c r="AA996" s="238"/>
      <c r="AB996" s="233" t="str">
        <f>IF(B996="insumo",_xlfn.XLOOKUP(S996,Insumos!A:A,Insumos!D:D),"")</f>
        <v>Lista de Elétrica</v>
      </c>
      <c r="AC996" s="239">
        <f t="shared" ca="1" si="667"/>
        <v>6.3013160783208959E-4</v>
      </c>
      <c r="AE996" s="240">
        <f ca="1">IFERROR(IF(OR(Z996="",Z996=0),"",IF(AF996="","",IF(AF996="R$/mês",Z996/OBRA!$D$12,IF(AF996="R$/m²",Z996/OBRA!$D$10,IF(AF996="R$/apto",Orçamento!Z996/OBRA!$D$11,""))))),"")</f>
        <v>2.2603667181110518</v>
      </c>
      <c r="AF996" s="241" t="s">
        <v>154</v>
      </c>
    </row>
    <row r="997" spans="1:32" s="10" customFormat="1" ht="13.15" hidden="1" customHeight="1" outlineLevel="3" collapsed="1" x14ac:dyDescent="0.2">
      <c r="A997" s="227"/>
      <c r="B997" s="228" t="s">
        <v>3</v>
      </c>
      <c r="C997" s="229" t="str">
        <f t="shared" si="665"/>
        <v/>
      </c>
      <c r="D997" s="227" t="str">
        <f t="shared" ca="1" si="668"/>
        <v>07.002.002</v>
      </c>
      <c r="E997" s="228" t="str">
        <f t="shared" ca="1" si="672"/>
        <v>07.002.001.001</v>
      </c>
      <c r="F997" s="230">
        <f ca="1">IF($B997="UNIDADE CONSTRUTIVA",OFFSET(F997,-1,0)+1,LARGE(F$10:F996,1))</f>
        <v>2</v>
      </c>
      <c r="G997" s="228" t="str">
        <f t="shared" ca="1" si="673"/>
        <v xml:space="preserve">   GERENCIAMENTO EXECUTIVO</v>
      </c>
      <c r="H997" s="230">
        <f t="shared" ca="1" si="674"/>
        <v>7</v>
      </c>
      <c r="I997" s="228" t="str">
        <f t="shared" ca="1" si="675"/>
        <v xml:space="preserve">   SISTEMAS E INSTALAÇÕES ELÉTRICAS</v>
      </c>
      <c r="J997" s="230">
        <f t="shared" ca="1" si="676"/>
        <v>2</v>
      </c>
      <c r="K997" s="228" t="str">
        <f t="shared" ca="1" si="677"/>
        <v xml:space="preserve">   SISTEMAS E INSTALAÇÕES ELÉTRICAS - 2º PAVIMENTO - TÉRREO</v>
      </c>
      <c r="L997" s="231">
        <f t="shared" ca="1" si="678"/>
        <v>2</v>
      </c>
      <c r="M997" s="228" t="str">
        <f t="shared" ca="1" si="679"/>
        <v xml:space="preserve">   Eletrodutos e Eletrocalhas</v>
      </c>
      <c r="N997" s="231">
        <f t="shared" ca="1" si="680"/>
        <v>0</v>
      </c>
      <c r="O997" s="228" t="str">
        <f t="shared" ca="1" si="681"/>
        <v>Quadros e Disjuntores - Térreo</v>
      </c>
      <c r="P997" s="232" t="str">
        <f>IF(S997="","",IF(Orçamento!$B997="INSUMO",S997,""))</f>
        <v/>
      </c>
      <c r="Q997" s="244" t="str">
        <f t="shared" si="669"/>
        <v/>
      </c>
      <c r="R997" s="234">
        <f t="shared" ca="1" si="670"/>
        <v>1</v>
      </c>
      <c r="S997" s="233" t="s">
        <v>443</v>
      </c>
      <c r="T997" s="242" t="s">
        <v>35</v>
      </c>
      <c r="U997" s="235" t="str">
        <f>IF($B997="insumo",R997,"")</f>
        <v/>
      </c>
      <c r="V997" s="320" t="s">
        <v>35</v>
      </c>
      <c r="W997" s="236" t="str">
        <f>IFERROR(IF(B997="INSUMO",_xlfn.XLOOKUP(S997,Insumos!A:A,Insumos!C:C),""),"Inserir Preço")</f>
        <v/>
      </c>
      <c r="X997" s="235" t="str">
        <f t="shared" ca="1" si="671"/>
        <v/>
      </c>
      <c r="Y997" s="236" t="str">
        <f t="shared" si="644"/>
        <v/>
      </c>
      <c r="Z997" s="237">
        <f t="shared" ca="1" si="666"/>
        <v>6774.769135823467</v>
      </c>
      <c r="AA997" s="238"/>
      <c r="AB997" s="233" t="str">
        <f>IF(B997="insumo",_xlfn.XLOOKUP(S997,Insumos!A:A,Insumos!D:D),"")</f>
        <v/>
      </c>
      <c r="AC997" s="239">
        <f t="shared" ca="1" si="667"/>
        <v>9.7190239948967839E-4</v>
      </c>
      <c r="AE997" s="240">
        <f ca="1">IFERROR(IF(OR(Z997="",Z997=0),"",IF(AF997="","",IF(AF997="R$/mês",Z997/OBRA!$D$12,IF(AF997="R$/m²",Z997/OBRA!$D$10,IF(AF997="R$/apto",Orçamento!Z997/OBRA!$D$11,""))))),"")</f>
        <v>3.4863444552747058</v>
      </c>
      <c r="AF997" s="241" t="s">
        <v>154</v>
      </c>
    </row>
    <row r="998" spans="1:32" s="10" customFormat="1" ht="13.15" hidden="1" customHeight="1" outlineLevel="4" x14ac:dyDescent="0.2">
      <c r="A998" s="227"/>
      <c r="B998" s="228" t="s">
        <v>4</v>
      </c>
      <c r="C998" s="229">
        <f t="shared" si="665"/>
        <v>1</v>
      </c>
      <c r="D998" s="227" t="str">
        <f t="shared" ca="1" si="668"/>
        <v>07.002.002.001</v>
      </c>
      <c r="E998" s="228" t="str">
        <f t="shared" ca="1" si="672"/>
        <v>07.002.002.001</v>
      </c>
      <c r="F998" s="230">
        <f ca="1">IF($B998="UNIDADE CONSTRUTIVA",OFFSET(F998,-1,0)+1,LARGE(F$10:F997,1))</f>
        <v>2</v>
      </c>
      <c r="G998" s="228" t="str">
        <f t="shared" ca="1" si="673"/>
        <v xml:space="preserve">   GERENCIAMENTO EXECUTIVO</v>
      </c>
      <c r="H998" s="230">
        <f t="shared" ca="1" si="674"/>
        <v>7</v>
      </c>
      <c r="I998" s="228" t="str">
        <f t="shared" ca="1" si="675"/>
        <v xml:space="preserve">   SISTEMAS E INSTALAÇÕES ELÉTRICAS</v>
      </c>
      <c r="J998" s="230">
        <f t="shared" ca="1" si="676"/>
        <v>2</v>
      </c>
      <c r="K998" s="228" t="str">
        <f t="shared" ca="1" si="677"/>
        <v xml:space="preserve">   SISTEMAS E INSTALAÇÕES ELÉTRICAS - 2º PAVIMENTO - TÉRREO</v>
      </c>
      <c r="L998" s="231">
        <f t="shared" ca="1" si="678"/>
        <v>2</v>
      </c>
      <c r="M998" s="228" t="str">
        <f t="shared" ca="1" si="679"/>
        <v xml:space="preserve">   Eletrodutos e Eletrocalhas</v>
      </c>
      <c r="N998" s="231">
        <f t="shared" ca="1" si="680"/>
        <v>1</v>
      </c>
      <c r="O998" s="228" t="str">
        <f t="shared" ca="1" si="681"/>
        <v>Eletrodutos e Eletrocalhas - Térreo</v>
      </c>
      <c r="P998" s="232" t="str">
        <f>IF(S998="","",IF(Orçamento!$B998="INSUMO",S998,""))</f>
        <v/>
      </c>
      <c r="Q998" s="244" t="str">
        <f t="shared" si="669"/>
        <v>Eletrodutos e Eletrocalhas - Térreo</v>
      </c>
      <c r="R998" s="234">
        <f t="shared" ca="1" si="670"/>
        <v>1</v>
      </c>
      <c r="S998" s="233" t="s">
        <v>983</v>
      </c>
      <c r="T998" s="242" t="s">
        <v>170</v>
      </c>
      <c r="U998" s="235">
        <v>1</v>
      </c>
      <c r="V998" s="320" t="s">
        <v>35</v>
      </c>
      <c r="W998" s="236" t="str">
        <f>IFERROR(IF(B998="INSUMO",_xlfn.XLOOKUP(S998,Insumos!A:A,Insumos!C:C),""),"Inserir Preço")</f>
        <v/>
      </c>
      <c r="X998" s="235">
        <f t="shared" ca="1" si="671"/>
        <v>1</v>
      </c>
      <c r="Y998" s="236">
        <f t="shared" ca="1" si="644"/>
        <v>6774.769135823467</v>
      </c>
      <c r="Z998" s="237">
        <f t="shared" ca="1" si="666"/>
        <v>6774.769135823467</v>
      </c>
      <c r="AA998" s="238"/>
      <c r="AB998" s="233" t="str">
        <f>IF(B998="insumo",_xlfn.XLOOKUP(S998,Insumos!A:A,Insumos!D:D),"")</f>
        <v/>
      </c>
      <c r="AC998" s="239">
        <f t="shared" ca="1" si="667"/>
        <v>9.7190239948967839E-4</v>
      </c>
      <c r="AE998" s="240">
        <f ca="1">IFERROR(IF(OR(Z998="",Z998=0),"",IF(AF998="","",IF(AF998="R$/mês",Z998/OBRA!$D$12,IF(AF998="R$/m²",Z998/OBRA!$D$10,IF(AF998="R$/apto",Orçamento!Z998/OBRA!$D$11,""))))),"")</f>
        <v>3.4863444552747058</v>
      </c>
      <c r="AF998" s="241" t="s">
        <v>154</v>
      </c>
    </row>
    <row r="999" spans="1:32" s="10" customFormat="1" ht="13.15" hidden="1" customHeight="1" outlineLevel="4" x14ac:dyDescent="0.2">
      <c r="A999" s="227"/>
      <c r="B999" s="228" t="s">
        <v>19</v>
      </c>
      <c r="C999" s="229">
        <f t="shared" si="665"/>
        <v>1</v>
      </c>
      <c r="D999" s="227" t="str">
        <f t="shared" si="668"/>
        <v/>
      </c>
      <c r="E999" s="228" t="str">
        <f t="shared" ca="1" si="672"/>
        <v>07.002.002.001</v>
      </c>
      <c r="F999" s="230">
        <f ca="1">IF($B999="UNIDADE CONSTRUTIVA",OFFSET(F999,-1,0)+1,LARGE(F$10:F998,1))</f>
        <v>2</v>
      </c>
      <c r="G999" s="228" t="str">
        <f t="shared" ca="1" si="673"/>
        <v xml:space="preserve">   GERENCIAMENTO EXECUTIVO</v>
      </c>
      <c r="H999" s="230">
        <f t="shared" ca="1" si="674"/>
        <v>7</v>
      </c>
      <c r="I999" s="228" t="str">
        <f t="shared" ca="1" si="675"/>
        <v xml:space="preserve">   SISTEMAS E INSTALAÇÕES ELÉTRICAS</v>
      </c>
      <c r="J999" s="230">
        <f t="shared" ca="1" si="676"/>
        <v>2</v>
      </c>
      <c r="K999" s="228" t="str">
        <f t="shared" ca="1" si="677"/>
        <v xml:space="preserve">   SISTEMAS E INSTALAÇÕES ELÉTRICAS - 2º PAVIMENTO - TÉRREO</v>
      </c>
      <c r="L999" s="231">
        <f t="shared" ca="1" si="678"/>
        <v>2</v>
      </c>
      <c r="M999" s="228" t="str">
        <f t="shared" ca="1" si="679"/>
        <v xml:space="preserve">   Eletrodutos e Eletrocalhas</v>
      </c>
      <c r="N999" s="231">
        <f t="shared" ca="1" si="680"/>
        <v>1</v>
      </c>
      <c r="O999" s="228" t="str">
        <f t="shared" ca="1" si="681"/>
        <v>Eletrodutos e Eletrocalhas - Térreo</v>
      </c>
      <c r="P999" s="232" t="str">
        <f>IF(S999="","",IF(Orçamento!$B999="INSUMO",S999,""))</f>
        <v>ELETRODUTOS, CAIXAS E ELETROCALHAS - TERREO</v>
      </c>
      <c r="Q999" s="244" t="str">
        <f t="shared" si="669"/>
        <v/>
      </c>
      <c r="R999" s="234">
        <f t="shared" ca="1" si="670"/>
        <v>1</v>
      </c>
      <c r="S999" s="233" t="s">
        <v>959</v>
      </c>
      <c r="T999" s="242" t="str">
        <f>_xlfn.XLOOKUP(S999,Insumos!$A$3:$A$371,Insumos!$B$3:$B$371)</f>
        <v>VB</v>
      </c>
      <c r="U999" s="235">
        <f ca="1">IF($B999="insumo",R999,"")</f>
        <v>1</v>
      </c>
      <c r="V999" s="320">
        <v>1</v>
      </c>
      <c r="W999" s="236">
        <f>IFERROR(IF(B999="INSUMO",_xlfn.XLOOKUP(S999,Insumos!A:A,Insumos!C:C),""),"Inserir Preço")</f>
        <v>6774.769135823467</v>
      </c>
      <c r="X999" s="235">
        <f t="shared" ca="1" si="671"/>
        <v>1</v>
      </c>
      <c r="Y999" s="236">
        <f t="shared" si="644"/>
        <v>6774.769135823467</v>
      </c>
      <c r="Z999" s="237">
        <f t="shared" ca="1" si="666"/>
        <v>6774.769135823467</v>
      </c>
      <c r="AA999" s="238"/>
      <c r="AB999" s="233" t="str">
        <f>IF(B999="insumo",_xlfn.XLOOKUP(S999,Insumos!A:A,Insumos!D:D),"")</f>
        <v>Lista de Elétrica</v>
      </c>
      <c r="AC999" s="239">
        <f t="shared" ca="1" si="667"/>
        <v>9.7190239948967839E-4</v>
      </c>
      <c r="AE999" s="240">
        <f ca="1">IFERROR(IF(OR(Z999="",Z999=0),"",IF(AF999="","",IF(AF999="R$/mês",Z999/OBRA!$D$12,IF(AF999="R$/m²",Z999/OBRA!$D$10,IF(AF999="R$/apto",Orçamento!Z999/OBRA!$D$11,""))))),"")</f>
        <v>3.4863444552747058</v>
      </c>
      <c r="AF999" s="241" t="s">
        <v>154</v>
      </c>
    </row>
    <row r="1000" spans="1:32" s="10" customFormat="1" ht="13.15" hidden="1" customHeight="1" outlineLevel="3" collapsed="1" x14ac:dyDescent="0.2">
      <c r="A1000" s="227"/>
      <c r="B1000" s="228" t="s">
        <v>3</v>
      </c>
      <c r="C1000" s="229" t="str">
        <f t="shared" si="665"/>
        <v/>
      </c>
      <c r="D1000" s="227" t="str">
        <f t="shared" ca="1" si="668"/>
        <v>07.002.003</v>
      </c>
      <c r="E1000" s="228" t="str">
        <f t="shared" ca="1" si="672"/>
        <v>07.002.002.001</v>
      </c>
      <c r="F1000" s="230">
        <f ca="1">IF($B1000="UNIDADE CONSTRUTIVA",OFFSET(F1000,-1,0)+1,LARGE(F$10:F999,1))</f>
        <v>2</v>
      </c>
      <c r="G1000" s="228" t="str">
        <f t="shared" ref="G1000:G1056" ca="1" si="682">IF(B1000="*","",IF(B1000="UNIDADE CONSTRUTIVA",S1000,OFFSET(G1000,-1,0)))</f>
        <v xml:space="preserve">   GERENCIAMENTO EXECUTIVO</v>
      </c>
      <c r="H1000" s="230">
        <f t="shared" ca="1" si="674"/>
        <v>7</v>
      </c>
      <c r="I1000" s="228" t="str">
        <f t="shared" ref="I1000:I1056" ca="1" si="683">IF(B1000="*","",IF(B1000="CÉLULA CONSTRUTIVA",S1000,OFFSET(I1000,-1,0)))</f>
        <v xml:space="preserve">   SISTEMAS E INSTALAÇÕES ELÉTRICAS</v>
      </c>
      <c r="J1000" s="230">
        <f t="shared" ca="1" si="676"/>
        <v>2</v>
      </c>
      <c r="K1000" s="228" t="str">
        <f t="shared" ref="K1000:K1056" ca="1" si="684">IF(B1000="*","",IF(B1000="ETAPA",S1000,OFFSET(K1000,-1,0)))</f>
        <v xml:space="preserve">   SISTEMAS E INSTALAÇÕES ELÉTRICAS - 2º PAVIMENTO - TÉRREO</v>
      </c>
      <c r="L1000" s="231">
        <f t="shared" ca="1" si="678"/>
        <v>3</v>
      </c>
      <c r="M1000" s="228" t="str">
        <f t="shared" ref="M1000:M1056" ca="1" si="685">IF(B1000="*","",IF(B1000="SUBETAPA",S1000,OFFSET(M1000,-1,0)))</f>
        <v xml:space="preserve">   Fios e Cabos Elétricos</v>
      </c>
      <c r="N1000" s="231">
        <f t="shared" ca="1" si="680"/>
        <v>0</v>
      </c>
      <c r="O1000" s="228" t="str">
        <f t="shared" ref="O1000:O1056" ca="1" si="686">IF(B1000="*","",IF(B1000="SERVIÇO",S1000,OFFSET(O1000,-1,0)))</f>
        <v>Eletrodutos e Eletrocalhas - Térreo</v>
      </c>
      <c r="P1000" s="232" t="str">
        <f>IF(S1000="","",IF(Orçamento!$B1000="INSUMO",S1000,""))</f>
        <v/>
      </c>
      <c r="Q1000" s="244" t="str">
        <f t="shared" si="669"/>
        <v/>
      </c>
      <c r="R1000" s="234">
        <f t="shared" ref="R1000:R1056" ca="1" si="687">IF(B1000="serviço",U1000,OFFSET(R1000,-1,0))</f>
        <v>1</v>
      </c>
      <c r="S1000" s="233" t="s">
        <v>444</v>
      </c>
      <c r="T1000" s="242" t="s">
        <v>35</v>
      </c>
      <c r="U1000" s="235" t="str">
        <f>IF($B1000="insumo",R1000,"")</f>
        <v/>
      </c>
      <c r="V1000" s="320" t="s">
        <v>35</v>
      </c>
      <c r="W1000" s="236" t="str">
        <f>IFERROR(IF(B1000="INSUMO",_xlfn.XLOOKUP(S1000,Insumos!A:A,Insumos!C:C),""),"Inserir Preço")</f>
        <v/>
      </c>
      <c r="X1000" s="235" t="str">
        <f t="shared" ref="X1000:X1056" ca="1" si="688">IF(B1000="Complemento do insumo",V1000,IF(R1000="","",IF(B1000="serviço",R1000,IF(OR(B1000="insumo"),V1000*R1000,""))))</f>
        <v/>
      </c>
      <c r="Y1000" s="236" t="str">
        <f t="shared" ref="Y1000:Y1063" si="689">IF(B1000="insumo",W1000*V1000,IF(B1000="serviço",SUMIFS(Y:Y,B:B,"insumo",E:E,E1000,I:I,I1000),""))</f>
        <v/>
      </c>
      <c r="Z1000" s="237">
        <f t="shared" ca="1" si="666"/>
        <v>20353.962884251054</v>
      </c>
      <c r="AA1000" s="238"/>
      <c r="AB1000" s="233" t="str">
        <f>IF(B1000="insumo",_xlfn.XLOOKUP(S1000,Insumos!A:A,Insumos!D:D),"")</f>
        <v/>
      </c>
      <c r="AC1000" s="239">
        <f t="shared" ca="1" si="667"/>
        <v>2.9199615469882667E-3</v>
      </c>
      <c r="AE1000" s="240">
        <f ca="1">IFERROR(IF(OR(Z1000="",Z1000=0),"",IF(AF1000="","",IF(AF1000="R$/mês",Z1000/OBRA!$D$12,IF(AF1000="R$/m²",Z1000/OBRA!$D$10,IF(AF1000="R$/apto",Orçamento!Z1000/OBRA!$D$11,""))))),"")</f>
        <v>10.474294285417091</v>
      </c>
      <c r="AF1000" s="241" t="s">
        <v>154</v>
      </c>
    </row>
    <row r="1001" spans="1:32" s="10" customFormat="1" ht="13.15" hidden="1" customHeight="1" outlineLevel="4" x14ac:dyDescent="0.2">
      <c r="A1001" s="227"/>
      <c r="B1001" s="228" t="s">
        <v>4</v>
      </c>
      <c r="C1001" s="229">
        <f t="shared" si="665"/>
        <v>1</v>
      </c>
      <c r="D1001" s="227" t="str">
        <f t="shared" ca="1" si="668"/>
        <v>07.002.003.001</v>
      </c>
      <c r="E1001" s="228" t="str">
        <f t="shared" ca="1" si="672"/>
        <v>07.002.003.001</v>
      </c>
      <c r="F1001" s="230">
        <f ca="1">IF($B1001="UNIDADE CONSTRUTIVA",OFFSET(F1001,-1,0)+1,LARGE(F$10:F1000,1))</f>
        <v>2</v>
      </c>
      <c r="G1001" s="228" t="str">
        <f t="shared" ca="1" si="682"/>
        <v xml:space="preserve">   GERENCIAMENTO EXECUTIVO</v>
      </c>
      <c r="H1001" s="230">
        <f t="shared" ca="1" si="674"/>
        <v>7</v>
      </c>
      <c r="I1001" s="228" t="str">
        <f t="shared" ca="1" si="683"/>
        <v xml:space="preserve">   SISTEMAS E INSTALAÇÕES ELÉTRICAS</v>
      </c>
      <c r="J1001" s="230">
        <f t="shared" ca="1" si="676"/>
        <v>2</v>
      </c>
      <c r="K1001" s="228" t="str">
        <f t="shared" ca="1" si="684"/>
        <v xml:space="preserve">   SISTEMAS E INSTALAÇÕES ELÉTRICAS - 2º PAVIMENTO - TÉRREO</v>
      </c>
      <c r="L1001" s="231">
        <f t="shared" ca="1" si="678"/>
        <v>3</v>
      </c>
      <c r="M1001" s="228" t="str">
        <f t="shared" ca="1" si="685"/>
        <v xml:space="preserve">   Fios e Cabos Elétricos</v>
      </c>
      <c r="N1001" s="231">
        <f t="shared" ca="1" si="680"/>
        <v>1</v>
      </c>
      <c r="O1001" s="228" t="str">
        <f t="shared" ca="1" si="686"/>
        <v>Cabos e Fiacoes - Térreo</v>
      </c>
      <c r="P1001" s="232" t="str">
        <f>IF(S1001="","",IF(Orçamento!$B1001="INSUMO",S1001,""))</f>
        <v/>
      </c>
      <c r="Q1001" s="244" t="str">
        <f t="shared" si="669"/>
        <v>Cabos e Fiacoes - Térreo</v>
      </c>
      <c r="R1001" s="234">
        <f t="shared" ca="1" si="687"/>
        <v>1</v>
      </c>
      <c r="S1001" s="233" t="s">
        <v>984</v>
      </c>
      <c r="T1001" s="242" t="s">
        <v>170</v>
      </c>
      <c r="U1001" s="235">
        <v>1</v>
      </c>
      <c r="V1001" s="320" t="s">
        <v>35</v>
      </c>
      <c r="W1001" s="236" t="str">
        <f>IFERROR(IF(B1001="INSUMO",_xlfn.XLOOKUP(S1001,Insumos!A:A,Insumos!C:C),""),"Inserir Preço")</f>
        <v/>
      </c>
      <c r="X1001" s="235">
        <f t="shared" ca="1" si="688"/>
        <v>1</v>
      </c>
      <c r="Y1001" s="236">
        <f t="shared" ca="1" si="689"/>
        <v>20353.962884251054</v>
      </c>
      <c r="Z1001" s="237">
        <f t="shared" ca="1" si="666"/>
        <v>20353.962884251054</v>
      </c>
      <c r="AA1001" s="238"/>
      <c r="AB1001" s="233" t="str">
        <f>IF(B1001="insumo",_xlfn.XLOOKUP(S1001,Insumos!A:A,Insumos!D:D),"")</f>
        <v/>
      </c>
      <c r="AC1001" s="239">
        <f t="shared" ca="1" si="667"/>
        <v>2.9199615469882667E-3</v>
      </c>
      <c r="AE1001" s="240">
        <f ca="1">IFERROR(IF(OR(Z1001="",Z1001=0),"",IF(AF1001="","",IF(AF1001="R$/mês",Z1001/OBRA!$D$12,IF(AF1001="R$/m²",Z1001/OBRA!$D$10,IF(AF1001="R$/apto",Orçamento!Z1001/OBRA!$D$11,""))))),"")</f>
        <v>10.474294285417091</v>
      </c>
      <c r="AF1001" s="241" t="s">
        <v>154</v>
      </c>
    </row>
    <row r="1002" spans="1:32" s="10" customFormat="1" ht="13.15" hidden="1" customHeight="1" outlineLevel="4" x14ac:dyDescent="0.2">
      <c r="A1002" s="227"/>
      <c r="B1002" s="228" t="s">
        <v>19</v>
      </c>
      <c r="C1002" s="229">
        <f t="shared" si="665"/>
        <v>1</v>
      </c>
      <c r="D1002" s="227" t="str">
        <f t="shared" si="668"/>
        <v/>
      </c>
      <c r="E1002" s="228" t="str">
        <f t="shared" ca="1" si="672"/>
        <v>07.002.003.001</v>
      </c>
      <c r="F1002" s="230">
        <f ca="1">IF($B1002="UNIDADE CONSTRUTIVA",OFFSET(F1002,-1,0)+1,LARGE(F$10:F1001,1))</f>
        <v>2</v>
      </c>
      <c r="G1002" s="228" t="str">
        <f t="shared" ca="1" si="682"/>
        <v xml:space="preserve">   GERENCIAMENTO EXECUTIVO</v>
      </c>
      <c r="H1002" s="230">
        <f t="shared" ca="1" si="674"/>
        <v>7</v>
      </c>
      <c r="I1002" s="228" t="str">
        <f t="shared" ca="1" si="683"/>
        <v xml:space="preserve">   SISTEMAS E INSTALAÇÕES ELÉTRICAS</v>
      </c>
      <c r="J1002" s="230">
        <f t="shared" ca="1" si="676"/>
        <v>2</v>
      </c>
      <c r="K1002" s="228" t="str">
        <f t="shared" ca="1" si="684"/>
        <v xml:space="preserve">   SISTEMAS E INSTALAÇÕES ELÉTRICAS - 2º PAVIMENTO - TÉRREO</v>
      </c>
      <c r="L1002" s="231">
        <f t="shared" ca="1" si="678"/>
        <v>3</v>
      </c>
      <c r="M1002" s="228" t="str">
        <f t="shared" ca="1" si="685"/>
        <v xml:space="preserve">   Fios e Cabos Elétricos</v>
      </c>
      <c r="N1002" s="231">
        <f t="shared" ca="1" si="680"/>
        <v>1</v>
      </c>
      <c r="O1002" s="228" t="str">
        <f t="shared" ca="1" si="686"/>
        <v>Cabos e Fiacoes - Térreo</v>
      </c>
      <c r="P1002" s="232" t="str">
        <f>IF(S1002="","",IF(Orçamento!$B1002="INSUMO",S1002,""))</f>
        <v>FIAÇÃO - TERREO</v>
      </c>
      <c r="Q1002" s="244" t="str">
        <f t="shared" si="669"/>
        <v/>
      </c>
      <c r="R1002" s="234">
        <f t="shared" ca="1" si="687"/>
        <v>1</v>
      </c>
      <c r="S1002" s="233" t="s">
        <v>964</v>
      </c>
      <c r="T1002" s="242" t="str">
        <f>_xlfn.XLOOKUP(S1002,Insumos!$A$3:$A$371,Insumos!$B$3:$B$371)</f>
        <v>VB</v>
      </c>
      <c r="U1002" s="235">
        <f ca="1">IF($B1002="insumo",R1002,"")</f>
        <v>1</v>
      </c>
      <c r="V1002" s="320">
        <v>1</v>
      </c>
      <c r="W1002" s="236">
        <f>IFERROR(IF(B1002="INSUMO",_xlfn.XLOOKUP(S1002,Insumos!A:A,Insumos!C:C),""),"Inserir Preço")</f>
        <v>20353.962884251054</v>
      </c>
      <c r="X1002" s="235">
        <f t="shared" ca="1" si="688"/>
        <v>1</v>
      </c>
      <c r="Y1002" s="236">
        <f t="shared" si="689"/>
        <v>20353.962884251054</v>
      </c>
      <c r="Z1002" s="237">
        <f t="shared" ca="1" si="666"/>
        <v>20353.962884251054</v>
      </c>
      <c r="AA1002" s="238"/>
      <c r="AB1002" s="233" t="str">
        <f>IF(B1002="insumo",_xlfn.XLOOKUP(S1002,Insumos!A:A,Insumos!D:D),"")</f>
        <v>Lista de Elétrica</v>
      </c>
      <c r="AC1002" s="239">
        <f t="shared" ca="1" si="667"/>
        <v>2.9199615469882667E-3</v>
      </c>
      <c r="AE1002" s="240">
        <f ca="1">IFERROR(IF(OR(Z1002="",Z1002=0),"",IF(AF1002="","",IF(AF1002="R$/mês",Z1002/OBRA!$D$12,IF(AF1002="R$/m²",Z1002/OBRA!$D$10,IF(AF1002="R$/apto",Orçamento!Z1002/OBRA!$D$11,""))))),"")</f>
        <v>10.474294285417091</v>
      </c>
      <c r="AF1002" s="241" t="s">
        <v>154</v>
      </c>
    </row>
    <row r="1003" spans="1:32" s="10" customFormat="1" ht="13.15" hidden="1" customHeight="1" outlineLevel="3" collapsed="1" x14ac:dyDescent="0.2">
      <c r="A1003" s="227"/>
      <c r="B1003" s="228" t="s">
        <v>3</v>
      </c>
      <c r="C1003" s="229" t="str">
        <f t="shared" si="665"/>
        <v/>
      </c>
      <c r="D1003" s="227" t="str">
        <f t="shared" ca="1" si="668"/>
        <v>07.002.004</v>
      </c>
      <c r="E1003" s="228" t="str">
        <f t="shared" ca="1" si="672"/>
        <v>07.002.003.001</v>
      </c>
      <c r="F1003" s="230">
        <f ca="1">IF($B1003="UNIDADE CONSTRUTIVA",OFFSET(F1003,-1,0)+1,LARGE(F$10:F1002,1))</f>
        <v>2</v>
      </c>
      <c r="G1003" s="228" t="str">
        <f t="shared" ca="1" si="682"/>
        <v xml:space="preserve">   GERENCIAMENTO EXECUTIVO</v>
      </c>
      <c r="H1003" s="230">
        <f t="shared" ca="1" si="674"/>
        <v>7</v>
      </c>
      <c r="I1003" s="228" t="str">
        <f t="shared" ca="1" si="683"/>
        <v xml:space="preserve">   SISTEMAS E INSTALAÇÕES ELÉTRICAS</v>
      </c>
      <c r="J1003" s="230">
        <f t="shared" ca="1" si="676"/>
        <v>2</v>
      </c>
      <c r="K1003" s="228" t="str">
        <f t="shared" ca="1" si="684"/>
        <v xml:space="preserve">   SISTEMAS E INSTALAÇÕES ELÉTRICAS - 2º PAVIMENTO - TÉRREO</v>
      </c>
      <c r="L1003" s="231">
        <f t="shared" ca="1" si="678"/>
        <v>4</v>
      </c>
      <c r="M1003" s="228" t="str">
        <f t="shared" ca="1" si="685"/>
        <v xml:space="preserve">   Pontos de Tomadas e Interruptores</v>
      </c>
      <c r="N1003" s="231">
        <f t="shared" ca="1" si="680"/>
        <v>0</v>
      </c>
      <c r="O1003" s="228" t="str">
        <f t="shared" ca="1" si="686"/>
        <v>Cabos e Fiacoes - Térreo</v>
      </c>
      <c r="P1003" s="232" t="str">
        <f>IF(S1003="","",IF(Orçamento!$B1003="INSUMO",S1003,""))</f>
        <v/>
      </c>
      <c r="Q1003" s="244" t="str">
        <f t="shared" si="669"/>
        <v/>
      </c>
      <c r="R1003" s="234">
        <f t="shared" ca="1" si="687"/>
        <v>1</v>
      </c>
      <c r="S1003" s="233" t="s">
        <v>445</v>
      </c>
      <c r="T1003" s="242" t="s">
        <v>35</v>
      </c>
      <c r="U1003" s="235" t="str">
        <f>IF($B1003="insumo",R1003,"")</f>
        <v/>
      </c>
      <c r="V1003" s="320" t="s">
        <v>35</v>
      </c>
      <c r="W1003" s="236" t="str">
        <f>IFERROR(IF(B1003="INSUMO",_xlfn.XLOOKUP(S1003,Insumos!A:A,Insumos!C:C),""),"Inserir Preço")</f>
        <v/>
      </c>
      <c r="X1003" s="235" t="str">
        <f t="shared" ca="1" si="688"/>
        <v/>
      </c>
      <c r="Y1003" s="236" t="str">
        <f t="shared" si="689"/>
        <v/>
      </c>
      <c r="Z1003" s="237">
        <f t="shared" ca="1" si="666"/>
        <v>2178.3892956761529</v>
      </c>
      <c r="AA1003" s="238"/>
      <c r="AB1003" s="233" t="str">
        <f>IF(B1003="insumo",_xlfn.XLOOKUP(S1003,Insumos!A:A,Insumos!D:D),"")</f>
        <v/>
      </c>
      <c r="AC1003" s="239">
        <f t="shared" ca="1" si="667"/>
        <v>3.1250980528548178E-4</v>
      </c>
      <c r="AE1003" s="240">
        <f ca="1">IFERROR(IF(OR(Z1003="",Z1003=0),"",IF(AF1003="","",IF(AF1003="R$/mês",Z1003/OBRA!$D$12,IF(AF1003="R$/m²",Z1003/OBRA!$D$10,IF(AF1003="R$/apto",Orçamento!Z1003/OBRA!$D$11,""))))),"")</f>
        <v>1.1210146486397148</v>
      </c>
      <c r="AF1003" s="241" t="s">
        <v>154</v>
      </c>
    </row>
    <row r="1004" spans="1:32" s="10" customFormat="1" ht="13.15" hidden="1" customHeight="1" outlineLevel="4" x14ac:dyDescent="0.2">
      <c r="A1004" s="227"/>
      <c r="B1004" s="228" t="s">
        <v>4</v>
      </c>
      <c r="C1004" s="229">
        <f t="shared" si="665"/>
        <v>1</v>
      </c>
      <c r="D1004" s="227" t="str">
        <f t="shared" ca="1" si="668"/>
        <v>07.002.004.001</v>
      </c>
      <c r="E1004" s="228" t="str">
        <f t="shared" ca="1" si="672"/>
        <v>07.002.004.001</v>
      </c>
      <c r="F1004" s="230">
        <f ca="1">IF($B1004="UNIDADE CONSTRUTIVA",OFFSET(F1004,-1,0)+1,LARGE(F$10:F1003,1))</f>
        <v>2</v>
      </c>
      <c r="G1004" s="228" t="str">
        <f t="shared" ca="1" si="682"/>
        <v xml:space="preserve">   GERENCIAMENTO EXECUTIVO</v>
      </c>
      <c r="H1004" s="230">
        <f t="shared" ca="1" si="674"/>
        <v>7</v>
      </c>
      <c r="I1004" s="228" t="str">
        <f t="shared" ca="1" si="683"/>
        <v xml:space="preserve">   SISTEMAS E INSTALAÇÕES ELÉTRICAS</v>
      </c>
      <c r="J1004" s="230">
        <f t="shared" ca="1" si="676"/>
        <v>2</v>
      </c>
      <c r="K1004" s="228" t="str">
        <f t="shared" ca="1" si="684"/>
        <v xml:space="preserve">   SISTEMAS E INSTALAÇÕES ELÉTRICAS - 2º PAVIMENTO - TÉRREO</v>
      </c>
      <c r="L1004" s="231">
        <f t="shared" ca="1" si="678"/>
        <v>4</v>
      </c>
      <c r="M1004" s="228" t="str">
        <f t="shared" ca="1" si="685"/>
        <v xml:space="preserve">   Pontos de Tomadas e Interruptores</v>
      </c>
      <c r="N1004" s="231">
        <f t="shared" ca="1" si="680"/>
        <v>1</v>
      </c>
      <c r="O1004" s="228" t="str">
        <f t="shared" ca="1" si="686"/>
        <v>Pontos de Tomadas e Interruptores - Térreo</v>
      </c>
      <c r="P1004" s="232" t="str">
        <f>IF(S1004="","",IF(Orçamento!$B1004="INSUMO",S1004,""))</f>
        <v/>
      </c>
      <c r="Q1004" s="244" t="str">
        <f t="shared" si="669"/>
        <v>Pontos de Tomadas e Interruptores - Térreo</v>
      </c>
      <c r="R1004" s="234">
        <f t="shared" ca="1" si="687"/>
        <v>1</v>
      </c>
      <c r="S1004" s="233" t="s">
        <v>985</v>
      </c>
      <c r="T1004" s="242" t="s">
        <v>170</v>
      </c>
      <c r="U1004" s="235">
        <v>1</v>
      </c>
      <c r="V1004" s="320" t="s">
        <v>35</v>
      </c>
      <c r="W1004" s="236" t="str">
        <f>IFERROR(IF(B1004="INSUMO",_xlfn.XLOOKUP(S1004,Insumos!A:A,Insumos!C:C),""),"Inserir Preço")</f>
        <v/>
      </c>
      <c r="X1004" s="235">
        <f t="shared" ca="1" si="688"/>
        <v>1</v>
      </c>
      <c r="Y1004" s="236">
        <f t="shared" ca="1" si="689"/>
        <v>2178.3892956761529</v>
      </c>
      <c r="Z1004" s="237">
        <f t="shared" ca="1" si="666"/>
        <v>2178.3892956761529</v>
      </c>
      <c r="AA1004" s="238"/>
      <c r="AB1004" s="233" t="str">
        <f>IF(B1004="insumo",_xlfn.XLOOKUP(S1004,Insumos!A:A,Insumos!D:D),"")</f>
        <v/>
      </c>
      <c r="AC1004" s="239">
        <f t="shared" ca="1" si="667"/>
        <v>3.1250980528548178E-4</v>
      </c>
      <c r="AE1004" s="240">
        <f ca="1">IFERROR(IF(OR(Z1004="",Z1004=0),"",IF(AF1004="","",IF(AF1004="R$/mês",Z1004/OBRA!$D$12,IF(AF1004="R$/m²",Z1004/OBRA!$D$10,IF(AF1004="R$/apto",Orçamento!Z1004/OBRA!$D$11,""))))),"")</f>
        <v>1.1210146486397148</v>
      </c>
      <c r="AF1004" s="241" t="s">
        <v>154</v>
      </c>
    </row>
    <row r="1005" spans="1:32" s="10" customFormat="1" ht="13.15" hidden="1" customHeight="1" outlineLevel="4" x14ac:dyDescent="0.2">
      <c r="A1005" s="227"/>
      <c r="B1005" s="228" t="s">
        <v>19</v>
      </c>
      <c r="C1005" s="229">
        <f t="shared" si="665"/>
        <v>1</v>
      </c>
      <c r="D1005" s="227" t="str">
        <f t="shared" si="668"/>
        <v/>
      </c>
      <c r="E1005" s="228" t="str">
        <f t="shared" ca="1" si="672"/>
        <v>07.002.004.001</v>
      </c>
      <c r="F1005" s="230">
        <f ca="1">IF($B1005="UNIDADE CONSTRUTIVA",OFFSET(F1005,-1,0)+1,LARGE(F$10:F1004,1))</f>
        <v>2</v>
      </c>
      <c r="G1005" s="228" t="str">
        <f t="shared" ca="1" si="682"/>
        <v xml:space="preserve">   GERENCIAMENTO EXECUTIVO</v>
      </c>
      <c r="H1005" s="230">
        <f t="shared" ca="1" si="674"/>
        <v>7</v>
      </c>
      <c r="I1005" s="228" t="str">
        <f t="shared" ca="1" si="683"/>
        <v xml:space="preserve">   SISTEMAS E INSTALAÇÕES ELÉTRICAS</v>
      </c>
      <c r="J1005" s="230">
        <f t="shared" ca="1" si="676"/>
        <v>2</v>
      </c>
      <c r="K1005" s="228" t="str">
        <f t="shared" ca="1" si="684"/>
        <v xml:space="preserve">   SISTEMAS E INSTALAÇÕES ELÉTRICAS - 2º PAVIMENTO - TÉRREO</v>
      </c>
      <c r="L1005" s="231">
        <f t="shared" ca="1" si="678"/>
        <v>4</v>
      </c>
      <c r="M1005" s="228" t="str">
        <f t="shared" ca="1" si="685"/>
        <v xml:space="preserve">   Pontos de Tomadas e Interruptores</v>
      </c>
      <c r="N1005" s="231">
        <f t="shared" ca="1" si="680"/>
        <v>1</v>
      </c>
      <c r="O1005" s="228" t="str">
        <f t="shared" ca="1" si="686"/>
        <v>Pontos de Tomadas e Interruptores - Térreo</v>
      </c>
      <c r="P1005" s="232" t="str">
        <f>IF(S1005="","",IF(Orçamento!$B1005="INSUMO",S1005,""))</f>
        <v>PONTOS DE TOMADA E INTERRUPTORES - TERREO</v>
      </c>
      <c r="Q1005" s="244" t="str">
        <f t="shared" ref="Q1005:Q1061" si="690">IF(B1005="","",IF(B1005="Serviço",S1005,""))</f>
        <v/>
      </c>
      <c r="R1005" s="234">
        <f t="shared" ca="1" si="687"/>
        <v>1</v>
      </c>
      <c r="S1005" s="233" t="s">
        <v>974</v>
      </c>
      <c r="T1005" s="242" t="str">
        <f>_xlfn.XLOOKUP(S1005,Insumos!$A$3:$A$371,Insumos!$B$3:$B$371)</f>
        <v>VB</v>
      </c>
      <c r="U1005" s="235">
        <f ca="1">IF($B1005="insumo",R1005,"")</f>
        <v>1</v>
      </c>
      <c r="V1005" s="320">
        <v>1</v>
      </c>
      <c r="W1005" s="236">
        <f>IFERROR(IF(B1005="INSUMO",_xlfn.XLOOKUP(S1005,Insumos!A:A,Insumos!C:C),""),"Inserir Preço")</f>
        <v>2178.3892956761529</v>
      </c>
      <c r="X1005" s="235">
        <f t="shared" ca="1" si="688"/>
        <v>1</v>
      </c>
      <c r="Y1005" s="236">
        <f t="shared" si="689"/>
        <v>2178.3892956761529</v>
      </c>
      <c r="Z1005" s="237">
        <f t="shared" ca="1" si="666"/>
        <v>2178.3892956761529</v>
      </c>
      <c r="AA1005" s="238"/>
      <c r="AB1005" s="233" t="str">
        <f>IF(B1005="insumo",_xlfn.XLOOKUP(S1005,Insumos!A:A,Insumos!D:D),"")</f>
        <v>Lista de Elétrica</v>
      </c>
      <c r="AC1005" s="239">
        <f t="shared" ca="1" si="667"/>
        <v>3.1250980528548178E-4</v>
      </c>
      <c r="AE1005" s="240">
        <f ca="1">IFERROR(IF(OR(Z1005="",Z1005=0),"",IF(AF1005="","",IF(AF1005="R$/mês",Z1005/OBRA!$D$12,IF(AF1005="R$/m²",Z1005/OBRA!$D$10,IF(AF1005="R$/apto",Orçamento!Z1005/OBRA!$D$11,""))))),"")</f>
        <v>1.1210146486397148</v>
      </c>
      <c r="AF1005" s="241" t="s">
        <v>154</v>
      </c>
    </row>
    <row r="1006" spans="1:32" s="10" customFormat="1" ht="13.15" hidden="1" customHeight="1" outlineLevel="3" collapsed="1" x14ac:dyDescent="0.2">
      <c r="A1006" s="227"/>
      <c r="B1006" s="228" t="s">
        <v>3</v>
      </c>
      <c r="C1006" s="229" t="str">
        <f t="shared" si="665"/>
        <v/>
      </c>
      <c r="D1006" s="227" t="str">
        <f t="shared" ca="1" si="668"/>
        <v>07.002.005</v>
      </c>
      <c r="E1006" s="228" t="str">
        <f t="shared" ca="1" si="672"/>
        <v>07.002.004.001</v>
      </c>
      <c r="F1006" s="230">
        <f ca="1">IF($B1006="UNIDADE CONSTRUTIVA",OFFSET(F1006,-1,0)+1,LARGE(F$10:F1005,1))</f>
        <v>2</v>
      </c>
      <c r="G1006" s="228" t="str">
        <f t="shared" ca="1" si="682"/>
        <v xml:space="preserve">   GERENCIAMENTO EXECUTIVO</v>
      </c>
      <c r="H1006" s="230">
        <f t="shared" ca="1" si="674"/>
        <v>7</v>
      </c>
      <c r="I1006" s="228" t="str">
        <f t="shared" ca="1" si="683"/>
        <v xml:space="preserve">   SISTEMAS E INSTALAÇÕES ELÉTRICAS</v>
      </c>
      <c r="J1006" s="230">
        <f t="shared" ca="1" si="676"/>
        <v>2</v>
      </c>
      <c r="K1006" s="228" t="str">
        <f t="shared" ca="1" si="684"/>
        <v xml:space="preserve">   SISTEMAS E INSTALAÇÕES ELÉTRICAS - 2º PAVIMENTO - TÉRREO</v>
      </c>
      <c r="L1006" s="231">
        <f t="shared" ca="1" si="678"/>
        <v>5</v>
      </c>
      <c r="M1006" s="228" t="str">
        <f t="shared" ca="1" si="685"/>
        <v xml:space="preserve">   Luminárias - Lâmpadas e Acessórios</v>
      </c>
      <c r="N1006" s="231">
        <f t="shared" ca="1" si="680"/>
        <v>0</v>
      </c>
      <c r="O1006" s="228" t="str">
        <f t="shared" ca="1" si="686"/>
        <v>Pontos de Tomadas e Interruptores - Térreo</v>
      </c>
      <c r="P1006" s="232" t="str">
        <f>IF(S1006="","",IF(Orçamento!$B1006="INSUMO",S1006,""))</f>
        <v/>
      </c>
      <c r="Q1006" s="244" t="str">
        <f t="shared" si="690"/>
        <v/>
      </c>
      <c r="R1006" s="234">
        <f t="shared" ca="1" si="687"/>
        <v>1</v>
      </c>
      <c r="S1006" s="233" t="s">
        <v>446</v>
      </c>
      <c r="T1006" s="242" t="s">
        <v>35</v>
      </c>
      <c r="U1006" s="235" t="str">
        <f>IF($B1006="insumo",R1006,"")</f>
        <v/>
      </c>
      <c r="V1006" s="320" t="s">
        <v>35</v>
      </c>
      <c r="W1006" s="236" t="str">
        <f>IFERROR(IF(B1006="INSUMO",_xlfn.XLOOKUP(S1006,Insumos!A:A,Insumos!C:C),""),"Inserir Preço")</f>
        <v/>
      </c>
      <c r="X1006" s="235" t="str">
        <f t="shared" ca="1" si="688"/>
        <v/>
      </c>
      <c r="Y1006" s="236" t="str">
        <f t="shared" si="689"/>
        <v/>
      </c>
      <c r="Z1006" s="237">
        <f t="shared" ca="1" si="666"/>
        <v>527.84324526153387</v>
      </c>
      <c r="AA1006" s="238"/>
      <c r="AB1006" s="233" t="str">
        <f>IF(B1006="insumo",_xlfn.XLOOKUP(S1006,Insumos!A:A,Insumos!D:D),"")</f>
        <v/>
      </c>
      <c r="AC1006" s="239">
        <f t="shared" ca="1" si="667"/>
        <v>7.5723925987589754E-5</v>
      </c>
      <c r="AE1006" s="240">
        <f ca="1">IFERROR(IF(OR(Z1006="",Z1006=0),"",IF(AF1006="","",IF(AF1006="R$/mês",Z1006/OBRA!$D$12,IF(AF1006="R$/m²",Z1006/OBRA!$D$10,IF(AF1006="R$/apto",Orçamento!Z1006/OBRA!$D$11,""))))),"")</f>
        <v>0.27163189394026127</v>
      </c>
      <c r="AF1006" s="241" t="s">
        <v>154</v>
      </c>
    </row>
    <row r="1007" spans="1:32" s="10" customFormat="1" ht="14.25" hidden="1" customHeight="1" outlineLevel="4" x14ac:dyDescent="0.2">
      <c r="A1007" s="227"/>
      <c r="B1007" s="228" t="s">
        <v>4</v>
      </c>
      <c r="C1007" s="229">
        <f t="shared" si="665"/>
        <v>1</v>
      </c>
      <c r="D1007" s="227" t="str">
        <f t="shared" ca="1" si="668"/>
        <v>07.002.005.001</v>
      </c>
      <c r="E1007" s="228" t="str">
        <f t="shared" ca="1" si="672"/>
        <v>07.002.005.001</v>
      </c>
      <c r="F1007" s="230">
        <f ca="1">IF($B1007="UNIDADE CONSTRUTIVA",OFFSET(F1007,-1,0)+1,LARGE(F$10:F1006,1))</f>
        <v>2</v>
      </c>
      <c r="G1007" s="228" t="str">
        <f t="shared" ca="1" si="682"/>
        <v xml:space="preserve">   GERENCIAMENTO EXECUTIVO</v>
      </c>
      <c r="H1007" s="230">
        <f t="shared" ca="1" si="674"/>
        <v>7</v>
      </c>
      <c r="I1007" s="228" t="str">
        <f t="shared" ca="1" si="683"/>
        <v xml:space="preserve">   SISTEMAS E INSTALAÇÕES ELÉTRICAS</v>
      </c>
      <c r="J1007" s="230">
        <f t="shared" ca="1" si="676"/>
        <v>2</v>
      </c>
      <c r="K1007" s="228" t="str">
        <f t="shared" ca="1" si="684"/>
        <v xml:space="preserve">   SISTEMAS E INSTALAÇÕES ELÉTRICAS - 2º PAVIMENTO - TÉRREO</v>
      </c>
      <c r="L1007" s="231">
        <f t="shared" ca="1" si="678"/>
        <v>5</v>
      </c>
      <c r="M1007" s="228" t="str">
        <f t="shared" ca="1" si="685"/>
        <v xml:space="preserve">   Luminárias - Lâmpadas e Acessórios</v>
      </c>
      <c r="N1007" s="231">
        <f t="shared" ca="1" si="680"/>
        <v>1</v>
      </c>
      <c r="O1007" s="228" t="str">
        <f t="shared" ca="1" si="686"/>
        <v>Luminárias e Acessorios - Térreo</v>
      </c>
      <c r="P1007" s="232" t="str">
        <f>IF(S1007="","",IF(Orçamento!$B1007="INSUMO",S1007,""))</f>
        <v/>
      </c>
      <c r="Q1007" s="244" t="str">
        <f t="shared" si="690"/>
        <v>Luminárias e Acessorios - Térreo</v>
      </c>
      <c r="R1007" s="234">
        <f t="shared" ca="1" si="687"/>
        <v>1</v>
      </c>
      <c r="S1007" s="233" t="s">
        <v>986</v>
      </c>
      <c r="T1007" s="242" t="s">
        <v>170</v>
      </c>
      <c r="U1007" s="235">
        <v>1</v>
      </c>
      <c r="V1007" s="320" t="s">
        <v>35</v>
      </c>
      <c r="W1007" s="236" t="str">
        <f>IFERROR(IF(B1007="INSUMO",_xlfn.XLOOKUP(S1007,Insumos!A:A,Insumos!C:C),""),"Inserir Preço")</f>
        <v/>
      </c>
      <c r="X1007" s="235">
        <f t="shared" ca="1" si="688"/>
        <v>1</v>
      </c>
      <c r="Y1007" s="236">
        <f t="shared" ca="1" si="689"/>
        <v>527.84324526153387</v>
      </c>
      <c r="Z1007" s="237">
        <f t="shared" ca="1" si="666"/>
        <v>527.84324526153387</v>
      </c>
      <c r="AA1007" s="238"/>
      <c r="AB1007" s="233" t="str">
        <f>IF(B1007="insumo",_xlfn.XLOOKUP(S1007,Insumos!A:A,Insumos!D:D),"")</f>
        <v/>
      </c>
      <c r="AC1007" s="239">
        <f t="shared" ca="1" si="667"/>
        <v>7.5723925987589754E-5</v>
      </c>
      <c r="AE1007" s="240">
        <f ca="1">IFERROR(IF(OR(Z1007="",Z1007=0),"",IF(AF1007="","",IF(AF1007="R$/mês",Z1007/OBRA!$D$12,IF(AF1007="R$/m²",Z1007/OBRA!$D$10,IF(AF1007="R$/apto",Orçamento!Z1007/OBRA!$D$11,""))))),"")</f>
        <v>0.27163189394026127</v>
      </c>
      <c r="AF1007" s="241" t="s">
        <v>154</v>
      </c>
    </row>
    <row r="1008" spans="1:32" s="10" customFormat="1" ht="13.15" hidden="1" customHeight="1" outlineLevel="4" x14ac:dyDescent="0.2">
      <c r="A1008" s="227"/>
      <c r="B1008" s="228" t="s">
        <v>19</v>
      </c>
      <c r="C1008" s="229">
        <f t="shared" si="665"/>
        <v>1</v>
      </c>
      <c r="D1008" s="227" t="str">
        <f t="shared" si="668"/>
        <v/>
      </c>
      <c r="E1008" s="228" t="str">
        <f t="shared" ca="1" si="672"/>
        <v>07.002.005.001</v>
      </c>
      <c r="F1008" s="230">
        <f ca="1">IF($B1008="UNIDADE CONSTRUTIVA",OFFSET(F1008,-1,0)+1,LARGE(F$10:F1007,1))</f>
        <v>2</v>
      </c>
      <c r="G1008" s="228" t="str">
        <f t="shared" ca="1" si="682"/>
        <v xml:space="preserve">   GERENCIAMENTO EXECUTIVO</v>
      </c>
      <c r="H1008" s="230">
        <f t="shared" ca="1" si="674"/>
        <v>7</v>
      </c>
      <c r="I1008" s="228" t="str">
        <f t="shared" ca="1" si="683"/>
        <v xml:space="preserve">   SISTEMAS E INSTALAÇÕES ELÉTRICAS</v>
      </c>
      <c r="J1008" s="230">
        <f t="shared" ca="1" si="676"/>
        <v>2</v>
      </c>
      <c r="K1008" s="228" t="str">
        <f t="shared" ca="1" si="684"/>
        <v xml:space="preserve">   SISTEMAS E INSTALAÇÕES ELÉTRICAS - 2º PAVIMENTO - TÉRREO</v>
      </c>
      <c r="L1008" s="231">
        <f t="shared" ca="1" si="678"/>
        <v>5</v>
      </c>
      <c r="M1008" s="228" t="str">
        <f t="shared" ca="1" si="685"/>
        <v xml:space="preserve">   Luminárias - Lâmpadas e Acessórios</v>
      </c>
      <c r="N1008" s="231">
        <f t="shared" ca="1" si="680"/>
        <v>1</v>
      </c>
      <c r="O1008" s="228" t="str">
        <f t="shared" ca="1" si="686"/>
        <v>Luminárias e Acessorios - Térreo</v>
      </c>
      <c r="P1008" s="232" t="str">
        <f>IF(S1008="","",IF(Orçamento!$B1008="INSUMO",S1008,""))</f>
        <v>LUMINÁRIAS - TERREO</v>
      </c>
      <c r="Q1008" s="244" t="str">
        <f>IF(B1008="","",IF(B1008="Serviço",S1008,""))</f>
        <v/>
      </c>
      <c r="R1008" s="234">
        <f t="shared" ca="1" si="687"/>
        <v>1</v>
      </c>
      <c r="S1008" s="233" t="s">
        <v>969</v>
      </c>
      <c r="T1008" s="242" t="str">
        <f>_xlfn.XLOOKUP(S1008,Insumos!$A$3:$A$371,Insumos!$B$3:$B$371)</f>
        <v>VB</v>
      </c>
      <c r="U1008" s="235">
        <f ca="1">IF($B1008="insumo",R1008,"")</f>
        <v>1</v>
      </c>
      <c r="V1008" s="320">
        <v>1</v>
      </c>
      <c r="W1008" s="236">
        <f>IFERROR(IF(B1008="INSUMO",_xlfn.XLOOKUP(S1008,Insumos!A:A,Insumos!C:C),""),"Inserir Preço")</f>
        <v>527.84324526153387</v>
      </c>
      <c r="X1008" s="235">
        <f t="shared" ca="1" si="688"/>
        <v>1</v>
      </c>
      <c r="Y1008" s="236">
        <f t="shared" si="689"/>
        <v>527.84324526153387</v>
      </c>
      <c r="Z1008" s="237">
        <f t="shared" ca="1" si="666"/>
        <v>527.84324526153387</v>
      </c>
      <c r="AA1008" s="238"/>
      <c r="AB1008" s="233" t="str">
        <f>IF(B1008="insumo",_xlfn.XLOOKUP(S1008,Insumos!A:A,Insumos!D:D),"")</f>
        <v>Lista de Elétrica</v>
      </c>
      <c r="AC1008" s="239">
        <f t="shared" ca="1" si="667"/>
        <v>7.5723925987589754E-5</v>
      </c>
      <c r="AE1008" s="240">
        <f ca="1">IFERROR(IF(OR(Z1008="",Z1008=0),"",IF(AF1008="","",IF(AF1008="R$/mês",Z1008/OBRA!$D$12,IF(AF1008="R$/m²",Z1008/OBRA!$D$10,IF(AF1008="R$/apto",Orçamento!Z1008/OBRA!$D$11,""))))),"")</f>
        <v>0.27163189394026127</v>
      </c>
      <c r="AF1008" s="241" t="s">
        <v>154</v>
      </c>
    </row>
    <row r="1009" spans="1:32" s="10" customFormat="1" ht="13.15" hidden="1" customHeight="1" outlineLevel="3" collapsed="1" x14ac:dyDescent="0.2">
      <c r="A1009" s="227"/>
      <c r="B1009" s="228" t="s">
        <v>3</v>
      </c>
      <c r="C1009" s="229" t="str">
        <f t="shared" si="665"/>
        <v/>
      </c>
      <c r="D1009" s="227" t="str">
        <f t="shared" ca="1" si="668"/>
        <v>07.002.006</v>
      </c>
      <c r="E1009" s="228" t="str">
        <f t="shared" ca="1" si="672"/>
        <v>07.002.005.001</v>
      </c>
      <c r="F1009" s="230">
        <f ca="1">IF($B1009="UNIDADE CONSTRUTIVA",OFFSET(F1009,-1,0)+1,LARGE(F$10:F1008,1))</f>
        <v>2</v>
      </c>
      <c r="G1009" s="228" t="str">
        <f t="shared" ca="1" si="682"/>
        <v xml:space="preserve">   GERENCIAMENTO EXECUTIVO</v>
      </c>
      <c r="H1009" s="230">
        <f t="shared" ca="1" si="674"/>
        <v>7</v>
      </c>
      <c r="I1009" s="228" t="str">
        <f t="shared" ca="1" si="683"/>
        <v xml:space="preserve">   SISTEMAS E INSTALAÇÕES ELÉTRICAS</v>
      </c>
      <c r="J1009" s="230">
        <f t="shared" ca="1" si="676"/>
        <v>2</v>
      </c>
      <c r="K1009" s="228" t="str">
        <f t="shared" ca="1" si="684"/>
        <v xml:space="preserve">   SISTEMAS E INSTALAÇÕES ELÉTRICAS - 2º PAVIMENTO - TÉRREO</v>
      </c>
      <c r="L1009" s="231">
        <f t="shared" ca="1" si="678"/>
        <v>6</v>
      </c>
      <c r="M1009" s="228" t="str">
        <f t="shared" ca="1" si="685"/>
        <v xml:space="preserve">   Mão de Obra</v>
      </c>
      <c r="N1009" s="231">
        <f t="shared" ca="1" si="680"/>
        <v>0</v>
      </c>
      <c r="O1009" s="228" t="str">
        <f t="shared" ca="1" si="686"/>
        <v>Luminárias e Acessorios - Térreo</v>
      </c>
      <c r="P1009" s="232" t="str">
        <f>IF(S1009="","",IF(Orçamento!$B1009="INSUMO",S1009,""))</f>
        <v/>
      </c>
      <c r="Q1009" s="244" t="str">
        <f t="shared" si="690"/>
        <v/>
      </c>
      <c r="R1009" s="234">
        <f t="shared" ca="1" si="687"/>
        <v>1</v>
      </c>
      <c r="S1009" s="233" t="s">
        <v>438</v>
      </c>
      <c r="T1009" s="242" t="s">
        <v>35</v>
      </c>
      <c r="U1009" s="235" t="str">
        <f>IF($B1009="insumo",R1009,"")</f>
        <v/>
      </c>
      <c r="V1009" s="320" t="s">
        <v>35</v>
      </c>
      <c r="W1009" s="236" t="str">
        <f>IFERROR(IF(B1009="INSUMO",_xlfn.XLOOKUP(S1009,Insumos!A:A,Insumos!C:C),""),"Inserir Preço")</f>
        <v/>
      </c>
      <c r="X1009" s="235" t="str">
        <f t="shared" ca="1" si="688"/>
        <v/>
      </c>
      <c r="Y1009" s="236" t="str">
        <f t="shared" si="689"/>
        <v/>
      </c>
      <c r="Z1009" s="237">
        <f t="shared" ca="1" si="666"/>
        <v>12026.502104205068</v>
      </c>
      <c r="AA1009" s="238"/>
      <c r="AB1009" s="233" t="str">
        <f>IF(B1009="insumo",_xlfn.XLOOKUP(S1009,Insumos!A:A,Insumos!D:D),"")</f>
        <v/>
      </c>
      <c r="AC1009" s="239">
        <f t="shared" ca="1" si="667"/>
        <v>1.7253113749275879E-3</v>
      </c>
      <c r="AE1009" s="240">
        <f ca="1">IFERROR(IF(OR(Z1009="",Z1009=0),"",IF(AF1009="","",IF(AF1009="R$/mês",Z1009/OBRA!$D$12,IF(AF1009="R$/m²",Z1009/OBRA!$D$10,IF(AF1009="R$/apto",Orçamento!Z1009/OBRA!$D$11,""))))),"")</f>
        <v>6.1889236499050906</v>
      </c>
      <c r="AF1009" s="241" t="s">
        <v>154</v>
      </c>
    </row>
    <row r="1010" spans="1:32" s="10" customFormat="1" ht="13.15" hidden="1" customHeight="1" outlineLevel="4" x14ac:dyDescent="0.2">
      <c r="A1010" s="227"/>
      <c r="B1010" s="228" t="s">
        <v>4</v>
      </c>
      <c r="C1010" s="229">
        <f t="shared" si="665"/>
        <v>5</v>
      </c>
      <c r="D1010" s="227" t="str">
        <f t="shared" ca="1" si="668"/>
        <v>07.002.006.001</v>
      </c>
      <c r="E1010" s="228" t="str">
        <f t="shared" ca="1" si="672"/>
        <v>07.002.006.001</v>
      </c>
      <c r="F1010" s="230">
        <f ca="1">IF($B1010="UNIDADE CONSTRUTIVA",OFFSET(F1010,-1,0)+1,LARGE(F$10:F1009,1))</f>
        <v>2</v>
      </c>
      <c r="G1010" s="228" t="str">
        <f t="shared" ca="1" si="682"/>
        <v xml:space="preserve">   GERENCIAMENTO EXECUTIVO</v>
      </c>
      <c r="H1010" s="230">
        <f t="shared" ca="1" si="674"/>
        <v>7</v>
      </c>
      <c r="I1010" s="228" t="str">
        <f t="shared" ca="1" si="683"/>
        <v xml:space="preserve">   SISTEMAS E INSTALAÇÕES ELÉTRICAS</v>
      </c>
      <c r="J1010" s="230">
        <f t="shared" ca="1" si="676"/>
        <v>2</v>
      </c>
      <c r="K1010" s="228" t="str">
        <f t="shared" ca="1" si="684"/>
        <v xml:space="preserve">   SISTEMAS E INSTALAÇÕES ELÉTRICAS - 2º PAVIMENTO - TÉRREO</v>
      </c>
      <c r="L1010" s="231">
        <f t="shared" ca="1" si="678"/>
        <v>6</v>
      </c>
      <c r="M1010" s="228" t="str">
        <f t="shared" ca="1" si="685"/>
        <v xml:space="preserve">   Mão de Obra</v>
      </c>
      <c r="N1010" s="231">
        <f t="shared" ca="1" si="680"/>
        <v>1</v>
      </c>
      <c r="O1010" s="228" t="str">
        <f t="shared" ca="1" si="686"/>
        <v>Mao de obra de instalacoes eletricas</v>
      </c>
      <c r="P1010" s="232" t="str">
        <f>IF(S1010="","",IF(Orçamento!$B1010="INSUMO",S1010,""))</f>
        <v/>
      </c>
      <c r="Q1010" s="244" t="str">
        <f t="shared" si="690"/>
        <v>Mao de obra de instalacoes eletricas</v>
      </c>
      <c r="R1010" s="234">
        <f t="shared" ca="1" si="687"/>
        <v>326.93599</v>
      </c>
      <c r="S1010" s="233" t="s">
        <v>447</v>
      </c>
      <c r="T1010" s="242" t="s">
        <v>140</v>
      </c>
      <c r="U1010" s="235">
        <f ca="1">'Custos Serviços'!B20</f>
        <v>326.93599</v>
      </c>
      <c r="V1010" s="320" t="s">
        <v>35</v>
      </c>
      <c r="W1010" s="236" t="str">
        <f>IFERROR(IF(B1010="INSUMO",_xlfn.XLOOKUP(S1010,Insumos!A:A,Insumos!C:C),""),"Inserir Preço")</f>
        <v/>
      </c>
      <c r="X1010" s="235">
        <f t="shared" ca="1" si="688"/>
        <v>326.93599</v>
      </c>
      <c r="Y1010" s="236">
        <f t="shared" ca="1" si="689"/>
        <v>36.785494629101763</v>
      </c>
      <c r="Z1010" s="237">
        <f t="shared" ca="1" si="666"/>
        <v>12026.502104205068</v>
      </c>
      <c r="AA1010" s="238"/>
      <c r="AB1010" s="233" t="str">
        <f>IF(B1010="insumo",_xlfn.XLOOKUP(S1010,Insumos!A:A,Insumos!D:D),"")</f>
        <v/>
      </c>
      <c r="AC1010" s="239">
        <f t="shared" ca="1" si="667"/>
        <v>1.7253113749275879E-3</v>
      </c>
      <c r="AE1010" s="240">
        <f ca="1">IFERROR(IF(OR(Z1010="",Z1010=0),"",IF(AF1010="","",IF(AF1010="R$/mês",Z1010/OBRA!$D$12,IF(AF1010="R$/m²",Z1010/OBRA!$D$10,IF(AF1010="R$/apto",Orçamento!Z1010/OBRA!$D$11,""))))),"")</f>
        <v>6.1889236499050906</v>
      </c>
      <c r="AF1010" s="241" t="s">
        <v>154</v>
      </c>
    </row>
    <row r="1011" spans="1:32" s="10" customFormat="1" ht="13.15" hidden="1" customHeight="1" outlineLevel="4" x14ac:dyDescent="0.2">
      <c r="A1011" s="227"/>
      <c r="B1011" s="228" t="s">
        <v>19</v>
      </c>
      <c r="C1011" s="229">
        <f t="shared" si="665"/>
        <v>5</v>
      </c>
      <c r="D1011" s="227" t="str">
        <f t="shared" si="668"/>
        <v/>
      </c>
      <c r="E1011" s="228" t="str">
        <f t="shared" ca="1" si="672"/>
        <v>07.002.006.001</v>
      </c>
      <c r="F1011" s="230">
        <f ca="1">IF($B1011="UNIDADE CONSTRUTIVA",OFFSET(F1011,-1,0)+1,LARGE(F$10:F1010,1))</f>
        <v>2</v>
      </c>
      <c r="G1011" s="228" t="str">
        <f t="shared" ca="1" si="682"/>
        <v xml:space="preserve">   GERENCIAMENTO EXECUTIVO</v>
      </c>
      <c r="H1011" s="230">
        <f t="shared" ca="1" si="674"/>
        <v>7</v>
      </c>
      <c r="I1011" s="228" t="str">
        <f t="shared" ca="1" si="683"/>
        <v xml:space="preserve">   SISTEMAS E INSTALAÇÕES ELÉTRICAS</v>
      </c>
      <c r="J1011" s="230">
        <f t="shared" ca="1" si="676"/>
        <v>2</v>
      </c>
      <c r="K1011" s="228" t="str">
        <f t="shared" ca="1" si="684"/>
        <v xml:space="preserve">   SISTEMAS E INSTALAÇÕES ELÉTRICAS - 2º PAVIMENTO - TÉRREO</v>
      </c>
      <c r="L1011" s="231">
        <f t="shared" ca="1" si="678"/>
        <v>6</v>
      </c>
      <c r="M1011" s="228" t="str">
        <f t="shared" ca="1" si="685"/>
        <v xml:space="preserve">   Mão de Obra</v>
      </c>
      <c r="N1011" s="231">
        <f t="shared" ca="1" si="680"/>
        <v>1</v>
      </c>
      <c r="O1011" s="228" t="str">
        <f t="shared" ca="1" si="686"/>
        <v>Mao de obra de instalacoes eletricas</v>
      </c>
      <c r="P1011" s="232" t="str">
        <f>IF(S1011="","",IF(Orçamento!$B1011="INSUMO",S1011,""))</f>
        <v>Mão de obra de instalações eletricas</v>
      </c>
      <c r="Q1011" s="244" t="str">
        <f t="shared" si="690"/>
        <v/>
      </c>
      <c r="R1011" s="234">
        <f t="shared" ca="1" si="687"/>
        <v>326.93599</v>
      </c>
      <c r="S1011" s="233" t="s">
        <v>251</v>
      </c>
      <c r="T1011" s="242" t="str">
        <f>_xlfn.XLOOKUP(S1011,Insumos!$A$3:$A$371,Insumos!$B$3:$B$371)</f>
        <v>VB</v>
      </c>
      <c r="U1011" s="235">
        <f ca="1">IF($B1011="insumo",R1011,"")</f>
        <v>326.93599</v>
      </c>
      <c r="V1011" s="320">
        <v>1</v>
      </c>
      <c r="W1011" s="236">
        <f ca="1">IFERROR(IF(B1011="INSUMO",_xlfn.XLOOKUP(S1011,Insumos!A:A,Insumos!C:C),""),"Inserir Preço")</f>
        <v>36.785494629101763</v>
      </c>
      <c r="X1011" s="235">
        <f t="shared" ca="1" si="688"/>
        <v>326.93599</v>
      </c>
      <c r="Y1011" s="236">
        <f t="shared" ca="1" si="689"/>
        <v>36.785494629101763</v>
      </c>
      <c r="Z1011" s="237">
        <f t="shared" ca="1" si="666"/>
        <v>12026.502104205068</v>
      </c>
      <c r="AA1011" s="238"/>
      <c r="AB1011" s="233" t="str">
        <f>IF(B1011="insumo",_xlfn.XLOOKUP(S1011,Insumos!A:A,Insumos!D:D),"")</f>
        <v>Aba Custo Serviços</v>
      </c>
      <c r="AC1011" s="239">
        <f t="shared" ca="1" si="667"/>
        <v>1.7253113749275879E-3</v>
      </c>
      <c r="AE1011" s="240">
        <f ca="1">IFERROR(IF(OR(Z1011="",Z1011=0),"",IF(AF1011="","",IF(AF1011="R$/mês",Z1011/OBRA!$D$12,IF(AF1011="R$/m²",Z1011/OBRA!$D$10,IF(AF1011="R$/apto",Orçamento!Z1011/OBRA!$D$11,""))))),"")</f>
        <v>6.1889236499050906</v>
      </c>
      <c r="AF1011" s="241" t="s">
        <v>154</v>
      </c>
    </row>
    <row r="1012" spans="1:32" s="10" customFormat="1" ht="13.15" customHeight="1" outlineLevel="2" collapsed="1" x14ac:dyDescent="0.2">
      <c r="A1012" s="227"/>
      <c r="B1012" s="228" t="s">
        <v>2</v>
      </c>
      <c r="C1012" s="229" t="str">
        <f t="shared" si="665"/>
        <v/>
      </c>
      <c r="D1012" s="227" t="str">
        <f t="shared" ca="1" si="668"/>
        <v>07.003</v>
      </c>
      <c r="E1012" s="228" t="str">
        <f t="shared" ca="1" si="672"/>
        <v>07.002.006.001</v>
      </c>
      <c r="F1012" s="230">
        <f ca="1">IF($B1012="UNIDADE CONSTRUTIVA",OFFSET(F1012,-1,0)+1,LARGE(F$10:F1011,1))</f>
        <v>2</v>
      </c>
      <c r="G1012" s="228" t="str">
        <f t="shared" ca="1" si="682"/>
        <v xml:space="preserve">   GERENCIAMENTO EXECUTIVO</v>
      </c>
      <c r="H1012" s="230">
        <f t="shared" ca="1" si="674"/>
        <v>7</v>
      </c>
      <c r="I1012" s="228" t="str">
        <f t="shared" ca="1" si="683"/>
        <v xml:space="preserve">   SISTEMAS E INSTALAÇÕES ELÉTRICAS</v>
      </c>
      <c r="J1012" s="230">
        <f t="shared" ca="1" si="676"/>
        <v>3</v>
      </c>
      <c r="K1012" s="228" t="str">
        <f t="shared" ca="1" si="684"/>
        <v xml:space="preserve">   SISTEMAS E INSTALAÇÕES ELÉTRICAS - 3º  ao 7º PAVIMENTO - TIPO</v>
      </c>
      <c r="L1012" s="231">
        <f t="shared" ca="1" si="678"/>
        <v>0</v>
      </c>
      <c r="M1012" s="228" t="str">
        <f t="shared" ca="1" si="685"/>
        <v xml:space="preserve">   Mão de Obra</v>
      </c>
      <c r="N1012" s="231">
        <f t="shared" ca="1" si="680"/>
        <v>1</v>
      </c>
      <c r="O1012" s="228" t="str">
        <f t="shared" ca="1" si="686"/>
        <v>Mao de obra de instalacoes eletricas</v>
      </c>
      <c r="P1012" s="232" t="str">
        <f>IF(S1012="","",IF(Orçamento!$B1012="INSUMO",S1012,""))</f>
        <v/>
      </c>
      <c r="Q1012" s="244" t="str">
        <f t="shared" si="690"/>
        <v/>
      </c>
      <c r="R1012" s="234">
        <f t="shared" ca="1" si="687"/>
        <v>326.93599</v>
      </c>
      <c r="S1012" s="233" t="s">
        <v>669</v>
      </c>
      <c r="T1012" s="242" t="s">
        <v>35</v>
      </c>
      <c r="U1012" s="235" t="str">
        <f>IF($B1012="insumo",R1012,"")</f>
        <v/>
      </c>
      <c r="V1012" s="320" t="s">
        <v>35</v>
      </c>
      <c r="W1012" s="236" t="str">
        <f>IFERROR(IF(B1012="INSUMO",_xlfn.XLOOKUP(S1012,Insumos!A:A,Insumos!C:C),""),"Inserir Preço")</f>
        <v/>
      </c>
      <c r="X1012" s="235" t="str">
        <f t="shared" ca="1" si="688"/>
        <v/>
      </c>
      <c r="Y1012" s="236" t="str">
        <f t="shared" si="689"/>
        <v/>
      </c>
      <c r="Z1012" s="237">
        <f t="shared" ca="1" si="666"/>
        <v>165624.92916866171</v>
      </c>
      <c r="AA1012" s="238"/>
      <c r="AB1012" s="233" t="str">
        <f>IF(B1012="insumo",_xlfn.XLOOKUP(S1012,Insumos!A:A,Insumos!D:D),"")</f>
        <v/>
      </c>
      <c r="AC1012" s="239">
        <f t="shared" ca="1" si="667"/>
        <v>2.3760406125597728E-2</v>
      </c>
      <c r="AE1012" s="240">
        <f ca="1">IFERROR(IF(OR(Z1012="",Z1012=0),"",IF(AF1012="","",IF(AF1012="R$/mês",Z1012/OBRA!$D$12,IF(AF1012="R$/m²",Z1012/OBRA!$D$10,IF(AF1012="R$/apto",Orçamento!Z1012/OBRA!$D$11,""))))),"")</f>
        <v>85.231768328330517</v>
      </c>
      <c r="AF1012" s="241" t="s">
        <v>154</v>
      </c>
    </row>
    <row r="1013" spans="1:32" s="10" customFormat="1" ht="13.15" hidden="1" customHeight="1" outlineLevel="3" collapsed="1" x14ac:dyDescent="0.2">
      <c r="A1013" s="227"/>
      <c r="B1013" s="228" t="s">
        <v>3</v>
      </c>
      <c r="C1013" s="229" t="str">
        <f t="shared" si="665"/>
        <v/>
      </c>
      <c r="D1013" s="227" t="str">
        <f t="shared" ref="D1013:D1030" ca="1" si="691">IF(B1013="Unidade Construtiva",TEXT(F1013,"00"),IF(B1013="Célula Construtiva",TEXT(H1013,"00"),IF(B1013="Etapa",CONCATENATE(TEXT(H1013,"00"),".",TEXT(J1013,"000")),IF(B1013="Subetapa",CONCATENATE(TEXT(H1013,"00"),".",TEXT(J1013,"000"),".",TEXT(L1013,"000")),IF(B1013="Serviço",CONCATENATE(TEXT(H1013,"00"),".",TEXT(J1013,"000"),".",TEXT(L1013,"000"),".",TEXT(N1013,"000")),"")))))</f>
        <v>07.003.001</v>
      </c>
      <c r="E1013" s="228" t="str">
        <f t="shared" ref="E1013:E1030" ca="1" si="692">IF(B1013="*","",IFERROR(IF(B1013="SERVIÇO",D1013,OFFSET(E1013,-1,0)),""))</f>
        <v>07.002.006.001</v>
      </c>
      <c r="F1013" s="230">
        <f ca="1">IF($B1013="UNIDADE CONSTRUTIVA",OFFSET(F1013,-1,0)+1,LARGE(F$10:F1012,1))</f>
        <v>2</v>
      </c>
      <c r="G1013" s="228" t="str">
        <f t="shared" ca="1" si="682"/>
        <v xml:space="preserve">   GERENCIAMENTO EXECUTIVO</v>
      </c>
      <c r="H1013" s="230">
        <f t="shared" ref="H1013:H1030" ca="1" si="693">IF(B1013="UNIDADE CONSTRUTIVA",0,IF(B1013="CÉLULA CONSTRUTIVA",OFFSET(H1013,-1,0)+1,OFFSET(H1013,-1,0)))</f>
        <v>7</v>
      </c>
      <c r="I1013" s="228" t="str">
        <f t="shared" ca="1" si="683"/>
        <v xml:space="preserve">   SISTEMAS E INSTALAÇÕES ELÉTRICAS</v>
      </c>
      <c r="J1013" s="230">
        <f t="shared" ref="J1013:J1030" ca="1" si="694">IF(B1013="CÉLULA CONSTRUTIVA",0,IF(B1013="ETAPA",OFFSET(J1013,-1,0)+1,OFFSET(J1013,-1,0)))</f>
        <v>3</v>
      </c>
      <c r="K1013" s="228" t="str">
        <f t="shared" ca="1" si="684"/>
        <v xml:space="preserve">   SISTEMAS E INSTALAÇÕES ELÉTRICAS - 3º  ao 7º PAVIMENTO - TIPO</v>
      </c>
      <c r="L1013" s="231">
        <f t="shared" ref="L1013:L1030" ca="1" si="695">IF(B1013="ETAPA",0,IF(B1013="SUBETAPA",OFFSET(L1013,-1,0)+1,OFFSET(L1013,-1,0)))</f>
        <v>1</v>
      </c>
      <c r="M1013" s="228" t="str">
        <f t="shared" ca="1" si="685"/>
        <v xml:space="preserve">   Quadros Elétricos e Disjuntores</v>
      </c>
      <c r="N1013" s="231">
        <f t="shared" ref="N1013:N1030" ca="1" si="696">IF(B1013="Subetapa",0,IF(B1013="serviço",OFFSET(N1013,-1,0)+1,OFFSET(N1013,-1,0)))</f>
        <v>0</v>
      </c>
      <c r="O1013" s="228" t="str">
        <f t="shared" ca="1" si="686"/>
        <v>Mao de obra de instalacoes eletricas</v>
      </c>
      <c r="P1013" s="232" t="str">
        <f>IF(S1013="","",IF(Orçamento!$B1013="INSUMO",S1013,""))</f>
        <v/>
      </c>
      <c r="Q1013" s="244" t="str">
        <f t="shared" si="690"/>
        <v/>
      </c>
      <c r="R1013" s="234">
        <f t="shared" ca="1" si="687"/>
        <v>326.93599</v>
      </c>
      <c r="S1013" s="233" t="s">
        <v>442</v>
      </c>
      <c r="T1013" s="242" t="s">
        <v>35</v>
      </c>
      <c r="U1013" s="235" t="str">
        <f>IF($B1013="insumo",R1013,"")</f>
        <v/>
      </c>
      <c r="V1013" s="320" t="s">
        <v>35</v>
      </c>
      <c r="W1013" s="236" t="str">
        <f>IFERROR(IF(B1013="INSUMO",_xlfn.XLOOKUP(S1013,Insumos!A:A,Insumos!C:C),""),"Inserir Preço")</f>
        <v/>
      </c>
      <c r="X1013" s="235" t="str">
        <f t="shared" ca="1" si="688"/>
        <v/>
      </c>
      <c r="Y1013" s="236" t="str">
        <f t="shared" si="689"/>
        <v/>
      </c>
      <c r="Z1013" s="237">
        <f t="shared" ca="1" si="666"/>
        <v>15728.259120650528</v>
      </c>
      <c r="AA1013" s="238"/>
      <c r="AB1013" s="233" t="str">
        <f>IF(B1013="insumo",_xlfn.XLOOKUP(S1013,Insumos!A:A,Insumos!D:D),"")</f>
        <v/>
      </c>
      <c r="AC1013" s="239">
        <f t="shared" ca="1" si="667"/>
        <v>2.2563621686124994E-3</v>
      </c>
      <c r="AE1013" s="240">
        <f ca="1">IFERROR(IF(OR(Z1013="",Z1013=0),"",IF(AF1013="","",IF(AF1013="R$/mês",Z1013/OBRA!$D$12,IF(AF1013="R$/m²",Z1013/OBRA!$D$10,IF(AF1013="R$/apto",Orçamento!Z1013/OBRA!$D$11,""))))),"")</f>
        <v>8.0938741788931452</v>
      </c>
      <c r="AF1013" s="241" t="s">
        <v>154</v>
      </c>
    </row>
    <row r="1014" spans="1:32" s="10" customFormat="1" ht="13.15" hidden="1" customHeight="1" outlineLevel="4" x14ac:dyDescent="0.2">
      <c r="A1014" s="227"/>
      <c r="B1014" s="228" t="s">
        <v>4</v>
      </c>
      <c r="C1014" s="229">
        <f t="shared" si="665"/>
        <v>1</v>
      </c>
      <c r="D1014" s="227" t="str">
        <f t="shared" ca="1" si="691"/>
        <v>07.003.001.001</v>
      </c>
      <c r="E1014" s="228" t="str">
        <f t="shared" ca="1" si="692"/>
        <v>07.003.001.001</v>
      </c>
      <c r="F1014" s="230">
        <f ca="1">IF($B1014="UNIDADE CONSTRUTIVA",OFFSET(F1014,-1,0)+1,LARGE(F$10:F1013,1))</f>
        <v>2</v>
      </c>
      <c r="G1014" s="228" t="str">
        <f t="shared" ca="1" si="682"/>
        <v xml:space="preserve">   GERENCIAMENTO EXECUTIVO</v>
      </c>
      <c r="H1014" s="230">
        <f t="shared" ca="1" si="693"/>
        <v>7</v>
      </c>
      <c r="I1014" s="228" t="str">
        <f t="shared" ca="1" si="683"/>
        <v xml:space="preserve">   SISTEMAS E INSTALAÇÕES ELÉTRICAS</v>
      </c>
      <c r="J1014" s="230">
        <f t="shared" ca="1" si="694"/>
        <v>3</v>
      </c>
      <c r="K1014" s="228" t="str">
        <f t="shared" ca="1" si="684"/>
        <v xml:space="preserve">   SISTEMAS E INSTALAÇÕES ELÉTRICAS - 3º  ao 7º PAVIMENTO - TIPO</v>
      </c>
      <c r="L1014" s="231">
        <f t="shared" ca="1" si="695"/>
        <v>1</v>
      </c>
      <c r="M1014" s="228" t="str">
        <f t="shared" ca="1" si="685"/>
        <v xml:space="preserve">   Quadros Elétricos e Disjuntores</v>
      </c>
      <c r="N1014" s="231">
        <f t="shared" ca="1" si="696"/>
        <v>1</v>
      </c>
      <c r="O1014" s="228" t="str">
        <f t="shared" ca="1" si="686"/>
        <v>Quadros e Disjuntores - Tipo (x5)</v>
      </c>
      <c r="P1014" s="232" t="str">
        <f>IF(S1014="","",IF(Orçamento!$B1014="INSUMO",S1014,""))</f>
        <v/>
      </c>
      <c r="Q1014" s="244" t="str">
        <f t="shared" si="690"/>
        <v>Quadros e Disjuntores - Tipo (x5)</v>
      </c>
      <c r="R1014" s="234">
        <f t="shared" ca="1" si="687"/>
        <v>1</v>
      </c>
      <c r="S1014" s="233" t="s">
        <v>991</v>
      </c>
      <c r="T1014" s="242" t="s">
        <v>170</v>
      </c>
      <c r="U1014" s="235">
        <v>1</v>
      </c>
      <c r="V1014" s="320" t="s">
        <v>35</v>
      </c>
      <c r="W1014" s="236" t="str">
        <f>IFERROR(IF(B1014="INSUMO",_xlfn.XLOOKUP(S1014,Insumos!A:A,Insumos!C:C),""),"Inserir Preço")</f>
        <v/>
      </c>
      <c r="X1014" s="235">
        <f t="shared" ca="1" si="688"/>
        <v>1</v>
      </c>
      <c r="Y1014" s="236">
        <f t="shared" ca="1" si="689"/>
        <v>15728.259120650528</v>
      </c>
      <c r="Z1014" s="237">
        <f t="shared" ca="1" si="666"/>
        <v>15728.259120650528</v>
      </c>
      <c r="AA1014" s="238"/>
      <c r="AB1014" s="233" t="str">
        <f>IF(B1014="insumo",_xlfn.XLOOKUP(S1014,Insumos!A:A,Insumos!D:D),"")</f>
        <v/>
      </c>
      <c r="AC1014" s="239">
        <f t="shared" ca="1" si="667"/>
        <v>2.2563621686124994E-3</v>
      </c>
      <c r="AE1014" s="240">
        <f ca="1">IFERROR(IF(OR(Z1014="",Z1014=0),"",IF(AF1014="","",IF(AF1014="R$/mês",Z1014/OBRA!$D$12,IF(AF1014="R$/m²",Z1014/OBRA!$D$10,IF(AF1014="R$/apto",Orçamento!Z1014/OBRA!$D$11,""))))),"")</f>
        <v>8.0938741788931452</v>
      </c>
      <c r="AF1014" s="241" t="s">
        <v>154</v>
      </c>
    </row>
    <row r="1015" spans="1:32" s="10" customFormat="1" ht="13.15" hidden="1" customHeight="1" outlineLevel="4" x14ac:dyDescent="0.2">
      <c r="A1015" s="227"/>
      <c r="B1015" s="228" t="s">
        <v>19</v>
      </c>
      <c r="C1015" s="229">
        <f t="shared" si="665"/>
        <v>1</v>
      </c>
      <c r="D1015" s="227" t="str">
        <f t="shared" si="691"/>
        <v/>
      </c>
      <c r="E1015" s="228" t="str">
        <f t="shared" ca="1" si="692"/>
        <v>07.003.001.001</v>
      </c>
      <c r="F1015" s="230">
        <f ca="1">IF($B1015="UNIDADE CONSTRUTIVA",OFFSET(F1015,-1,0)+1,LARGE(F$10:F1014,1))</f>
        <v>2</v>
      </c>
      <c r="G1015" s="228" t="str">
        <f t="shared" ca="1" si="682"/>
        <v xml:space="preserve">   GERENCIAMENTO EXECUTIVO</v>
      </c>
      <c r="H1015" s="230">
        <f t="shared" ca="1" si="693"/>
        <v>7</v>
      </c>
      <c r="I1015" s="228" t="str">
        <f t="shared" ca="1" si="683"/>
        <v xml:space="preserve">   SISTEMAS E INSTALAÇÕES ELÉTRICAS</v>
      </c>
      <c r="J1015" s="230">
        <f t="shared" ca="1" si="694"/>
        <v>3</v>
      </c>
      <c r="K1015" s="228" t="str">
        <f t="shared" ca="1" si="684"/>
        <v xml:space="preserve">   SISTEMAS E INSTALAÇÕES ELÉTRICAS - 3º  ao 7º PAVIMENTO - TIPO</v>
      </c>
      <c r="L1015" s="231">
        <f t="shared" ca="1" si="695"/>
        <v>1</v>
      </c>
      <c r="M1015" s="228" t="str">
        <f t="shared" ca="1" si="685"/>
        <v xml:space="preserve">   Quadros Elétricos e Disjuntores</v>
      </c>
      <c r="N1015" s="231">
        <f t="shared" ca="1" si="696"/>
        <v>1</v>
      </c>
      <c r="O1015" s="228" t="str">
        <f t="shared" ca="1" si="686"/>
        <v>Quadros e Disjuntores - Tipo (x5)</v>
      </c>
      <c r="P1015" s="232" t="str">
        <f>IF(S1015="","",IF(Orçamento!$B1015="INSUMO",S1015,""))</f>
        <v>QUADROS E DISJUNTORES - TIPO (x5)</v>
      </c>
      <c r="Q1015" s="244" t="str">
        <f t="shared" si="690"/>
        <v/>
      </c>
      <c r="R1015" s="234">
        <f t="shared" ca="1" si="687"/>
        <v>1</v>
      </c>
      <c r="S1015" s="233" t="s">
        <v>955</v>
      </c>
      <c r="T1015" s="242" t="str">
        <f>_xlfn.XLOOKUP(S1015,Insumos!$A$3:$A$371,Insumos!$B$3:$B$371)</f>
        <v>VB</v>
      </c>
      <c r="U1015" s="235">
        <f ca="1">IF($B1015="insumo",R1015,"")</f>
        <v>1</v>
      </c>
      <c r="V1015" s="320">
        <v>1</v>
      </c>
      <c r="W1015" s="236">
        <f>IFERROR(IF(B1015="INSUMO",_xlfn.XLOOKUP(S1015,Insumos!A:A,Insumos!C:C),""),"Inserir Preço")</f>
        <v>15728.259120650528</v>
      </c>
      <c r="X1015" s="235">
        <f t="shared" ca="1" si="688"/>
        <v>1</v>
      </c>
      <c r="Y1015" s="236">
        <f t="shared" si="689"/>
        <v>15728.259120650528</v>
      </c>
      <c r="Z1015" s="237">
        <f t="shared" ca="1" si="666"/>
        <v>15728.259120650528</v>
      </c>
      <c r="AA1015" s="238"/>
      <c r="AB1015" s="233" t="str">
        <f>IF(B1015="insumo",_xlfn.XLOOKUP(S1015,Insumos!A:A,Insumos!D:D),"")</f>
        <v>Lista de Elétrica</v>
      </c>
      <c r="AC1015" s="239">
        <f t="shared" ca="1" si="667"/>
        <v>2.2563621686124994E-3</v>
      </c>
      <c r="AE1015" s="240">
        <f ca="1">IFERROR(IF(OR(Z1015="",Z1015=0),"",IF(AF1015="","",IF(AF1015="R$/mês",Z1015/OBRA!$D$12,IF(AF1015="R$/m²",Z1015/OBRA!$D$10,IF(AF1015="R$/apto",Orçamento!Z1015/OBRA!$D$11,""))))),"")</f>
        <v>8.0938741788931452</v>
      </c>
      <c r="AF1015" s="241" t="s">
        <v>154</v>
      </c>
    </row>
    <row r="1016" spans="1:32" s="10" customFormat="1" ht="13.15" hidden="1" customHeight="1" outlineLevel="3" collapsed="1" x14ac:dyDescent="0.2">
      <c r="A1016" s="227"/>
      <c r="B1016" s="228" t="s">
        <v>3</v>
      </c>
      <c r="C1016" s="229" t="str">
        <f t="shared" si="665"/>
        <v/>
      </c>
      <c r="D1016" s="227" t="str">
        <f t="shared" ca="1" si="691"/>
        <v>07.003.002</v>
      </c>
      <c r="E1016" s="228" t="str">
        <f t="shared" ca="1" si="692"/>
        <v>07.003.001.001</v>
      </c>
      <c r="F1016" s="230">
        <f ca="1">IF($B1016="UNIDADE CONSTRUTIVA",OFFSET(F1016,-1,0)+1,LARGE(F$10:F1015,1))</f>
        <v>2</v>
      </c>
      <c r="G1016" s="228" t="str">
        <f t="shared" ca="1" si="682"/>
        <v xml:space="preserve">   GERENCIAMENTO EXECUTIVO</v>
      </c>
      <c r="H1016" s="230">
        <f t="shared" ca="1" si="693"/>
        <v>7</v>
      </c>
      <c r="I1016" s="228" t="str">
        <f t="shared" ca="1" si="683"/>
        <v xml:space="preserve">   SISTEMAS E INSTALAÇÕES ELÉTRICAS</v>
      </c>
      <c r="J1016" s="230">
        <f t="shared" ca="1" si="694"/>
        <v>3</v>
      </c>
      <c r="K1016" s="228" t="str">
        <f t="shared" ca="1" si="684"/>
        <v xml:space="preserve">   SISTEMAS E INSTALAÇÕES ELÉTRICAS - 3º  ao 7º PAVIMENTO - TIPO</v>
      </c>
      <c r="L1016" s="231">
        <f t="shared" ca="1" si="695"/>
        <v>2</v>
      </c>
      <c r="M1016" s="228" t="str">
        <f t="shared" ca="1" si="685"/>
        <v xml:space="preserve">   Eletrodutos e Eletrocalhas</v>
      </c>
      <c r="N1016" s="231">
        <f t="shared" ca="1" si="696"/>
        <v>0</v>
      </c>
      <c r="O1016" s="228" t="str">
        <f t="shared" ca="1" si="686"/>
        <v>Quadros e Disjuntores - Tipo (x5)</v>
      </c>
      <c r="P1016" s="232" t="str">
        <f>IF(S1016="","",IF(Orçamento!$B1016="INSUMO",S1016,""))</f>
        <v/>
      </c>
      <c r="Q1016" s="244" t="str">
        <f t="shared" si="690"/>
        <v/>
      </c>
      <c r="R1016" s="234">
        <f t="shared" ca="1" si="687"/>
        <v>1</v>
      </c>
      <c r="S1016" s="233" t="s">
        <v>443</v>
      </c>
      <c r="T1016" s="242" t="s">
        <v>35</v>
      </c>
      <c r="U1016" s="235" t="str">
        <f>IF($B1016="insumo",R1016,"")</f>
        <v/>
      </c>
      <c r="V1016" s="320" t="s">
        <v>35</v>
      </c>
      <c r="W1016" s="236" t="str">
        <f>IFERROR(IF(B1016="INSUMO",_xlfn.XLOOKUP(S1016,Insumos!A:A,Insumos!C:C),""),"Inserir Preço")</f>
        <v/>
      </c>
      <c r="X1016" s="235" t="str">
        <f t="shared" ca="1" si="688"/>
        <v/>
      </c>
      <c r="Y1016" s="236" t="str">
        <f t="shared" si="689"/>
        <v/>
      </c>
      <c r="Z1016" s="237">
        <f t="shared" ca="1" si="666"/>
        <v>24258.952557144221</v>
      </c>
      <c r="AA1016" s="238"/>
      <c r="AB1016" s="233" t="str">
        <f>IF(B1016="insumo",_xlfn.XLOOKUP(S1016,Insumos!A:A,Insumos!D:D),"")</f>
        <v/>
      </c>
      <c r="AC1016" s="239">
        <f t="shared" ca="1" si="667"/>
        <v>3.4801679181542967E-3</v>
      </c>
      <c r="AE1016" s="240">
        <f ca="1">IFERROR(IF(OR(Z1016="",Z1016=0),"",IF(AF1016="","",IF(AF1016="R$/mês",Z1016/OBRA!$D$12,IF(AF1016="R$/m²",Z1016/OBRA!$D$10,IF(AF1016="R$/apto",Orçamento!Z1016/OBRA!$D$11,""))))),"")</f>
        <v>12.483829787078328</v>
      </c>
      <c r="AF1016" s="241" t="s">
        <v>154</v>
      </c>
    </row>
    <row r="1017" spans="1:32" s="10" customFormat="1" ht="13.15" hidden="1" customHeight="1" outlineLevel="4" x14ac:dyDescent="0.2">
      <c r="A1017" s="227"/>
      <c r="B1017" s="228" t="s">
        <v>4</v>
      </c>
      <c r="C1017" s="229">
        <f t="shared" si="665"/>
        <v>1</v>
      </c>
      <c r="D1017" s="227" t="str">
        <f t="shared" ca="1" si="691"/>
        <v>07.003.002.001</v>
      </c>
      <c r="E1017" s="228" t="str">
        <f t="shared" ca="1" si="692"/>
        <v>07.003.002.001</v>
      </c>
      <c r="F1017" s="230">
        <f ca="1">IF($B1017="UNIDADE CONSTRUTIVA",OFFSET(F1017,-1,0)+1,LARGE(F$10:F1016,1))</f>
        <v>2</v>
      </c>
      <c r="G1017" s="228" t="str">
        <f t="shared" ca="1" si="682"/>
        <v xml:space="preserve">   GERENCIAMENTO EXECUTIVO</v>
      </c>
      <c r="H1017" s="230">
        <f t="shared" ca="1" si="693"/>
        <v>7</v>
      </c>
      <c r="I1017" s="228" t="str">
        <f t="shared" ca="1" si="683"/>
        <v xml:space="preserve">   SISTEMAS E INSTALAÇÕES ELÉTRICAS</v>
      </c>
      <c r="J1017" s="230">
        <f t="shared" ca="1" si="694"/>
        <v>3</v>
      </c>
      <c r="K1017" s="228" t="str">
        <f t="shared" ca="1" si="684"/>
        <v xml:space="preserve">   SISTEMAS E INSTALAÇÕES ELÉTRICAS - 3º  ao 7º PAVIMENTO - TIPO</v>
      </c>
      <c r="L1017" s="231">
        <f t="shared" ca="1" si="695"/>
        <v>2</v>
      </c>
      <c r="M1017" s="228" t="str">
        <f t="shared" ca="1" si="685"/>
        <v xml:space="preserve">   Eletrodutos e Eletrocalhas</v>
      </c>
      <c r="N1017" s="231">
        <f t="shared" ca="1" si="696"/>
        <v>1</v>
      </c>
      <c r="O1017" s="228" t="str">
        <f t="shared" ca="1" si="686"/>
        <v>Eletrodutos e Eletrocalhas - Tipo (x5)</v>
      </c>
      <c r="P1017" s="232" t="str">
        <f>IF(S1017="","",IF(Orçamento!$B1017="INSUMO",S1017,""))</f>
        <v/>
      </c>
      <c r="Q1017" s="244" t="str">
        <f t="shared" si="690"/>
        <v>Eletrodutos e Eletrocalhas - Tipo (x5)</v>
      </c>
      <c r="R1017" s="234">
        <f t="shared" ca="1" si="687"/>
        <v>1</v>
      </c>
      <c r="S1017" s="233" t="s">
        <v>992</v>
      </c>
      <c r="T1017" s="242" t="s">
        <v>170</v>
      </c>
      <c r="U1017" s="235">
        <v>1</v>
      </c>
      <c r="V1017" s="320" t="s">
        <v>35</v>
      </c>
      <c r="W1017" s="236" t="str">
        <f>IFERROR(IF(B1017="INSUMO",_xlfn.XLOOKUP(S1017,Insumos!A:A,Insumos!C:C),""),"Inserir Preço")</f>
        <v/>
      </c>
      <c r="X1017" s="235">
        <f t="shared" ca="1" si="688"/>
        <v>1</v>
      </c>
      <c r="Y1017" s="236">
        <f t="shared" ca="1" si="689"/>
        <v>24258.952557144221</v>
      </c>
      <c r="Z1017" s="237">
        <f t="shared" ca="1" si="666"/>
        <v>24258.952557144221</v>
      </c>
      <c r="AA1017" s="238"/>
      <c r="AB1017" s="233" t="str">
        <f>IF(B1017="insumo",_xlfn.XLOOKUP(S1017,Insumos!A:A,Insumos!D:D),"")</f>
        <v/>
      </c>
      <c r="AC1017" s="239">
        <f t="shared" ca="1" si="667"/>
        <v>3.4801679181542967E-3</v>
      </c>
      <c r="AE1017" s="240">
        <f ca="1">IFERROR(IF(OR(Z1017="",Z1017=0),"",IF(AF1017="","",IF(AF1017="R$/mês",Z1017/OBRA!$D$12,IF(AF1017="R$/m²",Z1017/OBRA!$D$10,IF(AF1017="R$/apto",Orçamento!Z1017/OBRA!$D$11,""))))),"")</f>
        <v>12.483829787078328</v>
      </c>
      <c r="AF1017" s="241" t="s">
        <v>154</v>
      </c>
    </row>
    <row r="1018" spans="1:32" s="10" customFormat="1" ht="13.15" hidden="1" customHeight="1" outlineLevel="4" x14ac:dyDescent="0.2">
      <c r="A1018" s="227"/>
      <c r="B1018" s="228" t="s">
        <v>19</v>
      </c>
      <c r="C1018" s="229">
        <f t="shared" si="665"/>
        <v>1</v>
      </c>
      <c r="D1018" s="227" t="str">
        <f t="shared" si="691"/>
        <v/>
      </c>
      <c r="E1018" s="228" t="str">
        <f t="shared" ca="1" si="692"/>
        <v>07.003.002.001</v>
      </c>
      <c r="F1018" s="230">
        <f ca="1">IF($B1018="UNIDADE CONSTRUTIVA",OFFSET(F1018,-1,0)+1,LARGE(F$10:F1017,1))</f>
        <v>2</v>
      </c>
      <c r="G1018" s="228" t="str">
        <f t="shared" ca="1" si="682"/>
        <v xml:space="preserve">   GERENCIAMENTO EXECUTIVO</v>
      </c>
      <c r="H1018" s="230">
        <f t="shared" ca="1" si="693"/>
        <v>7</v>
      </c>
      <c r="I1018" s="228" t="str">
        <f t="shared" ca="1" si="683"/>
        <v xml:space="preserve">   SISTEMAS E INSTALAÇÕES ELÉTRICAS</v>
      </c>
      <c r="J1018" s="230">
        <f t="shared" ca="1" si="694"/>
        <v>3</v>
      </c>
      <c r="K1018" s="228" t="str">
        <f t="shared" ca="1" si="684"/>
        <v xml:space="preserve">   SISTEMAS E INSTALAÇÕES ELÉTRICAS - 3º  ao 7º PAVIMENTO - TIPO</v>
      </c>
      <c r="L1018" s="231">
        <f t="shared" ca="1" si="695"/>
        <v>2</v>
      </c>
      <c r="M1018" s="228" t="str">
        <f t="shared" ca="1" si="685"/>
        <v xml:space="preserve">   Eletrodutos e Eletrocalhas</v>
      </c>
      <c r="N1018" s="231">
        <f t="shared" ca="1" si="696"/>
        <v>1</v>
      </c>
      <c r="O1018" s="228" t="str">
        <f t="shared" ca="1" si="686"/>
        <v>Eletrodutos e Eletrocalhas - Tipo (x5)</v>
      </c>
      <c r="P1018" s="232" t="str">
        <f>IF(S1018="","",IF(Orçamento!$B1018="INSUMO",S1018,""))</f>
        <v>ELETRODUTOS, CAIXAS E ELETROCALHAS - TIPO (x5)</v>
      </c>
      <c r="Q1018" s="244" t="str">
        <f t="shared" si="690"/>
        <v/>
      </c>
      <c r="R1018" s="234">
        <f t="shared" ca="1" si="687"/>
        <v>1</v>
      </c>
      <c r="S1018" s="233" t="s">
        <v>987</v>
      </c>
      <c r="T1018" s="242" t="str">
        <f>_xlfn.XLOOKUP(S1018,Insumos!$A$3:$A$371,Insumos!$B$3:$B$371)</f>
        <v>VB</v>
      </c>
      <c r="U1018" s="235">
        <f ca="1">IF($B1018="insumo",R1018,"")</f>
        <v>1</v>
      </c>
      <c r="V1018" s="320">
        <v>1</v>
      </c>
      <c r="W1018" s="236">
        <f>IFERROR(IF(B1018="INSUMO",_xlfn.XLOOKUP(S1018,Insumos!A:A,Insumos!C:C),""),"Inserir Preço")</f>
        <v>24258.952557144221</v>
      </c>
      <c r="X1018" s="235">
        <f t="shared" ca="1" si="688"/>
        <v>1</v>
      </c>
      <c r="Y1018" s="236">
        <f t="shared" si="689"/>
        <v>24258.952557144221</v>
      </c>
      <c r="Z1018" s="237">
        <f t="shared" ca="1" si="666"/>
        <v>24258.952557144221</v>
      </c>
      <c r="AA1018" s="238"/>
      <c r="AB1018" s="233" t="str">
        <f>IF(B1018="insumo",_xlfn.XLOOKUP(S1018,Insumos!A:A,Insumos!D:D),"")</f>
        <v>Lista de Elétrica</v>
      </c>
      <c r="AC1018" s="239">
        <f t="shared" ca="1" si="667"/>
        <v>3.4801679181542967E-3</v>
      </c>
      <c r="AE1018" s="240">
        <f ca="1">IFERROR(IF(OR(Z1018="",Z1018=0),"",IF(AF1018="","",IF(AF1018="R$/mês",Z1018/OBRA!$D$12,IF(AF1018="R$/m²",Z1018/OBRA!$D$10,IF(AF1018="R$/apto",Orçamento!Z1018/OBRA!$D$11,""))))),"")</f>
        <v>12.483829787078328</v>
      </c>
      <c r="AF1018" s="241" t="s">
        <v>154</v>
      </c>
    </row>
    <row r="1019" spans="1:32" s="10" customFormat="1" ht="13.15" hidden="1" customHeight="1" outlineLevel="3" collapsed="1" x14ac:dyDescent="0.2">
      <c r="A1019" s="227"/>
      <c r="B1019" s="228" t="s">
        <v>3</v>
      </c>
      <c r="C1019" s="229" t="str">
        <f t="shared" si="665"/>
        <v/>
      </c>
      <c r="D1019" s="227" t="str">
        <f t="shared" ca="1" si="691"/>
        <v>07.003.003</v>
      </c>
      <c r="E1019" s="228" t="str">
        <f t="shared" ca="1" si="692"/>
        <v>07.003.002.001</v>
      </c>
      <c r="F1019" s="230">
        <f ca="1">IF($B1019="UNIDADE CONSTRUTIVA",OFFSET(F1019,-1,0)+1,LARGE(F$10:F1018,1))</f>
        <v>2</v>
      </c>
      <c r="G1019" s="228" t="str">
        <f t="shared" ref="G1019:G1030" ca="1" si="697">IF(B1019="*","",IF(B1019="UNIDADE CONSTRUTIVA",S1019,OFFSET(G1019,-1,0)))</f>
        <v xml:space="preserve">   GERENCIAMENTO EXECUTIVO</v>
      </c>
      <c r="H1019" s="230">
        <f t="shared" ca="1" si="693"/>
        <v>7</v>
      </c>
      <c r="I1019" s="228" t="str">
        <f t="shared" ref="I1019:I1030" ca="1" si="698">IF(B1019="*","",IF(B1019="CÉLULA CONSTRUTIVA",S1019,OFFSET(I1019,-1,0)))</f>
        <v xml:space="preserve">   SISTEMAS E INSTALAÇÕES ELÉTRICAS</v>
      </c>
      <c r="J1019" s="230">
        <f t="shared" ca="1" si="694"/>
        <v>3</v>
      </c>
      <c r="K1019" s="228" t="str">
        <f t="shared" ref="K1019:K1030" ca="1" si="699">IF(B1019="*","",IF(B1019="ETAPA",S1019,OFFSET(K1019,-1,0)))</f>
        <v xml:space="preserve">   SISTEMAS E INSTALAÇÕES ELÉTRICAS - 3º  ao 7º PAVIMENTO - TIPO</v>
      </c>
      <c r="L1019" s="231">
        <f t="shared" ca="1" si="695"/>
        <v>3</v>
      </c>
      <c r="M1019" s="228" t="str">
        <f t="shared" ref="M1019:M1030" ca="1" si="700">IF(B1019="*","",IF(B1019="SUBETAPA",S1019,OFFSET(M1019,-1,0)))</f>
        <v xml:space="preserve">   Fios e Cabos Elétricos</v>
      </c>
      <c r="N1019" s="231">
        <f t="shared" ca="1" si="696"/>
        <v>0</v>
      </c>
      <c r="O1019" s="228" t="str">
        <f t="shared" ref="O1019:O1030" ca="1" si="701">IF(B1019="*","",IF(B1019="SERVIÇO",S1019,OFFSET(O1019,-1,0)))</f>
        <v>Eletrodutos e Eletrocalhas - Tipo (x5)</v>
      </c>
      <c r="P1019" s="232" t="str">
        <f>IF(S1019="","",IF(Orçamento!$B1019="INSUMO",S1019,""))</f>
        <v/>
      </c>
      <c r="Q1019" s="244" t="str">
        <f t="shared" si="690"/>
        <v/>
      </c>
      <c r="R1019" s="234">
        <f t="shared" ref="R1019:R1030" ca="1" si="702">IF(B1019="serviço",U1019,OFFSET(R1019,-1,0))</f>
        <v>1</v>
      </c>
      <c r="S1019" s="233" t="s">
        <v>444</v>
      </c>
      <c r="T1019" s="242" t="s">
        <v>35</v>
      </c>
      <c r="U1019" s="235" t="str">
        <f>IF($B1019="insumo",R1019,"")</f>
        <v/>
      </c>
      <c r="V1019" s="320" t="s">
        <v>35</v>
      </c>
      <c r="W1019" s="236" t="str">
        <f>IFERROR(IF(B1019="INSUMO",_xlfn.XLOOKUP(S1019,Insumos!A:A,Insumos!C:C),""),"Inserir Preço")</f>
        <v/>
      </c>
      <c r="X1019" s="235" t="str">
        <f t="shared" ref="X1019:X1030" ca="1" si="703">IF(B1019="Complemento do insumo",V1019,IF(R1019="","",IF(B1019="serviço",R1019,IF(OR(B1019="insumo"),V1019*R1019,""))))</f>
        <v/>
      </c>
      <c r="Y1019" s="236" t="str">
        <f t="shared" si="689"/>
        <v/>
      </c>
      <c r="Z1019" s="237">
        <f t="shared" ca="1" si="666"/>
        <v>72883.04738651494</v>
      </c>
      <c r="AA1019" s="238"/>
      <c r="AB1019" s="233" t="str">
        <f>IF(B1019="insumo",_xlfn.XLOOKUP(S1019,Insumos!A:A,Insumos!D:D),"")</f>
        <v/>
      </c>
      <c r="AC1019" s="239">
        <f t="shared" ca="1" si="667"/>
        <v>1.0455737637244793E-2</v>
      </c>
      <c r="AE1019" s="240">
        <f ca="1">IFERROR(IF(OR(Z1019="",Z1019=0),"",IF(AF1019="","",IF(AF1019="R$/mês",Z1019/OBRA!$D$12,IF(AF1019="R$/m²",Z1019/OBRA!$D$10,IF(AF1019="R$/apto",Orçamento!Z1019/OBRA!$D$11,""))))),"")</f>
        <v>37.506135345026031</v>
      </c>
      <c r="AF1019" s="241" t="s">
        <v>154</v>
      </c>
    </row>
    <row r="1020" spans="1:32" s="10" customFormat="1" ht="13.15" hidden="1" customHeight="1" outlineLevel="4" x14ac:dyDescent="0.2">
      <c r="A1020" s="227"/>
      <c r="B1020" s="228" t="s">
        <v>4</v>
      </c>
      <c r="C1020" s="229">
        <f t="shared" si="665"/>
        <v>1</v>
      </c>
      <c r="D1020" s="227" t="str">
        <f t="shared" ca="1" si="691"/>
        <v>07.003.003.001</v>
      </c>
      <c r="E1020" s="228" t="str">
        <f t="shared" ca="1" si="692"/>
        <v>07.003.003.001</v>
      </c>
      <c r="F1020" s="230">
        <f ca="1">IF($B1020="UNIDADE CONSTRUTIVA",OFFSET(F1020,-1,0)+1,LARGE(F$10:F1019,1))</f>
        <v>2</v>
      </c>
      <c r="G1020" s="228" t="str">
        <f t="shared" ca="1" si="697"/>
        <v xml:space="preserve">   GERENCIAMENTO EXECUTIVO</v>
      </c>
      <c r="H1020" s="230">
        <f t="shared" ca="1" si="693"/>
        <v>7</v>
      </c>
      <c r="I1020" s="228" t="str">
        <f t="shared" ca="1" si="698"/>
        <v xml:space="preserve">   SISTEMAS E INSTALAÇÕES ELÉTRICAS</v>
      </c>
      <c r="J1020" s="230">
        <f t="shared" ca="1" si="694"/>
        <v>3</v>
      </c>
      <c r="K1020" s="228" t="str">
        <f t="shared" ca="1" si="699"/>
        <v xml:space="preserve">   SISTEMAS E INSTALAÇÕES ELÉTRICAS - 3º  ao 7º PAVIMENTO - TIPO</v>
      </c>
      <c r="L1020" s="231">
        <f t="shared" ca="1" si="695"/>
        <v>3</v>
      </c>
      <c r="M1020" s="228" t="str">
        <f t="shared" ca="1" si="700"/>
        <v xml:space="preserve">   Fios e Cabos Elétricos</v>
      </c>
      <c r="N1020" s="231">
        <f t="shared" ca="1" si="696"/>
        <v>1</v>
      </c>
      <c r="O1020" s="228" t="str">
        <f t="shared" ca="1" si="701"/>
        <v>Cabos e Fiacoes - Tipo (x5)</v>
      </c>
      <c r="P1020" s="232" t="str">
        <f>IF(S1020="","",IF(Orçamento!$B1020="INSUMO",S1020,""))</f>
        <v/>
      </c>
      <c r="Q1020" s="244" t="str">
        <f t="shared" si="690"/>
        <v>Cabos e Fiacoes - Tipo (x5)</v>
      </c>
      <c r="R1020" s="234">
        <f t="shared" ca="1" si="702"/>
        <v>1</v>
      </c>
      <c r="S1020" s="233" t="s">
        <v>993</v>
      </c>
      <c r="T1020" s="242" t="s">
        <v>170</v>
      </c>
      <c r="U1020" s="235">
        <v>1</v>
      </c>
      <c r="V1020" s="320" t="s">
        <v>35</v>
      </c>
      <c r="W1020" s="236" t="str">
        <f>IFERROR(IF(B1020="INSUMO",_xlfn.XLOOKUP(S1020,Insumos!A:A,Insumos!C:C),""),"Inserir Preço")</f>
        <v/>
      </c>
      <c r="X1020" s="235">
        <f t="shared" ca="1" si="703"/>
        <v>1</v>
      </c>
      <c r="Y1020" s="236">
        <f t="shared" ca="1" si="689"/>
        <v>72883.04738651494</v>
      </c>
      <c r="Z1020" s="237">
        <f t="shared" ca="1" si="666"/>
        <v>72883.04738651494</v>
      </c>
      <c r="AA1020" s="238"/>
      <c r="AB1020" s="233" t="str">
        <f>IF(B1020="insumo",_xlfn.XLOOKUP(S1020,Insumos!A:A,Insumos!D:D),"")</f>
        <v/>
      </c>
      <c r="AC1020" s="239">
        <f t="shared" ca="1" si="667"/>
        <v>1.0455737637244793E-2</v>
      </c>
      <c r="AE1020" s="240">
        <f ca="1">IFERROR(IF(OR(Z1020="",Z1020=0),"",IF(AF1020="","",IF(AF1020="R$/mês",Z1020/OBRA!$D$12,IF(AF1020="R$/m²",Z1020/OBRA!$D$10,IF(AF1020="R$/apto",Orçamento!Z1020/OBRA!$D$11,""))))),"")</f>
        <v>37.506135345026031</v>
      </c>
      <c r="AF1020" s="241" t="s">
        <v>154</v>
      </c>
    </row>
    <row r="1021" spans="1:32" s="10" customFormat="1" ht="13.15" hidden="1" customHeight="1" outlineLevel="4" x14ac:dyDescent="0.2">
      <c r="A1021" s="227"/>
      <c r="B1021" s="228" t="s">
        <v>19</v>
      </c>
      <c r="C1021" s="229">
        <f t="shared" si="665"/>
        <v>1</v>
      </c>
      <c r="D1021" s="227" t="str">
        <f t="shared" si="691"/>
        <v/>
      </c>
      <c r="E1021" s="228" t="str">
        <f t="shared" ca="1" si="692"/>
        <v>07.003.003.001</v>
      </c>
      <c r="F1021" s="230">
        <f ca="1">IF($B1021="UNIDADE CONSTRUTIVA",OFFSET(F1021,-1,0)+1,LARGE(F$10:F1020,1))</f>
        <v>2</v>
      </c>
      <c r="G1021" s="228" t="str">
        <f t="shared" ca="1" si="697"/>
        <v xml:space="preserve">   GERENCIAMENTO EXECUTIVO</v>
      </c>
      <c r="H1021" s="230">
        <f t="shared" ca="1" si="693"/>
        <v>7</v>
      </c>
      <c r="I1021" s="228" t="str">
        <f t="shared" ca="1" si="698"/>
        <v xml:space="preserve">   SISTEMAS E INSTALAÇÕES ELÉTRICAS</v>
      </c>
      <c r="J1021" s="230">
        <f t="shared" ca="1" si="694"/>
        <v>3</v>
      </c>
      <c r="K1021" s="228" t="str">
        <f t="shared" ca="1" si="699"/>
        <v xml:space="preserve">   SISTEMAS E INSTALAÇÕES ELÉTRICAS - 3º  ao 7º PAVIMENTO - TIPO</v>
      </c>
      <c r="L1021" s="231">
        <f t="shared" ca="1" si="695"/>
        <v>3</v>
      </c>
      <c r="M1021" s="228" t="str">
        <f t="shared" ca="1" si="700"/>
        <v xml:space="preserve">   Fios e Cabos Elétricos</v>
      </c>
      <c r="N1021" s="231">
        <f t="shared" ca="1" si="696"/>
        <v>1</v>
      </c>
      <c r="O1021" s="228" t="str">
        <f t="shared" ca="1" si="701"/>
        <v>Cabos e Fiacoes - Tipo (x5)</v>
      </c>
      <c r="P1021" s="232" t="str">
        <f>IF(S1021="","",IF(Orçamento!$B1021="INSUMO",S1021,""))</f>
        <v>FIAÇÃO - TIPO (x5)</v>
      </c>
      <c r="Q1021" s="244" t="str">
        <f t="shared" si="690"/>
        <v/>
      </c>
      <c r="R1021" s="234">
        <f t="shared" ca="1" si="702"/>
        <v>1</v>
      </c>
      <c r="S1021" s="233" t="s">
        <v>988</v>
      </c>
      <c r="T1021" s="242" t="str">
        <f>_xlfn.XLOOKUP(S1021,Insumos!$A$3:$A$371,Insumos!$B$3:$B$371)</f>
        <v>VB</v>
      </c>
      <c r="U1021" s="235">
        <f ca="1">IF($B1021="insumo",R1021,"")</f>
        <v>1</v>
      </c>
      <c r="V1021" s="320">
        <v>1</v>
      </c>
      <c r="W1021" s="236">
        <f>IFERROR(IF(B1021="INSUMO",_xlfn.XLOOKUP(S1021,Insumos!A:A,Insumos!C:C),""),"Inserir Preço")</f>
        <v>72883.04738651494</v>
      </c>
      <c r="X1021" s="235">
        <f t="shared" ca="1" si="703"/>
        <v>1</v>
      </c>
      <c r="Y1021" s="236">
        <f t="shared" si="689"/>
        <v>72883.04738651494</v>
      </c>
      <c r="Z1021" s="237">
        <f t="shared" ca="1" si="666"/>
        <v>72883.04738651494</v>
      </c>
      <c r="AA1021" s="238"/>
      <c r="AB1021" s="233" t="str">
        <f>IF(B1021="insumo",_xlfn.XLOOKUP(S1021,Insumos!A:A,Insumos!D:D),"")</f>
        <v>Lista de Elétrica</v>
      </c>
      <c r="AC1021" s="239">
        <f t="shared" ca="1" si="667"/>
        <v>1.0455737637244793E-2</v>
      </c>
      <c r="AE1021" s="240">
        <f ca="1">IFERROR(IF(OR(Z1021="",Z1021=0),"",IF(AF1021="","",IF(AF1021="R$/mês",Z1021/OBRA!$D$12,IF(AF1021="R$/m²",Z1021/OBRA!$D$10,IF(AF1021="R$/apto",Orçamento!Z1021/OBRA!$D$11,""))))),"")</f>
        <v>37.506135345026031</v>
      </c>
      <c r="AF1021" s="241" t="s">
        <v>154</v>
      </c>
    </row>
    <row r="1022" spans="1:32" s="10" customFormat="1" ht="13.15" hidden="1" customHeight="1" outlineLevel="3" collapsed="1" x14ac:dyDescent="0.2">
      <c r="A1022" s="227"/>
      <c r="B1022" s="228" t="s">
        <v>3</v>
      </c>
      <c r="C1022" s="229" t="str">
        <f t="shared" si="665"/>
        <v/>
      </c>
      <c r="D1022" s="227" t="str">
        <f t="shared" ca="1" si="691"/>
        <v>07.003.004</v>
      </c>
      <c r="E1022" s="228" t="str">
        <f t="shared" ca="1" si="692"/>
        <v>07.003.003.001</v>
      </c>
      <c r="F1022" s="230">
        <f ca="1">IF($B1022="UNIDADE CONSTRUTIVA",OFFSET(F1022,-1,0)+1,LARGE(F$10:F1021,1))</f>
        <v>2</v>
      </c>
      <c r="G1022" s="228" t="str">
        <f t="shared" ca="1" si="697"/>
        <v xml:space="preserve">   GERENCIAMENTO EXECUTIVO</v>
      </c>
      <c r="H1022" s="230">
        <f t="shared" ca="1" si="693"/>
        <v>7</v>
      </c>
      <c r="I1022" s="228" t="str">
        <f t="shared" ca="1" si="698"/>
        <v xml:space="preserve">   SISTEMAS E INSTALAÇÕES ELÉTRICAS</v>
      </c>
      <c r="J1022" s="230">
        <f t="shared" ca="1" si="694"/>
        <v>3</v>
      </c>
      <c r="K1022" s="228" t="str">
        <f t="shared" ca="1" si="699"/>
        <v xml:space="preserve">   SISTEMAS E INSTALAÇÕES ELÉTRICAS - 3º  ao 7º PAVIMENTO - TIPO</v>
      </c>
      <c r="L1022" s="231">
        <f t="shared" ca="1" si="695"/>
        <v>4</v>
      </c>
      <c r="M1022" s="228" t="str">
        <f t="shared" ca="1" si="700"/>
        <v xml:space="preserve">   Pontos de Tomadas e Interruptores</v>
      </c>
      <c r="N1022" s="231">
        <f t="shared" ca="1" si="696"/>
        <v>0</v>
      </c>
      <c r="O1022" s="228" t="str">
        <f t="shared" ca="1" si="701"/>
        <v>Cabos e Fiacoes - Tipo (x5)</v>
      </c>
      <c r="P1022" s="232" t="str">
        <f>IF(S1022="","",IF(Orçamento!$B1022="INSUMO",S1022,""))</f>
        <v/>
      </c>
      <c r="Q1022" s="244" t="str">
        <f t="shared" si="690"/>
        <v/>
      </c>
      <c r="R1022" s="234">
        <f t="shared" ca="1" si="702"/>
        <v>1</v>
      </c>
      <c r="S1022" s="233" t="s">
        <v>445</v>
      </c>
      <c r="T1022" s="242" t="s">
        <v>35</v>
      </c>
      <c r="U1022" s="235" t="str">
        <f>IF($B1022="insumo",R1022,"")</f>
        <v/>
      </c>
      <c r="V1022" s="320" t="s">
        <v>35</v>
      </c>
      <c r="W1022" s="236" t="str">
        <f>IFERROR(IF(B1022="INSUMO",_xlfn.XLOOKUP(S1022,Insumos!A:A,Insumos!C:C),""),"Inserir Preço")</f>
        <v/>
      </c>
      <c r="X1022" s="235" t="str">
        <f t="shared" ca="1" si="703"/>
        <v/>
      </c>
      <c r="Y1022" s="236" t="str">
        <f t="shared" si="689"/>
        <v/>
      </c>
      <c r="Z1022" s="237">
        <f t="shared" ca="1" si="666"/>
        <v>7800.3311279440804</v>
      </c>
      <c r="AA1022" s="238"/>
      <c r="AB1022" s="233" t="str">
        <f>IF(B1022="insumo",_xlfn.XLOOKUP(S1022,Insumos!A:A,Insumos!D:D),"")</f>
        <v/>
      </c>
      <c r="AC1022" s="239">
        <f t="shared" ca="1" si="667"/>
        <v>1.1190286175178127E-3</v>
      </c>
      <c r="AE1022" s="240">
        <f ca="1">IFERROR(IF(OR(Z1022="",Z1022=0),"",IF(AF1022="","",IF(AF1022="R$/mês",Z1022/OBRA!$D$12,IF(AF1022="R$/m²",Z1022/OBRA!$D$10,IF(AF1022="R$/apto",Orçamento!Z1022/OBRA!$D$11,""))))),"")</f>
        <v>4.0141059616947459</v>
      </c>
      <c r="AF1022" s="241" t="s">
        <v>154</v>
      </c>
    </row>
    <row r="1023" spans="1:32" s="10" customFormat="1" ht="13.15" hidden="1" customHeight="1" outlineLevel="4" x14ac:dyDescent="0.2">
      <c r="A1023" s="227"/>
      <c r="B1023" s="228" t="s">
        <v>4</v>
      </c>
      <c r="C1023" s="229">
        <f t="shared" si="665"/>
        <v>1</v>
      </c>
      <c r="D1023" s="227" t="str">
        <f t="shared" ca="1" si="691"/>
        <v>07.003.004.001</v>
      </c>
      <c r="E1023" s="228" t="str">
        <f t="shared" ca="1" si="692"/>
        <v>07.003.004.001</v>
      </c>
      <c r="F1023" s="230">
        <f ca="1">IF($B1023="UNIDADE CONSTRUTIVA",OFFSET(F1023,-1,0)+1,LARGE(F$10:F1022,1))</f>
        <v>2</v>
      </c>
      <c r="G1023" s="228" t="str">
        <f t="shared" ca="1" si="697"/>
        <v xml:space="preserve">   GERENCIAMENTO EXECUTIVO</v>
      </c>
      <c r="H1023" s="230">
        <f t="shared" ca="1" si="693"/>
        <v>7</v>
      </c>
      <c r="I1023" s="228" t="str">
        <f t="shared" ca="1" si="698"/>
        <v xml:space="preserve">   SISTEMAS E INSTALAÇÕES ELÉTRICAS</v>
      </c>
      <c r="J1023" s="230">
        <f t="shared" ca="1" si="694"/>
        <v>3</v>
      </c>
      <c r="K1023" s="228" t="str">
        <f t="shared" ca="1" si="699"/>
        <v xml:space="preserve">   SISTEMAS E INSTALAÇÕES ELÉTRICAS - 3º  ao 7º PAVIMENTO - TIPO</v>
      </c>
      <c r="L1023" s="231">
        <f t="shared" ca="1" si="695"/>
        <v>4</v>
      </c>
      <c r="M1023" s="228" t="str">
        <f t="shared" ca="1" si="700"/>
        <v xml:space="preserve">   Pontos de Tomadas e Interruptores</v>
      </c>
      <c r="N1023" s="231">
        <f t="shared" ca="1" si="696"/>
        <v>1</v>
      </c>
      <c r="O1023" s="228" t="str">
        <f t="shared" ca="1" si="701"/>
        <v>Pontos de Tomadas e Interruptores - Tipo (x5)</v>
      </c>
      <c r="P1023" s="232" t="str">
        <f>IF(S1023="","",IF(Orçamento!$B1023="INSUMO",S1023,""))</f>
        <v/>
      </c>
      <c r="Q1023" s="244" t="str">
        <f t="shared" si="690"/>
        <v>Pontos de Tomadas e Interruptores - Tipo (x5)</v>
      </c>
      <c r="R1023" s="234">
        <f t="shared" ca="1" si="702"/>
        <v>1</v>
      </c>
      <c r="S1023" s="233" t="s">
        <v>994</v>
      </c>
      <c r="T1023" s="242" t="s">
        <v>170</v>
      </c>
      <c r="U1023" s="235">
        <v>1</v>
      </c>
      <c r="V1023" s="320" t="s">
        <v>35</v>
      </c>
      <c r="W1023" s="236" t="str">
        <f>IFERROR(IF(B1023="INSUMO",_xlfn.XLOOKUP(S1023,Insumos!A:A,Insumos!C:C),""),"Inserir Preço")</f>
        <v/>
      </c>
      <c r="X1023" s="235">
        <f t="shared" ca="1" si="703"/>
        <v>1</v>
      </c>
      <c r="Y1023" s="236">
        <f t="shared" ca="1" si="689"/>
        <v>7800.3311279440804</v>
      </c>
      <c r="Z1023" s="237">
        <f t="shared" ca="1" si="666"/>
        <v>7800.3311279440804</v>
      </c>
      <c r="AA1023" s="238"/>
      <c r="AB1023" s="233" t="str">
        <f>IF(B1023="insumo",_xlfn.XLOOKUP(S1023,Insumos!A:A,Insumos!D:D),"")</f>
        <v/>
      </c>
      <c r="AC1023" s="239">
        <f t="shared" ca="1" si="667"/>
        <v>1.1190286175178127E-3</v>
      </c>
      <c r="AE1023" s="240">
        <f ca="1">IFERROR(IF(OR(Z1023="",Z1023=0),"",IF(AF1023="","",IF(AF1023="R$/mês",Z1023/OBRA!$D$12,IF(AF1023="R$/m²",Z1023/OBRA!$D$10,IF(AF1023="R$/apto",Orçamento!Z1023/OBRA!$D$11,""))))),"")</f>
        <v>4.0141059616947459</v>
      </c>
      <c r="AF1023" s="241" t="s">
        <v>154</v>
      </c>
    </row>
    <row r="1024" spans="1:32" s="10" customFormat="1" ht="13.15" hidden="1" customHeight="1" outlineLevel="4" x14ac:dyDescent="0.2">
      <c r="A1024" s="227"/>
      <c r="B1024" s="228" t="s">
        <v>19</v>
      </c>
      <c r="C1024" s="229">
        <f t="shared" si="665"/>
        <v>1</v>
      </c>
      <c r="D1024" s="227" t="str">
        <f t="shared" si="691"/>
        <v/>
      </c>
      <c r="E1024" s="228" t="str">
        <f t="shared" ca="1" si="692"/>
        <v>07.003.004.001</v>
      </c>
      <c r="F1024" s="230">
        <f ca="1">IF($B1024="UNIDADE CONSTRUTIVA",OFFSET(F1024,-1,0)+1,LARGE(F$10:F1023,1))</f>
        <v>2</v>
      </c>
      <c r="G1024" s="228" t="str">
        <f t="shared" ca="1" si="697"/>
        <v xml:space="preserve">   GERENCIAMENTO EXECUTIVO</v>
      </c>
      <c r="H1024" s="230">
        <f t="shared" ca="1" si="693"/>
        <v>7</v>
      </c>
      <c r="I1024" s="228" t="str">
        <f t="shared" ca="1" si="698"/>
        <v xml:space="preserve">   SISTEMAS E INSTALAÇÕES ELÉTRICAS</v>
      </c>
      <c r="J1024" s="230">
        <f t="shared" ca="1" si="694"/>
        <v>3</v>
      </c>
      <c r="K1024" s="228" t="str">
        <f t="shared" ca="1" si="699"/>
        <v xml:space="preserve">   SISTEMAS E INSTALAÇÕES ELÉTRICAS - 3º  ao 7º PAVIMENTO - TIPO</v>
      </c>
      <c r="L1024" s="231">
        <f t="shared" ca="1" si="695"/>
        <v>4</v>
      </c>
      <c r="M1024" s="228" t="str">
        <f t="shared" ca="1" si="700"/>
        <v xml:space="preserve">   Pontos de Tomadas e Interruptores</v>
      </c>
      <c r="N1024" s="231">
        <f t="shared" ca="1" si="696"/>
        <v>1</v>
      </c>
      <c r="O1024" s="228" t="str">
        <f t="shared" ca="1" si="701"/>
        <v>Pontos de Tomadas e Interruptores - Tipo (x5)</v>
      </c>
      <c r="P1024" s="232" t="str">
        <f>IF(S1024="","",IF(Orçamento!$B1024="INSUMO",S1024,""))</f>
        <v>PONTOS DE TOMADA E INTERRUPTORES - TIPO (x5)</v>
      </c>
      <c r="Q1024" s="244" t="str">
        <f t="shared" ref="Q1024:Q1030" si="704">IF(B1024="","",IF(B1024="Serviço",S1024,""))</f>
        <v/>
      </c>
      <c r="R1024" s="234">
        <f t="shared" ca="1" si="702"/>
        <v>1</v>
      </c>
      <c r="S1024" s="233" t="s">
        <v>989</v>
      </c>
      <c r="T1024" s="242" t="str">
        <f>_xlfn.XLOOKUP(S1024,Insumos!$A$3:$A$371,Insumos!$B$3:$B$371)</f>
        <v>VB</v>
      </c>
      <c r="U1024" s="235">
        <f ca="1">IF($B1024="insumo",R1024,"")</f>
        <v>1</v>
      </c>
      <c r="V1024" s="320">
        <v>1</v>
      </c>
      <c r="W1024" s="236">
        <f>IFERROR(IF(B1024="INSUMO",_xlfn.XLOOKUP(S1024,Insumos!A:A,Insumos!C:C),""),"Inserir Preço")</f>
        <v>7800.3311279440804</v>
      </c>
      <c r="X1024" s="235">
        <f t="shared" ca="1" si="703"/>
        <v>1</v>
      </c>
      <c r="Y1024" s="236">
        <f t="shared" si="689"/>
        <v>7800.3311279440804</v>
      </c>
      <c r="Z1024" s="237">
        <f t="shared" ca="1" si="666"/>
        <v>7800.3311279440804</v>
      </c>
      <c r="AA1024" s="238"/>
      <c r="AB1024" s="233" t="str">
        <f>IF(B1024="insumo",_xlfn.XLOOKUP(S1024,Insumos!A:A,Insumos!D:D),"")</f>
        <v>Lista de Elétrica</v>
      </c>
      <c r="AC1024" s="239">
        <f t="shared" ca="1" si="667"/>
        <v>1.1190286175178127E-3</v>
      </c>
      <c r="AE1024" s="240">
        <f ca="1">IFERROR(IF(OR(Z1024="",Z1024=0),"",IF(AF1024="","",IF(AF1024="R$/mês",Z1024/OBRA!$D$12,IF(AF1024="R$/m²",Z1024/OBRA!$D$10,IF(AF1024="R$/apto",Orçamento!Z1024/OBRA!$D$11,""))))),"")</f>
        <v>4.0141059616947459</v>
      </c>
      <c r="AF1024" s="241" t="s">
        <v>154</v>
      </c>
    </row>
    <row r="1025" spans="1:32" s="10" customFormat="1" ht="13.15" hidden="1" customHeight="1" outlineLevel="3" collapsed="1" x14ac:dyDescent="0.2">
      <c r="A1025" s="227"/>
      <c r="B1025" s="228" t="s">
        <v>3</v>
      </c>
      <c r="C1025" s="229" t="str">
        <f t="shared" si="665"/>
        <v/>
      </c>
      <c r="D1025" s="227" t="str">
        <f t="shared" ca="1" si="691"/>
        <v>07.003.005</v>
      </c>
      <c r="E1025" s="228" t="str">
        <f t="shared" ca="1" si="692"/>
        <v>07.003.004.001</v>
      </c>
      <c r="F1025" s="230">
        <f ca="1">IF($B1025="UNIDADE CONSTRUTIVA",OFFSET(F1025,-1,0)+1,LARGE(F$10:F1024,1))</f>
        <v>2</v>
      </c>
      <c r="G1025" s="228" t="str">
        <f t="shared" ca="1" si="697"/>
        <v xml:space="preserve">   GERENCIAMENTO EXECUTIVO</v>
      </c>
      <c r="H1025" s="230">
        <f t="shared" ca="1" si="693"/>
        <v>7</v>
      </c>
      <c r="I1025" s="228" t="str">
        <f t="shared" ca="1" si="698"/>
        <v xml:space="preserve">   SISTEMAS E INSTALAÇÕES ELÉTRICAS</v>
      </c>
      <c r="J1025" s="230">
        <f t="shared" ca="1" si="694"/>
        <v>3</v>
      </c>
      <c r="K1025" s="228" t="str">
        <f t="shared" ca="1" si="699"/>
        <v xml:space="preserve">   SISTEMAS E INSTALAÇÕES ELÉTRICAS - 3º  ao 7º PAVIMENTO - TIPO</v>
      </c>
      <c r="L1025" s="231">
        <f t="shared" ca="1" si="695"/>
        <v>5</v>
      </c>
      <c r="M1025" s="228" t="str">
        <f t="shared" ca="1" si="700"/>
        <v xml:space="preserve">   Luminárias - Lâmpadas e Acessórios</v>
      </c>
      <c r="N1025" s="231">
        <f t="shared" ca="1" si="696"/>
        <v>0</v>
      </c>
      <c r="O1025" s="228" t="str">
        <f t="shared" ca="1" si="701"/>
        <v>Pontos de Tomadas e Interruptores - Tipo (x5)</v>
      </c>
      <c r="P1025" s="232" t="str">
        <f>IF(S1025="","",IF(Orçamento!$B1025="INSUMO",S1025,""))</f>
        <v/>
      </c>
      <c r="Q1025" s="244" t="str">
        <f t="shared" si="704"/>
        <v/>
      </c>
      <c r="R1025" s="234">
        <f t="shared" ca="1" si="702"/>
        <v>1</v>
      </c>
      <c r="S1025" s="233" t="s">
        <v>446</v>
      </c>
      <c r="T1025" s="242" t="s">
        <v>35</v>
      </c>
      <c r="U1025" s="235" t="str">
        <f>IF($B1025="insumo",R1025,"")</f>
        <v/>
      </c>
      <c r="V1025" s="320" t="s">
        <v>35</v>
      </c>
      <c r="W1025" s="236" t="str">
        <f>IFERROR(IF(B1025="INSUMO",_xlfn.XLOOKUP(S1025,Insumos!A:A,Insumos!C:C),""),"Inserir Preço")</f>
        <v/>
      </c>
      <c r="X1025" s="235" t="str">
        <f t="shared" ca="1" si="703"/>
        <v/>
      </c>
      <c r="Y1025" s="236" t="str">
        <f t="shared" si="689"/>
        <v/>
      </c>
      <c r="Z1025" s="237">
        <f t="shared" ca="1" si="666"/>
        <v>1890.0901252411704</v>
      </c>
      <c r="AA1025" s="238"/>
      <c r="AB1025" s="233" t="str">
        <f>IF(B1025="insumo",_xlfn.XLOOKUP(S1025,Insumos!A:A,Insumos!D:D),"")</f>
        <v/>
      </c>
      <c r="AC1025" s="239">
        <f t="shared" ca="1" si="667"/>
        <v>2.7115066080408311E-4</v>
      </c>
      <c r="AE1025" s="240">
        <f ca="1">IFERROR(IF(OR(Z1025="",Z1025=0),"",IF(AF1025="","",IF(AF1025="R$/mês",Z1025/OBRA!$D$12,IF(AF1025="R$/m²",Z1025/OBRA!$D$10,IF(AF1025="R$/apto",Orçamento!Z1025/OBRA!$D$11,""))))),"")</f>
        <v>0.97265384192358617</v>
      </c>
      <c r="AF1025" s="241" t="s">
        <v>154</v>
      </c>
    </row>
    <row r="1026" spans="1:32" s="10" customFormat="1" ht="14.25" hidden="1" customHeight="1" outlineLevel="4" x14ac:dyDescent="0.2">
      <c r="A1026" s="227"/>
      <c r="B1026" s="228" t="s">
        <v>4</v>
      </c>
      <c r="C1026" s="229">
        <f t="shared" si="665"/>
        <v>1</v>
      </c>
      <c r="D1026" s="227" t="str">
        <f t="shared" ca="1" si="691"/>
        <v>07.003.005.001</v>
      </c>
      <c r="E1026" s="228" t="str">
        <f t="shared" ca="1" si="692"/>
        <v>07.003.005.001</v>
      </c>
      <c r="F1026" s="230">
        <f ca="1">IF($B1026="UNIDADE CONSTRUTIVA",OFFSET(F1026,-1,0)+1,LARGE(F$10:F1025,1))</f>
        <v>2</v>
      </c>
      <c r="G1026" s="228" t="str">
        <f t="shared" ca="1" si="697"/>
        <v xml:space="preserve">   GERENCIAMENTO EXECUTIVO</v>
      </c>
      <c r="H1026" s="230">
        <f t="shared" ca="1" si="693"/>
        <v>7</v>
      </c>
      <c r="I1026" s="228" t="str">
        <f t="shared" ca="1" si="698"/>
        <v xml:space="preserve">   SISTEMAS E INSTALAÇÕES ELÉTRICAS</v>
      </c>
      <c r="J1026" s="230">
        <f t="shared" ca="1" si="694"/>
        <v>3</v>
      </c>
      <c r="K1026" s="228" t="str">
        <f t="shared" ca="1" si="699"/>
        <v xml:space="preserve">   SISTEMAS E INSTALAÇÕES ELÉTRICAS - 3º  ao 7º PAVIMENTO - TIPO</v>
      </c>
      <c r="L1026" s="231">
        <f t="shared" ca="1" si="695"/>
        <v>5</v>
      </c>
      <c r="M1026" s="228" t="str">
        <f t="shared" ca="1" si="700"/>
        <v xml:space="preserve">   Luminárias - Lâmpadas e Acessórios</v>
      </c>
      <c r="N1026" s="231">
        <f t="shared" ca="1" si="696"/>
        <v>1</v>
      </c>
      <c r="O1026" s="228" t="str">
        <f t="shared" ca="1" si="701"/>
        <v>Luminárias e Acessorios - Tipo (x5)</v>
      </c>
      <c r="P1026" s="232" t="str">
        <f>IF(S1026="","",IF(Orçamento!$B1026="INSUMO",S1026,""))</f>
        <v/>
      </c>
      <c r="Q1026" s="244" t="str">
        <f t="shared" si="704"/>
        <v>Luminárias e Acessorios - Tipo (x5)</v>
      </c>
      <c r="R1026" s="234">
        <f t="shared" ca="1" si="702"/>
        <v>1</v>
      </c>
      <c r="S1026" s="233" t="s">
        <v>995</v>
      </c>
      <c r="T1026" s="242" t="s">
        <v>170</v>
      </c>
      <c r="U1026" s="235">
        <v>1</v>
      </c>
      <c r="V1026" s="320" t="s">
        <v>35</v>
      </c>
      <c r="W1026" s="236" t="str">
        <f>IFERROR(IF(B1026="INSUMO",_xlfn.XLOOKUP(S1026,Insumos!A:A,Insumos!C:C),""),"Inserir Preço")</f>
        <v/>
      </c>
      <c r="X1026" s="235">
        <f t="shared" ca="1" si="703"/>
        <v>1</v>
      </c>
      <c r="Y1026" s="236">
        <f t="shared" ca="1" si="689"/>
        <v>1890.0901252411704</v>
      </c>
      <c r="Z1026" s="237">
        <f t="shared" ca="1" si="666"/>
        <v>1890.0901252411704</v>
      </c>
      <c r="AA1026" s="238"/>
      <c r="AB1026" s="233" t="str">
        <f>IF(B1026="insumo",_xlfn.XLOOKUP(S1026,Insumos!A:A,Insumos!D:D),"")</f>
        <v/>
      </c>
      <c r="AC1026" s="239">
        <f t="shared" ca="1" si="667"/>
        <v>2.7115066080408311E-4</v>
      </c>
      <c r="AE1026" s="240">
        <f ca="1">IFERROR(IF(OR(Z1026="",Z1026=0),"",IF(AF1026="","",IF(AF1026="R$/mês",Z1026/OBRA!$D$12,IF(AF1026="R$/m²",Z1026/OBRA!$D$10,IF(AF1026="R$/apto",Orçamento!Z1026/OBRA!$D$11,""))))),"")</f>
        <v>0.97265384192358617</v>
      </c>
      <c r="AF1026" s="241" t="s">
        <v>154</v>
      </c>
    </row>
    <row r="1027" spans="1:32" s="10" customFormat="1" ht="13.15" hidden="1" customHeight="1" outlineLevel="4" x14ac:dyDescent="0.2">
      <c r="A1027" s="227"/>
      <c r="B1027" s="228" t="s">
        <v>19</v>
      </c>
      <c r="C1027" s="229">
        <f t="shared" si="665"/>
        <v>1</v>
      </c>
      <c r="D1027" s="227" t="str">
        <f t="shared" si="691"/>
        <v/>
      </c>
      <c r="E1027" s="228" t="str">
        <f t="shared" ca="1" si="692"/>
        <v>07.003.005.001</v>
      </c>
      <c r="F1027" s="230">
        <f ca="1">IF($B1027="UNIDADE CONSTRUTIVA",OFFSET(F1027,-1,0)+1,LARGE(F$10:F1026,1))</f>
        <v>2</v>
      </c>
      <c r="G1027" s="228" t="str">
        <f t="shared" ca="1" si="697"/>
        <v xml:space="preserve">   GERENCIAMENTO EXECUTIVO</v>
      </c>
      <c r="H1027" s="230">
        <f t="shared" ca="1" si="693"/>
        <v>7</v>
      </c>
      <c r="I1027" s="228" t="str">
        <f t="shared" ca="1" si="698"/>
        <v xml:space="preserve">   SISTEMAS E INSTALAÇÕES ELÉTRICAS</v>
      </c>
      <c r="J1027" s="230">
        <f t="shared" ca="1" si="694"/>
        <v>3</v>
      </c>
      <c r="K1027" s="228" t="str">
        <f t="shared" ca="1" si="699"/>
        <v xml:space="preserve">   SISTEMAS E INSTALAÇÕES ELÉTRICAS - 3º  ao 7º PAVIMENTO - TIPO</v>
      </c>
      <c r="L1027" s="231">
        <f t="shared" ca="1" si="695"/>
        <v>5</v>
      </c>
      <c r="M1027" s="228" t="str">
        <f t="shared" ca="1" si="700"/>
        <v xml:space="preserve">   Luminárias - Lâmpadas e Acessórios</v>
      </c>
      <c r="N1027" s="231">
        <f t="shared" ca="1" si="696"/>
        <v>1</v>
      </c>
      <c r="O1027" s="228" t="str">
        <f t="shared" ca="1" si="701"/>
        <v>Luminárias e Acessorios - Tipo (x5)</v>
      </c>
      <c r="P1027" s="232" t="str">
        <f>IF(S1027="","",IF(Orçamento!$B1027="INSUMO",S1027,""))</f>
        <v>LUMINÁRIAS - TIPO (x5)</v>
      </c>
      <c r="Q1027" s="244" t="str">
        <f t="shared" si="704"/>
        <v/>
      </c>
      <c r="R1027" s="234">
        <f t="shared" ca="1" si="702"/>
        <v>1</v>
      </c>
      <c r="S1027" s="233" t="s">
        <v>990</v>
      </c>
      <c r="T1027" s="242" t="str">
        <f>_xlfn.XLOOKUP(S1027,Insumos!$A$3:$A$371,Insumos!$B$3:$B$371)</f>
        <v>VB</v>
      </c>
      <c r="U1027" s="235">
        <f ca="1">IF($B1027="insumo",R1027,"")</f>
        <v>1</v>
      </c>
      <c r="V1027" s="320">
        <v>1</v>
      </c>
      <c r="W1027" s="236">
        <f>IFERROR(IF(B1027="INSUMO",_xlfn.XLOOKUP(S1027,Insumos!A:A,Insumos!C:C),""),"Inserir Preço")</f>
        <v>1890.0901252411704</v>
      </c>
      <c r="X1027" s="235">
        <f t="shared" ca="1" si="703"/>
        <v>1</v>
      </c>
      <c r="Y1027" s="236">
        <f t="shared" si="689"/>
        <v>1890.0901252411704</v>
      </c>
      <c r="Z1027" s="237">
        <f t="shared" ca="1" si="666"/>
        <v>1890.0901252411704</v>
      </c>
      <c r="AA1027" s="238"/>
      <c r="AB1027" s="233" t="str">
        <f>IF(B1027="insumo",_xlfn.XLOOKUP(S1027,Insumos!A:A,Insumos!D:D),"")</f>
        <v>Lista de Elétrica</v>
      </c>
      <c r="AC1027" s="239">
        <f t="shared" ca="1" si="667"/>
        <v>2.7115066080408311E-4</v>
      </c>
      <c r="AE1027" s="240">
        <f ca="1">IFERROR(IF(OR(Z1027="",Z1027=0),"",IF(AF1027="","",IF(AF1027="R$/mês",Z1027/OBRA!$D$12,IF(AF1027="R$/m²",Z1027/OBRA!$D$10,IF(AF1027="R$/apto",Orçamento!Z1027/OBRA!$D$11,""))))),"")</f>
        <v>0.97265384192358617</v>
      </c>
      <c r="AF1027" s="241" t="s">
        <v>154</v>
      </c>
    </row>
    <row r="1028" spans="1:32" s="10" customFormat="1" ht="13.15" hidden="1" customHeight="1" outlineLevel="3" collapsed="1" x14ac:dyDescent="0.2">
      <c r="A1028" s="227"/>
      <c r="B1028" s="228" t="s">
        <v>3</v>
      </c>
      <c r="C1028" s="229" t="str">
        <f t="shared" si="665"/>
        <v/>
      </c>
      <c r="D1028" s="227" t="str">
        <f t="shared" ca="1" si="691"/>
        <v>07.003.006</v>
      </c>
      <c r="E1028" s="228" t="str">
        <f t="shared" ca="1" si="692"/>
        <v>07.003.005.001</v>
      </c>
      <c r="F1028" s="230">
        <f ca="1">IF($B1028="UNIDADE CONSTRUTIVA",OFFSET(F1028,-1,0)+1,LARGE(F$10:F1027,1))</f>
        <v>2</v>
      </c>
      <c r="G1028" s="228" t="str">
        <f t="shared" ca="1" si="697"/>
        <v xml:space="preserve">   GERENCIAMENTO EXECUTIVO</v>
      </c>
      <c r="H1028" s="230">
        <f t="shared" ca="1" si="693"/>
        <v>7</v>
      </c>
      <c r="I1028" s="228" t="str">
        <f t="shared" ca="1" si="698"/>
        <v xml:space="preserve">   SISTEMAS E INSTALAÇÕES ELÉTRICAS</v>
      </c>
      <c r="J1028" s="230">
        <f t="shared" ca="1" si="694"/>
        <v>3</v>
      </c>
      <c r="K1028" s="228" t="str">
        <f t="shared" ca="1" si="699"/>
        <v xml:space="preserve">   SISTEMAS E INSTALAÇÕES ELÉTRICAS - 3º  ao 7º PAVIMENTO - TIPO</v>
      </c>
      <c r="L1028" s="231">
        <f t="shared" ca="1" si="695"/>
        <v>6</v>
      </c>
      <c r="M1028" s="228" t="str">
        <f t="shared" ca="1" si="700"/>
        <v xml:space="preserve">   Mão de Obra</v>
      </c>
      <c r="N1028" s="231">
        <f t="shared" ca="1" si="696"/>
        <v>0</v>
      </c>
      <c r="O1028" s="228" t="str">
        <f t="shared" ca="1" si="701"/>
        <v>Luminárias e Acessorios - Tipo (x5)</v>
      </c>
      <c r="P1028" s="232" t="str">
        <f>IF(S1028="","",IF(Orçamento!$B1028="INSUMO",S1028,""))</f>
        <v/>
      </c>
      <c r="Q1028" s="244" t="str">
        <f t="shared" si="704"/>
        <v/>
      </c>
      <c r="R1028" s="234">
        <f t="shared" ca="1" si="702"/>
        <v>1</v>
      </c>
      <c r="S1028" s="233" t="s">
        <v>438</v>
      </c>
      <c r="T1028" s="242" t="s">
        <v>35</v>
      </c>
      <c r="U1028" s="235" t="str">
        <f>IF($B1028="insumo",R1028,"")</f>
        <v/>
      </c>
      <c r="V1028" s="320" t="s">
        <v>35</v>
      </c>
      <c r="W1028" s="236" t="str">
        <f>IFERROR(IF(B1028="INSUMO",_xlfn.XLOOKUP(S1028,Insumos!A:A,Insumos!C:C),""),"Inserir Preço")</f>
        <v/>
      </c>
      <c r="X1028" s="235" t="str">
        <f t="shared" ca="1" si="703"/>
        <v/>
      </c>
      <c r="Y1028" s="236" t="str">
        <f t="shared" si="689"/>
        <v/>
      </c>
      <c r="Z1028" s="237">
        <f t="shared" ca="1" si="666"/>
        <v>43064.248851166776</v>
      </c>
      <c r="AA1028" s="238"/>
      <c r="AB1028" s="233" t="str">
        <f>IF(B1028="insumo",_xlfn.XLOOKUP(S1028,Insumos!A:A,Insumos!D:D),"")</f>
        <v/>
      </c>
      <c r="AC1028" s="239">
        <f t="shared" ca="1" si="667"/>
        <v>6.1779591232642454E-3</v>
      </c>
      <c r="AE1028" s="240">
        <f ca="1">IFERROR(IF(OR(Z1028="",Z1028=0),"",IF(AF1028="","",IF(AF1028="R$/mês",Z1028/OBRA!$D$12,IF(AF1028="R$/m²",Z1028/OBRA!$D$10,IF(AF1028="R$/apto",Orçamento!Z1028/OBRA!$D$11,""))))),"")</f>
        <v>22.161169213714679</v>
      </c>
      <c r="AF1028" s="241" t="s">
        <v>154</v>
      </c>
    </row>
    <row r="1029" spans="1:32" s="10" customFormat="1" ht="13.15" hidden="1" customHeight="1" outlineLevel="4" x14ac:dyDescent="0.2">
      <c r="A1029" s="227"/>
      <c r="B1029" s="228" t="s">
        <v>4</v>
      </c>
      <c r="C1029" s="229">
        <f t="shared" si="665"/>
        <v>5</v>
      </c>
      <c r="D1029" s="227" t="str">
        <f t="shared" ca="1" si="691"/>
        <v>07.003.006.001</v>
      </c>
      <c r="E1029" s="228" t="str">
        <f t="shared" ca="1" si="692"/>
        <v>07.003.006.001</v>
      </c>
      <c r="F1029" s="230">
        <f ca="1">IF($B1029="UNIDADE CONSTRUTIVA",OFFSET(F1029,-1,0)+1,LARGE(F$10:F1028,1))</f>
        <v>2</v>
      </c>
      <c r="G1029" s="228" t="str">
        <f t="shared" ca="1" si="697"/>
        <v xml:space="preserve">   GERENCIAMENTO EXECUTIVO</v>
      </c>
      <c r="H1029" s="230">
        <f t="shared" ca="1" si="693"/>
        <v>7</v>
      </c>
      <c r="I1029" s="228" t="str">
        <f t="shared" ca="1" si="698"/>
        <v xml:space="preserve">   SISTEMAS E INSTALAÇÕES ELÉTRICAS</v>
      </c>
      <c r="J1029" s="230">
        <f t="shared" ca="1" si="694"/>
        <v>3</v>
      </c>
      <c r="K1029" s="228" t="str">
        <f t="shared" ca="1" si="699"/>
        <v xml:space="preserve">   SISTEMAS E INSTALAÇÕES ELÉTRICAS - 3º  ao 7º PAVIMENTO - TIPO</v>
      </c>
      <c r="L1029" s="231">
        <f t="shared" ca="1" si="695"/>
        <v>6</v>
      </c>
      <c r="M1029" s="228" t="str">
        <f t="shared" ca="1" si="700"/>
        <v xml:space="preserve">   Mão de Obra</v>
      </c>
      <c r="N1029" s="231">
        <f t="shared" ca="1" si="696"/>
        <v>1</v>
      </c>
      <c r="O1029" s="228" t="str">
        <f t="shared" ca="1" si="701"/>
        <v>Mao de obra de instalacoes eletricas</v>
      </c>
      <c r="P1029" s="232" t="str">
        <f>IF(S1029="","",IF(Orçamento!$B1029="INSUMO",S1029,""))</f>
        <v/>
      </c>
      <c r="Q1029" s="244" t="str">
        <f t="shared" si="704"/>
        <v>Mao de obra de instalacoes eletricas</v>
      </c>
      <c r="R1029" s="234">
        <f t="shared" ca="1" si="702"/>
        <v>1170.6856</v>
      </c>
      <c r="S1029" s="233" t="s">
        <v>447</v>
      </c>
      <c r="T1029" s="242" t="s">
        <v>140</v>
      </c>
      <c r="U1029" s="235">
        <f ca="1">'Custos Serviços'!B21</f>
        <v>1170.6856</v>
      </c>
      <c r="V1029" s="320" t="s">
        <v>35</v>
      </c>
      <c r="W1029" s="236" t="str">
        <f>IFERROR(IF(B1029="INSUMO",_xlfn.XLOOKUP(S1029,Insumos!A:A,Insumos!C:C),""),"Inserir Preço")</f>
        <v/>
      </c>
      <c r="X1029" s="235">
        <f t="shared" ca="1" si="703"/>
        <v>1170.6856</v>
      </c>
      <c r="Y1029" s="236">
        <f t="shared" ca="1" si="689"/>
        <v>36.785494629101763</v>
      </c>
      <c r="Z1029" s="237">
        <f t="shared" ca="1" si="666"/>
        <v>43064.248851166776</v>
      </c>
      <c r="AA1029" s="238"/>
      <c r="AB1029" s="233" t="str">
        <f>IF(B1029="insumo",_xlfn.XLOOKUP(S1029,Insumos!A:A,Insumos!D:D),"")</f>
        <v/>
      </c>
      <c r="AC1029" s="239">
        <f t="shared" ca="1" si="667"/>
        <v>6.1779591232642454E-3</v>
      </c>
      <c r="AE1029" s="240">
        <f ca="1">IFERROR(IF(OR(Z1029="",Z1029=0),"",IF(AF1029="","",IF(AF1029="R$/mês",Z1029/OBRA!$D$12,IF(AF1029="R$/m²",Z1029/OBRA!$D$10,IF(AF1029="R$/apto",Orçamento!Z1029/OBRA!$D$11,""))))),"")</f>
        <v>22.161169213714679</v>
      </c>
      <c r="AF1029" s="241" t="s">
        <v>154</v>
      </c>
    </row>
    <row r="1030" spans="1:32" s="10" customFormat="1" ht="13.15" hidden="1" customHeight="1" outlineLevel="4" x14ac:dyDescent="0.2">
      <c r="A1030" s="227"/>
      <c r="B1030" s="228" t="s">
        <v>19</v>
      </c>
      <c r="C1030" s="229">
        <f t="shared" si="665"/>
        <v>5</v>
      </c>
      <c r="D1030" s="227" t="str">
        <f t="shared" si="691"/>
        <v/>
      </c>
      <c r="E1030" s="228" t="str">
        <f t="shared" ca="1" si="692"/>
        <v>07.003.006.001</v>
      </c>
      <c r="F1030" s="230">
        <f ca="1">IF($B1030="UNIDADE CONSTRUTIVA",OFFSET(F1030,-1,0)+1,LARGE(F$10:F1029,1))</f>
        <v>2</v>
      </c>
      <c r="G1030" s="228" t="str">
        <f t="shared" ca="1" si="697"/>
        <v xml:space="preserve">   GERENCIAMENTO EXECUTIVO</v>
      </c>
      <c r="H1030" s="230">
        <f t="shared" ca="1" si="693"/>
        <v>7</v>
      </c>
      <c r="I1030" s="228" t="str">
        <f t="shared" ca="1" si="698"/>
        <v xml:space="preserve">   SISTEMAS E INSTALAÇÕES ELÉTRICAS</v>
      </c>
      <c r="J1030" s="230">
        <f t="shared" ca="1" si="694"/>
        <v>3</v>
      </c>
      <c r="K1030" s="228" t="str">
        <f t="shared" ca="1" si="699"/>
        <v xml:space="preserve">   SISTEMAS E INSTALAÇÕES ELÉTRICAS - 3º  ao 7º PAVIMENTO - TIPO</v>
      </c>
      <c r="L1030" s="231">
        <f t="shared" ca="1" si="695"/>
        <v>6</v>
      </c>
      <c r="M1030" s="228" t="str">
        <f t="shared" ca="1" si="700"/>
        <v xml:space="preserve">   Mão de Obra</v>
      </c>
      <c r="N1030" s="231">
        <f t="shared" ca="1" si="696"/>
        <v>1</v>
      </c>
      <c r="O1030" s="228" t="str">
        <f t="shared" ca="1" si="701"/>
        <v>Mao de obra de instalacoes eletricas</v>
      </c>
      <c r="P1030" s="232" t="str">
        <f>IF(S1030="","",IF(Orçamento!$B1030="INSUMO",S1030,""))</f>
        <v>Mão de obra de instalações eletricas</v>
      </c>
      <c r="Q1030" s="244" t="str">
        <f t="shared" si="704"/>
        <v/>
      </c>
      <c r="R1030" s="234">
        <f t="shared" ca="1" si="702"/>
        <v>1170.6856</v>
      </c>
      <c r="S1030" s="233" t="s">
        <v>251</v>
      </c>
      <c r="T1030" s="242" t="str">
        <f>_xlfn.XLOOKUP(S1030,Insumos!$A$3:$A$371,Insumos!$B$3:$B$371)</f>
        <v>VB</v>
      </c>
      <c r="U1030" s="235">
        <f ca="1">IF($B1030="insumo",R1030,"")</f>
        <v>1170.6856</v>
      </c>
      <c r="V1030" s="320">
        <v>1</v>
      </c>
      <c r="W1030" s="236">
        <f ca="1">IFERROR(IF(B1030="INSUMO",_xlfn.XLOOKUP(S1030,Insumos!A:A,Insumos!C:C),""),"Inserir Preço")</f>
        <v>36.785494629101763</v>
      </c>
      <c r="X1030" s="235">
        <f t="shared" ca="1" si="703"/>
        <v>1170.6856</v>
      </c>
      <c r="Y1030" s="236">
        <f t="shared" ca="1" si="689"/>
        <v>36.785494629101763</v>
      </c>
      <c r="Z1030" s="237">
        <f t="shared" ca="1" si="666"/>
        <v>43064.248851166776</v>
      </c>
      <c r="AA1030" s="238"/>
      <c r="AB1030" s="233" t="str">
        <f>IF(B1030="insumo",_xlfn.XLOOKUP(S1030,Insumos!A:A,Insumos!D:D),"")</f>
        <v>Aba Custo Serviços</v>
      </c>
      <c r="AC1030" s="239">
        <f t="shared" ca="1" si="667"/>
        <v>6.1779591232642454E-3</v>
      </c>
      <c r="AE1030" s="240">
        <f ca="1">IFERROR(IF(OR(Z1030="",Z1030=0),"",IF(AF1030="","",IF(AF1030="R$/mês",Z1030/OBRA!$D$12,IF(AF1030="R$/m²",Z1030/OBRA!$D$10,IF(AF1030="R$/apto",Orçamento!Z1030/OBRA!$D$11,""))))),"")</f>
        <v>22.161169213714679</v>
      </c>
      <c r="AF1030" s="241" t="s">
        <v>154</v>
      </c>
    </row>
    <row r="1031" spans="1:32" s="10" customFormat="1" ht="13.15" customHeight="1" outlineLevel="2" collapsed="1" x14ac:dyDescent="0.2">
      <c r="A1031" s="227"/>
      <c r="B1031" s="228" t="s">
        <v>2</v>
      </c>
      <c r="C1031" s="229" t="str">
        <f t="shared" si="665"/>
        <v/>
      </c>
      <c r="D1031" s="227" t="str">
        <f t="shared" ref="D1031:D1082" ca="1" si="705">IF(B1031="Unidade Construtiva",TEXT(F1031,"00"),IF(B1031="Célula Construtiva",TEXT(H1031,"00"),IF(B1031="Etapa",CONCATENATE(TEXT(H1031,"00"),".",TEXT(J1031,"000")),IF(B1031="Subetapa",CONCATENATE(TEXT(H1031,"00"),".",TEXT(J1031,"000"),".",TEXT(L1031,"000")),IF(B1031="Serviço",CONCATENATE(TEXT(H1031,"00"),".",TEXT(J1031,"000"),".",TEXT(L1031,"000"),".",TEXT(N1031,"000")),"")))))</f>
        <v>07.004</v>
      </c>
      <c r="E1031" s="228" t="str">
        <f t="shared" ref="E1031:E1082" ca="1" si="706">IF(B1031="*","",IFERROR(IF(B1031="SERVIÇO",D1031,OFFSET(E1031,-1,0)),""))</f>
        <v>07.003.006.001</v>
      </c>
      <c r="F1031" s="230">
        <f ca="1">IF($B1031="UNIDADE CONSTRUTIVA",OFFSET(F1031,-1,0)+1,LARGE(F$10:F1030,1))</f>
        <v>2</v>
      </c>
      <c r="G1031" s="228" t="str">
        <f t="shared" ca="1" si="682"/>
        <v xml:space="preserve">   GERENCIAMENTO EXECUTIVO</v>
      </c>
      <c r="H1031" s="230">
        <f t="shared" ref="H1031:H1082" ca="1" si="707">IF(B1031="UNIDADE CONSTRUTIVA",0,IF(B1031="CÉLULA CONSTRUTIVA",OFFSET(H1031,-1,0)+1,OFFSET(H1031,-1,0)))</f>
        <v>7</v>
      </c>
      <c r="I1031" s="228" t="str">
        <f t="shared" ca="1" si="683"/>
        <v xml:space="preserve">   SISTEMAS E INSTALAÇÕES ELÉTRICAS</v>
      </c>
      <c r="J1031" s="230">
        <f t="shared" ref="J1031:J1082" ca="1" si="708">IF(B1031="CÉLULA CONSTRUTIVA",0,IF(B1031="ETAPA",OFFSET(J1031,-1,0)+1,OFFSET(J1031,-1,0)))</f>
        <v>4</v>
      </c>
      <c r="K1031" s="228" t="str">
        <f t="shared" ca="1" si="684"/>
        <v xml:space="preserve">   SISTEMAS E INSTALAÇÕES ELÉTRICAS - 8º PAVIMENTO - COBERTURA</v>
      </c>
      <c r="L1031" s="231">
        <f t="shared" ref="L1031:L1082" ca="1" si="709">IF(B1031="ETAPA",0,IF(B1031="SUBETAPA",OFFSET(L1031,-1,0)+1,OFFSET(L1031,-1,0)))</f>
        <v>0</v>
      </c>
      <c r="M1031" s="228" t="str">
        <f t="shared" ca="1" si="685"/>
        <v xml:space="preserve">   Mão de Obra</v>
      </c>
      <c r="N1031" s="231">
        <f t="shared" ref="N1031:N1082" ca="1" si="710">IF(B1031="Subetapa",0,IF(B1031="serviço",OFFSET(N1031,-1,0)+1,OFFSET(N1031,-1,0)))</f>
        <v>1</v>
      </c>
      <c r="O1031" s="228" t="str">
        <f t="shared" ca="1" si="686"/>
        <v>Mao de obra de instalacoes eletricas</v>
      </c>
      <c r="P1031" s="232" t="str">
        <f>IF(S1031="","",IF(Orçamento!$B1031="INSUMO",S1031,""))</f>
        <v/>
      </c>
      <c r="Q1031" s="244" t="str">
        <f t="shared" si="690"/>
        <v/>
      </c>
      <c r="R1031" s="234">
        <f t="shared" ca="1" si="687"/>
        <v>1170.6856</v>
      </c>
      <c r="S1031" s="233" t="s">
        <v>651</v>
      </c>
      <c r="T1031" s="242" t="s">
        <v>35</v>
      </c>
      <c r="U1031" s="235" t="str">
        <f>IF($B1031="insumo",R1031,"")</f>
        <v/>
      </c>
      <c r="V1031" s="320" t="s">
        <v>35</v>
      </c>
      <c r="W1031" s="236" t="str">
        <f>IFERROR(IF(B1031="INSUMO",_xlfn.XLOOKUP(S1031,Insumos!A:A,Insumos!C:C),""),"Inserir Preço")</f>
        <v/>
      </c>
      <c r="X1031" s="235" t="str">
        <f t="shared" ca="1" si="688"/>
        <v/>
      </c>
      <c r="Y1031" s="236" t="str">
        <f t="shared" si="689"/>
        <v/>
      </c>
      <c r="Z1031" s="237">
        <f t="shared" ca="1" si="666"/>
        <v>33133.103776274467</v>
      </c>
      <c r="AA1031" s="238"/>
      <c r="AB1031" s="233" t="str">
        <f>IF(B1031="insumo",_xlfn.XLOOKUP(S1031,Insumos!A:A,Insumos!D:D),"")</f>
        <v/>
      </c>
      <c r="AC1031" s="239">
        <f t="shared" ca="1" si="667"/>
        <v>4.7532458179901562E-3</v>
      </c>
      <c r="AE1031" s="240">
        <f ca="1">IFERROR(IF(OR(Z1031="",Z1031=0),"",IF(AF1031="","",IF(AF1031="R$/mês",Z1031/OBRA!$D$12,IF(AF1031="R$/m²",Z1031/OBRA!$D$10,IF(AF1031="R$/apto",Orçamento!Z1031/OBRA!$D$11,""))))),"")</f>
        <v>17.050531216723943</v>
      </c>
      <c r="AF1031" s="241" t="s">
        <v>154</v>
      </c>
    </row>
    <row r="1032" spans="1:32" s="10" customFormat="1" ht="13.15" hidden="1" customHeight="1" outlineLevel="3" collapsed="1" x14ac:dyDescent="0.2">
      <c r="A1032" s="227"/>
      <c r="B1032" s="228" t="s">
        <v>3</v>
      </c>
      <c r="C1032" s="229" t="str">
        <f t="shared" si="665"/>
        <v/>
      </c>
      <c r="D1032" s="227" t="str">
        <f t="shared" ca="1" si="705"/>
        <v>07.004.001</v>
      </c>
      <c r="E1032" s="228" t="str">
        <f t="shared" ca="1" si="706"/>
        <v>07.003.006.001</v>
      </c>
      <c r="F1032" s="230">
        <f ca="1">IF($B1032="UNIDADE CONSTRUTIVA",OFFSET(F1032,-1,0)+1,LARGE(F$10:F1031,1))</f>
        <v>2</v>
      </c>
      <c r="G1032" s="228" t="str">
        <f t="shared" ca="1" si="682"/>
        <v xml:space="preserve">   GERENCIAMENTO EXECUTIVO</v>
      </c>
      <c r="H1032" s="230">
        <f t="shared" ca="1" si="707"/>
        <v>7</v>
      </c>
      <c r="I1032" s="228" t="str">
        <f t="shared" ca="1" si="683"/>
        <v xml:space="preserve">   SISTEMAS E INSTALAÇÕES ELÉTRICAS</v>
      </c>
      <c r="J1032" s="230">
        <f t="shared" ca="1" si="708"/>
        <v>4</v>
      </c>
      <c r="K1032" s="228" t="str">
        <f t="shared" ca="1" si="684"/>
        <v xml:space="preserve">   SISTEMAS E INSTALAÇÕES ELÉTRICAS - 8º PAVIMENTO - COBERTURA</v>
      </c>
      <c r="L1032" s="231">
        <f t="shared" ca="1" si="709"/>
        <v>1</v>
      </c>
      <c r="M1032" s="228" t="str">
        <f t="shared" ca="1" si="685"/>
        <v xml:space="preserve">   Quadros Elétricos e Disjuntores</v>
      </c>
      <c r="N1032" s="231">
        <f t="shared" ca="1" si="710"/>
        <v>0</v>
      </c>
      <c r="O1032" s="228" t="str">
        <f t="shared" ca="1" si="686"/>
        <v>Mao de obra de instalacoes eletricas</v>
      </c>
      <c r="P1032" s="232" t="str">
        <f>IF(S1032="","",IF(Orçamento!$B1032="INSUMO",S1032,""))</f>
        <v/>
      </c>
      <c r="Q1032" s="244" t="str">
        <f t="shared" si="690"/>
        <v/>
      </c>
      <c r="R1032" s="234">
        <f t="shared" ca="1" si="687"/>
        <v>1170.6856</v>
      </c>
      <c r="S1032" s="233" t="s">
        <v>442</v>
      </c>
      <c r="T1032" s="242" t="s">
        <v>35</v>
      </c>
      <c r="U1032" s="235" t="str">
        <f>IF($B1032="insumo",R1032,"")</f>
        <v/>
      </c>
      <c r="V1032" s="320" t="s">
        <v>35</v>
      </c>
      <c r="W1032" s="236" t="str">
        <f>IFERROR(IF(B1032="INSUMO",_xlfn.XLOOKUP(S1032,Insumos!A:A,Insumos!C:C),""),"Inserir Preço")</f>
        <v/>
      </c>
      <c r="X1032" s="235" t="str">
        <f t="shared" ca="1" si="688"/>
        <v/>
      </c>
      <c r="Y1032" s="236" t="str">
        <f t="shared" si="689"/>
        <v/>
      </c>
      <c r="Z1032" s="237">
        <f t="shared" ca="1" si="666"/>
        <v>3146.4227292376281</v>
      </c>
      <c r="AA1032" s="238"/>
      <c r="AB1032" s="233" t="str">
        <f>IF(B1032="insumo",_xlfn.XLOOKUP(S1032,Insumos!A:A,Insumos!D:D),"")</f>
        <v/>
      </c>
      <c r="AC1032" s="239">
        <f t="shared" ca="1" si="667"/>
        <v>4.5138302708867356E-4</v>
      </c>
      <c r="AE1032" s="240">
        <f ca="1">IFERROR(IF(OR(Z1032="",Z1032=0),"",IF(AF1032="","",IF(AF1032="R$/mês",Z1032/OBRA!$D$12,IF(AF1032="R$/m²",Z1032/OBRA!$D$10,IF(AF1032="R$/apto",Orçamento!Z1032/OBRA!$D$11,""))))),"")</f>
        <v>1.6191715490382652</v>
      </c>
      <c r="AF1032" s="241" t="s">
        <v>154</v>
      </c>
    </row>
    <row r="1033" spans="1:32" s="10" customFormat="1" ht="13.15" hidden="1" customHeight="1" outlineLevel="4" x14ac:dyDescent="0.2">
      <c r="A1033" s="227"/>
      <c r="B1033" s="228" t="s">
        <v>4</v>
      </c>
      <c r="C1033" s="229">
        <f t="shared" si="665"/>
        <v>1</v>
      </c>
      <c r="D1033" s="227" t="str">
        <f t="shared" ca="1" si="705"/>
        <v>07.004.001.001</v>
      </c>
      <c r="E1033" s="228" t="str">
        <f t="shared" ca="1" si="706"/>
        <v>07.004.001.001</v>
      </c>
      <c r="F1033" s="230">
        <f ca="1">IF($B1033="UNIDADE CONSTRUTIVA",OFFSET(F1033,-1,0)+1,LARGE(F$10:F1032,1))</f>
        <v>2</v>
      </c>
      <c r="G1033" s="228" t="str">
        <f t="shared" ca="1" si="682"/>
        <v xml:space="preserve">   GERENCIAMENTO EXECUTIVO</v>
      </c>
      <c r="H1033" s="230">
        <f t="shared" ca="1" si="707"/>
        <v>7</v>
      </c>
      <c r="I1033" s="228" t="str">
        <f t="shared" ca="1" si="683"/>
        <v xml:space="preserve">   SISTEMAS E INSTALAÇÕES ELÉTRICAS</v>
      </c>
      <c r="J1033" s="230">
        <f t="shared" ca="1" si="708"/>
        <v>4</v>
      </c>
      <c r="K1033" s="228" t="str">
        <f t="shared" ca="1" si="684"/>
        <v xml:space="preserve">   SISTEMAS E INSTALAÇÕES ELÉTRICAS - 8º PAVIMENTO - COBERTURA</v>
      </c>
      <c r="L1033" s="231">
        <f t="shared" ca="1" si="709"/>
        <v>1</v>
      </c>
      <c r="M1033" s="228" t="str">
        <f t="shared" ca="1" si="685"/>
        <v xml:space="preserve">   Quadros Elétricos e Disjuntores</v>
      </c>
      <c r="N1033" s="231">
        <f t="shared" ca="1" si="710"/>
        <v>1</v>
      </c>
      <c r="O1033" s="228" t="str">
        <f t="shared" ca="1" si="686"/>
        <v>Quadros e Disjuntores - Cobertura</v>
      </c>
      <c r="P1033" s="232" t="str">
        <f>IF(S1033="","",IF(Orçamento!$B1033="INSUMO",S1033,""))</f>
        <v/>
      </c>
      <c r="Q1033" s="244" t="str">
        <f t="shared" si="690"/>
        <v>Quadros e Disjuntores - Cobertura</v>
      </c>
      <c r="R1033" s="234">
        <f t="shared" ca="1" si="687"/>
        <v>1</v>
      </c>
      <c r="S1033" s="233" t="s">
        <v>996</v>
      </c>
      <c r="T1033" s="242" t="s">
        <v>170</v>
      </c>
      <c r="U1033" s="235">
        <v>1</v>
      </c>
      <c r="V1033" s="320" t="s">
        <v>35</v>
      </c>
      <c r="W1033" s="236" t="str">
        <f>IFERROR(IF(B1033="INSUMO",_xlfn.XLOOKUP(S1033,Insumos!A:A,Insumos!C:C),""),"Inserir Preço")</f>
        <v/>
      </c>
      <c r="X1033" s="235">
        <f t="shared" ca="1" si="688"/>
        <v>1</v>
      </c>
      <c r="Y1033" s="236">
        <f t="shared" ca="1" si="689"/>
        <v>3146.4227292376281</v>
      </c>
      <c r="Z1033" s="237">
        <f t="shared" ca="1" si="666"/>
        <v>3146.4227292376281</v>
      </c>
      <c r="AA1033" s="238"/>
      <c r="AB1033" s="233" t="str">
        <f>IF(B1033="insumo",_xlfn.XLOOKUP(S1033,Insumos!A:A,Insumos!D:D),"")</f>
        <v/>
      </c>
      <c r="AC1033" s="239">
        <f t="shared" ca="1" si="667"/>
        <v>4.5138302708867356E-4</v>
      </c>
      <c r="AE1033" s="240">
        <f ca="1">IFERROR(IF(OR(Z1033="",Z1033=0),"",IF(AF1033="","",IF(AF1033="R$/mês",Z1033/OBRA!$D$12,IF(AF1033="R$/m²",Z1033/OBRA!$D$10,IF(AF1033="R$/apto",Orçamento!Z1033/OBRA!$D$11,""))))),"")</f>
        <v>1.6191715490382652</v>
      </c>
      <c r="AF1033" s="241" t="s">
        <v>154</v>
      </c>
    </row>
    <row r="1034" spans="1:32" s="10" customFormat="1" ht="13.15" hidden="1" customHeight="1" outlineLevel="4" x14ac:dyDescent="0.2">
      <c r="A1034" s="227"/>
      <c r="B1034" s="228" t="s">
        <v>19</v>
      </c>
      <c r="C1034" s="229">
        <f t="shared" si="665"/>
        <v>1</v>
      </c>
      <c r="D1034" s="227" t="str">
        <f t="shared" si="705"/>
        <v/>
      </c>
      <c r="E1034" s="228" t="str">
        <f t="shared" ca="1" si="706"/>
        <v>07.004.001.001</v>
      </c>
      <c r="F1034" s="230">
        <f ca="1">IF($B1034="UNIDADE CONSTRUTIVA",OFFSET(F1034,-1,0)+1,LARGE(F$10:F1033,1))</f>
        <v>2</v>
      </c>
      <c r="G1034" s="228" t="str">
        <f t="shared" ca="1" si="682"/>
        <v xml:space="preserve">   GERENCIAMENTO EXECUTIVO</v>
      </c>
      <c r="H1034" s="230">
        <f t="shared" ca="1" si="707"/>
        <v>7</v>
      </c>
      <c r="I1034" s="228" t="str">
        <f t="shared" ca="1" si="683"/>
        <v xml:space="preserve">   SISTEMAS E INSTALAÇÕES ELÉTRICAS</v>
      </c>
      <c r="J1034" s="230">
        <f t="shared" ca="1" si="708"/>
        <v>4</v>
      </c>
      <c r="K1034" s="228" t="str">
        <f t="shared" ca="1" si="684"/>
        <v xml:space="preserve">   SISTEMAS E INSTALAÇÕES ELÉTRICAS - 8º PAVIMENTO - COBERTURA</v>
      </c>
      <c r="L1034" s="231">
        <f t="shared" ca="1" si="709"/>
        <v>1</v>
      </c>
      <c r="M1034" s="228" t="str">
        <f t="shared" ca="1" si="685"/>
        <v xml:space="preserve">   Quadros Elétricos e Disjuntores</v>
      </c>
      <c r="N1034" s="231">
        <f t="shared" ca="1" si="710"/>
        <v>1</v>
      </c>
      <c r="O1034" s="228" t="str">
        <f t="shared" ca="1" si="686"/>
        <v>Quadros e Disjuntores - Cobertura</v>
      </c>
      <c r="P1034" s="232" t="str">
        <f>IF(S1034="","",IF(Orçamento!$B1034="INSUMO",S1034,""))</f>
        <v>QUADROS E DISJUNTORES - COBERTURA</v>
      </c>
      <c r="Q1034" s="244" t="str">
        <f t="shared" si="690"/>
        <v/>
      </c>
      <c r="R1034" s="234">
        <f t="shared" ca="1" si="687"/>
        <v>1</v>
      </c>
      <c r="S1034" s="233" t="s">
        <v>956</v>
      </c>
      <c r="T1034" s="242" t="str">
        <f>_xlfn.XLOOKUP(S1034,Insumos!$A$3:$A$371,Insumos!$B$3:$B$371)</f>
        <v>VB</v>
      </c>
      <c r="U1034" s="235">
        <f ca="1">IF($B1034="insumo",R1034,"")</f>
        <v>1</v>
      </c>
      <c r="V1034" s="320">
        <v>1</v>
      </c>
      <c r="W1034" s="236">
        <f>IFERROR(IF(B1034="INSUMO",_xlfn.XLOOKUP(S1034,Insumos!A:A,Insumos!C:C),""),"Inserir Preço")</f>
        <v>3146.4227292376281</v>
      </c>
      <c r="X1034" s="235">
        <f t="shared" ca="1" si="688"/>
        <v>1</v>
      </c>
      <c r="Y1034" s="236">
        <f t="shared" si="689"/>
        <v>3146.4227292376281</v>
      </c>
      <c r="Z1034" s="237">
        <f t="shared" ca="1" si="666"/>
        <v>3146.4227292376281</v>
      </c>
      <c r="AA1034" s="238"/>
      <c r="AB1034" s="233" t="str">
        <f>IF(B1034="insumo",_xlfn.XLOOKUP(S1034,Insumos!A:A,Insumos!D:D),"")</f>
        <v>Lista de Elétrica</v>
      </c>
      <c r="AC1034" s="239">
        <f t="shared" ca="1" si="667"/>
        <v>4.5138302708867356E-4</v>
      </c>
      <c r="AE1034" s="240">
        <f ca="1">IFERROR(IF(OR(Z1034="",Z1034=0),"",IF(AF1034="","",IF(AF1034="R$/mês",Z1034/OBRA!$D$12,IF(AF1034="R$/m²",Z1034/OBRA!$D$10,IF(AF1034="R$/apto",Orçamento!Z1034/OBRA!$D$11,""))))),"")</f>
        <v>1.6191715490382652</v>
      </c>
      <c r="AF1034" s="241" t="s">
        <v>154</v>
      </c>
    </row>
    <row r="1035" spans="1:32" s="10" customFormat="1" ht="13.15" hidden="1" customHeight="1" outlineLevel="3" collapsed="1" x14ac:dyDescent="0.2">
      <c r="A1035" s="227"/>
      <c r="B1035" s="228" t="s">
        <v>3</v>
      </c>
      <c r="C1035" s="229" t="str">
        <f t="shared" si="665"/>
        <v/>
      </c>
      <c r="D1035" s="227" t="str">
        <f t="shared" ca="1" si="705"/>
        <v>07.004.002</v>
      </c>
      <c r="E1035" s="228" t="str">
        <f t="shared" ca="1" si="706"/>
        <v>07.004.001.001</v>
      </c>
      <c r="F1035" s="230">
        <f ca="1">IF($B1035="UNIDADE CONSTRUTIVA",OFFSET(F1035,-1,0)+1,LARGE(F$10:F1034,1))</f>
        <v>2</v>
      </c>
      <c r="G1035" s="228" t="str">
        <f t="shared" ca="1" si="682"/>
        <v xml:space="preserve">   GERENCIAMENTO EXECUTIVO</v>
      </c>
      <c r="H1035" s="230">
        <f t="shared" ca="1" si="707"/>
        <v>7</v>
      </c>
      <c r="I1035" s="228" t="str">
        <f t="shared" ca="1" si="683"/>
        <v xml:space="preserve">   SISTEMAS E INSTALAÇÕES ELÉTRICAS</v>
      </c>
      <c r="J1035" s="230">
        <f t="shared" ca="1" si="708"/>
        <v>4</v>
      </c>
      <c r="K1035" s="228" t="str">
        <f t="shared" ca="1" si="684"/>
        <v xml:space="preserve">   SISTEMAS E INSTALAÇÕES ELÉTRICAS - 8º PAVIMENTO - COBERTURA</v>
      </c>
      <c r="L1035" s="231">
        <f t="shared" ca="1" si="709"/>
        <v>2</v>
      </c>
      <c r="M1035" s="228" t="str">
        <f t="shared" ca="1" si="685"/>
        <v xml:space="preserve">   Eletrodutos e Eletrocalhas</v>
      </c>
      <c r="N1035" s="231">
        <f t="shared" ca="1" si="710"/>
        <v>0</v>
      </c>
      <c r="O1035" s="228" t="str">
        <f t="shared" ca="1" si="686"/>
        <v>Quadros e Disjuntores - Cobertura</v>
      </c>
      <c r="P1035" s="232" t="str">
        <f>IF(S1035="","",IF(Orçamento!$B1035="INSUMO",S1035,""))</f>
        <v/>
      </c>
      <c r="Q1035" s="244" t="str">
        <f t="shared" si="690"/>
        <v/>
      </c>
      <c r="R1035" s="234">
        <f t="shared" ca="1" si="687"/>
        <v>1</v>
      </c>
      <c r="S1035" s="233" t="s">
        <v>443</v>
      </c>
      <c r="T1035" s="242" t="s">
        <v>35</v>
      </c>
      <c r="U1035" s="235" t="str">
        <f>IF($B1035="insumo",R1035,"")</f>
        <v/>
      </c>
      <c r="V1035" s="320" t="s">
        <v>35</v>
      </c>
      <c r="W1035" s="236" t="str">
        <f>IFERROR(IF(B1035="INSUMO",_xlfn.XLOOKUP(S1035,Insumos!A:A,Insumos!C:C),""),"Inserir Preço")</f>
        <v/>
      </c>
      <c r="X1035" s="235" t="str">
        <f t="shared" ca="1" si="688"/>
        <v/>
      </c>
      <c r="Y1035" s="236" t="str">
        <f t="shared" si="689"/>
        <v/>
      </c>
      <c r="Z1035" s="237">
        <f t="shared" ca="1" si="666"/>
        <v>4852.9795400610647</v>
      </c>
      <c r="AA1035" s="238"/>
      <c r="AB1035" s="233" t="str">
        <f>IF(B1035="insumo",_xlfn.XLOOKUP(S1035,Insumos!A:A,Insumos!D:D),"")</f>
        <v/>
      </c>
      <c r="AC1035" s="239">
        <f t="shared" ca="1" si="667"/>
        <v>6.962041606287686E-4</v>
      </c>
      <c r="AE1035" s="240">
        <f ca="1">IFERROR(IF(OR(Z1035="",Z1035=0),"",IF(AF1035="","",IF(AF1035="R$/mês",Z1035/OBRA!$D$12,IF(AF1035="R$/m²",Z1035/OBRA!$D$10,IF(AF1035="R$/apto",Orçamento!Z1035/OBRA!$D$11,""))))),"")</f>
        <v>2.4973778400194853</v>
      </c>
      <c r="AF1035" s="241" t="s">
        <v>154</v>
      </c>
    </row>
    <row r="1036" spans="1:32" s="10" customFormat="1" ht="13.15" hidden="1" customHeight="1" outlineLevel="4" x14ac:dyDescent="0.2">
      <c r="A1036" s="227"/>
      <c r="B1036" s="228" t="s">
        <v>4</v>
      </c>
      <c r="C1036" s="229">
        <f t="shared" ref="C1036:C1099" si="711">IF(B1036="INSUMO",COUNTIFS(B:B,"INSUMO",S:S,S1036),IF(B1036="SERVIÇO",COUNTIFS(B:B,"SERVIÇO",S:S,S1036),""))</f>
        <v>1</v>
      </c>
      <c r="D1036" s="227" t="str">
        <f t="shared" ca="1" si="705"/>
        <v>07.004.002.001</v>
      </c>
      <c r="E1036" s="228" t="str">
        <f t="shared" ca="1" si="706"/>
        <v>07.004.002.001</v>
      </c>
      <c r="F1036" s="230">
        <f ca="1">IF($B1036="UNIDADE CONSTRUTIVA",OFFSET(F1036,-1,0)+1,LARGE(F$10:F1035,1))</f>
        <v>2</v>
      </c>
      <c r="G1036" s="228" t="str">
        <f t="shared" ca="1" si="682"/>
        <v xml:space="preserve">   GERENCIAMENTO EXECUTIVO</v>
      </c>
      <c r="H1036" s="230">
        <f t="shared" ca="1" si="707"/>
        <v>7</v>
      </c>
      <c r="I1036" s="228" t="str">
        <f t="shared" ca="1" si="683"/>
        <v xml:space="preserve">   SISTEMAS E INSTALAÇÕES ELÉTRICAS</v>
      </c>
      <c r="J1036" s="230">
        <f t="shared" ca="1" si="708"/>
        <v>4</v>
      </c>
      <c r="K1036" s="228" t="str">
        <f t="shared" ca="1" si="684"/>
        <v xml:space="preserve">   SISTEMAS E INSTALAÇÕES ELÉTRICAS - 8º PAVIMENTO - COBERTURA</v>
      </c>
      <c r="L1036" s="231">
        <f t="shared" ca="1" si="709"/>
        <v>2</v>
      </c>
      <c r="M1036" s="228" t="str">
        <f t="shared" ca="1" si="685"/>
        <v xml:space="preserve">   Eletrodutos e Eletrocalhas</v>
      </c>
      <c r="N1036" s="231">
        <f t="shared" ca="1" si="710"/>
        <v>1</v>
      </c>
      <c r="O1036" s="228" t="str">
        <f t="shared" ca="1" si="686"/>
        <v>Eletrodutos e Eletrocalhas - Cobertura</v>
      </c>
      <c r="P1036" s="232" t="str">
        <f>IF(S1036="","",IF(Orçamento!$B1036="INSUMO",S1036,""))</f>
        <v/>
      </c>
      <c r="Q1036" s="244" t="str">
        <f t="shared" si="690"/>
        <v>Eletrodutos e Eletrocalhas - Cobertura</v>
      </c>
      <c r="R1036" s="234">
        <f t="shared" ca="1" si="687"/>
        <v>1</v>
      </c>
      <c r="S1036" s="233" t="s">
        <v>997</v>
      </c>
      <c r="T1036" s="242" t="s">
        <v>170</v>
      </c>
      <c r="U1036" s="235">
        <v>1</v>
      </c>
      <c r="V1036" s="320" t="s">
        <v>35</v>
      </c>
      <c r="W1036" s="236" t="str">
        <f>IFERROR(IF(B1036="INSUMO",_xlfn.XLOOKUP(S1036,Insumos!A:A,Insumos!C:C),""),"Inserir Preço")</f>
        <v/>
      </c>
      <c r="X1036" s="235">
        <f t="shared" ca="1" si="688"/>
        <v>1</v>
      </c>
      <c r="Y1036" s="236">
        <f t="shared" ca="1" si="689"/>
        <v>4852.9795400610647</v>
      </c>
      <c r="Z1036" s="237">
        <f t="shared" ref="Z1036:Z1099" ca="1" si="712">IFERROR(IF(B1036="Unidade Construtiva",SUMIFS(Z:Z,B:B,"Célula Construtiva",G:G,G1036),IF(B1036="célula construtiva",SUMIFS(Z:Z,B:B,"Insumo",I:I,I1036,G:G,G1036),IF(B1036="ETAPA",SUMIFS(Z:Z,B:B,"Insumo",K:K,K1036,I:I,I1036,G:G,G1036),IF(B1036="subetapa",SUMIFS(Z:Z,M:M,M1036,B:B,"insumo",K:K,K1036,I:I,I1036,G:G,G1036),IF(B1036="complemento do insumo",V1036*W1036,IF(B1036="INSUMO",R1036*V1036*W1036,X1036*Y1036)))))),"")</f>
        <v>4852.9795400610647</v>
      </c>
      <c r="AA1036" s="238"/>
      <c r="AB1036" s="233" t="str">
        <f>IF(B1036="insumo",_xlfn.XLOOKUP(S1036,Insumos!A:A,Insumos!D:D),"")</f>
        <v/>
      </c>
      <c r="AC1036" s="239">
        <f t="shared" ref="AC1036:AC1099" ca="1" si="713">IFERROR(IF(B1036="","",Z1036/SUMIF(B:B,"INSUMO",Z:Z)),0)</f>
        <v>6.962041606287686E-4</v>
      </c>
      <c r="AE1036" s="240">
        <f ca="1">IFERROR(IF(OR(Z1036="",Z1036=0),"",IF(AF1036="","",IF(AF1036="R$/mês",Z1036/OBRA!$D$12,IF(AF1036="R$/m²",Z1036/OBRA!$D$10,IF(AF1036="R$/apto",Orçamento!Z1036/OBRA!$D$11,""))))),"")</f>
        <v>2.4973778400194853</v>
      </c>
      <c r="AF1036" s="241" t="s">
        <v>154</v>
      </c>
    </row>
    <row r="1037" spans="1:32" s="10" customFormat="1" ht="13.15" hidden="1" customHeight="1" outlineLevel="4" x14ac:dyDescent="0.2">
      <c r="A1037" s="227"/>
      <c r="B1037" s="228" t="s">
        <v>19</v>
      </c>
      <c r="C1037" s="229">
        <f t="shared" si="711"/>
        <v>1</v>
      </c>
      <c r="D1037" s="227" t="str">
        <f t="shared" si="705"/>
        <v/>
      </c>
      <c r="E1037" s="228" t="str">
        <f t="shared" ca="1" si="706"/>
        <v>07.004.002.001</v>
      </c>
      <c r="F1037" s="230">
        <f ca="1">IF($B1037="UNIDADE CONSTRUTIVA",OFFSET(F1037,-1,0)+1,LARGE(F$10:F1036,1))</f>
        <v>2</v>
      </c>
      <c r="G1037" s="228" t="str">
        <f t="shared" ca="1" si="682"/>
        <v xml:space="preserve">   GERENCIAMENTO EXECUTIVO</v>
      </c>
      <c r="H1037" s="230">
        <f t="shared" ca="1" si="707"/>
        <v>7</v>
      </c>
      <c r="I1037" s="228" t="str">
        <f t="shared" ca="1" si="683"/>
        <v xml:space="preserve">   SISTEMAS E INSTALAÇÕES ELÉTRICAS</v>
      </c>
      <c r="J1037" s="230">
        <f t="shared" ca="1" si="708"/>
        <v>4</v>
      </c>
      <c r="K1037" s="228" t="str">
        <f t="shared" ca="1" si="684"/>
        <v xml:space="preserve">   SISTEMAS E INSTALAÇÕES ELÉTRICAS - 8º PAVIMENTO - COBERTURA</v>
      </c>
      <c r="L1037" s="231">
        <f t="shared" ca="1" si="709"/>
        <v>2</v>
      </c>
      <c r="M1037" s="228" t="str">
        <f t="shared" ca="1" si="685"/>
        <v xml:space="preserve">   Eletrodutos e Eletrocalhas</v>
      </c>
      <c r="N1037" s="231">
        <f t="shared" ca="1" si="710"/>
        <v>1</v>
      </c>
      <c r="O1037" s="228" t="str">
        <f t="shared" ca="1" si="686"/>
        <v>Eletrodutos e Eletrocalhas - Cobertura</v>
      </c>
      <c r="P1037" s="232" t="str">
        <f>IF(S1037="","",IF(Orçamento!$B1037="INSUMO",S1037,""))</f>
        <v>ELETRODUTOS, CAIXAS E ELETROCALHAS - COBERTURA</v>
      </c>
      <c r="Q1037" s="244" t="str">
        <f t="shared" si="690"/>
        <v/>
      </c>
      <c r="R1037" s="234">
        <f t="shared" ca="1" si="687"/>
        <v>1</v>
      </c>
      <c r="S1037" s="233" t="s">
        <v>961</v>
      </c>
      <c r="T1037" s="242" t="str">
        <f>_xlfn.XLOOKUP(S1037,Insumos!$A$3:$A$371,Insumos!$B$3:$B$371)</f>
        <v>VB</v>
      </c>
      <c r="U1037" s="235">
        <f ca="1">IF($B1037="insumo",R1037,"")</f>
        <v>1</v>
      </c>
      <c r="V1037" s="320">
        <v>1</v>
      </c>
      <c r="W1037" s="236">
        <f>IFERROR(IF(B1037="INSUMO",_xlfn.XLOOKUP(S1037,Insumos!A:A,Insumos!C:C),""),"Inserir Preço")</f>
        <v>4852.9795400610647</v>
      </c>
      <c r="X1037" s="235">
        <f t="shared" ca="1" si="688"/>
        <v>1</v>
      </c>
      <c r="Y1037" s="236">
        <f t="shared" si="689"/>
        <v>4852.9795400610647</v>
      </c>
      <c r="Z1037" s="237">
        <f t="shared" ca="1" si="712"/>
        <v>4852.9795400610647</v>
      </c>
      <c r="AA1037" s="238"/>
      <c r="AB1037" s="233" t="str">
        <f>IF(B1037="insumo",_xlfn.XLOOKUP(S1037,Insumos!A:A,Insumos!D:D),"")</f>
        <v>Lista de Elétrica</v>
      </c>
      <c r="AC1037" s="239">
        <f t="shared" ca="1" si="713"/>
        <v>6.962041606287686E-4</v>
      </c>
      <c r="AE1037" s="240">
        <f ca="1">IFERROR(IF(OR(Z1037="",Z1037=0),"",IF(AF1037="","",IF(AF1037="R$/mês",Z1037/OBRA!$D$12,IF(AF1037="R$/m²",Z1037/OBRA!$D$10,IF(AF1037="R$/apto",Orçamento!Z1037/OBRA!$D$11,""))))),"")</f>
        <v>2.4973778400194853</v>
      </c>
      <c r="AF1037" s="241" t="s">
        <v>154</v>
      </c>
    </row>
    <row r="1038" spans="1:32" s="10" customFormat="1" ht="13.15" hidden="1" customHeight="1" outlineLevel="3" collapsed="1" x14ac:dyDescent="0.2">
      <c r="A1038" s="227"/>
      <c r="B1038" s="228" t="s">
        <v>3</v>
      </c>
      <c r="C1038" s="229" t="str">
        <f t="shared" si="711"/>
        <v/>
      </c>
      <c r="D1038" s="227" t="str">
        <f t="shared" ca="1" si="705"/>
        <v>07.004.003</v>
      </c>
      <c r="E1038" s="228" t="str">
        <f t="shared" ca="1" si="706"/>
        <v>07.004.002.001</v>
      </c>
      <c r="F1038" s="230">
        <f ca="1">IF($B1038="UNIDADE CONSTRUTIVA",OFFSET(F1038,-1,0)+1,LARGE(F$10:F1037,1))</f>
        <v>2</v>
      </c>
      <c r="G1038" s="228" t="str">
        <f t="shared" ref="G1038:G1049" ca="1" si="714">IF(B1038="*","",IF(B1038="UNIDADE CONSTRUTIVA",S1038,OFFSET(G1038,-1,0)))</f>
        <v xml:space="preserve">   GERENCIAMENTO EXECUTIVO</v>
      </c>
      <c r="H1038" s="230">
        <f t="shared" ca="1" si="707"/>
        <v>7</v>
      </c>
      <c r="I1038" s="228" t="str">
        <f t="shared" ref="I1038:I1049" ca="1" si="715">IF(B1038="*","",IF(B1038="CÉLULA CONSTRUTIVA",S1038,OFFSET(I1038,-1,0)))</f>
        <v xml:space="preserve">   SISTEMAS E INSTALAÇÕES ELÉTRICAS</v>
      </c>
      <c r="J1038" s="230">
        <f t="shared" ca="1" si="708"/>
        <v>4</v>
      </c>
      <c r="K1038" s="228" t="str">
        <f t="shared" ref="K1038:K1049" ca="1" si="716">IF(B1038="*","",IF(B1038="ETAPA",S1038,OFFSET(K1038,-1,0)))</f>
        <v xml:space="preserve">   SISTEMAS E INSTALAÇÕES ELÉTRICAS - 8º PAVIMENTO - COBERTURA</v>
      </c>
      <c r="L1038" s="231">
        <f t="shared" ca="1" si="709"/>
        <v>3</v>
      </c>
      <c r="M1038" s="228" t="str">
        <f t="shared" ref="M1038:M1049" ca="1" si="717">IF(B1038="*","",IF(B1038="SUBETAPA",S1038,OFFSET(M1038,-1,0)))</f>
        <v xml:space="preserve">   Fios e Cabos Elétricos</v>
      </c>
      <c r="N1038" s="231">
        <f t="shared" ca="1" si="710"/>
        <v>0</v>
      </c>
      <c r="O1038" s="228" t="str">
        <f t="shared" ref="O1038:O1049" ca="1" si="718">IF(B1038="*","",IF(B1038="SERVIÇO",S1038,OFFSET(O1038,-1,0)))</f>
        <v>Eletrodutos e Eletrocalhas - Cobertura</v>
      </c>
      <c r="P1038" s="232" t="str">
        <f>IF(S1038="","",IF(Orçamento!$B1038="INSUMO",S1038,""))</f>
        <v/>
      </c>
      <c r="Q1038" s="244" t="str">
        <f t="shared" si="690"/>
        <v/>
      </c>
      <c r="R1038" s="234">
        <f t="shared" ref="R1038:R1049" ca="1" si="719">IF(B1038="serviço",U1038,OFFSET(R1038,-1,0))</f>
        <v>1</v>
      </c>
      <c r="S1038" s="233" t="s">
        <v>444</v>
      </c>
      <c r="T1038" s="242" t="s">
        <v>35</v>
      </c>
      <c r="U1038" s="235" t="str">
        <f>IF($B1038="insumo",R1038,"")</f>
        <v/>
      </c>
      <c r="V1038" s="320" t="s">
        <v>35</v>
      </c>
      <c r="W1038" s="236" t="str">
        <f>IFERROR(IF(B1038="INSUMO",_xlfn.XLOOKUP(S1038,Insumos!A:A,Insumos!C:C),""),"Inserir Preço")</f>
        <v/>
      </c>
      <c r="X1038" s="235" t="str">
        <f t="shared" ref="X1038:X1049" ca="1" si="720">IF(B1038="Complemento do insumo",V1038,IF(R1038="","",IF(B1038="serviço",R1038,IF(OR(B1038="insumo"),V1038*R1038,""))))</f>
        <v/>
      </c>
      <c r="Y1038" s="236" t="str">
        <f t="shared" si="689"/>
        <v/>
      </c>
      <c r="Z1038" s="237">
        <f t="shared" ca="1" si="712"/>
        <v>14580.181767983799</v>
      </c>
      <c r="AA1038" s="238"/>
      <c r="AB1038" s="233" t="str">
        <f>IF(B1038="insumo",_xlfn.XLOOKUP(S1038,Insumos!A:A,Insumos!D:D),"")</f>
        <v/>
      </c>
      <c r="AC1038" s="239">
        <f t="shared" ca="1" si="713"/>
        <v>2.0916600051164255E-3</v>
      </c>
      <c r="AE1038" s="240">
        <f ca="1">IFERROR(IF(OR(Z1038="",Z1038=0),"",IF(AF1038="","",IF(AF1038="R$/mês",Z1038/OBRA!$D$12,IF(AF1038="R$/m²",Z1038/OBRA!$D$10,IF(AF1038="R$/apto",Orçamento!Z1038/OBRA!$D$11,""))))),"")</f>
        <v>7.5030653952356632</v>
      </c>
      <c r="AF1038" s="241" t="s">
        <v>154</v>
      </c>
    </row>
    <row r="1039" spans="1:32" s="10" customFormat="1" ht="13.15" hidden="1" customHeight="1" outlineLevel="4" x14ac:dyDescent="0.2">
      <c r="A1039" s="227"/>
      <c r="B1039" s="228" t="s">
        <v>4</v>
      </c>
      <c r="C1039" s="229">
        <f t="shared" si="711"/>
        <v>1</v>
      </c>
      <c r="D1039" s="227" t="str">
        <f t="shared" ca="1" si="705"/>
        <v>07.004.003.001</v>
      </c>
      <c r="E1039" s="228" t="str">
        <f t="shared" ca="1" si="706"/>
        <v>07.004.003.001</v>
      </c>
      <c r="F1039" s="230">
        <f ca="1">IF($B1039="UNIDADE CONSTRUTIVA",OFFSET(F1039,-1,0)+1,LARGE(F$10:F1038,1))</f>
        <v>2</v>
      </c>
      <c r="G1039" s="228" t="str">
        <f t="shared" ca="1" si="714"/>
        <v xml:space="preserve">   GERENCIAMENTO EXECUTIVO</v>
      </c>
      <c r="H1039" s="230">
        <f t="shared" ca="1" si="707"/>
        <v>7</v>
      </c>
      <c r="I1039" s="228" t="str">
        <f t="shared" ca="1" si="715"/>
        <v xml:space="preserve">   SISTEMAS E INSTALAÇÕES ELÉTRICAS</v>
      </c>
      <c r="J1039" s="230">
        <f t="shared" ca="1" si="708"/>
        <v>4</v>
      </c>
      <c r="K1039" s="228" t="str">
        <f t="shared" ca="1" si="716"/>
        <v xml:space="preserve">   SISTEMAS E INSTALAÇÕES ELÉTRICAS - 8º PAVIMENTO - COBERTURA</v>
      </c>
      <c r="L1039" s="231">
        <f t="shared" ca="1" si="709"/>
        <v>3</v>
      </c>
      <c r="M1039" s="228" t="str">
        <f t="shared" ca="1" si="717"/>
        <v xml:space="preserve">   Fios e Cabos Elétricos</v>
      </c>
      <c r="N1039" s="231">
        <f t="shared" ca="1" si="710"/>
        <v>1</v>
      </c>
      <c r="O1039" s="228" t="str">
        <f t="shared" ca="1" si="718"/>
        <v>Cabos e Fiacoes - Cobertura</v>
      </c>
      <c r="P1039" s="232" t="str">
        <f>IF(S1039="","",IF(Orçamento!$B1039="INSUMO",S1039,""))</f>
        <v/>
      </c>
      <c r="Q1039" s="244" t="str">
        <f t="shared" si="690"/>
        <v>Cabos e Fiacoes - Cobertura</v>
      </c>
      <c r="R1039" s="234">
        <f t="shared" ca="1" si="719"/>
        <v>1</v>
      </c>
      <c r="S1039" s="233" t="s">
        <v>998</v>
      </c>
      <c r="T1039" s="242" t="s">
        <v>170</v>
      </c>
      <c r="U1039" s="235">
        <v>1</v>
      </c>
      <c r="V1039" s="320" t="s">
        <v>35</v>
      </c>
      <c r="W1039" s="236" t="str">
        <f>IFERROR(IF(B1039="INSUMO",_xlfn.XLOOKUP(S1039,Insumos!A:A,Insumos!C:C),""),"Inserir Preço")</f>
        <v/>
      </c>
      <c r="X1039" s="235">
        <f t="shared" ca="1" si="720"/>
        <v>1</v>
      </c>
      <c r="Y1039" s="236">
        <f t="shared" ca="1" si="689"/>
        <v>14580.181767983799</v>
      </c>
      <c r="Z1039" s="237">
        <f t="shared" ca="1" si="712"/>
        <v>14580.181767983799</v>
      </c>
      <c r="AA1039" s="238"/>
      <c r="AB1039" s="233" t="str">
        <f>IF(B1039="insumo",_xlfn.XLOOKUP(S1039,Insumos!A:A,Insumos!D:D),"")</f>
        <v/>
      </c>
      <c r="AC1039" s="239">
        <f t="shared" ca="1" si="713"/>
        <v>2.0916600051164255E-3</v>
      </c>
      <c r="AE1039" s="240">
        <f ca="1">IFERROR(IF(OR(Z1039="",Z1039=0),"",IF(AF1039="","",IF(AF1039="R$/mês",Z1039/OBRA!$D$12,IF(AF1039="R$/m²",Z1039/OBRA!$D$10,IF(AF1039="R$/apto",Orçamento!Z1039/OBRA!$D$11,""))))),"")</f>
        <v>7.5030653952356632</v>
      </c>
      <c r="AF1039" s="241" t="s">
        <v>154</v>
      </c>
    </row>
    <row r="1040" spans="1:32" s="10" customFormat="1" ht="13.15" hidden="1" customHeight="1" outlineLevel="4" x14ac:dyDescent="0.2">
      <c r="A1040" s="227"/>
      <c r="B1040" s="228" t="s">
        <v>19</v>
      </c>
      <c r="C1040" s="229">
        <f t="shared" si="711"/>
        <v>1</v>
      </c>
      <c r="D1040" s="227" t="str">
        <f t="shared" si="705"/>
        <v/>
      </c>
      <c r="E1040" s="228" t="str">
        <f t="shared" ca="1" si="706"/>
        <v>07.004.003.001</v>
      </c>
      <c r="F1040" s="230">
        <f ca="1">IF($B1040="UNIDADE CONSTRUTIVA",OFFSET(F1040,-1,0)+1,LARGE(F$10:F1039,1))</f>
        <v>2</v>
      </c>
      <c r="G1040" s="228" t="str">
        <f t="shared" ca="1" si="714"/>
        <v xml:space="preserve">   GERENCIAMENTO EXECUTIVO</v>
      </c>
      <c r="H1040" s="230">
        <f t="shared" ca="1" si="707"/>
        <v>7</v>
      </c>
      <c r="I1040" s="228" t="str">
        <f t="shared" ca="1" si="715"/>
        <v xml:space="preserve">   SISTEMAS E INSTALAÇÕES ELÉTRICAS</v>
      </c>
      <c r="J1040" s="230">
        <f t="shared" ca="1" si="708"/>
        <v>4</v>
      </c>
      <c r="K1040" s="228" t="str">
        <f t="shared" ca="1" si="716"/>
        <v xml:space="preserve">   SISTEMAS E INSTALAÇÕES ELÉTRICAS - 8º PAVIMENTO - COBERTURA</v>
      </c>
      <c r="L1040" s="231">
        <f t="shared" ca="1" si="709"/>
        <v>3</v>
      </c>
      <c r="M1040" s="228" t="str">
        <f t="shared" ca="1" si="717"/>
        <v xml:space="preserve">   Fios e Cabos Elétricos</v>
      </c>
      <c r="N1040" s="231">
        <f t="shared" ca="1" si="710"/>
        <v>1</v>
      </c>
      <c r="O1040" s="228" t="str">
        <f t="shared" ca="1" si="718"/>
        <v>Cabos e Fiacoes - Cobertura</v>
      </c>
      <c r="P1040" s="232" t="str">
        <f>IF(S1040="","",IF(Orçamento!$B1040="INSUMO",S1040,""))</f>
        <v>FIAÇÃO - COBERTURA</v>
      </c>
      <c r="Q1040" s="244" t="str">
        <f t="shared" si="690"/>
        <v/>
      </c>
      <c r="R1040" s="234">
        <f t="shared" ca="1" si="719"/>
        <v>1</v>
      </c>
      <c r="S1040" s="233" t="s">
        <v>966</v>
      </c>
      <c r="T1040" s="242" t="str">
        <f>_xlfn.XLOOKUP(S1040,Insumos!$A$3:$A$371,Insumos!$B$3:$B$371)</f>
        <v>VB</v>
      </c>
      <c r="U1040" s="235">
        <f ca="1">IF($B1040="insumo",R1040,"")</f>
        <v>1</v>
      </c>
      <c r="V1040" s="320">
        <v>1</v>
      </c>
      <c r="W1040" s="236">
        <f>IFERROR(IF(B1040="INSUMO",_xlfn.XLOOKUP(S1040,Insumos!A:A,Insumos!C:C),""),"Inserir Preço")</f>
        <v>14580.181767983799</v>
      </c>
      <c r="X1040" s="235">
        <f t="shared" ca="1" si="720"/>
        <v>1</v>
      </c>
      <c r="Y1040" s="236">
        <f t="shared" si="689"/>
        <v>14580.181767983799</v>
      </c>
      <c r="Z1040" s="237">
        <f t="shared" ca="1" si="712"/>
        <v>14580.181767983799</v>
      </c>
      <c r="AA1040" s="238"/>
      <c r="AB1040" s="233" t="str">
        <f>IF(B1040="insumo",_xlfn.XLOOKUP(S1040,Insumos!A:A,Insumos!D:D),"")</f>
        <v>Lista de Elétrica</v>
      </c>
      <c r="AC1040" s="239">
        <f t="shared" ca="1" si="713"/>
        <v>2.0916600051164255E-3</v>
      </c>
      <c r="AE1040" s="240">
        <f ca="1">IFERROR(IF(OR(Z1040="",Z1040=0),"",IF(AF1040="","",IF(AF1040="R$/mês",Z1040/OBRA!$D$12,IF(AF1040="R$/m²",Z1040/OBRA!$D$10,IF(AF1040="R$/apto",Orçamento!Z1040/OBRA!$D$11,""))))),"")</f>
        <v>7.5030653952356632</v>
      </c>
      <c r="AF1040" s="241" t="s">
        <v>154</v>
      </c>
    </row>
    <row r="1041" spans="1:32" s="10" customFormat="1" ht="13.15" hidden="1" customHeight="1" outlineLevel="3" collapsed="1" x14ac:dyDescent="0.2">
      <c r="A1041" s="227"/>
      <c r="B1041" s="228" t="s">
        <v>3</v>
      </c>
      <c r="C1041" s="229" t="str">
        <f t="shared" si="711"/>
        <v/>
      </c>
      <c r="D1041" s="227" t="str">
        <f t="shared" ca="1" si="705"/>
        <v>07.004.004</v>
      </c>
      <c r="E1041" s="228" t="str">
        <f t="shared" ca="1" si="706"/>
        <v>07.004.003.001</v>
      </c>
      <c r="F1041" s="230">
        <f ca="1">IF($B1041="UNIDADE CONSTRUTIVA",OFFSET(F1041,-1,0)+1,LARGE(F$10:F1040,1))</f>
        <v>2</v>
      </c>
      <c r="G1041" s="228" t="str">
        <f t="shared" ca="1" si="714"/>
        <v xml:space="preserve">   GERENCIAMENTO EXECUTIVO</v>
      </c>
      <c r="H1041" s="230">
        <f t="shared" ca="1" si="707"/>
        <v>7</v>
      </c>
      <c r="I1041" s="228" t="str">
        <f t="shared" ca="1" si="715"/>
        <v xml:space="preserve">   SISTEMAS E INSTALAÇÕES ELÉTRICAS</v>
      </c>
      <c r="J1041" s="230">
        <f t="shared" ca="1" si="708"/>
        <v>4</v>
      </c>
      <c r="K1041" s="228" t="str">
        <f t="shared" ca="1" si="716"/>
        <v xml:space="preserve">   SISTEMAS E INSTALAÇÕES ELÉTRICAS - 8º PAVIMENTO - COBERTURA</v>
      </c>
      <c r="L1041" s="231">
        <f t="shared" ca="1" si="709"/>
        <v>4</v>
      </c>
      <c r="M1041" s="228" t="str">
        <f t="shared" ca="1" si="717"/>
        <v xml:space="preserve">   Pontos de Tomadas e Interruptores</v>
      </c>
      <c r="N1041" s="231">
        <f t="shared" ca="1" si="710"/>
        <v>0</v>
      </c>
      <c r="O1041" s="228" t="str">
        <f t="shared" ca="1" si="718"/>
        <v>Cabos e Fiacoes - Cobertura</v>
      </c>
      <c r="P1041" s="232" t="str">
        <f>IF(S1041="","",IF(Orçamento!$B1041="INSUMO",S1041,""))</f>
        <v/>
      </c>
      <c r="Q1041" s="244" t="str">
        <f t="shared" si="690"/>
        <v/>
      </c>
      <c r="R1041" s="234">
        <f t="shared" ca="1" si="719"/>
        <v>1</v>
      </c>
      <c r="S1041" s="233" t="s">
        <v>445</v>
      </c>
      <c r="T1041" s="242" t="s">
        <v>35</v>
      </c>
      <c r="U1041" s="235" t="str">
        <f>IF($B1041="insumo",R1041,"")</f>
        <v/>
      </c>
      <c r="V1041" s="320" t="s">
        <v>35</v>
      </c>
      <c r="W1041" s="236" t="str">
        <f>IFERROR(IF(B1041="INSUMO",_xlfn.XLOOKUP(S1041,Insumos!A:A,Insumos!C:C),""),"Inserir Preço")</f>
        <v/>
      </c>
      <c r="X1041" s="235" t="str">
        <f t="shared" ca="1" si="720"/>
        <v/>
      </c>
      <c r="Y1041" s="236" t="str">
        <f t="shared" si="689"/>
        <v/>
      </c>
      <c r="Z1041" s="237">
        <f t="shared" ca="1" si="712"/>
        <v>1560.4485511253404</v>
      </c>
      <c r="AA1041" s="238"/>
      <c r="AB1041" s="233" t="str">
        <f>IF(B1041="insumo",_xlfn.XLOOKUP(S1041,Insumos!A:A,Insumos!D:D),"")</f>
        <v/>
      </c>
      <c r="AC1041" s="239">
        <f t="shared" ca="1" si="713"/>
        <v>2.2386057158751708E-4</v>
      </c>
      <c r="AE1041" s="240">
        <f ca="1">IFERROR(IF(OR(Z1041="",Z1041=0),"",IF(AF1041="","",IF(AF1041="R$/mês",Z1041/OBRA!$D$12,IF(AF1041="R$/m²",Z1041/OBRA!$D$10,IF(AF1041="R$/apto",Orçamento!Z1041/OBRA!$D$11,""))))),"")</f>
        <v>0.80301793978342262</v>
      </c>
      <c r="AF1041" s="241" t="s">
        <v>154</v>
      </c>
    </row>
    <row r="1042" spans="1:32" s="10" customFormat="1" ht="13.15" hidden="1" customHeight="1" outlineLevel="4" x14ac:dyDescent="0.2">
      <c r="A1042" s="227"/>
      <c r="B1042" s="228" t="s">
        <v>4</v>
      </c>
      <c r="C1042" s="229">
        <f t="shared" si="711"/>
        <v>1</v>
      </c>
      <c r="D1042" s="227" t="str">
        <f t="shared" ca="1" si="705"/>
        <v>07.004.004.001</v>
      </c>
      <c r="E1042" s="228" t="str">
        <f t="shared" ca="1" si="706"/>
        <v>07.004.004.001</v>
      </c>
      <c r="F1042" s="230">
        <f ca="1">IF($B1042="UNIDADE CONSTRUTIVA",OFFSET(F1042,-1,0)+1,LARGE(F$10:F1041,1))</f>
        <v>2</v>
      </c>
      <c r="G1042" s="228" t="str">
        <f t="shared" ca="1" si="714"/>
        <v xml:space="preserve">   GERENCIAMENTO EXECUTIVO</v>
      </c>
      <c r="H1042" s="230">
        <f t="shared" ca="1" si="707"/>
        <v>7</v>
      </c>
      <c r="I1042" s="228" t="str">
        <f t="shared" ca="1" si="715"/>
        <v xml:space="preserve">   SISTEMAS E INSTALAÇÕES ELÉTRICAS</v>
      </c>
      <c r="J1042" s="230">
        <f t="shared" ca="1" si="708"/>
        <v>4</v>
      </c>
      <c r="K1042" s="228" t="str">
        <f t="shared" ca="1" si="716"/>
        <v xml:space="preserve">   SISTEMAS E INSTALAÇÕES ELÉTRICAS - 8º PAVIMENTO - COBERTURA</v>
      </c>
      <c r="L1042" s="231">
        <f t="shared" ca="1" si="709"/>
        <v>4</v>
      </c>
      <c r="M1042" s="228" t="str">
        <f t="shared" ca="1" si="717"/>
        <v xml:space="preserve">   Pontos de Tomadas e Interruptores</v>
      </c>
      <c r="N1042" s="231">
        <f t="shared" ca="1" si="710"/>
        <v>1</v>
      </c>
      <c r="O1042" s="228" t="str">
        <f t="shared" ca="1" si="718"/>
        <v>Pontos de Tomadas e Interruptores - Cobertura</v>
      </c>
      <c r="P1042" s="232" t="str">
        <f>IF(S1042="","",IF(Orçamento!$B1042="INSUMO",S1042,""))</f>
        <v/>
      </c>
      <c r="Q1042" s="244" t="str">
        <f t="shared" si="690"/>
        <v>Pontos de Tomadas e Interruptores - Cobertura</v>
      </c>
      <c r="R1042" s="234">
        <f t="shared" ca="1" si="719"/>
        <v>1</v>
      </c>
      <c r="S1042" s="233" t="s">
        <v>999</v>
      </c>
      <c r="T1042" s="242" t="s">
        <v>170</v>
      </c>
      <c r="U1042" s="235">
        <v>1</v>
      </c>
      <c r="V1042" s="320" t="s">
        <v>35</v>
      </c>
      <c r="W1042" s="236" t="str">
        <f>IFERROR(IF(B1042="INSUMO",_xlfn.XLOOKUP(S1042,Insumos!A:A,Insumos!C:C),""),"Inserir Preço")</f>
        <v/>
      </c>
      <c r="X1042" s="235">
        <f t="shared" ca="1" si="720"/>
        <v>1</v>
      </c>
      <c r="Y1042" s="236">
        <f t="shared" ca="1" si="689"/>
        <v>1560.4485511253404</v>
      </c>
      <c r="Z1042" s="237">
        <f t="shared" ca="1" si="712"/>
        <v>1560.4485511253404</v>
      </c>
      <c r="AA1042" s="238"/>
      <c r="AB1042" s="233" t="str">
        <f>IF(B1042="insumo",_xlfn.XLOOKUP(S1042,Insumos!A:A,Insumos!D:D),"")</f>
        <v/>
      </c>
      <c r="AC1042" s="239">
        <f t="shared" ca="1" si="713"/>
        <v>2.2386057158751708E-4</v>
      </c>
      <c r="AE1042" s="240">
        <f ca="1">IFERROR(IF(OR(Z1042="",Z1042=0),"",IF(AF1042="","",IF(AF1042="R$/mês",Z1042/OBRA!$D$12,IF(AF1042="R$/m²",Z1042/OBRA!$D$10,IF(AF1042="R$/apto",Orçamento!Z1042/OBRA!$D$11,""))))),"")</f>
        <v>0.80301793978342262</v>
      </c>
      <c r="AF1042" s="241" t="s">
        <v>154</v>
      </c>
    </row>
    <row r="1043" spans="1:32" s="10" customFormat="1" ht="13.15" hidden="1" customHeight="1" outlineLevel="4" x14ac:dyDescent="0.2">
      <c r="A1043" s="227"/>
      <c r="B1043" s="228" t="s">
        <v>19</v>
      </c>
      <c r="C1043" s="229">
        <f t="shared" si="711"/>
        <v>1</v>
      </c>
      <c r="D1043" s="227" t="str">
        <f t="shared" si="705"/>
        <v/>
      </c>
      <c r="E1043" s="228" t="str">
        <f t="shared" ca="1" si="706"/>
        <v>07.004.004.001</v>
      </c>
      <c r="F1043" s="230">
        <f ca="1">IF($B1043="UNIDADE CONSTRUTIVA",OFFSET(F1043,-1,0)+1,LARGE(F$10:F1042,1))</f>
        <v>2</v>
      </c>
      <c r="G1043" s="228" t="str">
        <f t="shared" ca="1" si="714"/>
        <v xml:space="preserve">   GERENCIAMENTO EXECUTIVO</v>
      </c>
      <c r="H1043" s="230">
        <f t="shared" ca="1" si="707"/>
        <v>7</v>
      </c>
      <c r="I1043" s="228" t="str">
        <f t="shared" ca="1" si="715"/>
        <v xml:space="preserve">   SISTEMAS E INSTALAÇÕES ELÉTRICAS</v>
      </c>
      <c r="J1043" s="230">
        <f t="shared" ca="1" si="708"/>
        <v>4</v>
      </c>
      <c r="K1043" s="228" t="str">
        <f t="shared" ca="1" si="716"/>
        <v xml:space="preserve">   SISTEMAS E INSTALAÇÕES ELÉTRICAS - 8º PAVIMENTO - COBERTURA</v>
      </c>
      <c r="L1043" s="231">
        <f t="shared" ca="1" si="709"/>
        <v>4</v>
      </c>
      <c r="M1043" s="228" t="str">
        <f t="shared" ca="1" si="717"/>
        <v xml:space="preserve">   Pontos de Tomadas e Interruptores</v>
      </c>
      <c r="N1043" s="231">
        <f t="shared" ca="1" si="710"/>
        <v>1</v>
      </c>
      <c r="O1043" s="228" t="str">
        <f t="shared" ca="1" si="718"/>
        <v>Pontos de Tomadas e Interruptores - Cobertura</v>
      </c>
      <c r="P1043" s="232" t="str">
        <f>IF(S1043="","",IF(Orçamento!$B1043="INSUMO",S1043,""))</f>
        <v>PONTOS DE TOMADA E INTERRUPTORES - COBERTURA</v>
      </c>
      <c r="Q1043" s="244" t="str">
        <f t="shared" ref="Q1043:Q1049" si="721">IF(B1043="","",IF(B1043="Serviço",S1043,""))</f>
        <v/>
      </c>
      <c r="R1043" s="234">
        <f t="shared" ca="1" si="719"/>
        <v>1</v>
      </c>
      <c r="S1043" s="233" t="s">
        <v>976</v>
      </c>
      <c r="T1043" s="242" t="str">
        <f>_xlfn.XLOOKUP(S1043,Insumos!$A$3:$A$371,Insumos!$B$3:$B$371)</f>
        <v>VB</v>
      </c>
      <c r="U1043" s="235">
        <f ca="1">IF($B1043="insumo",R1043,"")</f>
        <v>1</v>
      </c>
      <c r="V1043" s="320">
        <v>1</v>
      </c>
      <c r="W1043" s="236">
        <f>IFERROR(IF(B1043="INSUMO",_xlfn.XLOOKUP(S1043,Insumos!A:A,Insumos!C:C),""),"Inserir Preço")</f>
        <v>1560.4485511253404</v>
      </c>
      <c r="X1043" s="235">
        <f t="shared" ca="1" si="720"/>
        <v>1</v>
      </c>
      <c r="Y1043" s="236">
        <f t="shared" si="689"/>
        <v>1560.4485511253404</v>
      </c>
      <c r="Z1043" s="237">
        <f t="shared" ca="1" si="712"/>
        <v>1560.4485511253404</v>
      </c>
      <c r="AA1043" s="238"/>
      <c r="AB1043" s="233" t="str">
        <f>IF(B1043="insumo",_xlfn.XLOOKUP(S1043,Insumos!A:A,Insumos!D:D),"")</f>
        <v>Lista de Elétrica</v>
      </c>
      <c r="AC1043" s="239">
        <f t="shared" ca="1" si="713"/>
        <v>2.2386057158751708E-4</v>
      </c>
      <c r="AE1043" s="240">
        <f ca="1">IFERROR(IF(OR(Z1043="",Z1043=0),"",IF(AF1043="","",IF(AF1043="R$/mês",Z1043/OBRA!$D$12,IF(AF1043="R$/m²",Z1043/OBRA!$D$10,IF(AF1043="R$/apto",Orçamento!Z1043/OBRA!$D$11,""))))),"")</f>
        <v>0.80301793978342262</v>
      </c>
      <c r="AF1043" s="241" t="s">
        <v>154</v>
      </c>
    </row>
    <row r="1044" spans="1:32" s="10" customFormat="1" ht="13.15" hidden="1" customHeight="1" outlineLevel="3" collapsed="1" x14ac:dyDescent="0.2">
      <c r="A1044" s="227"/>
      <c r="B1044" s="228" t="s">
        <v>3</v>
      </c>
      <c r="C1044" s="229" t="str">
        <f t="shared" si="711"/>
        <v/>
      </c>
      <c r="D1044" s="227" t="str">
        <f t="shared" ca="1" si="705"/>
        <v>07.004.005</v>
      </c>
      <c r="E1044" s="228" t="str">
        <f t="shared" ca="1" si="706"/>
        <v>07.004.004.001</v>
      </c>
      <c r="F1044" s="230">
        <f ca="1">IF($B1044="UNIDADE CONSTRUTIVA",OFFSET(F1044,-1,0)+1,LARGE(F$10:F1043,1))</f>
        <v>2</v>
      </c>
      <c r="G1044" s="228" t="str">
        <f t="shared" ca="1" si="714"/>
        <v xml:space="preserve">   GERENCIAMENTO EXECUTIVO</v>
      </c>
      <c r="H1044" s="230">
        <f t="shared" ca="1" si="707"/>
        <v>7</v>
      </c>
      <c r="I1044" s="228" t="str">
        <f t="shared" ca="1" si="715"/>
        <v xml:space="preserve">   SISTEMAS E INSTALAÇÕES ELÉTRICAS</v>
      </c>
      <c r="J1044" s="230">
        <f t="shared" ca="1" si="708"/>
        <v>4</v>
      </c>
      <c r="K1044" s="228" t="str">
        <f t="shared" ca="1" si="716"/>
        <v xml:space="preserve">   SISTEMAS E INSTALAÇÕES ELÉTRICAS - 8º PAVIMENTO - COBERTURA</v>
      </c>
      <c r="L1044" s="231">
        <f t="shared" ca="1" si="709"/>
        <v>5</v>
      </c>
      <c r="M1044" s="228" t="str">
        <f t="shared" ca="1" si="717"/>
        <v xml:space="preserve">   Luminárias - Lâmpadas e Acessórios</v>
      </c>
      <c r="N1044" s="231">
        <f t="shared" ca="1" si="710"/>
        <v>0</v>
      </c>
      <c r="O1044" s="228" t="str">
        <f t="shared" ca="1" si="718"/>
        <v>Pontos de Tomadas e Interruptores - Cobertura</v>
      </c>
      <c r="P1044" s="232" t="str">
        <f>IF(S1044="","",IF(Orçamento!$B1044="INSUMO",S1044,""))</f>
        <v/>
      </c>
      <c r="Q1044" s="244" t="str">
        <f t="shared" si="721"/>
        <v/>
      </c>
      <c r="R1044" s="234">
        <f t="shared" ca="1" si="719"/>
        <v>1</v>
      </c>
      <c r="S1044" s="233" t="s">
        <v>446</v>
      </c>
      <c r="T1044" s="242" t="s">
        <v>35</v>
      </c>
      <c r="U1044" s="235" t="str">
        <f>IF($B1044="insumo",R1044,"")</f>
        <v/>
      </c>
      <c r="V1044" s="320" t="s">
        <v>35</v>
      </c>
      <c r="W1044" s="236" t="str">
        <f>IFERROR(IF(B1044="INSUMO",_xlfn.XLOOKUP(S1044,Insumos!A:A,Insumos!C:C),""),"Inserir Preço")</f>
        <v/>
      </c>
      <c r="X1044" s="235" t="str">
        <f t="shared" ca="1" si="720"/>
        <v/>
      </c>
      <c r="Y1044" s="236" t="str">
        <f t="shared" si="689"/>
        <v/>
      </c>
      <c r="Z1044" s="237">
        <f t="shared" ca="1" si="712"/>
        <v>378.11066595146747</v>
      </c>
      <c r="AA1044" s="238"/>
      <c r="AB1044" s="233" t="str">
        <f>IF(B1044="insumo",_xlfn.XLOOKUP(S1044,Insumos!A:A,Insumos!D:D),"")</f>
        <v/>
      </c>
      <c r="AC1044" s="239">
        <f t="shared" ca="1" si="713"/>
        <v>5.4243422343011518E-5</v>
      </c>
      <c r="AE1044" s="240">
        <f ca="1">IFERROR(IF(OR(Z1044="",Z1044=0),"",IF(AF1044="","",IF(AF1044="R$/mês",Z1044/OBRA!$D$12,IF(AF1044="R$/m²",Z1044/OBRA!$D$10,IF(AF1044="R$/apto",Orçamento!Z1044/OBRA!$D$11,""))))),"")</f>
        <v>0.19457844205342006</v>
      </c>
      <c r="AF1044" s="241" t="s">
        <v>154</v>
      </c>
    </row>
    <row r="1045" spans="1:32" s="10" customFormat="1" ht="14.25" hidden="1" customHeight="1" outlineLevel="4" x14ac:dyDescent="0.2">
      <c r="A1045" s="227"/>
      <c r="B1045" s="228" t="s">
        <v>4</v>
      </c>
      <c r="C1045" s="229">
        <f t="shared" si="711"/>
        <v>1</v>
      </c>
      <c r="D1045" s="227" t="str">
        <f t="shared" ca="1" si="705"/>
        <v>07.004.005.001</v>
      </c>
      <c r="E1045" s="228" t="str">
        <f t="shared" ca="1" si="706"/>
        <v>07.004.005.001</v>
      </c>
      <c r="F1045" s="230">
        <f ca="1">IF($B1045="UNIDADE CONSTRUTIVA",OFFSET(F1045,-1,0)+1,LARGE(F$10:F1044,1))</f>
        <v>2</v>
      </c>
      <c r="G1045" s="228" t="str">
        <f t="shared" ca="1" si="714"/>
        <v xml:space="preserve">   GERENCIAMENTO EXECUTIVO</v>
      </c>
      <c r="H1045" s="230">
        <f t="shared" ca="1" si="707"/>
        <v>7</v>
      </c>
      <c r="I1045" s="228" t="str">
        <f t="shared" ca="1" si="715"/>
        <v xml:space="preserve">   SISTEMAS E INSTALAÇÕES ELÉTRICAS</v>
      </c>
      <c r="J1045" s="230">
        <f t="shared" ca="1" si="708"/>
        <v>4</v>
      </c>
      <c r="K1045" s="228" t="str">
        <f t="shared" ca="1" si="716"/>
        <v xml:space="preserve">   SISTEMAS E INSTALAÇÕES ELÉTRICAS - 8º PAVIMENTO - COBERTURA</v>
      </c>
      <c r="L1045" s="231">
        <f t="shared" ca="1" si="709"/>
        <v>5</v>
      </c>
      <c r="M1045" s="228" t="str">
        <f t="shared" ca="1" si="717"/>
        <v xml:space="preserve">   Luminárias - Lâmpadas e Acessórios</v>
      </c>
      <c r="N1045" s="231">
        <f t="shared" ca="1" si="710"/>
        <v>1</v>
      </c>
      <c r="O1045" s="228" t="str">
        <f t="shared" ca="1" si="718"/>
        <v>Luminárias e Acessorios - Cobertura</v>
      </c>
      <c r="P1045" s="232" t="str">
        <f>IF(S1045="","",IF(Orçamento!$B1045="INSUMO",S1045,""))</f>
        <v/>
      </c>
      <c r="Q1045" s="244" t="str">
        <f t="shared" si="721"/>
        <v>Luminárias e Acessorios - Cobertura</v>
      </c>
      <c r="R1045" s="234">
        <f t="shared" ca="1" si="719"/>
        <v>1</v>
      </c>
      <c r="S1045" s="233" t="s">
        <v>1000</v>
      </c>
      <c r="T1045" s="242" t="s">
        <v>170</v>
      </c>
      <c r="U1045" s="235">
        <v>1</v>
      </c>
      <c r="V1045" s="320" t="s">
        <v>35</v>
      </c>
      <c r="W1045" s="236" t="str">
        <f>IFERROR(IF(B1045="INSUMO",_xlfn.XLOOKUP(S1045,Insumos!A:A,Insumos!C:C),""),"Inserir Preço")</f>
        <v/>
      </c>
      <c r="X1045" s="235">
        <f t="shared" ca="1" si="720"/>
        <v>1</v>
      </c>
      <c r="Y1045" s="236">
        <f t="shared" ca="1" si="689"/>
        <v>378.11066595146747</v>
      </c>
      <c r="Z1045" s="237">
        <f t="shared" ca="1" si="712"/>
        <v>378.11066595146747</v>
      </c>
      <c r="AA1045" s="238"/>
      <c r="AB1045" s="233" t="str">
        <f>IF(B1045="insumo",_xlfn.XLOOKUP(S1045,Insumos!A:A,Insumos!D:D),"")</f>
        <v/>
      </c>
      <c r="AC1045" s="239">
        <f t="shared" ca="1" si="713"/>
        <v>5.4243422343011518E-5</v>
      </c>
      <c r="AE1045" s="240">
        <f ca="1">IFERROR(IF(OR(Z1045="",Z1045=0),"",IF(AF1045="","",IF(AF1045="R$/mês",Z1045/OBRA!$D$12,IF(AF1045="R$/m²",Z1045/OBRA!$D$10,IF(AF1045="R$/apto",Orçamento!Z1045/OBRA!$D$11,""))))),"")</f>
        <v>0.19457844205342006</v>
      </c>
      <c r="AF1045" s="241" t="s">
        <v>154</v>
      </c>
    </row>
    <row r="1046" spans="1:32" s="10" customFormat="1" ht="13.15" hidden="1" customHeight="1" outlineLevel="4" x14ac:dyDescent="0.2">
      <c r="A1046" s="227"/>
      <c r="B1046" s="228" t="s">
        <v>19</v>
      </c>
      <c r="C1046" s="229">
        <f t="shared" si="711"/>
        <v>1</v>
      </c>
      <c r="D1046" s="227" t="str">
        <f t="shared" si="705"/>
        <v/>
      </c>
      <c r="E1046" s="228" t="str">
        <f t="shared" ca="1" si="706"/>
        <v>07.004.005.001</v>
      </c>
      <c r="F1046" s="230">
        <f ca="1">IF($B1046="UNIDADE CONSTRUTIVA",OFFSET(F1046,-1,0)+1,LARGE(F$10:F1045,1))</f>
        <v>2</v>
      </c>
      <c r="G1046" s="228" t="str">
        <f t="shared" ca="1" si="714"/>
        <v xml:space="preserve">   GERENCIAMENTO EXECUTIVO</v>
      </c>
      <c r="H1046" s="230">
        <f t="shared" ca="1" si="707"/>
        <v>7</v>
      </c>
      <c r="I1046" s="228" t="str">
        <f t="shared" ca="1" si="715"/>
        <v xml:space="preserve">   SISTEMAS E INSTALAÇÕES ELÉTRICAS</v>
      </c>
      <c r="J1046" s="230">
        <f t="shared" ca="1" si="708"/>
        <v>4</v>
      </c>
      <c r="K1046" s="228" t="str">
        <f t="shared" ca="1" si="716"/>
        <v xml:space="preserve">   SISTEMAS E INSTALAÇÕES ELÉTRICAS - 8º PAVIMENTO - COBERTURA</v>
      </c>
      <c r="L1046" s="231">
        <f t="shared" ca="1" si="709"/>
        <v>5</v>
      </c>
      <c r="M1046" s="228" t="str">
        <f t="shared" ca="1" si="717"/>
        <v xml:space="preserve">   Luminárias - Lâmpadas e Acessórios</v>
      </c>
      <c r="N1046" s="231">
        <f t="shared" ca="1" si="710"/>
        <v>1</v>
      </c>
      <c r="O1046" s="228" t="str">
        <f t="shared" ca="1" si="718"/>
        <v>Luminárias e Acessorios - Cobertura</v>
      </c>
      <c r="P1046" s="232" t="str">
        <f>IF(S1046="","",IF(Orçamento!$B1046="INSUMO",S1046,""))</f>
        <v>LUMINÁRIAS - COBERTURA</v>
      </c>
      <c r="Q1046" s="244" t="str">
        <f t="shared" si="721"/>
        <v/>
      </c>
      <c r="R1046" s="234">
        <f t="shared" ca="1" si="719"/>
        <v>1</v>
      </c>
      <c r="S1046" s="233" t="s">
        <v>971</v>
      </c>
      <c r="T1046" s="242" t="str">
        <f>_xlfn.XLOOKUP(S1046,Insumos!$A$3:$A$371,Insumos!$B$3:$B$371)</f>
        <v>VB</v>
      </c>
      <c r="U1046" s="235">
        <f ca="1">IF($B1046="insumo",R1046,"")</f>
        <v>1</v>
      </c>
      <c r="V1046" s="320">
        <v>1</v>
      </c>
      <c r="W1046" s="236">
        <f>IFERROR(IF(B1046="INSUMO",_xlfn.XLOOKUP(S1046,Insumos!A:A,Insumos!C:C),""),"Inserir Preço")</f>
        <v>378.11066595146747</v>
      </c>
      <c r="X1046" s="235">
        <f t="shared" ca="1" si="720"/>
        <v>1</v>
      </c>
      <c r="Y1046" s="236">
        <f t="shared" si="689"/>
        <v>378.11066595146747</v>
      </c>
      <c r="Z1046" s="237">
        <f t="shared" ca="1" si="712"/>
        <v>378.11066595146747</v>
      </c>
      <c r="AA1046" s="238"/>
      <c r="AB1046" s="233" t="str">
        <f>IF(B1046="insumo",_xlfn.XLOOKUP(S1046,Insumos!A:A,Insumos!D:D),"")</f>
        <v>Lista de Elétrica</v>
      </c>
      <c r="AC1046" s="239">
        <f t="shared" ca="1" si="713"/>
        <v>5.4243422343011518E-5</v>
      </c>
      <c r="AE1046" s="240">
        <f ca="1">IFERROR(IF(OR(Z1046="",Z1046=0),"",IF(AF1046="","",IF(AF1046="R$/mês",Z1046/OBRA!$D$12,IF(AF1046="R$/m²",Z1046/OBRA!$D$10,IF(AF1046="R$/apto",Orçamento!Z1046/OBRA!$D$11,""))))),"")</f>
        <v>0.19457844205342006</v>
      </c>
      <c r="AF1046" s="241" t="s">
        <v>154</v>
      </c>
    </row>
    <row r="1047" spans="1:32" s="10" customFormat="1" ht="13.15" hidden="1" customHeight="1" outlineLevel="3" collapsed="1" x14ac:dyDescent="0.2">
      <c r="A1047" s="227"/>
      <c r="B1047" s="228" t="s">
        <v>3</v>
      </c>
      <c r="C1047" s="229" t="str">
        <f t="shared" si="711"/>
        <v/>
      </c>
      <c r="D1047" s="227" t="str">
        <f t="shared" ca="1" si="705"/>
        <v>07.004.006</v>
      </c>
      <c r="E1047" s="228" t="str">
        <f t="shared" ca="1" si="706"/>
        <v>07.004.005.001</v>
      </c>
      <c r="F1047" s="230">
        <f ca="1">IF($B1047="UNIDADE CONSTRUTIVA",OFFSET(F1047,-1,0)+1,LARGE(F$10:F1046,1))</f>
        <v>2</v>
      </c>
      <c r="G1047" s="228" t="str">
        <f t="shared" ca="1" si="714"/>
        <v xml:space="preserve">   GERENCIAMENTO EXECUTIVO</v>
      </c>
      <c r="H1047" s="230">
        <f t="shared" ca="1" si="707"/>
        <v>7</v>
      </c>
      <c r="I1047" s="228" t="str">
        <f t="shared" ca="1" si="715"/>
        <v xml:space="preserve">   SISTEMAS E INSTALAÇÕES ELÉTRICAS</v>
      </c>
      <c r="J1047" s="230">
        <f t="shared" ca="1" si="708"/>
        <v>4</v>
      </c>
      <c r="K1047" s="228" t="str">
        <f t="shared" ca="1" si="716"/>
        <v xml:space="preserve">   SISTEMAS E INSTALAÇÕES ELÉTRICAS - 8º PAVIMENTO - COBERTURA</v>
      </c>
      <c r="L1047" s="231">
        <f t="shared" ca="1" si="709"/>
        <v>6</v>
      </c>
      <c r="M1047" s="228" t="str">
        <f t="shared" ca="1" si="717"/>
        <v xml:space="preserve">   Mão de Obra</v>
      </c>
      <c r="N1047" s="231">
        <f t="shared" ca="1" si="710"/>
        <v>0</v>
      </c>
      <c r="O1047" s="228" t="str">
        <f t="shared" ca="1" si="718"/>
        <v>Luminárias e Acessorios - Cobertura</v>
      </c>
      <c r="P1047" s="232" t="str">
        <f>IF(S1047="","",IF(Orçamento!$B1047="INSUMO",S1047,""))</f>
        <v/>
      </c>
      <c r="Q1047" s="244" t="str">
        <f t="shared" si="721"/>
        <v/>
      </c>
      <c r="R1047" s="234">
        <f t="shared" ca="1" si="719"/>
        <v>1</v>
      </c>
      <c r="S1047" s="233" t="s">
        <v>438</v>
      </c>
      <c r="T1047" s="242" t="s">
        <v>35</v>
      </c>
      <c r="U1047" s="235" t="str">
        <f>IF($B1047="insumo",R1047,"")</f>
        <v/>
      </c>
      <c r="V1047" s="320" t="s">
        <v>35</v>
      </c>
      <c r="W1047" s="236" t="str">
        <f>IFERROR(IF(B1047="INSUMO",_xlfn.XLOOKUP(S1047,Insumos!A:A,Insumos!C:C),""),"Inserir Preço")</f>
        <v/>
      </c>
      <c r="X1047" s="235" t="str">
        <f t="shared" ca="1" si="720"/>
        <v/>
      </c>
      <c r="Y1047" s="236" t="str">
        <f t="shared" si="689"/>
        <v/>
      </c>
      <c r="Z1047" s="237">
        <f t="shared" ca="1" si="712"/>
        <v>8614.9605219151726</v>
      </c>
      <c r="AA1047" s="238"/>
      <c r="AB1047" s="233" t="str">
        <f>IF(B1047="insumo",_xlfn.XLOOKUP(S1047,Insumos!A:A,Insumos!D:D),"")</f>
        <v/>
      </c>
      <c r="AC1047" s="239">
        <f t="shared" ca="1" si="713"/>
        <v>1.2358946312257606E-3</v>
      </c>
      <c r="AE1047" s="240">
        <f ca="1">IFERROR(IF(OR(Z1047="",Z1047=0),"",IF(AF1047="","",IF(AF1047="R$/mês",Z1047/OBRA!$D$12,IF(AF1047="R$/m²",Z1047/OBRA!$D$10,IF(AF1047="R$/apto",Orçamento!Z1047/OBRA!$D$11,""))))),"")</f>
        <v>4.4333200505936885</v>
      </c>
      <c r="AF1047" s="241" t="s">
        <v>154</v>
      </c>
    </row>
    <row r="1048" spans="1:32" s="10" customFormat="1" ht="13.15" hidden="1" customHeight="1" outlineLevel="4" x14ac:dyDescent="0.2">
      <c r="A1048" s="227"/>
      <c r="B1048" s="228" t="s">
        <v>4</v>
      </c>
      <c r="C1048" s="229">
        <f t="shared" si="711"/>
        <v>5</v>
      </c>
      <c r="D1048" s="227" t="str">
        <f t="shared" ca="1" si="705"/>
        <v>07.004.006.001</v>
      </c>
      <c r="E1048" s="228" t="str">
        <f t="shared" ca="1" si="706"/>
        <v>07.004.006.001</v>
      </c>
      <c r="F1048" s="230">
        <f ca="1">IF($B1048="UNIDADE CONSTRUTIVA",OFFSET(F1048,-1,0)+1,LARGE(F$10:F1047,1))</f>
        <v>2</v>
      </c>
      <c r="G1048" s="228" t="str">
        <f t="shared" ca="1" si="714"/>
        <v xml:space="preserve">   GERENCIAMENTO EXECUTIVO</v>
      </c>
      <c r="H1048" s="230">
        <f t="shared" ca="1" si="707"/>
        <v>7</v>
      </c>
      <c r="I1048" s="228" t="str">
        <f t="shared" ca="1" si="715"/>
        <v xml:space="preserve">   SISTEMAS E INSTALAÇÕES ELÉTRICAS</v>
      </c>
      <c r="J1048" s="230">
        <f t="shared" ca="1" si="708"/>
        <v>4</v>
      </c>
      <c r="K1048" s="228" t="str">
        <f t="shared" ca="1" si="716"/>
        <v xml:space="preserve">   SISTEMAS E INSTALAÇÕES ELÉTRICAS - 8º PAVIMENTO - COBERTURA</v>
      </c>
      <c r="L1048" s="231">
        <f t="shared" ca="1" si="709"/>
        <v>6</v>
      </c>
      <c r="M1048" s="228" t="str">
        <f t="shared" ca="1" si="717"/>
        <v xml:space="preserve">   Mão de Obra</v>
      </c>
      <c r="N1048" s="231">
        <f t="shared" ca="1" si="710"/>
        <v>1</v>
      </c>
      <c r="O1048" s="228" t="str">
        <f t="shared" ca="1" si="718"/>
        <v>Mao de obra de instalacoes eletricas</v>
      </c>
      <c r="P1048" s="232" t="str">
        <f>IF(S1048="","",IF(Orçamento!$B1048="INSUMO",S1048,""))</f>
        <v/>
      </c>
      <c r="Q1048" s="244" t="str">
        <f t="shared" si="721"/>
        <v>Mao de obra de instalacoes eletricas</v>
      </c>
      <c r="R1048" s="234">
        <f t="shared" ca="1" si="719"/>
        <v>234.19450000000001</v>
      </c>
      <c r="S1048" s="233" t="s">
        <v>447</v>
      </c>
      <c r="T1048" s="242" t="s">
        <v>140</v>
      </c>
      <c r="U1048" s="235">
        <f ca="1">'Custos Serviços'!B22</f>
        <v>234.19450000000001</v>
      </c>
      <c r="V1048" s="320" t="s">
        <v>35</v>
      </c>
      <c r="W1048" s="236" t="str">
        <f>IFERROR(IF(B1048="INSUMO",_xlfn.XLOOKUP(S1048,Insumos!A:A,Insumos!C:C),""),"Inserir Preço")</f>
        <v/>
      </c>
      <c r="X1048" s="235">
        <f t="shared" ca="1" si="720"/>
        <v>234.19450000000001</v>
      </c>
      <c r="Y1048" s="236">
        <f t="shared" ca="1" si="689"/>
        <v>36.785494629101763</v>
      </c>
      <c r="Z1048" s="237">
        <f t="shared" ca="1" si="712"/>
        <v>8614.9605219151726</v>
      </c>
      <c r="AA1048" s="238"/>
      <c r="AB1048" s="233" t="str">
        <f>IF(B1048="insumo",_xlfn.XLOOKUP(S1048,Insumos!A:A,Insumos!D:D),"")</f>
        <v/>
      </c>
      <c r="AC1048" s="239">
        <f t="shared" ca="1" si="713"/>
        <v>1.2358946312257606E-3</v>
      </c>
      <c r="AE1048" s="240">
        <f ca="1">IFERROR(IF(OR(Z1048="",Z1048=0),"",IF(AF1048="","",IF(AF1048="R$/mês",Z1048/OBRA!$D$12,IF(AF1048="R$/m²",Z1048/OBRA!$D$10,IF(AF1048="R$/apto",Orçamento!Z1048/OBRA!$D$11,""))))),"")</f>
        <v>4.4333200505936885</v>
      </c>
      <c r="AF1048" s="241" t="s">
        <v>154</v>
      </c>
    </row>
    <row r="1049" spans="1:32" s="10" customFormat="1" ht="13.15" hidden="1" customHeight="1" outlineLevel="4" x14ac:dyDescent="0.2">
      <c r="A1049" s="227"/>
      <c r="B1049" s="228" t="s">
        <v>19</v>
      </c>
      <c r="C1049" s="229">
        <f t="shared" si="711"/>
        <v>5</v>
      </c>
      <c r="D1049" s="227" t="str">
        <f t="shared" si="705"/>
        <v/>
      </c>
      <c r="E1049" s="228" t="str">
        <f t="shared" ca="1" si="706"/>
        <v>07.004.006.001</v>
      </c>
      <c r="F1049" s="230">
        <f ca="1">IF($B1049="UNIDADE CONSTRUTIVA",OFFSET(F1049,-1,0)+1,LARGE(F$10:F1048,1))</f>
        <v>2</v>
      </c>
      <c r="G1049" s="228" t="str">
        <f t="shared" ca="1" si="714"/>
        <v xml:space="preserve">   GERENCIAMENTO EXECUTIVO</v>
      </c>
      <c r="H1049" s="230">
        <f t="shared" ca="1" si="707"/>
        <v>7</v>
      </c>
      <c r="I1049" s="228" t="str">
        <f t="shared" ca="1" si="715"/>
        <v xml:space="preserve">   SISTEMAS E INSTALAÇÕES ELÉTRICAS</v>
      </c>
      <c r="J1049" s="230">
        <f t="shared" ca="1" si="708"/>
        <v>4</v>
      </c>
      <c r="K1049" s="228" t="str">
        <f t="shared" ca="1" si="716"/>
        <v xml:space="preserve">   SISTEMAS E INSTALAÇÕES ELÉTRICAS - 8º PAVIMENTO - COBERTURA</v>
      </c>
      <c r="L1049" s="231">
        <f t="shared" ca="1" si="709"/>
        <v>6</v>
      </c>
      <c r="M1049" s="228" t="str">
        <f t="shared" ca="1" si="717"/>
        <v xml:space="preserve">   Mão de Obra</v>
      </c>
      <c r="N1049" s="231">
        <f t="shared" ca="1" si="710"/>
        <v>1</v>
      </c>
      <c r="O1049" s="228" t="str">
        <f t="shared" ca="1" si="718"/>
        <v>Mao de obra de instalacoes eletricas</v>
      </c>
      <c r="P1049" s="232" t="str">
        <f>IF(S1049="","",IF(Orçamento!$B1049="INSUMO",S1049,""))</f>
        <v>Mão de obra de instalações eletricas</v>
      </c>
      <c r="Q1049" s="244" t="str">
        <f t="shared" si="721"/>
        <v/>
      </c>
      <c r="R1049" s="234">
        <f t="shared" ca="1" si="719"/>
        <v>234.19450000000001</v>
      </c>
      <c r="S1049" s="233" t="s">
        <v>251</v>
      </c>
      <c r="T1049" s="242" t="str">
        <f>_xlfn.XLOOKUP(S1049,Insumos!$A$3:$A$371,Insumos!$B$3:$B$371)</f>
        <v>VB</v>
      </c>
      <c r="U1049" s="235">
        <f ca="1">IF($B1049="insumo",R1049,"")</f>
        <v>234.19450000000001</v>
      </c>
      <c r="V1049" s="320">
        <v>1</v>
      </c>
      <c r="W1049" s="236">
        <f ca="1">IFERROR(IF(B1049="INSUMO",_xlfn.XLOOKUP(S1049,Insumos!A:A,Insumos!C:C),""),"Inserir Preço")</f>
        <v>36.785494629101763</v>
      </c>
      <c r="X1049" s="235">
        <f t="shared" ca="1" si="720"/>
        <v>234.19450000000001</v>
      </c>
      <c r="Y1049" s="236">
        <f t="shared" ca="1" si="689"/>
        <v>36.785494629101763</v>
      </c>
      <c r="Z1049" s="237">
        <f t="shared" ca="1" si="712"/>
        <v>8614.9605219151726</v>
      </c>
      <c r="AA1049" s="238"/>
      <c r="AB1049" s="233" t="str">
        <f>IF(B1049="insumo",_xlfn.XLOOKUP(S1049,Insumos!A:A,Insumos!D:D),"")</f>
        <v>Aba Custo Serviços</v>
      </c>
      <c r="AC1049" s="239">
        <f t="shared" ca="1" si="713"/>
        <v>1.2358946312257606E-3</v>
      </c>
      <c r="AE1049" s="240">
        <f ca="1">IFERROR(IF(OR(Z1049="",Z1049=0),"",IF(AF1049="","",IF(AF1049="R$/mês",Z1049/OBRA!$D$12,IF(AF1049="R$/m²",Z1049/OBRA!$D$10,IF(AF1049="R$/apto",Orçamento!Z1049/OBRA!$D$11,""))))),"")</f>
        <v>4.4333200505936885</v>
      </c>
      <c r="AF1049" s="241" t="s">
        <v>154</v>
      </c>
    </row>
    <row r="1050" spans="1:32" s="10" customFormat="1" ht="13.15" customHeight="1" outlineLevel="2" collapsed="1" x14ac:dyDescent="0.2">
      <c r="A1050" s="227"/>
      <c r="B1050" s="228" t="s">
        <v>2</v>
      </c>
      <c r="C1050" s="229" t="str">
        <f t="shared" si="711"/>
        <v/>
      </c>
      <c r="D1050" s="227" t="str">
        <f t="shared" ca="1" si="705"/>
        <v>07.005</v>
      </c>
      <c r="E1050" s="228" t="str">
        <f t="shared" ca="1" si="706"/>
        <v>07.004.006.001</v>
      </c>
      <c r="F1050" s="230">
        <f ca="1">IF($B1050="UNIDADE CONSTRUTIVA",OFFSET(F1050,-1,0)+1,LARGE(F$10:F1049,1))</f>
        <v>2</v>
      </c>
      <c r="G1050" s="228" t="str">
        <f t="shared" ca="1" si="682"/>
        <v xml:space="preserve">   GERENCIAMENTO EXECUTIVO</v>
      </c>
      <c r="H1050" s="230">
        <f t="shared" ca="1" si="707"/>
        <v>7</v>
      </c>
      <c r="I1050" s="228" t="str">
        <f t="shared" ca="1" si="683"/>
        <v xml:space="preserve">   SISTEMAS E INSTALAÇÕES ELÉTRICAS</v>
      </c>
      <c r="J1050" s="230">
        <f t="shared" ca="1" si="708"/>
        <v>5</v>
      </c>
      <c r="K1050" s="228" t="str">
        <f t="shared" ca="1" si="684"/>
        <v xml:space="preserve">   SISTEMAS E INSTALAÇÕES ELÉTRICAS - BARRILETE / CAIXA DÁGUA / CASA DE MÁQUINAS</v>
      </c>
      <c r="L1050" s="231">
        <f t="shared" ca="1" si="709"/>
        <v>0</v>
      </c>
      <c r="M1050" s="228" t="str">
        <f t="shared" ca="1" si="685"/>
        <v xml:space="preserve">   Mão de Obra</v>
      </c>
      <c r="N1050" s="231">
        <f t="shared" ca="1" si="710"/>
        <v>1</v>
      </c>
      <c r="O1050" s="228" t="str">
        <f t="shared" ca="1" si="686"/>
        <v>Mao de obra de instalacoes eletricas</v>
      </c>
      <c r="P1050" s="232" t="str">
        <f>IF(S1050="","",IF(Orçamento!$B1050="INSUMO",S1050,""))</f>
        <v/>
      </c>
      <c r="Q1050" s="244" t="str">
        <f t="shared" si="690"/>
        <v/>
      </c>
      <c r="R1050" s="234">
        <f t="shared" ca="1" si="687"/>
        <v>234.19450000000001</v>
      </c>
      <c r="S1050" s="233" t="s">
        <v>660</v>
      </c>
      <c r="T1050" s="242" t="s">
        <v>35</v>
      </c>
      <c r="U1050" s="235" t="str">
        <f>IF($B1050="insumo",R1050,"")</f>
        <v/>
      </c>
      <c r="V1050" s="320" t="s">
        <v>35</v>
      </c>
      <c r="W1050" s="236" t="str">
        <f>IFERROR(IF(B1050="INSUMO",_xlfn.XLOOKUP(S1050,Insumos!A:A,Insumos!C:C),""),"Inserir Preço")</f>
        <v/>
      </c>
      <c r="X1050" s="235" t="str">
        <f t="shared" ca="1" si="688"/>
        <v/>
      </c>
      <c r="Y1050" s="236" t="str">
        <f t="shared" si="689"/>
        <v/>
      </c>
      <c r="Z1050" s="237">
        <f t="shared" ca="1" si="712"/>
        <v>27212.346472192759</v>
      </c>
      <c r="AA1050" s="238"/>
      <c r="AB1050" s="233" t="str">
        <f>IF(B1050="insumo",_xlfn.XLOOKUP(S1050,Insumos!A:A,Insumos!D:D),"")</f>
        <v/>
      </c>
      <c r="AC1050" s="239">
        <f t="shared" ca="1" si="713"/>
        <v>3.9038592019643675E-3</v>
      </c>
      <c r="AE1050" s="240">
        <f ca="1">IFERROR(IF(OR(Z1050="",Z1050=0),"",IF(AF1050="","",IF(AF1050="R$/mês",Z1050/OBRA!$D$12,IF(AF1050="R$/m²",Z1050/OBRA!$D$10,IF(AF1050="R$/apto",Orçamento!Z1050/OBRA!$D$11,""))))),"")</f>
        <v>14.003667333353622</v>
      </c>
      <c r="AF1050" s="241" t="s">
        <v>154</v>
      </c>
    </row>
    <row r="1051" spans="1:32" s="10" customFormat="1" ht="13.15" hidden="1" customHeight="1" outlineLevel="3" collapsed="1" x14ac:dyDescent="0.2">
      <c r="A1051" s="227"/>
      <c r="B1051" s="228" t="s">
        <v>3</v>
      </c>
      <c r="C1051" s="229" t="str">
        <f t="shared" si="711"/>
        <v/>
      </c>
      <c r="D1051" s="227" t="str">
        <f t="shared" ca="1" si="705"/>
        <v>07.005.001</v>
      </c>
      <c r="E1051" s="228" t="str">
        <f t="shared" ca="1" si="706"/>
        <v>07.004.006.001</v>
      </c>
      <c r="F1051" s="230">
        <f ca="1">IF($B1051="UNIDADE CONSTRUTIVA",OFFSET(F1051,-1,0)+1,LARGE(F$10:F1050,1))</f>
        <v>2</v>
      </c>
      <c r="G1051" s="228" t="str">
        <f t="shared" ca="1" si="682"/>
        <v xml:space="preserve">   GERENCIAMENTO EXECUTIVO</v>
      </c>
      <c r="H1051" s="230">
        <f t="shared" ca="1" si="707"/>
        <v>7</v>
      </c>
      <c r="I1051" s="228" t="str">
        <f t="shared" ca="1" si="683"/>
        <v xml:space="preserve">   SISTEMAS E INSTALAÇÕES ELÉTRICAS</v>
      </c>
      <c r="J1051" s="230">
        <f t="shared" ca="1" si="708"/>
        <v>5</v>
      </c>
      <c r="K1051" s="228" t="str">
        <f t="shared" ca="1" si="684"/>
        <v xml:space="preserve">   SISTEMAS E INSTALAÇÕES ELÉTRICAS - BARRILETE / CAIXA DÁGUA / CASA DE MÁQUINAS</v>
      </c>
      <c r="L1051" s="231">
        <f t="shared" ca="1" si="709"/>
        <v>1</v>
      </c>
      <c r="M1051" s="228" t="str">
        <f t="shared" ca="1" si="685"/>
        <v xml:space="preserve">   Quadros Elétricos e Disjuntores</v>
      </c>
      <c r="N1051" s="231">
        <f t="shared" ca="1" si="710"/>
        <v>0</v>
      </c>
      <c r="O1051" s="228" t="str">
        <f t="shared" ca="1" si="686"/>
        <v>Mao de obra de instalacoes eletricas</v>
      </c>
      <c r="P1051" s="232" t="str">
        <f>IF(S1051="","",IF(Orçamento!$B1051="INSUMO",S1051,""))</f>
        <v/>
      </c>
      <c r="Q1051" s="244" t="str">
        <f t="shared" si="690"/>
        <v/>
      </c>
      <c r="R1051" s="234">
        <f t="shared" ca="1" si="687"/>
        <v>234.19450000000001</v>
      </c>
      <c r="S1051" s="233" t="s">
        <v>442</v>
      </c>
      <c r="T1051" s="242" t="s">
        <v>35</v>
      </c>
      <c r="U1051" s="235" t="str">
        <f>IF($B1051="insumo",R1051,"")</f>
        <v/>
      </c>
      <c r="V1051" s="320" t="s">
        <v>35</v>
      </c>
      <c r="W1051" s="236" t="str">
        <f>IFERROR(IF(B1051="INSUMO",_xlfn.XLOOKUP(S1051,Insumos!A:A,Insumos!C:C),""),"Inserir Preço")</f>
        <v/>
      </c>
      <c r="X1051" s="235" t="str">
        <f t="shared" ca="1" si="688"/>
        <v/>
      </c>
      <c r="Y1051" s="236" t="str">
        <f t="shared" si="689"/>
        <v/>
      </c>
      <c r="Z1051" s="237">
        <f t="shared" ca="1" si="712"/>
        <v>2584.1691751591188</v>
      </c>
      <c r="AA1051" s="238"/>
      <c r="AB1051" s="233" t="str">
        <f>IF(B1051="insumo",_xlfn.XLOOKUP(S1051,Insumos!A:A,Insumos!D:D),"")</f>
        <v/>
      </c>
      <c r="AC1051" s="239">
        <f t="shared" ca="1" si="713"/>
        <v>3.7072262857546553E-4</v>
      </c>
      <c r="AE1051" s="240">
        <f ca="1">IFERROR(IF(OR(Z1051="",Z1051=0),"",IF(AF1051="","",IF(AF1051="R$/mês",Z1051/OBRA!$D$12,IF(AF1051="R$/m²",Z1051/OBRA!$D$10,IF(AF1051="R$/apto",Orçamento!Z1051/OBRA!$D$11,""))))),"")</f>
        <v>1.3298318650695589</v>
      </c>
      <c r="AF1051" s="241" t="s">
        <v>154</v>
      </c>
    </row>
    <row r="1052" spans="1:32" s="10" customFormat="1" ht="13.15" hidden="1" customHeight="1" outlineLevel="4" x14ac:dyDescent="0.2">
      <c r="A1052" s="227"/>
      <c r="B1052" s="228" t="s">
        <v>4</v>
      </c>
      <c r="C1052" s="229">
        <f t="shared" si="711"/>
        <v>1</v>
      </c>
      <c r="D1052" s="227" t="str">
        <f t="shared" ca="1" si="705"/>
        <v>07.005.001.001</v>
      </c>
      <c r="E1052" s="228" t="str">
        <f t="shared" ca="1" si="706"/>
        <v>07.005.001.001</v>
      </c>
      <c r="F1052" s="230">
        <f ca="1">IF($B1052="UNIDADE CONSTRUTIVA",OFFSET(F1052,-1,0)+1,LARGE(F$10:F1051,1))</f>
        <v>2</v>
      </c>
      <c r="G1052" s="228" t="str">
        <f t="shared" ca="1" si="682"/>
        <v xml:space="preserve">   GERENCIAMENTO EXECUTIVO</v>
      </c>
      <c r="H1052" s="230">
        <f t="shared" ca="1" si="707"/>
        <v>7</v>
      </c>
      <c r="I1052" s="228" t="str">
        <f t="shared" ca="1" si="683"/>
        <v xml:space="preserve">   SISTEMAS E INSTALAÇÕES ELÉTRICAS</v>
      </c>
      <c r="J1052" s="230">
        <f t="shared" ca="1" si="708"/>
        <v>5</v>
      </c>
      <c r="K1052" s="228" t="str">
        <f t="shared" ca="1" si="684"/>
        <v xml:space="preserve">   SISTEMAS E INSTALAÇÕES ELÉTRICAS - BARRILETE / CAIXA DÁGUA / CASA DE MÁQUINAS</v>
      </c>
      <c r="L1052" s="231">
        <f t="shared" ca="1" si="709"/>
        <v>1</v>
      </c>
      <c r="M1052" s="228" t="str">
        <f t="shared" ca="1" si="685"/>
        <v xml:space="preserve">   Quadros Elétricos e Disjuntores</v>
      </c>
      <c r="N1052" s="231">
        <f t="shared" ca="1" si="710"/>
        <v>1</v>
      </c>
      <c r="O1052" s="228" t="str">
        <f t="shared" ca="1" si="686"/>
        <v>Quadros e Disjuntores - Pavimento Técnico</v>
      </c>
      <c r="P1052" s="232" t="str">
        <f>IF(S1052="","",IF(Orçamento!$B1052="INSUMO",S1052,""))</f>
        <v/>
      </c>
      <c r="Q1052" s="244" t="str">
        <f t="shared" si="690"/>
        <v>Quadros e Disjuntores - Pavimento Técnico</v>
      </c>
      <c r="R1052" s="234">
        <f t="shared" ca="1" si="687"/>
        <v>1</v>
      </c>
      <c r="S1052" s="233" t="s">
        <v>1001</v>
      </c>
      <c r="T1052" s="242" t="s">
        <v>170</v>
      </c>
      <c r="U1052" s="235">
        <v>1</v>
      </c>
      <c r="V1052" s="320" t="s">
        <v>35</v>
      </c>
      <c r="W1052" s="236" t="str">
        <f>IFERROR(IF(B1052="INSUMO",_xlfn.XLOOKUP(S1052,Insumos!A:A,Insumos!C:C),""),"Inserir Preço")</f>
        <v/>
      </c>
      <c r="X1052" s="235">
        <f t="shared" ca="1" si="688"/>
        <v>1</v>
      </c>
      <c r="Y1052" s="236">
        <f t="shared" ca="1" si="689"/>
        <v>2584.1691751591188</v>
      </c>
      <c r="Z1052" s="237">
        <f t="shared" ca="1" si="712"/>
        <v>2584.1691751591188</v>
      </c>
      <c r="AA1052" s="238"/>
      <c r="AB1052" s="233" t="str">
        <f>IF(B1052="insumo",_xlfn.XLOOKUP(S1052,Insumos!A:A,Insumos!D:D),"")</f>
        <v/>
      </c>
      <c r="AC1052" s="239">
        <f t="shared" ca="1" si="713"/>
        <v>3.7072262857546553E-4</v>
      </c>
      <c r="AE1052" s="240">
        <f ca="1">IFERROR(IF(OR(Z1052="",Z1052=0),"",IF(AF1052="","",IF(AF1052="R$/mês",Z1052/OBRA!$D$12,IF(AF1052="R$/m²",Z1052/OBRA!$D$10,IF(AF1052="R$/apto",Orçamento!Z1052/OBRA!$D$11,""))))),"")</f>
        <v>1.3298318650695589</v>
      </c>
      <c r="AF1052" s="241" t="s">
        <v>154</v>
      </c>
    </row>
    <row r="1053" spans="1:32" s="10" customFormat="1" ht="13.15" hidden="1" customHeight="1" outlineLevel="4" x14ac:dyDescent="0.2">
      <c r="A1053" s="227"/>
      <c r="B1053" s="228" t="s">
        <v>19</v>
      </c>
      <c r="C1053" s="229">
        <f t="shared" si="711"/>
        <v>1</v>
      </c>
      <c r="D1053" s="227" t="str">
        <f t="shared" si="705"/>
        <v/>
      </c>
      <c r="E1053" s="228" t="str">
        <f t="shared" ca="1" si="706"/>
        <v>07.005.001.001</v>
      </c>
      <c r="F1053" s="230">
        <f ca="1">IF($B1053="UNIDADE CONSTRUTIVA",OFFSET(F1053,-1,0)+1,LARGE(F$10:F1052,1))</f>
        <v>2</v>
      </c>
      <c r="G1053" s="228" t="str">
        <f t="shared" ca="1" si="682"/>
        <v xml:space="preserve">   GERENCIAMENTO EXECUTIVO</v>
      </c>
      <c r="H1053" s="230">
        <f t="shared" ca="1" si="707"/>
        <v>7</v>
      </c>
      <c r="I1053" s="228" t="str">
        <f t="shared" ca="1" si="683"/>
        <v xml:space="preserve">   SISTEMAS E INSTALAÇÕES ELÉTRICAS</v>
      </c>
      <c r="J1053" s="230">
        <f t="shared" ca="1" si="708"/>
        <v>5</v>
      </c>
      <c r="K1053" s="228" t="str">
        <f t="shared" ca="1" si="684"/>
        <v xml:space="preserve">   SISTEMAS E INSTALAÇÕES ELÉTRICAS - BARRILETE / CAIXA DÁGUA / CASA DE MÁQUINAS</v>
      </c>
      <c r="L1053" s="231">
        <f t="shared" ca="1" si="709"/>
        <v>1</v>
      </c>
      <c r="M1053" s="228" t="str">
        <f t="shared" ca="1" si="685"/>
        <v xml:space="preserve">   Quadros Elétricos e Disjuntores</v>
      </c>
      <c r="N1053" s="231">
        <f t="shared" ca="1" si="710"/>
        <v>1</v>
      </c>
      <c r="O1053" s="228" t="str">
        <f t="shared" ca="1" si="686"/>
        <v>Quadros e Disjuntores - Pavimento Técnico</v>
      </c>
      <c r="P1053" s="232" t="str">
        <f>IF(S1053="","",IF(Orçamento!$B1053="INSUMO",S1053,""))</f>
        <v>QUADROS E DISJUNTORES - PAVIMENTO TECNICO</v>
      </c>
      <c r="Q1053" s="244" t="str">
        <f t="shared" si="690"/>
        <v/>
      </c>
      <c r="R1053" s="234">
        <f t="shared" ca="1" si="687"/>
        <v>1</v>
      </c>
      <c r="S1053" s="233" t="s">
        <v>957</v>
      </c>
      <c r="T1053" s="242" t="str">
        <f>_xlfn.XLOOKUP(S1053,Insumos!$A$3:$A$371,Insumos!$B$3:$B$371)</f>
        <v>VB</v>
      </c>
      <c r="U1053" s="235">
        <f ca="1">IF($B1053="insumo",R1053,"")</f>
        <v>1</v>
      </c>
      <c r="V1053" s="320">
        <v>1</v>
      </c>
      <c r="W1053" s="236">
        <f>IFERROR(IF(B1053="INSUMO",_xlfn.XLOOKUP(S1053,Insumos!A:A,Insumos!C:C),""),"Inserir Preço")</f>
        <v>2584.1691751591188</v>
      </c>
      <c r="X1053" s="235">
        <f t="shared" ca="1" si="688"/>
        <v>1</v>
      </c>
      <c r="Y1053" s="236">
        <f t="shared" si="689"/>
        <v>2584.1691751591188</v>
      </c>
      <c r="Z1053" s="237">
        <f t="shared" ca="1" si="712"/>
        <v>2584.1691751591188</v>
      </c>
      <c r="AA1053" s="238"/>
      <c r="AB1053" s="233" t="str">
        <f>IF(B1053="insumo",_xlfn.XLOOKUP(S1053,Insumos!A:A,Insumos!D:D),"")</f>
        <v>Lista de Elétrica</v>
      </c>
      <c r="AC1053" s="239">
        <f t="shared" ca="1" si="713"/>
        <v>3.7072262857546553E-4</v>
      </c>
      <c r="AE1053" s="240">
        <f ca="1">IFERROR(IF(OR(Z1053="",Z1053=0),"",IF(AF1053="","",IF(AF1053="R$/mês",Z1053/OBRA!$D$12,IF(AF1053="R$/m²",Z1053/OBRA!$D$10,IF(AF1053="R$/apto",Orçamento!Z1053/OBRA!$D$11,""))))),"")</f>
        <v>1.3298318650695589</v>
      </c>
      <c r="AF1053" s="241" t="s">
        <v>154</v>
      </c>
    </row>
    <row r="1054" spans="1:32" s="10" customFormat="1" ht="13.15" hidden="1" customHeight="1" outlineLevel="3" collapsed="1" x14ac:dyDescent="0.2">
      <c r="A1054" s="227"/>
      <c r="B1054" s="228" t="s">
        <v>3</v>
      </c>
      <c r="C1054" s="229" t="str">
        <f t="shared" si="711"/>
        <v/>
      </c>
      <c r="D1054" s="227" t="str">
        <f t="shared" ca="1" si="705"/>
        <v>07.005.002</v>
      </c>
      <c r="E1054" s="228" t="str">
        <f t="shared" ca="1" si="706"/>
        <v>07.005.001.001</v>
      </c>
      <c r="F1054" s="230">
        <f ca="1">IF($B1054="UNIDADE CONSTRUTIVA",OFFSET(F1054,-1,0)+1,LARGE(F$10:F1053,1))</f>
        <v>2</v>
      </c>
      <c r="G1054" s="228" t="str">
        <f t="shared" ca="1" si="682"/>
        <v xml:space="preserve">   GERENCIAMENTO EXECUTIVO</v>
      </c>
      <c r="H1054" s="230">
        <f t="shared" ca="1" si="707"/>
        <v>7</v>
      </c>
      <c r="I1054" s="228" t="str">
        <f t="shared" ca="1" si="683"/>
        <v xml:space="preserve">   SISTEMAS E INSTALAÇÕES ELÉTRICAS</v>
      </c>
      <c r="J1054" s="230">
        <f t="shared" ca="1" si="708"/>
        <v>5</v>
      </c>
      <c r="K1054" s="228" t="str">
        <f t="shared" ca="1" si="684"/>
        <v xml:space="preserve">   SISTEMAS E INSTALAÇÕES ELÉTRICAS - BARRILETE / CAIXA DÁGUA / CASA DE MÁQUINAS</v>
      </c>
      <c r="L1054" s="231">
        <f t="shared" ca="1" si="709"/>
        <v>2</v>
      </c>
      <c r="M1054" s="228" t="str">
        <f t="shared" ca="1" si="685"/>
        <v xml:space="preserve">   Eletrodutos e Eletrocalhas</v>
      </c>
      <c r="N1054" s="231">
        <f t="shared" ca="1" si="710"/>
        <v>0</v>
      </c>
      <c r="O1054" s="228" t="str">
        <f t="shared" ca="1" si="686"/>
        <v>Quadros e Disjuntores - Pavimento Técnico</v>
      </c>
      <c r="P1054" s="232" t="str">
        <f>IF(S1054="","",IF(Orçamento!$B1054="INSUMO",S1054,""))</f>
        <v/>
      </c>
      <c r="Q1054" s="244" t="str">
        <f t="shared" si="690"/>
        <v/>
      </c>
      <c r="R1054" s="234">
        <f t="shared" ca="1" si="687"/>
        <v>1</v>
      </c>
      <c r="S1054" s="233" t="s">
        <v>443</v>
      </c>
      <c r="T1054" s="242" t="s">
        <v>35</v>
      </c>
      <c r="U1054" s="235" t="str">
        <f>IF($B1054="insumo",R1054,"")</f>
        <v/>
      </c>
      <c r="V1054" s="320" t="s">
        <v>35</v>
      </c>
      <c r="W1054" s="236" t="str">
        <f>IFERROR(IF(B1054="INSUMO",_xlfn.XLOOKUP(S1054,Insumos!A:A,Insumos!C:C),""),"Inserir Preço")</f>
        <v/>
      </c>
      <c r="X1054" s="235" t="str">
        <f t="shared" ca="1" si="688"/>
        <v/>
      </c>
      <c r="Y1054" s="236" t="str">
        <f t="shared" si="689"/>
        <v/>
      </c>
      <c r="Z1054" s="237">
        <f t="shared" ca="1" si="712"/>
        <v>3985.7708942187569</v>
      </c>
      <c r="AA1054" s="238"/>
      <c r="AB1054" s="233" t="str">
        <f>IF(B1054="insumo",_xlfn.XLOOKUP(S1054,Insumos!A:A,Insumos!D:D),"")</f>
        <v/>
      </c>
      <c r="AC1054" s="239">
        <f t="shared" ca="1" si="713"/>
        <v>5.7179517386410199E-4</v>
      </c>
      <c r="AE1054" s="240">
        <f ca="1">IFERROR(IF(OR(Z1054="",Z1054=0),"",IF(AF1054="","",IF(AF1054="R$/mês",Z1054/OBRA!$D$12,IF(AF1054="R$/m²",Z1054/OBRA!$D$10,IF(AF1054="R$/apto",Orçamento!Z1054/OBRA!$D$11,""))))),"")</f>
        <v>2.0511060935755197</v>
      </c>
      <c r="AF1054" s="241" t="s">
        <v>154</v>
      </c>
    </row>
    <row r="1055" spans="1:32" s="10" customFormat="1" ht="13.15" hidden="1" customHeight="1" outlineLevel="4" x14ac:dyDescent="0.2">
      <c r="A1055" s="227"/>
      <c r="B1055" s="228" t="s">
        <v>4</v>
      </c>
      <c r="C1055" s="229">
        <f t="shared" si="711"/>
        <v>1</v>
      </c>
      <c r="D1055" s="227" t="str">
        <f t="shared" ca="1" si="705"/>
        <v>07.005.002.001</v>
      </c>
      <c r="E1055" s="228" t="str">
        <f t="shared" ca="1" si="706"/>
        <v>07.005.002.001</v>
      </c>
      <c r="F1055" s="230">
        <f ca="1">IF($B1055="UNIDADE CONSTRUTIVA",OFFSET(F1055,-1,0)+1,LARGE(F$10:F1054,1))</f>
        <v>2</v>
      </c>
      <c r="G1055" s="228" t="str">
        <f t="shared" ca="1" si="682"/>
        <v xml:space="preserve">   GERENCIAMENTO EXECUTIVO</v>
      </c>
      <c r="H1055" s="230">
        <f t="shared" ca="1" si="707"/>
        <v>7</v>
      </c>
      <c r="I1055" s="228" t="str">
        <f t="shared" ca="1" si="683"/>
        <v xml:space="preserve">   SISTEMAS E INSTALAÇÕES ELÉTRICAS</v>
      </c>
      <c r="J1055" s="230">
        <f t="shared" ca="1" si="708"/>
        <v>5</v>
      </c>
      <c r="K1055" s="228" t="str">
        <f t="shared" ca="1" si="684"/>
        <v xml:space="preserve">   SISTEMAS E INSTALAÇÕES ELÉTRICAS - BARRILETE / CAIXA DÁGUA / CASA DE MÁQUINAS</v>
      </c>
      <c r="L1055" s="231">
        <f t="shared" ca="1" si="709"/>
        <v>2</v>
      </c>
      <c r="M1055" s="228" t="str">
        <f t="shared" ca="1" si="685"/>
        <v xml:space="preserve">   Eletrodutos e Eletrocalhas</v>
      </c>
      <c r="N1055" s="231">
        <f t="shared" ca="1" si="710"/>
        <v>1</v>
      </c>
      <c r="O1055" s="228" t="str">
        <f t="shared" ca="1" si="686"/>
        <v>Eletrodutos e Eletrocalhas - Pavimento Técnico</v>
      </c>
      <c r="P1055" s="232" t="str">
        <f>IF(S1055="","",IF(Orçamento!$B1055="INSUMO",S1055,""))</f>
        <v/>
      </c>
      <c r="Q1055" s="244" t="str">
        <f t="shared" si="690"/>
        <v>Eletrodutos e Eletrocalhas - Pavimento Técnico</v>
      </c>
      <c r="R1055" s="234">
        <f t="shared" ca="1" si="687"/>
        <v>1</v>
      </c>
      <c r="S1055" s="233" t="s">
        <v>1002</v>
      </c>
      <c r="T1055" s="242" t="s">
        <v>170</v>
      </c>
      <c r="U1055" s="235">
        <v>1</v>
      </c>
      <c r="V1055" s="320" t="s">
        <v>35</v>
      </c>
      <c r="W1055" s="236" t="str">
        <f>IFERROR(IF(B1055="INSUMO",_xlfn.XLOOKUP(S1055,Insumos!A:A,Insumos!C:C),""),"Inserir Preço")</f>
        <v/>
      </c>
      <c r="X1055" s="235">
        <f t="shared" ca="1" si="688"/>
        <v>1</v>
      </c>
      <c r="Y1055" s="236">
        <f t="shared" ca="1" si="689"/>
        <v>3985.7708942187569</v>
      </c>
      <c r="Z1055" s="237">
        <f t="shared" ca="1" si="712"/>
        <v>3985.7708942187569</v>
      </c>
      <c r="AA1055" s="238"/>
      <c r="AB1055" s="233" t="str">
        <f>IF(B1055="insumo",_xlfn.XLOOKUP(S1055,Insumos!A:A,Insumos!D:D),"")</f>
        <v/>
      </c>
      <c r="AC1055" s="239">
        <f t="shared" ca="1" si="713"/>
        <v>5.7179517386410199E-4</v>
      </c>
      <c r="AE1055" s="240">
        <f ca="1">IFERROR(IF(OR(Z1055="",Z1055=0),"",IF(AF1055="","",IF(AF1055="R$/mês",Z1055/OBRA!$D$12,IF(AF1055="R$/m²",Z1055/OBRA!$D$10,IF(AF1055="R$/apto",Orçamento!Z1055/OBRA!$D$11,""))))),"")</f>
        <v>2.0511060935755197</v>
      </c>
      <c r="AF1055" s="241" t="s">
        <v>154</v>
      </c>
    </row>
    <row r="1056" spans="1:32" s="10" customFormat="1" ht="13.15" hidden="1" customHeight="1" outlineLevel="4" x14ac:dyDescent="0.2">
      <c r="A1056" s="227"/>
      <c r="B1056" s="228" t="s">
        <v>19</v>
      </c>
      <c r="C1056" s="229">
        <f t="shared" si="711"/>
        <v>1</v>
      </c>
      <c r="D1056" s="227" t="str">
        <f t="shared" si="705"/>
        <v/>
      </c>
      <c r="E1056" s="228" t="str">
        <f t="shared" ca="1" si="706"/>
        <v>07.005.002.001</v>
      </c>
      <c r="F1056" s="230">
        <f ca="1">IF($B1056="UNIDADE CONSTRUTIVA",OFFSET(F1056,-1,0)+1,LARGE(F$10:F1055,1))</f>
        <v>2</v>
      </c>
      <c r="G1056" s="228" t="str">
        <f t="shared" ca="1" si="682"/>
        <v xml:space="preserve">   GERENCIAMENTO EXECUTIVO</v>
      </c>
      <c r="H1056" s="230">
        <f t="shared" ca="1" si="707"/>
        <v>7</v>
      </c>
      <c r="I1056" s="228" t="str">
        <f t="shared" ca="1" si="683"/>
        <v xml:space="preserve">   SISTEMAS E INSTALAÇÕES ELÉTRICAS</v>
      </c>
      <c r="J1056" s="230">
        <f t="shared" ca="1" si="708"/>
        <v>5</v>
      </c>
      <c r="K1056" s="228" t="str">
        <f t="shared" ca="1" si="684"/>
        <v xml:space="preserve">   SISTEMAS E INSTALAÇÕES ELÉTRICAS - BARRILETE / CAIXA DÁGUA / CASA DE MÁQUINAS</v>
      </c>
      <c r="L1056" s="231">
        <f t="shared" ca="1" si="709"/>
        <v>2</v>
      </c>
      <c r="M1056" s="228" t="str">
        <f t="shared" ca="1" si="685"/>
        <v xml:space="preserve">   Eletrodutos e Eletrocalhas</v>
      </c>
      <c r="N1056" s="231">
        <f t="shared" ca="1" si="710"/>
        <v>1</v>
      </c>
      <c r="O1056" s="228" t="str">
        <f t="shared" ca="1" si="686"/>
        <v>Eletrodutos e Eletrocalhas - Pavimento Técnico</v>
      </c>
      <c r="P1056" s="232" t="str">
        <f>IF(S1056="","",IF(Orçamento!$B1056="INSUMO",S1056,""))</f>
        <v>ELETRODUTOS, CAIXAS E ELETROCALHAS - PAVIMENTO TECNICO</v>
      </c>
      <c r="Q1056" s="244" t="str">
        <f t="shared" si="690"/>
        <v/>
      </c>
      <c r="R1056" s="234">
        <f t="shared" ca="1" si="687"/>
        <v>1</v>
      </c>
      <c r="S1056" s="233" t="s">
        <v>962</v>
      </c>
      <c r="T1056" s="242" t="str">
        <f>_xlfn.XLOOKUP(S1056,Insumos!$A$3:$A$371,Insumos!$B$3:$B$371)</f>
        <v>VB</v>
      </c>
      <c r="U1056" s="235">
        <f ca="1">IF($B1056="insumo",R1056,"")</f>
        <v>1</v>
      </c>
      <c r="V1056" s="320">
        <v>1</v>
      </c>
      <c r="W1056" s="236">
        <f>IFERROR(IF(B1056="INSUMO",_xlfn.XLOOKUP(S1056,Insumos!A:A,Insumos!C:C),""),"Inserir Preço")</f>
        <v>3985.7708942187569</v>
      </c>
      <c r="X1056" s="235">
        <f t="shared" ca="1" si="688"/>
        <v>1</v>
      </c>
      <c r="Y1056" s="236">
        <f t="shared" si="689"/>
        <v>3985.7708942187569</v>
      </c>
      <c r="Z1056" s="237">
        <f t="shared" ca="1" si="712"/>
        <v>3985.7708942187569</v>
      </c>
      <c r="AA1056" s="238"/>
      <c r="AB1056" s="233" t="str">
        <f>IF(B1056="insumo",_xlfn.XLOOKUP(S1056,Insumos!A:A,Insumos!D:D),"")</f>
        <v>Lista de Elétrica</v>
      </c>
      <c r="AC1056" s="239">
        <f t="shared" ca="1" si="713"/>
        <v>5.7179517386410199E-4</v>
      </c>
      <c r="AE1056" s="240">
        <f ca="1">IFERROR(IF(OR(Z1056="",Z1056=0),"",IF(AF1056="","",IF(AF1056="R$/mês",Z1056/OBRA!$D$12,IF(AF1056="R$/m²",Z1056/OBRA!$D$10,IF(AF1056="R$/apto",Orçamento!Z1056/OBRA!$D$11,""))))),"")</f>
        <v>2.0511060935755197</v>
      </c>
      <c r="AF1056" s="241" t="s">
        <v>154</v>
      </c>
    </row>
    <row r="1057" spans="1:32" s="10" customFormat="1" ht="13.15" hidden="1" customHeight="1" outlineLevel="3" collapsed="1" x14ac:dyDescent="0.2">
      <c r="A1057" s="227"/>
      <c r="B1057" s="228" t="s">
        <v>3</v>
      </c>
      <c r="C1057" s="229" t="str">
        <f t="shared" si="711"/>
        <v/>
      </c>
      <c r="D1057" s="227" t="str">
        <f t="shared" ca="1" si="705"/>
        <v>07.005.003</v>
      </c>
      <c r="E1057" s="228" t="str">
        <f t="shared" ca="1" si="706"/>
        <v>07.005.002.001</v>
      </c>
      <c r="F1057" s="230">
        <f ca="1">IF($B1057="UNIDADE CONSTRUTIVA",OFFSET(F1057,-1,0)+1,LARGE(F$10:F1056,1))</f>
        <v>2</v>
      </c>
      <c r="G1057" s="228" t="str">
        <f t="shared" ref="G1057:G1069" ca="1" si="722">IF(B1057="*","",IF(B1057="UNIDADE CONSTRUTIVA",S1057,OFFSET(G1057,-1,0)))</f>
        <v xml:space="preserve">   GERENCIAMENTO EXECUTIVO</v>
      </c>
      <c r="H1057" s="230">
        <f t="shared" ca="1" si="707"/>
        <v>7</v>
      </c>
      <c r="I1057" s="228" t="str">
        <f t="shared" ref="I1057:I1069" ca="1" si="723">IF(B1057="*","",IF(B1057="CÉLULA CONSTRUTIVA",S1057,OFFSET(I1057,-1,0)))</f>
        <v xml:space="preserve">   SISTEMAS E INSTALAÇÕES ELÉTRICAS</v>
      </c>
      <c r="J1057" s="230">
        <f t="shared" ca="1" si="708"/>
        <v>5</v>
      </c>
      <c r="K1057" s="228" t="str">
        <f t="shared" ref="K1057:K1069" ca="1" si="724">IF(B1057="*","",IF(B1057="ETAPA",S1057,OFFSET(K1057,-1,0)))</f>
        <v xml:space="preserve">   SISTEMAS E INSTALAÇÕES ELÉTRICAS - BARRILETE / CAIXA DÁGUA / CASA DE MÁQUINAS</v>
      </c>
      <c r="L1057" s="231">
        <f t="shared" ca="1" si="709"/>
        <v>3</v>
      </c>
      <c r="M1057" s="228" t="str">
        <f t="shared" ref="M1057:M1069" ca="1" si="725">IF(B1057="*","",IF(B1057="SUBETAPA",S1057,OFFSET(M1057,-1,0)))</f>
        <v xml:space="preserve">   Fios e Cabos Elétricos</v>
      </c>
      <c r="N1057" s="231">
        <f t="shared" ca="1" si="710"/>
        <v>0</v>
      </c>
      <c r="O1057" s="228" t="str">
        <f t="shared" ref="O1057:O1069" ca="1" si="726">IF(B1057="*","",IF(B1057="SERVIÇO",S1057,OFFSET(O1057,-1,0)))</f>
        <v>Eletrodutos e Eletrocalhas - Pavimento Técnico</v>
      </c>
      <c r="P1057" s="232" t="str">
        <f>IF(S1057="","",IF(Orçamento!$B1057="INSUMO",S1057,""))</f>
        <v/>
      </c>
      <c r="Q1057" s="244" t="str">
        <f t="shared" si="690"/>
        <v/>
      </c>
      <c r="R1057" s="234">
        <f t="shared" ref="R1057:R1068" ca="1" si="727">IF(B1057="serviço",U1057,OFFSET(R1057,-1,0))</f>
        <v>1</v>
      </c>
      <c r="S1057" s="233" t="s">
        <v>444</v>
      </c>
      <c r="T1057" s="242" t="s">
        <v>35</v>
      </c>
      <c r="U1057" s="235" t="str">
        <f>IF($B1057="insumo",R1057,"")</f>
        <v/>
      </c>
      <c r="V1057" s="320" t="s">
        <v>35</v>
      </c>
      <c r="W1057" s="236" t="str">
        <f>IFERROR(IF(B1057="INSUMO",_xlfn.XLOOKUP(S1057,Insumos!A:A,Insumos!C:C),""),"Inserir Preço")</f>
        <v/>
      </c>
      <c r="X1057" s="235" t="str">
        <f t="shared" ref="X1057:X1068" ca="1" si="728">IF(B1057="Complemento do insumo",V1057,IF(R1057="","",IF(B1057="serviço",R1057,IF(OR(B1057="insumo"),V1057*R1057,""))))</f>
        <v/>
      </c>
      <c r="Y1057" s="236" t="str">
        <f t="shared" si="689"/>
        <v/>
      </c>
      <c r="Z1057" s="237">
        <f t="shared" ca="1" si="712"/>
        <v>11974.759762230022</v>
      </c>
      <c r="AA1057" s="238"/>
      <c r="AB1057" s="233" t="str">
        <f>IF(B1057="insumo",_xlfn.XLOOKUP(S1057,Insumos!A:A,Insumos!D:D),"")</f>
        <v/>
      </c>
      <c r="AC1057" s="239">
        <f t="shared" ca="1" si="713"/>
        <v>1.7178884642257532E-3</v>
      </c>
      <c r="AE1057" s="240">
        <f ca="1">IFERROR(IF(OR(Z1057="",Z1057=0),"",IF(AF1057="","",IF(AF1057="R$/mês",Z1057/OBRA!$D$12,IF(AF1057="R$/m²",Z1057/OBRA!$D$10,IF(AF1057="R$/apto",Orçamento!Z1057/OBRA!$D$11,""))))),"")</f>
        <v>6.1622966721541053</v>
      </c>
      <c r="AF1057" s="241" t="s">
        <v>154</v>
      </c>
    </row>
    <row r="1058" spans="1:32" s="10" customFormat="1" ht="13.15" hidden="1" customHeight="1" outlineLevel="4" x14ac:dyDescent="0.2">
      <c r="A1058" s="227"/>
      <c r="B1058" s="228" t="s">
        <v>4</v>
      </c>
      <c r="C1058" s="229">
        <f t="shared" si="711"/>
        <v>1</v>
      </c>
      <c r="D1058" s="227" t="str">
        <f t="shared" ca="1" si="705"/>
        <v>07.005.003.001</v>
      </c>
      <c r="E1058" s="228" t="str">
        <f t="shared" ca="1" si="706"/>
        <v>07.005.003.001</v>
      </c>
      <c r="F1058" s="230">
        <f ca="1">IF($B1058="UNIDADE CONSTRUTIVA",OFFSET(F1058,-1,0)+1,LARGE(F$10:F1057,1))</f>
        <v>2</v>
      </c>
      <c r="G1058" s="228" t="str">
        <f t="shared" ca="1" si="722"/>
        <v xml:space="preserve">   GERENCIAMENTO EXECUTIVO</v>
      </c>
      <c r="H1058" s="230">
        <f t="shared" ca="1" si="707"/>
        <v>7</v>
      </c>
      <c r="I1058" s="228" t="str">
        <f t="shared" ca="1" si="723"/>
        <v xml:space="preserve">   SISTEMAS E INSTALAÇÕES ELÉTRICAS</v>
      </c>
      <c r="J1058" s="230">
        <f t="shared" ca="1" si="708"/>
        <v>5</v>
      </c>
      <c r="K1058" s="228" t="str">
        <f t="shared" ca="1" si="724"/>
        <v xml:space="preserve">   SISTEMAS E INSTALAÇÕES ELÉTRICAS - BARRILETE / CAIXA DÁGUA / CASA DE MÁQUINAS</v>
      </c>
      <c r="L1058" s="231">
        <f t="shared" ca="1" si="709"/>
        <v>3</v>
      </c>
      <c r="M1058" s="228" t="str">
        <f t="shared" ca="1" si="725"/>
        <v xml:space="preserve">   Fios e Cabos Elétricos</v>
      </c>
      <c r="N1058" s="231">
        <f t="shared" ca="1" si="710"/>
        <v>1</v>
      </c>
      <c r="O1058" s="228" t="str">
        <f t="shared" ca="1" si="726"/>
        <v>Cabos e Fiacoes - Pavimento Técnico</v>
      </c>
      <c r="P1058" s="232" t="str">
        <f>IF(S1058="","",IF(Orçamento!$B1058="INSUMO",S1058,""))</f>
        <v/>
      </c>
      <c r="Q1058" s="244" t="str">
        <f t="shared" si="690"/>
        <v>Cabos e Fiacoes - Pavimento Técnico</v>
      </c>
      <c r="R1058" s="234">
        <f t="shared" ca="1" si="727"/>
        <v>1</v>
      </c>
      <c r="S1058" s="233" t="s">
        <v>1003</v>
      </c>
      <c r="T1058" s="242" t="s">
        <v>170</v>
      </c>
      <c r="U1058" s="235">
        <v>1</v>
      </c>
      <c r="V1058" s="320" t="s">
        <v>35</v>
      </c>
      <c r="W1058" s="236" t="str">
        <f>IFERROR(IF(B1058="INSUMO",_xlfn.XLOOKUP(S1058,Insumos!A:A,Insumos!C:C),""),"Inserir Preço")</f>
        <v/>
      </c>
      <c r="X1058" s="235">
        <f t="shared" ca="1" si="728"/>
        <v>1</v>
      </c>
      <c r="Y1058" s="236">
        <f t="shared" ca="1" si="689"/>
        <v>11974.759762230022</v>
      </c>
      <c r="Z1058" s="237">
        <f t="shared" ca="1" si="712"/>
        <v>11974.759762230022</v>
      </c>
      <c r="AA1058" s="238"/>
      <c r="AB1058" s="233" t="str">
        <f>IF(B1058="insumo",_xlfn.XLOOKUP(S1058,Insumos!A:A,Insumos!D:D),"")</f>
        <v/>
      </c>
      <c r="AC1058" s="239">
        <f t="shared" ca="1" si="713"/>
        <v>1.7178884642257532E-3</v>
      </c>
      <c r="AE1058" s="240">
        <f ca="1">IFERROR(IF(OR(Z1058="",Z1058=0),"",IF(AF1058="","",IF(AF1058="R$/mês",Z1058/OBRA!$D$12,IF(AF1058="R$/m²",Z1058/OBRA!$D$10,IF(AF1058="R$/apto",Orçamento!Z1058/OBRA!$D$11,""))))),"")</f>
        <v>6.1622966721541053</v>
      </c>
      <c r="AF1058" s="241" t="s">
        <v>154</v>
      </c>
    </row>
    <row r="1059" spans="1:32" s="10" customFormat="1" ht="13.15" hidden="1" customHeight="1" outlineLevel="4" x14ac:dyDescent="0.2">
      <c r="A1059" s="227"/>
      <c r="B1059" s="228" t="s">
        <v>19</v>
      </c>
      <c r="C1059" s="229">
        <f t="shared" si="711"/>
        <v>1</v>
      </c>
      <c r="D1059" s="227" t="str">
        <f t="shared" si="705"/>
        <v/>
      </c>
      <c r="E1059" s="228" t="str">
        <f t="shared" ca="1" si="706"/>
        <v>07.005.003.001</v>
      </c>
      <c r="F1059" s="230">
        <f ca="1">IF($B1059="UNIDADE CONSTRUTIVA",OFFSET(F1059,-1,0)+1,LARGE(F$10:F1058,1))</f>
        <v>2</v>
      </c>
      <c r="G1059" s="228" t="str">
        <f t="shared" ca="1" si="722"/>
        <v xml:space="preserve">   GERENCIAMENTO EXECUTIVO</v>
      </c>
      <c r="H1059" s="230">
        <f t="shared" ca="1" si="707"/>
        <v>7</v>
      </c>
      <c r="I1059" s="228" t="str">
        <f t="shared" ca="1" si="723"/>
        <v xml:space="preserve">   SISTEMAS E INSTALAÇÕES ELÉTRICAS</v>
      </c>
      <c r="J1059" s="230">
        <f t="shared" ca="1" si="708"/>
        <v>5</v>
      </c>
      <c r="K1059" s="228" t="str">
        <f t="shared" ca="1" si="724"/>
        <v xml:space="preserve">   SISTEMAS E INSTALAÇÕES ELÉTRICAS - BARRILETE / CAIXA DÁGUA / CASA DE MÁQUINAS</v>
      </c>
      <c r="L1059" s="231">
        <f t="shared" ca="1" si="709"/>
        <v>3</v>
      </c>
      <c r="M1059" s="228" t="str">
        <f t="shared" ca="1" si="725"/>
        <v xml:space="preserve">   Fios e Cabos Elétricos</v>
      </c>
      <c r="N1059" s="231">
        <f t="shared" ca="1" si="710"/>
        <v>1</v>
      </c>
      <c r="O1059" s="228" t="str">
        <f t="shared" ca="1" si="726"/>
        <v>Cabos e Fiacoes - Pavimento Técnico</v>
      </c>
      <c r="P1059" s="232" t="str">
        <f>IF(S1059="","",IF(Orçamento!$B1059="INSUMO",S1059,""))</f>
        <v>FIAÇÃO - PAVIMENTO TECNICO</v>
      </c>
      <c r="Q1059" s="244" t="str">
        <f t="shared" si="690"/>
        <v/>
      </c>
      <c r="R1059" s="234">
        <f t="shared" ca="1" si="727"/>
        <v>1</v>
      </c>
      <c r="S1059" s="233" t="s">
        <v>967</v>
      </c>
      <c r="T1059" s="242" t="str">
        <f>_xlfn.XLOOKUP(S1059,Insumos!$A$3:$A$371,Insumos!$B$3:$B$371)</f>
        <v>VB</v>
      </c>
      <c r="U1059" s="235">
        <f ca="1">IF($B1059="insumo",R1059,"")</f>
        <v>1</v>
      </c>
      <c r="V1059" s="320">
        <v>1</v>
      </c>
      <c r="W1059" s="236">
        <f>IFERROR(IF(B1059="INSUMO",_xlfn.XLOOKUP(S1059,Insumos!A:A,Insumos!C:C),""),"Inserir Preço")</f>
        <v>11974.759762230022</v>
      </c>
      <c r="X1059" s="235">
        <f t="shared" ca="1" si="728"/>
        <v>1</v>
      </c>
      <c r="Y1059" s="236">
        <f t="shared" si="689"/>
        <v>11974.759762230022</v>
      </c>
      <c r="Z1059" s="237">
        <f t="shared" ca="1" si="712"/>
        <v>11974.759762230022</v>
      </c>
      <c r="AA1059" s="238"/>
      <c r="AB1059" s="233" t="str">
        <f>IF(B1059="insumo",_xlfn.XLOOKUP(S1059,Insumos!A:A,Insumos!D:D),"")</f>
        <v>Lista de Elétrica</v>
      </c>
      <c r="AC1059" s="239">
        <f t="shared" ca="1" si="713"/>
        <v>1.7178884642257532E-3</v>
      </c>
      <c r="AE1059" s="240">
        <f ca="1">IFERROR(IF(OR(Z1059="",Z1059=0),"",IF(AF1059="","",IF(AF1059="R$/mês",Z1059/OBRA!$D$12,IF(AF1059="R$/m²",Z1059/OBRA!$D$10,IF(AF1059="R$/apto",Orçamento!Z1059/OBRA!$D$11,""))))),"")</f>
        <v>6.1622966721541053</v>
      </c>
      <c r="AF1059" s="241" t="s">
        <v>154</v>
      </c>
    </row>
    <row r="1060" spans="1:32" s="10" customFormat="1" ht="13.15" hidden="1" customHeight="1" outlineLevel="3" collapsed="1" x14ac:dyDescent="0.2">
      <c r="A1060" s="227"/>
      <c r="B1060" s="228" t="s">
        <v>3</v>
      </c>
      <c r="C1060" s="229" t="str">
        <f t="shared" si="711"/>
        <v/>
      </c>
      <c r="D1060" s="227" t="str">
        <f t="shared" ca="1" si="705"/>
        <v>07.005.004</v>
      </c>
      <c r="E1060" s="228" t="str">
        <f t="shared" ca="1" si="706"/>
        <v>07.005.003.001</v>
      </c>
      <c r="F1060" s="230">
        <f ca="1">IF($B1060="UNIDADE CONSTRUTIVA",OFFSET(F1060,-1,0)+1,LARGE(F$10:F1059,1))</f>
        <v>2</v>
      </c>
      <c r="G1060" s="228" t="str">
        <f t="shared" ca="1" si="722"/>
        <v xml:space="preserve">   GERENCIAMENTO EXECUTIVO</v>
      </c>
      <c r="H1060" s="230">
        <f t="shared" ca="1" si="707"/>
        <v>7</v>
      </c>
      <c r="I1060" s="228" t="str">
        <f t="shared" ca="1" si="723"/>
        <v xml:space="preserve">   SISTEMAS E INSTALAÇÕES ELÉTRICAS</v>
      </c>
      <c r="J1060" s="230">
        <f t="shared" ca="1" si="708"/>
        <v>5</v>
      </c>
      <c r="K1060" s="228" t="str">
        <f t="shared" ca="1" si="724"/>
        <v xml:space="preserve">   SISTEMAS E INSTALAÇÕES ELÉTRICAS - BARRILETE / CAIXA DÁGUA / CASA DE MÁQUINAS</v>
      </c>
      <c r="L1060" s="231">
        <f t="shared" ca="1" si="709"/>
        <v>4</v>
      </c>
      <c r="M1060" s="228" t="str">
        <f t="shared" ca="1" si="725"/>
        <v xml:space="preserve">   Pontos de Tomadas e Interruptores</v>
      </c>
      <c r="N1060" s="231">
        <f t="shared" ca="1" si="710"/>
        <v>0</v>
      </c>
      <c r="O1060" s="228" t="str">
        <f t="shared" ca="1" si="726"/>
        <v>Cabos e Fiacoes - Pavimento Técnico</v>
      </c>
      <c r="P1060" s="232" t="str">
        <f>IF(S1060="","",IF(Orçamento!$B1060="INSUMO",S1060,""))</f>
        <v/>
      </c>
      <c r="Q1060" s="244" t="str">
        <f t="shared" si="690"/>
        <v/>
      </c>
      <c r="R1060" s="234">
        <f t="shared" ca="1" si="727"/>
        <v>1</v>
      </c>
      <c r="S1060" s="233" t="s">
        <v>445</v>
      </c>
      <c r="T1060" s="242" t="s">
        <v>35</v>
      </c>
      <c r="U1060" s="235" t="str">
        <f>IF($B1060="insumo",R1060,"")</f>
        <v/>
      </c>
      <c r="V1060" s="320" t="s">
        <v>35</v>
      </c>
      <c r="W1060" s="236" t="str">
        <f>IFERROR(IF(B1060="INSUMO",_xlfn.XLOOKUP(S1060,Insumos!A:A,Insumos!C:C),""),"Inserir Preço")</f>
        <v/>
      </c>
      <c r="X1060" s="235" t="str">
        <f t="shared" ca="1" si="728"/>
        <v/>
      </c>
      <c r="Y1060" s="236" t="str">
        <f t="shared" si="689"/>
        <v/>
      </c>
      <c r="Z1060" s="237">
        <f t="shared" ca="1" si="712"/>
        <v>1281.602439420742</v>
      </c>
      <c r="AA1060" s="238"/>
      <c r="AB1060" s="233" t="str">
        <f>IF(B1060="insumo",_xlfn.XLOOKUP(S1060,Insumos!A:A,Insumos!D:D),"")</f>
        <v/>
      </c>
      <c r="AC1060" s="239">
        <f t="shared" ca="1" si="713"/>
        <v>1.8385755456646182E-4</v>
      </c>
      <c r="AE1060" s="240">
        <f ca="1">IFERROR(IF(OR(Z1060="",Z1060=0),"",IF(AF1060="","",IF(AF1060="R$/mês",Z1060/OBRA!$D$12,IF(AF1060="R$/m²",Z1060/OBRA!$D$10,IF(AF1060="R$/apto",Orçamento!Z1060/OBRA!$D$11,""))))),"")</f>
        <v>0.65952174442590017</v>
      </c>
      <c r="AF1060" s="241" t="s">
        <v>154</v>
      </c>
    </row>
    <row r="1061" spans="1:32" s="10" customFormat="1" ht="13.15" hidden="1" customHeight="1" outlineLevel="4" x14ac:dyDescent="0.2">
      <c r="A1061" s="227"/>
      <c r="B1061" s="228" t="s">
        <v>4</v>
      </c>
      <c r="C1061" s="229">
        <f t="shared" si="711"/>
        <v>1</v>
      </c>
      <c r="D1061" s="227" t="str">
        <f t="shared" ca="1" si="705"/>
        <v>07.005.004.001</v>
      </c>
      <c r="E1061" s="228" t="str">
        <f t="shared" ca="1" si="706"/>
        <v>07.005.004.001</v>
      </c>
      <c r="F1061" s="230">
        <f ca="1">IF($B1061="UNIDADE CONSTRUTIVA",OFFSET(F1061,-1,0)+1,LARGE(F$10:F1060,1))</f>
        <v>2</v>
      </c>
      <c r="G1061" s="228" t="str">
        <f t="shared" ca="1" si="722"/>
        <v xml:space="preserve">   GERENCIAMENTO EXECUTIVO</v>
      </c>
      <c r="H1061" s="230">
        <f t="shared" ca="1" si="707"/>
        <v>7</v>
      </c>
      <c r="I1061" s="228" t="str">
        <f t="shared" ca="1" si="723"/>
        <v xml:space="preserve">   SISTEMAS E INSTALAÇÕES ELÉTRICAS</v>
      </c>
      <c r="J1061" s="230">
        <f t="shared" ca="1" si="708"/>
        <v>5</v>
      </c>
      <c r="K1061" s="228" t="str">
        <f t="shared" ca="1" si="724"/>
        <v xml:space="preserve">   SISTEMAS E INSTALAÇÕES ELÉTRICAS - BARRILETE / CAIXA DÁGUA / CASA DE MÁQUINAS</v>
      </c>
      <c r="L1061" s="231">
        <f t="shared" ca="1" si="709"/>
        <v>4</v>
      </c>
      <c r="M1061" s="228" t="str">
        <f t="shared" ca="1" si="725"/>
        <v xml:space="preserve">   Pontos de Tomadas e Interruptores</v>
      </c>
      <c r="N1061" s="231">
        <f t="shared" ca="1" si="710"/>
        <v>1</v>
      </c>
      <c r="O1061" s="228" t="str">
        <f t="shared" ca="1" si="726"/>
        <v>Pontos de Tomadas e Interruptores - Pavimento Técnico</v>
      </c>
      <c r="P1061" s="232" t="str">
        <f>IF(S1061="","",IF(Orçamento!$B1061="INSUMO",S1061,""))</f>
        <v/>
      </c>
      <c r="Q1061" s="244" t="str">
        <f t="shared" si="690"/>
        <v>Pontos de Tomadas e Interruptores - Pavimento Técnico</v>
      </c>
      <c r="R1061" s="234">
        <f t="shared" ca="1" si="727"/>
        <v>1</v>
      </c>
      <c r="S1061" s="233" t="s">
        <v>1004</v>
      </c>
      <c r="T1061" s="242" t="s">
        <v>170</v>
      </c>
      <c r="U1061" s="235">
        <v>1</v>
      </c>
      <c r="V1061" s="320" t="s">
        <v>35</v>
      </c>
      <c r="W1061" s="236" t="str">
        <f>IFERROR(IF(B1061="INSUMO",_xlfn.XLOOKUP(S1061,Insumos!A:A,Insumos!C:C),""),"Inserir Preço")</f>
        <v/>
      </c>
      <c r="X1061" s="235">
        <f t="shared" ca="1" si="728"/>
        <v>1</v>
      </c>
      <c r="Y1061" s="236">
        <f t="shared" ca="1" si="689"/>
        <v>1281.602439420742</v>
      </c>
      <c r="Z1061" s="237">
        <f t="shared" ca="1" si="712"/>
        <v>1281.602439420742</v>
      </c>
      <c r="AA1061" s="238"/>
      <c r="AB1061" s="233" t="str">
        <f>IF(B1061="insumo",_xlfn.XLOOKUP(S1061,Insumos!A:A,Insumos!D:D),"")</f>
        <v/>
      </c>
      <c r="AC1061" s="239">
        <f t="shared" ca="1" si="713"/>
        <v>1.8385755456646182E-4</v>
      </c>
      <c r="AE1061" s="240">
        <f ca="1">IFERROR(IF(OR(Z1061="",Z1061=0),"",IF(AF1061="","",IF(AF1061="R$/mês",Z1061/OBRA!$D$12,IF(AF1061="R$/m²",Z1061/OBRA!$D$10,IF(AF1061="R$/apto",Orçamento!Z1061/OBRA!$D$11,""))))),"")</f>
        <v>0.65952174442590017</v>
      </c>
      <c r="AF1061" s="241" t="s">
        <v>154</v>
      </c>
    </row>
    <row r="1062" spans="1:32" s="10" customFormat="1" ht="13.15" hidden="1" customHeight="1" outlineLevel="4" x14ac:dyDescent="0.2">
      <c r="A1062" s="227"/>
      <c r="B1062" s="228" t="s">
        <v>19</v>
      </c>
      <c r="C1062" s="229">
        <f t="shared" si="711"/>
        <v>1</v>
      </c>
      <c r="D1062" s="227" t="str">
        <f t="shared" si="705"/>
        <v/>
      </c>
      <c r="E1062" s="228" t="str">
        <f t="shared" ca="1" si="706"/>
        <v>07.005.004.001</v>
      </c>
      <c r="F1062" s="230">
        <f ca="1">IF($B1062="UNIDADE CONSTRUTIVA",OFFSET(F1062,-1,0)+1,LARGE(F$10:F1061,1))</f>
        <v>2</v>
      </c>
      <c r="G1062" s="228" t="str">
        <f t="shared" ca="1" si="722"/>
        <v xml:space="preserve">   GERENCIAMENTO EXECUTIVO</v>
      </c>
      <c r="H1062" s="230">
        <f t="shared" ca="1" si="707"/>
        <v>7</v>
      </c>
      <c r="I1062" s="228" t="str">
        <f t="shared" ca="1" si="723"/>
        <v xml:space="preserve">   SISTEMAS E INSTALAÇÕES ELÉTRICAS</v>
      </c>
      <c r="J1062" s="230">
        <f t="shared" ca="1" si="708"/>
        <v>5</v>
      </c>
      <c r="K1062" s="228" t="str">
        <f t="shared" ca="1" si="724"/>
        <v xml:space="preserve">   SISTEMAS E INSTALAÇÕES ELÉTRICAS - BARRILETE / CAIXA DÁGUA / CASA DE MÁQUINAS</v>
      </c>
      <c r="L1062" s="231">
        <f t="shared" ca="1" si="709"/>
        <v>4</v>
      </c>
      <c r="M1062" s="228" t="str">
        <f t="shared" ca="1" si="725"/>
        <v xml:space="preserve">   Pontos de Tomadas e Interruptores</v>
      </c>
      <c r="N1062" s="231">
        <f t="shared" ca="1" si="710"/>
        <v>1</v>
      </c>
      <c r="O1062" s="228" t="str">
        <f t="shared" ca="1" si="726"/>
        <v>Pontos de Tomadas e Interruptores - Pavimento Técnico</v>
      </c>
      <c r="P1062" s="232" t="str">
        <f>IF(S1062="","",IF(Orçamento!$B1062="INSUMO",S1062,""))</f>
        <v>PONTOS DE TOMADA E INTERRUPTORES - PAVIMENTO TECNICO</v>
      </c>
      <c r="Q1062" s="244" t="str">
        <f t="shared" ref="Q1062:Q1068" si="729">IF(B1062="","",IF(B1062="Serviço",S1062,""))</f>
        <v/>
      </c>
      <c r="R1062" s="234">
        <f t="shared" ca="1" si="727"/>
        <v>1</v>
      </c>
      <c r="S1062" s="233" t="s">
        <v>977</v>
      </c>
      <c r="T1062" s="242" t="str">
        <f>_xlfn.XLOOKUP(S1062,Insumos!$A$3:$A$371,Insumos!$B$3:$B$371)</f>
        <v>VB</v>
      </c>
      <c r="U1062" s="235">
        <f ca="1">IF($B1062="insumo",R1062,"")</f>
        <v>1</v>
      </c>
      <c r="V1062" s="320">
        <v>1</v>
      </c>
      <c r="W1062" s="236">
        <f>IFERROR(IF(B1062="INSUMO",_xlfn.XLOOKUP(S1062,Insumos!A:A,Insumos!C:C),""),"Inserir Preço")</f>
        <v>1281.602439420742</v>
      </c>
      <c r="X1062" s="235">
        <f t="shared" ca="1" si="728"/>
        <v>1</v>
      </c>
      <c r="Y1062" s="236">
        <f t="shared" si="689"/>
        <v>1281.602439420742</v>
      </c>
      <c r="Z1062" s="237">
        <f t="shared" ca="1" si="712"/>
        <v>1281.602439420742</v>
      </c>
      <c r="AA1062" s="238"/>
      <c r="AB1062" s="233" t="str">
        <f>IF(B1062="insumo",_xlfn.XLOOKUP(S1062,Insumos!A:A,Insumos!D:D),"")</f>
        <v>Lista de Elétrica</v>
      </c>
      <c r="AC1062" s="239">
        <f t="shared" ca="1" si="713"/>
        <v>1.8385755456646182E-4</v>
      </c>
      <c r="AE1062" s="240">
        <f ca="1">IFERROR(IF(OR(Z1062="",Z1062=0),"",IF(AF1062="","",IF(AF1062="R$/mês",Z1062/OBRA!$D$12,IF(AF1062="R$/m²",Z1062/OBRA!$D$10,IF(AF1062="R$/apto",Orçamento!Z1062/OBRA!$D$11,""))))),"")</f>
        <v>0.65952174442590017</v>
      </c>
      <c r="AF1062" s="241" t="s">
        <v>154</v>
      </c>
    </row>
    <row r="1063" spans="1:32" s="10" customFormat="1" ht="13.15" hidden="1" customHeight="1" outlineLevel="3" collapsed="1" x14ac:dyDescent="0.2">
      <c r="A1063" s="227"/>
      <c r="B1063" s="228" t="s">
        <v>3</v>
      </c>
      <c r="C1063" s="229" t="str">
        <f t="shared" si="711"/>
        <v/>
      </c>
      <c r="D1063" s="227" t="str">
        <f t="shared" ca="1" si="705"/>
        <v>07.005.005</v>
      </c>
      <c r="E1063" s="228" t="str">
        <f t="shared" ca="1" si="706"/>
        <v>07.005.004.001</v>
      </c>
      <c r="F1063" s="230">
        <f ca="1">IF($B1063="UNIDADE CONSTRUTIVA",OFFSET(F1063,-1,0)+1,LARGE(F$10:F1062,1))</f>
        <v>2</v>
      </c>
      <c r="G1063" s="228" t="str">
        <f t="shared" ca="1" si="722"/>
        <v xml:space="preserve">   GERENCIAMENTO EXECUTIVO</v>
      </c>
      <c r="H1063" s="230">
        <f t="shared" ca="1" si="707"/>
        <v>7</v>
      </c>
      <c r="I1063" s="228" t="str">
        <f t="shared" ca="1" si="723"/>
        <v xml:space="preserve">   SISTEMAS E INSTALAÇÕES ELÉTRICAS</v>
      </c>
      <c r="J1063" s="230">
        <f t="shared" ca="1" si="708"/>
        <v>5</v>
      </c>
      <c r="K1063" s="228" t="str">
        <f t="shared" ca="1" si="724"/>
        <v xml:space="preserve">   SISTEMAS E INSTALAÇÕES ELÉTRICAS - BARRILETE / CAIXA DÁGUA / CASA DE MÁQUINAS</v>
      </c>
      <c r="L1063" s="231">
        <f t="shared" ca="1" si="709"/>
        <v>5</v>
      </c>
      <c r="M1063" s="228" t="str">
        <f t="shared" ca="1" si="725"/>
        <v xml:space="preserve">   Luminárias - Lâmpadas e Acessórios</v>
      </c>
      <c r="N1063" s="231">
        <f t="shared" ca="1" si="710"/>
        <v>0</v>
      </c>
      <c r="O1063" s="228" t="str">
        <f t="shared" ca="1" si="726"/>
        <v>Pontos de Tomadas e Interruptores - Pavimento Técnico</v>
      </c>
      <c r="P1063" s="232" t="str">
        <f>IF(S1063="","",IF(Orçamento!$B1063="INSUMO",S1063,""))</f>
        <v/>
      </c>
      <c r="Q1063" s="244" t="str">
        <f t="shared" si="729"/>
        <v/>
      </c>
      <c r="R1063" s="234">
        <f t="shared" ca="1" si="727"/>
        <v>1</v>
      </c>
      <c r="S1063" s="233" t="s">
        <v>446</v>
      </c>
      <c r="T1063" s="242" t="s">
        <v>35</v>
      </c>
      <c r="U1063" s="235" t="str">
        <f>IF($B1063="insumo",R1063,"")</f>
        <v/>
      </c>
      <c r="V1063" s="320" t="s">
        <v>35</v>
      </c>
      <c r="W1063" s="236" t="str">
        <f>IFERROR(IF(B1063="INSUMO",_xlfn.XLOOKUP(S1063,Insumos!A:A,Insumos!C:C),""),"Inserir Preço")</f>
        <v/>
      </c>
      <c r="X1063" s="235" t="str">
        <f t="shared" ca="1" si="728"/>
        <v/>
      </c>
      <c r="Y1063" s="236" t="str">
        <f t="shared" si="689"/>
        <v/>
      </c>
      <c r="Z1063" s="237">
        <f t="shared" ca="1" si="712"/>
        <v>310.54375455373685</v>
      </c>
      <c r="AA1063" s="238"/>
      <c r="AB1063" s="233" t="str">
        <f>IF(B1063="insumo",_xlfn.XLOOKUP(S1063,Insumos!A:A,Insumos!D:D),"")</f>
        <v/>
      </c>
      <c r="AC1063" s="239">
        <f t="shared" ca="1" si="713"/>
        <v>4.455033288165691E-5</v>
      </c>
      <c r="AE1063" s="240">
        <f ca="1">IFERROR(IF(OR(Z1063="",Z1063=0),"",IF(AF1063="","",IF(AF1063="R$/mês",Z1063/OBRA!$D$12,IF(AF1063="R$/m²",Z1063/OBRA!$D$10,IF(AF1063="R$/apto",Orçamento!Z1063/OBRA!$D$11,""))))),"")</f>
        <v>0.15980802815607872</v>
      </c>
      <c r="AF1063" s="241" t="s">
        <v>154</v>
      </c>
    </row>
    <row r="1064" spans="1:32" s="10" customFormat="1" ht="14.25" hidden="1" customHeight="1" outlineLevel="4" x14ac:dyDescent="0.2">
      <c r="A1064" s="227"/>
      <c r="B1064" s="228" t="s">
        <v>4</v>
      </c>
      <c r="C1064" s="229">
        <f t="shared" si="711"/>
        <v>1</v>
      </c>
      <c r="D1064" s="227" t="str">
        <f ca="1">IF(B1064="Unidade Construtiva",TEXT(F1064,"00"),IF(B1064="Célula Construtiva",TEXT(H1064,"00"),IF(B1064="Etapa",CONCATENATE(TEXT(H1064,"00"),".",TEXT(J1064,"000")),IF(B1064="Subetapa",CONCATENATE(TEXT(H1064,"00"),".",TEXT(J1064,"000"),".",TEXT(L1064,"000")),IF(B1064="Serviço",CONCATENATE(TEXT(H1064,"00"),".",TEXT(J1064,"000"),".",TEXT(L1064,"000"),".",TEXT(N1064,"000")),"")))))</f>
        <v>07.005.005.001</v>
      </c>
      <c r="E1064" s="228" t="str">
        <f ca="1">IF(B1064="*","",IFERROR(IF(B1064="SERVIÇO",D1064,OFFSET(E1064,-1,0)),""))</f>
        <v>07.005.005.001</v>
      </c>
      <c r="F1064" s="230">
        <f ca="1">IF($B1064="UNIDADE CONSTRUTIVA",OFFSET(F1064,-1,0)+1,LARGE(F$10:F1063,1))</f>
        <v>2</v>
      </c>
      <c r="G1064" s="228" t="str">
        <f ca="1">IF(B1064="*","",IF(B1064="UNIDADE CONSTRUTIVA",S1064,OFFSET(G1064,-1,0)))</f>
        <v xml:space="preserve">   GERENCIAMENTO EXECUTIVO</v>
      </c>
      <c r="H1064" s="230">
        <f ca="1">IF(B1064="UNIDADE CONSTRUTIVA",0,IF(B1064="CÉLULA CONSTRUTIVA",OFFSET(H1064,-1,0)+1,OFFSET(H1064,-1,0)))</f>
        <v>7</v>
      </c>
      <c r="I1064" s="228" t="str">
        <f ca="1">IF(B1064="*","",IF(B1064="CÉLULA CONSTRUTIVA",S1064,OFFSET(I1064,-1,0)))</f>
        <v xml:space="preserve">   SISTEMAS E INSTALAÇÕES ELÉTRICAS</v>
      </c>
      <c r="J1064" s="230">
        <f ca="1">IF(B1064="CÉLULA CONSTRUTIVA",0,IF(B1064="ETAPA",OFFSET(J1064,-1,0)+1,OFFSET(J1064,-1,0)))</f>
        <v>5</v>
      </c>
      <c r="K1064" s="228" t="str">
        <f ca="1">IF(B1064="*","",IF(B1064="ETAPA",S1064,OFFSET(K1064,-1,0)))</f>
        <v xml:space="preserve">   SISTEMAS E INSTALAÇÕES ELÉTRICAS - BARRILETE / CAIXA DÁGUA / CASA DE MÁQUINAS</v>
      </c>
      <c r="L1064" s="231">
        <f ca="1">IF(B1064="ETAPA",0,IF(B1064="SUBETAPA",OFFSET(L1064,-1,0)+1,OFFSET(L1064,-1,0)))</f>
        <v>5</v>
      </c>
      <c r="M1064" s="228" t="str">
        <f ca="1">IF(B1064="*","",IF(B1064="SUBETAPA",S1064,OFFSET(M1064,-1,0)))</f>
        <v xml:space="preserve">   Luminárias - Lâmpadas e Acessórios</v>
      </c>
      <c r="N1064" s="231">
        <f ca="1">IF(B1064="Subetapa",0,IF(B1064="serviço",OFFSET(N1064,-1,0)+1,OFFSET(N1064,-1,0)))</f>
        <v>1</v>
      </c>
      <c r="O1064" s="228" t="str">
        <f ca="1">IF(B1064="*","",IF(B1064="SERVIÇO",S1064,OFFSET(O1064,-1,0)))</f>
        <v>Luminárias e Acessorios - Pavimento Técnico</v>
      </c>
      <c r="P1064" s="232" t="str">
        <f>IF(S1064="","",IF(Orçamento!$B1064="INSUMO",S1064,""))</f>
        <v/>
      </c>
      <c r="Q1064" s="244" t="str">
        <f t="shared" si="729"/>
        <v>Luminárias e Acessorios - Pavimento Técnico</v>
      </c>
      <c r="R1064" s="234">
        <f ca="1">IF(B1064="serviço",U1064,OFFSET(R1064,-1,0))</f>
        <v>1</v>
      </c>
      <c r="S1064" s="233" t="s">
        <v>1005</v>
      </c>
      <c r="T1064" s="242" t="s">
        <v>170</v>
      </c>
      <c r="U1064" s="235">
        <v>1</v>
      </c>
      <c r="V1064" s="320" t="s">
        <v>35</v>
      </c>
      <c r="W1064" s="236" t="str">
        <f>IFERROR(IF(B1064="INSUMO",_xlfn.XLOOKUP(S1064,Insumos!A:A,Insumos!C:C),""),"Inserir Preço")</f>
        <v/>
      </c>
      <c r="X1064" s="235">
        <f ca="1">IF(B1064="Complemento do insumo",V1064,IF(R1064="","",IF(B1064="serviço",R1064,IF(OR(B1064="insumo"),V1064*R1064,""))))</f>
        <v>1</v>
      </c>
      <c r="Y1064" s="236">
        <f t="shared" ref="Y1064:Y1127" ca="1" si="730">IF(B1064="insumo",W1064*V1064,IF(B1064="serviço",SUMIFS(Y:Y,B:B,"insumo",E:E,E1064,I:I,I1064),""))</f>
        <v>310.54375455373685</v>
      </c>
      <c r="Z1064" s="237">
        <f t="shared" ca="1" si="712"/>
        <v>310.54375455373685</v>
      </c>
      <c r="AA1064" s="238"/>
      <c r="AB1064" s="233" t="str">
        <f>IF(B1064="insumo",_xlfn.XLOOKUP(S1064,Insumos!A:A,Insumos!D:D),"")</f>
        <v/>
      </c>
      <c r="AC1064" s="239">
        <f t="shared" ca="1" si="713"/>
        <v>4.455033288165691E-5</v>
      </c>
      <c r="AE1064" s="240">
        <f ca="1">IFERROR(IF(OR(Z1064="",Z1064=0),"",IF(AF1064="","",IF(AF1064="R$/mês",Z1064/OBRA!$D$12,IF(AF1064="R$/m²",Z1064/OBRA!$D$10,IF(AF1064="R$/apto",Orçamento!Z1064/OBRA!$D$11,""))))),"")</f>
        <v>0.15980802815607872</v>
      </c>
      <c r="AF1064" s="241" t="s">
        <v>154</v>
      </c>
    </row>
    <row r="1065" spans="1:32" s="10" customFormat="1" ht="13.15" hidden="1" customHeight="1" outlineLevel="4" x14ac:dyDescent="0.2">
      <c r="A1065" s="227"/>
      <c r="B1065" s="228" t="s">
        <v>19</v>
      </c>
      <c r="C1065" s="229">
        <f t="shared" si="711"/>
        <v>1</v>
      </c>
      <c r="D1065" s="227" t="str">
        <f>IF(B1065="Unidade Construtiva",TEXT(F1065,"00"),IF(B1065="Célula Construtiva",TEXT(H1065,"00"),IF(B1065="Etapa",CONCATENATE(TEXT(H1065,"00"),".",TEXT(J1065,"000")),IF(B1065="Subetapa",CONCATENATE(TEXT(H1065,"00"),".",TEXT(J1065,"000"),".",TEXT(L1065,"000")),IF(B1065="Serviço",CONCATENATE(TEXT(H1065,"00"),".",TEXT(J1065,"000"),".",TEXT(L1065,"000"),".",TEXT(N1065,"000")),"")))))</f>
        <v/>
      </c>
      <c r="E1065" s="228" t="str">
        <f ca="1">IF(B1065="*","",IFERROR(IF(B1065="SERVIÇO",D1065,OFFSET(E1065,-1,0)),""))</f>
        <v>07.005.005.001</v>
      </c>
      <c r="F1065" s="230">
        <f ca="1">IF($B1065="UNIDADE CONSTRUTIVA",OFFSET(F1065,-1,0)+1,LARGE(F$10:F1064,1))</f>
        <v>2</v>
      </c>
      <c r="G1065" s="228" t="str">
        <f ca="1">IF(B1065="*","",IF(B1065="UNIDADE CONSTRUTIVA",S1065,OFFSET(G1065,-1,0)))</f>
        <v xml:space="preserve">   GERENCIAMENTO EXECUTIVO</v>
      </c>
      <c r="H1065" s="230">
        <f ca="1">IF(B1065="UNIDADE CONSTRUTIVA",0,IF(B1065="CÉLULA CONSTRUTIVA",OFFSET(H1065,-1,0)+1,OFFSET(H1065,-1,0)))</f>
        <v>7</v>
      </c>
      <c r="I1065" s="228" t="str">
        <f ca="1">IF(B1065="*","",IF(B1065="CÉLULA CONSTRUTIVA",S1065,OFFSET(I1065,-1,0)))</f>
        <v xml:space="preserve">   SISTEMAS E INSTALAÇÕES ELÉTRICAS</v>
      </c>
      <c r="J1065" s="230">
        <f ca="1">IF(B1065="CÉLULA CONSTRUTIVA",0,IF(B1065="ETAPA",OFFSET(J1065,-1,0)+1,OFFSET(J1065,-1,0)))</f>
        <v>5</v>
      </c>
      <c r="K1065" s="228" t="str">
        <f ca="1">IF(B1065="*","",IF(B1065="ETAPA",S1065,OFFSET(K1065,-1,0)))</f>
        <v xml:space="preserve">   SISTEMAS E INSTALAÇÕES ELÉTRICAS - BARRILETE / CAIXA DÁGUA / CASA DE MÁQUINAS</v>
      </c>
      <c r="L1065" s="231">
        <f ca="1">IF(B1065="ETAPA",0,IF(B1065="SUBETAPA",OFFSET(L1065,-1,0)+1,OFFSET(L1065,-1,0)))</f>
        <v>5</v>
      </c>
      <c r="M1065" s="228" t="str">
        <f ca="1">IF(B1065="*","",IF(B1065="SUBETAPA",S1065,OFFSET(M1065,-1,0)))</f>
        <v xml:space="preserve">   Luminárias - Lâmpadas e Acessórios</v>
      </c>
      <c r="N1065" s="231">
        <f ca="1">IF(B1065="Subetapa",0,IF(B1065="serviço",OFFSET(N1065,-1,0)+1,OFFSET(N1065,-1,0)))</f>
        <v>1</v>
      </c>
      <c r="O1065" s="228" t="str">
        <f ca="1">IF(B1065="*","",IF(B1065="SERVIÇO",S1065,OFFSET(O1065,-1,0)))</f>
        <v>Luminárias e Acessorios - Pavimento Técnico</v>
      </c>
      <c r="P1065" s="232" t="str">
        <f>IF(S1065="","",IF(Orçamento!$B1065="INSUMO",S1065,""))</f>
        <v>LUMINÁRIAS - PAVIMENTO TECNICO</v>
      </c>
      <c r="Q1065" s="244" t="str">
        <f t="shared" si="729"/>
        <v/>
      </c>
      <c r="R1065" s="234">
        <f ca="1">IF(B1065="serviço",U1065,OFFSET(R1065,-1,0))</f>
        <v>1</v>
      </c>
      <c r="S1065" s="233" t="s">
        <v>972</v>
      </c>
      <c r="T1065" s="242" t="str">
        <f>_xlfn.XLOOKUP(S1065,Insumos!$A$3:$A$371,Insumos!$B$3:$B$371)</f>
        <v>VB</v>
      </c>
      <c r="U1065" s="235">
        <f ca="1">IF($B1065="insumo",R1065,"")</f>
        <v>1</v>
      </c>
      <c r="V1065" s="320">
        <v>1</v>
      </c>
      <c r="W1065" s="236">
        <f>IFERROR(IF(B1065="INSUMO",_xlfn.XLOOKUP(S1065,Insumos!A:A,Insumos!C:C),""),"Inserir Preço")</f>
        <v>310.54375455373685</v>
      </c>
      <c r="X1065" s="235">
        <f ca="1">IF(B1065="Complemento do insumo",V1065,IF(R1065="","",IF(B1065="serviço",R1065,IF(OR(B1065="insumo"),V1065*R1065,""))))</f>
        <v>1</v>
      </c>
      <c r="Y1065" s="236">
        <f t="shared" si="730"/>
        <v>310.54375455373685</v>
      </c>
      <c r="Z1065" s="237">
        <f t="shared" ca="1" si="712"/>
        <v>310.54375455373685</v>
      </c>
      <c r="AA1065" s="238"/>
      <c r="AB1065" s="233" t="str">
        <f>IF(B1065="insumo",_xlfn.XLOOKUP(S1065,Insumos!A:A,Insumos!D:D),"")</f>
        <v>Lista de Elétrica</v>
      </c>
      <c r="AC1065" s="239">
        <f t="shared" ca="1" si="713"/>
        <v>4.455033288165691E-5</v>
      </c>
      <c r="AE1065" s="240">
        <f ca="1">IFERROR(IF(OR(Z1065="",Z1065=0),"",IF(AF1065="","",IF(AF1065="R$/mês",Z1065/OBRA!$D$12,IF(AF1065="R$/m²",Z1065/OBRA!$D$10,IF(AF1065="R$/apto",Orçamento!Z1065/OBRA!$D$11,""))))),"")</f>
        <v>0.15980802815607872</v>
      </c>
      <c r="AF1065" s="241" t="s">
        <v>154</v>
      </c>
    </row>
    <row r="1066" spans="1:32" s="10" customFormat="1" ht="13.15" hidden="1" customHeight="1" outlineLevel="3" collapsed="1" x14ac:dyDescent="0.2">
      <c r="A1066" s="227"/>
      <c r="B1066" s="228" t="s">
        <v>3</v>
      </c>
      <c r="C1066" s="229" t="str">
        <f t="shared" si="711"/>
        <v/>
      </c>
      <c r="D1066" s="227" t="str">
        <f t="shared" ca="1" si="705"/>
        <v>07.005.006</v>
      </c>
      <c r="E1066" s="228" t="str">
        <f t="shared" ca="1" si="706"/>
        <v>07.005.005.001</v>
      </c>
      <c r="F1066" s="230">
        <f ca="1">IF($B1066="UNIDADE CONSTRUTIVA",OFFSET(F1066,-1,0)+1,LARGE(F$10:F1065,1))</f>
        <v>2</v>
      </c>
      <c r="G1066" s="228" t="str">
        <f t="shared" ca="1" si="722"/>
        <v xml:space="preserve">   GERENCIAMENTO EXECUTIVO</v>
      </c>
      <c r="H1066" s="230">
        <f t="shared" ca="1" si="707"/>
        <v>7</v>
      </c>
      <c r="I1066" s="228" t="str">
        <f t="shared" ca="1" si="723"/>
        <v xml:space="preserve">   SISTEMAS E INSTALAÇÕES ELÉTRICAS</v>
      </c>
      <c r="J1066" s="230">
        <f t="shared" ca="1" si="708"/>
        <v>5</v>
      </c>
      <c r="K1066" s="228" t="str">
        <f t="shared" ca="1" si="724"/>
        <v xml:space="preserve">   SISTEMAS E INSTALAÇÕES ELÉTRICAS - BARRILETE / CAIXA DÁGUA / CASA DE MÁQUINAS</v>
      </c>
      <c r="L1066" s="231">
        <f t="shared" ca="1" si="709"/>
        <v>6</v>
      </c>
      <c r="M1066" s="228" t="str">
        <f t="shared" ca="1" si="725"/>
        <v xml:space="preserve">   Mão de Obra</v>
      </c>
      <c r="N1066" s="231">
        <f t="shared" ca="1" si="710"/>
        <v>0</v>
      </c>
      <c r="O1066" s="228" t="str">
        <f t="shared" ca="1" si="726"/>
        <v>Luminárias e Acessorios - Pavimento Técnico</v>
      </c>
      <c r="P1066" s="232" t="str">
        <f>IF(S1066="","",IF(Orçamento!$B1066="INSUMO",S1066,""))</f>
        <v/>
      </c>
      <c r="Q1066" s="244" t="str">
        <f t="shared" si="729"/>
        <v/>
      </c>
      <c r="R1066" s="234">
        <f t="shared" ca="1" si="727"/>
        <v>1</v>
      </c>
      <c r="S1066" s="233" t="s">
        <v>438</v>
      </c>
      <c r="T1066" s="242" t="s">
        <v>35</v>
      </c>
      <c r="U1066" s="235" t="str">
        <f>IF($B1066="insumo",R1066,"")</f>
        <v/>
      </c>
      <c r="V1066" s="320" t="s">
        <v>35</v>
      </c>
      <c r="W1066" s="236" t="str">
        <f>IFERROR(IF(B1066="INSUMO",_xlfn.XLOOKUP(S1066,Insumos!A:A,Insumos!C:C),""),"Inserir Preço")</f>
        <v/>
      </c>
      <c r="X1066" s="235" t="str">
        <f t="shared" ca="1" si="728"/>
        <v/>
      </c>
      <c r="Y1066" s="236" t="str">
        <f t="shared" si="730"/>
        <v/>
      </c>
      <c r="Z1066" s="237">
        <f t="shared" ca="1" si="712"/>
        <v>7075.5004466103846</v>
      </c>
      <c r="AA1066" s="238"/>
      <c r="AB1066" s="233" t="str">
        <f>IF(B1066="insumo",_xlfn.XLOOKUP(S1066,Insumos!A:A,Insumos!D:D),"")</f>
        <v/>
      </c>
      <c r="AC1066" s="239">
        <f t="shared" ca="1" si="713"/>
        <v>1.0150450478509283E-3</v>
      </c>
      <c r="AE1066" s="240">
        <f ca="1">IFERROR(IF(OR(Z1066="",Z1066=0),"",IF(AF1066="","",IF(AF1066="R$/mês",Z1066/OBRA!$D$12,IF(AF1066="R$/m²",Z1066/OBRA!$D$10,IF(AF1066="R$/apto",Orçamento!Z1066/OBRA!$D$11,""))))),"")</f>
        <v>3.6411029299724604</v>
      </c>
      <c r="AF1066" s="241" t="s">
        <v>154</v>
      </c>
    </row>
    <row r="1067" spans="1:32" s="10" customFormat="1" ht="13.15" hidden="1" customHeight="1" outlineLevel="4" x14ac:dyDescent="0.2">
      <c r="A1067" s="227"/>
      <c r="B1067" s="228" t="s">
        <v>4</v>
      </c>
      <c r="C1067" s="229">
        <f t="shared" si="711"/>
        <v>5</v>
      </c>
      <c r="D1067" s="227" t="str">
        <f t="shared" ca="1" si="705"/>
        <v>07.005.006.001</v>
      </c>
      <c r="E1067" s="228" t="str">
        <f t="shared" ca="1" si="706"/>
        <v>07.005.006.001</v>
      </c>
      <c r="F1067" s="230">
        <f ca="1">IF($B1067="UNIDADE CONSTRUTIVA",OFFSET(F1067,-1,0)+1,LARGE(F$10:F1066,1))</f>
        <v>2</v>
      </c>
      <c r="G1067" s="228" t="str">
        <f t="shared" ca="1" si="722"/>
        <v xml:space="preserve">   GERENCIAMENTO EXECUTIVO</v>
      </c>
      <c r="H1067" s="230">
        <f t="shared" ca="1" si="707"/>
        <v>7</v>
      </c>
      <c r="I1067" s="228" t="str">
        <f t="shared" ca="1" si="723"/>
        <v xml:space="preserve">   SISTEMAS E INSTALAÇÕES ELÉTRICAS</v>
      </c>
      <c r="J1067" s="230">
        <f t="shared" ca="1" si="708"/>
        <v>5</v>
      </c>
      <c r="K1067" s="228" t="str">
        <f t="shared" ca="1" si="724"/>
        <v xml:space="preserve">   SISTEMAS E INSTALAÇÕES ELÉTRICAS - BARRILETE / CAIXA DÁGUA / CASA DE MÁQUINAS</v>
      </c>
      <c r="L1067" s="231">
        <f t="shared" ca="1" si="709"/>
        <v>6</v>
      </c>
      <c r="M1067" s="228" t="str">
        <f t="shared" ca="1" si="725"/>
        <v xml:space="preserve">   Mão de Obra</v>
      </c>
      <c r="N1067" s="231">
        <f t="shared" ca="1" si="710"/>
        <v>1</v>
      </c>
      <c r="O1067" s="228" t="str">
        <f t="shared" ca="1" si="726"/>
        <v>Mao de obra de instalacoes eletricas</v>
      </c>
      <c r="P1067" s="232" t="str">
        <f>IF(S1067="","",IF(Orçamento!$B1067="INSUMO",S1067,""))</f>
        <v/>
      </c>
      <c r="Q1067" s="244" t="str">
        <f t="shared" si="729"/>
        <v>Mao de obra de instalacoes eletricas</v>
      </c>
      <c r="R1067" s="234">
        <f t="shared" ca="1" si="727"/>
        <v>192.34485000000001</v>
      </c>
      <c r="S1067" s="233" t="s">
        <v>447</v>
      </c>
      <c r="T1067" s="242" t="s">
        <v>140</v>
      </c>
      <c r="U1067" s="235">
        <f ca="1">'Custos Serviços'!B23</f>
        <v>192.34485000000001</v>
      </c>
      <c r="V1067" s="320" t="s">
        <v>35</v>
      </c>
      <c r="W1067" s="236" t="str">
        <f>IFERROR(IF(B1067="INSUMO",_xlfn.XLOOKUP(S1067,Insumos!A:A,Insumos!C:C),""),"Inserir Preço")</f>
        <v/>
      </c>
      <c r="X1067" s="235">
        <f t="shared" ca="1" si="728"/>
        <v>192.34485000000001</v>
      </c>
      <c r="Y1067" s="236">
        <f t="shared" ca="1" si="730"/>
        <v>36.785494629101763</v>
      </c>
      <c r="Z1067" s="237">
        <f t="shared" ca="1" si="712"/>
        <v>7075.5004466103846</v>
      </c>
      <c r="AA1067" s="238"/>
      <c r="AB1067" s="233" t="str">
        <f>IF(B1067="insumo",_xlfn.XLOOKUP(S1067,Insumos!A:A,Insumos!D:D),"")</f>
        <v/>
      </c>
      <c r="AC1067" s="239">
        <f t="shared" ca="1" si="713"/>
        <v>1.0150450478509283E-3</v>
      </c>
      <c r="AE1067" s="240">
        <f ca="1">IFERROR(IF(OR(Z1067="",Z1067=0),"",IF(AF1067="","",IF(AF1067="R$/mês",Z1067/OBRA!$D$12,IF(AF1067="R$/m²",Z1067/OBRA!$D$10,IF(AF1067="R$/apto",Orçamento!Z1067/OBRA!$D$11,""))))),"")</f>
        <v>3.6411029299724604</v>
      </c>
      <c r="AF1067" s="241" t="s">
        <v>154</v>
      </c>
    </row>
    <row r="1068" spans="1:32" s="10" customFormat="1" ht="13.15" hidden="1" customHeight="1" outlineLevel="4" x14ac:dyDescent="0.2">
      <c r="A1068" s="227"/>
      <c r="B1068" s="228" t="s">
        <v>19</v>
      </c>
      <c r="C1068" s="229">
        <f t="shared" si="711"/>
        <v>5</v>
      </c>
      <c r="D1068" s="227" t="str">
        <f t="shared" si="705"/>
        <v/>
      </c>
      <c r="E1068" s="228" t="str">
        <f t="shared" ca="1" si="706"/>
        <v>07.005.006.001</v>
      </c>
      <c r="F1068" s="230">
        <f ca="1">IF($B1068="UNIDADE CONSTRUTIVA",OFFSET(F1068,-1,0)+1,LARGE(F$10:F1067,1))</f>
        <v>2</v>
      </c>
      <c r="G1068" s="228" t="str">
        <f t="shared" ca="1" si="722"/>
        <v xml:space="preserve">   GERENCIAMENTO EXECUTIVO</v>
      </c>
      <c r="H1068" s="230">
        <f t="shared" ca="1" si="707"/>
        <v>7</v>
      </c>
      <c r="I1068" s="228" t="str">
        <f t="shared" ca="1" si="723"/>
        <v xml:space="preserve">   SISTEMAS E INSTALAÇÕES ELÉTRICAS</v>
      </c>
      <c r="J1068" s="230">
        <f t="shared" ca="1" si="708"/>
        <v>5</v>
      </c>
      <c r="K1068" s="228" t="str">
        <f t="shared" ca="1" si="724"/>
        <v xml:space="preserve">   SISTEMAS E INSTALAÇÕES ELÉTRICAS - BARRILETE / CAIXA DÁGUA / CASA DE MÁQUINAS</v>
      </c>
      <c r="L1068" s="231">
        <f t="shared" ca="1" si="709"/>
        <v>6</v>
      </c>
      <c r="M1068" s="228" t="str">
        <f t="shared" ca="1" si="725"/>
        <v xml:space="preserve">   Mão de Obra</v>
      </c>
      <c r="N1068" s="231">
        <f t="shared" ca="1" si="710"/>
        <v>1</v>
      </c>
      <c r="O1068" s="228" t="str">
        <f t="shared" ca="1" si="726"/>
        <v>Mao de obra de instalacoes eletricas</v>
      </c>
      <c r="P1068" s="232" t="str">
        <f>IF(S1068="","",IF(Orçamento!$B1068="INSUMO",S1068,""))</f>
        <v>Mão de obra de instalações eletricas</v>
      </c>
      <c r="Q1068" s="244" t="str">
        <f t="shared" si="729"/>
        <v/>
      </c>
      <c r="R1068" s="234">
        <f t="shared" ca="1" si="727"/>
        <v>192.34485000000001</v>
      </c>
      <c r="S1068" s="233" t="s">
        <v>251</v>
      </c>
      <c r="T1068" s="242" t="str">
        <f>_xlfn.XLOOKUP(S1068,Insumos!$A$3:$A$371,Insumos!$B$3:$B$371)</f>
        <v>VB</v>
      </c>
      <c r="U1068" s="235">
        <f ca="1">IF($B1068="insumo",R1068,"")</f>
        <v>192.34485000000001</v>
      </c>
      <c r="V1068" s="320">
        <v>1</v>
      </c>
      <c r="W1068" s="236">
        <f ca="1">IFERROR(IF(B1068="INSUMO",_xlfn.XLOOKUP(S1068,Insumos!A:A,Insumos!C:C),""),"Inserir Preço")</f>
        <v>36.785494629101763</v>
      </c>
      <c r="X1068" s="235">
        <f t="shared" ca="1" si="728"/>
        <v>192.34485000000001</v>
      </c>
      <c r="Y1068" s="236">
        <f t="shared" ca="1" si="730"/>
        <v>36.785494629101763</v>
      </c>
      <c r="Z1068" s="237">
        <f t="shared" ca="1" si="712"/>
        <v>7075.5004466103846</v>
      </c>
      <c r="AA1068" s="238"/>
      <c r="AB1068" s="233" t="str">
        <f>IF(B1068="insumo",_xlfn.XLOOKUP(S1068,Insumos!A:A,Insumos!D:D),"")</f>
        <v>Aba Custo Serviços</v>
      </c>
      <c r="AC1068" s="239">
        <f t="shared" ca="1" si="713"/>
        <v>1.0150450478509283E-3</v>
      </c>
      <c r="AE1068" s="240">
        <f ca="1">IFERROR(IF(OR(Z1068="",Z1068=0),"",IF(AF1068="","",IF(AF1068="R$/mês",Z1068/OBRA!$D$12,IF(AF1068="R$/m²",Z1068/OBRA!$D$10,IF(AF1068="R$/apto",Orçamento!Z1068/OBRA!$D$11,""))))),"")</f>
        <v>3.6411029299724604</v>
      </c>
      <c r="AF1068" s="241" t="s">
        <v>154</v>
      </c>
    </row>
    <row r="1069" spans="1:32" s="10" customFormat="1" ht="13.15" customHeight="1" outlineLevel="1" x14ac:dyDescent="0.2">
      <c r="A1069" s="227"/>
      <c r="B1069" s="228" t="s">
        <v>1</v>
      </c>
      <c r="C1069" s="229" t="str">
        <f t="shared" si="711"/>
        <v/>
      </c>
      <c r="D1069" s="227" t="str">
        <f t="shared" ca="1" si="705"/>
        <v>08</v>
      </c>
      <c r="E1069" s="228" t="str">
        <f ca="1">IF(B1069="*","",IFERROR(IF(B1069="SERVIÇO",D1069,OFFSET(E1069,-1,0)),""))</f>
        <v>07.005.006.001</v>
      </c>
      <c r="F1069" s="230">
        <f ca="1">IF($B1069="UNIDADE CONSTRUTIVA",OFFSET(F1069,-1,0)+1,LARGE(F$10:F1068,1))</f>
        <v>2</v>
      </c>
      <c r="G1069" s="228" t="str">
        <f t="shared" ca="1" si="722"/>
        <v xml:space="preserve">   GERENCIAMENTO EXECUTIVO</v>
      </c>
      <c r="H1069" s="230">
        <f ca="1">IF(B1069="UNIDADE CONSTRUTIVA",0,IF(B1069="CÉLULA CONSTRUTIVA",OFFSET(H1069,-1,0)+1,OFFSET(H1069,-1,0)))</f>
        <v>8</v>
      </c>
      <c r="I1069" s="228" t="str">
        <f t="shared" ca="1" si="723"/>
        <v xml:space="preserve">   SISTEMAS E INSTALAÇÕES HIDROSSANITÁRIAS | DRENAGEM</v>
      </c>
      <c r="J1069" s="230">
        <f ca="1">IF(B1069="CÉLULA CONSTRUTIVA",0,IF(B1069="ETAPA",OFFSET(J1069,-1,0)+1,OFFSET(J1069,-1,0)))</f>
        <v>0</v>
      </c>
      <c r="K1069" s="228" t="str">
        <f t="shared" ca="1" si="724"/>
        <v xml:space="preserve">   SISTEMAS E INSTALAÇÕES ELÉTRICAS - BARRILETE / CAIXA DÁGUA / CASA DE MÁQUINAS</v>
      </c>
      <c r="L1069" s="231">
        <f ca="1">IF(B1069="ETAPA",0,IF(B1069="SUBETAPA",OFFSET(L1069,-1,0)+1,OFFSET(L1069,-1,0)))</f>
        <v>6</v>
      </c>
      <c r="M1069" s="228" t="str">
        <f t="shared" ca="1" si="725"/>
        <v xml:space="preserve">   Mão de Obra</v>
      </c>
      <c r="N1069" s="231">
        <f ca="1">IF(B1069="Subetapa",0,IF(B1069="serviço",OFFSET(N1069,-1,0)+1,OFFSET(N1069,-1,0)))</f>
        <v>1</v>
      </c>
      <c r="O1069" s="228" t="str">
        <f t="shared" ca="1" si="726"/>
        <v>Mao de obra de instalacoes eletricas</v>
      </c>
      <c r="P1069" s="232" t="str">
        <f>IF(S1069="","",IF(Orçamento!$B1069="INSUMO",S1069,""))</f>
        <v/>
      </c>
      <c r="Q1069" s="244" t="str">
        <f t="shared" ref="Q1069:Q1114" si="731">IF(B1069="","",IF(B1069="Serviço",S1069,""))</f>
        <v/>
      </c>
      <c r="R1069" s="234">
        <f t="shared" ref="R1069:R1112" ca="1" si="732">IF(B1069="serviço",U1069,OFFSET(R1069,-1,0))</f>
        <v>192.34485000000001</v>
      </c>
      <c r="S1069" s="233" t="s">
        <v>547</v>
      </c>
      <c r="T1069" s="242" t="s">
        <v>35</v>
      </c>
      <c r="U1069" s="235" t="str">
        <f>IF($B1069="insumo",R1069,"")</f>
        <v/>
      </c>
      <c r="V1069" s="320" t="s">
        <v>35</v>
      </c>
      <c r="W1069" s="236" t="str">
        <f>IFERROR(IF(B1069="INSUMO",_xlfn.XLOOKUP(S1069,Insumos!A:A,Insumos!C:C),""),"Inserir Preço")</f>
        <v/>
      </c>
      <c r="X1069" s="235" t="str">
        <f t="shared" ref="X1069:X1112" ca="1" si="733">IF(B1069="Complemento do insumo",V1069,IF(R1069="","",IF(B1069="serviço",R1069,IF(OR(B1069="insumo"),V1069*R1069,""))))</f>
        <v/>
      </c>
      <c r="Y1069" s="236" t="str">
        <f t="shared" si="730"/>
        <v/>
      </c>
      <c r="Z1069" s="237">
        <f t="shared" ca="1" si="712"/>
        <v>175995.34999999998</v>
      </c>
      <c r="AA1069" s="238"/>
      <c r="AB1069" s="233" t="str">
        <f>IF(B1069="insumo",_xlfn.XLOOKUP(S1069,Insumos!A:A,Insumos!D:D),"")</f>
        <v/>
      </c>
      <c r="AC1069" s="239">
        <f t="shared" ca="1" si="713"/>
        <v>2.5248137543100905E-2</v>
      </c>
      <c r="AE1069" s="240">
        <f ca="1">IFERROR(IF(OR(Z1069="",Z1069=0),"",IF(AF1069="","",IF(AF1069="R$/mês",Z1069/OBRA!$D$12,IF(AF1069="R$/m²",Z1069/OBRA!$D$10,IF(AF1069="R$/apto",Orçamento!Z1069/OBRA!$D$11,""))))),"")</f>
        <v>90.568460758633805</v>
      </c>
      <c r="AF1069" s="241" t="s">
        <v>154</v>
      </c>
    </row>
    <row r="1070" spans="1:32" s="10" customFormat="1" ht="13.15" customHeight="1" outlineLevel="2" collapsed="1" x14ac:dyDescent="0.2">
      <c r="A1070" s="227"/>
      <c r="B1070" s="228" t="s">
        <v>2</v>
      </c>
      <c r="C1070" s="229" t="str">
        <f t="shared" si="711"/>
        <v/>
      </c>
      <c r="D1070" s="227" t="str">
        <f t="shared" ca="1" si="705"/>
        <v>08.001</v>
      </c>
      <c r="E1070" s="228" t="str">
        <f t="shared" ca="1" si="706"/>
        <v>07.005.006.001</v>
      </c>
      <c r="F1070" s="230">
        <f ca="1">IF($B1070="UNIDADE CONSTRUTIVA",OFFSET(F1070,-1,0)+1,LARGE(F$10:F1069,1))</f>
        <v>2</v>
      </c>
      <c r="G1070" s="228" t="str">
        <f t="shared" ref="G1070:G1112" ca="1" si="734">IF(B1070="*","",IF(B1070="UNIDADE CONSTRUTIVA",S1070,OFFSET(G1070,-1,0)))</f>
        <v xml:space="preserve">   GERENCIAMENTO EXECUTIVO</v>
      </c>
      <c r="H1070" s="230">
        <f t="shared" ca="1" si="707"/>
        <v>8</v>
      </c>
      <c r="I1070" s="228" t="str">
        <f t="shared" ref="I1070:I1112" ca="1" si="735">IF(B1070="*","",IF(B1070="CÉLULA CONSTRUTIVA",S1070,OFFSET(I1070,-1,0)))</f>
        <v xml:space="preserve">   SISTEMAS E INSTALAÇÕES HIDROSSANITÁRIAS | DRENAGEM</v>
      </c>
      <c r="J1070" s="230">
        <f t="shared" ca="1" si="708"/>
        <v>1</v>
      </c>
      <c r="K1070" s="228" t="str">
        <f t="shared" ref="K1070:K1112" ca="1" si="736">IF(B1070="*","",IF(B1070="ETAPA",S1070,OFFSET(K1070,-1,0)))</f>
        <v xml:space="preserve">   SISTEMAS E INSTALAÇÕES HIDROSSANITÁRIAS | DRENAGEM - 1º PAVIMENTO - SUBSOLO</v>
      </c>
      <c r="L1070" s="231">
        <f t="shared" ca="1" si="709"/>
        <v>0</v>
      </c>
      <c r="M1070" s="228" t="str">
        <f t="shared" ref="M1070:M1112" ca="1" si="737">IF(B1070="*","",IF(B1070="SUBETAPA",S1070,OFFSET(M1070,-1,0)))</f>
        <v xml:space="preserve">   Mão de Obra</v>
      </c>
      <c r="N1070" s="231">
        <f t="shared" ca="1" si="710"/>
        <v>1</v>
      </c>
      <c r="O1070" s="228" t="str">
        <f t="shared" ref="O1070:O1112" ca="1" si="738">IF(B1070="*","",IF(B1070="SERVIÇO",S1070,OFFSET(O1070,-1,0)))</f>
        <v>Mao de obra de instalacoes eletricas</v>
      </c>
      <c r="P1070" s="232" t="str">
        <f>IF(S1070="","",IF(Orçamento!$B1070="INSUMO",S1070,""))</f>
        <v/>
      </c>
      <c r="Q1070" s="244" t="str">
        <f t="shared" si="731"/>
        <v/>
      </c>
      <c r="R1070" s="234">
        <f t="shared" ca="1" si="732"/>
        <v>192.34485000000001</v>
      </c>
      <c r="S1070" s="233" t="s">
        <v>679</v>
      </c>
      <c r="T1070" s="242" t="s">
        <v>35</v>
      </c>
      <c r="U1070" s="235" t="str">
        <f>IF($B1070="insumo",R1070,"")</f>
        <v/>
      </c>
      <c r="V1070" s="320" t="s">
        <v>35</v>
      </c>
      <c r="W1070" s="236" t="str">
        <f>IFERROR(IF(B1070="INSUMO",_xlfn.XLOOKUP(S1070,Insumos!A:A,Insumos!C:C),""),"Inserir Preço")</f>
        <v/>
      </c>
      <c r="X1070" s="235" t="str">
        <f t="shared" ca="1" si="733"/>
        <v/>
      </c>
      <c r="Y1070" s="236" t="str">
        <f t="shared" si="730"/>
        <v/>
      </c>
      <c r="Z1070" s="237">
        <f t="shared" ca="1" si="712"/>
        <v>35315.912778424652</v>
      </c>
      <c r="AA1070" s="238"/>
      <c r="AB1070" s="233" t="str">
        <f>IF(B1070="insumo",_xlfn.XLOOKUP(S1070,Insumos!A:A,Insumos!D:D),"")</f>
        <v/>
      </c>
      <c r="AC1070" s="239">
        <f t="shared" ca="1" si="713"/>
        <v>5.0663896704647056E-3</v>
      </c>
      <c r="AE1070" s="240">
        <f ca="1">IFERROR(IF(OR(Z1070="",Z1070=0),"",IF(AF1070="","",IF(AF1070="R$/mês",Z1070/OBRA!$D$12,IF(AF1070="R$/m²",Z1070/OBRA!$D$10,IF(AF1070="R$/apto",Orçamento!Z1070/OBRA!$D$11,""))))),"")</f>
        <v>18.17382027779761</v>
      </c>
      <c r="AF1070" s="241" t="s">
        <v>154</v>
      </c>
    </row>
    <row r="1071" spans="1:32" s="10" customFormat="1" ht="13.15" hidden="1" customHeight="1" outlineLevel="3" collapsed="1" x14ac:dyDescent="0.2">
      <c r="A1071" s="227"/>
      <c r="B1071" s="228" t="s">
        <v>3</v>
      </c>
      <c r="C1071" s="229" t="str">
        <f t="shared" si="711"/>
        <v/>
      </c>
      <c r="D1071" s="227" t="str">
        <f t="shared" ca="1" si="705"/>
        <v>08.001.001</v>
      </c>
      <c r="E1071" s="228" t="str">
        <f t="shared" ca="1" si="706"/>
        <v>07.005.006.001</v>
      </c>
      <c r="F1071" s="230">
        <f ca="1">IF($B1071="UNIDADE CONSTRUTIVA",OFFSET(F1071,-1,0)+1,LARGE(F$10:F1070,1))</f>
        <v>2</v>
      </c>
      <c r="G1071" s="228" t="str">
        <f t="shared" ca="1" si="734"/>
        <v xml:space="preserve">   GERENCIAMENTO EXECUTIVO</v>
      </c>
      <c r="H1071" s="230">
        <f t="shared" ca="1" si="707"/>
        <v>8</v>
      </c>
      <c r="I1071" s="228" t="str">
        <f t="shared" ca="1" si="735"/>
        <v xml:space="preserve">   SISTEMAS E INSTALAÇÕES HIDROSSANITÁRIAS | DRENAGEM</v>
      </c>
      <c r="J1071" s="230">
        <f t="shared" ca="1" si="708"/>
        <v>1</v>
      </c>
      <c r="K1071" s="228" t="str">
        <f t="shared" ca="1" si="736"/>
        <v xml:space="preserve">   SISTEMAS E INSTALAÇÕES HIDROSSANITÁRIAS | DRENAGEM - 1º PAVIMENTO - SUBSOLO</v>
      </c>
      <c r="L1071" s="231">
        <f t="shared" ca="1" si="709"/>
        <v>1</v>
      </c>
      <c r="M1071" s="228" t="str">
        <f t="shared" ca="1" si="737"/>
        <v xml:space="preserve">   Instalações de Água Fria</v>
      </c>
      <c r="N1071" s="231">
        <f t="shared" ca="1" si="710"/>
        <v>0</v>
      </c>
      <c r="O1071" s="228" t="str">
        <f t="shared" ca="1" si="738"/>
        <v>Mao de obra de instalacoes eletricas</v>
      </c>
      <c r="P1071" s="232" t="str">
        <f>IF(S1071="","",IF(Orçamento!$B1071="INSUMO",S1071,""))</f>
        <v/>
      </c>
      <c r="Q1071" s="244" t="str">
        <f t="shared" si="731"/>
        <v/>
      </c>
      <c r="R1071" s="234">
        <f t="shared" ca="1" si="732"/>
        <v>192.34485000000001</v>
      </c>
      <c r="S1071" s="233" t="s">
        <v>448</v>
      </c>
      <c r="T1071" s="242" t="s">
        <v>35</v>
      </c>
      <c r="U1071" s="235" t="str">
        <f>IF($B1071="insumo",R1071,"")</f>
        <v/>
      </c>
      <c r="V1071" s="320" t="s">
        <v>35</v>
      </c>
      <c r="W1071" s="236" t="str">
        <f>IFERROR(IF(B1071="INSUMO",_xlfn.XLOOKUP(S1071,Insumos!A:A,Insumos!C:C),""),"Inserir Preço")</f>
        <v/>
      </c>
      <c r="X1071" s="235" t="str">
        <f t="shared" ca="1" si="733"/>
        <v/>
      </c>
      <c r="Y1071" s="236" t="str">
        <f t="shared" si="730"/>
        <v/>
      </c>
      <c r="Z1071" s="237">
        <f t="shared" ca="1" si="712"/>
        <v>7798.7220899209133</v>
      </c>
      <c r="AA1071" s="238"/>
      <c r="AB1071" s="233" t="str">
        <f>IF(B1071="insumo",_xlfn.XLOOKUP(S1071,Insumos!A:A,Insumos!D:D),"")</f>
        <v/>
      </c>
      <c r="AC1071" s="239">
        <f t="shared" ca="1" si="713"/>
        <v>1.1187977863434608E-3</v>
      </c>
      <c r="AE1071" s="240">
        <f ca="1">IFERROR(IF(OR(Z1071="",Z1071=0),"",IF(AF1071="","",IF(AF1071="R$/mês",Z1071/OBRA!$D$12,IF(AF1071="R$/m²",Z1071/OBRA!$D$10,IF(AF1071="R$/apto",Orçamento!Z1071/OBRA!$D$11,""))))),"")</f>
        <v>4.013277939266537</v>
      </c>
      <c r="AF1071" s="241" t="s">
        <v>154</v>
      </c>
    </row>
    <row r="1072" spans="1:32" s="10" customFormat="1" ht="13.15" hidden="1" customHeight="1" outlineLevel="4" x14ac:dyDescent="0.2">
      <c r="A1072" s="227"/>
      <c r="B1072" s="228" t="s">
        <v>4</v>
      </c>
      <c r="C1072" s="229">
        <f t="shared" si="711"/>
        <v>1</v>
      </c>
      <c r="D1072" s="227" t="str">
        <f t="shared" ca="1" si="705"/>
        <v>08.001.001.001</v>
      </c>
      <c r="E1072" s="228" t="str">
        <f t="shared" ca="1" si="706"/>
        <v>08.001.001.001</v>
      </c>
      <c r="F1072" s="230">
        <f ca="1">IF($B1072="UNIDADE CONSTRUTIVA",OFFSET(F1072,-1,0)+1,LARGE(F$10:F1071,1))</f>
        <v>2</v>
      </c>
      <c r="G1072" s="228" t="str">
        <f t="shared" ca="1" si="734"/>
        <v xml:space="preserve">   GERENCIAMENTO EXECUTIVO</v>
      </c>
      <c r="H1072" s="230">
        <f t="shared" ca="1" si="707"/>
        <v>8</v>
      </c>
      <c r="I1072" s="228" t="str">
        <f t="shared" ca="1" si="735"/>
        <v xml:space="preserve">   SISTEMAS E INSTALAÇÕES HIDROSSANITÁRIAS | DRENAGEM</v>
      </c>
      <c r="J1072" s="230">
        <f t="shared" ca="1" si="708"/>
        <v>1</v>
      </c>
      <c r="K1072" s="228" t="str">
        <f t="shared" ca="1" si="736"/>
        <v xml:space="preserve">   SISTEMAS E INSTALAÇÕES HIDROSSANITÁRIAS | DRENAGEM - 1º PAVIMENTO - SUBSOLO</v>
      </c>
      <c r="L1072" s="231">
        <f t="shared" ca="1" si="709"/>
        <v>1</v>
      </c>
      <c r="M1072" s="228" t="str">
        <f t="shared" ca="1" si="737"/>
        <v xml:space="preserve">   Instalações de Água Fria</v>
      </c>
      <c r="N1072" s="231">
        <f t="shared" ca="1" si="710"/>
        <v>1</v>
      </c>
      <c r="O1072" s="228" t="str">
        <f t="shared" ca="1" si="738"/>
        <v>Instalacoes de Agua Fria - Sub Solo</v>
      </c>
      <c r="P1072" s="232" t="str">
        <f>IF(S1072="","",IF(Orçamento!$B1072="INSUMO",S1072,""))</f>
        <v/>
      </c>
      <c r="Q1072" s="244" t="str">
        <f t="shared" si="731"/>
        <v>Instalacoes de Agua Fria - Sub Solo</v>
      </c>
      <c r="R1072" s="234">
        <f t="shared" ca="1" si="732"/>
        <v>1</v>
      </c>
      <c r="S1072" s="233" t="s">
        <v>1068</v>
      </c>
      <c r="T1072" s="242" t="s">
        <v>170</v>
      </c>
      <c r="U1072" s="235">
        <v>1</v>
      </c>
      <c r="V1072" s="320" t="s">
        <v>35</v>
      </c>
      <c r="W1072" s="236" t="str">
        <f>IFERROR(IF(B1072="INSUMO",_xlfn.XLOOKUP(S1072,Insumos!A:A,Insumos!C:C),""),"Inserir Preço")</f>
        <v/>
      </c>
      <c r="X1072" s="235">
        <f t="shared" ca="1" si="733"/>
        <v>1</v>
      </c>
      <c r="Y1072" s="236">
        <f t="shared" ca="1" si="730"/>
        <v>7798.7220899209133</v>
      </c>
      <c r="Z1072" s="237">
        <f t="shared" ca="1" si="712"/>
        <v>7798.7220899209133</v>
      </c>
      <c r="AA1072" s="238"/>
      <c r="AB1072" s="233" t="str">
        <f>IF(B1072="insumo",_xlfn.XLOOKUP(S1072,Insumos!A:A,Insumos!D:D),"")</f>
        <v/>
      </c>
      <c r="AC1072" s="239">
        <f t="shared" ca="1" si="713"/>
        <v>1.1187977863434608E-3</v>
      </c>
      <c r="AE1072" s="240">
        <f ca="1">IFERROR(IF(OR(Z1072="",Z1072=0),"",IF(AF1072="","",IF(AF1072="R$/mês",Z1072/OBRA!$D$12,IF(AF1072="R$/m²",Z1072/OBRA!$D$10,IF(AF1072="R$/apto",Orçamento!Z1072/OBRA!$D$11,""))))),"")</f>
        <v>4.013277939266537</v>
      </c>
      <c r="AF1072" s="241" t="s">
        <v>154</v>
      </c>
    </row>
    <row r="1073" spans="1:32" s="10" customFormat="1" ht="13.15" hidden="1" customHeight="1" outlineLevel="4" x14ac:dyDescent="0.2">
      <c r="A1073" s="227"/>
      <c r="B1073" s="228" t="s">
        <v>19</v>
      </c>
      <c r="C1073" s="229">
        <f t="shared" si="711"/>
        <v>1</v>
      </c>
      <c r="D1073" s="227" t="str">
        <f t="shared" si="705"/>
        <v/>
      </c>
      <c r="E1073" s="228" t="str">
        <f t="shared" ca="1" si="706"/>
        <v>08.001.001.001</v>
      </c>
      <c r="F1073" s="230">
        <f ca="1">IF($B1073="UNIDADE CONSTRUTIVA",OFFSET(F1073,-1,0)+1,LARGE(F$10:F1072,1))</f>
        <v>2</v>
      </c>
      <c r="G1073" s="228" t="str">
        <f t="shared" ca="1" si="734"/>
        <v xml:space="preserve">   GERENCIAMENTO EXECUTIVO</v>
      </c>
      <c r="H1073" s="230">
        <f t="shared" ca="1" si="707"/>
        <v>8</v>
      </c>
      <c r="I1073" s="228" t="str">
        <f t="shared" ca="1" si="735"/>
        <v xml:space="preserve">   SISTEMAS E INSTALAÇÕES HIDROSSANITÁRIAS | DRENAGEM</v>
      </c>
      <c r="J1073" s="230">
        <f t="shared" ca="1" si="708"/>
        <v>1</v>
      </c>
      <c r="K1073" s="228" t="str">
        <f t="shared" ca="1" si="736"/>
        <v xml:space="preserve">   SISTEMAS E INSTALAÇÕES HIDROSSANITÁRIAS | DRENAGEM - 1º PAVIMENTO - SUBSOLO</v>
      </c>
      <c r="L1073" s="231">
        <f t="shared" ca="1" si="709"/>
        <v>1</v>
      </c>
      <c r="M1073" s="228" t="str">
        <f t="shared" ca="1" si="737"/>
        <v xml:space="preserve">   Instalações de Água Fria</v>
      </c>
      <c r="N1073" s="231">
        <f t="shared" ca="1" si="710"/>
        <v>1</v>
      </c>
      <c r="O1073" s="228" t="str">
        <f t="shared" ca="1" si="738"/>
        <v>Instalacoes de Agua Fria - Sub Solo</v>
      </c>
      <c r="P1073" s="232" t="str">
        <f>IF(S1073="","",IF(Orçamento!$B1073="INSUMO",S1073,""))</f>
        <v>INSTALAÇÕES AGUA FRIA - SUBSOLO</v>
      </c>
      <c r="Q1073" s="244" t="str">
        <f t="shared" si="731"/>
        <v/>
      </c>
      <c r="R1073" s="234">
        <f t="shared" ca="1" si="732"/>
        <v>1</v>
      </c>
      <c r="S1073" s="233" t="s">
        <v>1006</v>
      </c>
      <c r="T1073" s="242" t="str">
        <f>_xlfn.XLOOKUP(S1073,Insumos!$A$3:$A$371,Insumos!$B$3:$B$371)</f>
        <v>UN</v>
      </c>
      <c r="U1073" s="235">
        <f ca="1">IF($B1073="insumo",R1073,"")</f>
        <v>1</v>
      </c>
      <c r="V1073" s="320">
        <v>1</v>
      </c>
      <c r="W1073" s="236">
        <f>IFERROR(IF(B1073="INSUMO",_xlfn.XLOOKUP(S1073,Insumos!A:A,Insumos!C:C),""),"Inserir Preço")</f>
        <v>7798.7220899209133</v>
      </c>
      <c r="X1073" s="235">
        <f t="shared" ca="1" si="733"/>
        <v>1</v>
      </c>
      <c r="Y1073" s="236">
        <f t="shared" si="730"/>
        <v>7798.7220899209133</v>
      </c>
      <c r="Z1073" s="237">
        <f t="shared" ca="1" si="712"/>
        <v>7798.7220899209133</v>
      </c>
      <c r="AA1073" s="238"/>
      <c r="AB1073" s="233" t="str">
        <f>IF(B1073="insumo",_xlfn.XLOOKUP(S1073,Insumos!A:A,Insumos!D:D),"")</f>
        <v>Estimativa</v>
      </c>
      <c r="AC1073" s="239">
        <f t="shared" ca="1" si="713"/>
        <v>1.1187977863434608E-3</v>
      </c>
      <c r="AE1073" s="240">
        <f ca="1">IFERROR(IF(OR(Z1073="",Z1073=0),"",IF(AF1073="","",IF(AF1073="R$/mês",Z1073/OBRA!$D$12,IF(AF1073="R$/m²",Z1073/OBRA!$D$10,IF(AF1073="R$/apto",Orçamento!Z1073/OBRA!$D$11,""))))),"")</f>
        <v>4.013277939266537</v>
      </c>
      <c r="AF1073" s="241" t="s">
        <v>154</v>
      </c>
    </row>
    <row r="1074" spans="1:32" s="10" customFormat="1" ht="13.15" hidden="1" customHeight="1" outlineLevel="3" collapsed="1" x14ac:dyDescent="0.2">
      <c r="A1074" s="227"/>
      <c r="B1074" s="228" t="s">
        <v>3</v>
      </c>
      <c r="C1074" s="229" t="str">
        <f t="shared" si="711"/>
        <v/>
      </c>
      <c r="D1074" s="227" t="str">
        <f t="shared" ca="1" si="705"/>
        <v>08.001.002</v>
      </c>
      <c r="E1074" s="228" t="str">
        <f t="shared" ca="1" si="706"/>
        <v>08.001.001.001</v>
      </c>
      <c r="F1074" s="230">
        <f ca="1">IF($B1074="UNIDADE CONSTRUTIVA",OFFSET(F1074,-1,0)+1,LARGE(F$10:F1073,1))</f>
        <v>2</v>
      </c>
      <c r="G1074" s="228" t="str">
        <f t="shared" ca="1" si="734"/>
        <v xml:space="preserve">   GERENCIAMENTO EXECUTIVO</v>
      </c>
      <c r="H1074" s="230">
        <f t="shared" ca="1" si="707"/>
        <v>8</v>
      </c>
      <c r="I1074" s="228" t="str">
        <f t="shared" ca="1" si="735"/>
        <v xml:space="preserve">   SISTEMAS E INSTALAÇÕES HIDROSSANITÁRIAS | DRENAGEM</v>
      </c>
      <c r="J1074" s="230">
        <f t="shared" ca="1" si="708"/>
        <v>1</v>
      </c>
      <c r="K1074" s="228" t="str">
        <f t="shared" ca="1" si="736"/>
        <v xml:space="preserve">   SISTEMAS E INSTALAÇÕES HIDROSSANITÁRIAS | DRENAGEM - 1º PAVIMENTO - SUBSOLO</v>
      </c>
      <c r="L1074" s="231">
        <f t="shared" ca="1" si="709"/>
        <v>2</v>
      </c>
      <c r="M1074" s="228" t="str">
        <f t="shared" ca="1" si="737"/>
        <v xml:space="preserve">   Instalações de Água Pluvial</v>
      </c>
      <c r="N1074" s="231">
        <f t="shared" ca="1" si="710"/>
        <v>0</v>
      </c>
      <c r="O1074" s="228" t="str">
        <f t="shared" ca="1" si="738"/>
        <v>Instalacoes de Agua Fria - Sub Solo</v>
      </c>
      <c r="P1074" s="232" t="str">
        <f>IF(S1074="","",IF(Orçamento!$B1074="INSUMO",S1074,""))</f>
        <v/>
      </c>
      <c r="Q1074" s="244" t="str">
        <f t="shared" si="731"/>
        <v/>
      </c>
      <c r="R1074" s="234">
        <f t="shared" ca="1" si="732"/>
        <v>1</v>
      </c>
      <c r="S1074" s="233" t="s">
        <v>449</v>
      </c>
      <c r="T1074" s="242" t="s">
        <v>35</v>
      </c>
      <c r="U1074" s="235" t="str">
        <f>IF($B1074="insumo",R1074,"")</f>
        <v/>
      </c>
      <c r="V1074" s="320" t="s">
        <v>35</v>
      </c>
      <c r="W1074" s="236" t="str">
        <f>IFERROR(IF(B1074="INSUMO",_xlfn.XLOOKUP(S1074,Insumos!A:A,Insumos!C:C),""),"Inserir Preço")</f>
        <v/>
      </c>
      <c r="X1074" s="235" t="str">
        <f t="shared" ca="1" si="733"/>
        <v/>
      </c>
      <c r="Y1074" s="236" t="str">
        <f t="shared" si="730"/>
        <v/>
      </c>
      <c r="Z1074" s="237">
        <f t="shared" ca="1" si="712"/>
        <v>3899.3610449604566</v>
      </c>
      <c r="AA1074" s="238"/>
      <c r="AB1074" s="233" t="str">
        <f>IF(B1074="insumo",_xlfn.XLOOKUP(S1074,Insumos!A:A,Insumos!D:D),"")</f>
        <v/>
      </c>
      <c r="AC1074" s="239">
        <f t="shared" ca="1" si="713"/>
        <v>5.5939889317173038E-4</v>
      </c>
      <c r="AE1074" s="240">
        <f ca="1">IFERROR(IF(OR(Z1074="",Z1074=0),"",IF(AF1074="","",IF(AF1074="R$/mês",Z1074/OBRA!$D$12,IF(AF1074="R$/m²",Z1074/OBRA!$D$10,IF(AF1074="R$/apto",Orçamento!Z1074/OBRA!$D$11,""))))),"")</f>
        <v>2.0066389696332685</v>
      </c>
      <c r="AF1074" s="241" t="s">
        <v>154</v>
      </c>
    </row>
    <row r="1075" spans="1:32" s="10" customFormat="1" ht="13.15" hidden="1" customHeight="1" outlineLevel="4" x14ac:dyDescent="0.2">
      <c r="A1075" s="227"/>
      <c r="B1075" s="228" t="s">
        <v>4</v>
      </c>
      <c r="C1075" s="229">
        <f t="shared" si="711"/>
        <v>1</v>
      </c>
      <c r="D1075" s="227" t="str">
        <f t="shared" ca="1" si="705"/>
        <v>08.001.002.001</v>
      </c>
      <c r="E1075" s="228" t="str">
        <f t="shared" ca="1" si="706"/>
        <v>08.001.002.001</v>
      </c>
      <c r="F1075" s="230">
        <f ca="1">IF($B1075="UNIDADE CONSTRUTIVA",OFFSET(F1075,-1,0)+1,LARGE(F$10:F1074,1))</f>
        <v>2</v>
      </c>
      <c r="G1075" s="228" t="str">
        <f t="shared" ca="1" si="734"/>
        <v xml:space="preserve">   GERENCIAMENTO EXECUTIVO</v>
      </c>
      <c r="H1075" s="230">
        <f t="shared" ca="1" si="707"/>
        <v>8</v>
      </c>
      <c r="I1075" s="228" t="str">
        <f t="shared" ca="1" si="735"/>
        <v xml:space="preserve">   SISTEMAS E INSTALAÇÕES HIDROSSANITÁRIAS | DRENAGEM</v>
      </c>
      <c r="J1075" s="230">
        <f t="shared" ca="1" si="708"/>
        <v>1</v>
      </c>
      <c r="K1075" s="228" t="str">
        <f t="shared" ca="1" si="736"/>
        <v xml:space="preserve">   SISTEMAS E INSTALAÇÕES HIDROSSANITÁRIAS | DRENAGEM - 1º PAVIMENTO - SUBSOLO</v>
      </c>
      <c r="L1075" s="231">
        <f t="shared" ca="1" si="709"/>
        <v>2</v>
      </c>
      <c r="M1075" s="228" t="str">
        <f t="shared" ca="1" si="737"/>
        <v xml:space="preserve">   Instalações de Água Pluvial</v>
      </c>
      <c r="N1075" s="231">
        <f t="shared" ca="1" si="710"/>
        <v>1</v>
      </c>
      <c r="O1075" s="228" t="str">
        <f t="shared" ca="1" si="738"/>
        <v>Instalacoes de Aguas Pluviais - Sub Solo</v>
      </c>
      <c r="P1075" s="232" t="str">
        <f>IF(S1075="","",IF(Orçamento!$B1075="INSUMO",S1075,""))</f>
        <v/>
      </c>
      <c r="Q1075" s="244" t="str">
        <f t="shared" si="731"/>
        <v>Instalacoes de Aguas Pluviais - Sub Solo</v>
      </c>
      <c r="R1075" s="234">
        <f t="shared" ca="1" si="732"/>
        <v>1</v>
      </c>
      <c r="S1075" s="233" t="s">
        <v>1081</v>
      </c>
      <c r="T1075" s="242" t="s">
        <v>170</v>
      </c>
      <c r="U1075" s="235">
        <v>1</v>
      </c>
      <c r="V1075" s="320" t="s">
        <v>35</v>
      </c>
      <c r="W1075" s="236" t="str">
        <f>IFERROR(IF(B1075="INSUMO",_xlfn.XLOOKUP(S1075,Insumos!A:A,Insumos!C:C),""),"Inserir Preço")</f>
        <v/>
      </c>
      <c r="X1075" s="235">
        <f t="shared" ca="1" si="733"/>
        <v>1</v>
      </c>
      <c r="Y1075" s="236">
        <f t="shared" ca="1" si="730"/>
        <v>3899.3610449604566</v>
      </c>
      <c r="Z1075" s="237">
        <f t="shared" ca="1" si="712"/>
        <v>3899.3610449604566</v>
      </c>
      <c r="AA1075" s="238"/>
      <c r="AB1075" s="233" t="str">
        <f>IF(B1075="insumo",_xlfn.XLOOKUP(S1075,Insumos!A:A,Insumos!D:D),"")</f>
        <v/>
      </c>
      <c r="AC1075" s="239">
        <f t="shared" ca="1" si="713"/>
        <v>5.5939889317173038E-4</v>
      </c>
      <c r="AE1075" s="240">
        <f ca="1">IFERROR(IF(OR(Z1075="",Z1075=0),"",IF(AF1075="","",IF(AF1075="R$/mês",Z1075/OBRA!$D$12,IF(AF1075="R$/m²",Z1075/OBRA!$D$10,IF(AF1075="R$/apto",Orçamento!Z1075/OBRA!$D$11,""))))),"")</f>
        <v>2.0066389696332685</v>
      </c>
      <c r="AF1075" s="241" t="s">
        <v>154</v>
      </c>
    </row>
    <row r="1076" spans="1:32" s="10" customFormat="1" ht="13.15" hidden="1" customHeight="1" outlineLevel="4" x14ac:dyDescent="0.2">
      <c r="A1076" s="227"/>
      <c r="B1076" s="228" t="s">
        <v>19</v>
      </c>
      <c r="C1076" s="229">
        <f t="shared" si="711"/>
        <v>1</v>
      </c>
      <c r="D1076" s="227" t="str">
        <f t="shared" si="705"/>
        <v/>
      </c>
      <c r="E1076" s="228" t="str">
        <f t="shared" ca="1" si="706"/>
        <v>08.001.002.001</v>
      </c>
      <c r="F1076" s="230">
        <f ca="1">IF($B1076="UNIDADE CONSTRUTIVA",OFFSET(F1076,-1,0)+1,LARGE(F$10:F1075,1))</f>
        <v>2</v>
      </c>
      <c r="G1076" s="228" t="str">
        <f t="shared" ca="1" si="734"/>
        <v xml:space="preserve">   GERENCIAMENTO EXECUTIVO</v>
      </c>
      <c r="H1076" s="230">
        <f t="shared" ca="1" si="707"/>
        <v>8</v>
      </c>
      <c r="I1076" s="228" t="str">
        <f t="shared" ca="1" si="735"/>
        <v xml:space="preserve">   SISTEMAS E INSTALAÇÕES HIDROSSANITÁRIAS | DRENAGEM</v>
      </c>
      <c r="J1076" s="230">
        <f t="shared" ca="1" si="708"/>
        <v>1</v>
      </c>
      <c r="K1076" s="228" t="str">
        <f t="shared" ca="1" si="736"/>
        <v xml:space="preserve">   SISTEMAS E INSTALAÇÕES HIDROSSANITÁRIAS | DRENAGEM - 1º PAVIMENTO - SUBSOLO</v>
      </c>
      <c r="L1076" s="231">
        <f t="shared" ca="1" si="709"/>
        <v>2</v>
      </c>
      <c r="M1076" s="228" t="str">
        <f t="shared" ca="1" si="737"/>
        <v xml:space="preserve">   Instalações de Água Pluvial</v>
      </c>
      <c r="N1076" s="231">
        <f t="shared" ca="1" si="710"/>
        <v>1</v>
      </c>
      <c r="O1076" s="228" t="str">
        <f t="shared" ca="1" si="738"/>
        <v>Instalacoes de Aguas Pluviais - Sub Solo</v>
      </c>
      <c r="P1076" s="232" t="str">
        <f>IF(S1076="","",IF(Orçamento!$B1076="INSUMO",S1076,""))</f>
        <v>INSTALAÇÕES AGUA PLUVIAIS - SUBSOLO</v>
      </c>
      <c r="Q1076" s="244" t="str">
        <f t="shared" si="731"/>
        <v/>
      </c>
      <c r="R1076" s="234">
        <f t="shared" ca="1" si="732"/>
        <v>1</v>
      </c>
      <c r="S1076" s="343" t="s">
        <v>1011</v>
      </c>
      <c r="T1076" s="242" t="str">
        <f>_xlfn.XLOOKUP(S1076,Insumos!$A$3:$A$371,Insumos!$B$3:$B$371)</f>
        <v>UN</v>
      </c>
      <c r="U1076" s="235">
        <f ca="1">IF($B1076="insumo",R1076,"")</f>
        <v>1</v>
      </c>
      <c r="V1076" s="320">
        <v>1</v>
      </c>
      <c r="W1076" s="236">
        <f>IFERROR(IF(B1076="INSUMO",_xlfn.XLOOKUP(S1076,Insumos!A:A,Insumos!C:C),""),"Inserir Preço")</f>
        <v>3899.3610449604566</v>
      </c>
      <c r="X1076" s="235">
        <f t="shared" ca="1" si="733"/>
        <v>1</v>
      </c>
      <c r="Y1076" s="236">
        <f t="shared" si="730"/>
        <v>3899.3610449604566</v>
      </c>
      <c r="Z1076" s="237">
        <f t="shared" ca="1" si="712"/>
        <v>3899.3610449604566</v>
      </c>
      <c r="AA1076" s="238"/>
      <c r="AB1076" s="233" t="str">
        <f>IF(B1076="insumo",_xlfn.XLOOKUP(S1076,Insumos!A:A,Insumos!D:D),"")</f>
        <v>Estimativa</v>
      </c>
      <c r="AC1076" s="239">
        <f t="shared" ca="1" si="713"/>
        <v>5.5939889317173038E-4</v>
      </c>
      <c r="AE1076" s="240">
        <f ca="1">IFERROR(IF(OR(Z1076="",Z1076=0),"",IF(AF1076="","",IF(AF1076="R$/mês",Z1076/OBRA!$D$12,IF(AF1076="R$/m²",Z1076/OBRA!$D$10,IF(AF1076="R$/apto",Orçamento!Z1076/OBRA!$D$11,""))))),"")</f>
        <v>2.0066389696332685</v>
      </c>
      <c r="AF1076" s="241" t="s">
        <v>154</v>
      </c>
    </row>
    <row r="1077" spans="1:32" s="10" customFormat="1" ht="13.15" hidden="1" customHeight="1" outlineLevel="3" collapsed="1" x14ac:dyDescent="0.2">
      <c r="A1077" s="227"/>
      <c r="B1077" s="228" t="s">
        <v>3</v>
      </c>
      <c r="C1077" s="229" t="str">
        <f t="shared" si="711"/>
        <v/>
      </c>
      <c r="D1077" s="227" t="str">
        <f t="shared" ca="1" si="705"/>
        <v>08.001.003</v>
      </c>
      <c r="E1077" s="228" t="str">
        <f t="shared" ca="1" si="706"/>
        <v>08.001.002.001</v>
      </c>
      <c r="F1077" s="230">
        <f ca="1">IF($B1077="UNIDADE CONSTRUTIVA",OFFSET(F1077,-1,0)+1,LARGE(F$10:F1076,1))</f>
        <v>2</v>
      </c>
      <c r="G1077" s="228" t="str">
        <f t="shared" ca="1" si="734"/>
        <v xml:space="preserve">   GERENCIAMENTO EXECUTIVO</v>
      </c>
      <c r="H1077" s="230">
        <f t="shared" ca="1" si="707"/>
        <v>8</v>
      </c>
      <c r="I1077" s="228" t="str">
        <f t="shared" ca="1" si="735"/>
        <v xml:space="preserve">   SISTEMAS E INSTALAÇÕES HIDROSSANITÁRIAS | DRENAGEM</v>
      </c>
      <c r="J1077" s="230">
        <f t="shared" ca="1" si="708"/>
        <v>1</v>
      </c>
      <c r="K1077" s="228" t="str">
        <f t="shared" ca="1" si="736"/>
        <v xml:space="preserve">   SISTEMAS E INSTALAÇÕES HIDROSSANITÁRIAS | DRENAGEM - 1º PAVIMENTO - SUBSOLO</v>
      </c>
      <c r="L1077" s="231">
        <f t="shared" ca="1" si="709"/>
        <v>3</v>
      </c>
      <c r="M1077" s="228" t="str">
        <f t="shared" ca="1" si="737"/>
        <v xml:space="preserve">   Instalações de Esgoto</v>
      </c>
      <c r="N1077" s="231">
        <f t="shared" ca="1" si="710"/>
        <v>0</v>
      </c>
      <c r="O1077" s="228" t="str">
        <f t="shared" ca="1" si="738"/>
        <v>Instalacoes de Aguas Pluviais - Sub Solo</v>
      </c>
      <c r="P1077" s="232" t="str">
        <f>IF(S1077="","",IF(Orçamento!$B1077="INSUMO",S1077,""))</f>
        <v/>
      </c>
      <c r="Q1077" s="244" t="str">
        <f t="shared" si="731"/>
        <v/>
      </c>
      <c r="R1077" s="234">
        <f t="shared" ca="1" si="732"/>
        <v>1</v>
      </c>
      <c r="S1077" s="233" t="s">
        <v>450</v>
      </c>
      <c r="T1077" s="242" t="s">
        <v>35</v>
      </c>
      <c r="U1077" s="235" t="str">
        <f>IF($B1077="insumo",R1077,"")</f>
        <v/>
      </c>
      <c r="V1077" s="320" t="s">
        <v>35</v>
      </c>
      <c r="W1077" s="236" t="str">
        <f>IFERROR(IF(B1077="INSUMO",_xlfn.XLOOKUP(S1077,Insumos!A:A,Insumos!C:C),""),"Inserir Preço")</f>
        <v/>
      </c>
      <c r="X1077" s="235" t="str">
        <f t="shared" ca="1" si="733"/>
        <v/>
      </c>
      <c r="Y1077" s="236" t="str">
        <f t="shared" si="730"/>
        <v/>
      </c>
      <c r="Z1077" s="237">
        <f t="shared" ca="1" si="712"/>
        <v>5849.041567440685</v>
      </c>
      <c r="AA1077" s="238"/>
      <c r="AB1077" s="233" t="str">
        <f>IF(B1077="insumo",_xlfn.XLOOKUP(S1077,Insumos!A:A,Insumos!D:D),"")</f>
        <v/>
      </c>
      <c r="AC1077" s="239">
        <f t="shared" ca="1" si="713"/>
        <v>8.3909833975759547E-4</v>
      </c>
      <c r="AE1077" s="240">
        <f ca="1">IFERROR(IF(OR(Z1077="",Z1077=0),"",IF(AF1077="","",IF(AF1077="R$/mês",Z1077/OBRA!$D$12,IF(AF1077="R$/m²",Z1077/OBRA!$D$10,IF(AF1077="R$/apto",Orçamento!Z1077/OBRA!$D$11,""))))),"")</f>
        <v>3.0099584544499027</v>
      </c>
      <c r="AF1077" s="241" t="s">
        <v>154</v>
      </c>
    </row>
    <row r="1078" spans="1:32" s="10" customFormat="1" ht="13.15" hidden="1" customHeight="1" outlineLevel="4" x14ac:dyDescent="0.2">
      <c r="A1078" s="227"/>
      <c r="B1078" s="228" t="s">
        <v>4</v>
      </c>
      <c r="C1078" s="229">
        <f t="shared" si="711"/>
        <v>1</v>
      </c>
      <c r="D1078" s="227" t="str">
        <f t="shared" ca="1" si="705"/>
        <v>08.001.003.001</v>
      </c>
      <c r="E1078" s="228" t="str">
        <f t="shared" ca="1" si="706"/>
        <v>08.001.003.001</v>
      </c>
      <c r="F1078" s="230">
        <f ca="1">IF($B1078="UNIDADE CONSTRUTIVA",OFFSET(F1078,-1,0)+1,LARGE(F$10:F1077,1))</f>
        <v>2</v>
      </c>
      <c r="G1078" s="228" t="str">
        <f t="shared" ca="1" si="734"/>
        <v xml:space="preserve">   GERENCIAMENTO EXECUTIVO</v>
      </c>
      <c r="H1078" s="230">
        <f t="shared" ca="1" si="707"/>
        <v>8</v>
      </c>
      <c r="I1078" s="228" t="str">
        <f t="shared" ca="1" si="735"/>
        <v xml:space="preserve">   SISTEMAS E INSTALAÇÕES HIDROSSANITÁRIAS | DRENAGEM</v>
      </c>
      <c r="J1078" s="230">
        <f t="shared" ca="1" si="708"/>
        <v>1</v>
      </c>
      <c r="K1078" s="228" t="str">
        <f t="shared" ca="1" si="736"/>
        <v xml:space="preserve">   SISTEMAS E INSTALAÇÕES HIDROSSANITÁRIAS | DRENAGEM - 1º PAVIMENTO - SUBSOLO</v>
      </c>
      <c r="L1078" s="231">
        <f t="shared" ca="1" si="709"/>
        <v>3</v>
      </c>
      <c r="M1078" s="228" t="str">
        <f t="shared" ca="1" si="737"/>
        <v xml:space="preserve">   Instalações de Esgoto</v>
      </c>
      <c r="N1078" s="231">
        <f t="shared" ca="1" si="710"/>
        <v>1</v>
      </c>
      <c r="O1078" s="228" t="str">
        <f t="shared" ca="1" si="738"/>
        <v>Instalacoes de Esgoto - Sub Solo</v>
      </c>
      <c r="P1078" s="232" t="str">
        <f>IF(S1078="","",IF(Orçamento!$B1078="INSUMO",S1078,""))</f>
        <v/>
      </c>
      <c r="Q1078" s="244" t="str">
        <f t="shared" si="731"/>
        <v>Instalacoes de Esgoto - Sub Solo</v>
      </c>
      <c r="R1078" s="234">
        <f t="shared" ca="1" si="732"/>
        <v>1</v>
      </c>
      <c r="S1078" s="233" t="s">
        <v>1082</v>
      </c>
      <c r="T1078" s="242" t="s">
        <v>170</v>
      </c>
      <c r="U1078" s="235">
        <v>1</v>
      </c>
      <c r="V1078" s="320" t="s">
        <v>35</v>
      </c>
      <c r="W1078" s="236" t="str">
        <f>IFERROR(IF(B1078="INSUMO",_xlfn.XLOOKUP(S1078,Insumos!A:A,Insumos!C:C),""),"Inserir Preço")</f>
        <v/>
      </c>
      <c r="X1078" s="235">
        <f t="shared" ca="1" si="733"/>
        <v>1</v>
      </c>
      <c r="Y1078" s="236">
        <f t="shared" ca="1" si="730"/>
        <v>5849.041567440685</v>
      </c>
      <c r="Z1078" s="237">
        <f t="shared" ca="1" si="712"/>
        <v>5849.041567440685</v>
      </c>
      <c r="AA1078" s="238"/>
      <c r="AB1078" s="233" t="str">
        <f>IF(B1078="insumo",_xlfn.XLOOKUP(S1078,Insumos!A:A,Insumos!D:D),"")</f>
        <v/>
      </c>
      <c r="AC1078" s="239">
        <f t="shared" ca="1" si="713"/>
        <v>8.3909833975759547E-4</v>
      </c>
      <c r="AE1078" s="240">
        <f ca="1">IFERROR(IF(OR(Z1078="",Z1078=0),"",IF(AF1078="","",IF(AF1078="R$/mês",Z1078/OBRA!$D$12,IF(AF1078="R$/m²",Z1078/OBRA!$D$10,IF(AF1078="R$/apto",Orçamento!Z1078/OBRA!$D$11,""))))),"")</f>
        <v>3.0099584544499027</v>
      </c>
      <c r="AF1078" s="241" t="s">
        <v>154</v>
      </c>
    </row>
    <row r="1079" spans="1:32" s="10" customFormat="1" ht="13.15" hidden="1" customHeight="1" outlineLevel="4" x14ac:dyDescent="0.2">
      <c r="A1079" s="227"/>
      <c r="B1079" s="228" t="s">
        <v>19</v>
      </c>
      <c r="C1079" s="229">
        <f t="shared" si="711"/>
        <v>1</v>
      </c>
      <c r="D1079" s="227" t="str">
        <f t="shared" si="705"/>
        <v/>
      </c>
      <c r="E1079" s="228" t="str">
        <f t="shared" ca="1" si="706"/>
        <v>08.001.003.001</v>
      </c>
      <c r="F1079" s="230">
        <f ca="1">IF($B1079="UNIDADE CONSTRUTIVA",OFFSET(F1079,-1,0)+1,LARGE(F$10:F1078,1))</f>
        <v>2</v>
      </c>
      <c r="G1079" s="228" t="str">
        <f t="shared" ca="1" si="734"/>
        <v xml:space="preserve">   GERENCIAMENTO EXECUTIVO</v>
      </c>
      <c r="H1079" s="230">
        <f t="shared" ca="1" si="707"/>
        <v>8</v>
      </c>
      <c r="I1079" s="228" t="str">
        <f t="shared" ca="1" si="735"/>
        <v xml:space="preserve">   SISTEMAS E INSTALAÇÕES HIDROSSANITÁRIAS | DRENAGEM</v>
      </c>
      <c r="J1079" s="230">
        <f t="shared" ca="1" si="708"/>
        <v>1</v>
      </c>
      <c r="K1079" s="228" t="str">
        <f t="shared" ca="1" si="736"/>
        <v xml:space="preserve">   SISTEMAS E INSTALAÇÕES HIDROSSANITÁRIAS | DRENAGEM - 1º PAVIMENTO - SUBSOLO</v>
      </c>
      <c r="L1079" s="231">
        <f t="shared" ca="1" si="709"/>
        <v>3</v>
      </c>
      <c r="M1079" s="228" t="str">
        <f t="shared" ca="1" si="737"/>
        <v xml:space="preserve">   Instalações de Esgoto</v>
      </c>
      <c r="N1079" s="231">
        <f t="shared" ca="1" si="710"/>
        <v>1</v>
      </c>
      <c r="O1079" s="228" t="str">
        <f t="shared" ca="1" si="738"/>
        <v>Instalacoes de Esgoto - Sub Solo</v>
      </c>
      <c r="P1079" s="232" t="str">
        <f>IF(S1079="","",IF(Orçamento!$B1079="INSUMO",S1079,""))</f>
        <v>INSTALAÇÕES ESGOTO - SUBSOLO</v>
      </c>
      <c r="Q1079" s="244" t="str">
        <f t="shared" si="731"/>
        <v/>
      </c>
      <c r="R1079" s="234">
        <f t="shared" ca="1" si="732"/>
        <v>1</v>
      </c>
      <c r="S1079" s="343" t="s">
        <v>1016</v>
      </c>
      <c r="T1079" s="242" t="str">
        <f>_xlfn.XLOOKUP(S1079,Insumos!$A$3:$A$371,Insumos!$B$3:$B$371)</f>
        <v>UN</v>
      </c>
      <c r="U1079" s="235">
        <f ca="1">IF($B1079="insumo",R1079,"")</f>
        <v>1</v>
      </c>
      <c r="V1079" s="320">
        <v>1</v>
      </c>
      <c r="W1079" s="236">
        <f>IFERROR(IF(B1079="INSUMO",_xlfn.XLOOKUP(S1079,Insumos!A:A,Insumos!C:C),""),"Inserir Preço")</f>
        <v>5849.041567440685</v>
      </c>
      <c r="X1079" s="235">
        <f t="shared" ca="1" si="733"/>
        <v>1</v>
      </c>
      <c r="Y1079" s="236">
        <f t="shared" si="730"/>
        <v>5849.041567440685</v>
      </c>
      <c r="Z1079" s="237">
        <f t="shared" ca="1" si="712"/>
        <v>5849.041567440685</v>
      </c>
      <c r="AA1079" s="238"/>
      <c r="AB1079" s="233" t="str">
        <f>IF(B1079="insumo",_xlfn.XLOOKUP(S1079,Insumos!A:A,Insumos!D:D),"")</f>
        <v>Estimativa</v>
      </c>
      <c r="AC1079" s="239">
        <f t="shared" ca="1" si="713"/>
        <v>8.3909833975759547E-4</v>
      </c>
      <c r="AE1079" s="240">
        <f ca="1">IFERROR(IF(OR(Z1079="",Z1079=0),"",IF(AF1079="","",IF(AF1079="R$/mês",Z1079/OBRA!$D$12,IF(AF1079="R$/m²",Z1079/OBRA!$D$10,IF(AF1079="R$/apto",Orçamento!Z1079/OBRA!$D$11,""))))),"")</f>
        <v>3.0099584544499027</v>
      </c>
      <c r="AF1079" s="241" t="s">
        <v>154</v>
      </c>
    </row>
    <row r="1080" spans="1:32" s="10" customFormat="1" ht="13.15" hidden="1" customHeight="1" outlineLevel="3" collapsed="1" x14ac:dyDescent="0.2">
      <c r="A1080" s="227"/>
      <c r="B1080" s="228" t="s">
        <v>3</v>
      </c>
      <c r="C1080" s="229" t="str">
        <f t="shared" si="711"/>
        <v/>
      </c>
      <c r="D1080" s="227" t="str">
        <f t="shared" ca="1" si="705"/>
        <v>08.001.004</v>
      </c>
      <c r="E1080" s="228" t="str">
        <f t="shared" ca="1" si="706"/>
        <v>08.001.003.001</v>
      </c>
      <c r="F1080" s="230">
        <f ca="1">IF($B1080="UNIDADE CONSTRUTIVA",OFFSET(F1080,-1,0)+1,LARGE(F$10:F1079,1))</f>
        <v>2</v>
      </c>
      <c r="G1080" s="228" t="str">
        <f t="shared" ca="1" si="734"/>
        <v xml:space="preserve">   GERENCIAMENTO EXECUTIVO</v>
      </c>
      <c r="H1080" s="230">
        <f t="shared" ca="1" si="707"/>
        <v>8</v>
      </c>
      <c r="I1080" s="228" t="str">
        <f t="shared" ca="1" si="735"/>
        <v xml:space="preserve">   SISTEMAS E INSTALAÇÕES HIDROSSANITÁRIAS | DRENAGEM</v>
      </c>
      <c r="J1080" s="230">
        <f t="shared" ca="1" si="708"/>
        <v>1</v>
      </c>
      <c r="K1080" s="228" t="str">
        <f t="shared" ca="1" si="736"/>
        <v xml:space="preserve">   SISTEMAS E INSTALAÇÕES HIDROSSANITÁRIAS | DRENAGEM - 1º PAVIMENTO - SUBSOLO</v>
      </c>
      <c r="L1080" s="231">
        <f t="shared" ca="1" si="709"/>
        <v>4</v>
      </c>
      <c r="M1080" s="228" t="str">
        <f t="shared" ca="1" si="737"/>
        <v xml:space="preserve">   Mão de Obra</v>
      </c>
      <c r="N1080" s="231">
        <f t="shared" ca="1" si="710"/>
        <v>0</v>
      </c>
      <c r="O1080" s="228" t="str">
        <f t="shared" ca="1" si="738"/>
        <v>Instalacoes de Esgoto - Sub Solo</v>
      </c>
      <c r="P1080" s="232" t="str">
        <f>IF(S1080="","",IF(Orçamento!$B1080="INSUMO",S1080,""))</f>
        <v/>
      </c>
      <c r="Q1080" s="244" t="str">
        <f t="shared" si="731"/>
        <v/>
      </c>
      <c r="R1080" s="234">
        <f t="shared" ca="1" si="732"/>
        <v>1</v>
      </c>
      <c r="S1080" s="233" t="s">
        <v>438</v>
      </c>
      <c r="T1080" s="242" t="s">
        <v>35</v>
      </c>
      <c r="U1080" s="235" t="str">
        <f>IF($B1080="insumo",R1080,"")</f>
        <v/>
      </c>
      <c r="V1080" s="320" t="s">
        <v>35</v>
      </c>
      <c r="W1080" s="236" t="str">
        <f>IFERROR(IF(B1080="INSUMO",_xlfn.XLOOKUP(S1080,Insumos!A:A,Insumos!C:C),""),"Inserir Preço")</f>
        <v/>
      </c>
      <c r="X1080" s="235" t="str">
        <f t="shared" ca="1" si="733"/>
        <v/>
      </c>
      <c r="Y1080" s="236" t="str">
        <f t="shared" si="730"/>
        <v/>
      </c>
      <c r="Z1080" s="237">
        <f t="shared" ca="1" si="712"/>
        <v>17768.788076102592</v>
      </c>
      <c r="AA1080" s="238"/>
      <c r="AB1080" s="233" t="str">
        <f>IF(B1080="insumo",_xlfn.XLOOKUP(S1080,Insumos!A:A,Insumos!D:D),"")</f>
        <v/>
      </c>
      <c r="AC1080" s="239">
        <f t="shared" ca="1" si="713"/>
        <v>2.5490946511919185E-3</v>
      </c>
      <c r="AE1080" s="240">
        <f ca="1">IFERROR(IF(OR(Z1080="",Z1080=0),"",IF(AF1080="","",IF(AF1080="R$/mês",Z1080/OBRA!$D$12,IF(AF1080="R$/m²",Z1080/OBRA!$D$10,IF(AF1080="R$/apto",Orçamento!Z1080/OBRA!$D$11,""))))),"")</f>
        <v>9.1439449144478999</v>
      </c>
      <c r="AF1080" s="241" t="s">
        <v>154</v>
      </c>
    </row>
    <row r="1081" spans="1:32" s="10" customFormat="1" ht="13.15" hidden="1" customHeight="1" outlineLevel="4" x14ac:dyDescent="0.2">
      <c r="A1081" s="227"/>
      <c r="B1081" s="228" t="s">
        <v>4</v>
      </c>
      <c r="C1081" s="229">
        <f t="shared" si="711"/>
        <v>5</v>
      </c>
      <c r="D1081" s="227" t="str">
        <f t="shared" ca="1" si="705"/>
        <v>08.001.004.001</v>
      </c>
      <c r="E1081" s="228" t="str">
        <f t="shared" ca="1" si="706"/>
        <v>08.001.004.001</v>
      </c>
      <c r="F1081" s="230">
        <f ca="1">IF($B1081="UNIDADE CONSTRUTIVA",OFFSET(F1081,-1,0)+1,LARGE(F$10:F1080,1))</f>
        <v>2</v>
      </c>
      <c r="G1081" s="228" t="str">
        <f t="shared" ca="1" si="734"/>
        <v xml:space="preserve">   GERENCIAMENTO EXECUTIVO</v>
      </c>
      <c r="H1081" s="230">
        <f t="shared" ca="1" si="707"/>
        <v>8</v>
      </c>
      <c r="I1081" s="228" t="str">
        <f t="shared" ca="1" si="735"/>
        <v xml:space="preserve">   SISTEMAS E INSTALAÇÕES HIDROSSANITÁRIAS | DRENAGEM</v>
      </c>
      <c r="J1081" s="230">
        <f t="shared" ca="1" si="708"/>
        <v>1</v>
      </c>
      <c r="K1081" s="228" t="str">
        <f t="shared" ca="1" si="736"/>
        <v xml:space="preserve">   SISTEMAS E INSTALAÇÕES HIDROSSANITÁRIAS | DRENAGEM - 1º PAVIMENTO - SUBSOLO</v>
      </c>
      <c r="L1081" s="231">
        <f t="shared" ca="1" si="709"/>
        <v>4</v>
      </c>
      <c r="M1081" s="228" t="str">
        <f t="shared" ca="1" si="737"/>
        <v xml:space="preserve">   Mão de Obra</v>
      </c>
      <c r="N1081" s="231">
        <f t="shared" ca="1" si="710"/>
        <v>1</v>
      </c>
      <c r="O1081" s="228" t="str">
        <f t="shared" ca="1" si="738"/>
        <v>Mao de obra de instalacoes hidrossanitárias</v>
      </c>
      <c r="P1081" s="232" t="str">
        <f>IF(S1081="","",IF(Orçamento!$B1081="INSUMO",S1081,""))</f>
        <v/>
      </c>
      <c r="Q1081" s="244" t="str">
        <f t="shared" si="731"/>
        <v>Mao de obra de instalacoes hidrossanitárias</v>
      </c>
      <c r="R1081" s="234">
        <f t="shared" ca="1" si="732"/>
        <v>483.03789999999998</v>
      </c>
      <c r="S1081" s="233" t="s">
        <v>831</v>
      </c>
      <c r="T1081" s="242" t="s">
        <v>592</v>
      </c>
      <c r="U1081" s="235">
        <f ca="1">'Custos Serviços'!B25</f>
        <v>483.03789999999998</v>
      </c>
      <c r="V1081" s="320" t="s">
        <v>35</v>
      </c>
      <c r="W1081" s="236" t="str">
        <f>IFERROR(IF(B1081="INSUMO",_xlfn.XLOOKUP(S1081,Insumos!A:A,Insumos!C:C),""),"Inserir Preço")</f>
        <v/>
      </c>
      <c r="X1081" s="235">
        <f t="shared" ca="1" si="733"/>
        <v>483.03789999999998</v>
      </c>
      <c r="Y1081" s="236">
        <f t="shared" ca="1" si="730"/>
        <v>36.785494629101763</v>
      </c>
      <c r="Z1081" s="237">
        <f t="shared" ca="1" si="712"/>
        <v>17768.788076102592</v>
      </c>
      <c r="AA1081" s="238"/>
      <c r="AB1081" s="233" t="str">
        <f>IF(B1081="insumo",_xlfn.XLOOKUP(S1081,Insumos!A:A,Insumos!D:D),"")</f>
        <v/>
      </c>
      <c r="AC1081" s="239">
        <f t="shared" ca="1" si="713"/>
        <v>2.5490946511919185E-3</v>
      </c>
      <c r="AE1081" s="240">
        <f ca="1">IFERROR(IF(OR(Z1081="",Z1081=0),"",IF(AF1081="","",IF(AF1081="R$/mês",Z1081/OBRA!$D$12,IF(AF1081="R$/m²",Z1081/OBRA!$D$10,IF(AF1081="R$/apto",Orçamento!Z1081/OBRA!$D$11,""))))),"")</f>
        <v>9.1439449144478999</v>
      </c>
      <c r="AF1081" s="241" t="s">
        <v>154</v>
      </c>
    </row>
    <row r="1082" spans="1:32" s="10" customFormat="1" ht="13.15" hidden="1" customHeight="1" outlineLevel="4" x14ac:dyDescent="0.2">
      <c r="A1082" s="227"/>
      <c r="B1082" s="228" t="s">
        <v>19</v>
      </c>
      <c r="C1082" s="229">
        <f t="shared" si="711"/>
        <v>5</v>
      </c>
      <c r="D1082" s="227" t="str">
        <f t="shared" si="705"/>
        <v/>
      </c>
      <c r="E1082" s="228" t="str">
        <f t="shared" ca="1" si="706"/>
        <v>08.001.004.001</v>
      </c>
      <c r="F1082" s="230">
        <f ca="1">IF($B1082="UNIDADE CONSTRUTIVA",OFFSET(F1082,-1,0)+1,LARGE(F$10:F1081,1))</f>
        <v>2</v>
      </c>
      <c r="G1082" s="228" t="str">
        <f ca="1">IF(B1082="*","",IF(B1082="UNIDADE CONSTRUTIVA",S1082,OFFSET(G1082,-1,0)))</f>
        <v xml:space="preserve">   GERENCIAMENTO EXECUTIVO</v>
      </c>
      <c r="H1082" s="230">
        <f t="shared" ca="1" si="707"/>
        <v>8</v>
      </c>
      <c r="I1082" s="228" t="str">
        <f ca="1">IF(B1082="*","",IF(B1082="CÉLULA CONSTRUTIVA",S1082,OFFSET(I1082,-1,0)))</f>
        <v xml:space="preserve">   SISTEMAS E INSTALAÇÕES HIDROSSANITÁRIAS | DRENAGEM</v>
      </c>
      <c r="J1082" s="230">
        <f t="shared" ca="1" si="708"/>
        <v>1</v>
      </c>
      <c r="K1082" s="228" t="str">
        <f ca="1">IF(B1082="*","",IF(B1082="ETAPA",S1082,OFFSET(K1082,-1,0)))</f>
        <v xml:space="preserve">   SISTEMAS E INSTALAÇÕES HIDROSSANITÁRIAS | DRENAGEM - 1º PAVIMENTO - SUBSOLO</v>
      </c>
      <c r="L1082" s="231">
        <f t="shared" ca="1" si="709"/>
        <v>4</v>
      </c>
      <c r="M1082" s="228" t="str">
        <f ca="1">IF(B1082="*","",IF(B1082="SUBETAPA",S1082,OFFSET(M1082,-1,0)))</f>
        <v xml:space="preserve">   Mão de Obra</v>
      </c>
      <c r="N1082" s="231">
        <f t="shared" ca="1" si="710"/>
        <v>1</v>
      </c>
      <c r="O1082" s="228" t="str">
        <f ca="1">IF(B1082="*","",IF(B1082="SERVIÇO",S1082,OFFSET(O1082,-1,0)))</f>
        <v>Mao de obra de instalacoes hidrossanitárias</v>
      </c>
      <c r="P1082" s="232" t="str">
        <f>IF(S1082="","",IF(Orçamento!$B1082="INSUMO",S1082,""))</f>
        <v>Mão de Obra para Instalação Hidrossanitárias</v>
      </c>
      <c r="Q1082" s="244" t="str">
        <f>IF(B1082="","",IF(B1082="Serviço",S1082,""))</f>
        <v/>
      </c>
      <c r="R1082" s="234">
        <f ca="1">IF(B1082="serviço",U1082,OFFSET(R1082,-1,0))</f>
        <v>483.03789999999998</v>
      </c>
      <c r="S1082" s="233" t="s">
        <v>832</v>
      </c>
      <c r="T1082" s="242" t="str">
        <f>_xlfn.XLOOKUP(S1082,Insumos!$A$3:$A$371,Insumos!$B$3:$B$371)</f>
        <v>VB</v>
      </c>
      <c r="U1082" s="235">
        <f ca="1">IF($B1082="insumo",R1082,"")</f>
        <v>483.03789999999998</v>
      </c>
      <c r="V1082" s="320">
        <v>1</v>
      </c>
      <c r="W1082" s="236">
        <f ca="1">IFERROR(IF(B1082="INSUMO",_xlfn.XLOOKUP(S1082,Insumos!A:A,Insumos!C:C),""),"Inserir Preço")</f>
        <v>36.785494629101763</v>
      </c>
      <c r="X1082" s="235">
        <f t="shared" ca="1" si="733"/>
        <v>483.03789999999998</v>
      </c>
      <c r="Y1082" s="236">
        <f t="shared" ca="1" si="730"/>
        <v>36.785494629101763</v>
      </c>
      <c r="Z1082" s="237">
        <f t="shared" ca="1" si="712"/>
        <v>17768.788076102592</v>
      </c>
      <c r="AA1082" s="238"/>
      <c r="AB1082" s="233" t="str">
        <f>IF(B1082="insumo",_xlfn.XLOOKUP(S1082,Insumos!A:A,Insumos!D:D),"")</f>
        <v>Aba Custo Serviços</v>
      </c>
      <c r="AC1082" s="239">
        <f t="shared" ca="1" si="713"/>
        <v>2.5490946511919185E-3</v>
      </c>
      <c r="AE1082" s="240">
        <f ca="1">IFERROR(IF(OR(Z1082="",Z1082=0),"",IF(AF1082="","",IF(AF1082="R$/mês",Z1082/OBRA!$D$12,IF(AF1082="R$/m²",Z1082/OBRA!$D$10,IF(AF1082="R$/apto",Orçamento!Z1082/OBRA!$D$11,""))))),"")</f>
        <v>9.1439449144478999</v>
      </c>
      <c r="AF1082" s="241" t="s">
        <v>154</v>
      </c>
    </row>
    <row r="1083" spans="1:32" s="10" customFormat="1" ht="12" customHeight="1" outlineLevel="2" collapsed="1" x14ac:dyDescent="0.2">
      <c r="A1083" s="227"/>
      <c r="B1083" s="228" t="s">
        <v>2</v>
      </c>
      <c r="C1083" s="229" t="str">
        <f t="shared" si="711"/>
        <v/>
      </c>
      <c r="D1083" s="227" t="str">
        <f t="shared" ref="D1083:D1092" ca="1" si="739">IF(B1083="Unidade Construtiva",TEXT(F1083,"00"),IF(B1083="Célula Construtiva",TEXT(H1083,"00"),IF(B1083="Etapa",CONCATENATE(TEXT(H1083,"00"),".",TEXT(J1083,"000")),IF(B1083="Subetapa",CONCATENATE(TEXT(H1083,"00"),".",TEXT(J1083,"000"),".",TEXT(L1083,"000")),IF(B1083="Serviço",CONCATENATE(TEXT(H1083,"00"),".",TEXT(J1083,"000"),".",TEXT(L1083,"000"),".",TEXT(N1083,"000")),"")))))</f>
        <v>08.002</v>
      </c>
      <c r="E1083" s="228" t="str">
        <f t="shared" ref="E1083:E1092" ca="1" si="740">IF(B1083="*","",IFERROR(IF(B1083="SERVIÇO",D1083,OFFSET(E1083,-1,0)),""))</f>
        <v>08.001.004.001</v>
      </c>
      <c r="F1083" s="230">
        <f ca="1">IF($B1083="UNIDADE CONSTRUTIVA",OFFSET(F1083,-1,0)+1,LARGE(F$10:F1082,1))</f>
        <v>2</v>
      </c>
      <c r="G1083" s="228" t="str">
        <f t="shared" ca="1" si="734"/>
        <v xml:space="preserve">   GERENCIAMENTO EXECUTIVO</v>
      </c>
      <c r="H1083" s="230">
        <f t="shared" ref="H1083:H1092" ca="1" si="741">IF(B1083="UNIDADE CONSTRUTIVA",0,IF(B1083="CÉLULA CONSTRUTIVA",OFFSET(H1083,-1,0)+1,OFFSET(H1083,-1,0)))</f>
        <v>8</v>
      </c>
      <c r="I1083" s="228" t="str">
        <f t="shared" ca="1" si="735"/>
        <v xml:space="preserve">   SISTEMAS E INSTALAÇÕES HIDROSSANITÁRIAS | DRENAGEM</v>
      </c>
      <c r="J1083" s="230">
        <f t="shared" ref="J1083:J1092" ca="1" si="742">IF(B1083="CÉLULA CONSTRUTIVA",0,IF(B1083="ETAPA",OFFSET(J1083,-1,0)+1,OFFSET(J1083,-1,0)))</f>
        <v>2</v>
      </c>
      <c r="K1083" s="228" t="str">
        <f t="shared" ca="1" si="736"/>
        <v xml:space="preserve">   SISTEMAS E INSTALAÇÕES HIDROSSANITÁRIAS | DRENAGEM - 2º PAVIMENTO - TÉRREO</v>
      </c>
      <c r="L1083" s="231">
        <f t="shared" ref="L1083:L1092" ca="1" si="743">IF(B1083="ETAPA",0,IF(B1083="SUBETAPA",OFFSET(L1083,-1,0)+1,OFFSET(L1083,-1,0)))</f>
        <v>0</v>
      </c>
      <c r="M1083" s="228" t="str">
        <f t="shared" ca="1" si="737"/>
        <v xml:space="preserve">   Mão de Obra</v>
      </c>
      <c r="N1083" s="231">
        <f t="shared" ref="N1083:N1092" ca="1" si="744">IF(B1083="Subetapa",0,IF(B1083="serviço",OFFSET(N1083,-1,0)+1,OFFSET(N1083,-1,0)))</f>
        <v>1</v>
      </c>
      <c r="O1083" s="228" t="str">
        <f t="shared" ca="1" si="738"/>
        <v>Mao de obra de instalacoes hidrossanitárias</v>
      </c>
      <c r="P1083" s="232" t="str">
        <f>IF(S1083="","",IF(Orçamento!$B1083="INSUMO",S1083,""))</f>
        <v/>
      </c>
      <c r="Q1083" s="244" t="str">
        <f t="shared" si="731"/>
        <v/>
      </c>
      <c r="R1083" s="234">
        <f t="shared" ca="1" si="732"/>
        <v>483.03789999999998</v>
      </c>
      <c r="S1083" s="233" t="s">
        <v>644</v>
      </c>
      <c r="T1083" s="242" t="s">
        <v>35</v>
      </c>
      <c r="U1083" s="235" t="str">
        <f>IF($B1083="insumo",R1083,"")</f>
        <v/>
      </c>
      <c r="V1083" s="320" t="s">
        <v>35</v>
      </c>
      <c r="W1083" s="236" t="str">
        <f>IFERROR(IF(B1083="INSUMO",_xlfn.XLOOKUP(S1083,Insumos!A:A,Insumos!C:C),""),"Inserir Preço")</f>
        <v/>
      </c>
      <c r="X1083" s="235" t="str">
        <f t="shared" ca="1" si="733"/>
        <v/>
      </c>
      <c r="Y1083" s="236" t="str">
        <f t="shared" si="730"/>
        <v/>
      </c>
      <c r="Z1083" s="237">
        <f t="shared" ca="1" si="712"/>
        <v>23902.975122589582</v>
      </c>
      <c r="AA1083" s="238"/>
      <c r="AB1083" s="233" t="str">
        <f>IF(B1083="insumo",_xlfn.XLOOKUP(S1083,Insumos!A:A,Insumos!D:D),"")</f>
        <v/>
      </c>
      <c r="AC1083" s="239">
        <f t="shared" ca="1" si="713"/>
        <v>3.4290997096483576E-3</v>
      </c>
      <c r="AE1083" s="240">
        <f ca="1">IFERROR(IF(OR(Z1083="",Z1083=0),"",IF(AF1083="","",IF(AF1083="R$/mês",Z1083/OBRA!$D$12,IF(AF1083="R$/m²",Z1083/OBRA!$D$10,IF(AF1083="R$/apto",Orçamento!Z1083/OBRA!$D$11,""))))),"")</f>
        <v>12.300641263560969</v>
      </c>
      <c r="AF1083" s="241" t="s">
        <v>154</v>
      </c>
    </row>
    <row r="1084" spans="1:32" s="10" customFormat="1" ht="13.15" hidden="1" customHeight="1" outlineLevel="3" collapsed="1" x14ac:dyDescent="0.2">
      <c r="A1084" s="227"/>
      <c r="B1084" s="228" t="s">
        <v>3</v>
      </c>
      <c r="C1084" s="229" t="str">
        <f t="shared" si="711"/>
        <v/>
      </c>
      <c r="D1084" s="227" t="str">
        <f t="shared" ca="1" si="739"/>
        <v>08.002.001</v>
      </c>
      <c r="E1084" s="228" t="str">
        <f t="shared" ca="1" si="740"/>
        <v>08.001.004.001</v>
      </c>
      <c r="F1084" s="230">
        <f ca="1">IF($B1084="UNIDADE CONSTRUTIVA",OFFSET(F1084,-1,0)+1,LARGE(F$10:F1083,1))</f>
        <v>2</v>
      </c>
      <c r="G1084" s="228" t="str">
        <f t="shared" ca="1" si="734"/>
        <v xml:space="preserve">   GERENCIAMENTO EXECUTIVO</v>
      </c>
      <c r="H1084" s="230">
        <f t="shared" ca="1" si="741"/>
        <v>8</v>
      </c>
      <c r="I1084" s="228" t="str">
        <f t="shared" ca="1" si="735"/>
        <v xml:space="preserve">   SISTEMAS E INSTALAÇÕES HIDROSSANITÁRIAS | DRENAGEM</v>
      </c>
      <c r="J1084" s="230">
        <f t="shared" ca="1" si="742"/>
        <v>2</v>
      </c>
      <c r="K1084" s="228" t="str">
        <f t="shared" ca="1" si="736"/>
        <v xml:space="preserve">   SISTEMAS E INSTALAÇÕES HIDROSSANITÁRIAS | DRENAGEM - 2º PAVIMENTO - TÉRREO</v>
      </c>
      <c r="L1084" s="231">
        <f t="shared" ca="1" si="743"/>
        <v>1</v>
      </c>
      <c r="M1084" s="228" t="str">
        <f t="shared" ca="1" si="737"/>
        <v xml:space="preserve">   Instalações de Água Fria</v>
      </c>
      <c r="N1084" s="231">
        <f t="shared" ca="1" si="744"/>
        <v>0</v>
      </c>
      <c r="O1084" s="228" t="str">
        <f t="shared" ca="1" si="738"/>
        <v>Mao de obra de instalacoes hidrossanitárias</v>
      </c>
      <c r="P1084" s="232" t="str">
        <f>IF(S1084="","",IF(Orçamento!$B1084="INSUMO",S1084,""))</f>
        <v/>
      </c>
      <c r="Q1084" s="244" t="str">
        <f t="shared" si="731"/>
        <v/>
      </c>
      <c r="R1084" s="234">
        <f t="shared" ca="1" si="732"/>
        <v>483.03789999999998</v>
      </c>
      <c r="S1084" s="233" t="s">
        <v>448</v>
      </c>
      <c r="T1084" s="242" t="s">
        <v>35</v>
      </c>
      <c r="U1084" s="235" t="str">
        <f>IF($B1084="insumo",R1084,"")</f>
        <v/>
      </c>
      <c r="V1084" s="320" t="s">
        <v>35</v>
      </c>
      <c r="W1084" s="236" t="str">
        <f>IFERROR(IF(B1084="INSUMO",_xlfn.XLOOKUP(S1084,Insumos!A:A,Insumos!C:C),""),"Inserir Preço")</f>
        <v/>
      </c>
      <c r="X1084" s="235" t="str">
        <f t="shared" ca="1" si="733"/>
        <v/>
      </c>
      <c r="Y1084" s="236" t="str">
        <f t="shared" si="730"/>
        <v/>
      </c>
      <c r="Z1084" s="237">
        <f t="shared" ca="1" si="712"/>
        <v>5278.4324526153387</v>
      </c>
      <c r="AA1084" s="238"/>
      <c r="AB1084" s="233" t="str">
        <f>IF(B1084="insumo",_xlfn.XLOOKUP(S1084,Insumos!A:A,Insumos!D:D),"")</f>
        <v/>
      </c>
      <c r="AC1084" s="239">
        <f t="shared" ca="1" si="713"/>
        <v>7.5723925987589754E-4</v>
      </c>
      <c r="AE1084" s="240">
        <f ca="1">IFERROR(IF(OR(Z1084="",Z1084=0),"",IF(AF1084="","",IF(AF1084="R$/mês",Z1084/OBRA!$D$12,IF(AF1084="R$/m²",Z1084/OBRA!$D$10,IF(AF1084="R$/apto",Orçamento!Z1084/OBRA!$D$11,""))))),"")</f>
        <v>2.7163189394026124</v>
      </c>
      <c r="AF1084" s="241" t="s">
        <v>154</v>
      </c>
    </row>
    <row r="1085" spans="1:32" s="10" customFormat="1" ht="13.15" hidden="1" customHeight="1" outlineLevel="4" x14ac:dyDescent="0.2">
      <c r="A1085" s="227"/>
      <c r="B1085" s="228" t="s">
        <v>4</v>
      </c>
      <c r="C1085" s="229">
        <f t="shared" si="711"/>
        <v>1</v>
      </c>
      <c r="D1085" s="227" t="str">
        <f t="shared" ca="1" si="739"/>
        <v>08.002.001.001</v>
      </c>
      <c r="E1085" s="228" t="str">
        <f t="shared" ca="1" si="740"/>
        <v>08.002.001.001</v>
      </c>
      <c r="F1085" s="230">
        <f ca="1">IF($B1085="UNIDADE CONSTRUTIVA",OFFSET(F1085,-1,0)+1,LARGE(F$10:F1084,1))</f>
        <v>2</v>
      </c>
      <c r="G1085" s="228" t="str">
        <f t="shared" ca="1" si="734"/>
        <v xml:space="preserve">   GERENCIAMENTO EXECUTIVO</v>
      </c>
      <c r="H1085" s="230">
        <f t="shared" ca="1" si="741"/>
        <v>8</v>
      </c>
      <c r="I1085" s="228" t="str">
        <f t="shared" ca="1" si="735"/>
        <v xml:space="preserve">   SISTEMAS E INSTALAÇÕES HIDROSSANITÁRIAS | DRENAGEM</v>
      </c>
      <c r="J1085" s="230">
        <f t="shared" ca="1" si="742"/>
        <v>2</v>
      </c>
      <c r="K1085" s="228" t="str">
        <f t="shared" ca="1" si="736"/>
        <v xml:space="preserve">   SISTEMAS E INSTALAÇÕES HIDROSSANITÁRIAS | DRENAGEM - 2º PAVIMENTO - TÉRREO</v>
      </c>
      <c r="L1085" s="231">
        <f t="shared" ca="1" si="743"/>
        <v>1</v>
      </c>
      <c r="M1085" s="228" t="str">
        <f t="shared" ca="1" si="737"/>
        <v xml:space="preserve">   Instalações de Água Fria</v>
      </c>
      <c r="N1085" s="231">
        <f t="shared" ca="1" si="744"/>
        <v>1</v>
      </c>
      <c r="O1085" s="228" t="str">
        <f t="shared" ca="1" si="738"/>
        <v>Instalacoes de Agua Fria - Térreo</v>
      </c>
      <c r="P1085" s="232" t="str">
        <f>IF(S1085="","",IF(Orçamento!$B1085="INSUMO",S1085,""))</f>
        <v/>
      </c>
      <c r="Q1085" s="244" t="str">
        <f t="shared" si="731"/>
        <v>Instalacoes de Agua Fria - Térreo</v>
      </c>
      <c r="R1085" s="234">
        <f t="shared" ca="1" si="732"/>
        <v>1</v>
      </c>
      <c r="S1085" s="233" t="s">
        <v>1069</v>
      </c>
      <c r="T1085" s="242" t="s">
        <v>170</v>
      </c>
      <c r="U1085" s="235">
        <v>1</v>
      </c>
      <c r="V1085" s="320"/>
      <c r="W1085" s="236" t="str">
        <f>IFERROR(IF(B1085="INSUMO",_xlfn.XLOOKUP(S1085,Insumos!A:A,Insumos!C:C),""),"Inserir Preço")</f>
        <v/>
      </c>
      <c r="X1085" s="235">
        <f t="shared" ca="1" si="733"/>
        <v>1</v>
      </c>
      <c r="Y1085" s="236">
        <f t="shared" ca="1" si="730"/>
        <v>5278.4324526153387</v>
      </c>
      <c r="Z1085" s="237">
        <f t="shared" ca="1" si="712"/>
        <v>5278.4324526153387</v>
      </c>
      <c r="AA1085" s="238"/>
      <c r="AB1085" s="233" t="str">
        <f>IF(B1085="insumo",_xlfn.XLOOKUP(S1085,Insumos!A:A,Insumos!D:D),"")</f>
        <v/>
      </c>
      <c r="AC1085" s="239">
        <f t="shared" ca="1" si="713"/>
        <v>7.5723925987589754E-4</v>
      </c>
      <c r="AE1085" s="240">
        <f ca="1">IFERROR(IF(OR(Z1085="",Z1085=0),"",IF(AF1085="","",IF(AF1085="R$/mês",Z1085/OBRA!$D$12,IF(AF1085="R$/m²",Z1085/OBRA!$D$10,IF(AF1085="R$/apto",Orçamento!Z1085/OBRA!$D$11,""))))),"")</f>
        <v>2.7163189394026124</v>
      </c>
      <c r="AF1085" s="241" t="s">
        <v>154</v>
      </c>
    </row>
    <row r="1086" spans="1:32" s="10" customFormat="1" ht="13.15" hidden="1" customHeight="1" outlineLevel="4" x14ac:dyDescent="0.2">
      <c r="A1086" s="227"/>
      <c r="B1086" s="228" t="s">
        <v>19</v>
      </c>
      <c r="C1086" s="229">
        <f t="shared" si="711"/>
        <v>1</v>
      </c>
      <c r="D1086" s="227" t="str">
        <f t="shared" si="739"/>
        <v/>
      </c>
      <c r="E1086" s="228" t="str">
        <f t="shared" ca="1" si="740"/>
        <v>08.002.001.001</v>
      </c>
      <c r="F1086" s="230">
        <f ca="1">IF($B1086="UNIDADE CONSTRUTIVA",OFFSET(F1086,-1,0)+1,LARGE(F$10:F1085,1))</f>
        <v>2</v>
      </c>
      <c r="G1086" s="228" t="str">
        <f t="shared" ca="1" si="734"/>
        <v xml:space="preserve">   GERENCIAMENTO EXECUTIVO</v>
      </c>
      <c r="H1086" s="230">
        <f t="shared" ca="1" si="741"/>
        <v>8</v>
      </c>
      <c r="I1086" s="228" t="str">
        <f t="shared" ca="1" si="735"/>
        <v xml:space="preserve">   SISTEMAS E INSTALAÇÕES HIDROSSANITÁRIAS | DRENAGEM</v>
      </c>
      <c r="J1086" s="230">
        <f t="shared" ca="1" si="742"/>
        <v>2</v>
      </c>
      <c r="K1086" s="228" t="str">
        <f t="shared" ca="1" si="736"/>
        <v xml:space="preserve">   SISTEMAS E INSTALAÇÕES HIDROSSANITÁRIAS | DRENAGEM - 2º PAVIMENTO - TÉRREO</v>
      </c>
      <c r="L1086" s="231">
        <f t="shared" ca="1" si="743"/>
        <v>1</v>
      </c>
      <c r="M1086" s="228" t="str">
        <f t="shared" ca="1" si="737"/>
        <v xml:space="preserve">   Instalações de Água Fria</v>
      </c>
      <c r="N1086" s="231">
        <f t="shared" ca="1" si="744"/>
        <v>1</v>
      </c>
      <c r="O1086" s="228" t="str">
        <f t="shared" ca="1" si="738"/>
        <v>Instalacoes de Agua Fria - Térreo</v>
      </c>
      <c r="P1086" s="232" t="str">
        <f>IF(S1086="","",IF(Orçamento!$B1086="INSUMO",S1086,""))</f>
        <v>INSTALAÇÕES AGUA FRIA - TERREO</v>
      </c>
      <c r="Q1086" s="244" t="str">
        <f t="shared" si="731"/>
        <v/>
      </c>
      <c r="R1086" s="234">
        <f t="shared" ca="1" si="732"/>
        <v>1</v>
      </c>
      <c r="S1086" s="343" t="s">
        <v>1007</v>
      </c>
      <c r="T1086" s="242" t="str">
        <f>_xlfn.XLOOKUP(S1086,Insumos!$A$3:$A$371,Insumos!$B$3:$B$371)</f>
        <v>UN</v>
      </c>
      <c r="U1086" s="235">
        <f ca="1">IF($B1086="insumo",R1086,"")</f>
        <v>1</v>
      </c>
      <c r="V1086" s="320">
        <v>1</v>
      </c>
      <c r="W1086" s="236">
        <f>IFERROR(IF(B1086="INSUMO",_xlfn.XLOOKUP(S1086,Insumos!A:A,Insumos!C:C),""),"Inserir Preço")</f>
        <v>5278.4324526153387</v>
      </c>
      <c r="X1086" s="235">
        <f t="shared" ca="1" si="733"/>
        <v>1</v>
      </c>
      <c r="Y1086" s="236">
        <f t="shared" si="730"/>
        <v>5278.4324526153387</v>
      </c>
      <c r="Z1086" s="237">
        <f t="shared" ca="1" si="712"/>
        <v>5278.4324526153387</v>
      </c>
      <c r="AA1086" s="238"/>
      <c r="AB1086" s="233" t="str">
        <f>IF(B1086="insumo",_xlfn.XLOOKUP(S1086,Insumos!A:A,Insumos!D:D),"")</f>
        <v>Estimativa</v>
      </c>
      <c r="AC1086" s="239">
        <f t="shared" ca="1" si="713"/>
        <v>7.5723925987589754E-4</v>
      </c>
      <c r="AE1086" s="240">
        <f ca="1">IFERROR(IF(OR(Z1086="",Z1086=0),"",IF(AF1086="","",IF(AF1086="R$/mês",Z1086/OBRA!$D$12,IF(AF1086="R$/m²",Z1086/OBRA!$D$10,IF(AF1086="R$/apto",Orçamento!Z1086/OBRA!$D$11,""))))),"")</f>
        <v>2.7163189394026124</v>
      </c>
      <c r="AF1086" s="241" t="s">
        <v>154</v>
      </c>
    </row>
    <row r="1087" spans="1:32" s="10" customFormat="1" ht="13.15" hidden="1" customHeight="1" outlineLevel="3" collapsed="1" x14ac:dyDescent="0.2">
      <c r="A1087" s="227"/>
      <c r="B1087" s="228" t="s">
        <v>3</v>
      </c>
      <c r="C1087" s="229" t="str">
        <f t="shared" si="711"/>
        <v/>
      </c>
      <c r="D1087" s="227" t="str">
        <f t="shared" ca="1" si="739"/>
        <v>08.002.002</v>
      </c>
      <c r="E1087" s="228" t="str">
        <f t="shared" ca="1" si="740"/>
        <v>08.002.001.001</v>
      </c>
      <c r="F1087" s="230">
        <f ca="1">IF($B1087="UNIDADE CONSTRUTIVA",OFFSET(F1087,-1,0)+1,LARGE(F$10:F1086,1))</f>
        <v>2</v>
      </c>
      <c r="G1087" s="228" t="str">
        <f t="shared" ca="1" si="734"/>
        <v xml:space="preserve">   GERENCIAMENTO EXECUTIVO</v>
      </c>
      <c r="H1087" s="230">
        <f t="shared" ca="1" si="741"/>
        <v>8</v>
      </c>
      <c r="I1087" s="228" t="str">
        <f t="shared" ca="1" si="735"/>
        <v xml:space="preserve">   SISTEMAS E INSTALAÇÕES HIDROSSANITÁRIAS | DRENAGEM</v>
      </c>
      <c r="J1087" s="230">
        <f t="shared" ca="1" si="742"/>
        <v>2</v>
      </c>
      <c r="K1087" s="228" t="str">
        <f t="shared" ca="1" si="736"/>
        <v xml:space="preserve">   SISTEMAS E INSTALAÇÕES HIDROSSANITÁRIAS | DRENAGEM - 2º PAVIMENTO - TÉRREO</v>
      </c>
      <c r="L1087" s="231">
        <f t="shared" ca="1" si="743"/>
        <v>2</v>
      </c>
      <c r="M1087" s="228" t="str">
        <f t="shared" ca="1" si="737"/>
        <v xml:space="preserve">   Instalações de Água Pluvial</v>
      </c>
      <c r="N1087" s="231">
        <f t="shared" ca="1" si="744"/>
        <v>0</v>
      </c>
      <c r="O1087" s="228" t="str">
        <f t="shared" ca="1" si="738"/>
        <v>Instalacoes de Agua Fria - Térreo</v>
      </c>
      <c r="P1087" s="232" t="str">
        <f>IF(S1087="","",IF(Orçamento!$B1087="INSUMO",S1087,""))</f>
        <v/>
      </c>
      <c r="Q1087" s="244" t="str">
        <f t="shared" si="731"/>
        <v/>
      </c>
      <c r="R1087" s="234">
        <f t="shared" ca="1" si="732"/>
        <v>1</v>
      </c>
      <c r="S1087" s="233" t="s">
        <v>449</v>
      </c>
      <c r="T1087" s="242" t="s">
        <v>35</v>
      </c>
      <c r="U1087" s="235" t="str">
        <f>IF($B1087="insumo",R1087,"")</f>
        <v/>
      </c>
      <c r="V1087" s="320" t="s">
        <v>35</v>
      </c>
      <c r="W1087" s="236" t="str">
        <f>IFERROR(IF(B1087="INSUMO",_xlfn.XLOOKUP(S1087,Insumos!A:A,Insumos!C:C),""),"Inserir Preço")</f>
        <v/>
      </c>
      <c r="X1087" s="235" t="str">
        <f t="shared" ca="1" si="733"/>
        <v/>
      </c>
      <c r="Y1087" s="236" t="str">
        <f t="shared" si="730"/>
        <v/>
      </c>
      <c r="Z1087" s="237">
        <f t="shared" ca="1" si="712"/>
        <v>2639.2162263076693</v>
      </c>
      <c r="AA1087" s="238"/>
      <c r="AB1087" s="233" t="str">
        <f>IF(B1087="insumo",_xlfn.XLOOKUP(S1087,Insumos!A:A,Insumos!D:D),"")</f>
        <v/>
      </c>
      <c r="AC1087" s="239">
        <f t="shared" ca="1" si="713"/>
        <v>3.7861962993794877E-4</v>
      </c>
      <c r="AE1087" s="240">
        <f ca="1">IFERROR(IF(OR(Z1087="",Z1087=0),"",IF(AF1087="","",IF(AF1087="R$/mês",Z1087/OBRA!$D$12,IF(AF1087="R$/m²",Z1087/OBRA!$D$10,IF(AF1087="R$/apto",Orçamento!Z1087/OBRA!$D$11,""))))),"")</f>
        <v>1.3581594697013062</v>
      </c>
      <c r="AF1087" s="241" t="s">
        <v>154</v>
      </c>
    </row>
    <row r="1088" spans="1:32" s="10" customFormat="1" ht="13.15" hidden="1" customHeight="1" outlineLevel="4" x14ac:dyDescent="0.2">
      <c r="A1088" s="227"/>
      <c r="B1088" s="228" t="s">
        <v>4</v>
      </c>
      <c r="C1088" s="229">
        <f t="shared" si="711"/>
        <v>1</v>
      </c>
      <c r="D1088" s="227" t="str">
        <f t="shared" ca="1" si="739"/>
        <v>08.002.002.001</v>
      </c>
      <c r="E1088" s="228" t="str">
        <f t="shared" ca="1" si="740"/>
        <v>08.002.002.001</v>
      </c>
      <c r="F1088" s="230">
        <f ca="1">IF($B1088="UNIDADE CONSTRUTIVA",OFFSET(F1088,-1,0)+1,LARGE(F$10:F1087,1))</f>
        <v>2</v>
      </c>
      <c r="G1088" s="228" t="str">
        <f t="shared" ca="1" si="734"/>
        <v xml:space="preserve">   GERENCIAMENTO EXECUTIVO</v>
      </c>
      <c r="H1088" s="230">
        <f t="shared" ca="1" si="741"/>
        <v>8</v>
      </c>
      <c r="I1088" s="228" t="str">
        <f t="shared" ca="1" si="735"/>
        <v xml:space="preserve">   SISTEMAS E INSTALAÇÕES HIDROSSANITÁRIAS | DRENAGEM</v>
      </c>
      <c r="J1088" s="230">
        <f t="shared" ca="1" si="742"/>
        <v>2</v>
      </c>
      <c r="K1088" s="228" t="str">
        <f t="shared" ca="1" si="736"/>
        <v xml:space="preserve">   SISTEMAS E INSTALAÇÕES HIDROSSANITÁRIAS | DRENAGEM - 2º PAVIMENTO - TÉRREO</v>
      </c>
      <c r="L1088" s="231">
        <f t="shared" ca="1" si="743"/>
        <v>2</v>
      </c>
      <c r="M1088" s="228" t="str">
        <f t="shared" ca="1" si="737"/>
        <v xml:space="preserve">   Instalações de Água Pluvial</v>
      </c>
      <c r="N1088" s="231">
        <f t="shared" ca="1" si="744"/>
        <v>1</v>
      </c>
      <c r="O1088" s="228" t="str">
        <f t="shared" ca="1" si="738"/>
        <v>Instalacoes de Aguas Pluviais - Térreo</v>
      </c>
      <c r="P1088" s="232" t="str">
        <f>IF(S1088="","",IF(Orçamento!$B1088="INSUMO",S1088,""))</f>
        <v/>
      </c>
      <c r="Q1088" s="244" t="str">
        <f t="shared" si="731"/>
        <v>Instalacoes de Aguas Pluviais - Térreo</v>
      </c>
      <c r="R1088" s="234">
        <f t="shared" ca="1" si="732"/>
        <v>1</v>
      </c>
      <c r="S1088" s="233" t="s">
        <v>1079</v>
      </c>
      <c r="T1088" s="242" t="s">
        <v>170</v>
      </c>
      <c r="U1088" s="235">
        <v>1</v>
      </c>
      <c r="V1088" s="320" t="s">
        <v>35</v>
      </c>
      <c r="W1088" s="236" t="str">
        <f>IFERROR(IF(B1088="INSUMO",_xlfn.XLOOKUP(S1088,Insumos!A:A,Insumos!C:C),""),"Inserir Preço")</f>
        <v/>
      </c>
      <c r="X1088" s="235">
        <f t="shared" ca="1" si="733"/>
        <v>1</v>
      </c>
      <c r="Y1088" s="236">
        <f t="shared" ca="1" si="730"/>
        <v>2639.2162263076693</v>
      </c>
      <c r="Z1088" s="237">
        <f t="shared" ca="1" si="712"/>
        <v>2639.2162263076693</v>
      </c>
      <c r="AA1088" s="238"/>
      <c r="AB1088" s="233" t="str">
        <f>IF(B1088="insumo",_xlfn.XLOOKUP(S1088,Insumos!A:A,Insumos!D:D),"")</f>
        <v/>
      </c>
      <c r="AC1088" s="239">
        <f t="shared" ca="1" si="713"/>
        <v>3.7861962993794877E-4</v>
      </c>
      <c r="AE1088" s="240">
        <f ca="1">IFERROR(IF(OR(Z1088="",Z1088=0),"",IF(AF1088="","",IF(AF1088="R$/mês",Z1088/OBRA!$D$12,IF(AF1088="R$/m²",Z1088/OBRA!$D$10,IF(AF1088="R$/apto",Orçamento!Z1088/OBRA!$D$11,""))))),"")</f>
        <v>1.3581594697013062</v>
      </c>
      <c r="AF1088" s="241" t="s">
        <v>154</v>
      </c>
    </row>
    <row r="1089" spans="1:32" s="10" customFormat="1" ht="13.15" hidden="1" customHeight="1" outlineLevel="4" x14ac:dyDescent="0.2">
      <c r="A1089" s="227"/>
      <c r="B1089" s="228" t="s">
        <v>19</v>
      </c>
      <c r="C1089" s="229">
        <f t="shared" si="711"/>
        <v>1</v>
      </c>
      <c r="D1089" s="227" t="str">
        <f t="shared" si="739"/>
        <v/>
      </c>
      <c r="E1089" s="228" t="str">
        <f t="shared" ca="1" si="740"/>
        <v>08.002.002.001</v>
      </c>
      <c r="F1089" s="230">
        <f ca="1">IF($B1089="UNIDADE CONSTRUTIVA",OFFSET(F1089,-1,0)+1,LARGE(F$10:F1088,1))</f>
        <v>2</v>
      </c>
      <c r="G1089" s="228" t="str">
        <f t="shared" ca="1" si="734"/>
        <v xml:space="preserve">   GERENCIAMENTO EXECUTIVO</v>
      </c>
      <c r="H1089" s="230">
        <f t="shared" ca="1" si="741"/>
        <v>8</v>
      </c>
      <c r="I1089" s="228" t="str">
        <f t="shared" ca="1" si="735"/>
        <v xml:space="preserve">   SISTEMAS E INSTALAÇÕES HIDROSSANITÁRIAS | DRENAGEM</v>
      </c>
      <c r="J1089" s="230">
        <f t="shared" ca="1" si="742"/>
        <v>2</v>
      </c>
      <c r="K1089" s="228" t="str">
        <f t="shared" ca="1" si="736"/>
        <v xml:space="preserve">   SISTEMAS E INSTALAÇÕES HIDROSSANITÁRIAS | DRENAGEM - 2º PAVIMENTO - TÉRREO</v>
      </c>
      <c r="L1089" s="231">
        <f t="shared" ca="1" si="743"/>
        <v>2</v>
      </c>
      <c r="M1089" s="228" t="str">
        <f t="shared" ca="1" si="737"/>
        <v xml:space="preserve">   Instalações de Água Pluvial</v>
      </c>
      <c r="N1089" s="231">
        <f t="shared" ca="1" si="744"/>
        <v>1</v>
      </c>
      <c r="O1089" s="228" t="str">
        <f t="shared" ca="1" si="738"/>
        <v>Instalacoes de Aguas Pluviais - Térreo</v>
      </c>
      <c r="P1089" s="232" t="str">
        <f>IF(S1089="","",IF(Orçamento!$B1089="INSUMO",S1089,""))</f>
        <v>INSTALAÇÕES AGUA PLUVIAIS - TERREO</v>
      </c>
      <c r="Q1089" s="244" t="str">
        <f t="shared" si="731"/>
        <v/>
      </c>
      <c r="R1089" s="234">
        <f t="shared" ca="1" si="732"/>
        <v>1</v>
      </c>
      <c r="S1089" s="343" t="s">
        <v>1012</v>
      </c>
      <c r="T1089" s="242" t="str">
        <f>_xlfn.XLOOKUP(S1089,Insumos!$A$3:$A$371,Insumos!$B$3:$B$371)</f>
        <v>UN</v>
      </c>
      <c r="U1089" s="235">
        <f ca="1">IF($B1089="insumo",R1089,"")</f>
        <v>1</v>
      </c>
      <c r="V1089" s="320">
        <v>1</v>
      </c>
      <c r="W1089" s="236">
        <f>IFERROR(IF(B1089="INSUMO",_xlfn.XLOOKUP(S1089,Insumos!A:A,Insumos!C:C),""),"Inserir Preço")</f>
        <v>2639.2162263076693</v>
      </c>
      <c r="X1089" s="235">
        <f t="shared" ca="1" si="733"/>
        <v>1</v>
      </c>
      <c r="Y1089" s="236">
        <f t="shared" si="730"/>
        <v>2639.2162263076693</v>
      </c>
      <c r="Z1089" s="237">
        <f t="shared" ca="1" si="712"/>
        <v>2639.2162263076693</v>
      </c>
      <c r="AA1089" s="238"/>
      <c r="AB1089" s="233" t="str">
        <f>IF(B1089="insumo",_xlfn.XLOOKUP(S1089,Insumos!A:A,Insumos!D:D),"")</f>
        <v>Estimativa</v>
      </c>
      <c r="AC1089" s="239">
        <f t="shared" ca="1" si="713"/>
        <v>3.7861962993794877E-4</v>
      </c>
      <c r="AE1089" s="240">
        <f ca="1">IFERROR(IF(OR(Z1089="",Z1089=0),"",IF(AF1089="","",IF(AF1089="R$/mês",Z1089/OBRA!$D$12,IF(AF1089="R$/m²",Z1089/OBRA!$D$10,IF(AF1089="R$/apto",Orçamento!Z1089/OBRA!$D$11,""))))),"")</f>
        <v>1.3581594697013062</v>
      </c>
      <c r="AF1089" s="241" t="s">
        <v>154</v>
      </c>
    </row>
    <row r="1090" spans="1:32" s="10" customFormat="1" ht="13.15" hidden="1" customHeight="1" outlineLevel="3" collapsed="1" x14ac:dyDescent="0.2">
      <c r="A1090" s="227"/>
      <c r="B1090" s="228" t="s">
        <v>3</v>
      </c>
      <c r="C1090" s="229" t="str">
        <f t="shared" si="711"/>
        <v/>
      </c>
      <c r="D1090" s="227" t="str">
        <f t="shared" ca="1" si="739"/>
        <v>08.002.003</v>
      </c>
      <c r="E1090" s="228" t="str">
        <f t="shared" ca="1" si="740"/>
        <v>08.002.002.001</v>
      </c>
      <c r="F1090" s="230">
        <f ca="1">IF($B1090="UNIDADE CONSTRUTIVA",OFFSET(F1090,-1,0)+1,LARGE(F$10:F1089,1))</f>
        <v>2</v>
      </c>
      <c r="G1090" s="228" t="str">
        <f t="shared" ca="1" si="734"/>
        <v xml:space="preserve">   GERENCIAMENTO EXECUTIVO</v>
      </c>
      <c r="H1090" s="230">
        <f t="shared" ca="1" si="741"/>
        <v>8</v>
      </c>
      <c r="I1090" s="228" t="str">
        <f t="shared" ca="1" si="735"/>
        <v xml:space="preserve">   SISTEMAS E INSTALAÇÕES HIDROSSANITÁRIAS | DRENAGEM</v>
      </c>
      <c r="J1090" s="230">
        <f t="shared" ca="1" si="742"/>
        <v>2</v>
      </c>
      <c r="K1090" s="228" t="str">
        <f t="shared" ca="1" si="736"/>
        <v xml:space="preserve">   SISTEMAS E INSTALAÇÕES HIDROSSANITÁRIAS | DRENAGEM - 2º PAVIMENTO - TÉRREO</v>
      </c>
      <c r="L1090" s="231">
        <f t="shared" ca="1" si="743"/>
        <v>3</v>
      </c>
      <c r="M1090" s="228" t="str">
        <f t="shared" ca="1" si="737"/>
        <v xml:space="preserve">   Instalações de Esgoto</v>
      </c>
      <c r="N1090" s="231">
        <f t="shared" ca="1" si="744"/>
        <v>0</v>
      </c>
      <c r="O1090" s="228" t="str">
        <f t="shared" ca="1" si="738"/>
        <v>Instalacoes de Aguas Pluviais - Térreo</v>
      </c>
      <c r="P1090" s="232" t="str">
        <f>IF(S1090="","",IF(Orçamento!$B1090="INSUMO",S1090,""))</f>
        <v/>
      </c>
      <c r="Q1090" s="244" t="str">
        <f t="shared" si="731"/>
        <v/>
      </c>
      <c r="R1090" s="234">
        <f t="shared" ca="1" si="732"/>
        <v>1</v>
      </c>
      <c r="S1090" s="233" t="s">
        <v>450</v>
      </c>
      <c r="T1090" s="242" t="s">
        <v>35</v>
      </c>
      <c r="U1090" s="235" t="str">
        <f>IF($B1090="insumo",R1090,"")</f>
        <v/>
      </c>
      <c r="V1090" s="320" t="s">
        <v>35</v>
      </c>
      <c r="W1090" s="236" t="str">
        <f>IFERROR(IF(B1090="INSUMO",_xlfn.XLOOKUP(S1090,Insumos!A:A,Insumos!C:C),""),"Inserir Preço")</f>
        <v/>
      </c>
      <c r="X1090" s="235" t="str">
        <f t="shared" ca="1" si="733"/>
        <v/>
      </c>
      <c r="Y1090" s="236" t="str">
        <f t="shared" si="730"/>
        <v/>
      </c>
      <c r="Z1090" s="237">
        <f t="shared" ca="1" si="712"/>
        <v>3958.8243394615042</v>
      </c>
      <c r="AA1090" s="238"/>
      <c r="AB1090" s="233" t="str">
        <f>IF(B1090="insumo",_xlfn.XLOOKUP(S1090,Insumos!A:A,Insumos!D:D),"")</f>
        <v/>
      </c>
      <c r="AC1090" s="239">
        <f t="shared" ca="1" si="713"/>
        <v>5.6792944490692315E-4</v>
      </c>
      <c r="AE1090" s="240">
        <f ca="1">IFERROR(IF(OR(Z1090="",Z1090=0),"",IF(AF1090="","",IF(AF1090="R$/mês",Z1090/OBRA!$D$12,IF(AF1090="R$/m²",Z1090/OBRA!$D$10,IF(AF1090="R$/apto",Orçamento!Z1090/OBRA!$D$11,""))))),"")</f>
        <v>2.0372392045519594</v>
      </c>
      <c r="AF1090" s="241" t="s">
        <v>154</v>
      </c>
    </row>
    <row r="1091" spans="1:32" s="10" customFormat="1" ht="13.15" hidden="1" customHeight="1" outlineLevel="4" x14ac:dyDescent="0.2">
      <c r="A1091" s="227"/>
      <c r="B1091" s="228" t="s">
        <v>4</v>
      </c>
      <c r="C1091" s="229">
        <f t="shared" si="711"/>
        <v>1</v>
      </c>
      <c r="D1091" s="227" t="str">
        <f t="shared" ca="1" si="739"/>
        <v>08.002.003.001</v>
      </c>
      <c r="E1091" s="228" t="str">
        <f t="shared" ca="1" si="740"/>
        <v>08.002.003.001</v>
      </c>
      <c r="F1091" s="230">
        <f ca="1">IF($B1091="UNIDADE CONSTRUTIVA",OFFSET(F1091,-1,0)+1,LARGE(F$10:F1090,1))</f>
        <v>2</v>
      </c>
      <c r="G1091" s="228" t="str">
        <f t="shared" ca="1" si="734"/>
        <v xml:space="preserve">   GERENCIAMENTO EXECUTIVO</v>
      </c>
      <c r="H1091" s="230">
        <f t="shared" ca="1" si="741"/>
        <v>8</v>
      </c>
      <c r="I1091" s="228" t="str">
        <f t="shared" ca="1" si="735"/>
        <v xml:space="preserve">   SISTEMAS E INSTALAÇÕES HIDROSSANITÁRIAS | DRENAGEM</v>
      </c>
      <c r="J1091" s="230">
        <f t="shared" ca="1" si="742"/>
        <v>2</v>
      </c>
      <c r="K1091" s="228" t="str">
        <f t="shared" ca="1" si="736"/>
        <v xml:space="preserve">   SISTEMAS E INSTALAÇÕES HIDROSSANITÁRIAS | DRENAGEM - 2º PAVIMENTO - TÉRREO</v>
      </c>
      <c r="L1091" s="231">
        <f t="shared" ca="1" si="743"/>
        <v>3</v>
      </c>
      <c r="M1091" s="228" t="str">
        <f t="shared" ca="1" si="737"/>
        <v xml:space="preserve">   Instalações de Esgoto</v>
      </c>
      <c r="N1091" s="231">
        <f t="shared" ca="1" si="744"/>
        <v>1</v>
      </c>
      <c r="O1091" s="228" t="str">
        <f t="shared" ca="1" si="738"/>
        <v>Instalacoes de Esgoto - Térreo</v>
      </c>
      <c r="P1091" s="232" t="str">
        <f>IF(S1091="","",IF(Orçamento!$B1091="INSUMO",S1091,""))</f>
        <v/>
      </c>
      <c r="Q1091" s="244" t="str">
        <f t="shared" si="731"/>
        <v>Instalacoes de Esgoto - Térreo</v>
      </c>
      <c r="R1091" s="234">
        <f t="shared" ca="1" si="732"/>
        <v>1</v>
      </c>
      <c r="S1091" s="233" t="s">
        <v>1080</v>
      </c>
      <c r="T1091" s="242" t="s">
        <v>170</v>
      </c>
      <c r="U1091" s="235">
        <v>1</v>
      </c>
      <c r="V1091" s="320" t="s">
        <v>35</v>
      </c>
      <c r="W1091" s="236" t="str">
        <f>IFERROR(IF(B1091="INSUMO",_xlfn.XLOOKUP(S1091,Insumos!A:A,Insumos!C:C),""),"Inserir Preço")</f>
        <v/>
      </c>
      <c r="X1091" s="235">
        <f t="shared" ca="1" si="733"/>
        <v>1</v>
      </c>
      <c r="Y1091" s="236">
        <f t="shared" ca="1" si="730"/>
        <v>3958.8243394615042</v>
      </c>
      <c r="Z1091" s="237">
        <f t="shared" ca="1" si="712"/>
        <v>3958.8243394615042</v>
      </c>
      <c r="AA1091" s="238"/>
      <c r="AB1091" s="233" t="str">
        <f>IF(B1091="insumo",_xlfn.XLOOKUP(S1091,Insumos!A:A,Insumos!D:D),"")</f>
        <v/>
      </c>
      <c r="AC1091" s="239">
        <f t="shared" ca="1" si="713"/>
        <v>5.6792944490692315E-4</v>
      </c>
      <c r="AE1091" s="240">
        <f ca="1">IFERROR(IF(OR(Z1091="",Z1091=0),"",IF(AF1091="","",IF(AF1091="R$/mês",Z1091/OBRA!$D$12,IF(AF1091="R$/m²",Z1091/OBRA!$D$10,IF(AF1091="R$/apto",Orçamento!Z1091/OBRA!$D$11,""))))),"")</f>
        <v>2.0372392045519594</v>
      </c>
      <c r="AF1091" s="241" t="s">
        <v>154</v>
      </c>
    </row>
    <row r="1092" spans="1:32" s="10" customFormat="1" ht="13.15" hidden="1" customHeight="1" outlineLevel="4" x14ac:dyDescent="0.2">
      <c r="A1092" s="227"/>
      <c r="B1092" s="228" t="s">
        <v>19</v>
      </c>
      <c r="C1092" s="229">
        <f t="shared" si="711"/>
        <v>1</v>
      </c>
      <c r="D1092" s="227" t="str">
        <f t="shared" si="739"/>
        <v/>
      </c>
      <c r="E1092" s="228" t="str">
        <f t="shared" ca="1" si="740"/>
        <v>08.002.003.001</v>
      </c>
      <c r="F1092" s="230">
        <f ca="1">IF($B1092="UNIDADE CONSTRUTIVA",OFFSET(F1092,-1,0)+1,LARGE(F$10:F1091,1))</f>
        <v>2</v>
      </c>
      <c r="G1092" s="228" t="str">
        <f t="shared" ca="1" si="734"/>
        <v xml:space="preserve">   GERENCIAMENTO EXECUTIVO</v>
      </c>
      <c r="H1092" s="230">
        <f t="shared" ca="1" si="741"/>
        <v>8</v>
      </c>
      <c r="I1092" s="228" t="str">
        <f t="shared" ca="1" si="735"/>
        <v xml:space="preserve">   SISTEMAS E INSTALAÇÕES HIDROSSANITÁRIAS | DRENAGEM</v>
      </c>
      <c r="J1092" s="230">
        <f t="shared" ca="1" si="742"/>
        <v>2</v>
      </c>
      <c r="K1092" s="228" t="str">
        <f t="shared" ca="1" si="736"/>
        <v xml:space="preserve">   SISTEMAS E INSTALAÇÕES HIDROSSANITÁRIAS | DRENAGEM - 2º PAVIMENTO - TÉRREO</v>
      </c>
      <c r="L1092" s="231">
        <f t="shared" ca="1" si="743"/>
        <v>3</v>
      </c>
      <c r="M1092" s="228" t="str">
        <f t="shared" ca="1" si="737"/>
        <v xml:space="preserve">   Instalações de Esgoto</v>
      </c>
      <c r="N1092" s="231">
        <f t="shared" ca="1" si="744"/>
        <v>1</v>
      </c>
      <c r="O1092" s="228" t="str">
        <f t="shared" ca="1" si="738"/>
        <v>Instalacoes de Esgoto - Térreo</v>
      </c>
      <c r="P1092" s="232" t="str">
        <f>IF(S1092="","",IF(Orçamento!$B1092="INSUMO",S1092,""))</f>
        <v>INSTALAÇÕES ESGOTO - TERREO</v>
      </c>
      <c r="Q1092" s="244" t="str">
        <f t="shared" si="731"/>
        <v/>
      </c>
      <c r="R1092" s="234">
        <f t="shared" ca="1" si="732"/>
        <v>1</v>
      </c>
      <c r="S1092" s="343" t="s">
        <v>1017</v>
      </c>
      <c r="T1092" s="242" t="str">
        <f>_xlfn.XLOOKUP(S1092,Insumos!$A$3:$A$371,Insumos!$B$3:$B$371)</f>
        <v>UN</v>
      </c>
      <c r="U1092" s="235">
        <f ca="1">IF($B1092="insumo",R1092,"")</f>
        <v>1</v>
      </c>
      <c r="V1092" s="320">
        <v>1</v>
      </c>
      <c r="W1092" s="236">
        <f>IFERROR(IF(B1092="INSUMO",_xlfn.XLOOKUP(S1092,Insumos!A:A,Insumos!C:C),""),"Inserir Preço")</f>
        <v>3958.8243394615042</v>
      </c>
      <c r="X1092" s="235">
        <f t="shared" ca="1" si="733"/>
        <v>1</v>
      </c>
      <c r="Y1092" s="236">
        <f t="shared" si="730"/>
        <v>3958.8243394615042</v>
      </c>
      <c r="Z1092" s="237">
        <f t="shared" ca="1" si="712"/>
        <v>3958.8243394615042</v>
      </c>
      <c r="AA1092" s="238"/>
      <c r="AB1092" s="233" t="str">
        <f>IF(B1092="insumo",_xlfn.XLOOKUP(S1092,Insumos!A:A,Insumos!D:D),"")</f>
        <v>Estimativa</v>
      </c>
      <c r="AC1092" s="239">
        <f t="shared" ca="1" si="713"/>
        <v>5.6792944490692315E-4</v>
      </c>
      <c r="AE1092" s="240">
        <f ca="1">IFERROR(IF(OR(Z1092="",Z1092=0),"",IF(AF1092="","",IF(AF1092="R$/mês",Z1092/OBRA!$D$12,IF(AF1092="R$/m²",Z1092/OBRA!$D$10,IF(AF1092="R$/apto",Orçamento!Z1092/OBRA!$D$11,""))))),"")</f>
        <v>2.0372392045519594</v>
      </c>
      <c r="AF1092" s="241" t="s">
        <v>154</v>
      </c>
    </row>
    <row r="1093" spans="1:32" s="10" customFormat="1" ht="13.15" hidden="1" customHeight="1" outlineLevel="3" collapsed="1" x14ac:dyDescent="0.2">
      <c r="A1093" s="227"/>
      <c r="B1093" s="228" t="s">
        <v>3</v>
      </c>
      <c r="C1093" s="229" t="str">
        <f t="shared" si="711"/>
        <v/>
      </c>
      <c r="D1093" s="227" t="str">
        <f t="shared" ref="D1093:D1105" ca="1" si="745">IF(B1093="Unidade Construtiva",TEXT(F1093,"00"),IF(B1093="Célula Construtiva",TEXT(H1093,"00"),IF(B1093="Etapa",CONCATENATE(TEXT(H1093,"00"),".",TEXT(J1093,"000")),IF(B1093="Subetapa",CONCATENATE(TEXT(H1093,"00"),".",TEXT(J1093,"000"),".",TEXT(L1093,"000")),IF(B1093="Serviço",CONCATENATE(TEXT(H1093,"00"),".",TEXT(J1093,"000"),".",TEXT(L1093,"000"),".",TEXT(N1093,"000")),"")))))</f>
        <v>08.002.004</v>
      </c>
      <c r="E1093" s="228" t="str">
        <f t="shared" ref="E1093:E1105" ca="1" si="746">IF(B1093="*","",IFERROR(IF(B1093="SERVIÇO",D1093,OFFSET(E1093,-1,0)),""))</f>
        <v>08.002.003.001</v>
      </c>
      <c r="F1093" s="230">
        <f ca="1">IF($B1093="UNIDADE CONSTRUTIVA",OFFSET(F1093,-1,0)+1,LARGE(F$10:F1092,1))</f>
        <v>2</v>
      </c>
      <c r="G1093" s="228" t="str">
        <f t="shared" ca="1" si="734"/>
        <v xml:space="preserve">   GERENCIAMENTO EXECUTIVO</v>
      </c>
      <c r="H1093" s="230">
        <f t="shared" ref="H1093:H1105" ca="1" si="747">IF(B1093="UNIDADE CONSTRUTIVA",0,IF(B1093="CÉLULA CONSTRUTIVA",OFFSET(H1093,-1,0)+1,OFFSET(H1093,-1,0)))</f>
        <v>8</v>
      </c>
      <c r="I1093" s="228" t="str">
        <f t="shared" ca="1" si="735"/>
        <v xml:space="preserve">   SISTEMAS E INSTALAÇÕES HIDROSSANITÁRIAS | DRENAGEM</v>
      </c>
      <c r="J1093" s="230">
        <f t="shared" ref="J1093:J1105" ca="1" si="748">IF(B1093="CÉLULA CONSTRUTIVA",0,IF(B1093="ETAPA",OFFSET(J1093,-1,0)+1,OFFSET(J1093,-1,0)))</f>
        <v>2</v>
      </c>
      <c r="K1093" s="228" t="str">
        <f t="shared" ca="1" si="736"/>
        <v xml:space="preserve">   SISTEMAS E INSTALAÇÕES HIDROSSANITÁRIAS | DRENAGEM - 2º PAVIMENTO - TÉRREO</v>
      </c>
      <c r="L1093" s="231">
        <f t="shared" ref="L1093:L1105" ca="1" si="749">IF(B1093="ETAPA",0,IF(B1093="SUBETAPA",OFFSET(L1093,-1,0)+1,OFFSET(L1093,-1,0)))</f>
        <v>4</v>
      </c>
      <c r="M1093" s="228" t="str">
        <f t="shared" ca="1" si="737"/>
        <v xml:space="preserve">   Mão de Obra</v>
      </c>
      <c r="N1093" s="231">
        <f t="shared" ref="N1093:N1105" ca="1" si="750">IF(B1093="Subetapa",0,IF(B1093="serviço",OFFSET(N1093,-1,0)+1,OFFSET(N1093,-1,0)))</f>
        <v>0</v>
      </c>
      <c r="O1093" s="228" t="str">
        <f t="shared" ca="1" si="738"/>
        <v>Instalacoes de Esgoto - Térreo</v>
      </c>
      <c r="P1093" s="232" t="str">
        <f>IF(S1093="","",IF(Orçamento!$B1093="INSUMO",S1093,""))</f>
        <v/>
      </c>
      <c r="Q1093" s="244" t="str">
        <f t="shared" si="731"/>
        <v/>
      </c>
      <c r="R1093" s="234">
        <f t="shared" ca="1" si="732"/>
        <v>1</v>
      </c>
      <c r="S1093" s="233" t="s">
        <v>438</v>
      </c>
      <c r="T1093" s="242" t="s">
        <v>35</v>
      </c>
      <c r="U1093" s="235" t="str">
        <f>IF($B1093="insumo",R1093,"")</f>
        <v/>
      </c>
      <c r="V1093" s="320" t="s">
        <v>35</v>
      </c>
      <c r="W1093" s="236" t="str">
        <f>IFERROR(IF(B1093="INSUMO",_xlfn.XLOOKUP(S1093,Insumos!A:A,Insumos!C:C),""),"Inserir Preço")</f>
        <v/>
      </c>
      <c r="X1093" s="235" t="str">
        <f t="shared" ca="1" si="733"/>
        <v/>
      </c>
      <c r="Y1093" s="236" t="str">
        <f t="shared" si="730"/>
        <v/>
      </c>
      <c r="Z1093" s="237">
        <f t="shared" ca="1" si="712"/>
        <v>12026.502104205068</v>
      </c>
      <c r="AA1093" s="238"/>
      <c r="AB1093" s="233" t="str">
        <f>IF(B1093="insumo",_xlfn.XLOOKUP(S1093,Insumos!A:A,Insumos!D:D),"")</f>
        <v/>
      </c>
      <c r="AC1093" s="239">
        <f t="shared" ca="1" si="713"/>
        <v>1.7253113749275879E-3</v>
      </c>
      <c r="AE1093" s="240">
        <f ca="1">IFERROR(IF(OR(Z1093="",Z1093=0),"",IF(AF1093="","",IF(AF1093="R$/mês",Z1093/OBRA!$D$12,IF(AF1093="R$/m²",Z1093/OBRA!$D$10,IF(AF1093="R$/apto",Orçamento!Z1093/OBRA!$D$11,""))))),"")</f>
        <v>6.1889236499050906</v>
      </c>
      <c r="AF1093" s="241" t="s">
        <v>154</v>
      </c>
    </row>
    <row r="1094" spans="1:32" s="10" customFormat="1" ht="13.15" hidden="1" customHeight="1" outlineLevel="4" x14ac:dyDescent="0.2">
      <c r="A1094" s="227"/>
      <c r="B1094" s="228" t="s">
        <v>4</v>
      </c>
      <c r="C1094" s="229">
        <f t="shared" si="711"/>
        <v>5</v>
      </c>
      <c r="D1094" s="227" t="str">
        <f t="shared" ca="1" si="745"/>
        <v>08.002.004.001</v>
      </c>
      <c r="E1094" s="228" t="str">
        <f t="shared" ca="1" si="746"/>
        <v>08.002.004.001</v>
      </c>
      <c r="F1094" s="230">
        <f ca="1">IF($B1094="UNIDADE CONSTRUTIVA",OFFSET(F1094,-1,0)+1,LARGE(F$10:F1093,1))</f>
        <v>2</v>
      </c>
      <c r="G1094" s="228" t="str">
        <f t="shared" ca="1" si="734"/>
        <v xml:space="preserve">   GERENCIAMENTO EXECUTIVO</v>
      </c>
      <c r="H1094" s="230">
        <f t="shared" ca="1" si="747"/>
        <v>8</v>
      </c>
      <c r="I1094" s="228" t="str">
        <f t="shared" ca="1" si="735"/>
        <v xml:space="preserve">   SISTEMAS E INSTALAÇÕES HIDROSSANITÁRIAS | DRENAGEM</v>
      </c>
      <c r="J1094" s="230">
        <f t="shared" ca="1" si="748"/>
        <v>2</v>
      </c>
      <c r="K1094" s="228" t="str">
        <f t="shared" ca="1" si="736"/>
        <v xml:space="preserve">   SISTEMAS E INSTALAÇÕES HIDROSSANITÁRIAS | DRENAGEM - 2º PAVIMENTO - TÉRREO</v>
      </c>
      <c r="L1094" s="231">
        <f t="shared" ca="1" si="749"/>
        <v>4</v>
      </c>
      <c r="M1094" s="228" t="str">
        <f t="shared" ca="1" si="737"/>
        <v xml:space="preserve">   Mão de Obra</v>
      </c>
      <c r="N1094" s="231">
        <f t="shared" ca="1" si="750"/>
        <v>1</v>
      </c>
      <c r="O1094" s="228" t="str">
        <f t="shared" ca="1" si="738"/>
        <v>Mao de obra de instalacoes hidrossanitárias</v>
      </c>
      <c r="P1094" s="232" t="str">
        <f>IF(S1094="","",IF(Orçamento!$B1094="INSUMO",S1094,""))</f>
        <v/>
      </c>
      <c r="Q1094" s="244" t="str">
        <f t="shared" si="731"/>
        <v>Mao de obra de instalacoes hidrossanitárias</v>
      </c>
      <c r="R1094" s="234">
        <f t="shared" ca="1" si="732"/>
        <v>326.93599</v>
      </c>
      <c r="S1094" s="233" t="s">
        <v>831</v>
      </c>
      <c r="T1094" s="242" t="s">
        <v>140</v>
      </c>
      <c r="U1094" s="235">
        <f ca="1">'Custos Serviços'!B26</f>
        <v>326.93599</v>
      </c>
      <c r="V1094" s="320" t="s">
        <v>35</v>
      </c>
      <c r="W1094" s="236" t="str">
        <f>IFERROR(IF(B1094="INSUMO",_xlfn.XLOOKUP(S1094,Insumos!A:A,Insumos!C:C),""),"Inserir Preço")</f>
        <v/>
      </c>
      <c r="X1094" s="235">
        <f t="shared" ca="1" si="733"/>
        <v>326.93599</v>
      </c>
      <c r="Y1094" s="236">
        <f t="shared" ca="1" si="730"/>
        <v>36.785494629101763</v>
      </c>
      <c r="Z1094" s="237">
        <f t="shared" ca="1" si="712"/>
        <v>12026.502104205068</v>
      </c>
      <c r="AA1094" s="238"/>
      <c r="AB1094" s="233" t="str">
        <f>IF(B1094="insumo",_xlfn.XLOOKUP(S1094,Insumos!A:A,Insumos!D:D),"")</f>
        <v/>
      </c>
      <c r="AC1094" s="239">
        <f t="shared" ca="1" si="713"/>
        <v>1.7253113749275879E-3</v>
      </c>
      <c r="AE1094" s="240">
        <f ca="1">IFERROR(IF(OR(Z1094="",Z1094=0),"",IF(AF1094="","",IF(AF1094="R$/mês",Z1094/OBRA!$D$12,IF(AF1094="R$/m²",Z1094/OBRA!$D$10,IF(AF1094="R$/apto",Orçamento!Z1094/OBRA!$D$11,""))))),"")</f>
        <v>6.1889236499050906</v>
      </c>
      <c r="AF1094" s="241" t="s">
        <v>154</v>
      </c>
    </row>
    <row r="1095" spans="1:32" s="10" customFormat="1" ht="13.15" hidden="1" customHeight="1" outlineLevel="4" x14ac:dyDescent="0.2">
      <c r="A1095" s="227"/>
      <c r="B1095" s="228" t="s">
        <v>19</v>
      </c>
      <c r="C1095" s="229">
        <f t="shared" si="711"/>
        <v>5</v>
      </c>
      <c r="D1095" s="227" t="str">
        <f t="shared" si="745"/>
        <v/>
      </c>
      <c r="E1095" s="228" t="str">
        <f t="shared" ca="1" si="746"/>
        <v>08.002.004.001</v>
      </c>
      <c r="F1095" s="230">
        <f ca="1">IF($B1095="UNIDADE CONSTRUTIVA",OFFSET(F1095,-1,0)+1,LARGE(F$10:F1094,1))</f>
        <v>2</v>
      </c>
      <c r="G1095" s="228" t="str">
        <f t="shared" ca="1" si="734"/>
        <v xml:space="preserve">   GERENCIAMENTO EXECUTIVO</v>
      </c>
      <c r="H1095" s="230">
        <f t="shared" ca="1" si="747"/>
        <v>8</v>
      </c>
      <c r="I1095" s="228" t="str">
        <f t="shared" ca="1" si="735"/>
        <v xml:space="preserve">   SISTEMAS E INSTALAÇÕES HIDROSSANITÁRIAS | DRENAGEM</v>
      </c>
      <c r="J1095" s="230">
        <f t="shared" ca="1" si="748"/>
        <v>2</v>
      </c>
      <c r="K1095" s="228" t="str">
        <f t="shared" ca="1" si="736"/>
        <v xml:space="preserve">   SISTEMAS E INSTALAÇÕES HIDROSSANITÁRIAS | DRENAGEM - 2º PAVIMENTO - TÉRREO</v>
      </c>
      <c r="L1095" s="231">
        <f t="shared" ca="1" si="749"/>
        <v>4</v>
      </c>
      <c r="M1095" s="228" t="str">
        <f t="shared" ca="1" si="737"/>
        <v xml:space="preserve">   Mão de Obra</v>
      </c>
      <c r="N1095" s="231">
        <f t="shared" ca="1" si="750"/>
        <v>1</v>
      </c>
      <c r="O1095" s="228" t="str">
        <f t="shared" ca="1" si="738"/>
        <v>Mao de obra de instalacoes hidrossanitárias</v>
      </c>
      <c r="P1095" s="232" t="str">
        <f>IF(S1095="","",IF(Orçamento!$B1095="INSUMO",S1095,""))</f>
        <v>Mão de Obra para Instalação Hidrossanitárias</v>
      </c>
      <c r="Q1095" s="244" t="str">
        <f t="shared" si="731"/>
        <v/>
      </c>
      <c r="R1095" s="234">
        <f t="shared" ca="1" si="732"/>
        <v>326.93599</v>
      </c>
      <c r="S1095" s="233" t="s">
        <v>832</v>
      </c>
      <c r="T1095" s="242" t="str">
        <f>_xlfn.XLOOKUP(S1095,Insumos!$A$3:$A$371,Insumos!$B$3:$B$371)</f>
        <v>VB</v>
      </c>
      <c r="U1095" s="235">
        <f ca="1">IF($B1095="insumo",R1095,"")</f>
        <v>326.93599</v>
      </c>
      <c r="V1095" s="320">
        <v>1</v>
      </c>
      <c r="W1095" s="236">
        <f ca="1">IFERROR(IF(B1095="INSUMO",_xlfn.XLOOKUP(S1095,Insumos!A:A,Insumos!C:C),""),"Inserir Preço")</f>
        <v>36.785494629101763</v>
      </c>
      <c r="X1095" s="235">
        <f t="shared" ca="1" si="733"/>
        <v>326.93599</v>
      </c>
      <c r="Y1095" s="236">
        <f t="shared" ca="1" si="730"/>
        <v>36.785494629101763</v>
      </c>
      <c r="Z1095" s="237">
        <f t="shared" ca="1" si="712"/>
        <v>12026.502104205068</v>
      </c>
      <c r="AA1095" s="238"/>
      <c r="AB1095" s="233" t="str">
        <f>IF(B1095="insumo",_xlfn.XLOOKUP(S1095,Insumos!A:A,Insumos!D:D),"")</f>
        <v>Aba Custo Serviços</v>
      </c>
      <c r="AC1095" s="239">
        <f t="shared" ca="1" si="713"/>
        <v>1.7253113749275879E-3</v>
      </c>
      <c r="AE1095" s="240">
        <f ca="1">IFERROR(IF(OR(Z1095="",Z1095=0),"",IF(AF1095="","",IF(AF1095="R$/mês",Z1095/OBRA!$D$12,IF(AF1095="R$/m²",Z1095/OBRA!$D$10,IF(AF1095="R$/apto",Orçamento!Z1095/OBRA!$D$11,""))))),"")</f>
        <v>6.1889236499050906</v>
      </c>
      <c r="AF1095" s="241" t="s">
        <v>154</v>
      </c>
    </row>
    <row r="1096" spans="1:32" s="10" customFormat="1" ht="13.15" customHeight="1" outlineLevel="2" collapsed="1" x14ac:dyDescent="0.2">
      <c r="A1096" s="227"/>
      <c r="B1096" s="228" t="s">
        <v>2</v>
      </c>
      <c r="C1096" s="229" t="str">
        <f t="shared" si="711"/>
        <v/>
      </c>
      <c r="D1096" s="227" t="str">
        <f t="shared" ca="1" si="745"/>
        <v>08.003</v>
      </c>
      <c r="E1096" s="228" t="str">
        <f t="shared" ca="1" si="746"/>
        <v>08.002.004.001</v>
      </c>
      <c r="F1096" s="230">
        <f ca="1">IF($B1096="UNIDADE CONSTRUTIVA",OFFSET(F1096,-1,0)+1,LARGE(F$10:F1095,1))</f>
        <v>2</v>
      </c>
      <c r="G1096" s="228" t="str">
        <f t="shared" ca="1" si="734"/>
        <v xml:space="preserve">   GERENCIAMENTO EXECUTIVO</v>
      </c>
      <c r="H1096" s="230">
        <f t="shared" ca="1" si="747"/>
        <v>8</v>
      </c>
      <c r="I1096" s="228" t="str">
        <f t="shared" ca="1" si="735"/>
        <v xml:space="preserve">   SISTEMAS E INSTALAÇÕES HIDROSSANITÁRIAS | DRENAGEM</v>
      </c>
      <c r="J1096" s="230">
        <f t="shared" ca="1" si="748"/>
        <v>3</v>
      </c>
      <c r="K1096" s="228" t="str">
        <f t="shared" ca="1" si="736"/>
        <v xml:space="preserve">   SISTEMAS E INSTALAÇÕES HIDROSSANITÁRIAS | DRENAGEM - 3º  ao 7º PAVIMENTO - TIPO</v>
      </c>
      <c r="L1096" s="231">
        <f t="shared" ca="1" si="749"/>
        <v>0</v>
      </c>
      <c r="M1096" s="228" t="str">
        <f t="shared" ca="1" si="737"/>
        <v xml:space="preserve">   Mão de Obra</v>
      </c>
      <c r="N1096" s="231">
        <f t="shared" ca="1" si="750"/>
        <v>1</v>
      </c>
      <c r="O1096" s="228" t="str">
        <f t="shared" ca="1" si="738"/>
        <v>Mao de obra de instalacoes hidrossanitárias</v>
      </c>
      <c r="P1096" s="232" t="str">
        <f>IF(S1096="","",IF(Orçamento!$B1096="INSUMO",S1096,""))</f>
        <v/>
      </c>
      <c r="Q1096" s="244" t="str">
        <f t="shared" si="731"/>
        <v/>
      </c>
      <c r="R1096" s="234">
        <f t="shared" ca="1" si="732"/>
        <v>326.93599</v>
      </c>
      <c r="S1096" s="233" t="s">
        <v>670</v>
      </c>
      <c r="T1096" s="242" t="s">
        <v>35</v>
      </c>
      <c r="U1096" s="235" t="str">
        <f>IF($B1096="insumo",R1096,"")</f>
        <v/>
      </c>
      <c r="V1096" s="320" t="s">
        <v>35</v>
      </c>
      <c r="W1096" s="236" t="str">
        <f>IFERROR(IF(B1096="INSUMO",_xlfn.XLOOKUP(S1096,Insumos!A:A,Insumos!C:C),""),"Inserir Preço")</f>
        <v/>
      </c>
      <c r="X1096" s="235" t="str">
        <f t="shared" ca="1" si="733"/>
        <v/>
      </c>
      <c r="Y1096" s="236" t="str">
        <f t="shared" si="730"/>
        <v/>
      </c>
      <c r="Z1096" s="237">
        <f t="shared" ca="1" si="712"/>
        <v>85591.276669093117</v>
      </c>
      <c r="AA1096" s="238"/>
      <c r="AB1096" s="233" t="str">
        <f>IF(B1096="insumo",_xlfn.XLOOKUP(S1096,Insumos!A:A,Insumos!D:D),"")</f>
        <v/>
      </c>
      <c r="AC1096" s="239">
        <f t="shared" ca="1" si="713"/>
        <v>1.2278848991356117E-2</v>
      </c>
      <c r="AE1096" s="240">
        <f ca="1">IFERROR(IF(OR(Z1096="",Z1096=0),"",IF(AF1096="","",IF(AF1096="R$/mês",Z1096/OBRA!$D$12,IF(AF1096="R$/m²",Z1096/OBRA!$D$10,IF(AF1096="R$/apto",Orçamento!Z1096/OBRA!$D$11,""))))),"")</f>
        <v>44.045880656995372</v>
      </c>
      <c r="AF1096" s="241" t="s">
        <v>154</v>
      </c>
    </row>
    <row r="1097" spans="1:32" s="10" customFormat="1" ht="13.15" hidden="1" customHeight="1" outlineLevel="3" collapsed="1" x14ac:dyDescent="0.2">
      <c r="A1097" s="227"/>
      <c r="B1097" s="228" t="s">
        <v>3</v>
      </c>
      <c r="C1097" s="229" t="str">
        <f t="shared" si="711"/>
        <v/>
      </c>
      <c r="D1097" s="227" t="str">
        <f t="shared" ca="1" si="745"/>
        <v>08.003.001</v>
      </c>
      <c r="E1097" s="228" t="str">
        <f t="shared" ca="1" si="746"/>
        <v>08.002.004.001</v>
      </c>
      <c r="F1097" s="230">
        <f ca="1">IF($B1097="UNIDADE CONSTRUTIVA",OFFSET(F1097,-1,0)+1,LARGE(F$10:F1096,1))</f>
        <v>2</v>
      </c>
      <c r="G1097" s="228" t="str">
        <f t="shared" ca="1" si="734"/>
        <v xml:space="preserve">   GERENCIAMENTO EXECUTIVO</v>
      </c>
      <c r="H1097" s="230">
        <f t="shared" ca="1" si="747"/>
        <v>8</v>
      </c>
      <c r="I1097" s="228" t="str">
        <f t="shared" ca="1" si="735"/>
        <v xml:space="preserve">   SISTEMAS E INSTALAÇÕES HIDROSSANITÁRIAS | DRENAGEM</v>
      </c>
      <c r="J1097" s="230">
        <f t="shared" ca="1" si="748"/>
        <v>3</v>
      </c>
      <c r="K1097" s="228" t="str">
        <f t="shared" ca="1" si="736"/>
        <v xml:space="preserve">   SISTEMAS E INSTALAÇÕES HIDROSSANITÁRIAS | DRENAGEM - 3º  ao 7º PAVIMENTO - TIPO</v>
      </c>
      <c r="L1097" s="231">
        <f t="shared" ca="1" si="749"/>
        <v>1</v>
      </c>
      <c r="M1097" s="228" t="str">
        <f t="shared" ca="1" si="737"/>
        <v xml:space="preserve">   Instalações de Água Fria</v>
      </c>
      <c r="N1097" s="231">
        <f t="shared" ca="1" si="750"/>
        <v>0</v>
      </c>
      <c r="O1097" s="228" t="str">
        <f t="shared" ca="1" si="738"/>
        <v>Mao de obra de instalacoes hidrossanitárias</v>
      </c>
      <c r="P1097" s="232" t="str">
        <f>IF(S1097="","",IF(Orçamento!$B1097="INSUMO",S1097,""))</f>
        <v/>
      </c>
      <c r="Q1097" s="244" t="str">
        <f t="shared" si="731"/>
        <v/>
      </c>
      <c r="R1097" s="234">
        <f t="shared" ca="1" si="732"/>
        <v>326.93599</v>
      </c>
      <c r="S1097" s="233" t="s">
        <v>448</v>
      </c>
      <c r="T1097" s="242" t="s">
        <v>35</v>
      </c>
      <c r="U1097" s="235" t="str">
        <f>IF($B1097="insumo",R1097,"")</f>
        <v/>
      </c>
      <c r="V1097" s="320" t="s">
        <v>35</v>
      </c>
      <c r="W1097" s="236" t="str">
        <f>IFERROR(IF(B1097="INSUMO",_xlfn.XLOOKUP(S1097,Insumos!A:A,Insumos!C:C),""),"Inserir Preço")</f>
        <v/>
      </c>
      <c r="X1097" s="235" t="str">
        <f t="shared" ca="1" si="733"/>
        <v/>
      </c>
      <c r="Y1097" s="236" t="str">
        <f t="shared" si="730"/>
        <v/>
      </c>
      <c r="Z1097" s="237">
        <f t="shared" ca="1" si="712"/>
        <v>18900.901252411702</v>
      </c>
      <c r="AA1097" s="238"/>
      <c r="AB1097" s="233" t="str">
        <f>IF(B1097="insumo",_xlfn.XLOOKUP(S1097,Insumos!A:A,Insumos!D:D),"")</f>
        <v/>
      </c>
      <c r="AC1097" s="239">
        <f t="shared" ca="1" si="713"/>
        <v>2.711506608040831E-3</v>
      </c>
      <c r="AE1097" s="240">
        <f ca="1">IFERROR(IF(OR(Z1097="",Z1097=0),"",IF(AF1097="","",IF(AF1097="R$/mês",Z1097/OBRA!$D$12,IF(AF1097="R$/m²",Z1097/OBRA!$D$10,IF(AF1097="R$/apto",Orçamento!Z1097/OBRA!$D$11,""))))),"")</f>
        <v>9.7265384192358617</v>
      </c>
      <c r="AF1097" s="241" t="s">
        <v>154</v>
      </c>
    </row>
    <row r="1098" spans="1:32" s="10" customFormat="1" ht="13.15" hidden="1" customHeight="1" outlineLevel="4" x14ac:dyDescent="0.2">
      <c r="A1098" s="227"/>
      <c r="B1098" s="228" t="s">
        <v>4</v>
      </c>
      <c r="C1098" s="229">
        <f t="shared" si="711"/>
        <v>1</v>
      </c>
      <c r="D1098" s="227" t="str">
        <f t="shared" ca="1" si="745"/>
        <v>08.003.001.001</v>
      </c>
      <c r="E1098" s="228" t="str">
        <f t="shared" ca="1" si="746"/>
        <v>08.003.001.001</v>
      </c>
      <c r="F1098" s="230">
        <f ca="1">IF($B1098="UNIDADE CONSTRUTIVA",OFFSET(F1098,-1,0)+1,LARGE(F$10:F1097,1))</f>
        <v>2</v>
      </c>
      <c r="G1098" s="228" t="str">
        <f t="shared" ca="1" si="734"/>
        <v xml:space="preserve">   GERENCIAMENTO EXECUTIVO</v>
      </c>
      <c r="H1098" s="230">
        <f t="shared" ca="1" si="747"/>
        <v>8</v>
      </c>
      <c r="I1098" s="228" t="str">
        <f t="shared" ca="1" si="735"/>
        <v xml:space="preserve">   SISTEMAS E INSTALAÇÕES HIDROSSANITÁRIAS | DRENAGEM</v>
      </c>
      <c r="J1098" s="230">
        <f t="shared" ca="1" si="748"/>
        <v>3</v>
      </c>
      <c r="K1098" s="228" t="str">
        <f t="shared" ca="1" si="736"/>
        <v xml:space="preserve">   SISTEMAS E INSTALAÇÕES HIDROSSANITÁRIAS | DRENAGEM - 3º  ao 7º PAVIMENTO - TIPO</v>
      </c>
      <c r="L1098" s="231">
        <f t="shared" ca="1" si="749"/>
        <v>1</v>
      </c>
      <c r="M1098" s="228" t="str">
        <f t="shared" ca="1" si="737"/>
        <v xml:space="preserve">   Instalações de Água Fria</v>
      </c>
      <c r="N1098" s="231">
        <f t="shared" ca="1" si="750"/>
        <v>1</v>
      </c>
      <c r="O1098" s="228" t="str">
        <f t="shared" ca="1" si="738"/>
        <v>Instalacoes de Agua Fria - Tipo (5X)</v>
      </c>
      <c r="P1098" s="232" t="str">
        <f>IF(S1098="","",IF(Orçamento!$B1098="INSUMO",S1098,""))</f>
        <v/>
      </c>
      <c r="Q1098" s="244" t="str">
        <f t="shared" si="731"/>
        <v>Instalacoes de Agua Fria - Tipo (5X)</v>
      </c>
      <c r="R1098" s="234">
        <f t="shared" ca="1" si="732"/>
        <v>1</v>
      </c>
      <c r="S1098" s="233" t="s">
        <v>1076</v>
      </c>
      <c r="T1098" s="242" t="s">
        <v>170</v>
      </c>
      <c r="U1098" s="235">
        <v>1</v>
      </c>
      <c r="V1098" s="320"/>
      <c r="W1098" s="236" t="str">
        <f>IFERROR(IF(B1098="INSUMO",_xlfn.XLOOKUP(S1098,Insumos!A:A,Insumos!C:C),""),"Inserir Preço")</f>
        <v/>
      </c>
      <c r="X1098" s="235">
        <f t="shared" ca="1" si="733"/>
        <v>1</v>
      </c>
      <c r="Y1098" s="236">
        <f t="shared" ca="1" si="730"/>
        <v>18900.901252411702</v>
      </c>
      <c r="Z1098" s="237">
        <f t="shared" ca="1" si="712"/>
        <v>18900.901252411702</v>
      </c>
      <c r="AA1098" s="238"/>
      <c r="AB1098" s="233" t="str">
        <f>IF(B1098="insumo",_xlfn.XLOOKUP(S1098,Insumos!A:A,Insumos!D:D),"")</f>
        <v/>
      </c>
      <c r="AC1098" s="239">
        <f t="shared" ca="1" si="713"/>
        <v>2.711506608040831E-3</v>
      </c>
      <c r="AE1098" s="240">
        <f ca="1">IFERROR(IF(OR(Z1098="",Z1098=0),"",IF(AF1098="","",IF(AF1098="R$/mês",Z1098/OBRA!$D$12,IF(AF1098="R$/m²",Z1098/OBRA!$D$10,IF(AF1098="R$/apto",Orçamento!Z1098/OBRA!$D$11,""))))),"")</f>
        <v>9.7265384192358617</v>
      </c>
      <c r="AF1098" s="241" t="s">
        <v>154</v>
      </c>
    </row>
    <row r="1099" spans="1:32" s="10" customFormat="1" ht="13.15" hidden="1" customHeight="1" outlineLevel="4" x14ac:dyDescent="0.2">
      <c r="A1099" s="227"/>
      <c r="B1099" s="228" t="s">
        <v>19</v>
      </c>
      <c r="C1099" s="229">
        <f t="shared" si="711"/>
        <v>1</v>
      </c>
      <c r="D1099" s="227" t="str">
        <f t="shared" si="745"/>
        <v/>
      </c>
      <c r="E1099" s="228" t="str">
        <f t="shared" ca="1" si="746"/>
        <v>08.003.001.001</v>
      </c>
      <c r="F1099" s="230">
        <f ca="1">IF($B1099="UNIDADE CONSTRUTIVA",OFFSET(F1099,-1,0)+1,LARGE(F$10:F1098,1))</f>
        <v>2</v>
      </c>
      <c r="G1099" s="228" t="str">
        <f t="shared" ca="1" si="734"/>
        <v xml:space="preserve">   GERENCIAMENTO EXECUTIVO</v>
      </c>
      <c r="H1099" s="230">
        <f t="shared" ca="1" si="747"/>
        <v>8</v>
      </c>
      <c r="I1099" s="228" t="str">
        <f t="shared" ca="1" si="735"/>
        <v xml:space="preserve">   SISTEMAS E INSTALAÇÕES HIDROSSANITÁRIAS | DRENAGEM</v>
      </c>
      <c r="J1099" s="230">
        <f t="shared" ca="1" si="748"/>
        <v>3</v>
      </c>
      <c r="K1099" s="228" t="str">
        <f t="shared" ca="1" si="736"/>
        <v xml:space="preserve">   SISTEMAS E INSTALAÇÕES HIDROSSANITÁRIAS | DRENAGEM - 3º  ao 7º PAVIMENTO - TIPO</v>
      </c>
      <c r="L1099" s="231">
        <f t="shared" ca="1" si="749"/>
        <v>1</v>
      </c>
      <c r="M1099" s="228" t="str">
        <f t="shared" ca="1" si="737"/>
        <v xml:space="preserve">   Instalações de Água Fria</v>
      </c>
      <c r="N1099" s="231">
        <f t="shared" ca="1" si="750"/>
        <v>1</v>
      </c>
      <c r="O1099" s="228" t="str">
        <f t="shared" ca="1" si="738"/>
        <v>Instalacoes de Agua Fria - Tipo (5X)</v>
      </c>
      <c r="P1099" s="232" t="str">
        <f>IF(S1099="","",IF(Orçamento!$B1099="INSUMO",S1099,""))</f>
        <v>INSTALAÇÕES AGUA FRIA - TIPO (X5)</v>
      </c>
      <c r="Q1099" s="244" t="str">
        <f t="shared" si="731"/>
        <v/>
      </c>
      <c r="R1099" s="234">
        <f t="shared" ca="1" si="732"/>
        <v>1</v>
      </c>
      <c r="S1099" s="343" t="s">
        <v>1008</v>
      </c>
      <c r="T1099" s="242" t="str">
        <f>_xlfn.XLOOKUP(S1099,Insumos!$A$3:$A$371,Insumos!$B$3:$B$371)</f>
        <v>UN</v>
      </c>
      <c r="U1099" s="235">
        <f ca="1">IF($B1099="insumo",R1099,"")</f>
        <v>1</v>
      </c>
      <c r="V1099" s="320">
        <v>1</v>
      </c>
      <c r="W1099" s="236">
        <f>IFERROR(IF(B1099="INSUMO",_xlfn.XLOOKUP(S1099,Insumos!A:A,Insumos!C:C),""),"Inserir Preço")</f>
        <v>18900.901252411702</v>
      </c>
      <c r="X1099" s="235">
        <f t="shared" ca="1" si="733"/>
        <v>1</v>
      </c>
      <c r="Y1099" s="236">
        <f t="shared" si="730"/>
        <v>18900.901252411702</v>
      </c>
      <c r="Z1099" s="237">
        <f t="shared" ca="1" si="712"/>
        <v>18900.901252411702</v>
      </c>
      <c r="AA1099" s="238"/>
      <c r="AB1099" s="233" t="str">
        <f>IF(B1099="insumo",_xlfn.XLOOKUP(S1099,Insumos!A:A,Insumos!D:D),"")</f>
        <v>Estimativa</v>
      </c>
      <c r="AC1099" s="239">
        <f t="shared" ca="1" si="713"/>
        <v>2.711506608040831E-3</v>
      </c>
      <c r="AE1099" s="240">
        <f ca="1">IFERROR(IF(OR(Z1099="",Z1099=0),"",IF(AF1099="","",IF(AF1099="R$/mês",Z1099/OBRA!$D$12,IF(AF1099="R$/m²",Z1099/OBRA!$D$10,IF(AF1099="R$/apto",Orçamento!Z1099/OBRA!$D$11,""))))),"")</f>
        <v>9.7265384192358617</v>
      </c>
      <c r="AF1099" s="241" t="s">
        <v>154</v>
      </c>
    </row>
    <row r="1100" spans="1:32" s="10" customFormat="1" ht="13.15" hidden="1" customHeight="1" outlineLevel="3" collapsed="1" x14ac:dyDescent="0.2">
      <c r="A1100" s="227"/>
      <c r="B1100" s="228" t="s">
        <v>3</v>
      </c>
      <c r="C1100" s="229" t="str">
        <f t="shared" ref="C1100:C1163" si="751">IF(B1100="INSUMO",COUNTIFS(B:B,"INSUMO",S:S,S1100),IF(B1100="SERVIÇO",COUNTIFS(B:B,"SERVIÇO",S:S,S1100),""))</f>
        <v/>
      </c>
      <c r="D1100" s="227" t="str">
        <f t="shared" ca="1" si="745"/>
        <v>08.003.002</v>
      </c>
      <c r="E1100" s="228" t="str">
        <f t="shared" ca="1" si="746"/>
        <v>08.003.001.001</v>
      </c>
      <c r="F1100" s="230">
        <f ca="1">IF($B1100="UNIDADE CONSTRUTIVA",OFFSET(F1100,-1,0)+1,LARGE(F$10:F1099,1))</f>
        <v>2</v>
      </c>
      <c r="G1100" s="228" t="str">
        <f t="shared" ca="1" si="734"/>
        <v xml:space="preserve">   GERENCIAMENTO EXECUTIVO</v>
      </c>
      <c r="H1100" s="230">
        <f t="shared" ca="1" si="747"/>
        <v>8</v>
      </c>
      <c r="I1100" s="228" t="str">
        <f t="shared" ca="1" si="735"/>
        <v xml:space="preserve">   SISTEMAS E INSTALAÇÕES HIDROSSANITÁRIAS | DRENAGEM</v>
      </c>
      <c r="J1100" s="230">
        <f t="shared" ca="1" si="748"/>
        <v>3</v>
      </c>
      <c r="K1100" s="228" t="str">
        <f t="shared" ca="1" si="736"/>
        <v xml:space="preserve">   SISTEMAS E INSTALAÇÕES HIDROSSANITÁRIAS | DRENAGEM - 3º  ao 7º PAVIMENTO - TIPO</v>
      </c>
      <c r="L1100" s="231">
        <f t="shared" ca="1" si="749"/>
        <v>2</v>
      </c>
      <c r="M1100" s="228" t="str">
        <f t="shared" ca="1" si="737"/>
        <v xml:space="preserve">   Instalações de Água Pluvial</v>
      </c>
      <c r="N1100" s="231">
        <f t="shared" ca="1" si="750"/>
        <v>0</v>
      </c>
      <c r="O1100" s="228" t="str">
        <f t="shared" ca="1" si="738"/>
        <v>Instalacoes de Agua Fria - Tipo (5X)</v>
      </c>
      <c r="P1100" s="232" t="str">
        <f>IF(S1100="","",IF(Orçamento!$B1100="INSUMO",S1100,""))</f>
        <v/>
      </c>
      <c r="Q1100" s="244" t="str">
        <f t="shared" si="731"/>
        <v/>
      </c>
      <c r="R1100" s="234">
        <f t="shared" ca="1" si="732"/>
        <v>1</v>
      </c>
      <c r="S1100" s="233" t="s">
        <v>449</v>
      </c>
      <c r="T1100" s="242" t="s">
        <v>35</v>
      </c>
      <c r="U1100" s="235" t="str">
        <f>IF($B1100="insumo",R1100,"")</f>
        <v/>
      </c>
      <c r="V1100" s="320" t="s">
        <v>35</v>
      </c>
      <c r="W1100" s="236" t="str">
        <f>IFERROR(IF(B1100="INSUMO",_xlfn.XLOOKUP(S1100,Insumos!A:A,Insumos!C:C),""),"Inserir Preço")</f>
        <v/>
      </c>
      <c r="X1100" s="235" t="str">
        <f t="shared" ca="1" si="733"/>
        <v/>
      </c>
      <c r="Y1100" s="236" t="str">
        <f t="shared" si="730"/>
        <v/>
      </c>
      <c r="Z1100" s="237">
        <f t="shared" ref="Z1100:Z1163" ca="1" si="752">IFERROR(IF(B1100="Unidade Construtiva",SUMIFS(Z:Z,B:B,"Célula Construtiva",G:G,G1100),IF(B1100="célula construtiva",SUMIFS(Z:Z,B:B,"Insumo",I:I,I1100,G:G,G1100),IF(B1100="ETAPA",SUMIFS(Z:Z,B:B,"Insumo",K:K,K1100,I:I,I1100,G:G,G1100),IF(B1100="subetapa",SUMIFS(Z:Z,M:M,M1100,B:B,"insumo",K:K,K1100,I:I,I1100,G:G,G1100),IF(B1100="complemento do insumo",V1100*W1100,IF(B1100="INSUMO",R1100*V1100*W1100,X1100*Y1100)))))),"")</f>
        <v>9450.4506262058512</v>
      </c>
      <c r="AA1100" s="238"/>
      <c r="AB1100" s="233" t="str">
        <f>IF(B1100="insumo",_xlfn.XLOOKUP(S1100,Insumos!A:A,Insumos!D:D),"")</f>
        <v/>
      </c>
      <c r="AC1100" s="239">
        <f t="shared" ref="AC1100:AC1163" ca="1" si="753">IFERROR(IF(B1100="","",Z1100/SUMIF(B:B,"INSUMO",Z:Z)),0)</f>
        <v>1.3557533040204155E-3</v>
      </c>
      <c r="AE1100" s="240">
        <f ca="1">IFERROR(IF(OR(Z1100="",Z1100=0),"",IF(AF1100="","",IF(AF1100="R$/mês",Z1100/OBRA!$D$12,IF(AF1100="R$/m²",Z1100/OBRA!$D$10,IF(AF1100="R$/apto",Orçamento!Z1100/OBRA!$D$11,""))))),"")</f>
        <v>4.8632692096179309</v>
      </c>
      <c r="AF1100" s="241" t="s">
        <v>154</v>
      </c>
    </row>
    <row r="1101" spans="1:32" s="10" customFormat="1" ht="13.15" hidden="1" customHeight="1" outlineLevel="4" x14ac:dyDescent="0.2">
      <c r="A1101" s="227"/>
      <c r="B1101" s="228" t="s">
        <v>4</v>
      </c>
      <c r="C1101" s="229">
        <f t="shared" si="751"/>
        <v>1</v>
      </c>
      <c r="D1101" s="227" t="str">
        <f t="shared" ca="1" si="745"/>
        <v>08.003.002.001</v>
      </c>
      <c r="E1101" s="228" t="str">
        <f t="shared" ca="1" si="746"/>
        <v>08.003.002.001</v>
      </c>
      <c r="F1101" s="230">
        <f ca="1">IF($B1101="UNIDADE CONSTRUTIVA",OFFSET(F1101,-1,0)+1,LARGE(F$10:F1100,1))</f>
        <v>2</v>
      </c>
      <c r="G1101" s="228" t="str">
        <f t="shared" ca="1" si="734"/>
        <v xml:space="preserve">   GERENCIAMENTO EXECUTIVO</v>
      </c>
      <c r="H1101" s="230">
        <f t="shared" ca="1" si="747"/>
        <v>8</v>
      </c>
      <c r="I1101" s="228" t="str">
        <f t="shared" ca="1" si="735"/>
        <v xml:space="preserve">   SISTEMAS E INSTALAÇÕES HIDROSSANITÁRIAS | DRENAGEM</v>
      </c>
      <c r="J1101" s="230">
        <f t="shared" ca="1" si="748"/>
        <v>3</v>
      </c>
      <c r="K1101" s="228" t="str">
        <f t="shared" ca="1" si="736"/>
        <v xml:space="preserve">   SISTEMAS E INSTALAÇÕES HIDROSSANITÁRIAS | DRENAGEM - 3º  ao 7º PAVIMENTO - TIPO</v>
      </c>
      <c r="L1101" s="231">
        <f t="shared" ca="1" si="749"/>
        <v>2</v>
      </c>
      <c r="M1101" s="228" t="str">
        <f t="shared" ca="1" si="737"/>
        <v xml:space="preserve">   Instalações de Água Pluvial</v>
      </c>
      <c r="N1101" s="231">
        <f t="shared" ca="1" si="750"/>
        <v>1</v>
      </c>
      <c r="O1101" s="228" t="str">
        <f t="shared" ca="1" si="738"/>
        <v>Instalacoes de Aguas Pluviais - Tipo (5X)</v>
      </c>
      <c r="P1101" s="232" t="str">
        <f>IF(S1101="","",IF(Orçamento!$B1101="INSUMO",S1101,""))</f>
        <v/>
      </c>
      <c r="Q1101" s="244" t="str">
        <f t="shared" si="731"/>
        <v>Instalacoes de Aguas Pluviais - Tipo (5X)</v>
      </c>
      <c r="R1101" s="234">
        <f t="shared" ca="1" si="732"/>
        <v>1</v>
      </c>
      <c r="S1101" s="233" t="s">
        <v>1077</v>
      </c>
      <c r="T1101" s="242" t="s">
        <v>170</v>
      </c>
      <c r="U1101" s="235">
        <v>1</v>
      </c>
      <c r="V1101" s="320" t="s">
        <v>35</v>
      </c>
      <c r="W1101" s="236" t="str">
        <f>IFERROR(IF(B1101="INSUMO",_xlfn.XLOOKUP(S1101,Insumos!A:A,Insumos!C:C),""),"Inserir Preço")</f>
        <v/>
      </c>
      <c r="X1101" s="235">
        <f t="shared" ca="1" si="733"/>
        <v>1</v>
      </c>
      <c r="Y1101" s="236">
        <f t="shared" ca="1" si="730"/>
        <v>9450.4506262058512</v>
      </c>
      <c r="Z1101" s="237">
        <f t="shared" ca="1" si="752"/>
        <v>9450.4506262058512</v>
      </c>
      <c r="AA1101" s="238"/>
      <c r="AB1101" s="233" t="str">
        <f>IF(B1101="insumo",_xlfn.XLOOKUP(S1101,Insumos!A:A,Insumos!D:D),"")</f>
        <v/>
      </c>
      <c r="AC1101" s="239">
        <f t="shared" ca="1" si="753"/>
        <v>1.3557533040204155E-3</v>
      </c>
      <c r="AE1101" s="240">
        <f ca="1">IFERROR(IF(OR(Z1101="",Z1101=0),"",IF(AF1101="","",IF(AF1101="R$/mês",Z1101/OBRA!$D$12,IF(AF1101="R$/m²",Z1101/OBRA!$D$10,IF(AF1101="R$/apto",Orçamento!Z1101/OBRA!$D$11,""))))),"")</f>
        <v>4.8632692096179309</v>
      </c>
      <c r="AF1101" s="241" t="s">
        <v>154</v>
      </c>
    </row>
    <row r="1102" spans="1:32" s="10" customFormat="1" ht="13.15" hidden="1" customHeight="1" outlineLevel="4" x14ac:dyDescent="0.2">
      <c r="A1102" s="227"/>
      <c r="B1102" s="228" t="s">
        <v>19</v>
      </c>
      <c r="C1102" s="229">
        <f t="shared" si="751"/>
        <v>1</v>
      </c>
      <c r="D1102" s="227" t="str">
        <f t="shared" si="745"/>
        <v/>
      </c>
      <c r="E1102" s="228" t="str">
        <f t="shared" ca="1" si="746"/>
        <v>08.003.002.001</v>
      </c>
      <c r="F1102" s="230">
        <f ca="1">IF($B1102="UNIDADE CONSTRUTIVA",OFFSET(F1102,-1,0)+1,LARGE(F$10:F1101,1))</f>
        <v>2</v>
      </c>
      <c r="G1102" s="228" t="str">
        <f t="shared" ca="1" si="734"/>
        <v xml:space="preserve">   GERENCIAMENTO EXECUTIVO</v>
      </c>
      <c r="H1102" s="230">
        <f t="shared" ca="1" si="747"/>
        <v>8</v>
      </c>
      <c r="I1102" s="228" t="str">
        <f t="shared" ca="1" si="735"/>
        <v xml:space="preserve">   SISTEMAS E INSTALAÇÕES HIDROSSANITÁRIAS | DRENAGEM</v>
      </c>
      <c r="J1102" s="230">
        <f t="shared" ca="1" si="748"/>
        <v>3</v>
      </c>
      <c r="K1102" s="228" t="str">
        <f t="shared" ca="1" si="736"/>
        <v xml:space="preserve">   SISTEMAS E INSTALAÇÕES HIDROSSANITÁRIAS | DRENAGEM - 3º  ao 7º PAVIMENTO - TIPO</v>
      </c>
      <c r="L1102" s="231">
        <f t="shared" ca="1" si="749"/>
        <v>2</v>
      </c>
      <c r="M1102" s="228" t="str">
        <f t="shared" ca="1" si="737"/>
        <v xml:space="preserve">   Instalações de Água Pluvial</v>
      </c>
      <c r="N1102" s="231">
        <f t="shared" ca="1" si="750"/>
        <v>1</v>
      </c>
      <c r="O1102" s="228" t="str">
        <f t="shared" ca="1" si="738"/>
        <v>Instalacoes de Aguas Pluviais - Tipo (5X)</v>
      </c>
      <c r="P1102" s="232" t="str">
        <f>IF(S1102="","",IF(Orçamento!$B1102="INSUMO",S1102,""))</f>
        <v>INSTALAÇÕES AGUA PLUVIAIS - TIPO (X5)</v>
      </c>
      <c r="Q1102" s="244" t="str">
        <f t="shared" si="731"/>
        <v/>
      </c>
      <c r="R1102" s="234">
        <f t="shared" ca="1" si="732"/>
        <v>1</v>
      </c>
      <c r="S1102" s="343" t="s">
        <v>1013</v>
      </c>
      <c r="T1102" s="242" t="str">
        <f>_xlfn.XLOOKUP(S1102,Insumos!$A$3:$A$371,Insumos!$B$3:$B$371)</f>
        <v>UN</v>
      </c>
      <c r="U1102" s="235">
        <f ca="1">IF($B1102="insumo",R1102,"")</f>
        <v>1</v>
      </c>
      <c r="V1102" s="320">
        <v>1</v>
      </c>
      <c r="W1102" s="236">
        <f>IFERROR(IF(B1102="INSUMO",_xlfn.XLOOKUP(S1102,Insumos!A:A,Insumos!C:C),""),"Inserir Preço")</f>
        <v>9450.4506262058512</v>
      </c>
      <c r="X1102" s="235">
        <f t="shared" ca="1" si="733"/>
        <v>1</v>
      </c>
      <c r="Y1102" s="236">
        <f t="shared" si="730"/>
        <v>9450.4506262058512</v>
      </c>
      <c r="Z1102" s="237">
        <f t="shared" ca="1" si="752"/>
        <v>9450.4506262058512</v>
      </c>
      <c r="AA1102" s="238"/>
      <c r="AB1102" s="233" t="str">
        <f>IF(B1102="insumo",_xlfn.XLOOKUP(S1102,Insumos!A:A,Insumos!D:D),"")</f>
        <v>Estimativa</v>
      </c>
      <c r="AC1102" s="239">
        <f t="shared" ca="1" si="753"/>
        <v>1.3557533040204155E-3</v>
      </c>
      <c r="AE1102" s="240">
        <f ca="1">IFERROR(IF(OR(Z1102="",Z1102=0),"",IF(AF1102="","",IF(AF1102="R$/mês",Z1102/OBRA!$D$12,IF(AF1102="R$/m²",Z1102/OBRA!$D$10,IF(AF1102="R$/apto",Orçamento!Z1102/OBRA!$D$11,""))))),"")</f>
        <v>4.8632692096179309</v>
      </c>
      <c r="AF1102" s="241" t="s">
        <v>154</v>
      </c>
    </row>
    <row r="1103" spans="1:32" s="10" customFormat="1" ht="13.15" hidden="1" customHeight="1" outlineLevel="3" collapsed="1" x14ac:dyDescent="0.2">
      <c r="A1103" s="227"/>
      <c r="B1103" s="228" t="s">
        <v>3</v>
      </c>
      <c r="C1103" s="229" t="str">
        <f t="shared" si="751"/>
        <v/>
      </c>
      <c r="D1103" s="227" t="str">
        <f t="shared" ca="1" si="745"/>
        <v>08.003.003</v>
      </c>
      <c r="E1103" s="228" t="str">
        <f t="shared" ca="1" si="746"/>
        <v>08.003.002.001</v>
      </c>
      <c r="F1103" s="230">
        <f ca="1">IF($B1103="UNIDADE CONSTRUTIVA",OFFSET(F1103,-1,0)+1,LARGE(F$10:F1102,1))</f>
        <v>2</v>
      </c>
      <c r="G1103" s="228" t="str">
        <f t="shared" ca="1" si="734"/>
        <v xml:space="preserve">   GERENCIAMENTO EXECUTIVO</v>
      </c>
      <c r="H1103" s="230">
        <f t="shared" ca="1" si="747"/>
        <v>8</v>
      </c>
      <c r="I1103" s="228" t="str">
        <f t="shared" ca="1" si="735"/>
        <v xml:space="preserve">   SISTEMAS E INSTALAÇÕES HIDROSSANITÁRIAS | DRENAGEM</v>
      </c>
      <c r="J1103" s="230">
        <f t="shared" ca="1" si="748"/>
        <v>3</v>
      </c>
      <c r="K1103" s="228" t="str">
        <f t="shared" ca="1" si="736"/>
        <v xml:space="preserve">   SISTEMAS E INSTALAÇÕES HIDROSSANITÁRIAS | DRENAGEM - 3º  ao 7º PAVIMENTO - TIPO</v>
      </c>
      <c r="L1103" s="231">
        <f t="shared" ca="1" si="749"/>
        <v>3</v>
      </c>
      <c r="M1103" s="228" t="str">
        <f t="shared" ca="1" si="737"/>
        <v xml:space="preserve">   Instalações de Esgoto</v>
      </c>
      <c r="N1103" s="231">
        <f t="shared" ca="1" si="750"/>
        <v>0</v>
      </c>
      <c r="O1103" s="228" t="str">
        <f t="shared" ca="1" si="738"/>
        <v>Instalacoes de Aguas Pluviais - Tipo (5X)</v>
      </c>
      <c r="P1103" s="232" t="str">
        <f>IF(S1103="","",IF(Orçamento!$B1103="INSUMO",S1103,""))</f>
        <v/>
      </c>
      <c r="Q1103" s="244" t="str">
        <f t="shared" si="731"/>
        <v/>
      </c>
      <c r="R1103" s="234">
        <f t="shared" ca="1" si="732"/>
        <v>1</v>
      </c>
      <c r="S1103" s="233" t="s">
        <v>450</v>
      </c>
      <c r="T1103" s="242" t="s">
        <v>35</v>
      </c>
      <c r="U1103" s="235" t="str">
        <f>IF($B1103="insumo",R1103,"")</f>
        <v/>
      </c>
      <c r="V1103" s="320" t="s">
        <v>35</v>
      </c>
      <c r="W1103" s="236" t="str">
        <f>IFERROR(IF(B1103="INSUMO",_xlfn.XLOOKUP(S1103,Insumos!A:A,Insumos!C:C),""),"Inserir Preço")</f>
        <v/>
      </c>
      <c r="X1103" s="235" t="str">
        <f t="shared" ca="1" si="733"/>
        <v/>
      </c>
      <c r="Y1103" s="236" t="str">
        <f t="shared" si="730"/>
        <v/>
      </c>
      <c r="Z1103" s="237">
        <f t="shared" ca="1" si="752"/>
        <v>14175.675939308778</v>
      </c>
      <c r="AA1103" s="238"/>
      <c r="AB1103" s="233" t="str">
        <f>IF(B1103="insumo",_xlfn.XLOOKUP(S1103,Insumos!A:A,Insumos!D:D),"")</f>
        <v/>
      </c>
      <c r="AC1103" s="239">
        <f t="shared" ca="1" si="753"/>
        <v>2.0336299560306235E-3</v>
      </c>
      <c r="AE1103" s="240">
        <f ca="1">IFERROR(IF(OR(Z1103="",Z1103=0),"",IF(AF1103="","",IF(AF1103="R$/mês",Z1103/OBRA!$D$12,IF(AF1103="R$/m²",Z1103/OBRA!$D$10,IF(AF1103="R$/apto",Orçamento!Z1103/OBRA!$D$11,""))))),"")</f>
        <v>7.2949038144268963</v>
      </c>
      <c r="AF1103" s="241" t="s">
        <v>154</v>
      </c>
    </row>
    <row r="1104" spans="1:32" s="10" customFormat="1" ht="13.15" hidden="1" customHeight="1" outlineLevel="4" x14ac:dyDescent="0.2">
      <c r="A1104" s="227"/>
      <c r="B1104" s="228" t="s">
        <v>4</v>
      </c>
      <c r="C1104" s="229">
        <f t="shared" si="751"/>
        <v>1</v>
      </c>
      <c r="D1104" s="227" t="str">
        <f t="shared" ca="1" si="745"/>
        <v>08.003.003.001</v>
      </c>
      <c r="E1104" s="228" t="str">
        <f t="shared" ca="1" si="746"/>
        <v>08.003.003.001</v>
      </c>
      <c r="F1104" s="230">
        <f ca="1">IF($B1104="UNIDADE CONSTRUTIVA",OFFSET(F1104,-1,0)+1,LARGE(F$10:F1103,1))</f>
        <v>2</v>
      </c>
      <c r="G1104" s="228" t="str">
        <f t="shared" ca="1" si="734"/>
        <v xml:space="preserve">   GERENCIAMENTO EXECUTIVO</v>
      </c>
      <c r="H1104" s="230">
        <f t="shared" ca="1" si="747"/>
        <v>8</v>
      </c>
      <c r="I1104" s="228" t="str">
        <f t="shared" ca="1" si="735"/>
        <v xml:space="preserve">   SISTEMAS E INSTALAÇÕES HIDROSSANITÁRIAS | DRENAGEM</v>
      </c>
      <c r="J1104" s="230">
        <f t="shared" ca="1" si="748"/>
        <v>3</v>
      </c>
      <c r="K1104" s="228" t="str">
        <f t="shared" ca="1" si="736"/>
        <v xml:space="preserve">   SISTEMAS E INSTALAÇÕES HIDROSSANITÁRIAS | DRENAGEM - 3º  ao 7º PAVIMENTO - TIPO</v>
      </c>
      <c r="L1104" s="231">
        <f t="shared" ca="1" si="749"/>
        <v>3</v>
      </c>
      <c r="M1104" s="228" t="str">
        <f t="shared" ca="1" si="737"/>
        <v xml:space="preserve">   Instalações de Esgoto</v>
      </c>
      <c r="N1104" s="231">
        <f t="shared" ca="1" si="750"/>
        <v>1</v>
      </c>
      <c r="O1104" s="228" t="str">
        <f t="shared" ca="1" si="738"/>
        <v>Instalacoes de Esgoto - Tipo (5X)</v>
      </c>
      <c r="P1104" s="232" t="str">
        <f>IF(S1104="","",IF(Orçamento!$B1104="INSUMO",S1104,""))</f>
        <v/>
      </c>
      <c r="Q1104" s="244" t="str">
        <f t="shared" si="731"/>
        <v>Instalacoes de Esgoto - Tipo (5X)</v>
      </c>
      <c r="R1104" s="234">
        <f t="shared" ca="1" si="732"/>
        <v>1</v>
      </c>
      <c r="S1104" s="233" t="s">
        <v>1078</v>
      </c>
      <c r="T1104" s="242" t="s">
        <v>170</v>
      </c>
      <c r="U1104" s="235">
        <v>1</v>
      </c>
      <c r="V1104" s="320" t="s">
        <v>35</v>
      </c>
      <c r="W1104" s="236" t="str">
        <f>IFERROR(IF(B1104="INSUMO",_xlfn.XLOOKUP(S1104,Insumos!A:A,Insumos!C:C),""),"Inserir Preço")</f>
        <v/>
      </c>
      <c r="X1104" s="235">
        <f t="shared" ca="1" si="733"/>
        <v>1</v>
      </c>
      <c r="Y1104" s="236">
        <f t="shared" ca="1" si="730"/>
        <v>14175.675939308778</v>
      </c>
      <c r="Z1104" s="237">
        <f t="shared" ca="1" si="752"/>
        <v>14175.675939308778</v>
      </c>
      <c r="AA1104" s="238"/>
      <c r="AB1104" s="233" t="str">
        <f>IF(B1104="insumo",_xlfn.XLOOKUP(S1104,Insumos!A:A,Insumos!D:D),"")</f>
        <v/>
      </c>
      <c r="AC1104" s="239">
        <f t="shared" ca="1" si="753"/>
        <v>2.0336299560306235E-3</v>
      </c>
      <c r="AE1104" s="240">
        <f ca="1">IFERROR(IF(OR(Z1104="",Z1104=0),"",IF(AF1104="","",IF(AF1104="R$/mês",Z1104/OBRA!$D$12,IF(AF1104="R$/m²",Z1104/OBRA!$D$10,IF(AF1104="R$/apto",Orçamento!Z1104/OBRA!$D$11,""))))),"")</f>
        <v>7.2949038144268963</v>
      </c>
      <c r="AF1104" s="241" t="s">
        <v>154</v>
      </c>
    </row>
    <row r="1105" spans="1:32" s="10" customFormat="1" ht="13.15" hidden="1" customHeight="1" outlineLevel="4" x14ac:dyDescent="0.2">
      <c r="A1105" s="227"/>
      <c r="B1105" s="228" t="s">
        <v>19</v>
      </c>
      <c r="C1105" s="229">
        <f t="shared" si="751"/>
        <v>1</v>
      </c>
      <c r="D1105" s="227" t="str">
        <f t="shared" si="745"/>
        <v/>
      </c>
      <c r="E1105" s="228" t="str">
        <f t="shared" ca="1" si="746"/>
        <v>08.003.003.001</v>
      </c>
      <c r="F1105" s="230">
        <f ca="1">IF($B1105="UNIDADE CONSTRUTIVA",OFFSET(F1105,-1,0)+1,LARGE(F$10:F1104,1))</f>
        <v>2</v>
      </c>
      <c r="G1105" s="228" t="str">
        <f t="shared" ca="1" si="734"/>
        <v xml:space="preserve">   GERENCIAMENTO EXECUTIVO</v>
      </c>
      <c r="H1105" s="230">
        <f t="shared" ca="1" si="747"/>
        <v>8</v>
      </c>
      <c r="I1105" s="228" t="str">
        <f t="shared" ca="1" si="735"/>
        <v xml:space="preserve">   SISTEMAS E INSTALAÇÕES HIDROSSANITÁRIAS | DRENAGEM</v>
      </c>
      <c r="J1105" s="230">
        <f t="shared" ca="1" si="748"/>
        <v>3</v>
      </c>
      <c r="K1105" s="228" t="str">
        <f t="shared" ca="1" si="736"/>
        <v xml:space="preserve">   SISTEMAS E INSTALAÇÕES HIDROSSANITÁRIAS | DRENAGEM - 3º  ao 7º PAVIMENTO - TIPO</v>
      </c>
      <c r="L1105" s="231">
        <f t="shared" ca="1" si="749"/>
        <v>3</v>
      </c>
      <c r="M1105" s="228" t="str">
        <f t="shared" ca="1" si="737"/>
        <v xml:space="preserve">   Instalações de Esgoto</v>
      </c>
      <c r="N1105" s="231">
        <f t="shared" ca="1" si="750"/>
        <v>1</v>
      </c>
      <c r="O1105" s="228" t="str">
        <f t="shared" ca="1" si="738"/>
        <v>Instalacoes de Esgoto - Tipo (5X)</v>
      </c>
      <c r="P1105" s="232" t="str">
        <f>IF(S1105="","",IF(Orçamento!$B1105="INSUMO",S1105,""))</f>
        <v>INSTALAÇÕES ESGOTO - TIPO (X5)</v>
      </c>
      <c r="Q1105" s="244" t="str">
        <f t="shared" si="731"/>
        <v/>
      </c>
      <c r="R1105" s="234">
        <f t="shared" ca="1" si="732"/>
        <v>1</v>
      </c>
      <c r="S1105" s="343" t="s">
        <v>1018</v>
      </c>
      <c r="T1105" s="242" t="str">
        <f>_xlfn.XLOOKUP(S1105,Insumos!$A$3:$A$371,Insumos!$B$3:$B$371)</f>
        <v>UN</v>
      </c>
      <c r="U1105" s="235">
        <f ca="1">IF($B1105="insumo",R1105,"")</f>
        <v>1</v>
      </c>
      <c r="V1105" s="320">
        <v>1</v>
      </c>
      <c r="W1105" s="236">
        <f>IFERROR(IF(B1105="INSUMO",_xlfn.XLOOKUP(S1105,Insumos!A:A,Insumos!C:C),""),"Inserir Preço")</f>
        <v>14175.675939308778</v>
      </c>
      <c r="X1105" s="235">
        <f t="shared" ca="1" si="733"/>
        <v>1</v>
      </c>
      <c r="Y1105" s="236">
        <f t="shared" si="730"/>
        <v>14175.675939308778</v>
      </c>
      <c r="Z1105" s="237">
        <f t="shared" ca="1" si="752"/>
        <v>14175.675939308778</v>
      </c>
      <c r="AA1105" s="238"/>
      <c r="AB1105" s="233" t="str">
        <f>IF(B1105="insumo",_xlfn.XLOOKUP(S1105,Insumos!A:A,Insumos!D:D),"")</f>
        <v>Estimativa</v>
      </c>
      <c r="AC1105" s="239">
        <f t="shared" ca="1" si="753"/>
        <v>2.0336299560306235E-3</v>
      </c>
      <c r="AE1105" s="240">
        <f ca="1">IFERROR(IF(OR(Z1105="",Z1105=0),"",IF(AF1105="","",IF(AF1105="R$/mês",Z1105/OBRA!$D$12,IF(AF1105="R$/m²",Z1105/OBRA!$D$10,IF(AF1105="R$/apto",Orçamento!Z1105/OBRA!$D$11,""))))),"")</f>
        <v>7.2949038144268963</v>
      </c>
      <c r="AF1105" s="241" t="s">
        <v>154</v>
      </c>
    </row>
    <row r="1106" spans="1:32" s="10" customFormat="1" ht="13.15" hidden="1" customHeight="1" outlineLevel="3" collapsed="1" x14ac:dyDescent="0.2">
      <c r="A1106" s="227"/>
      <c r="B1106" s="228" t="s">
        <v>3</v>
      </c>
      <c r="C1106" s="229" t="str">
        <f t="shared" si="751"/>
        <v/>
      </c>
      <c r="D1106" s="227" t="str">
        <f t="shared" ref="D1106:D1118" ca="1" si="754">IF(B1106="Unidade Construtiva",TEXT(F1106,"00"),IF(B1106="Célula Construtiva",TEXT(H1106,"00"),IF(B1106="Etapa",CONCATENATE(TEXT(H1106,"00"),".",TEXT(J1106,"000")),IF(B1106="Subetapa",CONCATENATE(TEXT(H1106,"00"),".",TEXT(J1106,"000"),".",TEXT(L1106,"000")),IF(B1106="Serviço",CONCATENATE(TEXT(H1106,"00"),".",TEXT(J1106,"000"),".",TEXT(L1106,"000"),".",TEXT(N1106,"000")),"")))))</f>
        <v>08.003.004</v>
      </c>
      <c r="E1106" s="228" t="str">
        <f t="shared" ref="E1106:E1118" ca="1" si="755">IF(B1106="*","",IFERROR(IF(B1106="SERVIÇO",D1106,OFFSET(E1106,-1,0)),""))</f>
        <v>08.003.003.001</v>
      </c>
      <c r="F1106" s="230">
        <f ca="1">IF($B1106="UNIDADE CONSTRUTIVA",OFFSET(F1106,-1,0)+1,LARGE(F$10:F1105,1))</f>
        <v>2</v>
      </c>
      <c r="G1106" s="228" t="str">
        <f t="shared" ca="1" si="734"/>
        <v xml:space="preserve">   GERENCIAMENTO EXECUTIVO</v>
      </c>
      <c r="H1106" s="230">
        <f t="shared" ref="H1106:H1118" ca="1" si="756">IF(B1106="UNIDADE CONSTRUTIVA",0,IF(B1106="CÉLULA CONSTRUTIVA",OFFSET(H1106,-1,0)+1,OFFSET(H1106,-1,0)))</f>
        <v>8</v>
      </c>
      <c r="I1106" s="228" t="str">
        <f t="shared" ca="1" si="735"/>
        <v xml:space="preserve">   SISTEMAS E INSTALAÇÕES HIDROSSANITÁRIAS | DRENAGEM</v>
      </c>
      <c r="J1106" s="230">
        <f t="shared" ref="J1106:J1118" ca="1" si="757">IF(B1106="CÉLULA CONSTRUTIVA",0,IF(B1106="ETAPA",OFFSET(J1106,-1,0)+1,OFFSET(J1106,-1,0)))</f>
        <v>3</v>
      </c>
      <c r="K1106" s="228" t="str">
        <f t="shared" ca="1" si="736"/>
        <v xml:space="preserve">   SISTEMAS E INSTALAÇÕES HIDROSSANITÁRIAS | DRENAGEM - 3º  ao 7º PAVIMENTO - TIPO</v>
      </c>
      <c r="L1106" s="231">
        <f t="shared" ref="L1106:L1118" ca="1" si="758">IF(B1106="ETAPA",0,IF(B1106="SUBETAPA",OFFSET(L1106,-1,0)+1,OFFSET(L1106,-1,0)))</f>
        <v>4</v>
      </c>
      <c r="M1106" s="228" t="str">
        <f t="shared" ca="1" si="737"/>
        <v xml:space="preserve">   Mão de Obra</v>
      </c>
      <c r="N1106" s="231">
        <f t="shared" ref="N1106:N1118" ca="1" si="759">IF(B1106="Subetapa",0,IF(B1106="serviço",OFFSET(N1106,-1,0)+1,OFFSET(N1106,-1,0)))</f>
        <v>0</v>
      </c>
      <c r="O1106" s="228" t="str">
        <f t="shared" ca="1" si="738"/>
        <v>Instalacoes de Esgoto - Tipo (5X)</v>
      </c>
      <c r="P1106" s="232" t="str">
        <f>IF(S1106="","",IF(Orçamento!$B1106="INSUMO",S1106,""))</f>
        <v/>
      </c>
      <c r="Q1106" s="244" t="str">
        <f t="shared" si="731"/>
        <v/>
      </c>
      <c r="R1106" s="234">
        <f t="shared" ca="1" si="732"/>
        <v>1</v>
      </c>
      <c r="S1106" s="233" t="s">
        <v>438</v>
      </c>
      <c r="T1106" s="242" t="s">
        <v>35</v>
      </c>
      <c r="U1106" s="235" t="str">
        <f>IF($B1106="insumo",R1106,"")</f>
        <v/>
      </c>
      <c r="V1106" s="320" t="s">
        <v>35</v>
      </c>
      <c r="W1106" s="236" t="str">
        <f>IFERROR(IF(B1106="INSUMO",_xlfn.XLOOKUP(S1106,Insumos!A:A,Insumos!C:C),""),"Inserir Preço")</f>
        <v/>
      </c>
      <c r="X1106" s="235" t="str">
        <f t="shared" ca="1" si="733"/>
        <v/>
      </c>
      <c r="Y1106" s="236" t="str">
        <f t="shared" si="730"/>
        <v/>
      </c>
      <c r="Z1106" s="237">
        <f t="shared" ca="1" si="752"/>
        <v>43064.248851166776</v>
      </c>
      <c r="AA1106" s="238"/>
      <c r="AB1106" s="233" t="str">
        <f>IF(B1106="insumo",_xlfn.XLOOKUP(S1106,Insumos!A:A,Insumos!D:D),"")</f>
        <v/>
      </c>
      <c r="AC1106" s="239">
        <f t="shared" ca="1" si="753"/>
        <v>6.1779591232642454E-3</v>
      </c>
      <c r="AE1106" s="240">
        <f ca="1">IFERROR(IF(OR(Z1106="",Z1106=0),"",IF(AF1106="","",IF(AF1106="R$/mês",Z1106/OBRA!$D$12,IF(AF1106="R$/m²",Z1106/OBRA!$D$10,IF(AF1106="R$/apto",Orçamento!Z1106/OBRA!$D$11,""))))),"")</f>
        <v>22.161169213714679</v>
      </c>
      <c r="AF1106" s="241" t="s">
        <v>154</v>
      </c>
    </row>
    <row r="1107" spans="1:32" s="10" customFormat="1" ht="13.15" hidden="1" customHeight="1" outlineLevel="4" x14ac:dyDescent="0.2">
      <c r="A1107" s="227"/>
      <c r="B1107" s="228" t="s">
        <v>4</v>
      </c>
      <c r="C1107" s="229">
        <f t="shared" si="751"/>
        <v>5</v>
      </c>
      <c r="D1107" s="227" t="str">
        <f t="shared" ca="1" si="754"/>
        <v>08.003.004.001</v>
      </c>
      <c r="E1107" s="228" t="str">
        <f t="shared" ca="1" si="755"/>
        <v>08.003.004.001</v>
      </c>
      <c r="F1107" s="230">
        <f ca="1">IF($B1107="UNIDADE CONSTRUTIVA",OFFSET(F1107,-1,0)+1,LARGE(F$10:F1106,1))</f>
        <v>2</v>
      </c>
      <c r="G1107" s="228" t="str">
        <f t="shared" ca="1" si="734"/>
        <v xml:space="preserve">   GERENCIAMENTO EXECUTIVO</v>
      </c>
      <c r="H1107" s="230">
        <f t="shared" ca="1" si="756"/>
        <v>8</v>
      </c>
      <c r="I1107" s="228" t="str">
        <f t="shared" ca="1" si="735"/>
        <v xml:space="preserve">   SISTEMAS E INSTALAÇÕES HIDROSSANITÁRIAS | DRENAGEM</v>
      </c>
      <c r="J1107" s="230">
        <f t="shared" ca="1" si="757"/>
        <v>3</v>
      </c>
      <c r="K1107" s="228" t="str">
        <f t="shared" ca="1" si="736"/>
        <v xml:space="preserve">   SISTEMAS E INSTALAÇÕES HIDROSSANITÁRIAS | DRENAGEM - 3º  ao 7º PAVIMENTO - TIPO</v>
      </c>
      <c r="L1107" s="231">
        <f t="shared" ca="1" si="758"/>
        <v>4</v>
      </c>
      <c r="M1107" s="228" t="str">
        <f t="shared" ca="1" si="737"/>
        <v xml:space="preserve">   Mão de Obra</v>
      </c>
      <c r="N1107" s="231">
        <f t="shared" ca="1" si="759"/>
        <v>1</v>
      </c>
      <c r="O1107" s="228" t="str">
        <f t="shared" ca="1" si="738"/>
        <v>Mao de obra de instalacoes hidrossanitárias</v>
      </c>
      <c r="P1107" s="232" t="str">
        <f>IF(S1107="","",IF(Orçamento!$B1107="INSUMO",S1107,""))</f>
        <v/>
      </c>
      <c r="Q1107" s="244" t="str">
        <f t="shared" si="731"/>
        <v>Mao de obra de instalacoes hidrossanitárias</v>
      </c>
      <c r="R1107" s="234">
        <f t="shared" ca="1" si="732"/>
        <v>1170.6856</v>
      </c>
      <c r="S1107" s="233" t="s">
        <v>831</v>
      </c>
      <c r="T1107" s="242" t="s">
        <v>140</v>
      </c>
      <c r="U1107" s="235">
        <f ca="1">'Custos Serviços'!B27</f>
        <v>1170.6856</v>
      </c>
      <c r="V1107" s="320" t="s">
        <v>35</v>
      </c>
      <c r="W1107" s="236" t="str">
        <f>IFERROR(IF(B1107="INSUMO",_xlfn.XLOOKUP(S1107,Insumos!A:A,Insumos!C:C),""),"Inserir Preço")</f>
        <v/>
      </c>
      <c r="X1107" s="235">
        <f t="shared" ca="1" si="733"/>
        <v>1170.6856</v>
      </c>
      <c r="Y1107" s="236">
        <f t="shared" ca="1" si="730"/>
        <v>36.785494629101763</v>
      </c>
      <c r="Z1107" s="237">
        <f t="shared" ca="1" si="752"/>
        <v>43064.248851166776</v>
      </c>
      <c r="AA1107" s="238"/>
      <c r="AB1107" s="233" t="str">
        <f>IF(B1107="insumo",_xlfn.XLOOKUP(S1107,Insumos!A:A,Insumos!D:D),"")</f>
        <v/>
      </c>
      <c r="AC1107" s="239">
        <f t="shared" ca="1" si="753"/>
        <v>6.1779591232642454E-3</v>
      </c>
      <c r="AE1107" s="240">
        <f ca="1">IFERROR(IF(OR(Z1107="",Z1107=0),"",IF(AF1107="","",IF(AF1107="R$/mês",Z1107/OBRA!$D$12,IF(AF1107="R$/m²",Z1107/OBRA!$D$10,IF(AF1107="R$/apto",Orçamento!Z1107/OBRA!$D$11,""))))),"")</f>
        <v>22.161169213714679</v>
      </c>
      <c r="AF1107" s="241" t="s">
        <v>154</v>
      </c>
    </row>
    <row r="1108" spans="1:32" s="10" customFormat="1" ht="13.15" hidden="1" customHeight="1" outlineLevel="4" x14ac:dyDescent="0.2">
      <c r="A1108" s="227"/>
      <c r="B1108" s="228" t="s">
        <v>19</v>
      </c>
      <c r="C1108" s="229">
        <f t="shared" si="751"/>
        <v>5</v>
      </c>
      <c r="D1108" s="227" t="str">
        <f t="shared" si="754"/>
        <v/>
      </c>
      <c r="E1108" s="228" t="str">
        <f t="shared" ca="1" si="755"/>
        <v>08.003.004.001</v>
      </c>
      <c r="F1108" s="230">
        <f ca="1">IF($B1108="UNIDADE CONSTRUTIVA",OFFSET(F1108,-1,0)+1,LARGE(F$10:F1107,1))</f>
        <v>2</v>
      </c>
      <c r="G1108" s="228" t="str">
        <f t="shared" ca="1" si="734"/>
        <v xml:space="preserve">   GERENCIAMENTO EXECUTIVO</v>
      </c>
      <c r="H1108" s="230">
        <f t="shared" ca="1" si="756"/>
        <v>8</v>
      </c>
      <c r="I1108" s="228" t="str">
        <f t="shared" ca="1" si="735"/>
        <v xml:space="preserve">   SISTEMAS E INSTALAÇÕES HIDROSSANITÁRIAS | DRENAGEM</v>
      </c>
      <c r="J1108" s="230">
        <f t="shared" ca="1" si="757"/>
        <v>3</v>
      </c>
      <c r="K1108" s="228" t="str">
        <f t="shared" ca="1" si="736"/>
        <v xml:space="preserve">   SISTEMAS E INSTALAÇÕES HIDROSSANITÁRIAS | DRENAGEM - 3º  ao 7º PAVIMENTO - TIPO</v>
      </c>
      <c r="L1108" s="231">
        <f t="shared" ca="1" si="758"/>
        <v>4</v>
      </c>
      <c r="M1108" s="228" t="str">
        <f t="shared" ca="1" si="737"/>
        <v xml:space="preserve">   Mão de Obra</v>
      </c>
      <c r="N1108" s="231">
        <f t="shared" ca="1" si="759"/>
        <v>1</v>
      </c>
      <c r="O1108" s="228" t="str">
        <f t="shared" ca="1" si="738"/>
        <v>Mao de obra de instalacoes hidrossanitárias</v>
      </c>
      <c r="P1108" s="232" t="str">
        <f>IF(S1108="","",IF(Orçamento!$B1108="INSUMO",S1108,""))</f>
        <v>Mão de Obra para Instalação Hidrossanitárias</v>
      </c>
      <c r="Q1108" s="244" t="str">
        <f t="shared" si="731"/>
        <v/>
      </c>
      <c r="R1108" s="234">
        <f t="shared" ca="1" si="732"/>
        <v>1170.6856</v>
      </c>
      <c r="S1108" s="233" t="s">
        <v>832</v>
      </c>
      <c r="T1108" s="242" t="str">
        <f>_xlfn.XLOOKUP(S1108,Insumos!$A$3:$A$371,Insumos!$B$3:$B$371)</f>
        <v>VB</v>
      </c>
      <c r="U1108" s="235">
        <f ca="1">IF($B1108="insumo",R1108,"")</f>
        <v>1170.6856</v>
      </c>
      <c r="V1108" s="320">
        <v>1</v>
      </c>
      <c r="W1108" s="236">
        <f ca="1">IFERROR(IF(B1108="INSUMO",_xlfn.XLOOKUP(S1108,Insumos!A:A,Insumos!C:C),""),"Inserir Preço")</f>
        <v>36.785494629101763</v>
      </c>
      <c r="X1108" s="235">
        <f t="shared" ca="1" si="733"/>
        <v>1170.6856</v>
      </c>
      <c r="Y1108" s="236">
        <f t="shared" ca="1" si="730"/>
        <v>36.785494629101763</v>
      </c>
      <c r="Z1108" s="237">
        <f t="shared" ca="1" si="752"/>
        <v>43064.248851166776</v>
      </c>
      <c r="AA1108" s="238"/>
      <c r="AB1108" s="233" t="str">
        <f>IF(B1108="insumo",_xlfn.XLOOKUP(S1108,Insumos!A:A,Insumos!D:D),"")</f>
        <v>Aba Custo Serviços</v>
      </c>
      <c r="AC1108" s="239">
        <f t="shared" ca="1" si="753"/>
        <v>6.1779591232642454E-3</v>
      </c>
      <c r="AE1108" s="240">
        <f ca="1">IFERROR(IF(OR(Z1108="",Z1108=0),"",IF(AF1108="","",IF(AF1108="R$/mês",Z1108/OBRA!$D$12,IF(AF1108="R$/m²",Z1108/OBRA!$D$10,IF(AF1108="R$/apto",Orçamento!Z1108/OBRA!$D$11,""))))),"")</f>
        <v>22.161169213714679</v>
      </c>
      <c r="AF1108" s="241" t="s">
        <v>154</v>
      </c>
    </row>
    <row r="1109" spans="1:32" s="10" customFormat="1" ht="13.15" customHeight="1" outlineLevel="2" collapsed="1" x14ac:dyDescent="0.2">
      <c r="A1109" s="227"/>
      <c r="B1109" s="228" t="s">
        <v>2</v>
      </c>
      <c r="C1109" s="229" t="str">
        <f t="shared" si="751"/>
        <v/>
      </c>
      <c r="D1109" s="227" t="str">
        <f t="shared" ca="1" si="754"/>
        <v>08.004</v>
      </c>
      <c r="E1109" s="228" t="str">
        <f t="shared" ca="1" si="755"/>
        <v>08.003.004.001</v>
      </c>
      <c r="F1109" s="230">
        <f ca="1">IF($B1109="UNIDADE CONSTRUTIVA",OFFSET(F1109,-1,0)+1,LARGE(F$10:F1108,1))</f>
        <v>2</v>
      </c>
      <c r="G1109" s="228" t="str">
        <f t="shared" ca="1" si="734"/>
        <v xml:space="preserve">   GERENCIAMENTO EXECUTIVO</v>
      </c>
      <c r="H1109" s="230">
        <f t="shared" ca="1" si="756"/>
        <v>8</v>
      </c>
      <c r="I1109" s="228" t="str">
        <f t="shared" ca="1" si="735"/>
        <v xml:space="preserve">   SISTEMAS E INSTALAÇÕES HIDROSSANITÁRIAS | DRENAGEM</v>
      </c>
      <c r="J1109" s="230">
        <f t="shared" ca="1" si="757"/>
        <v>4</v>
      </c>
      <c r="K1109" s="228" t="str">
        <f t="shared" ca="1" si="736"/>
        <v xml:space="preserve">   SISTEMAS E INSTALAÇÕES HIDROSSANITÁRIAS | DRENAGEM - 8º PAVIMENTO - COBERTURA</v>
      </c>
      <c r="L1109" s="231">
        <f t="shared" ca="1" si="758"/>
        <v>0</v>
      </c>
      <c r="M1109" s="228" t="str">
        <f t="shared" ca="1" si="737"/>
        <v xml:space="preserve">   Mão de Obra</v>
      </c>
      <c r="N1109" s="231">
        <f t="shared" ca="1" si="759"/>
        <v>1</v>
      </c>
      <c r="O1109" s="228" t="str">
        <f t="shared" ca="1" si="738"/>
        <v>Mao de obra de instalacoes hidrossanitárias</v>
      </c>
      <c r="P1109" s="232" t="str">
        <f>IF(S1109="","",IF(Orçamento!$B1109="INSUMO",S1109,""))</f>
        <v/>
      </c>
      <c r="Q1109" s="244" t="str">
        <f t="shared" si="731"/>
        <v/>
      </c>
      <c r="R1109" s="234">
        <f t="shared" ca="1" si="732"/>
        <v>1170.6856</v>
      </c>
      <c r="S1109" s="233" t="s">
        <v>652</v>
      </c>
      <c r="T1109" s="242" t="s">
        <v>35</v>
      </c>
      <c r="U1109" s="235" t="str">
        <f>IF($B1109="insumo",R1109,"")</f>
        <v/>
      </c>
      <c r="V1109" s="320" t="s">
        <v>35</v>
      </c>
      <c r="W1109" s="236" t="str">
        <f>IFERROR(IF(B1109="INSUMO",_xlfn.XLOOKUP(S1109,Insumos!A:A,Insumos!C:C),""),"Inserir Preço")</f>
        <v/>
      </c>
      <c r="X1109" s="235" t="str">
        <f t="shared" ca="1" si="733"/>
        <v/>
      </c>
      <c r="Y1109" s="236" t="str">
        <f t="shared" si="730"/>
        <v/>
      </c>
      <c r="Z1109" s="237">
        <f t="shared" ca="1" si="752"/>
        <v>17122.450505823188</v>
      </c>
      <c r="AA1109" s="238"/>
      <c r="AB1109" s="233" t="str">
        <f>IF(B1109="insumo",_xlfn.XLOOKUP(S1109,Insumos!A:A,Insumos!D:D),"")</f>
        <v/>
      </c>
      <c r="AC1109" s="239">
        <f t="shared" ca="1" si="753"/>
        <v>2.4563716339435194E-3</v>
      </c>
      <c r="AE1109" s="240">
        <f ca="1">IFERROR(IF(OR(Z1109="",Z1109=0),"",IF(AF1109="","",IF(AF1109="R$/mês",Z1109/OBRA!$D$12,IF(AF1109="R$/m²",Z1109/OBRA!$D$10,IF(AF1109="R$/apto",Orçamento!Z1109/OBRA!$D$11,""))))),"")</f>
        <v>8.8113349967956385</v>
      </c>
      <c r="AF1109" s="241" t="s">
        <v>154</v>
      </c>
    </row>
    <row r="1110" spans="1:32" s="10" customFormat="1" ht="13.15" hidden="1" customHeight="1" outlineLevel="3" collapsed="1" x14ac:dyDescent="0.2">
      <c r="A1110" s="227"/>
      <c r="B1110" s="228" t="s">
        <v>3</v>
      </c>
      <c r="C1110" s="229" t="str">
        <f t="shared" si="751"/>
        <v/>
      </c>
      <c r="D1110" s="227" t="str">
        <f t="shared" ca="1" si="754"/>
        <v>08.004.001</v>
      </c>
      <c r="E1110" s="228" t="str">
        <f t="shared" ca="1" si="755"/>
        <v>08.003.004.001</v>
      </c>
      <c r="F1110" s="230">
        <f ca="1">IF($B1110="UNIDADE CONSTRUTIVA",OFFSET(F1110,-1,0)+1,LARGE(F$10:F1109,1))</f>
        <v>2</v>
      </c>
      <c r="G1110" s="228" t="str">
        <f t="shared" ca="1" si="734"/>
        <v xml:space="preserve">   GERENCIAMENTO EXECUTIVO</v>
      </c>
      <c r="H1110" s="230">
        <f t="shared" ca="1" si="756"/>
        <v>8</v>
      </c>
      <c r="I1110" s="228" t="str">
        <f t="shared" ca="1" si="735"/>
        <v xml:space="preserve">   SISTEMAS E INSTALAÇÕES HIDROSSANITÁRIAS | DRENAGEM</v>
      </c>
      <c r="J1110" s="230">
        <f t="shared" ca="1" si="757"/>
        <v>4</v>
      </c>
      <c r="K1110" s="228" t="str">
        <f t="shared" ca="1" si="736"/>
        <v xml:space="preserve">   SISTEMAS E INSTALAÇÕES HIDROSSANITÁRIAS | DRENAGEM - 8º PAVIMENTO - COBERTURA</v>
      </c>
      <c r="L1110" s="231">
        <f t="shared" ca="1" si="758"/>
        <v>1</v>
      </c>
      <c r="M1110" s="228" t="str">
        <f t="shared" ca="1" si="737"/>
        <v xml:space="preserve">   Instalações de Água Fria</v>
      </c>
      <c r="N1110" s="231">
        <f t="shared" ca="1" si="759"/>
        <v>0</v>
      </c>
      <c r="O1110" s="228" t="str">
        <f t="shared" ca="1" si="738"/>
        <v>Mao de obra de instalacoes hidrossanitárias</v>
      </c>
      <c r="P1110" s="232" t="str">
        <f>IF(S1110="","",IF(Orçamento!$B1110="INSUMO",S1110,""))</f>
        <v/>
      </c>
      <c r="Q1110" s="244" t="str">
        <f t="shared" si="731"/>
        <v/>
      </c>
      <c r="R1110" s="234">
        <f t="shared" ca="1" si="732"/>
        <v>1170.6856</v>
      </c>
      <c r="S1110" s="233" t="s">
        <v>448</v>
      </c>
      <c r="T1110" s="242" t="s">
        <v>35</v>
      </c>
      <c r="U1110" s="235" t="str">
        <f>IF($B1110="insumo",R1110,"")</f>
        <v/>
      </c>
      <c r="V1110" s="320" t="s">
        <v>35</v>
      </c>
      <c r="W1110" s="236" t="str">
        <f>IFERROR(IF(B1110="INSUMO",_xlfn.XLOOKUP(S1110,Insumos!A:A,Insumos!C:C),""),"Inserir Preço")</f>
        <v/>
      </c>
      <c r="X1110" s="235" t="str">
        <f t="shared" ca="1" si="733"/>
        <v/>
      </c>
      <c r="Y1110" s="236" t="str">
        <f t="shared" si="730"/>
        <v/>
      </c>
      <c r="Z1110" s="237">
        <f t="shared" ca="1" si="752"/>
        <v>3781.1066595146744</v>
      </c>
      <c r="AA1110" s="238"/>
      <c r="AB1110" s="233" t="str">
        <f>IF(B1110="insumo",_xlfn.XLOOKUP(S1110,Insumos!A:A,Insumos!D:D),"")</f>
        <v/>
      </c>
      <c r="AC1110" s="239">
        <f t="shared" ca="1" si="753"/>
        <v>5.4243422343011518E-4</v>
      </c>
      <c r="AE1110" s="240">
        <f ca="1">IFERROR(IF(OR(Z1110="",Z1110=0),"",IF(AF1110="","",IF(AF1110="R$/mês",Z1110/OBRA!$D$12,IF(AF1110="R$/m²",Z1110/OBRA!$D$10,IF(AF1110="R$/apto",Orçamento!Z1110/OBRA!$D$11,""))))),"")</f>
        <v>1.9457844205342005</v>
      </c>
      <c r="AF1110" s="241" t="s">
        <v>154</v>
      </c>
    </row>
    <row r="1111" spans="1:32" s="10" customFormat="1" ht="13.15" hidden="1" customHeight="1" outlineLevel="4" x14ac:dyDescent="0.2">
      <c r="A1111" s="227"/>
      <c r="B1111" s="228" t="s">
        <v>4</v>
      </c>
      <c r="C1111" s="229">
        <f t="shared" si="751"/>
        <v>1</v>
      </c>
      <c r="D1111" s="227" t="str">
        <f t="shared" ca="1" si="754"/>
        <v>08.004.001.001</v>
      </c>
      <c r="E1111" s="228" t="str">
        <f t="shared" ca="1" si="755"/>
        <v>08.004.001.001</v>
      </c>
      <c r="F1111" s="230">
        <f ca="1">IF($B1111="UNIDADE CONSTRUTIVA",OFFSET(F1111,-1,0)+1,LARGE(F$10:F1110,1))</f>
        <v>2</v>
      </c>
      <c r="G1111" s="228" t="str">
        <f t="shared" ca="1" si="734"/>
        <v xml:space="preserve">   GERENCIAMENTO EXECUTIVO</v>
      </c>
      <c r="H1111" s="230">
        <f t="shared" ca="1" si="756"/>
        <v>8</v>
      </c>
      <c r="I1111" s="228" t="str">
        <f t="shared" ca="1" si="735"/>
        <v xml:space="preserve">   SISTEMAS E INSTALAÇÕES HIDROSSANITÁRIAS | DRENAGEM</v>
      </c>
      <c r="J1111" s="230">
        <f t="shared" ca="1" si="757"/>
        <v>4</v>
      </c>
      <c r="K1111" s="228" t="str">
        <f t="shared" ca="1" si="736"/>
        <v xml:space="preserve">   SISTEMAS E INSTALAÇÕES HIDROSSANITÁRIAS | DRENAGEM - 8º PAVIMENTO - COBERTURA</v>
      </c>
      <c r="L1111" s="231">
        <f t="shared" ca="1" si="758"/>
        <v>1</v>
      </c>
      <c r="M1111" s="228" t="str">
        <f t="shared" ca="1" si="737"/>
        <v xml:space="preserve">   Instalações de Água Fria</v>
      </c>
      <c r="N1111" s="231">
        <f t="shared" ca="1" si="759"/>
        <v>1</v>
      </c>
      <c r="O1111" s="228" t="str">
        <f t="shared" ca="1" si="738"/>
        <v>Instalacoes de Agua Fria - Cobertura</v>
      </c>
      <c r="P1111" s="232" t="str">
        <f>IF(S1111="","",IF(Orçamento!$B1111="INSUMO",S1111,""))</f>
        <v/>
      </c>
      <c r="Q1111" s="244" t="str">
        <f t="shared" si="731"/>
        <v>Instalacoes de Agua Fria - Cobertura</v>
      </c>
      <c r="R1111" s="234">
        <f t="shared" ca="1" si="732"/>
        <v>1</v>
      </c>
      <c r="S1111" s="233" t="s">
        <v>1070</v>
      </c>
      <c r="T1111" s="242" t="s">
        <v>170</v>
      </c>
      <c r="U1111" s="235">
        <v>1</v>
      </c>
      <c r="V1111" s="320"/>
      <c r="W1111" s="236" t="str">
        <f>IFERROR(IF(B1111="INSUMO",_xlfn.XLOOKUP(S1111,Insumos!A:A,Insumos!C:C),""),"Inserir Preço")</f>
        <v/>
      </c>
      <c r="X1111" s="235">
        <f t="shared" ca="1" si="733"/>
        <v>1</v>
      </c>
      <c r="Y1111" s="236">
        <f t="shared" ca="1" si="730"/>
        <v>3781.1066595146744</v>
      </c>
      <c r="Z1111" s="237">
        <f t="shared" ca="1" si="752"/>
        <v>3781.1066595146744</v>
      </c>
      <c r="AA1111" s="238"/>
      <c r="AB1111" s="233" t="str">
        <f>IF(B1111="insumo",_xlfn.XLOOKUP(S1111,Insumos!A:A,Insumos!D:D),"")</f>
        <v/>
      </c>
      <c r="AC1111" s="239">
        <f t="shared" ca="1" si="753"/>
        <v>5.4243422343011518E-4</v>
      </c>
      <c r="AE1111" s="240">
        <f ca="1">IFERROR(IF(OR(Z1111="",Z1111=0),"",IF(AF1111="","",IF(AF1111="R$/mês",Z1111/OBRA!$D$12,IF(AF1111="R$/m²",Z1111/OBRA!$D$10,IF(AF1111="R$/apto",Orçamento!Z1111/OBRA!$D$11,""))))),"")</f>
        <v>1.9457844205342005</v>
      </c>
      <c r="AF1111" s="241" t="s">
        <v>154</v>
      </c>
    </row>
    <row r="1112" spans="1:32" s="10" customFormat="1" ht="13.15" hidden="1" customHeight="1" outlineLevel="4" x14ac:dyDescent="0.2">
      <c r="A1112" s="227"/>
      <c r="B1112" s="228" t="s">
        <v>19</v>
      </c>
      <c r="C1112" s="229">
        <f t="shared" si="751"/>
        <v>1</v>
      </c>
      <c r="D1112" s="227" t="str">
        <f t="shared" si="754"/>
        <v/>
      </c>
      <c r="E1112" s="228" t="str">
        <f t="shared" ca="1" si="755"/>
        <v>08.004.001.001</v>
      </c>
      <c r="F1112" s="230">
        <f ca="1">IF($B1112="UNIDADE CONSTRUTIVA",OFFSET(F1112,-1,0)+1,LARGE(F$10:F1111,1))</f>
        <v>2</v>
      </c>
      <c r="G1112" s="228" t="str">
        <f t="shared" ca="1" si="734"/>
        <v xml:space="preserve">   GERENCIAMENTO EXECUTIVO</v>
      </c>
      <c r="H1112" s="230">
        <f t="shared" ca="1" si="756"/>
        <v>8</v>
      </c>
      <c r="I1112" s="228" t="str">
        <f t="shared" ca="1" si="735"/>
        <v xml:space="preserve">   SISTEMAS E INSTALAÇÕES HIDROSSANITÁRIAS | DRENAGEM</v>
      </c>
      <c r="J1112" s="230">
        <f t="shared" ca="1" si="757"/>
        <v>4</v>
      </c>
      <c r="K1112" s="228" t="str">
        <f t="shared" ca="1" si="736"/>
        <v xml:space="preserve">   SISTEMAS E INSTALAÇÕES HIDROSSANITÁRIAS | DRENAGEM - 8º PAVIMENTO - COBERTURA</v>
      </c>
      <c r="L1112" s="231">
        <f t="shared" ca="1" si="758"/>
        <v>1</v>
      </c>
      <c r="M1112" s="228" t="str">
        <f t="shared" ca="1" si="737"/>
        <v xml:space="preserve">   Instalações de Água Fria</v>
      </c>
      <c r="N1112" s="231">
        <f t="shared" ca="1" si="759"/>
        <v>1</v>
      </c>
      <c r="O1112" s="228" t="str">
        <f t="shared" ca="1" si="738"/>
        <v>Instalacoes de Agua Fria - Cobertura</v>
      </c>
      <c r="P1112" s="232" t="str">
        <f>IF(S1112="","",IF(Orçamento!$B1112="INSUMO",S1112,""))</f>
        <v>INSTALAÇÕES AGUA FRIA - COBERTURA</v>
      </c>
      <c r="Q1112" s="244" t="str">
        <f t="shared" si="731"/>
        <v/>
      </c>
      <c r="R1112" s="234">
        <f t="shared" ca="1" si="732"/>
        <v>1</v>
      </c>
      <c r="S1112" s="343" t="s">
        <v>1009</v>
      </c>
      <c r="T1112" s="242" t="str">
        <f>_xlfn.XLOOKUP(S1112,Insumos!$A$3:$A$371,Insumos!$B$3:$B$371)</f>
        <v>UN</v>
      </c>
      <c r="U1112" s="235">
        <f ca="1">IF($B1112="insumo",R1112,"")</f>
        <v>1</v>
      </c>
      <c r="V1112" s="320">
        <v>1</v>
      </c>
      <c r="W1112" s="236">
        <f>IFERROR(IF(B1112="INSUMO",_xlfn.XLOOKUP(S1112,Insumos!A:A,Insumos!C:C),""),"Inserir Preço")</f>
        <v>3781.1066595146744</v>
      </c>
      <c r="X1112" s="235">
        <f t="shared" ca="1" si="733"/>
        <v>1</v>
      </c>
      <c r="Y1112" s="236">
        <f t="shared" si="730"/>
        <v>3781.1066595146744</v>
      </c>
      <c r="Z1112" s="237">
        <f t="shared" ca="1" si="752"/>
        <v>3781.1066595146744</v>
      </c>
      <c r="AA1112" s="238"/>
      <c r="AB1112" s="233" t="str">
        <f>IF(B1112="insumo",_xlfn.XLOOKUP(S1112,Insumos!A:A,Insumos!D:D),"")</f>
        <v>Estimativa</v>
      </c>
      <c r="AC1112" s="239">
        <f t="shared" ca="1" si="753"/>
        <v>5.4243422343011518E-4</v>
      </c>
      <c r="AE1112" s="240">
        <f ca="1">IFERROR(IF(OR(Z1112="",Z1112=0),"",IF(AF1112="","",IF(AF1112="R$/mês",Z1112/OBRA!$D$12,IF(AF1112="R$/m²",Z1112/OBRA!$D$10,IF(AF1112="R$/apto",Orçamento!Z1112/OBRA!$D$11,""))))),"")</f>
        <v>1.9457844205342005</v>
      </c>
      <c r="AF1112" s="241" t="s">
        <v>154</v>
      </c>
    </row>
    <row r="1113" spans="1:32" s="10" customFormat="1" ht="13.15" hidden="1" customHeight="1" outlineLevel="3" collapsed="1" x14ac:dyDescent="0.2">
      <c r="A1113" s="227"/>
      <c r="B1113" s="228" t="s">
        <v>3</v>
      </c>
      <c r="C1113" s="229" t="str">
        <f t="shared" si="751"/>
        <v/>
      </c>
      <c r="D1113" s="227" t="str">
        <f t="shared" ca="1" si="754"/>
        <v>08.004.002</v>
      </c>
      <c r="E1113" s="228" t="str">
        <f t="shared" ca="1" si="755"/>
        <v>08.004.001.001</v>
      </c>
      <c r="F1113" s="230">
        <f ca="1">IF($B1113="UNIDADE CONSTRUTIVA",OFFSET(F1113,-1,0)+1,LARGE(F$10:F1112,1))</f>
        <v>2</v>
      </c>
      <c r="G1113" s="228" t="str">
        <f t="shared" ref="G1113:G1118" ca="1" si="760">IF(B1113="*","",IF(B1113="UNIDADE CONSTRUTIVA",S1113,OFFSET(G1113,-1,0)))</f>
        <v xml:space="preserve">   GERENCIAMENTO EXECUTIVO</v>
      </c>
      <c r="H1113" s="230">
        <f t="shared" ca="1" si="756"/>
        <v>8</v>
      </c>
      <c r="I1113" s="228" t="str">
        <f t="shared" ref="I1113:I1118" ca="1" si="761">IF(B1113="*","",IF(B1113="CÉLULA CONSTRUTIVA",S1113,OFFSET(I1113,-1,0)))</f>
        <v xml:space="preserve">   SISTEMAS E INSTALAÇÕES HIDROSSANITÁRIAS | DRENAGEM</v>
      </c>
      <c r="J1113" s="230">
        <f t="shared" ca="1" si="757"/>
        <v>4</v>
      </c>
      <c r="K1113" s="228" t="str">
        <f t="shared" ref="K1113:K1118" ca="1" si="762">IF(B1113="*","",IF(B1113="ETAPA",S1113,OFFSET(K1113,-1,0)))</f>
        <v xml:space="preserve">   SISTEMAS E INSTALAÇÕES HIDROSSANITÁRIAS | DRENAGEM - 8º PAVIMENTO - COBERTURA</v>
      </c>
      <c r="L1113" s="231">
        <f t="shared" ca="1" si="758"/>
        <v>2</v>
      </c>
      <c r="M1113" s="228" t="str">
        <f t="shared" ref="M1113:M1118" ca="1" si="763">IF(B1113="*","",IF(B1113="SUBETAPA",S1113,OFFSET(M1113,-1,0)))</f>
        <v xml:space="preserve">   Instalações de Água Pluvial</v>
      </c>
      <c r="N1113" s="231">
        <f t="shared" ca="1" si="759"/>
        <v>0</v>
      </c>
      <c r="O1113" s="228" t="str">
        <f t="shared" ref="O1113:O1118" ca="1" si="764">IF(B1113="*","",IF(B1113="SERVIÇO",S1113,OFFSET(O1113,-1,0)))</f>
        <v>Instalacoes de Agua Fria - Cobertura</v>
      </c>
      <c r="P1113" s="232" t="str">
        <f>IF(S1113="","",IF(Orçamento!$B1113="INSUMO",S1113,""))</f>
        <v/>
      </c>
      <c r="Q1113" s="244" t="str">
        <f t="shared" si="731"/>
        <v/>
      </c>
      <c r="R1113" s="234">
        <f t="shared" ref="R1113:R1118" ca="1" si="765">IF(B1113="serviço",U1113,OFFSET(R1113,-1,0))</f>
        <v>1</v>
      </c>
      <c r="S1113" s="233" t="s">
        <v>449</v>
      </c>
      <c r="T1113" s="242" t="s">
        <v>35</v>
      </c>
      <c r="U1113" s="235" t="str">
        <f>IF($B1113="insumo",R1113,"")</f>
        <v/>
      </c>
      <c r="V1113" s="320" t="s">
        <v>35</v>
      </c>
      <c r="W1113" s="236" t="str">
        <f>IFERROR(IF(B1113="INSUMO",_xlfn.XLOOKUP(S1113,Insumos!A:A,Insumos!C:C),""),"Inserir Preço")</f>
        <v/>
      </c>
      <c r="X1113" s="235" t="str">
        <f t="shared" ref="X1113:X1147" ca="1" si="766">IF(B1113="Complemento do insumo",V1113,IF(R1113="","",IF(B1113="serviço",R1113,IF(OR(B1113="insumo"),V1113*R1113,""))))</f>
        <v/>
      </c>
      <c r="Y1113" s="236" t="str">
        <f t="shared" si="730"/>
        <v/>
      </c>
      <c r="Z1113" s="237">
        <f t="shared" ca="1" si="752"/>
        <v>1890.5533297573372</v>
      </c>
      <c r="AA1113" s="238"/>
      <c r="AB1113" s="233" t="str">
        <f>IF(B1113="insumo",_xlfn.XLOOKUP(S1113,Insumos!A:A,Insumos!D:D),"")</f>
        <v/>
      </c>
      <c r="AC1113" s="239">
        <f t="shared" ca="1" si="753"/>
        <v>2.7121711171505759E-4</v>
      </c>
      <c r="AE1113" s="240">
        <f ca="1">IFERROR(IF(OR(Z1113="",Z1113=0),"",IF(AF1113="","",IF(AF1113="R$/mês",Z1113/OBRA!$D$12,IF(AF1113="R$/m²",Z1113/OBRA!$D$10,IF(AF1113="R$/apto",Orçamento!Z1113/OBRA!$D$11,""))))),"")</f>
        <v>0.97289221026710027</v>
      </c>
      <c r="AF1113" s="241" t="s">
        <v>154</v>
      </c>
    </row>
    <row r="1114" spans="1:32" s="10" customFormat="1" ht="13.15" hidden="1" customHeight="1" outlineLevel="4" x14ac:dyDescent="0.2">
      <c r="A1114" s="227"/>
      <c r="B1114" s="228" t="s">
        <v>4</v>
      </c>
      <c r="C1114" s="229">
        <f t="shared" si="751"/>
        <v>1</v>
      </c>
      <c r="D1114" s="227" t="str">
        <f t="shared" ca="1" si="754"/>
        <v>08.004.002.001</v>
      </c>
      <c r="E1114" s="228" t="str">
        <f t="shared" ca="1" si="755"/>
        <v>08.004.002.001</v>
      </c>
      <c r="F1114" s="230">
        <f ca="1">IF($B1114="UNIDADE CONSTRUTIVA",OFFSET(F1114,-1,0)+1,LARGE(F$10:F1113,1))</f>
        <v>2</v>
      </c>
      <c r="G1114" s="228" t="str">
        <f t="shared" ca="1" si="760"/>
        <v xml:space="preserve">   GERENCIAMENTO EXECUTIVO</v>
      </c>
      <c r="H1114" s="230">
        <f t="shared" ca="1" si="756"/>
        <v>8</v>
      </c>
      <c r="I1114" s="228" t="str">
        <f t="shared" ca="1" si="761"/>
        <v xml:space="preserve">   SISTEMAS E INSTALAÇÕES HIDROSSANITÁRIAS | DRENAGEM</v>
      </c>
      <c r="J1114" s="230">
        <f t="shared" ca="1" si="757"/>
        <v>4</v>
      </c>
      <c r="K1114" s="228" t="str">
        <f t="shared" ca="1" si="762"/>
        <v xml:space="preserve">   SISTEMAS E INSTALAÇÕES HIDROSSANITÁRIAS | DRENAGEM - 8º PAVIMENTO - COBERTURA</v>
      </c>
      <c r="L1114" s="231">
        <f t="shared" ca="1" si="758"/>
        <v>2</v>
      </c>
      <c r="M1114" s="228" t="str">
        <f t="shared" ca="1" si="763"/>
        <v xml:space="preserve">   Instalações de Água Pluvial</v>
      </c>
      <c r="N1114" s="231">
        <f t="shared" ca="1" si="759"/>
        <v>1</v>
      </c>
      <c r="O1114" s="228" t="str">
        <f t="shared" ca="1" si="764"/>
        <v>Instalacoes de Aguas Pluviais - Cobertura</v>
      </c>
      <c r="P1114" s="232" t="str">
        <f>IF(S1114="","",IF(Orçamento!$B1114="INSUMO",S1114,""))</f>
        <v/>
      </c>
      <c r="Q1114" s="244" t="str">
        <f t="shared" si="731"/>
        <v>Instalacoes de Aguas Pluviais - Cobertura</v>
      </c>
      <c r="R1114" s="234">
        <f t="shared" ca="1" si="765"/>
        <v>1</v>
      </c>
      <c r="S1114" s="233" t="s">
        <v>1074</v>
      </c>
      <c r="T1114" s="242" t="s">
        <v>170</v>
      </c>
      <c r="U1114" s="235">
        <v>1</v>
      </c>
      <c r="V1114" s="320" t="s">
        <v>35</v>
      </c>
      <c r="W1114" s="236" t="str">
        <f>IFERROR(IF(B1114="INSUMO",_xlfn.XLOOKUP(S1114,Insumos!A:A,Insumos!C:C),""),"Inserir Preço")</f>
        <v/>
      </c>
      <c r="X1114" s="235">
        <f t="shared" ca="1" si="766"/>
        <v>1</v>
      </c>
      <c r="Y1114" s="236">
        <f t="shared" ca="1" si="730"/>
        <v>1890.5533297573372</v>
      </c>
      <c r="Z1114" s="237">
        <f t="shared" ca="1" si="752"/>
        <v>1890.5533297573372</v>
      </c>
      <c r="AA1114" s="238"/>
      <c r="AB1114" s="233" t="str">
        <f>IF(B1114="insumo",_xlfn.XLOOKUP(S1114,Insumos!A:A,Insumos!D:D),"")</f>
        <v/>
      </c>
      <c r="AC1114" s="239">
        <f t="shared" ca="1" si="753"/>
        <v>2.7121711171505759E-4</v>
      </c>
      <c r="AE1114" s="240">
        <f ca="1">IFERROR(IF(OR(Z1114="",Z1114=0),"",IF(AF1114="","",IF(AF1114="R$/mês",Z1114/OBRA!$D$12,IF(AF1114="R$/m²",Z1114/OBRA!$D$10,IF(AF1114="R$/apto",Orçamento!Z1114/OBRA!$D$11,""))))),"")</f>
        <v>0.97289221026710027</v>
      </c>
      <c r="AF1114" s="241" t="s">
        <v>154</v>
      </c>
    </row>
    <row r="1115" spans="1:32" s="10" customFormat="1" ht="13.15" hidden="1" customHeight="1" outlineLevel="4" x14ac:dyDescent="0.2">
      <c r="A1115" s="227"/>
      <c r="B1115" s="228" t="s">
        <v>19</v>
      </c>
      <c r="C1115" s="229">
        <f t="shared" si="751"/>
        <v>1</v>
      </c>
      <c r="D1115" s="227" t="str">
        <f t="shared" si="754"/>
        <v/>
      </c>
      <c r="E1115" s="228" t="str">
        <f t="shared" ca="1" si="755"/>
        <v>08.004.002.001</v>
      </c>
      <c r="F1115" s="230">
        <f ca="1">IF($B1115="UNIDADE CONSTRUTIVA",OFFSET(F1115,-1,0)+1,LARGE(F$10:F1114,1))</f>
        <v>2</v>
      </c>
      <c r="G1115" s="228" t="str">
        <f t="shared" ca="1" si="760"/>
        <v xml:space="preserve">   GERENCIAMENTO EXECUTIVO</v>
      </c>
      <c r="H1115" s="230">
        <f t="shared" ca="1" si="756"/>
        <v>8</v>
      </c>
      <c r="I1115" s="228" t="str">
        <f t="shared" ca="1" si="761"/>
        <v xml:space="preserve">   SISTEMAS E INSTALAÇÕES HIDROSSANITÁRIAS | DRENAGEM</v>
      </c>
      <c r="J1115" s="230">
        <f t="shared" ca="1" si="757"/>
        <v>4</v>
      </c>
      <c r="K1115" s="228" t="str">
        <f t="shared" ca="1" si="762"/>
        <v xml:space="preserve">   SISTEMAS E INSTALAÇÕES HIDROSSANITÁRIAS | DRENAGEM - 8º PAVIMENTO - COBERTURA</v>
      </c>
      <c r="L1115" s="231">
        <f t="shared" ca="1" si="758"/>
        <v>2</v>
      </c>
      <c r="M1115" s="228" t="str">
        <f t="shared" ca="1" si="763"/>
        <v xml:space="preserve">   Instalações de Água Pluvial</v>
      </c>
      <c r="N1115" s="231">
        <f t="shared" ca="1" si="759"/>
        <v>1</v>
      </c>
      <c r="O1115" s="228" t="str">
        <f t="shared" ca="1" si="764"/>
        <v>Instalacoes de Aguas Pluviais - Cobertura</v>
      </c>
      <c r="P1115" s="232" t="str">
        <f>IF(S1115="","",IF(Orçamento!$B1115="INSUMO",S1115,""))</f>
        <v>INSTALAÇÕES AGUA PLUVIAIS - COBERTURA</v>
      </c>
      <c r="Q1115" s="244" t="str">
        <f>IF(B1115="","",IF(B1115="Serviço",S1115,""))</f>
        <v/>
      </c>
      <c r="R1115" s="234">
        <f t="shared" ca="1" si="765"/>
        <v>1</v>
      </c>
      <c r="S1115" s="343" t="s">
        <v>1014</v>
      </c>
      <c r="T1115" s="242" t="str">
        <f>_xlfn.XLOOKUP(S1115,Insumos!$A$3:$A$371,Insumos!$B$3:$B$371)</f>
        <v>UN</v>
      </c>
      <c r="U1115" s="235">
        <f ca="1">IF($B1115="insumo",R1115,"")</f>
        <v>1</v>
      </c>
      <c r="V1115" s="320">
        <v>1</v>
      </c>
      <c r="W1115" s="236">
        <f>IFERROR(IF(B1115="INSUMO",_xlfn.XLOOKUP(S1115,Insumos!A:A,Insumos!C:C),""),"Inserir Preço")</f>
        <v>1890.5533297573372</v>
      </c>
      <c r="X1115" s="235">
        <f t="shared" ca="1" si="766"/>
        <v>1</v>
      </c>
      <c r="Y1115" s="236">
        <f t="shared" si="730"/>
        <v>1890.5533297573372</v>
      </c>
      <c r="Z1115" s="237">
        <f t="shared" ca="1" si="752"/>
        <v>1890.5533297573372</v>
      </c>
      <c r="AA1115" s="238"/>
      <c r="AB1115" s="233" t="str">
        <f>IF(B1115="insumo",_xlfn.XLOOKUP(S1115,Insumos!A:A,Insumos!D:D),"")</f>
        <v>Estimativa</v>
      </c>
      <c r="AC1115" s="239">
        <f t="shared" ca="1" si="753"/>
        <v>2.7121711171505759E-4</v>
      </c>
      <c r="AE1115" s="240">
        <f ca="1">IFERROR(IF(OR(Z1115="",Z1115=0),"",IF(AF1115="","",IF(AF1115="R$/mês",Z1115/OBRA!$D$12,IF(AF1115="R$/m²",Z1115/OBRA!$D$10,IF(AF1115="R$/apto",Orçamento!Z1115/OBRA!$D$11,""))))),"")</f>
        <v>0.97289221026710027</v>
      </c>
      <c r="AF1115" s="241" t="s">
        <v>154</v>
      </c>
    </row>
    <row r="1116" spans="1:32" s="10" customFormat="1" ht="13.15" hidden="1" customHeight="1" outlineLevel="3" collapsed="1" x14ac:dyDescent="0.2">
      <c r="A1116" s="227"/>
      <c r="B1116" s="228" t="s">
        <v>3</v>
      </c>
      <c r="C1116" s="229" t="str">
        <f t="shared" si="751"/>
        <v/>
      </c>
      <c r="D1116" s="227" t="str">
        <f t="shared" ca="1" si="754"/>
        <v>08.004.003</v>
      </c>
      <c r="E1116" s="228" t="str">
        <f t="shared" ca="1" si="755"/>
        <v>08.004.002.001</v>
      </c>
      <c r="F1116" s="230">
        <f ca="1">IF($B1116="UNIDADE CONSTRUTIVA",OFFSET(F1116,-1,0)+1,LARGE(F$10:F1115,1))</f>
        <v>2</v>
      </c>
      <c r="G1116" s="228" t="str">
        <f t="shared" ca="1" si="760"/>
        <v xml:space="preserve">   GERENCIAMENTO EXECUTIVO</v>
      </c>
      <c r="H1116" s="230">
        <f t="shared" ca="1" si="756"/>
        <v>8</v>
      </c>
      <c r="I1116" s="228" t="str">
        <f t="shared" ca="1" si="761"/>
        <v xml:space="preserve">   SISTEMAS E INSTALAÇÕES HIDROSSANITÁRIAS | DRENAGEM</v>
      </c>
      <c r="J1116" s="230">
        <f t="shared" ca="1" si="757"/>
        <v>4</v>
      </c>
      <c r="K1116" s="228" t="str">
        <f t="shared" ca="1" si="762"/>
        <v xml:space="preserve">   SISTEMAS E INSTALAÇÕES HIDROSSANITÁRIAS | DRENAGEM - 8º PAVIMENTO - COBERTURA</v>
      </c>
      <c r="L1116" s="231">
        <f t="shared" ca="1" si="758"/>
        <v>3</v>
      </c>
      <c r="M1116" s="228" t="str">
        <f t="shared" ca="1" si="763"/>
        <v xml:space="preserve">   Instalações de Esgoto</v>
      </c>
      <c r="N1116" s="231">
        <f t="shared" ca="1" si="759"/>
        <v>0</v>
      </c>
      <c r="O1116" s="228" t="str">
        <f t="shared" ca="1" si="764"/>
        <v>Instalacoes de Aguas Pluviais - Cobertura</v>
      </c>
      <c r="P1116" s="232" t="str">
        <f>IF(S1116="","",IF(Orçamento!$B1116="INSUMO",S1116,""))</f>
        <v/>
      </c>
      <c r="Q1116" s="244" t="str">
        <f>IF(B1116="","",IF(B1116="Serviço",S1116,""))</f>
        <v/>
      </c>
      <c r="R1116" s="234">
        <f t="shared" ca="1" si="765"/>
        <v>1</v>
      </c>
      <c r="S1116" s="233" t="s">
        <v>450</v>
      </c>
      <c r="T1116" s="242" t="s">
        <v>35</v>
      </c>
      <c r="U1116" s="235" t="str">
        <f>IF($B1116="insumo",R1116,"")</f>
        <v/>
      </c>
      <c r="V1116" s="320" t="s">
        <v>35</v>
      </c>
      <c r="W1116" s="236" t="str">
        <f>IFERROR(IF(B1116="INSUMO",_xlfn.XLOOKUP(S1116,Insumos!A:A,Insumos!C:C),""),"Inserir Preço")</f>
        <v/>
      </c>
      <c r="X1116" s="235" t="str">
        <f t="shared" ca="1" si="766"/>
        <v/>
      </c>
      <c r="Y1116" s="236" t="str">
        <f t="shared" si="730"/>
        <v/>
      </c>
      <c r="Z1116" s="237">
        <f t="shared" ca="1" si="752"/>
        <v>2835.8299946360062</v>
      </c>
      <c r="AA1116" s="238"/>
      <c r="AB1116" s="233" t="str">
        <f>IF(B1116="insumo",_xlfn.XLOOKUP(S1116,Insumos!A:A,Insumos!D:D),"")</f>
        <v/>
      </c>
      <c r="AC1116" s="239">
        <f t="shared" ca="1" si="753"/>
        <v>4.0682566757258638E-4</v>
      </c>
      <c r="AE1116" s="240">
        <f ca="1">IFERROR(IF(OR(Z1116="",Z1116=0),"",IF(AF1116="","",IF(AF1116="R$/mês",Z1116/OBRA!$D$12,IF(AF1116="R$/m²",Z1116/OBRA!$D$10,IF(AF1116="R$/apto",Orçamento!Z1116/OBRA!$D$11,""))))),"")</f>
        <v>1.4593383154006505</v>
      </c>
      <c r="AF1116" s="241" t="s">
        <v>154</v>
      </c>
    </row>
    <row r="1117" spans="1:32" s="10" customFormat="1" ht="13.15" hidden="1" customHeight="1" outlineLevel="4" x14ac:dyDescent="0.2">
      <c r="A1117" s="227"/>
      <c r="B1117" s="228" t="s">
        <v>4</v>
      </c>
      <c r="C1117" s="229">
        <f t="shared" si="751"/>
        <v>1</v>
      </c>
      <c r="D1117" s="227" t="str">
        <f t="shared" ca="1" si="754"/>
        <v>08.004.003.001</v>
      </c>
      <c r="E1117" s="228" t="str">
        <f t="shared" ca="1" si="755"/>
        <v>08.004.003.001</v>
      </c>
      <c r="F1117" s="230">
        <f ca="1">IF($B1117="UNIDADE CONSTRUTIVA",OFFSET(F1117,-1,0)+1,LARGE(F$10:F1116,1))</f>
        <v>2</v>
      </c>
      <c r="G1117" s="228" t="str">
        <f t="shared" ca="1" si="760"/>
        <v xml:space="preserve">   GERENCIAMENTO EXECUTIVO</v>
      </c>
      <c r="H1117" s="230">
        <f t="shared" ca="1" si="756"/>
        <v>8</v>
      </c>
      <c r="I1117" s="228" t="str">
        <f t="shared" ca="1" si="761"/>
        <v xml:space="preserve">   SISTEMAS E INSTALAÇÕES HIDROSSANITÁRIAS | DRENAGEM</v>
      </c>
      <c r="J1117" s="230">
        <f t="shared" ca="1" si="757"/>
        <v>4</v>
      </c>
      <c r="K1117" s="228" t="str">
        <f t="shared" ca="1" si="762"/>
        <v xml:space="preserve">   SISTEMAS E INSTALAÇÕES HIDROSSANITÁRIAS | DRENAGEM - 8º PAVIMENTO - COBERTURA</v>
      </c>
      <c r="L1117" s="231">
        <f t="shared" ca="1" si="758"/>
        <v>3</v>
      </c>
      <c r="M1117" s="228" t="str">
        <f t="shared" ca="1" si="763"/>
        <v xml:space="preserve">   Instalações de Esgoto</v>
      </c>
      <c r="N1117" s="231">
        <f t="shared" ca="1" si="759"/>
        <v>1</v>
      </c>
      <c r="O1117" s="228" t="str">
        <f t="shared" ca="1" si="764"/>
        <v>Instalacoes de Esgoto - Cobertura</v>
      </c>
      <c r="P1117" s="232" t="str">
        <f>IF(S1117="","",IF(Orçamento!$B1117="INSUMO",S1117,""))</f>
        <v/>
      </c>
      <c r="Q1117" s="244" t="str">
        <f>IF(B1117="","",IF(B1117="Serviço",S1117,""))</f>
        <v>Instalacoes de Esgoto - Cobertura</v>
      </c>
      <c r="R1117" s="234">
        <f t="shared" ca="1" si="765"/>
        <v>1</v>
      </c>
      <c r="S1117" s="233" t="s">
        <v>1075</v>
      </c>
      <c r="T1117" s="242" t="s">
        <v>170</v>
      </c>
      <c r="U1117" s="235">
        <v>1</v>
      </c>
      <c r="V1117" s="320" t="s">
        <v>35</v>
      </c>
      <c r="W1117" s="236" t="str">
        <f>IFERROR(IF(B1117="INSUMO",_xlfn.XLOOKUP(S1117,Insumos!A:A,Insumos!C:C),""),"Inserir Preço")</f>
        <v/>
      </c>
      <c r="X1117" s="235">
        <f t="shared" ca="1" si="766"/>
        <v>1</v>
      </c>
      <c r="Y1117" s="236">
        <f t="shared" ca="1" si="730"/>
        <v>2835.8299946360062</v>
      </c>
      <c r="Z1117" s="237">
        <f t="shared" ca="1" si="752"/>
        <v>2835.8299946360062</v>
      </c>
      <c r="AA1117" s="238"/>
      <c r="AB1117" s="233" t="str">
        <f>IF(B1117="insumo",_xlfn.XLOOKUP(S1117,Insumos!A:A,Insumos!D:D),"")</f>
        <v/>
      </c>
      <c r="AC1117" s="239">
        <f t="shared" ca="1" si="753"/>
        <v>4.0682566757258638E-4</v>
      </c>
      <c r="AE1117" s="240">
        <f ca="1">IFERROR(IF(OR(Z1117="",Z1117=0),"",IF(AF1117="","",IF(AF1117="R$/mês",Z1117/OBRA!$D$12,IF(AF1117="R$/m²",Z1117/OBRA!$D$10,IF(AF1117="R$/apto",Orçamento!Z1117/OBRA!$D$11,""))))),"")</f>
        <v>1.4593383154006505</v>
      </c>
      <c r="AF1117" s="241" t="s">
        <v>154</v>
      </c>
    </row>
    <row r="1118" spans="1:32" s="10" customFormat="1" ht="13.15" hidden="1" customHeight="1" outlineLevel="4" x14ac:dyDescent="0.2">
      <c r="A1118" s="227"/>
      <c r="B1118" s="228" t="s">
        <v>19</v>
      </c>
      <c r="C1118" s="229">
        <f t="shared" si="751"/>
        <v>1</v>
      </c>
      <c r="D1118" s="227" t="str">
        <f t="shared" si="754"/>
        <v/>
      </c>
      <c r="E1118" s="228" t="str">
        <f t="shared" ca="1" si="755"/>
        <v>08.004.003.001</v>
      </c>
      <c r="F1118" s="230">
        <f ca="1">IF($B1118="UNIDADE CONSTRUTIVA",OFFSET(F1118,-1,0)+1,LARGE(F$10:F1117,1))</f>
        <v>2</v>
      </c>
      <c r="G1118" s="228" t="str">
        <f t="shared" ca="1" si="760"/>
        <v xml:space="preserve">   GERENCIAMENTO EXECUTIVO</v>
      </c>
      <c r="H1118" s="230">
        <f t="shared" ca="1" si="756"/>
        <v>8</v>
      </c>
      <c r="I1118" s="228" t="str">
        <f t="shared" ca="1" si="761"/>
        <v xml:space="preserve">   SISTEMAS E INSTALAÇÕES HIDROSSANITÁRIAS | DRENAGEM</v>
      </c>
      <c r="J1118" s="230">
        <f t="shared" ca="1" si="757"/>
        <v>4</v>
      </c>
      <c r="K1118" s="228" t="str">
        <f t="shared" ca="1" si="762"/>
        <v xml:space="preserve">   SISTEMAS E INSTALAÇÕES HIDROSSANITÁRIAS | DRENAGEM - 8º PAVIMENTO - COBERTURA</v>
      </c>
      <c r="L1118" s="231">
        <f t="shared" ca="1" si="758"/>
        <v>3</v>
      </c>
      <c r="M1118" s="228" t="str">
        <f t="shared" ca="1" si="763"/>
        <v xml:space="preserve">   Instalações de Esgoto</v>
      </c>
      <c r="N1118" s="231">
        <f t="shared" ca="1" si="759"/>
        <v>1</v>
      </c>
      <c r="O1118" s="228" t="str">
        <f t="shared" ca="1" si="764"/>
        <v>Instalacoes de Esgoto - Cobertura</v>
      </c>
      <c r="P1118" s="232" t="str">
        <f>IF(S1118="","",IF(Orçamento!$B1118="INSUMO",S1118,""))</f>
        <v>INSTALAÇÕES ESGOTO - COBERTURA</v>
      </c>
      <c r="Q1118" s="244" t="str">
        <f>IF(B1118="","",IF(B1118="Serviço",S1118,""))</f>
        <v/>
      </c>
      <c r="R1118" s="234">
        <f t="shared" ca="1" si="765"/>
        <v>1</v>
      </c>
      <c r="S1118" s="343" t="s">
        <v>1019</v>
      </c>
      <c r="T1118" s="242" t="str">
        <f>_xlfn.XLOOKUP(S1118,Insumos!$A$3:$A$371,Insumos!$B$3:$B$371)</f>
        <v>UN</v>
      </c>
      <c r="U1118" s="235">
        <f ca="1">IF($B1118="insumo",R1118,"")</f>
        <v>1</v>
      </c>
      <c r="V1118" s="320">
        <v>1</v>
      </c>
      <c r="W1118" s="236">
        <f>IFERROR(IF(B1118="INSUMO",_xlfn.XLOOKUP(S1118,Insumos!A:A,Insumos!C:C),""),"Inserir Preço")</f>
        <v>2835.8299946360062</v>
      </c>
      <c r="X1118" s="235">
        <f t="shared" ca="1" si="766"/>
        <v>1</v>
      </c>
      <c r="Y1118" s="236">
        <f t="shared" si="730"/>
        <v>2835.8299946360062</v>
      </c>
      <c r="Z1118" s="237">
        <f t="shared" ca="1" si="752"/>
        <v>2835.8299946360062</v>
      </c>
      <c r="AA1118" s="238"/>
      <c r="AB1118" s="233" t="str">
        <f>IF(B1118="insumo",_xlfn.XLOOKUP(S1118,Insumos!A:A,Insumos!D:D),"")</f>
        <v>Estimativa</v>
      </c>
      <c r="AC1118" s="239">
        <f t="shared" ca="1" si="753"/>
        <v>4.0682566757258638E-4</v>
      </c>
      <c r="AE1118" s="240">
        <f ca="1">IFERROR(IF(OR(Z1118="",Z1118=0),"",IF(AF1118="","",IF(AF1118="R$/mês",Z1118/OBRA!$D$12,IF(AF1118="R$/m²",Z1118/OBRA!$D$10,IF(AF1118="R$/apto",Orçamento!Z1118/OBRA!$D$11,""))))),"")</f>
        <v>1.4593383154006505</v>
      </c>
      <c r="AF1118" s="241" t="s">
        <v>154</v>
      </c>
    </row>
    <row r="1119" spans="1:32" s="10" customFormat="1" ht="13.15" hidden="1" customHeight="1" outlineLevel="3" collapsed="1" x14ac:dyDescent="0.2">
      <c r="A1119" s="227"/>
      <c r="B1119" s="228" t="s">
        <v>3</v>
      </c>
      <c r="C1119" s="229" t="str">
        <f t="shared" si="751"/>
        <v/>
      </c>
      <c r="D1119" s="227" t="str">
        <f t="shared" ref="D1119:D1127" ca="1" si="767">IF(B1119="Unidade Construtiva",TEXT(F1119,"00"),IF(B1119="Célula Construtiva",TEXT(H1119,"00"),IF(B1119="Etapa",CONCATENATE(TEXT(H1119,"00"),".",TEXT(J1119,"000")),IF(B1119="Subetapa",CONCATENATE(TEXT(H1119,"00"),".",TEXT(J1119,"000"),".",TEXT(L1119,"000")),IF(B1119="Serviço",CONCATENATE(TEXT(H1119,"00"),".",TEXT(J1119,"000"),".",TEXT(L1119,"000"),".",TEXT(N1119,"000")),"")))))</f>
        <v>08.004.004</v>
      </c>
      <c r="E1119" s="228" t="str">
        <f t="shared" ref="E1119:E1127" ca="1" si="768">IF(B1119="*","",IFERROR(IF(B1119="SERVIÇO",D1119,OFFSET(E1119,-1,0)),""))</f>
        <v>08.004.003.001</v>
      </c>
      <c r="F1119" s="230">
        <f ca="1">IF($B1119="UNIDADE CONSTRUTIVA",OFFSET(F1119,-1,0)+1,LARGE(F$10:F1118,1))</f>
        <v>2</v>
      </c>
      <c r="G1119" s="228" t="str">
        <f t="shared" ref="G1119:G1147" ca="1" si="769">IF(B1119="*","",IF(B1119="UNIDADE CONSTRUTIVA",S1119,OFFSET(G1119,-1,0)))</f>
        <v xml:space="preserve">   GERENCIAMENTO EXECUTIVO</v>
      </c>
      <c r="H1119" s="230">
        <f t="shared" ref="H1119:H1127" ca="1" si="770">IF(B1119="UNIDADE CONSTRUTIVA",0,IF(B1119="CÉLULA CONSTRUTIVA",OFFSET(H1119,-1,0)+1,OFFSET(H1119,-1,0)))</f>
        <v>8</v>
      </c>
      <c r="I1119" s="228" t="str">
        <f t="shared" ref="I1119:I1147" ca="1" si="771">IF(B1119="*","",IF(B1119="CÉLULA CONSTRUTIVA",S1119,OFFSET(I1119,-1,0)))</f>
        <v xml:space="preserve">   SISTEMAS E INSTALAÇÕES HIDROSSANITÁRIAS | DRENAGEM</v>
      </c>
      <c r="J1119" s="230">
        <f t="shared" ref="J1119:J1127" ca="1" si="772">IF(B1119="CÉLULA CONSTRUTIVA",0,IF(B1119="ETAPA",OFFSET(J1119,-1,0)+1,OFFSET(J1119,-1,0)))</f>
        <v>4</v>
      </c>
      <c r="K1119" s="228" t="str">
        <f t="shared" ref="K1119:K1147" ca="1" si="773">IF(B1119="*","",IF(B1119="ETAPA",S1119,OFFSET(K1119,-1,0)))</f>
        <v xml:space="preserve">   SISTEMAS E INSTALAÇÕES HIDROSSANITÁRIAS | DRENAGEM - 8º PAVIMENTO - COBERTURA</v>
      </c>
      <c r="L1119" s="231">
        <f t="shared" ref="L1119:L1127" ca="1" si="774">IF(B1119="ETAPA",0,IF(B1119="SUBETAPA",OFFSET(L1119,-1,0)+1,OFFSET(L1119,-1,0)))</f>
        <v>4</v>
      </c>
      <c r="M1119" s="228" t="str">
        <f t="shared" ref="M1119:M1147" ca="1" si="775">IF(B1119="*","",IF(B1119="SUBETAPA",S1119,OFFSET(M1119,-1,0)))</f>
        <v xml:space="preserve">   Mão de Obra</v>
      </c>
      <c r="N1119" s="231">
        <f t="shared" ref="N1119:N1127" ca="1" si="776">IF(B1119="Subetapa",0,IF(B1119="serviço",OFFSET(N1119,-1,0)+1,OFFSET(N1119,-1,0)))</f>
        <v>0</v>
      </c>
      <c r="O1119" s="228" t="str">
        <f t="shared" ref="O1119:O1147" ca="1" si="777">IF(B1119="*","",IF(B1119="SERVIÇO",S1119,OFFSET(O1119,-1,0)))</f>
        <v>Instalacoes de Esgoto - Cobertura</v>
      </c>
      <c r="P1119" s="232" t="str">
        <f>IF(S1119="","",IF(Orçamento!$B1119="INSUMO",S1119,""))</f>
        <v/>
      </c>
      <c r="Q1119" s="244" t="str">
        <f t="shared" ref="Q1119:Q1148" si="778">IF(B1119="","",IF(B1119="Serviço",S1119,""))</f>
        <v/>
      </c>
      <c r="R1119" s="234">
        <f t="shared" ref="R1119:R1147" ca="1" si="779">IF(B1119="serviço",U1119,OFFSET(R1119,-1,0))</f>
        <v>1</v>
      </c>
      <c r="S1119" s="233" t="s">
        <v>438</v>
      </c>
      <c r="T1119" s="242" t="s">
        <v>35</v>
      </c>
      <c r="U1119" s="235" t="str">
        <f>IF($B1119="insumo",R1119,"")</f>
        <v/>
      </c>
      <c r="V1119" s="320" t="s">
        <v>35</v>
      </c>
      <c r="W1119" s="236" t="str">
        <f>IFERROR(IF(B1119="INSUMO",_xlfn.XLOOKUP(S1119,Insumos!A:A,Insumos!C:C),""),"Inserir Preço")</f>
        <v/>
      </c>
      <c r="X1119" s="235" t="str">
        <f t="shared" ca="1" si="766"/>
        <v/>
      </c>
      <c r="Y1119" s="236" t="str">
        <f t="shared" si="730"/>
        <v/>
      </c>
      <c r="Z1119" s="237">
        <f t="shared" ca="1" si="752"/>
        <v>8614.9605219151726</v>
      </c>
      <c r="AA1119" s="238"/>
      <c r="AB1119" s="233" t="str">
        <f>IF(B1119="insumo",_xlfn.XLOOKUP(S1119,Insumos!A:A,Insumos!D:D),"")</f>
        <v/>
      </c>
      <c r="AC1119" s="239">
        <f t="shared" ca="1" si="753"/>
        <v>1.2358946312257606E-3</v>
      </c>
      <c r="AE1119" s="240">
        <f ca="1">IFERROR(IF(OR(Z1119="",Z1119=0),"",IF(AF1119="","",IF(AF1119="R$/mês",Z1119/OBRA!$D$12,IF(AF1119="R$/m²",Z1119/OBRA!$D$10,IF(AF1119="R$/apto",Orçamento!Z1119/OBRA!$D$11,""))))),"")</f>
        <v>4.4333200505936885</v>
      </c>
      <c r="AF1119" s="241" t="s">
        <v>154</v>
      </c>
    </row>
    <row r="1120" spans="1:32" s="10" customFormat="1" ht="13.15" hidden="1" customHeight="1" outlineLevel="4" x14ac:dyDescent="0.2">
      <c r="A1120" s="227"/>
      <c r="B1120" s="228" t="s">
        <v>4</v>
      </c>
      <c r="C1120" s="229">
        <f t="shared" si="751"/>
        <v>5</v>
      </c>
      <c r="D1120" s="227" t="str">
        <f t="shared" ca="1" si="767"/>
        <v>08.004.004.001</v>
      </c>
      <c r="E1120" s="228" t="str">
        <f t="shared" ca="1" si="768"/>
        <v>08.004.004.001</v>
      </c>
      <c r="F1120" s="230">
        <f ca="1">IF($B1120="UNIDADE CONSTRUTIVA",OFFSET(F1120,-1,0)+1,LARGE(F$10:F1119,1))</f>
        <v>2</v>
      </c>
      <c r="G1120" s="228" t="str">
        <f t="shared" ca="1" si="769"/>
        <v xml:space="preserve">   GERENCIAMENTO EXECUTIVO</v>
      </c>
      <c r="H1120" s="230">
        <f t="shared" ca="1" si="770"/>
        <v>8</v>
      </c>
      <c r="I1120" s="228" t="str">
        <f t="shared" ca="1" si="771"/>
        <v xml:space="preserve">   SISTEMAS E INSTALAÇÕES HIDROSSANITÁRIAS | DRENAGEM</v>
      </c>
      <c r="J1120" s="230">
        <f t="shared" ca="1" si="772"/>
        <v>4</v>
      </c>
      <c r="K1120" s="228" t="str">
        <f t="shared" ca="1" si="773"/>
        <v xml:space="preserve">   SISTEMAS E INSTALAÇÕES HIDROSSANITÁRIAS | DRENAGEM - 8º PAVIMENTO - COBERTURA</v>
      </c>
      <c r="L1120" s="231">
        <f t="shared" ca="1" si="774"/>
        <v>4</v>
      </c>
      <c r="M1120" s="228" t="str">
        <f t="shared" ca="1" si="775"/>
        <v xml:space="preserve">   Mão de Obra</v>
      </c>
      <c r="N1120" s="231">
        <f t="shared" ca="1" si="776"/>
        <v>1</v>
      </c>
      <c r="O1120" s="228" t="str">
        <f t="shared" ca="1" si="777"/>
        <v>Mao de obra de instalacoes hidrossanitárias</v>
      </c>
      <c r="P1120" s="232" t="str">
        <f>IF(S1120="","",IF(Orçamento!$B1120="INSUMO",S1120,""))</f>
        <v/>
      </c>
      <c r="Q1120" s="244" t="str">
        <f t="shared" si="778"/>
        <v>Mao de obra de instalacoes hidrossanitárias</v>
      </c>
      <c r="R1120" s="234">
        <f t="shared" ca="1" si="779"/>
        <v>234.19450000000001</v>
      </c>
      <c r="S1120" s="233" t="s">
        <v>831</v>
      </c>
      <c r="T1120" s="242" t="s">
        <v>140</v>
      </c>
      <c r="U1120" s="235">
        <f ca="1">'Custos Serviços'!B28</f>
        <v>234.19450000000001</v>
      </c>
      <c r="V1120" s="320" t="s">
        <v>35</v>
      </c>
      <c r="W1120" s="236" t="str">
        <f>IFERROR(IF(B1120="INSUMO",_xlfn.XLOOKUP(S1120,Insumos!A:A,Insumos!C:C),""),"Inserir Preço")</f>
        <v/>
      </c>
      <c r="X1120" s="235">
        <f t="shared" ca="1" si="766"/>
        <v>234.19450000000001</v>
      </c>
      <c r="Y1120" s="236">
        <f t="shared" ca="1" si="730"/>
        <v>36.785494629101763</v>
      </c>
      <c r="Z1120" s="237">
        <f t="shared" ca="1" si="752"/>
        <v>8614.9605219151726</v>
      </c>
      <c r="AA1120" s="238"/>
      <c r="AB1120" s="233" t="str">
        <f>IF(B1120="insumo",_xlfn.XLOOKUP(S1120,Insumos!A:A,Insumos!D:D),"")</f>
        <v/>
      </c>
      <c r="AC1120" s="239">
        <f t="shared" ca="1" si="753"/>
        <v>1.2358946312257606E-3</v>
      </c>
      <c r="AE1120" s="240">
        <f ca="1">IFERROR(IF(OR(Z1120="",Z1120=0),"",IF(AF1120="","",IF(AF1120="R$/mês",Z1120/OBRA!$D$12,IF(AF1120="R$/m²",Z1120/OBRA!$D$10,IF(AF1120="R$/apto",Orçamento!Z1120/OBRA!$D$11,""))))),"")</f>
        <v>4.4333200505936885</v>
      </c>
      <c r="AF1120" s="241" t="s">
        <v>154</v>
      </c>
    </row>
    <row r="1121" spans="1:32" s="10" customFormat="1" ht="13.15" hidden="1" customHeight="1" outlineLevel="4" x14ac:dyDescent="0.2">
      <c r="A1121" s="227"/>
      <c r="B1121" s="228" t="s">
        <v>19</v>
      </c>
      <c r="C1121" s="229">
        <f t="shared" si="751"/>
        <v>5</v>
      </c>
      <c r="D1121" s="227" t="str">
        <f t="shared" si="767"/>
        <v/>
      </c>
      <c r="E1121" s="228" t="str">
        <f t="shared" ca="1" si="768"/>
        <v>08.004.004.001</v>
      </c>
      <c r="F1121" s="230">
        <f ca="1">IF($B1121="UNIDADE CONSTRUTIVA",OFFSET(F1121,-1,0)+1,LARGE(F$10:F1120,1))</f>
        <v>2</v>
      </c>
      <c r="G1121" s="228" t="str">
        <f t="shared" ca="1" si="769"/>
        <v xml:space="preserve">   GERENCIAMENTO EXECUTIVO</v>
      </c>
      <c r="H1121" s="230">
        <f t="shared" ca="1" si="770"/>
        <v>8</v>
      </c>
      <c r="I1121" s="228" t="str">
        <f t="shared" ca="1" si="771"/>
        <v xml:space="preserve">   SISTEMAS E INSTALAÇÕES HIDROSSANITÁRIAS | DRENAGEM</v>
      </c>
      <c r="J1121" s="230">
        <f t="shared" ca="1" si="772"/>
        <v>4</v>
      </c>
      <c r="K1121" s="228" t="str">
        <f t="shared" ca="1" si="773"/>
        <v xml:space="preserve">   SISTEMAS E INSTALAÇÕES HIDROSSANITÁRIAS | DRENAGEM - 8º PAVIMENTO - COBERTURA</v>
      </c>
      <c r="L1121" s="231">
        <f t="shared" ca="1" si="774"/>
        <v>4</v>
      </c>
      <c r="M1121" s="228" t="str">
        <f t="shared" ca="1" si="775"/>
        <v xml:space="preserve">   Mão de Obra</v>
      </c>
      <c r="N1121" s="231">
        <f t="shared" ca="1" si="776"/>
        <v>1</v>
      </c>
      <c r="O1121" s="228" t="str">
        <f t="shared" ca="1" si="777"/>
        <v>Mao de obra de instalacoes hidrossanitárias</v>
      </c>
      <c r="P1121" s="232" t="str">
        <f>IF(S1121="","",IF(Orçamento!$B1121="INSUMO",S1121,""))</f>
        <v>Mão de Obra para Instalação Hidrossanitárias</v>
      </c>
      <c r="Q1121" s="244" t="str">
        <f t="shared" si="778"/>
        <v/>
      </c>
      <c r="R1121" s="234">
        <f t="shared" ca="1" si="779"/>
        <v>234.19450000000001</v>
      </c>
      <c r="S1121" s="233" t="s">
        <v>832</v>
      </c>
      <c r="T1121" s="242" t="str">
        <f>_xlfn.XLOOKUP(S1121,Insumos!$A$3:$A$371,Insumos!$B$3:$B$371)</f>
        <v>VB</v>
      </c>
      <c r="U1121" s="235">
        <f ca="1">IF($B1121="insumo",R1121,"")</f>
        <v>234.19450000000001</v>
      </c>
      <c r="V1121" s="320">
        <v>1</v>
      </c>
      <c r="W1121" s="236">
        <f ca="1">IFERROR(IF(B1121="INSUMO",_xlfn.XLOOKUP(S1121,Insumos!A:A,Insumos!C:C),""),"Inserir Preço")</f>
        <v>36.785494629101763</v>
      </c>
      <c r="X1121" s="235">
        <f t="shared" ca="1" si="766"/>
        <v>234.19450000000001</v>
      </c>
      <c r="Y1121" s="236">
        <f t="shared" ca="1" si="730"/>
        <v>36.785494629101763</v>
      </c>
      <c r="Z1121" s="237">
        <f t="shared" ca="1" si="752"/>
        <v>8614.9605219151726</v>
      </c>
      <c r="AA1121" s="238"/>
      <c r="AB1121" s="233" t="str">
        <f>IF(B1121="insumo",_xlfn.XLOOKUP(S1121,Insumos!A:A,Insumos!D:D),"")</f>
        <v>Aba Custo Serviços</v>
      </c>
      <c r="AC1121" s="239">
        <f t="shared" ca="1" si="753"/>
        <v>1.2358946312257606E-3</v>
      </c>
      <c r="AE1121" s="240">
        <f ca="1">IFERROR(IF(OR(Z1121="",Z1121=0),"",IF(AF1121="","",IF(AF1121="R$/mês",Z1121/OBRA!$D$12,IF(AF1121="R$/m²",Z1121/OBRA!$D$10,IF(AF1121="R$/apto",Orçamento!Z1121/OBRA!$D$11,""))))),"")</f>
        <v>4.4333200505936885</v>
      </c>
      <c r="AF1121" s="241" t="s">
        <v>154</v>
      </c>
    </row>
    <row r="1122" spans="1:32" s="10" customFormat="1" ht="13.15" customHeight="1" outlineLevel="2" collapsed="1" x14ac:dyDescent="0.2">
      <c r="A1122" s="227"/>
      <c r="B1122" s="228" t="s">
        <v>2</v>
      </c>
      <c r="C1122" s="229" t="str">
        <f t="shared" si="751"/>
        <v/>
      </c>
      <c r="D1122" s="227" t="str">
        <f t="shared" ca="1" si="767"/>
        <v>08.005</v>
      </c>
      <c r="E1122" s="228" t="str">
        <f t="shared" ca="1" si="768"/>
        <v>08.004.004.001</v>
      </c>
      <c r="F1122" s="230">
        <f ca="1">IF($B1122="UNIDADE CONSTRUTIVA",OFFSET(F1122,-1,0)+1,LARGE(F$10:F1121,1))</f>
        <v>2</v>
      </c>
      <c r="G1122" s="228" t="str">
        <f t="shared" ca="1" si="769"/>
        <v xml:space="preserve">   GERENCIAMENTO EXECUTIVO</v>
      </c>
      <c r="H1122" s="230">
        <f t="shared" ca="1" si="770"/>
        <v>8</v>
      </c>
      <c r="I1122" s="228" t="str">
        <f t="shared" ca="1" si="771"/>
        <v xml:space="preserve">   SISTEMAS E INSTALAÇÕES HIDROSSANITÁRIAS | DRENAGEM</v>
      </c>
      <c r="J1122" s="230">
        <f t="shared" ca="1" si="772"/>
        <v>5</v>
      </c>
      <c r="K1122" s="228" t="str">
        <f t="shared" ca="1" si="773"/>
        <v xml:space="preserve">   SISTEMAS E INSTALAÇÕES HIDROSSANITÁRIAS | DRENAGEM - BARRILETE / CAIXA DÁGUA / CASA DE MÁQUINAS</v>
      </c>
      <c r="L1122" s="231">
        <f t="shared" ca="1" si="774"/>
        <v>0</v>
      </c>
      <c r="M1122" s="228" t="str">
        <f t="shared" ca="1" si="775"/>
        <v xml:space="preserve">   Mão de Obra</v>
      </c>
      <c r="N1122" s="231">
        <f t="shared" ca="1" si="776"/>
        <v>1</v>
      </c>
      <c r="O1122" s="228" t="str">
        <f t="shared" ca="1" si="777"/>
        <v>Mao de obra de instalacoes hidrossanitárias</v>
      </c>
      <c r="P1122" s="232" t="str">
        <f>IF(S1122="","",IF(Orçamento!$B1122="INSUMO",S1122,""))</f>
        <v/>
      </c>
      <c r="Q1122" s="244" t="str">
        <f t="shared" si="778"/>
        <v/>
      </c>
      <c r="R1122" s="234">
        <f t="shared" ca="1" si="779"/>
        <v>234.19450000000001</v>
      </c>
      <c r="S1122" s="233" t="s">
        <v>661</v>
      </c>
      <c r="T1122" s="242" t="s">
        <v>35</v>
      </c>
      <c r="U1122" s="235" t="str">
        <f>IF($B1122="insumo",R1122,"")</f>
        <v/>
      </c>
      <c r="V1122" s="320" t="s">
        <v>35</v>
      </c>
      <c r="W1122" s="236" t="str">
        <f>IFERROR(IF(B1122="INSUMO",_xlfn.XLOOKUP(S1122,Insumos!A:A,Insumos!C:C),""),"Inserir Preço")</f>
        <v/>
      </c>
      <c r="X1122" s="235" t="str">
        <f t="shared" ca="1" si="766"/>
        <v/>
      </c>
      <c r="Y1122" s="236" t="str">
        <f t="shared" si="730"/>
        <v/>
      </c>
      <c r="Z1122" s="237">
        <f t="shared" ca="1" si="752"/>
        <v>14062.734924069464</v>
      </c>
      <c r="AA1122" s="238"/>
      <c r="AB1122" s="233" t="str">
        <f>IF(B1122="insumo",_xlfn.XLOOKUP(S1122,Insumos!A:A,Insumos!D:D),"")</f>
        <v/>
      </c>
      <c r="AC1122" s="239">
        <f t="shared" ca="1" si="753"/>
        <v>2.0174275376882091E-3</v>
      </c>
      <c r="AE1122" s="240">
        <f ca="1">IFERROR(IF(OR(Z1122="",Z1122=0),"",IF(AF1122="","",IF(AF1122="R$/mês",Z1122/OBRA!$D$12,IF(AF1122="R$/m²",Z1122/OBRA!$D$10,IF(AF1122="R$/apto",Orçamento!Z1122/OBRA!$D$11,""))))),"")</f>
        <v>7.2367835634842317</v>
      </c>
      <c r="AF1122" s="241" t="s">
        <v>154</v>
      </c>
    </row>
    <row r="1123" spans="1:32" s="10" customFormat="1" ht="13.15" hidden="1" customHeight="1" outlineLevel="3" collapsed="1" x14ac:dyDescent="0.2">
      <c r="A1123" s="227"/>
      <c r="B1123" s="228" t="s">
        <v>3</v>
      </c>
      <c r="C1123" s="229" t="str">
        <f t="shared" si="751"/>
        <v/>
      </c>
      <c r="D1123" s="227" t="str">
        <f t="shared" ca="1" si="767"/>
        <v>08.005.001</v>
      </c>
      <c r="E1123" s="228" t="str">
        <f t="shared" ca="1" si="768"/>
        <v>08.004.004.001</v>
      </c>
      <c r="F1123" s="230">
        <f ca="1">IF($B1123="UNIDADE CONSTRUTIVA",OFFSET(F1123,-1,0)+1,LARGE(F$10:F1122,1))</f>
        <v>2</v>
      </c>
      <c r="G1123" s="228" t="str">
        <f t="shared" ca="1" si="769"/>
        <v xml:space="preserve">   GERENCIAMENTO EXECUTIVO</v>
      </c>
      <c r="H1123" s="230">
        <f t="shared" ca="1" si="770"/>
        <v>8</v>
      </c>
      <c r="I1123" s="228" t="str">
        <f t="shared" ca="1" si="771"/>
        <v xml:space="preserve">   SISTEMAS E INSTALAÇÕES HIDROSSANITÁRIAS | DRENAGEM</v>
      </c>
      <c r="J1123" s="230">
        <f t="shared" ca="1" si="772"/>
        <v>5</v>
      </c>
      <c r="K1123" s="228" t="str">
        <f t="shared" ca="1" si="773"/>
        <v xml:space="preserve">   SISTEMAS E INSTALAÇÕES HIDROSSANITÁRIAS | DRENAGEM - BARRILETE / CAIXA DÁGUA / CASA DE MÁQUINAS</v>
      </c>
      <c r="L1123" s="231">
        <f t="shared" ca="1" si="774"/>
        <v>1</v>
      </c>
      <c r="M1123" s="228" t="str">
        <f t="shared" ca="1" si="775"/>
        <v xml:space="preserve">   Instalações de Água Fria</v>
      </c>
      <c r="N1123" s="231">
        <f t="shared" ca="1" si="776"/>
        <v>0</v>
      </c>
      <c r="O1123" s="228" t="str">
        <f t="shared" ca="1" si="777"/>
        <v>Mao de obra de instalacoes hidrossanitárias</v>
      </c>
      <c r="P1123" s="232" t="str">
        <f>IF(S1123="","",IF(Orçamento!$B1123="INSUMO",S1123,""))</f>
        <v/>
      </c>
      <c r="Q1123" s="244" t="str">
        <f t="shared" si="778"/>
        <v/>
      </c>
      <c r="R1123" s="234">
        <f t="shared" ca="1" si="779"/>
        <v>234.19450000000001</v>
      </c>
      <c r="S1123" s="233" t="s">
        <v>448</v>
      </c>
      <c r="T1123" s="242" t="s">
        <v>35</v>
      </c>
      <c r="U1123" s="235" t="str">
        <f>IF($B1123="insumo",R1123,"")</f>
        <v/>
      </c>
      <c r="V1123" s="320" t="s">
        <v>35</v>
      </c>
      <c r="W1123" s="236" t="str">
        <f>IFERROR(IF(B1123="INSUMO",_xlfn.XLOOKUP(S1123,Insumos!A:A,Insumos!C:C),""),"Inserir Preço")</f>
        <v/>
      </c>
      <c r="X1123" s="235" t="str">
        <f t="shared" ca="1" si="766"/>
        <v/>
      </c>
      <c r="Y1123" s="236" t="str">
        <f t="shared" si="730"/>
        <v/>
      </c>
      <c r="Z1123" s="237">
        <f t="shared" ca="1" si="752"/>
        <v>3105.4375455373684</v>
      </c>
      <c r="AA1123" s="238"/>
      <c r="AB1123" s="233" t="str">
        <f>IF(B1123="insumo",_xlfn.XLOOKUP(S1123,Insumos!A:A,Insumos!D:D),"")</f>
        <v/>
      </c>
      <c r="AC1123" s="239">
        <f t="shared" ca="1" si="753"/>
        <v>4.4550332881656911E-4</v>
      </c>
      <c r="AE1123" s="240">
        <f ca="1">IFERROR(IF(OR(Z1123="",Z1123=0),"",IF(AF1123="","",IF(AF1123="R$/mês",Z1123/OBRA!$D$12,IF(AF1123="R$/m²",Z1123/OBRA!$D$10,IF(AF1123="R$/apto",Orçamento!Z1123/OBRA!$D$11,""))))),"")</f>
        <v>1.5980802815607871</v>
      </c>
      <c r="AF1123" s="241" t="s">
        <v>154</v>
      </c>
    </row>
    <row r="1124" spans="1:32" s="10" customFormat="1" ht="13.15" hidden="1" customHeight="1" outlineLevel="4" x14ac:dyDescent="0.2">
      <c r="A1124" s="227"/>
      <c r="B1124" s="228" t="s">
        <v>4</v>
      </c>
      <c r="C1124" s="229">
        <f t="shared" si="751"/>
        <v>1</v>
      </c>
      <c r="D1124" s="227" t="str">
        <f t="shared" ca="1" si="767"/>
        <v>08.005.001.001</v>
      </c>
      <c r="E1124" s="228" t="str">
        <f t="shared" ca="1" si="768"/>
        <v>08.005.001.001</v>
      </c>
      <c r="F1124" s="230">
        <f ca="1">IF($B1124="UNIDADE CONSTRUTIVA",OFFSET(F1124,-1,0)+1,LARGE(F$10:F1123,1))</f>
        <v>2</v>
      </c>
      <c r="G1124" s="228" t="str">
        <f t="shared" ca="1" si="769"/>
        <v xml:space="preserve">   GERENCIAMENTO EXECUTIVO</v>
      </c>
      <c r="H1124" s="230">
        <f t="shared" ca="1" si="770"/>
        <v>8</v>
      </c>
      <c r="I1124" s="228" t="str">
        <f t="shared" ca="1" si="771"/>
        <v xml:space="preserve">   SISTEMAS E INSTALAÇÕES HIDROSSANITÁRIAS | DRENAGEM</v>
      </c>
      <c r="J1124" s="230">
        <f t="shared" ca="1" si="772"/>
        <v>5</v>
      </c>
      <c r="K1124" s="228" t="str">
        <f t="shared" ca="1" si="773"/>
        <v xml:space="preserve">   SISTEMAS E INSTALAÇÕES HIDROSSANITÁRIAS | DRENAGEM - BARRILETE / CAIXA DÁGUA / CASA DE MÁQUINAS</v>
      </c>
      <c r="L1124" s="231">
        <f t="shared" ca="1" si="774"/>
        <v>1</v>
      </c>
      <c r="M1124" s="228" t="str">
        <f t="shared" ca="1" si="775"/>
        <v xml:space="preserve">   Instalações de Água Fria</v>
      </c>
      <c r="N1124" s="231">
        <f t="shared" ca="1" si="776"/>
        <v>1</v>
      </c>
      <c r="O1124" s="228" t="str">
        <f t="shared" ca="1" si="777"/>
        <v>Instalacoes de Agua Fria - Pavimento Técnico</v>
      </c>
      <c r="P1124" s="232" t="str">
        <f>IF(S1124="","",IF(Orçamento!$B1124="INSUMO",S1124,""))</f>
        <v/>
      </c>
      <c r="Q1124" s="244" t="str">
        <f t="shared" si="778"/>
        <v>Instalacoes de Agua Fria - Pavimento Técnico</v>
      </c>
      <c r="R1124" s="234">
        <f t="shared" ca="1" si="779"/>
        <v>1</v>
      </c>
      <c r="S1124" s="233" t="s">
        <v>1071</v>
      </c>
      <c r="T1124" s="242" t="s">
        <v>170</v>
      </c>
      <c r="U1124" s="235">
        <v>1</v>
      </c>
      <c r="V1124" s="320"/>
      <c r="W1124" s="236" t="str">
        <f>IFERROR(IF(B1124="INSUMO",_xlfn.XLOOKUP(S1124,Insumos!A:A,Insumos!C:C),""),"Inserir Preço")</f>
        <v/>
      </c>
      <c r="X1124" s="235">
        <f t="shared" ca="1" si="766"/>
        <v>1</v>
      </c>
      <c r="Y1124" s="236">
        <f t="shared" ca="1" si="730"/>
        <v>3105.4375455373684</v>
      </c>
      <c r="Z1124" s="237">
        <f t="shared" ca="1" si="752"/>
        <v>3105.4375455373684</v>
      </c>
      <c r="AA1124" s="238"/>
      <c r="AB1124" s="233" t="str">
        <f>IF(B1124="insumo",_xlfn.XLOOKUP(S1124,Insumos!A:A,Insumos!D:D),"")</f>
        <v/>
      </c>
      <c r="AC1124" s="239">
        <f t="shared" ca="1" si="753"/>
        <v>4.4550332881656911E-4</v>
      </c>
      <c r="AE1124" s="240">
        <f ca="1">IFERROR(IF(OR(Z1124="",Z1124=0),"",IF(AF1124="","",IF(AF1124="R$/mês",Z1124/OBRA!$D$12,IF(AF1124="R$/m²",Z1124/OBRA!$D$10,IF(AF1124="R$/apto",Orçamento!Z1124/OBRA!$D$11,""))))),"")</f>
        <v>1.5980802815607871</v>
      </c>
      <c r="AF1124" s="241" t="s">
        <v>154</v>
      </c>
    </row>
    <row r="1125" spans="1:32" s="10" customFormat="1" ht="13.15" hidden="1" customHeight="1" outlineLevel="4" x14ac:dyDescent="0.2">
      <c r="A1125" s="227"/>
      <c r="B1125" s="228" t="s">
        <v>19</v>
      </c>
      <c r="C1125" s="229">
        <f t="shared" si="751"/>
        <v>1</v>
      </c>
      <c r="D1125" s="227" t="str">
        <f t="shared" si="767"/>
        <v/>
      </c>
      <c r="E1125" s="228" t="str">
        <f t="shared" ca="1" si="768"/>
        <v>08.005.001.001</v>
      </c>
      <c r="F1125" s="230">
        <f ca="1">IF($B1125="UNIDADE CONSTRUTIVA",OFFSET(F1125,-1,0)+1,LARGE(F$10:F1124,1))</f>
        <v>2</v>
      </c>
      <c r="G1125" s="228" t="str">
        <f t="shared" ca="1" si="769"/>
        <v xml:space="preserve">   GERENCIAMENTO EXECUTIVO</v>
      </c>
      <c r="H1125" s="230">
        <f t="shared" ca="1" si="770"/>
        <v>8</v>
      </c>
      <c r="I1125" s="228" t="str">
        <f t="shared" ca="1" si="771"/>
        <v xml:space="preserve">   SISTEMAS E INSTALAÇÕES HIDROSSANITÁRIAS | DRENAGEM</v>
      </c>
      <c r="J1125" s="230">
        <f t="shared" ca="1" si="772"/>
        <v>5</v>
      </c>
      <c r="K1125" s="228" t="str">
        <f t="shared" ca="1" si="773"/>
        <v xml:space="preserve">   SISTEMAS E INSTALAÇÕES HIDROSSANITÁRIAS | DRENAGEM - BARRILETE / CAIXA DÁGUA / CASA DE MÁQUINAS</v>
      </c>
      <c r="L1125" s="231">
        <f t="shared" ca="1" si="774"/>
        <v>1</v>
      </c>
      <c r="M1125" s="228" t="str">
        <f t="shared" ca="1" si="775"/>
        <v xml:space="preserve">   Instalações de Água Fria</v>
      </c>
      <c r="N1125" s="231">
        <f t="shared" ca="1" si="776"/>
        <v>1</v>
      </c>
      <c r="O1125" s="228" t="str">
        <f t="shared" ca="1" si="777"/>
        <v>Instalacoes de Agua Fria - Pavimento Técnico</v>
      </c>
      <c r="P1125" s="232" t="str">
        <f>IF(S1125="","",IF(Orçamento!$B1125="INSUMO",S1125,""))</f>
        <v>INSTALAÇÕES AGUA FRIA - PAVIMENTO TECNICO</v>
      </c>
      <c r="Q1125" s="244" t="str">
        <f t="shared" si="778"/>
        <v/>
      </c>
      <c r="R1125" s="234">
        <f t="shared" ca="1" si="779"/>
        <v>1</v>
      </c>
      <c r="S1125" s="343" t="s">
        <v>1010</v>
      </c>
      <c r="T1125" s="242" t="str">
        <f>_xlfn.XLOOKUP(S1125,Insumos!$A$3:$A$371,Insumos!$B$3:$B$371)</f>
        <v>UN</v>
      </c>
      <c r="U1125" s="235">
        <f ca="1">IF($B1125="insumo",R1125,"")</f>
        <v>1</v>
      </c>
      <c r="V1125" s="320">
        <v>1</v>
      </c>
      <c r="W1125" s="236">
        <f>IFERROR(IF(B1125="INSUMO",_xlfn.XLOOKUP(S1125,Insumos!A:A,Insumos!C:C),""),"Inserir Preço")</f>
        <v>3105.4375455373684</v>
      </c>
      <c r="X1125" s="235">
        <f t="shared" ca="1" si="766"/>
        <v>1</v>
      </c>
      <c r="Y1125" s="236">
        <f t="shared" si="730"/>
        <v>3105.4375455373684</v>
      </c>
      <c r="Z1125" s="237">
        <f t="shared" ca="1" si="752"/>
        <v>3105.4375455373684</v>
      </c>
      <c r="AA1125" s="238"/>
      <c r="AB1125" s="233" t="str">
        <f>IF(B1125="insumo",_xlfn.XLOOKUP(S1125,Insumos!A:A,Insumos!D:D),"")</f>
        <v>Estimativa</v>
      </c>
      <c r="AC1125" s="239">
        <f t="shared" ca="1" si="753"/>
        <v>4.4550332881656911E-4</v>
      </c>
      <c r="AE1125" s="240">
        <f ca="1">IFERROR(IF(OR(Z1125="",Z1125=0),"",IF(AF1125="","",IF(AF1125="R$/mês",Z1125/OBRA!$D$12,IF(AF1125="R$/m²",Z1125/OBRA!$D$10,IF(AF1125="R$/apto",Orçamento!Z1125/OBRA!$D$11,""))))),"")</f>
        <v>1.5980802815607871</v>
      </c>
      <c r="AF1125" s="241" t="s">
        <v>154</v>
      </c>
    </row>
    <row r="1126" spans="1:32" s="10" customFormat="1" ht="13.15" hidden="1" customHeight="1" outlineLevel="3" collapsed="1" x14ac:dyDescent="0.2">
      <c r="A1126" s="227"/>
      <c r="B1126" s="228" t="s">
        <v>3</v>
      </c>
      <c r="C1126" s="229" t="str">
        <f t="shared" si="751"/>
        <v/>
      </c>
      <c r="D1126" s="227" t="str">
        <f t="shared" ca="1" si="767"/>
        <v>08.005.002</v>
      </c>
      <c r="E1126" s="228" t="str">
        <f t="shared" ca="1" si="768"/>
        <v>08.005.001.001</v>
      </c>
      <c r="F1126" s="230">
        <f ca="1">IF($B1126="UNIDADE CONSTRUTIVA",OFFSET(F1126,-1,0)+1,LARGE(F$10:F1125,1))</f>
        <v>2</v>
      </c>
      <c r="G1126" s="228" t="str">
        <f t="shared" ca="1" si="769"/>
        <v xml:space="preserve">   GERENCIAMENTO EXECUTIVO</v>
      </c>
      <c r="H1126" s="230">
        <f t="shared" ca="1" si="770"/>
        <v>8</v>
      </c>
      <c r="I1126" s="228" t="str">
        <f t="shared" ca="1" si="771"/>
        <v xml:space="preserve">   SISTEMAS E INSTALAÇÕES HIDROSSANITÁRIAS | DRENAGEM</v>
      </c>
      <c r="J1126" s="230">
        <f t="shared" ca="1" si="772"/>
        <v>5</v>
      </c>
      <c r="K1126" s="228" t="str">
        <f t="shared" ca="1" si="773"/>
        <v xml:space="preserve">   SISTEMAS E INSTALAÇÕES HIDROSSANITÁRIAS | DRENAGEM - BARRILETE / CAIXA DÁGUA / CASA DE MÁQUINAS</v>
      </c>
      <c r="L1126" s="231">
        <f t="shared" ca="1" si="774"/>
        <v>2</v>
      </c>
      <c r="M1126" s="228" t="str">
        <f t="shared" ca="1" si="775"/>
        <v xml:space="preserve">   Instalações de Água Pluvial</v>
      </c>
      <c r="N1126" s="231">
        <f t="shared" ca="1" si="776"/>
        <v>0</v>
      </c>
      <c r="O1126" s="228" t="str">
        <f t="shared" ca="1" si="777"/>
        <v>Instalacoes de Agua Fria - Pavimento Técnico</v>
      </c>
      <c r="P1126" s="232" t="str">
        <f>IF(S1126="","",IF(Orçamento!$B1126="INSUMO",S1126,""))</f>
        <v/>
      </c>
      <c r="Q1126" s="244" t="str">
        <f t="shared" si="778"/>
        <v/>
      </c>
      <c r="R1126" s="234">
        <f t="shared" ca="1" si="779"/>
        <v>1</v>
      </c>
      <c r="S1126" s="233" t="s">
        <v>449</v>
      </c>
      <c r="T1126" s="242" t="s">
        <v>35</v>
      </c>
      <c r="U1126" s="235" t="str">
        <f>IF($B1126="insumo",R1126,"")</f>
        <v/>
      </c>
      <c r="V1126" s="320" t="s">
        <v>35</v>
      </c>
      <c r="W1126" s="236" t="str">
        <f>IFERROR(IF(B1126="INSUMO",_xlfn.XLOOKUP(S1126,Insumos!A:A,Insumos!C:C),""),"Inserir Preço")</f>
        <v/>
      </c>
      <c r="X1126" s="235" t="str">
        <f t="shared" ca="1" si="766"/>
        <v/>
      </c>
      <c r="Y1126" s="236" t="str">
        <f t="shared" si="730"/>
        <v/>
      </c>
      <c r="Z1126" s="237">
        <f t="shared" ca="1" si="752"/>
        <v>1552.7187727686842</v>
      </c>
      <c r="AA1126" s="238"/>
      <c r="AB1126" s="233" t="str">
        <f>IF(B1126="insumo",_xlfn.XLOOKUP(S1126,Insumos!A:A,Insumos!D:D),"")</f>
        <v/>
      </c>
      <c r="AC1126" s="239">
        <f t="shared" ca="1" si="753"/>
        <v>2.2275166440828456E-4</v>
      </c>
      <c r="AE1126" s="240">
        <f ca="1">IFERROR(IF(OR(Z1126="",Z1126=0),"",IF(AF1126="","",IF(AF1126="R$/mês",Z1126/OBRA!$D$12,IF(AF1126="R$/m²",Z1126/OBRA!$D$10,IF(AF1126="R$/apto",Orçamento!Z1126/OBRA!$D$11,""))))),"")</f>
        <v>0.79904014078039354</v>
      </c>
      <c r="AF1126" s="241" t="s">
        <v>154</v>
      </c>
    </row>
    <row r="1127" spans="1:32" s="10" customFormat="1" ht="13.15" hidden="1" customHeight="1" outlineLevel="4" x14ac:dyDescent="0.2">
      <c r="A1127" s="227"/>
      <c r="B1127" s="228" t="s">
        <v>4</v>
      </c>
      <c r="C1127" s="229">
        <f t="shared" si="751"/>
        <v>1</v>
      </c>
      <c r="D1127" s="227" t="str">
        <f t="shared" ca="1" si="767"/>
        <v>08.005.002.001</v>
      </c>
      <c r="E1127" s="228" t="str">
        <f t="shared" ca="1" si="768"/>
        <v>08.005.002.001</v>
      </c>
      <c r="F1127" s="230">
        <f ca="1">IF($B1127="UNIDADE CONSTRUTIVA",OFFSET(F1127,-1,0)+1,LARGE(F$10:F1126,1))</f>
        <v>2</v>
      </c>
      <c r="G1127" s="228" t="str">
        <f t="shared" ca="1" si="769"/>
        <v xml:space="preserve">   GERENCIAMENTO EXECUTIVO</v>
      </c>
      <c r="H1127" s="230">
        <f t="shared" ca="1" si="770"/>
        <v>8</v>
      </c>
      <c r="I1127" s="228" t="str">
        <f t="shared" ca="1" si="771"/>
        <v xml:space="preserve">   SISTEMAS E INSTALAÇÕES HIDROSSANITÁRIAS | DRENAGEM</v>
      </c>
      <c r="J1127" s="230">
        <f t="shared" ca="1" si="772"/>
        <v>5</v>
      </c>
      <c r="K1127" s="228" t="str">
        <f t="shared" ca="1" si="773"/>
        <v xml:space="preserve">   SISTEMAS E INSTALAÇÕES HIDROSSANITÁRIAS | DRENAGEM - BARRILETE / CAIXA DÁGUA / CASA DE MÁQUINAS</v>
      </c>
      <c r="L1127" s="231">
        <f t="shared" ca="1" si="774"/>
        <v>2</v>
      </c>
      <c r="M1127" s="228" t="str">
        <f t="shared" ca="1" si="775"/>
        <v xml:space="preserve">   Instalações de Água Pluvial</v>
      </c>
      <c r="N1127" s="231">
        <f t="shared" ca="1" si="776"/>
        <v>1</v>
      </c>
      <c r="O1127" s="228" t="str">
        <f t="shared" ca="1" si="777"/>
        <v>Instalacoes de Aguas Pluviais - Pavimento Técnico</v>
      </c>
      <c r="P1127" s="232" t="str">
        <f>IF(S1127="","",IF(Orçamento!$B1127="INSUMO",S1127,""))</f>
        <v/>
      </c>
      <c r="Q1127" s="244" t="str">
        <f t="shared" si="778"/>
        <v>Instalacoes de Aguas Pluviais - Pavimento Técnico</v>
      </c>
      <c r="R1127" s="234">
        <f t="shared" ca="1" si="779"/>
        <v>1</v>
      </c>
      <c r="S1127" s="233" t="s">
        <v>1072</v>
      </c>
      <c r="T1127" s="242" t="s">
        <v>170</v>
      </c>
      <c r="U1127" s="235">
        <v>1</v>
      </c>
      <c r="V1127" s="320" t="s">
        <v>35</v>
      </c>
      <c r="W1127" s="236" t="str">
        <f>IFERROR(IF(B1127="INSUMO",_xlfn.XLOOKUP(S1127,Insumos!A:A,Insumos!C:C),""),"Inserir Preço")</f>
        <v/>
      </c>
      <c r="X1127" s="235">
        <f t="shared" ca="1" si="766"/>
        <v>1</v>
      </c>
      <c r="Y1127" s="236">
        <f t="shared" ca="1" si="730"/>
        <v>1552.7187727686842</v>
      </c>
      <c r="Z1127" s="237">
        <f t="shared" ca="1" si="752"/>
        <v>1552.7187727686842</v>
      </c>
      <c r="AA1127" s="238"/>
      <c r="AB1127" s="233" t="str">
        <f>IF(B1127="insumo",_xlfn.XLOOKUP(S1127,Insumos!A:A,Insumos!D:D),"")</f>
        <v/>
      </c>
      <c r="AC1127" s="239">
        <f t="shared" ca="1" si="753"/>
        <v>2.2275166440828456E-4</v>
      </c>
      <c r="AE1127" s="240">
        <f ca="1">IFERROR(IF(OR(Z1127="",Z1127=0),"",IF(AF1127="","",IF(AF1127="R$/mês",Z1127/OBRA!$D$12,IF(AF1127="R$/m²",Z1127/OBRA!$D$10,IF(AF1127="R$/apto",Orçamento!Z1127/OBRA!$D$11,""))))),"")</f>
        <v>0.79904014078039354</v>
      </c>
      <c r="AF1127" s="241" t="s">
        <v>154</v>
      </c>
    </row>
    <row r="1128" spans="1:32" s="10" customFormat="1" ht="13.15" hidden="1" customHeight="1" outlineLevel="4" x14ac:dyDescent="0.2">
      <c r="A1128" s="227"/>
      <c r="B1128" s="228" t="s">
        <v>19</v>
      </c>
      <c r="C1128" s="229">
        <f t="shared" si="751"/>
        <v>1</v>
      </c>
      <c r="D1128" s="227" t="str">
        <f t="shared" ref="D1128:D1157" si="780">IF(B1128="Unidade Construtiva",TEXT(F1128,"00"),IF(B1128="Célula Construtiva",TEXT(H1128,"00"),IF(B1128="Etapa",CONCATENATE(TEXT(H1128,"00"),".",TEXT(J1128,"000")),IF(B1128="Subetapa",CONCATENATE(TEXT(H1128,"00"),".",TEXT(J1128,"000"),".",TEXT(L1128,"000")),IF(B1128="Serviço",CONCATENATE(TEXT(H1128,"00"),".",TEXT(J1128,"000"),".",TEXT(L1128,"000"),".",TEXT(N1128,"000")),"")))))</f>
        <v/>
      </c>
      <c r="E1128" s="228" t="str">
        <f t="shared" ref="E1128:E1157" ca="1" si="781">IF(B1128="*","",IFERROR(IF(B1128="SERVIÇO",D1128,OFFSET(E1128,-1,0)),""))</f>
        <v>08.005.002.001</v>
      </c>
      <c r="F1128" s="230">
        <f ca="1">IF($B1128="UNIDADE CONSTRUTIVA",OFFSET(F1128,-1,0)+1,LARGE(F$10:F1127,1))</f>
        <v>2</v>
      </c>
      <c r="G1128" s="228" t="str">
        <f t="shared" ca="1" si="769"/>
        <v xml:space="preserve">   GERENCIAMENTO EXECUTIVO</v>
      </c>
      <c r="H1128" s="230">
        <f t="shared" ref="H1128:H1157" ca="1" si="782">IF(B1128="UNIDADE CONSTRUTIVA",0,IF(B1128="CÉLULA CONSTRUTIVA",OFFSET(H1128,-1,0)+1,OFFSET(H1128,-1,0)))</f>
        <v>8</v>
      </c>
      <c r="I1128" s="228" t="str">
        <f t="shared" ca="1" si="771"/>
        <v xml:space="preserve">   SISTEMAS E INSTALAÇÕES HIDROSSANITÁRIAS | DRENAGEM</v>
      </c>
      <c r="J1128" s="230">
        <f t="shared" ref="J1128:J1157" ca="1" si="783">IF(B1128="CÉLULA CONSTRUTIVA",0,IF(B1128="ETAPA",OFFSET(J1128,-1,0)+1,OFFSET(J1128,-1,0)))</f>
        <v>5</v>
      </c>
      <c r="K1128" s="228" t="str">
        <f t="shared" ca="1" si="773"/>
        <v xml:space="preserve">   SISTEMAS E INSTALAÇÕES HIDROSSANITÁRIAS | DRENAGEM - BARRILETE / CAIXA DÁGUA / CASA DE MÁQUINAS</v>
      </c>
      <c r="L1128" s="231">
        <f t="shared" ref="L1128:L1157" ca="1" si="784">IF(B1128="ETAPA",0,IF(B1128="SUBETAPA",OFFSET(L1128,-1,0)+1,OFFSET(L1128,-1,0)))</f>
        <v>2</v>
      </c>
      <c r="M1128" s="228" t="str">
        <f t="shared" ca="1" si="775"/>
        <v xml:space="preserve">   Instalações de Água Pluvial</v>
      </c>
      <c r="N1128" s="231">
        <f t="shared" ref="N1128:N1157" ca="1" si="785">IF(B1128="Subetapa",0,IF(B1128="serviço",OFFSET(N1128,-1,0)+1,OFFSET(N1128,-1,0)))</f>
        <v>1</v>
      </c>
      <c r="O1128" s="228" t="str">
        <f t="shared" ca="1" si="777"/>
        <v>Instalacoes de Aguas Pluviais - Pavimento Técnico</v>
      </c>
      <c r="P1128" s="232" t="str">
        <f>IF(S1128="","",IF(Orçamento!$B1128="INSUMO",S1128,""))</f>
        <v>INSTALAÇÕES AGUA PLUVIAIS - PAVIMENTO TECNICO</v>
      </c>
      <c r="Q1128" s="244" t="str">
        <f t="shared" si="778"/>
        <v/>
      </c>
      <c r="R1128" s="234">
        <f t="shared" ca="1" si="779"/>
        <v>1</v>
      </c>
      <c r="S1128" s="343" t="s">
        <v>1015</v>
      </c>
      <c r="T1128" s="242" t="str">
        <f>_xlfn.XLOOKUP(S1128,Insumos!$A$3:$A$371,Insumos!$B$3:$B$371)</f>
        <v>UN</v>
      </c>
      <c r="U1128" s="235">
        <f ca="1">IF($B1128="insumo",R1128,"")</f>
        <v>1</v>
      </c>
      <c r="V1128" s="320">
        <v>1</v>
      </c>
      <c r="W1128" s="236">
        <f>IFERROR(IF(B1128="INSUMO",_xlfn.XLOOKUP(S1128,Insumos!A:A,Insumos!C:C),""),"Inserir Preço")</f>
        <v>1552.7187727686842</v>
      </c>
      <c r="X1128" s="235">
        <f t="shared" ca="1" si="766"/>
        <v>1</v>
      </c>
      <c r="Y1128" s="236">
        <f t="shared" ref="Y1128:Y1191" si="786">IF(B1128="insumo",W1128*V1128,IF(B1128="serviço",SUMIFS(Y:Y,B:B,"insumo",E:E,E1128,I:I,I1128),""))</f>
        <v>1552.7187727686842</v>
      </c>
      <c r="Z1128" s="237">
        <f t="shared" ca="1" si="752"/>
        <v>1552.7187727686842</v>
      </c>
      <c r="AA1128" s="238"/>
      <c r="AB1128" s="233" t="str">
        <f>IF(B1128="insumo",_xlfn.XLOOKUP(S1128,Insumos!A:A,Insumos!D:D),"")</f>
        <v>Estimativa</v>
      </c>
      <c r="AC1128" s="239">
        <f t="shared" ca="1" si="753"/>
        <v>2.2275166440828456E-4</v>
      </c>
      <c r="AE1128" s="240">
        <f ca="1">IFERROR(IF(OR(Z1128="",Z1128=0),"",IF(AF1128="","",IF(AF1128="R$/mês",Z1128/OBRA!$D$12,IF(AF1128="R$/m²",Z1128/OBRA!$D$10,IF(AF1128="R$/apto",Orçamento!Z1128/OBRA!$D$11,""))))),"")</f>
        <v>0.79904014078039354</v>
      </c>
      <c r="AF1128" s="241" t="s">
        <v>154</v>
      </c>
    </row>
    <row r="1129" spans="1:32" s="10" customFormat="1" ht="13.15" hidden="1" customHeight="1" outlineLevel="3" collapsed="1" x14ac:dyDescent="0.2">
      <c r="A1129" s="227"/>
      <c r="B1129" s="228" t="s">
        <v>3</v>
      </c>
      <c r="C1129" s="229" t="str">
        <f t="shared" si="751"/>
        <v/>
      </c>
      <c r="D1129" s="227" t="str">
        <f t="shared" ca="1" si="780"/>
        <v>08.005.003</v>
      </c>
      <c r="E1129" s="228" t="str">
        <f t="shared" ca="1" si="781"/>
        <v>08.005.002.001</v>
      </c>
      <c r="F1129" s="230">
        <f ca="1">IF($B1129="UNIDADE CONSTRUTIVA",OFFSET(F1129,-1,0)+1,LARGE(F$10:F1128,1))</f>
        <v>2</v>
      </c>
      <c r="G1129" s="228" t="str">
        <f t="shared" ca="1" si="769"/>
        <v xml:space="preserve">   GERENCIAMENTO EXECUTIVO</v>
      </c>
      <c r="H1129" s="230">
        <f t="shared" ca="1" si="782"/>
        <v>8</v>
      </c>
      <c r="I1129" s="228" t="str">
        <f t="shared" ca="1" si="771"/>
        <v xml:space="preserve">   SISTEMAS E INSTALAÇÕES HIDROSSANITÁRIAS | DRENAGEM</v>
      </c>
      <c r="J1129" s="230">
        <f t="shared" ca="1" si="783"/>
        <v>5</v>
      </c>
      <c r="K1129" s="228" t="str">
        <f t="shared" ca="1" si="773"/>
        <v xml:space="preserve">   SISTEMAS E INSTALAÇÕES HIDROSSANITÁRIAS | DRENAGEM - BARRILETE / CAIXA DÁGUA / CASA DE MÁQUINAS</v>
      </c>
      <c r="L1129" s="231">
        <f t="shared" ca="1" si="784"/>
        <v>3</v>
      </c>
      <c r="M1129" s="228" t="str">
        <f t="shared" ca="1" si="775"/>
        <v xml:space="preserve">   Instalações de Esgoto</v>
      </c>
      <c r="N1129" s="231">
        <f t="shared" ca="1" si="785"/>
        <v>0</v>
      </c>
      <c r="O1129" s="228" t="str">
        <f t="shared" ca="1" si="777"/>
        <v>Instalacoes de Aguas Pluviais - Pavimento Técnico</v>
      </c>
      <c r="P1129" s="232" t="str">
        <f>IF(S1129="","",IF(Orçamento!$B1129="INSUMO",S1129,""))</f>
        <v/>
      </c>
      <c r="Q1129" s="244" t="str">
        <f t="shared" si="778"/>
        <v/>
      </c>
      <c r="R1129" s="234">
        <f t="shared" ca="1" si="779"/>
        <v>1</v>
      </c>
      <c r="S1129" s="233" t="s">
        <v>450</v>
      </c>
      <c r="T1129" s="242" t="s">
        <v>35</v>
      </c>
      <c r="U1129" s="235" t="str">
        <f>IF($B1129="insumo",R1129,"")</f>
        <v/>
      </c>
      <c r="V1129" s="320" t="s">
        <v>35</v>
      </c>
      <c r="W1129" s="236" t="str">
        <f>IFERROR(IF(B1129="INSUMO",_xlfn.XLOOKUP(S1129,Insumos!A:A,Insumos!C:C),""),"Inserir Preço")</f>
        <v/>
      </c>
      <c r="X1129" s="235" t="str">
        <f t="shared" ca="1" si="766"/>
        <v/>
      </c>
      <c r="Y1129" s="236" t="str">
        <f t="shared" si="786"/>
        <v/>
      </c>
      <c r="Z1129" s="237">
        <f t="shared" ca="1" si="752"/>
        <v>2329.0781591530267</v>
      </c>
      <c r="AA1129" s="238"/>
      <c r="AB1129" s="233" t="str">
        <f>IF(B1129="insumo",_xlfn.XLOOKUP(S1129,Insumos!A:A,Insumos!D:D),"")</f>
        <v/>
      </c>
      <c r="AC1129" s="239">
        <f t="shared" ca="1" si="753"/>
        <v>3.3412749661242689E-4</v>
      </c>
      <c r="AE1129" s="240">
        <f ca="1">IFERROR(IF(OR(Z1129="",Z1129=0),"",IF(AF1129="","",IF(AF1129="R$/mês",Z1129/OBRA!$D$12,IF(AF1129="R$/m²",Z1129/OBRA!$D$10,IF(AF1129="R$/apto",Orçamento!Z1129/OBRA!$D$11,""))))),"")</f>
        <v>1.1985602111705906</v>
      </c>
      <c r="AF1129" s="241" t="s">
        <v>154</v>
      </c>
    </row>
    <row r="1130" spans="1:32" s="10" customFormat="1" ht="13.15" hidden="1" customHeight="1" outlineLevel="4" x14ac:dyDescent="0.2">
      <c r="A1130" s="227"/>
      <c r="B1130" s="228" t="s">
        <v>4</v>
      </c>
      <c r="C1130" s="229">
        <f t="shared" si="751"/>
        <v>1</v>
      </c>
      <c r="D1130" s="227" t="str">
        <f t="shared" ca="1" si="780"/>
        <v>08.005.003.001</v>
      </c>
      <c r="E1130" s="228" t="str">
        <f t="shared" ca="1" si="781"/>
        <v>08.005.003.001</v>
      </c>
      <c r="F1130" s="230">
        <f ca="1">IF($B1130="UNIDADE CONSTRUTIVA",OFFSET(F1130,-1,0)+1,LARGE(F$10:F1129,1))</f>
        <v>2</v>
      </c>
      <c r="G1130" s="228" t="str">
        <f t="shared" ca="1" si="769"/>
        <v xml:space="preserve">   GERENCIAMENTO EXECUTIVO</v>
      </c>
      <c r="H1130" s="230">
        <f t="shared" ca="1" si="782"/>
        <v>8</v>
      </c>
      <c r="I1130" s="228" t="str">
        <f t="shared" ca="1" si="771"/>
        <v xml:space="preserve">   SISTEMAS E INSTALAÇÕES HIDROSSANITÁRIAS | DRENAGEM</v>
      </c>
      <c r="J1130" s="230">
        <f t="shared" ca="1" si="783"/>
        <v>5</v>
      </c>
      <c r="K1130" s="228" t="str">
        <f t="shared" ca="1" si="773"/>
        <v xml:space="preserve">   SISTEMAS E INSTALAÇÕES HIDROSSANITÁRIAS | DRENAGEM - BARRILETE / CAIXA DÁGUA / CASA DE MÁQUINAS</v>
      </c>
      <c r="L1130" s="231">
        <f t="shared" ca="1" si="784"/>
        <v>3</v>
      </c>
      <c r="M1130" s="228" t="str">
        <f t="shared" ca="1" si="775"/>
        <v xml:space="preserve">   Instalações de Esgoto</v>
      </c>
      <c r="N1130" s="231">
        <f t="shared" ca="1" si="785"/>
        <v>1</v>
      </c>
      <c r="O1130" s="228" t="str">
        <f t="shared" ca="1" si="777"/>
        <v>Instalacoes de Esgoto - Pavimento Técnico</v>
      </c>
      <c r="P1130" s="232" t="str">
        <f>IF(S1130="","",IF(Orçamento!$B1130="INSUMO",S1130,""))</f>
        <v/>
      </c>
      <c r="Q1130" s="244" t="str">
        <f t="shared" si="778"/>
        <v>Instalacoes de Esgoto - Pavimento Técnico</v>
      </c>
      <c r="R1130" s="234">
        <f t="shared" ca="1" si="779"/>
        <v>1</v>
      </c>
      <c r="S1130" s="233" t="s">
        <v>1073</v>
      </c>
      <c r="T1130" s="242" t="s">
        <v>170</v>
      </c>
      <c r="U1130" s="235">
        <v>1</v>
      </c>
      <c r="V1130" s="320" t="s">
        <v>35</v>
      </c>
      <c r="W1130" s="236" t="str">
        <f>IFERROR(IF(B1130="INSUMO",_xlfn.XLOOKUP(S1130,Insumos!A:A,Insumos!C:C),""),"Inserir Preço")</f>
        <v/>
      </c>
      <c r="X1130" s="235">
        <f t="shared" ca="1" si="766"/>
        <v>1</v>
      </c>
      <c r="Y1130" s="236">
        <f t="shared" ca="1" si="786"/>
        <v>2329.0781591530267</v>
      </c>
      <c r="Z1130" s="237">
        <f t="shared" ca="1" si="752"/>
        <v>2329.0781591530267</v>
      </c>
      <c r="AA1130" s="238"/>
      <c r="AB1130" s="233" t="str">
        <f>IF(B1130="insumo",_xlfn.XLOOKUP(S1130,Insumos!A:A,Insumos!D:D),"")</f>
        <v/>
      </c>
      <c r="AC1130" s="239">
        <f t="shared" ca="1" si="753"/>
        <v>3.3412749661242689E-4</v>
      </c>
      <c r="AE1130" s="240">
        <f ca="1">IFERROR(IF(OR(Z1130="",Z1130=0),"",IF(AF1130="","",IF(AF1130="R$/mês",Z1130/OBRA!$D$12,IF(AF1130="R$/m²",Z1130/OBRA!$D$10,IF(AF1130="R$/apto",Orçamento!Z1130/OBRA!$D$11,""))))),"")</f>
        <v>1.1985602111705906</v>
      </c>
      <c r="AF1130" s="241" t="s">
        <v>154</v>
      </c>
    </row>
    <row r="1131" spans="1:32" s="10" customFormat="1" ht="13.15" hidden="1" customHeight="1" outlineLevel="4" x14ac:dyDescent="0.2">
      <c r="A1131" s="227"/>
      <c r="B1131" s="228" t="s">
        <v>19</v>
      </c>
      <c r="C1131" s="229">
        <f t="shared" si="751"/>
        <v>1</v>
      </c>
      <c r="D1131" s="227" t="str">
        <f t="shared" si="780"/>
        <v/>
      </c>
      <c r="E1131" s="228" t="str">
        <f t="shared" ca="1" si="781"/>
        <v>08.005.003.001</v>
      </c>
      <c r="F1131" s="230">
        <f ca="1">IF($B1131="UNIDADE CONSTRUTIVA",OFFSET(F1131,-1,0)+1,LARGE(F$10:F1130,1))</f>
        <v>2</v>
      </c>
      <c r="G1131" s="228" t="str">
        <f t="shared" ca="1" si="769"/>
        <v xml:space="preserve">   GERENCIAMENTO EXECUTIVO</v>
      </c>
      <c r="H1131" s="230">
        <f t="shared" ca="1" si="782"/>
        <v>8</v>
      </c>
      <c r="I1131" s="228" t="str">
        <f t="shared" ca="1" si="771"/>
        <v xml:space="preserve">   SISTEMAS E INSTALAÇÕES HIDROSSANITÁRIAS | DRENAGEM</v>
      </c>
      <c r="J1131" s="230">
        <f t="shared" ca="1" si="783"/>
        <v>5</v>
      </c>
      <c r="K1131" s="228" t="str">
        <f t="shared" ca="1" si="773"/>
        <v xml:space="preserve">   SISTEMAS E INSTALAÇÕES HIDROSSANITÁRIAS | DRENAGEM - BARRILETE / CAIXA DÁGUA / CASA DE MÁQUINAS</v>
      </c>
      <c r="L1131" s="231">
        <f t="shared" ca="1" si="784"/>
        <v>3</v>
      </c>
      <c r="M1131" s="228" t="str">
        <f t="shared" ca="1" si="775"/>
        <v xml:space="preserve">   Instalações de Esgoto</v>
      </c>
      <c r="N1131" s="231">
        <f t="shared" ca="1" si="785"/>
        <v>1</v>
      </c>
      <c r="O1131" s="228" t="str">
        <f t="shared" ca="1" si="777"/>
        <v>Instalacoes de Esgoto - Pavimento Técnico</v>
      </c>
      <c r="P1131" s="232" t="str">
        <f>IF(S1131="","",IF(Orçamento!$B1131="INSUMO",S1131,""))</f>
        <v>INSTALAÇÕES ESGOTO - PAVIMENTO TECNICO</v>
      </c>
      <c r="Q1131" s="244" t="str">
        <f t="shared" si="778"/>
        <v/>
      </c>
      <c r="R1131" s="234">
        <f t="shared" ca="1" si="779"/>
        <v>1</v>
      </c>
      <c r="S1131" s="343" t="s">
        <v>1020</v>
      </c>
      <c r="T1131" s="242" t="str">
        <f>_xlfn.XLOOKUP(S1131,Insumos!$A$3:$A$371,Insumos!$B$3:$B$371)</f>
        <v>UN</v>
      </c>
      <c r="U1131" s="235">
        <f ca="1">IF($B1131="insumo",R1131,"")</f>
        <v>1</v>
      </c>
      <c r="V1131" s="320">
        <v>1</v>
      </c>
      <c r="W1131" s="236">
        <f>IFERROR(IF(B1131="INSUMO",_xlfn.XLOOKUP(S1131,Insumos!A:A,Insumos!C:C),""),"Inserir Preço")</f>
        <v>2329.0781591530267</v>
      </c>
      <c r="X1131" s="235">
        <f t="shared" ca="1" si="766"/>
        <v>1</v>
      </c>
      <c r="Y1131" s="236">
        <f t="shared" si="786"/>
        <v>2329.0781591530267</v>
      </c>
      <c r="Z1131" s="237">
        <f t="shared" ca="1" si="752"/>
        <v>2329.0781591530267</v>
      </c>
      <c r="AA1131" s="238"/>
      <c r="AB1131" s="233" t="str">
        <f>IF(B1131="insumo",_xlfn.XLOOKUP(S1131,Insumos!A:A,Insumos!D:D),"")</f>
        <v>Estimativa</v>
      </c>
      <c r="AC1131" s="239">
        <f t="shared" ca="1" si="753"/>
        <v>3.3412749661242689E-4</v>
      </c>
      <c r="AE1131" s="240">
        <f ca="1">IFERROR(IF(OR(Z1131="",Z1131=0),"",IF(AF1131="","",IF(AF1131="R$/mês",Z1131/OBRA!$D$12,IF(AF1131="R$/m²",Z1131/OBRA!$D$10,IF(AF1131="R$/apto",Orçamento!Z1131/OBRA!$D$11,""))))),"")</f>
        <v>1.1985602111705906</v>
      </c>
      <c r="AF1131" s="241" t="s">
        <v>154</v>
      </c>
    </row>
    <row r="1132" spans="1:32" s="10" customFormat="1" ht="13.15" hidden="1" customHeight="1" outlineLevel="3" collapsed="1" x14ac:dyDescent="0.2">
      <c r="A1132" s="227"/>
      <c r="B1132" s="228" t="s">
        <v>3</v>
      </c>
      <c r="C1132" s="229" t="str">
        <f t="shared" si="751"/>
        <v/>
      </c>
      <c r="D1132" s="227" t="str">
        <f t="shared" ca="1" si="780"/>
        <v>08.005.004</v>
      </c>
      <c r="E1132" s="228" t="str">
        <f t="shared" ca="1" si="781"/>
        <v>08.005.003.001</v>
      </c>
      <c r="F1132" s="230">
        <f ca="1">IF($B1132="UNIDADE CONSTRUTIVA",OFFSET(F1132,-1,0)+1,LARGE(F$10:F1131,1))</f>
        <v>2</v>
      </c>
      <c r="G1132" s="228" t="str">
        <f t="shared" ca="1" si="769"/>
        <v xml:space="preserve">   GERENCIAMENTO EXECUTIVO</v>
      </c>
      <c r="H1132" s="230">
        <f t="shared" ca="1" si="782"/>
        <v>8</v>
      </c>
      <c r="I1132" s="228" t="str">
        <f t="shared" ca="1" si="771"/>
        <v xml:space="preserve">   SISTEMAS E INSTALAÇÕES HIDROSSANITÁRIAS | DRENAGEM</v>
      </c>
      <c r="J1132" s="230">
        <f t="shared" ca="1" si="783"/>
        <v>5</v>
      </c>
      <c r="K1132" s="228" t="str">
        <f t="shared" ca="1" si="773"/>
        <v xml:space="preserve">   SISTEMAS E INSTALAÇÕES HIDROSSANITÁRIAS | DRENAGEM - BARRILETE / CAIXA DÁGUA / CASA DE MÁQUINAS</v>
      </c>
      <c r="L1132" s="231">
        <f t="shared" ca="1" si="784"/>
        <v>4</v>
      </c>
      <c r="M1132" s="228" t="str">
        <f t="shared" ca="1" si="775"/>
        <v xml:space="preserve">   Mão de Obra</v>
      </c>
      <c r="N1132" s="231">
        <f t="shared" ca="1" si="785"/>
        <v>0</v>
      </c>
      <c r="O1132" s="228" t="str">
        <f t="shared" ca="1" si="777"/>
        <v>Instalacoes de Esgoto - Pavimento Técnico</v>
      </c>
      <c r="P1132" s="232" t="str">
        <f>IF(S1132="","",IF(Orçamento!$B1132="INSUMO",S1132,""))</f>
        <v/>
      </c>
      <c r="Q1132" s="244" t="str">
        <f t="shared" si="778"/>
        <v/>
      </c>
      <c r="R1132" s="234">
        <f t="shared" ca="1" si="779"/>
        <v>1</v>
      </c>
      <c r="S1132" s="233" t="s">
        <v>438</v>
      </c>
      <c r="T1132" s="242" t="s">
        <v>35</v>
      </c>
      <c r="U1132" s="235" t="str">
        <f>IF($B1132="insumo",R1132,"")</f>
        <v/>
      </c>
      <c r="V1132" s="320" t="s">
        <v>35</v>
      </c>
      <c r="W1132" s="236" t="str">
        <f>IFERROR(IF(B1132="INSUMO",_xlfn.XLOOKUP(S1132,Insumos!A:A,Insumos!C:C),""),"Inserir Preço")</f>
        <v/>
      </c>
      <c r="X1132" s="235" t="str">
        <f t="shared" ca="1" si="766"/>
        <v/>
      </c>
      <c r="Y1132" s="236" t="str">
        <f t="shared" si="786"/>
        <v/>
      </c>
      <c r="Z1132" s="237">
        <f t="shared" ca="1" si="752"/>
        <v>7075.5004466103846</v>
      </c>
      <c r="AA1132" s="238"/>
      <c r="AB1132" s="233" t="str">
        <f>IF(B1132="insumo",_xlfn.XLOOKUP(S1132,Insumos!A:A,Insumos!D:D),"")</f>
        <v/>
      </c>
      <c r="AC1132" s="239">
        <f t="shared" ca="1" si="753"/>
        <v>1.0150450478509283E-3</v>
      </c>
      <c r="AE1132" s="240">
        <f ca="1">IFERROR(IF(OR(Z1132="",Z1132=0),"",IF(AF1132="","",IF(AF1132="R$/mês",Z1132/OBRA!$D$12,IF(AF1132="R$/m²",Z1132/OBRA!$D$10,IF(AF1132="R$/apto",Orçamento!Z1132/OBRA!$D$11,""))))),"")</f>
        <v>3.6411029299724604</v>
      </c>
      <c r="AF1132" s="241" t="s">
        <v>154</v>
      </c>
    </row>
    <row r="1133" spans="1:32" s="10" customFormat="1" ht="13.15" hidden="1" customHeight="1" outlineLevel="4" x14ac:dyDescent="0.2">
      <c r="A1133" s="227"/>
      <c r="B1133" s="228" t="s">
        <v>4</v>
      </c>
      <c r="C1133" s="229">
        <f t="shared" si="751"/>
        <v>5</v>
      </c>
      <c r="D1133" s="227" t="str">
        <f t="shared" ca="1" si="780"/>
        <v>08.005.004.001</v>
      </c>
      <c r="E1133" s="228" t="str">
        <f t="shared" ca="1" si="781"/>
        <v>08.005.004.001</v>
      </c>
      <c r="F1133" s="230">
        <f ca="1">IF($B1133="UNIDADE CONSTRUTIVA",OFFSET(F1133,-1,0)+1,LARGE(F$10:F1132,1))</f>
        <v>2</v>
      </c>
      <c r="G1133" s="228" t="str">
        <f t="shared" ca="1" si="769"/>
        <v xml:space="preserve">   GERENCIAMENTO EXECUTIVO</v>
      </c>
      <c r="H1133" s="230">
        <f t="shared" ca="1" si="782"/>
        <v>8</v>
      </c>
      <c r="I1133" s="228" t="str">
        <f t="shared" ca="1" si="771"/>
        <v xml:space="preserve">   SISTEMAS E INSTALAÇÕES HIDROSSANITÁRIAS | DRENAGEM</v>
      </c>
      <c r="J1133" s="230">
        <f t="shared" ca="1" si="783"/>
        <v>5</v>
      </c>
      <c r="K1133" s="228" t="str">
        <f t="shared" ca="1" si="773"/>
        <v xml:space="preserve">   SISTEMAS E INSTALAÇÕES HIDROSSANITÁRIAS | DRENAGEM - BARRILETE / CAIXA DÁGUA / CASA DE MÁQUINAS</v>
      </c>
      <c r="L1133" s="231">
        <f t="shared" ca="1" si="784"/>
        <v>4</v>
      </c>
      <c r="M1133" s="228" t="str">
        <f t="shared" ca="1" si="775"/>
        <v xml:space="preserve">   Mão de Obra</v>
      </c>
      <c r="N1133" s="231">
        <f t="shared" ca="1" si="785"/>
        <v>1</v>
      </c>
      <c r="O1133" s="228" t="str">
        <f t="shared" ca="1" si="777"/>
        <v>Mao de obra de instalacoes hidrossanitárias</v>
      </c>
      <c r="P1133" s="232" t="str">
        <f>IF(S1133="","",IF(Orçamento!$B1133="INSUMO",S1133,""))</f>
        <v/>
      </c>
      <c r="Q1133" s="244" t="str">
        <f t="shared" si="778"/>
        <v>Mao de obra de instalacoes hidrossanitárias</v>
      </c>
      <c r="R1133" s="234">
        <f t="shared" ca="1" si="779"/>
        <v>192.34485000000001</v>
      </c>
      <c r="S1133" s="233" t="s">
        <v>831</v>
      </c>
      <c r="T1133" s="242" t="s">
        <v>140</v>
      </c>
      <c r="U1133" s="235">
        <f ca="1">'Custos Serviços'!B29</f>
        <v>192.34485000000001</v>
      </c>
      <c r="V1133" s="320" t="s">
        <v>35</v>
      </c>
      <c r="W1133" s="236" t="str">
        <f>IFERROR(IF(B1133="INSUMO",_xlfn.XLOOKUP(S1133,Insumos!A:A,Insumos!C:C),""),"Inserir Preço")</f>
        <v/>
      </c>
      <c r="X1133" s="235">
        <f t="shared" ca="1" si="766"/>
        <v>192.34485000000001</v>
      </c>
      <c r="Y1133" s="236">
        <f t="shared" ca="1" si="786"/>
        <v>36.785494629101763</v>
      </c>
      <c r="Z1133" s="237">
        <f t="shared" ca="1" si="752"/>
        <v>7075.5004466103846</v>
      </c>
      <c r="AA1133" s="238"/>
      <c r="AB1133" s="233" t="str">
        <f>IF(B1133="insumo",_xlfn.XLOOKUP(S1133,Insumos!A:A,Insumos!D:D),"")</f>
        <v/>
      </c>
      <c r="AC1133" s="239">
        <f t="shared" ca="1" si="753"/>
        <v>1.0150450478509283E-3</v>
      </c>
      <c r="AE1133" s="240">
        <f ca="1">IFERROR(IF(OR(Z1133="",Z1133=0),"",IF(AF1133="","",IF(AF1133="R$/mês",Z1133/OBRA!$D$12,IF(AF1133="R$/m²",Z1133/OBRA!$D$10,IF(AF1133="R$/apto",Orçamento!Z1133/OBRA!$D$11,""))))),"")</f>
        <v>3.6411029299724604</v>
      </c>
      <c r="AF1133" s="241" t="s">
        <v>154</v>
      </c>
    </row>
    <row r="1134" spans="1:32" s="10" customFormat="1" ht="13.15" hidden="1" customHeight="1" outlineLevel="4" x14ac:dyDescent="0.2">
      <c r="A1134" s="227"/>
      <c r="B1134" s="228" t="s">
        <v>19</v>
      </c>
      <c r="C1134" s="229">
        <f t="shared" si="751"/>
        <v>5</v>
      </c>
      <c r="D1134" s="227" t="str">
        <f t="shared" si="780"/>
        <v/>
      </c>
      <c r="E1134" s="228" t="str">
        <f t="shared" ca="1" si="781"/>
        <v>08.005.004.001</v>
      </c>
      <c r="F1134" s="230">
        <f ca="1">IF($B1134="UNIDADE CONSTRUTIVA",OFFSET(F1134,-1,0)+1,LARGE(F$10:F1133,1))</f>
        <v>2</v>
      </c>
      <c r="G1134" s="228" t="str">
        <f t="shared" ca="1" si="769"/>
        <v xml:space="preserve">   GERENCIAMENTO EXECUTIVO</v>
      </c>
      <c r="H1134" s="230">
        <f t="shared" ca="1" si="782"/>
        <v>8</v>
      </c>
      <c r="I1134" s="228" t="str">
        <f t="shared" ca="1" si="771"/>
        <v xml:space="preserve">   SISTEMAS E INSTALAÇÕES HIDROSSANITÁRIAS | DRENAGEM</v>
      </c>
      <c r="J1134" s="230">
        <f t="shared" ca="1" si="783"/>
        <v>5</v>
      </c>
      <c r="K1134" s="228" t="str">
        <f t="shared" ca="1" si="773"/>
        <v xml:space="preserve">   SISTEMAS E INSTALAÇÕES HIDROSSANITÁRIAS | DRENAGEM - BARRILETE / CAIXA DÁGUA / CASA DE MÁQUINAS</v>
      </c>
      <c r="L1134" s="231">
        <f t="shared" ca="1" si="784"/>
        <v>4</v>
      </c>
      <c r="M1134" s="228" t="str">
        <f t="shared" ca="1" si="775"/>
        <v xml:space="preserve">   Mão de Obra</v>
      </c>
      <c r="N1134" s="231">
        <f t="shared" ca="1" si="785"/>
        <v>1</v>
      </c>
      <c r="O1134" s="228" t="str">
        <f t="shared" ca="1" si="777"/>
        <v>Mao de obra de instalacoes hidrossanitárias</v>
      </c>
      <c r="P1134" s="232" t="str">
        <f>IF(S1134="","",IF(Orçamento!$B1134="INSUMO",S1134,""))</f>
        <v>Mão de Obra para Instalação Hidrossanitárias</v>
      </c>
      <c r="Q1134" s="244" t="str">
        <f t="shared" si="778"/>
        <v/>
      </c>
      <c r="R1134" s="234">
        <f t="shared" ca="1" si="779"/>
        <v>192.34485000000001</v>
      </c>
      <c r="S1134" s="233" t="s">
        <v>832</v>
      </c>
      <c r="T1134" s="242" t="str">
        <f>_xlfn.XLOOKUP(S1134,Insumos!$A$3:$A$371,Insumos!$B$3:$B$371)</f>
        <v>VB</v>
      </c>
      <c r="U1134" s="235">
        <f ca="1">IF($B1134="insumo",R1134,"")</f>
        <v>192.34485000000001</v>
      </c>
      <c r="V1134" s="320">
        <v>1</v>
      </c>
      <c r="W1134" s="236">
        <f ca="1">IFERROR(IF(B1134="INSUMO",_xlfn.XLOOKUP(S1134,Insumos!A:A,Insumos!C:C),""),"Inserir Preço")</f>
        <v>36.785494629101763</v>
      </c>
      <c r="X1134" s="235">
        <f t="shared" ca="1" si="766"/>
        <v>192.34485000000001</v>
      </c>
      <c r="Y1134" s="236">
        <f t="shared" ca="1" si="786"/>
        <v>36.785494629101763</v>
      </c>
      <c r="Z1134" s="237">
        <f t="shared" ca="1" si="752"/>
        <v>7075.5004466103846</v>
      </c>
      <c r="AA1134" s="238"/>
      <c r="AB1134" s="233" t="str">
        <f>IF(B1134="insumo",_xlfn.XLOOKUP(S1134,Insumos!A:A,Insumos!D:D),"")</f>
        <v>Aba Custo Serviços</v>
      </c>
      <c r="AC1134" s="239">
        <f t="shared" ca="1" si="753"/>
        <v>1.0150450478509283E-3</v>
      </c>
      <c r="AE1134" s="240">
        <f ca="1">IFERROR(IF(OR(Z1134="",Z1134=0),"",IF(AF1134="","",IF(AF1134="R$/mês",Z1134/OBRA!$D$12,IF(AF1134="R$/m²",Z1134/OBRA!$D$10,IF(AF1134="R$/apto",Orçamento!Z1134/OBRA!$D$11,""))))),"")</f>
        <v>3.6411029299724604</v>
      </c>
      <c r="AF1134" s="241" t="s">
        <v>154</v>
      </c>
    </row>
    <row r="1135" spans="1:32" s="10" customFormat="1" ht="13.15" customHeight="1" outlineLevel="1" x14ac:dyDescent="0.2">
      <c r="A1135" s="227"/>
      <c r="B1135" s="228" t="s">
        <v>1</v>
      </c>
      <c r="C1135" s="229" t="str">
        <f t="shared" si="751"/>
        <v/>
      </c>
      <c r="D1135" s="227" t="str">
        <f t="shared" ca="1" si="780"/>
        <v>09</v>
      </c>
      <c r="E1135" s="228" t="str">
        <f ca="1">IF(B1135="*","",IFERROR(IF(B1135="SERVIÇO",D1135,OFFSET(E1135,-1,0)),""))</f>
        <v>08.005.004.001</v>
      </c>
      <c r="F1135" s="230">
        <f ca="1">IF($B1135="UNIDADE CONSTRUTIVA",OFFSET(F1135,-1,0)+1,LARGE(F$10:F1134,1))</f>
        <v>2</v>
      </c>
      <c r="G1135" s="228" t="str">
        <f t="shared" ca="1" si="769"/>
        <v xml:space="preserve">   GERENCIAMENTO EXECUTIVO</v>
      </c>
      <c r="H1135" s="230">
        <f ca="1">IF(B1135="UNIDADE CONSTRUTIVA",0,IF(B1135="CÉLULA CONSTRUTIVA",OFFSET(H1135,-1,0)+1,OFFSET(H1135,-1,0)))</f>
        <v>9</v>
      </c>
      <c r="I1135" s="228" t="str">
        <f t="shared" ca="1" si="771"/>
        <v xml:space="preserve">   INSTALAÇÕES PREVENTIVAS</v>
      </c>
      <c r="J1135" s="230">
        <f ca="1">IF(B1135="CÉLULA CONSTRUTIVA",0,IF(B1135="ETAPA",OFFSET(J1135,-1,0)+1,OFFSET(J1135,-1,0)))</f>
        <v>0</v>
      </c>
      <c r="K1135" s="228" t="str">
        <f t="shared" ca="1" si="773"/>
        <v xml:space="preserve">   SISTEMAS E INSTALAÇÕES HIDROSSANITÁRIAS | DRENAGEM - BARRILETE / CAIXA DÁGUA / CASA DE MÁQUINAS</v>
      </c>
      <c r="L1135" s="231">
        <f ca="1">IF(B1135="ETAPA",0,IF(B1135="SUBETAPA",OFFSET(L1135,-1,0)+1,OFFSET(L1135,-1,0)))</f>
        <v>4</v>
      </c>
      <c r="M1135" s="228" t="str">
        <f t="shared" ca="1" si="775"/>
        <v xml:space="preserve">   Mão de Obra</v>
      </c>
      <c r="N1135" s="231">
        <f ca="1">IF(B1135="Subetapa",0,IF(B1135="serviço",OFFSET(N1135,-1,0)+1,OFFSET(N1135,-1,0)))</f>
        <v>1</v>
      </c>
      <c r="O1135" s="228" t="str">
        <f t="shared" ca="1" si="777"/>
        <v>Mao de obra de instalacoes hidrossanitárias</v>
      </c>
      <c r="P1135" s="232" t="str">
        <f>IF(S1135="","",IF(Orçamento!$B1135="INSUMO",S1135,""))</f>
        <v/>
      </c>
      <c r="Q1135" s="244" t="str">
        <f t="shared" si="778"/>
        <v/>
      </c>
      <c r="R1135" s="234">
        <f t="shared" ca="1" si="779"/>
        <v>192.34485000000001</v>
      </c>
      <c r="S1135" s="233" t="s">
        <v>1104</v>
      </c>
      <c r="T1135" s="242" t="s">
        <v>35</v>
      </c>
      <c r="U1135" s="235" t="str">
        <f>IF($B1135="insumo",R1135,"")</f>
        <v/>
      </c>
      <c r="V1135" s="320" t="s">
        <v>35</v>
      </c>
      <c r="W1135" s="236" t="str">
        <f>IFERROR(IF(B1135="INSUMO",_xlfn.XLOOKUP(S1135,Insumos!A:A,Insumos!C:C),""),"Inserir Preço")</f>
        <v/>
      </c>
      <c r="X1135" s="235" t="str">
        <f ca="1">IF(B1135="Complemento do insumo",V1135,IF(R1135="","",IF(B1135="serviço",R1135,IF(OR(B1135="insumo"),V1135*R1135,""))))</f>
        <v/>
      </c>
      <c r="Y1135" s="236" t="str">
        <f t="shared" si="786"/>
        <v/>
      </c>
      <c r="Z1135" s="237">
        <f t="shared" ca="1" si="752"/>
        <v>38864.6</v>
      </c>
      <c r="AA1135" s="238"/>
      <c r="AB1135" s="233" t="str">
        <f>IF(B1135="insumo",_xlfn.XLOOKUP(S1135,Insumos!A:A,Insumos!D:D),"")</f>
        <v/>
      </c>
      <c r="AC1135" s="239">
        <f t="shared" ca="1" si="753"/>
        <v>5.5754812065068734E-3</v>
      </c>
      <c r="AE1135" s="240">
        <f ca="1">IFERROR(IF(OR(Z1135="",Z1135=0),"",IF(AF1135="","",IF(AF1135="R$/mês",Z1135/OBRA!$D$12,IF(AF1135="R$/m²",Z1135/OBRA!$D$10,IF(AF1135="R$/apto",Orçamento!Z1135/OBRA!$D$11,""))))),"")</f>
        <v>20</v>
      </c>
      <c r="AF1135" s="241" t="s">
        <v>154</v>
      </c>
    </row>
    <row r="1136" spans="1:32" s="10" customFormat="1" ht="13.15" customHeight="1" outlineLevel="2" collapsed="1" x14ac:dyDescent="0.2">
      <c r="A1136" s="227"/>
      <c r="B1136" s="228" t="s">
        <v>2</v>
      </c>
      <c r="C1136" s="229" t="str">
        <f t="shared" si="751"/>
        <v/>
      </c>
      <c r="D1136" s="227" t="str">
        <f t="shared" ca="1" si="780"/>
        <v>09.001</v>
      </c>
      <c r="E1136" s="228" t="str">
        <f t="shared" ca="1" si="781"/>
        <v>08.005.004.001</v>
      </c>
      <c r="F1136" s="230">
        <f ca="1">IF($B1136="UNIDADE CONSTRUTIVA",OFFSET(F1136,-1,0)+1,LARGE(F$10:F1135,1))</f>
        <v>2</v>
      </c>
      <c r="G1136" s="228" t="str">
        <f t="shared" ca="1" si="769"/>
        <v xml:space="preserve">   GERENCIAMENTO EXECUTIVO</v>
      </c>
      <c r="H1136" s="230">
        <f t="shared" ca="1" si="782"/>
        <v>9</v>
      </c>
      <c r="I1136" s="228" t="str">
        <f t="shared" ca="1" si="771"/>
        <v xml:space="preserve">   INSTALAÇÕES PREVENTIVAS</v>
      </c>
      <c r="J1136" s="230">
        <f t="shared" ca="1" si="783"/>
        <v>1</v>
      </c>
      <c r="K1136" s="228" t="str">
        <f t="shared" ca="1" si="773"/>
        <v xml:space="preserve">   INSTALAÇÕES PREVENTIVAS | GLP - 1º PAVIMENTO - SUBSOLO</v>
      </c>
      <c r="L1136" s="231">
        <f t="shared" ca="1" si="784"/>
        <v>0</v>
      </c>
      <c r="M1136" s="228" t="str">
        <f t="shared" ca="1" si="775"/>
        <v xml:space="preserve">   Mão de Obra</v>
      </c>
      <c r="N1136" s="231">
        <f t="shared" ca="1" si="785"/>
        <v>1</v>
      </c>
      <c r="O1136" s="228" t="str">
        <f t="shared" ca="1" si="777"/>
        <v>Mao de obra de instalacoes hidrossanitárias</v>
      </c>
      <c r="P1136" s="232" t="str">
        <f>IF(S1136="","",IF(Orçamento!$B1136="INSUMO",S1136,""))</f>
        <v/>
      </c>
      <c r="Q1136" s="244" t="str">
        <f t="shared" si="778"/>
        <v/>
      </c>
      <c r="R1136" s="234">
        <f t="shared" ca="1" si="779"/>
        <v>192.34485000000001</v>
      </c>
      <c r="S1136" s="233" t="s">
        <v>680</v>
      </c>
      <c r="T1136" s="242" t="s">
        <v>35</v>
      </c>
      <c r="U1136" s="235" t="str">
        <f>IF($B1136="insumo",R1136,"")</f>
        <v/>
      </c>
      <c r="V1136" s="320" t="s">
        <v>35</v>
      </c>
      <c r="W1136" s="236" t="str">
        <f>IFERROR(IF(B1136="INSUMO",_xlfn.XLOOKUP(S1136,Insumos!A:A,Insumos!C:C),""),"Inserir Preço")</f>
        <v/>
      </c>
      <c r="X1136" s="235" t="str">
        <f ca="1">IF(B1136="Complemento do insumo",V1136,IF(R1136="","",IF(B1136="serviço",R1136,IF(OR(B1136="insumo"),V1136*R1136,""))))</f>
        <v/>
      </c>
      <c r="Y1136" s="236" t="str">
        <f t="shared" si="786"/>
        <v/>
      </c>
      <c r="Z1136" s="237">
        <f t="shared" ca="1" si="752"/>
        <v>5849.041567440685</v>
      </c>
      <c r="AA1136" s="238"/>
      <c r="AB1136" s="233" t="str">
        <f>IF(B1136="insumo",_xlfn.XLOOKUP(S1136,Insumos!A:A,Insumos!D:D),"")</f>
        <v/>
      </c>
      <c r="AC1136" s="239">
        <f t="shared" ca="1" si="753"/>
        <v>8.3909833975759547E-4</v>
      </c>
      <c r="AE1136" s="240">
        <f ca="1">IFERROR(IF(OR(Z1136="",Z1136=0),"",IF(AF1136="","",IF(AF1136="R$/mês",Z1136/OBRA!$D$12,IF(AF1136="R$/m²",Z1136/OBRA!$D$10,IF(AF1136="R$/apto",Orçamento!Z1136/OBRA!$D$11,""))))),"")</f>
        <v>3.0099584544499027</v>
      </c>
      <c r="AF1136" s="241" t="s">
        <v>154</v>
      </c>
    </row>
    <row r="1137" spans="1:32" s="10" customFormat="1" ht="13.15" hidden="1" customHeight="1" outlineLevel="3" collapsed="1" x14ac:dyDescent="0.2">
      <c r="A1137" s="227"/>
      <c r="B1137" s="228" t="s">
        <v>3</v>
      </c>
      <c r="C1137" s="229" t="str">
        <f t="shared" si="751"/>
        <v/>
      </c>
      <c r="D1137" s="227" t="str">
        <f t="shared" ca="1" si="780"/>
        <v>09.001.001</v>
      </c>
      <c r="E1137" s="228" t="str">
        <f t="shared" ca="1" si="781"/>
        <v>08.005.004.001</v>
      </c>
      <c r="F1137" s="230">
        <f ca="1">IF($B1137="UNIDADE CONSTRUTIVA",OFFSET(F1137,-1,0)+1,LARGE(F$10:F1136,1))</f>
        <v>2</v>
      </c>
      <c r="G1137" s="228" t="str">
        <f t="shared" ca="1" si="769"/>
        <v xml:space="preserve">   GERENCIAMENTO EXECUTIVO</v>
      </c>
      <c r="H1137" s="230">
        <f t="shared" ca="1" si="782"/>
        <v>9</v>
      </c>
      <c r="I1137" s="228" t="str">
        <f t="shared" ca="1" si="771"/>
        <v xml:space="preserve">   INSTALAÇÕES PREVENTIVAS</v>
      </c>
      <c r="J1137" s="230">
        <f t="shared" ca="1" si="783"/>
        <v>1</v>
      </c>
      <c r="K1137" s="228" t="str">
        <f t="shared" ca="1" si="773"/>
        <v xml:space="preserve">   INSTALAÇÕES PREVENTIVAS | GLP - 1º PAVIMENTO - SUBSOLO</v>
      </c>
      <c r="L1137" s="231">
        <f t="shared" ca="1" si="784"/>
        <v>1</v>
      </c>
      <c r="M1137" s="228" t="str">
        <f t="shared" ca="1" si="775"/>
        <v xml:space="preserve">   Instalações Preventivas</v>
      </c>
      <c r="N1137" s="231">
        <f t="shared" ca="1" si="785"/>
        <v>0</v>
      </c>
      <c r="O1137" s="228" t="str">
        <f t="shared" ca="1" si="777"/>
        <v>Mao de obra de instalacoes hidrossanitárias</v>
      </c>
      <c r="P1137" s="232" t="str">
        <f>IF(S1137="","",IF(Orçamento!$B1137="INSUMO",S1137,""))</f>
        <v/>
      </c>
      <c r="Q1137" s="244" t="str">
        <f t="shared" si="778"/>
        <v/>
      </c>
      <c r="R1137" s="234">
        <f t="shared" ca="1" si="779"/>
        <v>192.34485000000001</v>
      </c>
      <c r="S1137" s="233" t="s">
        <v>453</v>
      </c>
      <c r="T1137" s="242" t="s">
        <v>35</v>
      </c>
      <c r="U1137" s="235" t="str">
        <f>IF($B1137="insumo",R1137,"")</f>
        <v/>
      </c>
      <c r="V1137" s="320" t="s">
        <v>35</v>
      </c>
      <c r="W1137" s="236" t="str">
        <f>IFERROR(IF(B1137="INSUMO",_xlfn.XLOOKUP(S1137,Insumos!A:A,Insumos!C:C),""),"Inserir Preço")</f>
        <v/>
      </c>
      <c r="X1137" s="235" t="str">
        <f t="shared" ca="1" si="766"/>
        <v/>
      </c>
      <c r="Y1137" s="236" t="str">
        <f t="shared" si="786"/>
        <v/>
      </c>
      <c r="Z1137" s="237">
        <f t="shared" ca="1" si="752"/>
        <v>5849.041567440685</v>
      </c>
      <c r="AA1137" s="238"/>
      <c r="AB1137" s="233" t="str">
        <f>IF(B1137="insumo",_xlfn.XLOOKUP(S1137,Insumos!A:A,Insumos!D:D),"")</f>
        <v/>
      </c>
      <c r="AC1137" s="239">
        <f t="shared" ca="1" si="753"/>
        <v>8.3909833975759547E-4</v>
      </c>
      <c r="AE1137" s="240">
        <f ca="1">IFERROR(IF(OR(Z1137="",Z1137=0),"",IF(AF1137="","",IF(AF1137="R$/mês",Z1137/OBRA!$D$12,IF(AF1137="R$/m²",Z1137/OBRA!$D$10,IF(AF1137="R$/apto",Orçamento!Z1137/OBRA!$D$11,""))))),"")</f>
        <v>3.0099584544499027</v>
      </c>
      <c r="AF1137" s="241" t="s">
        <v>154</v>
      </c>
    </row>
    <row r="1138" spans="1:32" s="10" customFormat="1" ht="13.15" hidden="1" customHeight="1" outlineLevel="4" x14ac:dyDescent="0.2">
      <c r="A1138" s="227"/>
      <c r="B1138" s="228" t="s">
        <v>4</v>
      </c>
      <c r="C1138" s="229">
        <f t="shared" si="751"/>
        <v>1</v>
      </c>
      <c r="D1138" s="227" t="str">
        <f t="shared" ca="1" si="780"/>
        <v>09.001.001.001</v>
      </c>
      <c r="E1138" s="228" t="str">
        <f t="shared" ca="1" si="781"/>
        <v>09.001.001.001</v>
      </c>
      <c r="F1138" s="230">
        <f ca="1">IF($B1138="UNIDADE CONSTRUTIVA",OFFSET(F1138,-1,0)+1,LARGE(F$10:F1137,1))</f>
        <v>2</v>
      </c>
      <c r="G1138" s="228" t="str">
        <f t="shared" ca="1" si="769"/>
        <v xml:space="preserve">   GERENCIAMENTO EXECUTIVO</v>
      </c>
      <c r="H1138" s="230">
        <f t="shared" ca="1" si="782"/>
        <v>9</v>
      </c>
      <c r="I1138" s="228" t="str">
        <f t="shared" ca="1" si="771"/>
        <v xml:space="preserve">   INSTALAÇÕES PREVENTIVAS</v>
      </c>
      <c r="J1138" s="230">
        <f t="shared" ca="1" si="783"/>
        <v>1</v>
      </c>
      <c r="K1138" s="228" t="str">
        <f t="shared" ca="1" si="773"/>
        <v xml:space="preserve">   INSTALAÇÕES PREVENTIVAS | GLP - 1º PAVIMENTO - SUBSOLO</v>
      </c>
      <c r="L1138" s="231">
        <f t="shared" ca="1" si="784"/>
        <v>1</v>
      </c>
      <c r="M1138" s="228" t="str">
        <f t="shared" ca="1" si="775"/>
        <v xml:space="preserve">   Instalações Preventivas</v>
      </c>
      <c r="N1138" s="231">
        <f t="shared" ca="1" si="785"/>
        <v>1</v>
      </c>
      <c r="O1138" s="228" t="str">
        <f t="shared" ca="1" si="777"/>
        <v>Instalacos do Sistema Preventivo de Incendio - Sub Solo</v>
      </c>
      <c r="P1138" s="232" t="str">
        <f>IF(S1138="","",IF(Orçamento!$B1138="INSUMO",S1138,""))</f>
        <v/>
      </c>
      <c r="Q1138" s="244" t="str">
        <f t="shared" si="778"/>
        <v>Instalacos do Sistema Preventivo de Incendio - Sub Solo</v>
      </c>
      <c r="R1138" s="234">
        <f t="shared" ca="1" si="779"/>
        <v>1</v>
      </c>
      <c r="S1138" s="233" t="s">
        <v>1083</v>
      </c>
      <c r="T1138" s="242" t="s">
        <v>170</v>
      </c>
      <c r="U1138" s="235">
        <v>1</v>
      </c>
      <c r="V1138" s="320" t="s">
        <v>35</v>
      </c>
      <c r="W1138" s="236" t="str">
        <f>IFERROR(IF(B1138="INSUMO",_xlfn.XLOOKUP(S1138,Insumos!A:A,Insumos!C:C),""),"Inserir Preço")</f>
        <v/>
      </c>
      <c r="X1138" s="235">
        <f t="shared" ca="1" si="766"/>
        <v>1</v>
      </c>
      <c r="Y1138" s="236">
        <f t="shared" ca="1" si="786"/>
        <v>5849.041567440685</v>
      </c>
      <c r="Z1138" s="237">
        <f t="shared" ca="1" si="752"/>
        <v>5849.041567440685</v>
      </c>
      <c r="AA1138" s="238"/>
      <c r="AB1138" s="233" t="str">
        <f>IF(B1138="insumo",_xlfn.XLOOKUP(S1138,Insumos!A:A,Insumos!D:D),"")</f>
        <v/>
      </c>
      <c r="AC1138" s="239">
        <f t="shared" ca="1" si="753"/>
        <v>8.3909833975759547E-4</v>
      </c>
      <c r="AE1138" s="240">
        <f ca="1">IFERROR(IF(OR(Z1138="",Z1138=0),"",IF(AF1138="","",IF(AF1138="R$/mês",Z1138/OBRA!$D$12,IF(AF1138="R$/m²",Z1138/OBRA!$D$10,IF(AF1138="R$/apto",Orçamento!Z1138/OBRA!$D$11,""))))),"")</f>
        <v>3.0099584544499027</v>
      </c>
      <c r="AF1138" s="241" t="s">
        <v>154</v>
      </c>
    </row>
    <row r="1139" spans="1:32" s="10" customFormat="1" ht="13.15" hidden="1" customHeight="1" outlineLevel="4" x14ac:dyDescent="0.2">
      <c r="A1139" s="227"/>
      <c r="B1139" s="228" t="s">
        <v>19</v>
      </c>
      <c r="C1139" s="229">
        <f t="shared" si="751"/>
        <v>1</v>
      </c>
      <c r="D1139" s="227" t="str">
        <f t="shared" si="780"/>
        <v/>
      </c>
      <c r="E1139" s="228" t="str">
        <f t="shared" ca="1" si="781"/>
        <v>09.001.001.001</v>
      </c>
      <c r="F1139" s="230">
        <f ca="1">IF($B1139="UNIDADE CONSTRUTIVA",OFFSET(F1139,-1,0)+1,LARGE(F$10:F1138,1))</f>
        <v>2</v>
      </c>
      <c r="G1139" s="228" t="str">
        <f t="shared" ca="1" si="769"/>
        <v xml:space="preserve">   GERENCIAMENTO EXECUTIVO</v>
      </c>
      <c r="H1139" s="230">
        <f t="shared" ca="1" si="782"/>
        <v>9</v>
      </c>
      <c r="I1139" s="228" t="str">
        <f t="shared" ca="1" si="771"/>
        <v xml:space="preserve">   INSTALAÇÕES PREVENTIVAS</v>
      </c>
      <c r="J1139" s="230">
        <f t="shared" ca="1" si="783"/>
        <v>1</v>
      </c>
      <c r="K1139" s="228" t="str">
        <f t="shared" ca="1" si="773"/>
        <v xml:space="preserve">   INSTALAÇÕES PREVENTIVAS | GLP - 1º PAVIMENTO - SUBSOLO</v>
      </c>
      <c r="L1139" s="231">
        <f t="shared" ca="1" si="784"/>
        <v>1</v>
      </c>
      <c r="M1139" s="228" t="str">
        <f t="shared" ca="1" si="775"/>
        <v xml:space="preserve">   Instalações Preventivas</v>
      </c>
      <c r="N1139" s="231">
        <f t="shared" ca="1" si="785"/>
        <v>1</v>
      </c>
      <c r="O1139" s="228" t="str">
        <f t="shared" ca="1" si="777"/>
        <v>Instalacos do Sistema Preventivo de Incendio - Sub Solo</v>
      </c>
      <c r="P1139" s="232" t="str">
        <f>IF(S1139="","",IF(Orçamento!$B1139="INSUMO",S1139,""))</f>
        <v>INSTALAÇÕES PREVENTIVAS - SUBSOLO</v>
      </c>
      <c r="Q1139" s="244" t="str">
        <f t="shared" si="778"/>
        <v/>
      </c>
      <c r="R1139" s="234">
        <f t="shared" ca="1" si="779"/>
        <v>1</v>
      </c>
      <c r="S1139" s="233" t="s">
        <v>1021</v>
      </c>
      <c r="T1139" s="242" t="str">
        <f>_xlfn.XLOOKUP(S1139,Insumos!$A$3:$A$371,Insumos!$B$3:$B$371)</f>
        <v>VB</v>
      </c>
      <c r="U1139" s="235">
        <f ca="1">IF($B1139="insumo",R1139,"")</f>
        <v>1</v>
      </c>
      <c r="V1139" s="320">
        <v>1</v>
      </c>
      <c r="W1139" s="236">
        <f>IFERROR(IF(B1139="INSUMO",_xlfn.XLOOKUP(S1139,Insumos!A:A,Insumos!C:C),""),"Inserir Preço")</f>
        <v>5849.041567440685</v>
      </c>
      <c r="X1139" s="235">
        <f t="shared" ca="1" si="766"/>
        <v>1</v>
      </c>
      <c r="Y1139" s="236">
        <f t="shared" si="786"/>
        <v>5849.041567440685</v>
      </c>
      <c r="Z1139" s="237">
        <f t="shared" ca="1" si="752"/>
        <v>5849.041567440685</v>
      </c>
      <c r="AA1139" s="238"/>
      <c r="AB1139" s="233" t="str">
        <f>IF(B1139="insumo",_xlfn.XLOOKUP(S1139,Insumos!A:A,Insumos!D:D),"")</f>
        <v>Estimativa</v>
      </c>
      <c r="AC1139" s="239">
        <f t="shared" ca="1" si="753"/>
        <v>8.3909833975759547E-4</v>
      </c>
      <c r="AE1139" s="240">
        <f ca="1">IFERROR(IF(OR(Z1139="",Z1139=0),"",IF(AF1139="","",IF(AF1139="R$/mês",Z1139/OBRA!$D$12,IF(AF1139="R$/m²",Z1139/OBRA!$D$10,IF(AF1139="R$/apto",Orçamento!Z1139/OBRA!$D$11,""))))),"")</f>
        <v>3.0099584544499027</v>
      </c>
      <c r="AF1139" s="241" t="s">
        <v>154</v>
      </c>
    </row>
    <row r="1140" spans="1:32" s="10" customFormat="1" ht="13.15" customHeight="1" outlineLevel="2" collapsed="1" x14ac:dyDescent="0.2">
      <c r="A1140" s="227"/>
      <c r="B1140" s="228" t="s">
        <v>2</v>
      </c>
      <c r="C1140" s="229" t="str">
        <f t="shared" si="751"/>
        <v/>
      </c>
      <c r="D1140" s="227" t="str">
        <f t="shared" ca="1" si="780"/>
        <v>09.002</v>
      </c>
      <c r="E1140" s="228" t="str">
        <f t="shared" ca="1" si="781"/>
        <v>09.001.001.001</v>
      </c>
      <c r="F1140" s="230">
        <f ca="1">IF($B1140="UNIDADE CONSTRUTIVA",OFFSET(F1140,-1,0)+1,LARGE(F$10:F1139,1))</f>
        <v>2</v>
      </c>
      <c r="G1140" s="228" t="str">
        <f t="shared" ca="1" si="769"/>
        <v xml:space="preserve">   GERENCIAMENTO EXECUTIVO</v>
      </c>
      <c r="H1140" s="230">
        <f t="shared" ca="1" si="782"/>
        <v>9</v>
      </c>
      <c r="I1140" s="228" t="str">
        <f t="shared" ca="1" si="771"/>
        <v xml:space="preserve">   INSTALAÇÕES PREVENTIVAS</v>
      </c>
      <c r="J1140" s="230">
        <f t="shared" ca="1" si="783"/>
        <v>2</v>
      </c>
      <c r="K1140" s="228" t="str">
        <f t="shared" ca="1" si="773"/>
        <v xml:space="preserve">   INSTALAÇÕES PREVENTIVAS | GLP - 2º PAVIMENTO - TÉRREO</v>
      </c>
      <c r="L1140" s="231">
        <f t="shared" ca="1" si="784"/>
        <v>0</v>
      </c>
      <c r="M1140" s="228" t="str">
        <f t="shared" ca="1" si="775"/>
        <v xml:space="preserve">   Instalações Preventivas</v>
      </c>
      <c r="N1140" s="231">
        <f t="shared" ca="1" si="785"/>
        <v>1</v>
      </c>
      <c r="O1140" s="228" t="str">
        <f t="shared" ca="1" si="777"/>
        <v>Instalacos do Sistema Preventivo de Incendio - Sub Solo</v>
      </c>
      <c r="P1140" s="232" t="str">
        <f>IF(S1140="","",IF(Orçamento!$B1140="INSUMO",S1140,""))</f>
        <v/>
      </c>
      <c r="Q1140" s="244" t="str">
        <f t="shared" si="778"/>
        <v/>
      </c>
      <c r="R1140" s="234">
        <f t="shared" ca="1" si="779"/>
        <v>1</v>
      </c>
      <c r="S1140" s="233" t="s">
        <v>645</v>
      </c>
      <c r="T1140" s="242" t="s">
        <v>35</v>
      </c>
      <c r="U1140" s="235" t="str">
        <f>IF($B1140="insumo",R1140,"")</f>
        <v/>
      </c>
      <c r="V1140" s="320" t="s">
        <v>35</v>
      </c>
      <c r="W1140" s="236" t="str">
        <f>IFERROR(IF(B1140="INSUMO",_xlfn.XLOOKUP(S1140,Insumos!A:A,Insumos!C:C),""),"Inserir Preço")</f>
        <v/>
      </c>
      <c r="X1140" s="235" t="str">
        <f t="shared" ca="1" si="766"/>
        <v/>
      </c>
      <c r="Y1140" s="236" t="str">
        <f t="shared" si="786"/>
        <v/>
      </c>
      <c r="Z1140" s="237">
        <f t="shared" ca="1" si="752"/>
        <v>3958.8243394615042</v>
      </c>
      <c r="AA1140" s="238"/>
      <c r="AB1140" s="233" t="str">
        <f>IF(B1140="insumo",_xlfn.XLOOKUP(S1140,Insumos!A:A,Insumos!D:D),"")</f>
        <v/>
      </c>
      <c r="AC1140" s="239">
        <f t="shared" ca="1" si="753"/>
        <v>5.6792944490692315E-4</v>
      </c>
      <c r="AE1140" s="240">
        <f ca="1">IFERROR(IF(OR(Z1140="",Z1140=0),"",IF(AF1140="","",IF(AF1140="R$/mês",Z1140/OBRA!$D$12,IF(AF1140="R$/m²",Z1140/OBRA!$D$10,IF(AF1140="R$/apto",Orçamento!Z1140/OBRA!$D$11,""))))),"")</f>
        <v>2.0372392045519594</v>
      </c>
      <c r="AF1140" s="241" t="s">
        <v>154</v>
      </c>
    </row>
    <row r="1141" spans="1:32" s="10" customFormat="1" ht="13.15" hidden="1" customHeight="1" outlineLevel="3" collapsed="1" x14ac:dyDescent="0.2">
      <c r="A1141" s="227"/>
      <c r="B1141" s="228" t="s">
        <v>3</v>
      </c>
      <c r="C1141" s="229" t="str">
        <f t="shared" si="751"/>
        <v/>
      </c>
      <c r="D1141" s="227" t="str">
        <f t="shared" ca="1" si="780"/>
        <v>09.002.001</v>
      </c>
      <c r="E1141" s="228" t="str">
        <f t="shared" ca="1" si="781"/>
        <v>09.001.001.001</v>
      </c>
      <c r="F1141" s="230">
        <f ca="1">IF($B1141="UNIDADE CONSTRUTIVA",OFFSET(F1141,-1,0)+1,LARGE(F$10:F1140,1))</f>
        <v>2</v>
      </c>
      <c r="G1141" s="228" t="str">
        <f t="shared" ca="1" si="769"/>
        <v xml:space="preserve">   GERENCIAMENTO EXECUTIVO</v>
      </c>
      <c r="H1141" s="230">
        <f t="shared" ca="1" si="782"/>
        <v>9</v>
      </c>
      <c r="I1141" s="228" t="str">
        <f t="shared" ca="1" si="771"/>
        <v xml:space="preserve">   INSTALAÇÕES PREVENTIVAS</v>
      </c>
      <c r="J1141" s="230">
        <f t="shared" ca="1" si="783"/>
        <v>2</v>
      </c>
      <c r="K1141" s="228" t="str">
        <f t="shared" ca="1" si="773"/>
        <v xml:space="preserve">   INSTALAÇÕES PREVENTIVAS | GLP - 2º PAVIMENTO - TÉRREO</v>
      </c>
      <c r="L1141" s="231">
        <f t="shared" ca="1" si="784"/>
        <v>1</v>
      </c>
      <c r="M1141" s="228" t="str">
        <f t="shared" ca="1" si="775"/>
        <v xml:space="preserve">   Instalações Preventivas</v>
      </c>
      <c r="N1141" s="231">
        <f t="shared" ca="1" si="785"/>
        <v>0</v>
      </c>
      <c r="O1141" s="228" t="str">
        <f t="shared" ca="1" si="777"/>
        <v>Instalacos do Sistema Preventivo de Incendio - Sub Solo</v>
      </c>
      <c r="P1141" s="232" t="str">
        <f>IF(S1141="","",IF(Orçamento!$B1141="INSUMO",S1141,""))</f>
        <v/>
      </c>
      <c r="Q1141" s="244" t="str">
        <f t="shared" si="778"/>
        <v/>
      </c>
      <c r="R1141" s="234">
        <f t="shared" ca="1" si="779"/>
        <v>1</v>
      </c>
      <c r="S1141" s="233" t="s">
        <v>453</v>
      </c>
      <c r="T1141" s="242" t="s">
        <v>35</v>
      </c>
      <c r="U1141" s="235" t="str">
        <f>IF($B1141="insumo",R1141,"")</f>
        <v/>
      </c>
      <c r="V1141" s="320" t="s">
        <v>35</v>
      </c>
      <c r="W1141" s="236" t="str">
        <f>IFERROR(IF(B1141="INSUMO",_xlfn.XLOOKUP(S1141,Insumos!A:A,Insumos!C:C),""),"Inserir Preço")</f>
        <v/>
      </c>
      <c r="X1141" s="235" t="str">
        <f t="shared" ca="1" si="766"/>
        <v/>
      </c>
      <c r="Y1141" s="236" t="str">
        <f t="shared" si="786"/>
        <v/>
      </c>
      <c r="Z1141" s="237">
        <f t="shared" ca="1" si="752"/>
        <v>3958.8243394615042</v>
      </c>
      <c r="AA1141" s="238"/>
      <c r="AB1141" s="233" t="str">
        <f>IF(B1141="insumo",_xlfn.XLOOKUP(S1141,Insumos!A:A,Insumos!D:D),"")</f>
        <v/>
      </c>
      <c r="AC1141" s="239">
        <f t="shared" ca="1" si="753"/>
        <v>5.6792944490692315E-4</v>
      </c>
      <c r="AE1141" s="240">
        <f ca="1">IFERROR(IF(OR(Z1141="",Z1141=0),"",IF(AF1141="","",IF(AF1141="R$/mês",Z1141/OBRA!$D$12,IF(AF1141="R$/m²",Z1141/OBRA!$D$10,IF(AF1141="R$/apto",Orçamento!Z1141/OBRA!$D$11,""))))),"")</f>
        <v>2.0372392045519594</v>
      </c>
      <c r="AF1141" s="241" t="s">
        <v>154</v>
      </c>
    </row>
    <row r="1142" spans="1:32" s="10" customFormat="1" ht="13.15" hidden="1" customHeight="1" outlineLevel="4" x14ac:dyDescent="0.2">
      <c r="A1142" s="227"/>
      <c r="B1142" s="228" t="s">
        <v>4</v>
      </c>
      <c r="C1142" s="229">
        <f t="shared" si="751"/>
        <v>1</v>
      </c>
      <c r="D1142" s="227" t="str">
        <f t="shared" ca="1" si="780"/>
        <v>09.002.001.001</v>
      </c>
      <c r="E1142" s="228" t="str">
        <f t="shared" ca="1" si="781"/>
        <v>09.002.001.001</v>
      </c>
      <c r="F1142" s="230">
        <f ca="1">IF($B1142="UNIDADE CONSTRUTIVA",OFFSET(F1142,-1,0)+1,LARGE(F$10:F1141,1))</f>
        <v>2</v>
      </c>
      <c r="G1142" s="228" t="str">
        <f t="shared" ca="1" si="769"/>
        <v xml:space="preserve">   GERENCIAMENTO EXECUTIVO</v>
      </c>
      <c r="H1142" s="230">
        <f t="shared" ca="1" si="782"/>
        <v>9</v>
      </c>
      <c r="I1142" s="228" t="str">
        <f t="shared" ca="1" si="771"/>
        <v xml:space="preserve">   INSTALAÇÕES PREVENTIVAS</v>
      </c>
      <c r="J1142" s="230">
        <f t="shared" ca="1" si="783"/>
        <v>2</v>
      </c>
      <c r="K1142" s="228" t="str">
        <f t="shared" ca="1" si="773"/>
        <v xml:space="preserve">   INSTALAÇÕES PREVENTIVAS | GLP - 2º PAVIMENTO - TÉRREO</v>
      </c>
      <c r="L1142" s="231">
        <f t="shared" ca="1" si="784"/>
        <v>1</v>
      </c>
      <c r="M1142" s="228" t="str">
        <f t="shared" ca="1" si="775"/>
        <v xml:space="preserve">   Instalações Preventivas</v>
      </c>
      <c r="N1142" s="231">
        <f t="shared" ca="1" si="785"/>
        <v>1</v>
      </c>
      <c r="O1142" s="228" t="str">
        <f t="shared" ca="1" si="777"/>
        <v>Instalacos do Sistema Preventivo de Incendio - Térreo</v>
      </c>
      <c r="P1142" s="232" t="str">
        <f>IF(S1142="","",IF(Orçamento!$B1142="INSUMO",S1142,""))</f>
        <v/>
      </c>
      <c r="Q1142" s="244" t="str">
        <f t="shared" si="778"/>
        <v>Instalacos do Sistema Preventivo de Incendio - Térreo</v>
      </c>
      <c r="R1142" s="234">
        <f t="shared" ca="1" si="779"/>
        <v>1</v>
      </c>
      <c r="S1142" s="233" t="s">
        <v>1084</v>
      </c>
      <c r="T1142" s="242" t="s">
        <v>170</v>
      </c>
      <c r="U1142" s="235">
        <v>1</v>
      </c>
      <c r="V1142" s="320" t="s">
        <v>35</v>
      </c>
      <c r="W1142" s="236" t="str">
        <f>IFERROR(IF(B1142="INSUMO",_xlfn.XLOOKUP(S1142,Insumos!A:A,Insumos!C:C),""),"Inserir Preço")</f>
        <v/>
      </c>
      <c r="X1142" s="235">
        <f t="shared" ca="1" si="766"/>
        <v>1</v>
      </c>
      <c r="Y1142" s="236">
        <f t="shared" ca="1" si="786"/>
        <v>3958.8243394615042</v>
      </c>
      <c r="Z1142" s="237">
        <f t="shared" ca="1" si="752"/>
        <v>3958.8243394615042</v>
      </c>
      <c r="AA1142" s="238"/>
      <c r="AB1142" s="233" t="str">
        <f>IF(B1142="insumo",_xlfn.XLOOKUP(S1142,Insumos!A:A,Insumos!D:D),"")</f>
        <v/>
      </c>
      <c r="AC1142" s="239">
        <f t="shared" ca="1" si="753"/>
        <v>5.6792944490692315E-4</v>
      </c>
      <c r="AE1142" s="240">
        <f ca="1">IFERROR(IF(OR(Z1142="",Z1142=0),"",IF(AF1142="","",IF(AF1142="R$/mês",Z1142/OBRA!$D$12,IF(AF1142="R$/m²",Z1142/OBRA!$D$10,IF(AF1142="R$/apto",Orçamento!Z1142/OBRA!$D$11,""))))),"")</f>
        <v>2.0372392045519594</v>
      </c>
      <c r="AF1142" s="241" t="s">
        <v>154</v>
      </c>
    </row>
    <row r="1143" spans="1:32" s="10" customFormat="1" ht="13.15" hidden="1" customHeight="1" outlineLevel="4" x14ac:dyDescent="0.2">
      <c r="A1143" s="227"/>
      <c r="B1143" s="228" t="s">
        <v>19</v>
      </c>
      <c r="C1143" s="229">
        <f t="shared" si="751"/>
        <v>1</v>
      </c>
      <c r="D1143" s="227" t="str">
        <f t="shared" si="780"/>
        <v/>
      </c>
      <c r="E1143" s="228" t="str">
        <f t="shared" ca="1" si="781"/>
        <v>09.002.001.001</v>
      </c>
      <c r="F1143" s="230">
        <f ca="1">IF($B1143="UNIDADE CONSTRUTIVA",OFFSET(F1143,-1,0)+1,LARGE(F$10:F1142,1))</f>
        <v>2</v>
      </c>
      <c r="G1143" s="228" t="str">
        <f t="shared" ca="1" si="769"/>
        <v xml:space="preserve">   GERENCIAMENTO EXECUTIVO</v>
      </c>
      <c r="H1143" s="230">
        <f t="shared" ca="1" si="782"/>
        <v>9</v>
      </c>
      <c r="I1143" s="228" t="str">
        <f t="shared" ca="1" si="771"/>
        <v xml:space="preserve">   INSTALAÇÕES PREVENTIVAS</v>
      </c>
      <c r="J1143" s="230">
        <f t="shared" ca="1" si="783"/>
        <v>2</v>
      </c>
      <c r="K1143" s="228" t="str">
        <f t="shared" ca="1" si="773"/>
        <v xml:space="preserve">   INSTALAÇÕES PREVENTIVAS | GLP - 2º PAVIMENTO - TÉRREO</v>
      </c>
      <c r="L1143" s="231">
        <f t="shared" ca="1" si="784"/>
        <v>1</v>
      </c>
      <c r="M1143" s="228" t="str">
        <f t="shared" ca="1" si="775"/>
        <v xml:space="preserve">   Instalações Preventivas</v>
      </c>
      <c r="N1143" s="231">
        <f t="shared" ca="1" si="785"/>
        <v>1</v>
      </c>
      <c r="O1143" s="228" t="str">
        <f t="shared" ca="1" si="777"/>
        <v>Instalacos do Sistema Preventivo de Incendio - Térreo</v>
      </c>
      <c r="P1143" s="232" t="str">
        <f>IF(S1143="","",IF(Orçamento!$B1143="INSUMO",S1143,""))</f>
        <v>INSTALAÇÕES PREVENTIVAS - TERREO</v>
      </c>
      <c r="Q1143" s="244" t="str">
        <f t="shared" si="778"/>
        <v/>
      </c>
      <c r="R1143" s="234">
        <f t="shared" ca="1" si="779"/>
        <v>1</v>
      </c>
      <c r="S1143" s="233" t="s">
        <v>1022</v>
      </c>
      <c r="T1143" s="242" t="str">
        <f>_xlfn.XLOOKUP(S1143,Insumos!$A$3:$A$371,Insumos!$B$3:$B$371)</f>
        <v>VB</v>
      </c>
      <c r="U1143" s="235">
        <f ca="1">IF($B1143="insumo",R1143,"")</f>
        <v>1</v>
      </c>
      <c r="V1143" s="320">
        <v>1</v>
      </c>
      <c r="W1143" s="236">
        <f>IFERROR(IF(B1143="INSUMO",_xlfn.XLOOKUP(S1143,Insumos!A:A,Insumos!C:C),""),"Inserir Preço")</f>
        <v>3958.8243394615042</v>
      </c>
      <c r="X1143" s="235">
        <f t="shared" ca="1" si="766"/>
        <v>1</v>
      </c>
      <c r="Y1143" s="236">
        <f t="shared" si="786"/>
        <v>3958.8243394615042</v>
      </c>
      <c r="Z1143" s="237">
        <f t="shared" ca="1" si="752"/>
        <v>3958.8243394615042</v>
      </c>
      <c r="AA1143" s="238"/>
      <c r="AB1143" s="233" t="str">
        <f>IF(B1143="insumo",_xlfn.XLOOKUP(S1143,Insumos!A:A,Insumos!D:D),"")</f>
        <v>Estimativa</v>
      </c>
      <c r="AC1143" s="239">
        <f t="shared" ca="1" si="753"/>
        <v>5.6792944490692315E-4</v>
      </c>
      <c r="AE1143" s="240">
        <f ca="1">IFERROR(IF(OR(Z1143="",Z1143=0),"",IF(AF1143="","",IF(AF1143="R$/mês",Z1143/OBRA!$D$12,IF(AF1143="R$/m²",Z1143/OBRA!$D$10,IF(AF1143="R$/apto",Orçamento!Z1143/OBRA!$D$11,""))))),"")</f>
        <v>2.0372392045519594</v>
      </c>
      <c r="AF1143" s="241" t="s">
        <v>154</v>
      </c>
    </row>
    <row r="1144" spans="1:32" s="10" customFormat="1" ht="13.15" customHeight="1" outlineLevel="2" collapsed="1" x14ac:dyDescent="0.2">
      <c r="A1144" s="227"/>
      <c r="B1144" s="228" t="s">
        <v>2</v>
      </c>
      <c r="C1144" s="229" t="str">
        <f t="shared" si="751"/>
        <v/>
      </c>
      <c r="D1144" s="227" t="str">
        <f t="shared" ca="1" si="780"/>
        <v>09.003</v>
      </c>
      <c r="E1144" s="228" t="str">
        <f t="shared" ca="1" si="781"/>
        <v>09.002.001.001</v>
      </c>
      <c r="F1144" s="230">
        <f ca="1">IF($B1144="UNIDADE CONSTRUTIVA",OFFSET(F1144,-1,0)+1,LARGE(F$10:F1143,1))</f>
        <v>2</v>
      </c>
      <c r="G1144" s="228" t="str">
        <f t="shared" ca="1" si="769"/>
        <v xml:space="preserve">   GERENCIAMENTO EXECUTIVO</v>
      </c>
      <c r="H1144" s="230">
        <f t="shared" ca="1" si="782"/>
        <v>9</v>
      </c>
      <c r="I1144" s="228" t="str">
        <f t="shared" ca="1" si="771"/>
        <v xml:space="preserve">   INSTALAÇÕES PREVENTIVAS</v>
      </c>
      <c r="J1144" s="230">
        <f t="shared" ca="1" si="783"/>
        <v>3</v>
      </c>
      <c r="K1144" s="228" t="str">
        <f t="shared" ca="1" si="773"/>
        <v xml:space="preserve">   INSTALAÇÕES PREVENTIVAS | GLP - 3º  ao 7º PAVIMENTO - TIPO</v>
      </c>
      <c r="L1144" s="231">
        <f t="shared" ca="1" si="784"/>
        <v>0</v>
      </c>
      <c r="M1144" s="228" t="str">
        <f t="shared" ca="1" si="775"/>
        <v xml:space="preserve">   Instalações Preventivas</v>
      </c>
      <c r="N1144" s="231">
        <f t="shared" ca="1" si="785"/>
        <v>1</v>
      </c>
      <c r="O1144" s="228" t="str">
        <f t="shared" ca="1" si="777"/>
        <v>Instalacos do Sistema Preventivo de Incendio - Térreo</v>
      </c>
      <c r="P1144" s="232" t="str">
        <f>IF(S1144="","",IF(Orçamento!$B1144="INSUMO",S1144,""))</f>
        <v/>
      </c>
      <c r="Q1144" s="244" t="str">
        <f t="shared" si="778"/>
        <v/>
      </c>
      <c r="R1144" s="234">
        <f t="shared" ca="1" si="779"/>
        <v>1</v>
      </c>
      <c r="S1144" s="233" t="s">
        <v>671</v>
      </c>
      <c r="T1144" s="242" t="s">
        <v>35</v>
      </c>
      <c r="U1144" s="235" t="str">
        <f>IF($B1144="insumo",R1144,"")</f>
        <v/>
      </c>
      <c r="V1144" s="320" t="s">
        <v>35</v>
      </c>
      <c r="W1144" s="236" t="str">
        <f>IFERROR(IF(B1144="INSUMO",_xlfn.XLOOKUP(S1144,Insumos!A:A,Insumos!C:C),""),"Inserir Preço")</f>
        <v/>
      </c>
      <c r="X1144" s="235" t="str">
        <f t="shared" ca="1" si="766"/>
        <v/>
      </c>
      <c r="Y1144" s="236" t="str">
        <f t="shared" si="786"/>
        <v/>
      </c>
      <c r="Z1144" s="237">
        <f t="shared" ca="1" si="752"/>
        <v>14175.675939308778</v>
      </c>
      <c r="AA1144" s="238"/>
      <c r="AB1144" s="233" t="str">
        <f>IF(B1144="insumo",_xlfn.XLOOKUP(S1144,Insumos!A:A,Insumos!D:D),"")</f>
        <v/>
      </c>
      <c r="AC1144" s="239">
        <f t="shared" ca="1" si="753"/>
        <v>2.0336299560306235E-3</v>
      </c>
      <c r="AE1144" s="240">
        <f ca="1">IFERROR(IF(OR(Z1144="",Z1144=0),"",IF(AF1144="","",IF(AF1144="R$/mês",Z1144/OBRA!$D$12,IF(AF1144="R$/m²",Z1144/OBRA!$D$10,IF(AF1144="R$/apto",Orçamento!Z1144/OBRA!$D$11,""))))),"")</f>
        <v>7.2949038144268963</v>
      </c>
      <c r="AF1144" s="241" t="s">
        <v>154</v>
      </c>
    </row>
    <row r="1145" spans="1:32" s="10" customFormat="1" ht="13.15" hidden="1" customHeight="1" outlineLevel="3" collapsed="1" x14ac:dyDescent="0.2">
      <c r="A1145" s="227"/>
      <c r="B1145" s="228" t="s">
        <v>3</v>
      </c>
      <c r="C1145" s="229" t="str">
        <f t="shared" si="751"/>
        <v/>
      </c>
      <c r="D1145" s="227" t="str">
        <f t="shared" ca="1" si="780"/>
        <v>09.003.001</v>
      </c>
      <c r="E1145" s="228" t="str">
        <f t="shared" ca="1" si="781"/>
        <v>09.002.001.001</v>
      </c>
      <c r="F1145" s="230">
        <f ca="1">IF($B1145="UNIDADE CONSTRUTIVA",OFFSET(F1145,-1,0)+1,LARGE(F$10:F1144,1))</f>
        <v>2</v>
      </c>
      <c r="G1145" s="228" t="str">
        <f t="shared" ca="1" si="769"/>
        <v xml:space="preserve">   GERENCIAMENTO EXECUTIVO</v>
      </c>
      <c r="H1145" s="230">
        <f t="shared" ca="1" si="782"/>
        <v>9</v>
      </c>
      <c r="I1145" s="228" t="str">
        <f t="shared" ca="1" si="771"/>
        <v xml:space="preserve">   INSTALAÇÕES PREVENTIVAS</v>
      </c>
      <c r="J1145" s="230">
        <f t="shared" ca="1" si="783"/>
        <v>3</v>
      </c>
      <c r="K1145" s="228" t="str">
        <f t="shared" ca="1" si="773"/>
        <v xml:space="preserve">   INSTALAÇÕES PREVENTIVAS | GLP - 3º  ao 7º PAVIMENTO - TIPO</v>
      </c>
      <c r="L1145" s="231">
        <f t="shared" ca="1" si="784"/>
        <v>1</v>
      </c>
      <c r="M1145" s="228" t="str">
        <f t="shared" ca="1" si="775"/>
        <v xml:space="preserve">   Instalações Preventivas</v>
      </c>
      <c r="N1145" s="231">
        <f t="shared" ca="1" si="785"/>
        <v>0</v>
      </c>
      <c r="O1145" s="228" t="str">
        <f t="shared" ca="1" si="777"/>
        <v>Instalacos do Sistema Preventivo de Incendio - Térreo</v>
      </c>
      <c r="P1145" s="232" t="str">
        <f>IF(S1145="","",IF(Orçamento!$B1145="INSUMO",S1145,""))</f>
        <v/>
      </c>
      <c r="Q1145" s="244" t="str">
        <f t="shared" si="778"/>
        <v/>
      </c>
      <c r="R1145" s="234">
        <f t="shared" ca="1" si="779"/>
        <v>1</v>
      </c>
      <c r="S1145" s="233" t="s">
        <v>453</v>
      </c>
      <c r="T1145" s="242" t="s">
        <v>35</v>
      </c>
      <c r="U1145" s="235" t="str">
        <f>IF($B1145="insumo",R1145,"")</f>
        <v/>
      </c>
      <c r="V1145" s="320" t="s">
        <v>35</v>
      </c>
      <c r="W1145" s="236" t="str">
        <f>IFERROR(IF(B1145="INSUMO",_xlfn.XLOOKUP(S1145,Insumos!A:A,Insumos!C:C),""),"Inserir Preço")</f>
        <v/>
      </c>
      <c r="X1145" s="235" t="str">
        <f t="shared" ca="1" si="766"/>
        <v/>
      </c>
      <c r="Y1145" s="236" t="str">
        <f t="shared" si="786"/>
        <v/>
      </c>
      <c r="Z1145" s="237">
        <f t="shared" ca="1" si="752"/>
        <v>14175.675939308778</v>
      </c>
      <c r="AA1145" s="238"/>
      <c r="AB1145" s="233" t="str">
        <f>IF(B1145="insumo",_xlfn.XLOOKUP(S1145,Insumos!A:A,Insumos!D:D),"")</f>
        <v/>
      </c>
      <c r="AC1145" s="239">
        <f t="shared" ca="1" si="753"/>
        <v>2.0336299560306235E-3</v>
      </c>
      <c r="AE1145" s="240">
        <f ca="1">IFERROR(IF(OR(Z1145="",Z1145=0),"",IF(AF1145="","",IF(AF1145="R$/mês",Z1145/OBRA!$D$12,IF(AF1145="R$/m²",Z1145/OBRA!$D$10,IF(AF1145="R$/apto",Orçamento!Z1145/OBRA!$D$11,""))))),"")</f>
        <v>7.2949038144268963</v>
      </c>
      <c r="AF1145" s="241" t="s">
        <v>154</v>
      </c>
    </row>
    <row r="1146" spans="1:32" s="10" customFormat="1" ht="13.15" hidden="1" customHeight="1" outlineLevel="4" x14ac:dyDescent="0.2">
      <c r="A1146" s="227"/>
      <c r="B1146" s="228" t="s">
        <v>4</v>
      </c>
      <c r="C1146" s="229">
        <f t="shared" si="751"/>
        <v>1</v>
      </c>
      <c r="D1146" s="227" t="str">
        <f t="shared" ca="1" si="780"/>
        <v>09.003.001.001</v>
      </c>
      <c r="E1146" s="228" t="str">
        <f t="shared" ca="1" si="781"/>
        <v>09.003.001.001</v>
      </c>
      <c r="F1146" s="230">
        <f ca="1">IF($B1146="UNIDADE CONSTRUTIVA",OFFSET(F1146,-1,0)+1,LARGE(F$10:F1145,1))</f>
        <v>2</v>
      </c>
      <c r="G1146" s="228" t="str">
        <f t="shared" ca="1" si="769"/>
        <v xml:space="preserve">   GERENCIAMENTO EXECUTIVO</v>
      </c>
      <c r="H1146" s="230">
        <f t="shared" ca="1" si="782"/>
        <v>9</v>
      </c>
      <c r="I1146" s="228" t="str">
        <f t="shared" ca="1" si="771"/>
        <v xml:space="preserve">   INSTALAÇÕES PREVENTIVAS</v>
      </c>
      <c r="J1146" s="230">
        <f t="shared" ca="1" si="783"/>
        <v>3</v>
      </c>
      <c r="K1146" s="228" t="str">
        <f t="shared" ca="1" si="773"/>
        <v xml:space="preserve">   INSTALAÇÕES PREVENTIVAS | GLP - 3º  ao 7º PAVIMENTO - TIPO</v>
      </c>
      <c r="L1146" s="231">
        <f t="shared" ca="1" si="784"/>
        <v>1</v>
      </c>
      <c r="M1146" s="228" t="str">
        <f t="shared" ca="1" si="775"/>
        <v xml:space="preserve">   Instalações Preventivas</v>
      </c>
      <c r="N1146" s="231">
        <f t="shared" ca="1" si="785"/>
        <v>1</v>
      </c>
      <c r="O1146" s="228" t="str">
        <f t="shared" ca="1" si="777"/>
        <v>Instalacos do Sistema Preventivo de Incendio - Tipo (5X)</v>
      </c>
      <c r="P1146" s="232" t="str">
        <f>IF(S1146="","",IF(Orçamento!$B1146="INSUMO",S1146,""))</f>
        <v/>
      </c>
      <c r="Q1146" s="244" t="str">
        <f t="shared" si="778"/>
        <v>Instalacos do Sistema Preventivo de Incendio - Tipo (5X)</v>
      </c>
      <c r="R1146" s="234">
        <f t="shared" ca="1" si="779"/>
        <v>1</v>
      </c>
      <c r="S1146" s="233" t="s">
        <v>1085</v>
      </c>
      <c r="T1146" s="242" t="s">
        <v>170</v>
      </c>
      <c r="U1146" s="235">
        <v>1</v>
      </c>
      <c r="V1146" s="320" t="s">
        <v>35</v>
      </c>
      <c r="W1146" s="236" t="str">
        <f>IFERROR(IF(B1146="INSUMO",_xlfn.XLOOKUP(S1146,Insumos!A:A,Insumos!C:C),""),"Inserir Preço")</f>
        <v/>
      </c>
      <c r="X1146" s="235">
        <f t="shared" ca="1" si="766"/>
        <v>1</v>
      </c>
      <c r="Y1146" s="236">
        <f t="shared" ca="1" si="786"/>
        <v>14175.675939308778</v>
      </c>
      <c r="Z1146" s="237">
        <f t="shared" ca="1" si="752"/>
        <v>14175.675939308778</v>
      </c>
      <c r="AA1146" s="238"/>
      <c r="AB1146" s="233" t="str">
        <f>IF(B1146="insumo",_xlfn.XLOOKUP(S1146,Insumos!A:A,Insumos!D:D),"")</f>
        <v/>
      </c>
      <c r="AC1146" s="239">
        <f t="shared" ca="1" si="753"/>
        <v>2.0336299560306235E-3</v>
      </c>
      <c r="AE1146" s="240">
        <f ca="1">IFERROR(IF(OR(Z1146="",Z1146=0),"",IF(AF1146="","",IF(AF1146="R$/mês",Z1146/OBRA!$D$12,IF(AF1146="R$/m²",Z1146/OBRA!$D$10,IF(AF1146="R$/apto",Orçamento!Z1146/OBRA!$D$11,""))))),"")</f>
        <v>7.2949038144268963</v>
      </c>
      <c r="AF1146" s="241" t="s">
        <v>154</v>
      </c>
    </row>
    <row r="1147" spans="1:32" s="10" customFormat="1" ht="13.15" hidden="1" customHeight="1" outlineLevel="4" x14ac:dyDescent="0.2">
      <c r="A1147" s="227"/>
      <c r="B1147" s="228" t="s">
        <v>19</v>
      </c>
      <c r="C1147" s="229">
        <f t="shared" si="751"/>
        <v>1</v>
      </c>
      <c r="D1147" s="227" t="str">
        <f t="shared" si="780"/>
        <v/>
      </c>
      <c r="E1147" s="228" t="str">
        <f t="shared" ca="1" si="781"/>
        <v>09.003.001.001</v>
      </c>
      <c r="F1147" s="230">
        <f ca="1">IF($B1147="UNIDADE CONSTRUTIVA",OFFSET(F1147,-1,0)+1,LARGE(F$10:F1146,1))</f>
        <v>2</v>
      </c>
      <c r="G1147" s="228" t="str">
        <f t="shared" ca="1" si="769"/>
        <v xml:space="preserve">   GERENCIAMENTO EXECUTIVO</v>
      </c>
      <c r="H1147" s="230">
        <f t="shared" ca="1" si="782"/>
        <v>9</v>
      </c>
      <c r="I1147" s="228" t="str">
        <f t="shared" ca="1" si="771"/>
        <v xml:space="preserve">   INSTALAÇÕES PREVENTIVAS</v>
      </c>
      <c r="J1147" s="230">
        <f t="shared" ca="1" si="783"/>
        <v>3</v>
      </c>
      <c r="K1147" s="228" t="str">
        <f t="shared" ca="1" si="773"/>
        <v xml:space="preserve">   INSTALAÇÕES PREVENTIVAS | GLP - 3º  ao 7º PAVIMENTO - TIPO</v>
      </c>
      <c r="L1147" s="231">
        <f t="shared" ca="1" si="784"/>
        <v>1</v>
      </c>
      <c r="M1147" s="228" t="str">
        <f t="shared" ca="1" si="775"/>
        <v xml:space="preserve">   Instalações Preventivas</v>
      </c>
      <c r="N1147" s="231">
        <f t="shared" ca="1" si="785"/>
        <v>1</v>
      </c>
      <c r="O1147" s="228" t="str">
        <f t="shared" ca="1" si="777"/>
        <v>Instalacos do Sistema Preventivo de Incendio - Tipo (5X)</v>
      </c>
      <c r="P1147" s="232" t="str">
        <f>IF(S1147="","",IF(Orçamento!$B1147="INSUMO",S1147,""))</f>
        <v>INSTALAÇÕES PREVENTIVAS - TIPO (X5)</v>
      </c>
      <c r="Q1147" s="244" t="str">
        <f t="shared" si="778"/>
        <v/>
      </c>
      <c r="R1147" s="234">
        <f t="shared" ca="1" si="779"/>
        <v>1</v>
      </c>
      <c r="S1147" s="233" t="s">
        <v>1023</v>
      </c>
      <c r="T1147" s="242" t="str">
        <f>_xlfn.XLOOKUP(S1147,Insumos!$A$3:$A$371,Insumos!$B$3:$B$371)</f>
        <v>VB</v>
      </c>
      <c r="U1147" s="235">
        <f ca="1">IF($B1147="insumo",R1147,"")</f>
        <v>1</v>
      </c>
      <c r="V1147" s="320">
        <v>1</v>
      </c>
      <c r="W1147" s="236">
        <f>IFERROR(IF(B1147="INSUMO",_xlfn.XLOOKUP(S1147,Insumos!A:A,Insumos!C:C),""),"Inserir Preço")</f>
        <v>14175.675939308778</v>
      </c>
      <c r="X1147" s="235">
        <f t="shared" ca="1" si="766"/>
        <v>1</v>
      </c>
      <c r="Y1147" s="236">
        <f t="shared" si="786"/>
        <v>14175.675939308778</v>
      </c>
      <c r="Z1147" s="237">
        <f t="shared" ca="1" si="752"/>
        <v>14175.675939308778</v>
      </c>
      <c r="AA1147" s="238"/>
      <c r="AB1147" s="233" t="str">
        <f>IF(B1147="insumo",_xlfn.XLOOKUP(S1147,Insumos!A:A,Insumos!D:D),"")</f>
        <v>Estimativa</v>
      </c>
      <c r="AC1147" s="239">
        <f t="shared" ca="1" si="753"/>
        <v>2.0336299560306235E-3</v>
      </c>
      <c r="AE1147" s="240">
        <f ca="1">IFERROR(IF(OR(Z1147="",Z1147=0),"",IF(AF1147="","",IF(AF1147="R$/mês",Z1147/OBRA!$D$12,IF(AF1147="R$/m²",Z1147/OBRA!$D$10,IF(AF1147="R$/apto",Orçamento!Z1147/OBRA!$D$11,""))))),"")</f>
        <v>7.2949038144268963</v>
      </c>
      <c r="AF1147" s="241" t="s">
        <v>154</v>
      </c>
    </row>
    <row r="1148" spans="1:32" s="10" customFormat="1" ht="13.15" customHeight="1" outlineLevel="2" collapsed="1" x14ac:dyDescent="0.2">
      <c r="A1148" s="227"/>
      <c r="B1148" s="228" t="s">
        <v>2</v>
      </c>
      <c r="C1148" s="229" t="str">
        <f t="shared" si="751"/>
        <v/>
      </c>
      <c r="D1148" s="227" t="str">
        <f t="shared" ca="1" si="780"/>
        <v>09.004</v>
      </c>
      <c r="E1148" s="228" t="str">
        <f t="shared" ca="1" si="781"/>
        <v>09.003.001.001</v>
      </c>
      <c r="F1148" s="230">
        <f ca="1">IF($B1148="UNIDADE CONSTRUTIVA",OFFSET(F1148,-1,0)+1,LARGE(F$10:F1147,1))</f>
        <v>2</v>
      </c>
      <c r="G1148" s="228" t="str">
        <f t="shared" ref="G1148:G1210" ca="1" si="787">IF(B1148="*","",IF(B1148="UNIDADE CONSTRUTIVA",S1148,OFFSET(G1148,-1,0)))</f>
        <v xml:space="preserve">   GERENCIAMENTO EXECUTIVO</v>
      </c>
      <c r="H1148" s="230">
        <f t="shared" ca="1" si="782"/>
        <v>9</v>
      </c>
      <c r="I1148" s="228" t="str">
        <f t="shared" ref="I1148:I1210" ca="1" si="788">IF(B1148="*","",IF(B1148="CÉLULA CONSTRUTIVA",S1148,OFFSET(I1148,-1,0)))</f>
        <v xml:space="preserve">   INSTALAÇÕES PREVENTIVAS</v>
      </c>
      <c r="J1148" s="230">
        <f t="shared" ca="1" si="783"/>
        <v>4</v>
      </c>
      <c r="K1148" s="228" t="str">
        <f t="shared" ref="K1148:K1210" ca="1" si="789">IF(B1148="*","",IF(B1148="ETAPA",S1148,OFFSET(K1148,-1,0)))</f>
        <v xml:space="preserve">   INSTALAÇÕES PREVENTIVAS | GLP - 8º PAVIMENTO - COBERTURA</v>
      </c>
      <c r="L1148" s="231">
        <f t="shared" ca="1" si="784"/>
        <v>0</v>
      </c>
      <c r="M1148" s="228" t="str">
        <f t="shared" ref="M1148:M1210" ca="1" si="790">IF(B1148="*","",IF(B1148="SUBETAPA",S1148,OFFSET(M1148,-1,0)))</f>
        <v xml:space="preserve">   Instalações Preventivas</v>
      </c>
      <c r="N1148" s="231">
        <f t="shared" ca="1" si="785"/>
        <v>1</v>
      </c>
      <c r="O1148" s="228" t="str">
        <f t="shared" ref="O1148:O1210" ca="1" si="791">IF(B1148="*","",IF(B1148="SERVIÇO",S1148,OFFSET(O1148,-1,0)))</f>
        <v>Instalacos do Sistema Preventivo de Incendio - Tipo (5X)</v>
      </c>
      <c r="P1148" s="232" t="str">
        <f>IF(S1148="","",IF(Orçamento!$B1148="INSUMO",S1148,""))</f>
        <v/>
      </c>
      <c r="Q1148" s="244" t="str">
        <f t="shared" si="778"/>
        <v/>
      </c>
      <c r="R1148" s="234">
        <f t="shared" ref="R1148:R1209" ca="1" si="792">IF(B1148="serviço",U1148,OFFSET(R1148,-1,0))</f>
        <v>1</v>
      </c>
      <c r="S1148" s="233" t="s">
        <v>653</v>
      </c>
      <c r="T1148" s="242" t="s">
        <v>35</v>
      </c>
      <c r="U1148" s="235" t="str">
        <f>IF($B1148="insumo",R1148,"")</f>
        <v/>
      </c>
      <c r="V1148" s="320" t="s">
        <v>35</v>
      </c>
      <c r="W1148" s="236" t="str">
        <f>IFERROR(IF(B1148="INSUMO",_xlfn.XLOOKUP(S1148,Insumos!A:A,Insumos!C:C),""),"Inserir Preço")</f>
        <v/>
      </c>
      <c r="X1148" s="235" t="str">
        <f t="shared" ref="X1148:X1209" ca="1" si="793">IF(B1148="Complemento do insumo",V1148,IF(R1148="","",IF(B1148="serviço",R1148,IF(OR(B1148="insumo"),V1148*R1148,""))))</f>
        <v/>
      </c>
      <c r="Y1148" s="236" t="str">
        <f t="shared" si="786"/>
        <v/>
      </c>
      <c r="Z1148" s="237">
        <f t="shared" ca="1" si="752"/>
        <v>2835.8299946360062</v>
      </c>
      <c r="AA1148" s="238"/>
      <c r="AB1148" s="233" t="str">
        <f>IF(B1148="insumo",_xlfn.XLOOKUP(S1148,Insumos!A:A,Insumos!D:D),"")</f>
        <v/>
      </c>
      <c r="AC1148" s="239">
        <f t="shared" ca="1" si="753"/>
        <v>4.0682566757258638E-4</v>
      </c>
      <c r="AE1148" s="240">
        <f ca="1">IFERROR(IF(OR(Z1148="",Z1148=0),"",IF(AF1148="","",IF(AF1148="R$/mês",Z1148/OBRA!$D$12,IF(AF1148="R$/m²",Z1148/OBRA!$D$10,IF(AF1148="R$/apto",Orçamento!Z1148/OBRA!$D$11,""))))),"")</f>
        <v>1.4593383154006505</v>
      </c>
      <c r="AF1148" s="241" t="s">
        <v>154</v>
      </c>
    </row>
    <row r="1149" spans="1:32" s="10" customFormat="1" ht="13.15" hidden="1" customHeight="1" outlineLevel="3" collapsed="1" x14ac:dyDescent="0.2">
      <c r="A1149" s="227"/>
      <c r="B1149" s="228" t="s">
        <v>3</v>
      </c>
      <c r="C1149" s="229" t="str">
        <f t="shared" si="751"/>
        <v/>
      </c>
      <c r="D1149" s="227" t="str">
        <f t="shared" ca="1" si="780"/>
        <v>09.004.001</v>
      </c>
      <c r="E1149" s="228" t="str">
        <f t="shared" ca="1" si="781"/>
        <v>09.003.001.001</v>
      </c>
      <c r="F1149" s="230">
        <f ca="1">IF($B1149="UNIDADE CONSTRUTIVA",OFFSET(F1149,-1,0)+1,LARGE(F$10:F1148,1))</f>
        <v>2</v>
      </c>
      <c r="G1149" s="228" t="str">
        <f t="shared" ca="1" si="787"/>
        <v xml:space="preserve">   GERENCIAMENTO EXECUTIVO</v>
      </c>
      <c r="H1149" s="230">
        <f t="shared" ca="1" si="782"/>
        <v>9</v>
      </c>
      <c r="I1149" s="228" t="str">
        <f t="shared" ca="1" si="788"/>
        <v xml:space="preserve">   INSTALAÇÕES PREVENTIVAS</v>
      </c>
      <c r="J1149" s="230">
        <f t="shared" ca="1" si="783"/>
        <v>4</v>
      </c>
      <c r="K1149" s="228" t="str">
        <f t="shared" ca="1" si="789"/>
        <v xml:space="preserve">   INSTALAÇÕES PREVENTIVAS | GLP - 8º PAVIMENTO - COBERTURA</v>
      </c>
      <c r="L1149" s="231">
        <f t="shared" ca="1" si="784"/>
        <v>1</v>
      </c>
      <c r="M1149" s="228" t="str">
        <f t="shared" ca="1" si="790"/>
        <v xml:space="preserve">   Instalações Preventivas</v>
      </c>
      <c r="N1149" s="231">
        <f t="shared" ca="1" si="785"/>
        <v>0</v>
      </c>
      <c r="O1149" s="228" t="str">
        <f t="shared" ca="1" si="791"/>
        <v>Instalacos do Sistema Preventivo de Incendio - Tipo (5X)</v>
      </c>
      <c r="P1149" s="232" t="str">
        <f>IF(S1149="","",IF(Orçamento!$B1149="INSUMO",S1149,""))</f>
        <v/>
      </c>
      <c r="Q1149" s="244" t="str">
        <f t="shared" ref="Q1149:Q1209" si="794">IF(B1149="","",IF(B1149="Serviço",S1149,""))</f>
        <v/>
      </c>
      <c r="R1149" s="234">
        <f t="shared" ca="1" si="792"/>
        <v>1</v>
      </c>
      <c r="S1149" s="233" t="s">
        <v>453</v>
      </c>
      <c r="T1149" s="242" t="s">
        <v>35</v>
      </c>
      <c r="U1149" s="235" t="str">
        <f>IF($B1149="insumo",R1149,"")</f>
        <v/>
      </c>
      <c r="V1149" s="320" t="s">
        <v>35</v>
      </c>
      <c r="W1149" s="236" t="str">
        <f>IFERROR(IF(B1149="INSUMO",_xlfn.XLOOKUP(S1149,Insumos!A:A,Insumos!C:C),""),"Inserir Preço")</f>
        <v/>
      </c>
      <c r="X1149" s="235" t="str">
        <f t="shared" ca="1" si="793"/>
        <v/>
      </c>
      <c r="Y1149" s="236" t="str">
        <f t="shared" si="786"/>
        <v/>
      </c>
      <c r="Z1149" s="237">
        <f t="shared" ca="1" si="752"/>
        <v>2835.8299946360062</v>
      </c>
      <c r="AA1149" s="238"/>
      <c r="AB1149" s="233" t="str">
        <f>IF(B1149="insumo",_xlfn.XLOOKUP(S1149,Insumos!A:A,Insumos!D:D),"")</f>
        <v/>
      </c>
      <c r="AC1149" s="239">
        <f t="shared" ca="1" si="753"/>
        <v>4.0682566757258638E-4</v>
      </c>
      <c r="AE1149" s="240">
        <f ca="1">IFERROR(IF(OR(Z1149="",Z1149=0),"",IF(AF1149="","",IF(AF1149="R$/mês",Z1149/OBRA!$D$12,IF(AF1149="R$/m²",Z1149/OBRA!$D$10,IF(AF1149="R$/apto",Orçamento!Z1149/OBRA!$D$11,""))))),"")</f>
        <v>1.4593383154006505</v>
      </c>
      <c r="AF1149" s="241" t="s">
        <v>154</v>
      </c>
    </row>
    <row r="1150" spans="1:32" s="10" customFormat="1" ht="13.15" hidden="1" customHeight="1" outlineLevel="4" x14ac:dyDescent="0.2">
      <c r="A1150" s="227"/>
      <c r="B1150" s="228" t="s">
        <v>4</v>
      </c>
      <c r="C1150" s="229">
        <f t="shared" si="751"/>
        <v>1</v>
      </c>
      <c r="D1150" s="227" t="str">
        <f t="shared" ca="1" si="780"/>
        <v>09.004.001.001</v>
      </c>
      <c r="E1150" s="228" t="str">
        <f t="shared" ca="1" si="781"/>
        <v>09.004.001.001</v>
      </c>
      <c r="F1150" s="230">
        <f ca="1">IF($B1150="UNIDADE CONSTRUTIVA",OFFSET(F1150,-1,0)+1,LARGE(F$10:F1149,1))</f>
        <v>2</v>
      </c>
      <c r="G1150" s="228" t="str">
        <f t="shared" ca="1" si="787"/>
        <v xml:space="preserve">   GERENCIAMENTO EXECUTIVO</v>
      </c>
      <c r="H1150" s="230">
        <f t="shared" ca="1" si="782"/>
        <v>9</v>
      </c>
      <c r="I1150" s="228" t="str">
        <f t="shared" ca="1" si="788"/>
        <v xml:space="preserve">   INSTALAÇÕES PREVENTIVAS</v>
      </c>
      <c r="J1150" s="230">
        <f t="shared" ca="1" si="783"/>
        <v>4</v>
      </c>
      <c r="K1150" s="228" t="str">
        <f t="shared" ca="1" si="789"/>
        <v xml:space="preserve">   INSTALAÇÕES PREVENTIVAS | GLP - 8º PAVIMENTO - COBERTURA</v>
      </c>
      <c r="L1150" s="231">
        <f t="shared" ca="1" si="784"/>
        <v>1</v>
      </c>
      <c r="M1150" s="228" t="str">
        <f t="shared" ca="1" si="790"/>
        <v xml:space="preserve">   Instalações Preventivas</v>
      </c>
      <c r="N1150" s="231">
        <f t="shared" ca="1" si="785"/>
        <v>1</v>
      </c>
      <c r="O1150" s="228" t="str">
        <f t="shared" ca="1" si="791"/>
        <v>Instalacos do Sistema Preventivo de Incendio - Cobertura</v>
      </c>
      <c r="P1150" s="232" t="str">
        <f>IF(S1150="","",IF(Orçamento!$B1150="INSUMO",S1150,""))</f>
        <v/>
      </c>
      <c r="Q1150" s="244" t="str">
        <f t="shared" si="794"/>
        <v>Instalacos do Sistema Preventivo de Incendio - Cobertura</v>
      </c>
      <c r="R1150" s="234">
        <f t="shared" ca="1" si="792"/>
        <v>1</v>
      </c>
      <c r="S1150" s="233" t="s">
        <v>1086</v>
      </c>
      <c r="T1150" s="242" t="s">
        <v>170</v>
      </c>
      <c r="U1150" s="235">
        <v>1</v>
      </c>
      <c r="V1150" s="320" t="s">
        <v>35</v>
      </c>
      <c r="W1150" s="236" t="str">
        <f>IFERROR(IF(B1150="INSUMO",_xlfn.XLOOKUP(S1150,Insumos!A:A,Insumos!C:C),""),"Inserir Preço")</f>
        <v/>
      </c>
      <c r="X1150" s="235">
        <f t="shared" ca="1" si="793"/>
        <v>1</v>
      </c>
      <c r="Y1150" s="236">
        <f t="shared" ca="1" si="786"/>
        <v>2835.8299946360062</v>
      </c>
      <c r="Z1150" s="237">
        <f t="shared" ca="1" si="752"/>
        <v>2835.8299946360062</v>
      </c>
      <c r="AA1150" s="238"/>
      <c r="AB1150" s="233" t="str">
        <f>IF(B1150="insumo",_xlfn.XLOOKUP(S1150,Insumos!A:A,Insumos!D:D),"")</f>
        <v/>
      </c>
      <c r="AC1150" s="239">
        <f t="shared" ca="1" si="753"/>
        <v>4.0682566757258638E-4</v>
      </c>
      <c r="AE1150" s="240">
        <f ca="1">IFERROR(IF(OR(Z1150="",Z1150=0),"",IF(AF1150="","",IF(AF1150="R$/mês",Z1150/OBRA!$D$12,IF(AF1150="R$/m²",Z1150/OBRA!$D$10,IF(AF1150="R$/apto",Orçamento!Z1150/OBRA!$D$11,""))))),"")</f>
        <v>1.4593383154006505</v>
      </c>
      <c r="AF1150" s="241" t="s">
        <v>154</v>
      </c>
    </row>
    <row r="1151" spans="1:32" s="10" customFormat="1" ht="13.15" hidden="1" customHeight="1" outlineLevel="4" x14ac:dyDescent="0.2">
      <c r="A1151" s="227"/>
      <c r="B1151" s="228" t="s">
        <v>19</v>
      </c>
      <c r="C1151" s="229">
        <f t="shared" si="751"/>
        <v>1</v>
      </c>
      <c r="D1151" s="227" t="str">
        <f t="shared" si="780"/>
        <v/>
      </c>
      <c r="E1151" s="228" t="str">
        <f t="shared" ca="1" si="781"/>
        <v>09.004.001.001</v>
      </c>
      <c r="F1151" s="230">
        <f ca="1">IF($B1151="UNIDADE CONSTRUTIVA",OFFSET(F1151,-1,0)+1,LARGE(F$10:F1150,1))</f>
        <v>2</v>
      </c>
      <c r="G1151" s="228" t="str">
        <f t="shared" ca="1" si="787"/>
        <v xml:space="preserve">   GERENCIAMENTO EXECUTIVO</v>
      </c>
      <c r="H1151" s="230">
        <f t="shared" ca="1" si="782"/>
        <v>9</v>
      </c>
      <c r="I1151" s="228" t="str">
        <f t="shared" ca="1" si="788"/>
        <v xml:space="preserve">   INSTALAÇÕES PREVENTIVAS</v>
      </c>
      <c r="J1151" s="230">
        <f t="shared" ca="1" si="783"/>
        <v>4</v>
      </c>
      <c r="K1151" s="228" t="str">
        <f t="shared" ca="1" si="789"/>
        <v xml:space="preserve">   INSTALAÇÕES PREVENTIVAS | GLP - 8º PAVIMENTO - COBERTURA</v>
      </c>
      <c r="L1151" s="231">
        <f t="shared" ca="1" si="784"/>
        <v>1</v>
      </c>
      <c r="M1151" s="228" t="str">
        <f t="shared" ca="1" si="790"/>
        <v xml:space="preserve">   Instalações Preventivas</v>
      </c>
      <c r="N1151" s="231">
        <f t="shared" ca="1" si="785"/>
        <v>1</v>
      </c>
      <c r="O1151" s="228" t="str">
        <f t="shared" ca="1" si="791"/>
        <v>Instalacos do Sistema Preventivo de Incendio - Cobertura</v>
      </c>
      <c r="P1151" s="232" t="str">
        <f>IF(S1151="","",IF(Orçamento!$B1151="INSUMO",S1151,""))</f>
        <v>INSTALAÇÕES PREVENTIVAS - COBERTURA</v>
      </c>
      <c r="Q1151" s="244" t="str">
        <f t="shared" si="794"/>
        <v/>
      </c>
      <c r="R1151" s="234">
        <f t="shared" ca="1" si="792"/>
        <v>1</v>
      </c>
      <c r="S1151" s="233" t="s">
        <v>1024</v>
      </c>
      <c r="T1151" s="242" t="str">
        <f>_xlfn.XLOOKUP(S1151,Insumos!$A$3:$A$371,Insumos!$B$3:$B$371)</f>
        <v>VB</v>
      </c>
      <c r="U1151" s="235">
        <f ca="1">IF($B1151="insumo",R1151,"")</f>
        <v>1</v>
      </c>
      <c r="V1151" s="320">
        <v>1</v>
      </c>
      <c r="W1151" s="236">
        <f>IFERROR(IF(B1151="INSUMO",_xlfn.XLOOKUP(S1151,Insumos!A:A,Insumos!C:C),""),"Inserir Preço")</f>
        <v>2835.8299946360062</v>
      </c>
      <c r="X1151" s="235">
        <f t="shared" ca="1" si="793"/>
        <v>1</v>
      </c>
      <c r="Y1151" s="236">
        <f t="shared" si="786"/>
        <v>2835.8299946360062</v>
      </c>
      <c r="Z1151" s="237">
        <f t="shared" ca="1" si="752"/>
        <v>2835.8299946360062</v>
      </c>
      <c r="AA1151" s="238"/>
      <c r="AB1151" s="233" t="str">
        <f>IF(B1151="insumo",_xlfn.XLOOKUP(S1151,Insumos!A:A,Insumos!D:D),"")</f>
        <v>Estimativa</v>
      </c>
      <c r="AC1151" s="239">
        <f t="shared" ca="1" si="753"/>
        <v>4.0682566757258638E-4</v>
      </c>
      <c r="AE1151" s="240">
        <f ca="1">IFERROR(IF(OR(Z1151="",Z1151=0),"",IF(AF1151="","",IF(AF1151="R$/mês",Z1151/OBRA!$D$12,IF(AF1151="R$/m²",Z1151/OBRA!$D$10,IF(AF1151="R$/apto",Orçamento!Z1151/OBRA!$D$11,""))))),"")</f>
        <v>1.4593383154006505</v>
      </c>
      <c r="AF1151" s="241" t="s">
        <v>154</v>
      </c>
    </row>
    <row r="1152" spans="1:32" s="10" customFormat="1" ht="13.15" customHeight="1" outlineLevel="2" collapsed="1" x14ac:dyDescent="0.2">
      <c r="A1152" s="227"/>
      <c r="B1152" s="228" t="s">
        <v>2</v>
      </c>
      <c r="C1152" s="229" t="str">
        <f t="shared" si="751"/>
        <v/>
      </c>
      <c r="D1152" s="227" t="str">
        <f t="shared" ca="1" si="780"/>
        <v>09.005</v>
      </c>
      <c r="E1152" s="228" t="str">
        <f t="shared" ca="1" si="781"/>
        <v>09.004.001.001</v>
      </c>
      <c r="F1152" s="230">
        <f ca="1">IF($B1152="UNIDADE CONSTRUTIVA",OFFSET(F1152,-1,0)+1,LARGE(F$10:F1151,1))</f>
        <v>2</v>
      </c>
      <c r="G1152" s="228" t="str">
        <f t="shared" ca="1" si="787"/>
        <v xml:space="preserve">   GERENCIAMENTO EXECUTIVO</v>
      </c>
      <c r="H1152" s="230">
        <f t="shared" ca="1" si="782"/>
        <v>9</v>
      </c>
      <c r="I1152" s="228" t="str">
        <f t="shared" ca="1" si="788"/>
        <v xml:space="preserve">   INSTALAÇÕES PREVENTIVAS</v>
      </c>
      <c r="J1152" s="230">
        <f t="shared" ca="1" si="783"/>
        <v>5</v>
      </c>
      <c r="K1152" s="228" t="str">
        <f t="shared" ca="1" si="789"/>
        <v xml:space="preserve">   INSTALAÇÕES PREVENTIVAS | GLP - BARRILETE / CAIXA DÁGUA / CASA DE MÁQUINAS</v>
      </c>
      <c r="L1152" s="231">
        <f t="shared" ca="1" si="784"/>
        <v>0</v>
      </c>
      <c r="M1152" s="228" t="str">
        <f t="shared" ca="1" si="790"/>
        <v xml:space="preserve">   Instalações Preventivas</v>
      </c>
      <c r="N1152" s="231">
        <f t="shared" ca="1" si="785"/>
        <v>1</v>
      </c>
      <c r="O1152" s="228" t="str">
        <f t="shared" ca="1" si="791"/>
        <v>Instalacos do Sistema Preventivo de Incendio - Cobertura</v>
      </c>
      <c r="P1152" s="232" t="str">
        <f>IF(S1152="","",IF(Orçamento!$B1152="INSUMO",S1152,""))</f>
        <v/>
      </c>
      <c r="Q1152" s="244" t="str">
        <f t="shared" si="794"/>
        <v/>
      </c>
      <c r="R1152" s="234">
        <f t="shared" ca="1" si="792"/>
        <v>1</v>
      </c>
      <c r="S1152" s="233" t="s">
        <v>662</v>
      </c>
      <c r="T1152" s="242" t="s">
        <v>35</v>
      </c>
      <c r="U1152" s="235" t="str">
        <f>IF($B1152="insumo",R1152,"")</f>
        <v/>
      </c>
      <c r="V1152" s="320" t="s">
        <v>35</v>
      </c>
      <c r="W1152" s="236" t="str">
        <f>IFERROR(IF(B1152="INSUMO",_xlfn.XLOOKUP(S1152,Insumos!A:A,Insumos!C:C),""),"Inserir Preço")</f>
        <v/>
      </c>
      <c r="X1152" s="235" t="str">
        <f t="shared" ca="1" si="793"/>
        <v/>
      </c>
      <c r="Y1152" s="236" t="str">
        <f t="shared" si="786"/>
        <v/>
      </c>
      <c r="Z1152" s="237">
        <f t="shared" ca="1" si="752"/>
        <v>2329.0781591530267</v>
      </c>
      <c r="AA1152" s="238"/>
      <c r="AB1152" s="233" t="str">
        <f>IF(B1152="insumo",_xlfn.XLOOKUP(S1152,Insumos!A:A,Insumos!D:D),"")</f>
        <v/>
      </c>
      <c r="AC1152" s="239">
        <f t="shared" ca="1" si="753"/>
        <v>3.3412749661242689E-4</v>
      </c>
      <c r="AE1152" s="240">
        <f ca="1">IFERROR(IF(OR(Z1152="",Z1152=0),"",IF(AF1152="","",IF(AF1152="R$/mês",Z1152/OBRA!$D$12,IF(AF1152="R$/m²",Z1152/OBRA!$D$10,IF(AF1152="R$/apto",Orçamento!Z1152/OBRA!$D$11,""))))),"")</f>
        <v>1.1985602111705906</v>
      </c>
      <c r="AF1152" s="241" t="s">
        <v>154</v>
      </c>
    </row>
    <row r="1153" spans="1:32" s="10" customFormat="1" ht="13.15" hidden="1" customHeight="1" outlineLevel="3" collapsed="1" x14ac:dyDescent="0.2">
      <c r="A1153" s="227"/>
      <c r="B1153" s="228" t="s">
        <v>3</v>
      </c>
      <c r="C1153" s="229" t="str">
        <f t="shared" si="751"/>
        <v/>
      </c>
      <c r="D1153" s="227" t="str">
        <f t="shared" ca="1" si="780"/>
        <v>09.005.001</v>
      </c>
      <c r="E1153" s="228" t="str">
        <f t="shared" ca="1" si="781"/>
        <v>09.004.001.001</v>
      </c>
      <c r="F1153" s="230">
        <f ca="1">IF($B1153="UNIDADE CONSTRUTIVA",OFFSET(F1153,-1,0)+1,LARGE(F$10:F1152,1))</f>
        <v>2</v>
      </c>
      <c r="G1153" s="228" t="str">
        <f t="shared" ca="1" si="787"/>
        <v xml:space="preserve">   GERENCIAMENTO EXECUTIVO</v>
      </c>
      <c r="H1153" s="230">
        <f t="shared" ca="1" si="782"/>
        <v>9</v>
      </c>
      <c r="I1153" s="228" t="str">
        <f t="shared" ca="1" si="788"/>
        <v xml:space="preserve">   INSTALAÇÕES PREVENTIVAS</v>
      </c>
      <c r="J1153" s="230">
        <f t="shared" ca="1" si="783"/>
        <v>5</v>
      </c>
      <c r="K1153" s="228" t="str">
        <f t="shared" ca="1" si="789"/>
        <v xml:space="preserve">   INSTALAÇÕES PREVENTIVAS | GLP - BARRILETE / CAIXA DÁGUA / CASA DE MÁQUINAS</v>
      </c>
      <c r="L1153" s="231">
        <f t="shared" ca="1" si="784"/>
        <v>1</v>
      </c>
      <c r="M1153" s="228" t="str">
        <f t="shared" ca="1" si="790"/>
        <v xml:space="preserve">   Instalações Preventivas</v>
      </c>
      <c r="N1153" s="231">
        <f t="shared" ca="1" si="785"/>
        <v>0</v>
      </c>
      <c r="O1153" s="228" t="str">
        <f t="shared" ca="1" si="791"/>
        <v>Instalacos do Sistema Preventivo de Incendio - Cobertura</v>
      </c>
      <c r="P1153" s="232" t="str">
        <f>IF(S1153="","",IF(Orçamento!$B1153="INSUMO",S1153,""))</f>
        <v/>
      </c>
      <c r="Q1153" s="244" t="str">
        <f t="shared" si="794"/>
        <v/>
      </c>
      <c r="R1153" s="234">
        <f t="shared" ca="1" si="792"/>
        <v>1</v>
      </c>
      <c r="S1153" s="233" t="s">
        <v>453</v>
      </c>
      <c r="T1153" s="242" t="s">
        <v>35</v>
      </c>
      <c r="U1153" s="235" t="str">
        <f>IF($B1153="insumo",R1153,"")</f>
        <v/>
      </c>
      <c r="V1153" s="320" t="s">
        <v>35</v>
      </c>
      <c r="W1153" s="236" t="str">
        <f>IFERROR(IF(B1153="INSUMO",_xlfn.XLOOKUP(S1153,Insumos!A:A,Insumos!C:C),""),"Inserir Preço")</f>
        <v/>
      </c>
      <c r="X1153" s="235" t="str">
        <f t="shared" ca="1" si="793"/>
        <v/>
      </c>
      <c r="Y1153" s="236" t="str">
        <f t="shared" si="786"/>
        <v/>
      </c>
      <c r="Z1153" s="237">
        <f t="shared" ca="1" si="752"/>
        <v>2329.0781591530267</v>
      </c>
      <c r="AA1153" s="238"/>
      <c r="AB1153" s="233" t="str">
        <f>IF(B1153="insumo",_xlfn.XLOOKUP(S1153,Insumos!A:A,Insumos!D:D),"")</f>
        <v/>
      </c>
      <c r="AC1153" s="239">
        <f t="shared" ca="1" si="753"/>
        <v>3.3412749661242689E-4</v>
      </c>
      <c r="AE1153" s="240">
        <f ca="1">IFERROR(IF(OR(Z1153="",Z1153=0),"",IF(AF1153="","",IF(AF1153="R$/mês",Z1153/OBRA!$D$12,IF(AF1153="R$/m²",Z1153/OBRA!$D$10,IF(AF1153="R$/apto",Orçamento!Z1153/OBRA!$D$11,""))))),"")</f>
        <v>1.1985602111705906</v>
      </c>
      <c r="AF1153" s="241" t="s">
        <v>154</v>
      </c>
    </row>
    <row r="1154" spans="1:32" s="10" customFormat="1" ht="13.15" hidden="1" customHeight="1" outlineLevel="4" x14ac:dyDescent="0.2">
      <c r="A1154" s="227"/>
      <c r="B1154" s="228" t="s">
        <v>4</v>
      </c>
      <c r="C1154" s="229">
        <f t="shared" si="751"/>
        <v>1</v>
      </c>
      <c r="D1154" s="227" t="str">
        <f t="shared" ca="1" si="780"/>
        <v>09.005.001.001</v>
      </c>
      <c r="E1154" s="228" t="str">
        <f t="shared" ca="1" si="781"/>
        <v>09.005.001.001</v>
      </c>
      <c r="F1154" s="230">
        <f ca="1">IF($B1154="UNIDADE CONSTRUTIVA",OFFSET(F1154,-1,0)+1,LARGE(F$10:F1153,1))</f>
        <v>2</v>
      </c>
      <c r="G1154" s="228" t="str">
        <f t="shared" ca="1" si="787"/>
        <v xml:space="preserve">   GERENCIAMENTO EXECUTIVO</v>
      </c>
      <c r="H1154" s="230">
        <f t="shared" ca="1" si="782"/>
        <v>9</v>
      </c>
      <c r="I1154" s="228" t="str">
        <f t="shared" ca="1" si="788"/>
        <v xml:space="preserve">   INSTALAÇÕES PREVENTIVAS</v>
      </c>
      <c r="J1154" s="230">
        <f t="shared" ca="1" si="783"/>
        <v>5</v>
      </c>
      <c r="K1154" s="228" t="str">
        <f t="shared" ca="1" si="789"/>
        <v xml:space="preserve">   INSTALAÇÕES PREVENTIVAS | GLP - BARRILETE / CAIXA DÁGUA / CASA DE MÁQUINAS</v>
      </c>
      <c r="L1154" s="231">
        <f t="shared" ca="1" si="784"/>
        <v>1</v>
      </c>
      <c r="M1154" s="228" t="str">
        <f t="shared" ca="1" si="790"/>
        <v xml:space="preserve">   Instalações Preventivas</v>
      </c>
      <c r="N1154" s="231">
        <f t="shared" ca="1" si="785"/>
        <v>1</v>
      </c>
      <c r="O1154" s="228" t="str">
        <f t="shared" ca="1" si="791"/>
        <v>Instalacos do Sistema Preventivo de Incendio - Pavimento Técnico</v>
      </c>
      <c r="P1154" s="232" t="str">
        <f>IF(S1154="","",IF(Orçamento!$B1154="INSUMO",S1154,""))</f>
        <v/>
      </c>
      <c r="Q1154" s="244" t="str">
        <f t="shared" si="794"/>
        <v>Instalacos do Sistema Preventivo de Incendio - Pavimento Técnico</v>
      </c>
      <c r="R1154" s="234">
        <f t="shared" ca="1" si="792"/>
        <v>1</v>
      </c>
      <c r="S1154" s="233" t="s">
        <v>1087</v>
      </c>
      <c r="T1154" s="242" t="s">
        <v>170</v>
      </c>
      <c r="U1154" s="235">
        <v>1</v>
      </c>
      <c r="V1154" s="320" t="s">
        <v>35</v>
      </c>
      <c r="W1154" s="236" t="str">
        <f>IFERROR(IF(B1154="INSUMO",_xlfn.XLOOKUP(S1154,Insumos!A:A,Insumos!C:C),""),"Inserir Preço")</f>
        <v/>
      </c>
      <c r="X1154" s="235">
        <f t="shared" ca="1" si="793"/>
        <v>1</v>
      </c>
      <c r="Y1154" s="236">
        <f t="shared" ca="1" si="786"/>
        <v>2329.0781591530267</v>
      </c>
      <c r="Z1154" s="237">
        <f t="shared" ca="1" si="752"/>
        <v>2329.0781591530267</v>
      </c>
      <c r="AA1154" s="238"/>
      <c r="AB1154" s="233" t="str">
        <f>IF(B1154="insumo",_xlfn.XLOOKUP(S1154,Insumos!A:A,Insumos!D:D),"")</f>
        <v/>
      </c>
      <c r="AC1154" s="239">
        <f t="shared" ca="1" si="753"/>
        <v>3.3412749661242689E-4</v>
      </c>
      <c r="AE1154" s="240">
        <f ca="1">IFERROR(IF(OR(Z1154="",Z1154=0),"",IF(AF1154="","",IF(AF1154="R$/mês",Z1154/OBRA!$D$12,IF(AF1154="R$/m²",Z1154/OBRA!$D$10,IF(AF1154="R$/apto",Orçamento!Z1154/OBRA!$D$11,""))))),"")</f>
        <v>1.1985602111705906</v>
      </c>
      <c r="AF1154" s="241" t="s">
        <v>154</v>
      </c>
    </row>
    <row r="1155" spans="1:32" s="10" customFormat="1" ht="13.15" hidden="1" customHeight="1" outlineLevel="4" x14ac:dyDescent="0.2">
      <c r="A1155" s="227"/>
      <c r="B1155" s="228" t="s">
        <v>19</v>
      </c>
      <c r="C1155" s="229">
        <f t="shared" si="751"/>
        <v>1</v>
      </c>
      <c r="D1155" s="227" t="str">
        <f t="shared" si="780"/>
        <v/>
      </c>
      <c r="E1155" s="228" t="str">
        <f t="shared" ca="1" si="781"/>
        <v>09.005.001.001</v>
      </c>
      <c r="F1155" s="230">
        <f ca="1">IF($B1155="UNIDADE CONSTRUTIVA",OFFSET(F1155,-1,0)+1,LARGE(F$10:F1154,1))</f>
        <v>2</v>
      </c>
      <c r="G1155" s="228" t="str">
        <f t="shared" ca="1" si="787"/>
        <v xml:space="preserve">   GERENCIAMENTO EXECUTIVO</v>
      </c>
      <c r="H1155" s="230">
        <f t="shared" ca="1" si="782"/>
        <v>9</v>
      </c>
      <c r="I1155" s="228" t="str">
        <f t="shared" ca="1" si="788"/>
        <v xml:space="preserve">   INSTALAÇÕES PREVENTIVAS</v>
      </c>
      <c r="J1155" s="230">
        <f t="shared" ca="1" si="783"/>
        <v>5</v>
      </c>
      <c r="K1155" s="228" t="str">
        <f t="shared" ca="1" si="789"/>
        <v xml:space="preserve">   INSTALAÇÕES PREVENTIVAS | GLP - BARRILETE / CAIXA DÁGUA / CASA DE MÁQUINAS</v>
      </c>
      <c r="L1155" s="231">
        <f t="shared" ca="1" si="784"/>
        <v>1</v>
      </c>
      <c r="M1155" s="228" t="str">
        <f t="shared" ca="1" si="790"/>
        <v xml:space="preserve">   Instalações Preventivas</v>
      </c>
      <c r="N1155" s="231">
        <f t="shared" ca="1" si="785"/>
        <v>1</v>
      </c>
      <c r="O1155" s="228" t="str">
        <f t="shared" ca="1" si="791"/>
        <v>Instalacos do Sistema Preventivo de Incendio - Pavimento Técnico</v>
      </c>
      <c r="P1155" s="232" t="str">
        <f>IF(S1155="","",IF(Orçamento!$B1155="INSUMO",S1155,""))</f>
        <v>INSTALAÇÕES PREVENTIVAS - PAVIMENTO TECNICO</v>
      </c>
      <c r="Q1155" s="244" t="str">
        <f t="shared" si="794"/>
        <v/>
      </c>
      <c r="R1155" s="234">
        <f t="shared" ca="1" si="792"/>
        <v>1</v>
      </c>
      <c r="S1155" s="233" t="s">
        <v>1025</v>
      </c>
      <c r="T1155" s="242" t="str">
        <f>_xlfn.XLOOKUP(S1155,Insumos!$A$3:$A$371,Insumos!$B$3:$B$371)</f>
        <v>VB</v>
      </c>
      <c r="U1155" s="235">
        <f ca="1">IF($B1155="insumo",R1155,"")</f>
        <v>1</v>
      </c>
      <c r="V1155" s="320">
        <v>1</v>
      </c>
      <c r="W1155" s="236">
        <f>IFERROR(IF(B1155="INSUMO",_xlfn.XLOOKUP(S1155,Insumos!A:A,Insumos!C:C),""),"Inserir Preço")</f>
        <v>2329.0781591530267</v>
      </c>
      <c r="X1155" s="235">
        <f t="shared" ca="1" si="793"/>
        <v>1</v>
      </c>
      <c r="Y1155" s="236">
        <f t="shared" si="786"/>
        <v>2329.0781591530267</v>
      </c>
      <c r="Z1155" s="237">
        <f t="shared" ca="1" si="752"/>
        <v>2329.0781591530267</v>
      </c>
      <c r="AA1155" s="238"/>
      <c r="AB1155" s="233" t="str">
        <f>IF(B1155="insumo",_xlfn.XLOOKUP(S1155,Insumos!A:A,Insumos!D:D),"")</f>
        <v>Estimativa</v>
      </c>
      <c r="AC1155" s="239">
        <f t="shared" ca="1" si="753"/>
        <v>3.3412749661242689E-4</v>
      </c>
      <c r="AE1155" s="240">
        <f ca="1">IFERROR(IF(OR(Z1155="",Z1155=0),"",IF(AF1155="","",IF(AF1155="R$/mês",Z1155/OBRA!$D$12,IF(AF1155="R$/m²",Z1155/OBRA!$D$10,IF(AF1155="R$/apto",Orçamento!Z1155/OBRA!$D$11,""))))),"")</f>
        <v>1.1985602111705906</v>
      </c>
      <c r="AF1155" s="241" t="s">
        <v>154</v>
      </c>
    </row>
    <row r="1156" spans="1:32" s="10" customFormat="1" ht="13.15" customHeight="1" outlineLevel="2" collapsed="1" x14ac:dyDescent="0.2">
      <c r="A1156" s="227"/>
      <c r="B1156" s="228" t="s">
        <v>2</v>
      </c>
      <c r="C1156" s="229" t="str">
        <f t="shared" si="751"/>
        <v/>
      </c>
      <c r="D1156" s="227" t="str">
        <f t="shared" ca="1" si="780"/>
        <v>09.006</v>
      </c>
      <c r="E1156" s="228" t="str">
        <f t="shared" ca="1" si="781"/>
        <v>09.005.001.001</v>
      </c>
      <c r="F1156" s="230">
        <f ca="1">IF($B1156="UNIDADE CONSTRUTIVA",OFFSET(F1156,-1,0)+1,LARGE(F$10:F1155,1))</f>
        <v>2</v>
      </c>
      <c r="G1156" s="228" t="str">
        <f t="shared" ca="1" si="787"/>
        <v xml:space="preserve">   GERENCIAMENTO EXECUTIVO</v>
      </c>
      <c r="H1156" s="230">
        <f t="shared" ca="1" si="782"/>
        <v>9</v>
      </c>
      <c r="I1156" s="228" t="str">
        <f t="shared" ca="1" si="788"/>
        <v xml:space="preserve">   INSTALAÇÕES PREVENTIVAS</v>
      </c>
      <c r="J1156" s="230">
        <f t="shared" ca="1" si="783"/>
        <v>6</v>
      </c>
      <c r="K1156" s="228" t="str">
        <f t="shared" ca="1" si="789"/>
        <v xml:space="preserve">   INSTALAÇÕES SPDA</v>
      </c>
      <c r="L1156" s="231">
        <f t="shared" ca="1" si="784"/>
        <v>0</v>
      </c>
      <c r="M1156" s="228" t="str">
        <f t="shared" ca="1" si="790"/>
        <v xml:space="preserve">   Instalações Preventivas</v>
      </c>
      <c r="N1156" s="231">
        <f t="shared" ca="1" si="785"/>
        <v>1</v>
      </c>
      <c r="O1156" s="228" t="str">
        <f t="shared" ca="1" si="791"/>
        <v>Instalacos do Sistema Preventivo de Incendio - Pavimento Técnico</v>
      </c>
      <c r="P1156" s="232" t="str">
        <f>IF(S1156="","",IF(Orçamento!$B1156="INSUMO",S1156,""))</f>
        <v/>
      </c>
      <c r="Q1156" s="244" t="str">
        <f t="shared" si="794"/>
        <v/>
      </c>
      <c r="R1156" s="234">
        <f t="shared" ca="1" si="792"/>
        <v>1</v>
      </c>
      <c r="S1156" s="233" t="s">
        <v>454</v>
      </c>
      <c r="T1156" s="242" t="s">
        <v>35</v>
      </c>
      <c r="U1156" s="235" t="str">
        <f>IF($B1156="insumo",R1156,"")</f>
        <v/>
      </c>
      <c r="V1156" s="320" t="s">
        <v>35</v>
      </c>
      <c r="W1156" s="236" t="str">
        <f>IFERROR(IF(B1156="INSUMO",_xlfn.XLOOKUP(S1156,Insumos!A:A,Insumos!C:C),""),"Inserir Preço")</f>
        <v/>
      </c>
      <c r="X1156" s="235" t="str">
        <f t="shared" ca="1" si="793"/>
        <v/>
      </c>
      <c r="Y1156" s="236" t="str">
        <f t="shared" si="786"/>
        <v/>
      </c>
      <c r="Z1156" s="237">
        <f t="shared" ca="1" si="752"/>
        <v>9716.15</v>
      </c>
      <c r="AA1156" s="238"/>
      <c r="AB1156" s="233" t="str">
        <f>IF(B1156="insumo",_xlfn.XLOOKUP(S1156,Insumos!A:A,Insumos!D:D),"")</f>
        <v/>
      </c>
      <c r="AC1156" s="239">
        <f t="shared" ca="1" si="753"/>
        <v>1.3938703016267184E-3</v>
      </c>
      <c r="AE1156" s="240">
        <f ca="1">IFERROR(IF(OR(Z1156="",Z1156=0),"",IF(AF1156="","",IF(AF1156="R$/mês",Z1156/OBRA!$D$12,IF(AF1156="R$/m²",Z1156/OBRA!$D$10,IF(AF1156="R$/apto",Orçamento!Z1156/OBRA!$D$11,""))))),"")</f>
        <v>5</v>
      </c>
      <c r="AF1156" s="241" t="s">
        <v>154</v>
      </c>
    </row>
    <row r="1157" spans="1:32" s="10" customFormat="1" ht="13.15" hidden="1" customHeight="1" outlineLevel="3" collapsed="1" x14ac:dyDescent="0.2">
      <c r="A1157" s="227"/>
      <c r="B1157" s="228" t="s">
        <v>3</v>
      </c>
      <c r="C1157" s="229" t="str">
        <f t="shared" si="751"/>
        <v/>
      </c>
      <c r="D1157" s="227" t="str">
        <f t="shared" ca="1" si="780"/>
        <v>09.006.001</v>
      </c>
      <c r="E1157" s="228" t="str">
        <f t="shared" ca="1" si="781"/>
        <v>09.005.001.001</v>
      </c>
      <c r="F1157" s="230">
        <f ca="1">IF($B1157="UNIDADE CONSTRUTIVA",OFFSET(F1157,-1,0)+1,LARGE(F$10:F1156,1))</f>
        <v>2</v>
      </c>
      <c r="G1157" s="228" t="str">
        <f t="shared" ca="1" si="787"/>
        <v xml:space="preserve">   GERENCIAMENTO EXECUTIVO</v>
      </c>
      <c r="H1157" s="230">
        <f t="shared" ca="1" si="782"/>
        <v>9</v>
      </c>
      <c r="I1157" s="228" t="str">
        <f t="shared" ca="1" si="788"/>
        <v xml:space="preserve">   INSTALAÇÕES PREVENTIVAS</v>
      </c>
      <c r="J1157" s="230">
        <f t="shared" ca="1" si="783"/>
        <v>6</v>
      </c>
      <c r="K1157" s="228" t="str">
        <f t="shared" ca="1" si="789"/>
        <v xml:space="preserve">   INSTALAÇÕES SPDA</v>
      </c>
      <c r="L1157" s="231">
        <f t="shared" ca="1" si="784"/>
        <v>1</v>
      </c>
      <c r="M1157" s="228" t="str">
        <f t="shared" ca="1" si="790"/>
        <v xml:space="preserve">   Instalações SPDA</v>
      </c>
      <c r="N1157" s="231">
        <f t="shared" ca="1" si="785"/>
        <v>0</v>
      </c>
      <c r="O1157" s="228" t="str">
        <f t="shared" ca="1" si="791"/>
        <v>Instalacos do Sistema Preventivo de Incendio - Pavimento Técnico</v>
      </c>
      <c r="P1157" s="232" t="str">
        <f>IF(S1157="","",IF(Orçamento!$B1157="INSUMO",S1157,""))</f>
        <v/>
      </c>
      <c r="Q1157" s="244" t="str">
        <f t="shared" si="794"/>
        <v/>
      </c>
      <c r="R1157" s="234">
        <f t="shared" ca="1" si="792"/>
        <v>1</v>
      </c>
      <c r="S1157" s="233" t="s">
        <v>455</v>
      </c>
      <c r="T1157" s="242" t="s">
        <v>35</v>
      </c>
      <c r="U1157" s="235" t="str">
        <f>IF($B1157="insumo",R1157,"")</f>
        <v/>
      </c>
      <c r="V1157" s="320" t="s">
        <v>35</v>
      </c>
      <c r="W1157" s="236" t="str">
        <f>IFERROR(IF(B1157="INSUMO",_xlfn.XLOOKUP(S1157,Insumos!A:A,Insumos!C:C),""),"Inserir Preço")</f>
        <v/>
      </c>
      <c r="X1157" s="235" t="str">
        <f t="shared" ca="1" si="793"/>
        <v/>
      </c>
      <c r="Y1157" s="236" t="str">
        <f t="shared" si="786"/>
        <v/>
      </c>
      <c r="Z1157" s="237">
        <f t="shared" ca="1" si="752"/>
        <v>9716.15</v>
      </c>
      <c r="AA1157" s="238"/>
      <c r="AB1157" s="233" t="str">
        <f>IF(B1157="insumo",_xlfn.XLOOKUP(S1157,Insumos!A:A,Insumos!D:D),"")</f>
        <v/>
      </c>
      <c r="AC1157" s="239">
        <f t="shared" ca="1" si="753"/>
        <v>1.3938703016267184E-3</v>
      </c>
      <c r="AE1157" s="240">
        <f ca="1">IFERROR(IF(OR(Z1157="",Z1157=0),"",IF(AF1157="","",IF(AF1157="R$/mês",Z1157/OBRA!$D$12,IF(AF1157="R$/m²",Z1157/OBRA!$D$10,IF(AF1157="R$/apto",Orçamento!Z1157/OBRA!$D$11,""))))),"")</f>
        <v>5</v>
      </c>
      <c r="AF1157" s="241" t="s">
        <v>154</v>
      </c>
    </row>
    <row r="1158" spans="1:32" s="10" customFormat="1" ht="13.15" hidden="1" customHeight="1" outlineLevel="4" x14ac:dyDescent="0.2">
      <c r="A1158" s="227"/>
      <c r="B1158" s="228" t="s">
        <v>4</v>
      </c>
      <c r="C1158" s="229">
        <f t="shared" si="751"/>
        <v>1</v>
      </c>
      <c r="D1158" s="227" t="str">
        <f ca="1">IF(B1158="Unidade Construtiva",TEXT(F1158,"00"),IF(B1158="Célula Construtiva",TEXT(H1158,"00"),IF(B1158="Etapa",CONCATENATE(TEXT(H1158,"00"),".",TEXT(J1158,"000")),IF(B1158="Subetapa",CONCATENATE(TEXT(H1158,"00"),".",TEXT(J1158,"000"),".",TEXT(L1158,"000")),IF(B1158="Serviço",CONCATENATE(TEXT(H1158,"00"),".",TEXT(J1158,"000"),".",TEXT(L1158,"000"),".",TEXT(N1158,"000")),"")))))</f>
        <v>09.006.001.001</v>
      </c>
      <c r="E1158" s="228" t="str">
        <f ca="1">IF(B1158="*","",IFERROR(IF(B1158="SERVIÇO",D1158,OFFSET(E1158,-1,0)),""))</f>
        <v>09.006.001.001</v>
      </c>
      <c r="F1158" s="230">
        <f ca="1">IF($B1158="UNIDADE CONSTRUTIVA",OFFSET(F1158,-1,0)+1,LARGE(F$10:F1157,1))</f>
        <v>2</v>
      </c>
      <c r="G1158" s="228" t="str">
        <f t="shared" ca="1" si="787"/>
        <v xml:space="preserve">   GERENCIAMENTO EXECUTIVO</v>
      </c>
      <c r="H1158" s="230">
        <f ca="1">IF(B1158="UNIDADE CONSTRUTIVA",0,IF(B1158="CÉLULA CONSTRUTIVA",OFFSET(H1158,-1,0)+1,OFFSET(H1158,-1,0)))</f>
        <v>9</v>
      </c>
      <c r="I1158" s="228" t="str">
        <f t="shared" ca="1" si="788"/>
        <v xml:space="preserve">   INSTALAÇÕES PREVENTIVAS</v>
      </c>
      <c r="J1158" s="230">
        <f ca="1">IF(B1158="CÉLULA CONSTRUTIVA",0,IF(B1158="ETAPA",OFFSET(J1158,-1,0)+1,OFFSET(J1158,-1,0)))</f>
        <v>6</v>
      </c>
      <c r="K1158" s="228" t="str">
        <f t="shared" ca="1" si="789"/>
        <v xml:space="preserve">   INSTALAÇÕES SPDA</v>
      </c>
      <c r="L1158" s="231">
        <f ca="1">IF(B1158="ETAPA",0,IF(B1158="SUBETAPA",OFFSET(L1158,-1,0)+1,OFFSET(L1158,-1,0)))</f>
        <v>1</v>
      </c>
      <c r="M1158" s="228" t="str">
        <f t="shared" ca="1" si="790"/>
        <v xml:space="preserve">   Instalações SPDA</v>
      </c>
      <c r="N1158" s="231">
        <f ca="1">IF(B1158="Subetapa",0,IF(B1158="serviço",OFFSET(N1158,-1,0)+1,OFFSET(N1158,-1,0)))</f>
        <v>1</v>
      </c>
      <c r="O1158" s="228" t="str">
        <f t="shared" ca="1" si="791"/>
        <v>Instalacoes de Protecao e Aterramento - SPDA</v>
      </c>
      <c r="P1158" s="232" t="str">
        <f>IF(S1158="","",IF(Orçamento!$B1158="INSUMO",S1158,""))</f>
        <v/>
      </c>
      <c r="Q1158" s="244" t="str">
        <f t="shared" si="794"/>
        <v>Instalacoes de Protecao e Aterramento - SPDA</v>
      </c>
      <c r="R1158" s="234">
        <f t="shared" ca="1" si="792"/>
        <v>1</v>
      </c>
      <c r="S1158" s="233" t="s">
        <v>456</v>
      </c>
      <c r="T1158" s="242" t="s">
        <v>170</v>
      </c>
      <c r="U1158" s="235">
        <v>1</v>
      </c>
      <c r="V1158" s="320" t="s">
        <v>35</v>
      </c>
      <c r="W1158" s="236" t="str">
        <f>IFERROR(IF(B1158="INSUMO",_xlfn.XLOOKUP(S1158,Insumos!A:A,Insumos!C:C),""),"Inserir Preço")</f>
        <v/>
      </c>
      <c r="X1158" s="235">
        <f t="shared" ca="1" si="793"/>
        <v>1</v>
      </c>
      <c r="Y1158" s="236">
        <f t="shared" ca="1" si="786"/>
        <v>9716.15</v>
      </c>
      <c r="Z1158" s="237">
        <f t="shared" ca="1" si="752"/>
        <v>9716.15</v>
      </c>
      <c r="AA1158" s="238"/>
      <c r="AB1158" s="233" t="str">
        <f>IF(B1158="insumo",_xlfn.XLOOKUP(S1158,Insumos!A:A,Insumos!D:D),"")</f>
        <v/>
      </c>
      <c r="AC1158" s="239">
        <f t="shared" ca="1" si="753"/>
        <v>1.3938703016267184E-3</v>
      </c>
      <c r="AE1158" s="240">
        <f ca="1">IFERROR(IF(OR(Z1158="",Z1158=0),"",IF(AF1158="","",IF(AF1158="R$/mês",Z1158/OBRA!$D$12,IF(AF1158="R$/m²",Z1158/OBRA!$D$10,IF(AF1158="R$/apto",Orçamento!Z1158/OBRA!$D$11,""))))),"")</f>
        <v>5</v>
      </c>
      <c r="AF1158" s="241" t="s">
        <v>154</v>
      </c>
    </row>
    <row r="1159" spans="1:32" s="10" customFormat="1" ht="13.15" hidden="1" customHeight="1" outlineLevel="4" x14ac:dyDescent="0.2">
      <c r="A1159" s="227"/>
      <c r="B1159" s="228" t="s">
        <v>19</v>
      </c>
      <c r="C1159" s="229">
        <f t="shared" si="751"/>
        <v>1</v>
      </c>
      <c r="D1159" s="227" t="str">
        <f>IF(B1159="Unidade Construtiva",TEXT(F1159,"00"),IF(B1159="Célula Construtiva",TEXT(H1159,"00"),IF(B1159="Etapa",CONCATENATE(TEXT(H1159,"00"),".",TEXT(J1159,"000")),IF(B1159="Subetapa",CONCATENATE(TEXT(H1159,"00"),".",TEXT(J1159,"000"),".",TEXT(L1159,"000")),IF(B1159="Serviço",CONCATENATE(TEXT(H1159,"00"),".",TEXT(J1159,"000"),".",TEXT(L1159,"000"),".",TEXT(N1159,"000")),"")))))</f>
        <v/>
      </c>
      <c r="E1159" s="228" t="str">
        <f ca="1">IF(B1159="*","",IFERROR(IF(B1159="SERVIÇO",D1159,OFFSET(E1159,-1,0)),""))</f>
        <v>09.006.001.001</v>
      </c>
      <c r="F1159" s="230">
        <f ca="1">IF($B1159="UNIDADE CONSTRUTIVA",OFFSET(F1159,-1,0)+1,LARGE(F$10:F1158,1))</f>
        <v>2</v>
      </c>
      <c r="G1159" s="228" t="str">
        <f t="shared" ca="1" si="787"/>
        <v xml:space="preserve">   GERENCIAMENTO EXECUTIVO</v>
      </c>
      <c r="H1159" s="230">
        <f ca="1">IF(B1159="UNIDADE CONSTRUTIVA",0,IF(B1159="CÉLULA CONSTRUTIVA",OFFSET(H1159,-1,0)+1,OFFSET(H1159,-1,0)))</f>
        <v>9</v>
      </c>
      <c r="I1159" s="228" t="str">
        <f t="shared" ca="1" si="788"/>
        <v xml:space="preserve">   INSTALAÇÕES PREVENTIVAS</v>
      </c>
      <c r="J1159" s="230">
        <f ca="1">IF(B1159="CÉLULA CONSTRUTIVA",0,IF(B1159="ETAPA",OFFSET(J1159,-1,0)+1,OFFSET(J1159,-1,0)))</f>
        <v>6</v>
      </c>
      <c r="K1159" s="228" t="str">
        <f t="shared" ca="1" si="789"/>
        <v xml:space="preserve">   INSTALAÇÕES SPDA</v>
      </c>
      <c r="L1159" s="231">
        <f ca="1">IF(B1159="ETAPA",0,IF(B1159="SUBETAPA",OFFSET(L1159,-1,0)+1,OFFSET(L1159,-1,0)))</f>
        <v>1</v>
      </c>
      <c r="M1159" s="228" t="str">
        <f t="shared" ca="1" si="790"/>
        <v xml:space="preserve">   Instalações SPDA</v>
      </c>
      <c r="N1159" s="231">
        <f ca="1">IF(B1159="Subetapa",0,IF(B1159="serviço",OFFSET(N1159,-1,0)+1,OFFSET(N1159,-1,0)))</f>
        <v>1</v>
      </c>
      <c r="O1159" s="228" t="str">
        <f t="shared" ca="1" si="791"/>
        <v>Instalacoes de Protecao e Aterramento - SPDA</v>
      </c>
      <c r="P1159" s="232" t="str">
        <f>IF(S1159="","",IF(Orçamento!$B1159="INSUMO",S1159,""))</f>
        <v>INSTALACOES DE PROTECAO E ATERRAMENTO - SPDA</v>
      </c>
      <c r="Q1159" s="244" t="str">
        <f t="shared" si="794"/>
        <v/>
      </c>
      <c r="R1159" s="234">
        <f t="shared" ca="1" si="792"/>
        <v>1</v>
      </c>
      <c r="S1159" s="233" t="s">
        <v>293</v>
      </c>
      <c r="T1159" s="242" t="str">
        <f>_xlfn.XLOOKUP(S1159,Insumos!$A$3:$A$371,Insumos!$B$3:$B$371)</f>
        <v>VB</v>
      </c>
      <c r="U1159" s="235">
        <f ca="1">IF($B1159="insumo",R1159,"")</f>
        <v>1</v>
      </c>
      <c r="V1159" s="320">
        <v>1</v>
      </c>
      <c r="W1159" s="236">
        <f>IFERROR(IF(B1159="INSUMO",_xlfn.XLOOKUP(S1159,Insumos!A:A,Insumos!C:C),""),"Inserir Preço")</f>
        <v>9716.15</v>
      </c>
      <c r="X1159" s="235">
        <f t="shared" ca="1" si="793"/>
        <v>1</v>
      </c>
      <c r="Y1159" s="236">
        <f t="shared" si="786"/>
        <v>9716.15</v>
      </c>
      <c r="Z1159" s="237">
        <f t="shared" ca="1" si="752"/>
        <v>9716.15</v>
      </c>
      <c r="AA1159" s="238"/>
      <c r="AB1159" s="233" t="str">
        <f>IF(B1159="insumo",_xlfn.XLOOKUP(S1159,Insumos!A:A,Insumos!D:D),"")</f>
        <v>Estimativa</v>
      </c>
      <c r="AC1159" s="239">
        <f t="shared" ca="1" si="753"/>
        <v>1.3938703016267184E-3</v>
      </c>
      <c r="AE1159" s="240">
        <f ca="1">IFERROR(IF(OR(Z1159="",Z1159=0),"",IF(AF1159="","",IF(AF1159="R$/mês",Z1159/OBRA!$D$12,IF(AF1159="R$/m²",Z1159/OBRA!$D$10,IF(AF1159="R$/apto",Orçamento!Z1159/OBRA!$D$11,""))))),"")</f>
        <v>5</v>
      </c>
      <c r="AF1159" s="241" t="s">
        <v>154</v>
      </c>
    </row>
    <row r="1160" spans="1:32" s="10" customFormat="1" ht="13.15" customHeight="1" outlineLevel="1" x14ac:dyDescent="0.2">
      <c r="A1160" s="227"/>
      <c r="B1160" s="228" t="s">
        <v>1</v>
      </c>
      <c r="C1160" s="229" t="str">
        <f t="shared" si="751"/>
        <v/>
      </c>
      <c r="D1160" s="227" t="str">
        <f t="shared" ref="D1160:D1165" ca="1" si="795">IF(B1160="Unidade Construtiva",TEXT(F1160,"00"),IF(B1160="Célula Construtiva",TEXT(H1160,"00"),IF(B1160="Etapa",CONCATENATE(TEXT(H1160,"00"),".",TEXT(J1160,"000")),IF(B1160="Subetapa",CONCATENATE(TEXT(H1160,"00"),".",TEXT(J1160,"000"),".",TEXT(L1160,"000")),IF(B1160="Serviço",CONCATENATE(TEXT(H1160,"00"),".",TEXT(J1160,"000"),".",TEXT(L1160,"000"),".",TEXT(N1160,"000")),"")))))</f>
        <v>10</v>
      </c>
      <c r="E1160" s="228" t="str">
        <f ca="1">IF(B1160="*","",IFERROR(IF(B1160="SERVIÇO",D1160,OFFSET(E1160,-1,0)),""))</f>
        <v>09.006.001.001</v>
      </c>
      <c r="F1160" s="230">
        <f ca="1">IF($B1160="UNIDADE CONSTRUTIVA",OFFSET(F1160,-1,0)+1,LARGE(F$10:F1159,1))</f>
        <v>2</v>
      </c>
      <c r="G1160" s="228" t="str">
        <f t="shared" ca="1" si="787"/>
        <v xml:space="preserve">   GERENCIAMENTO EXECUTIVO</v>
      </c>
      <c r="H1160" s="230">
        <f ca="1">IF(B1160="UNIDADE CONSTRUTIVA",0,IF(B1160="CÉLULA CONSTRUTIVA",OFFSET(H1160,-1,0)+1,OFFSET(H1160,-1,0)))</f>
        <v>10</v>
      </c>
      <c r="I1160" s="228" t="str">
        <f t="shared" ca="1" si="788"/>
        <v xml:space="preserve">   INSTALAÇÕES DE COMUNICAÇÕES</v>
      </c>
      <c r="J1160" s="230">
        <f ca="1">IF(B1160="CÉLULA CONSTRUTIVA",0,IF(B1160="ETAPA",OFFSET(J1160,-1,0)+1,OFFSET(J1160,-1,0)))</f>
        <v>0</v>
      </c>
      <c r="K1160" s="228" t="str">
        <f t="shared" ca="1" si="789"/>
        <v xml:space="preserve">   INSTALAÇÕES SPDA</v>
      </c>
      <c r="L1160" s="231">
        <f ca="1">IF(B1160="ETAPA",0,IF(B1160="SUBETAPA",OFFSET(L1160,-1,0)+1,OFFSET(L1160,-1,0)))</f>
        <v>1</v>
      </c>
      <c r="M1160" s="228" t="str">
        <f t="shared" ca="1" si="790"/>
        <v xml:space="preserve">   Instalações SPDA</v>
      </c>
      <c r="N1160" s="231">
        <f ca="1">IF(B1160="Subetapa",0,IF(B1160="serviço",OFFSET(N1160,-1,0)+1,OFFSET(N1160,-1,0)))</f>
        <v>1</v>
      </c>
      <c r="O1160" s="228" t="str">
        <f t="shared" ca="1" si="791"/>
        <v>Instalacoes de Protecao e Aterramento - SPDA</v>
      </c>
      <c r="P1160" s="232" t="str">
        <f>IF(S1160="","",IF(Orçamento!$B1160="INSUMO",S1160,""))</f>
        <v/>
      </c>
      <c r="Q1160" s="244" t="str">
        <f t="shared" si="794"/>
        <v/>
      </c>
      <c r="R1160" s="234">
        <f t="shared" ca="1" si="792"/>
        <v>1</v>
      </c>
      <c r="S1160" s="233" t="s">
        <v>1052</v>
      </c>
      <c r="T1160" s="242" t="s">
        <v>35</v>
      </c>
      <c r="U1160" s="235" t="str">
        <f>IF($B1160="insumo",R1160,"")</f>
        <v/>
      </c>
      <c r="V1160" s="320" t="s">
        <v>35</v>
      </c>
      <c r="W1160" s="236" t="str">
        <f>IFERROR(IF(B1160="INSUMO",_xlfn.XLOOKUP(S1160,Insumos!A:A,Insumos!C:C),""),"Inserir Preço")</f>
        <v/>
      </c>
      <c r="X1160" s="235" t="str">
        <f t="shared" ca="1" si="793"/>
        <v/>
      </c>
      <c r="Y1160" s="236" t="str">
        <f t="shared" si="786"/>
        <v/>
      </c>
      <c r="Z1160" s="237">
        <f t="shared" ca="1" si="752"/>
        <v>17079.150000000001</v>
      </c>
      <c r="AA1160" s="238"/>
      <c r="AB1160" s="233" t="str">
        <f>IF(B1160="insumo",_xlfn.XLOOKUP(S1160,Insumos!A:A,Insumos!D:D),"")</f>
        <v/>
      </c>
      <c r="AC1160" s="239">
        <f t="shared" ca="1" si="753"/>
        <v>2.4501597816036155E-3</v>
      </c>
      <c r="AD1160" s="340"/>
      <c r="AE1160" s="240">
        <f ca="1">IFERROR(IF(OR(Z1160="",Z1160=0),"",IF(AF1160="","",IF(AF1160="R$/mês",Z1160/OBRA!$D$12,IF(AF1160="R$/m²",Z1160/OBRA!$D$10,IF(AF1160="R$/apto",Orçamento!Z1160/OBRA!$D$11,""))))),"")</f>
        <v>8.7890522480612177</v>
      </c>
      <c r="AF1160" s="241" t="s">
        <v>154</v>
      </c>
    </row>
    <row r="1161" spans="1:32" s="10" customFormat="1" ht="13.15" customHeight="1" outlineLevel="2" collapsed="1" x14ac:dyDescent="0.2">
      <c r="A1161" s="227"/>
      <c r="B1161" s="228" t="s">
        <v>2</v>
      </c>
      <c r="C1161" s="229" t="str">
        <f t="shared" si="751"/>
        <v/>
      </c>
      <c r="D1161" s="227" t="str">
        <f t="shared" ca="1" si="795"/>
        <v>10.001</v>
      </c>
      <c r="E1161" s="228" t="str">
        <f t="shared" ref="E1161:E1165" ca="1" si="796">IF(B1161="*","",IFERROR(IF(B1161="SERVIÇO",D1161,OFFSET(E1161,-1,0)),""))</f>
        <v>09.006.001.001</v>
      </c>
      <c r="F1161" s="230">
        <f ca="1">IF($B1161="UNIDADE CONSTRUTIVA",OFFSET(F1161,-1,0)+1,LARGE(F$10:F1160,1))</f>
        <v>2</v>
      </c>
      <c r="G1161" s="228" t="str">
        <f t="shared" ca="1" si="787"/>
        <v xml:space="preserve">   GERENCIAMENTO EXECUTIVO</v>
      </c>
      <c r="H1161" s="230">
        <f t="shared" ref="H1161:H1165" ca="1" si="797">IF(B1161="UNIDADE CONSTRUTIVA",0,IF(B1161="CÉLULA CONSTRUTIVA",OFFSET(H1161,-1,0)+1,OFFSET(H1161,-1,0)))</f>
        <v>10</v>
      </c>
      <c r="I1161" s="228" t="str">
        <f t="shared" ca="1" si="788"/>
        <v xml:space="preserve">   INSTALAÇÕES DE COMUNICAÇÕES</v>
      </c>
      <c r="J1161" s="230">
        <f t="shared" ref="J1161:J1165" ca="1" si="798">IF(B1161="CÉLULA CONSTRUTIVA",0,IF(B1161="ETAPA",OFFSET(J1161,-1,0)+1,OFFSET(J1161,-1,0)))</f>
        <v>1</v>
      </c>
      <c r="K1161" s="228" t="str">
        <f t="shared" ca="1" si="789"/>
        <v xml:space="preserve">   INSTALAÇÕES DE COMUNICAÇÕES</v>
      </c>
      <c r="L1161" s="231">
        <f t="shared" ref="L1161:L1165" ca="1" si="799">IF(B1161="ETAPA",0,IF(B1161="SUBETAPA",OFFSET(L1161,-1,0)+1,OFFSET(L1161,-1,0)))</f>
        <v>0</v>
      </c>
      <c r="M1161" s="228" t="str">
        <f t="shared" ca="1" si="790"/>
        <v xml:space="preserve">   Instalações SPDA</v>
      </c>
      <c r="N1161" s="231">
        <f t="shared" ref="N1161:N1165" ca="1" si="800">IF(B1161="Subetapa",0,IF(B1161="serviço",OFFSET(N1161,-1,0)+1,OFFSET(N1161,-1,0)))</f>
        <v>1</v>
      </c>
      <c r="O1161" s="228" t="str">
        <f t="shared" ca="1" si="791"/>
        <v>Instalacoes de Protecao e Aterramento - SPDA</v>
      </c>
      <c r="P1161" s="232" t="str">
        <f>IF(S1161="","",IF(Orçamento!$B1161="INSUMO",S1161,""))</f>
        <v/>
      </c>
      <c r="Q1161" s="244" t="str">
        <f t="shared" si="794"/>
        <v/>
      </c>
      <c r="R1161" s="234">
        <f t="shared" ca="1" si="792"/>
        <v>1</v>
      </c>
      <c r="S1161" s="233" t="s">
        <v>1052</v>
      </c>
      <c r="T1161" s="242" t="s">
        <v>35</v>
      </c>
      <c r="U1161" s="235" t="str">
        <f>IF($B1161="insumo",R1161,"")</f>
        <v/>
      </c>
      <c r="V1161" s="320" t="s">
        <v>35</v>
      </c>
      <c r="W1161" s="236" t="str">
        <f>IFERROR(IF(B1161="INSUMO",_xlfn.XLOOKUP(S1161,Insumos!A:A,Insumos!C:C),""),"Inserir Preço")</f>
        <v/>
      </c>
      <c r="X1161" s="235" t="str">
        <f t="shared" ca="1" si="793"/>
        <v/>
      </c>
      <c r="Y1161" s="236" t="str">
        <f t="shared" si="786"/>
        <v/>
      </c>
      <c r="Z1161" s="237">
        <f t="shared" ca="1" si="752"/>
        <v>17079.150000000001</v>
      </c>
      <c r="AA1161" s="238"/>
      <c r="AB1161" s="233" t="str">
        <f>IF(B1161="insumo",_xlfn.XLOOKUP(S1161,Insumos!A:A,Insumos!D:D),"")</f>
        <v/>
      </c>
      <c r="AC1161" s="239">
        <f t="shared" ca="1" si="753"/>
        <v>2.4501597816036155E-3</v>
      </c>
      <c r="AE1161" s="240">
        <f ca="1">IFERROR(IF(OR(Z1161="",Z1161=0),"",IF(AF1161="","",IF(AF1161="R$/mês",Z1161/OBRA!$D$12,IF(AF1161="R$/m²",Z1161/OBRA!$D$10,IF(AF1161="R$/apto",Orçamento!Z1161/OBRA!$D$11,""))))),"")</f>
        <v>8.7890522480612177</v>
      </c>
      <c r="AF1161" s="241" t="s">
        <v>154</v>
      </c>
    </row>
    <row r="1162" spans="1:32" s="10" customFormat="1" ht="13.15" hidden="1" customHeight="1" outlineLevel="3" collapsed="1" x14ac:dyDescent="0.2">
      <c r="A1162" s="227"/>
      <c r="B1162" s="228" t="s">
        <v>3</v>
      </c>
      <c r="C1162" s="229" t="str">
        <f t="shared" si="751"/>
        <v/>
      </c>
      <c r="D1162" s="227" t="str">
        <f t="shared" ca="1" si="795"/>
        <v>10.001.001</v>
      </c>
      <c r="E1162" s="228" t="str">
        <f t="shared" ca="1" si="796"/>
        <v>09.006.001.001</v>
      </c>
      <c r="F1162" s="230">
        <f ca="1">IF($B1162="UNIDADE CONSTRUTIVA",OFFSET(F1162,-1,0)+1,LARGE(F$10:F1161,1))</f>
        <v>2</v>
      </c>
      <c r="G1162" s="228" t="str">
        <f t="shared" ca="1" si="787"/>
        <v xml:space="preserve">   GERENCIAMENTO EXECUTIVO</v>
      </c>
      <c r="H1162" s="230">
        <f t="shared" ca="1" si="797"/>
        <v>10</v>
      </c>
      <c r="I1162" s="228" t="str">
        <f t="shared" ca="1" si="788"/>
        <v xml:space="preserve">   INSTALAÇÕES DE COMUNICAÇÕES</v>
      </c>
      <c r="J1162" s="230">
        <f t="shared" ca="1" si="798"/>
        <v>1</v>
      </c>
      <c r="K1162" s="228" t="str">
        <f t="shared" ca="1" si="789"/>
        <v xml:space="preserve">   INSTALAÇÕES DE COMUNICAÇÕES</v>
      </c>
      <c r="L1162" s="231">
        <f t="shared" ca="1" si="799"/>
        <v>1</v>
      </c>
      <c r="M1162" s="228" t="str">
        <f t="shared" ca="1" si="790"/>
        <v xml:space="preserve">   Sistema de interfone / controle de acesso</v>
      </c>
      <c r="N1162" s="231">
        <f t="shared" ca="1" si="800"/>
        <v>0</v>
      </c>
      <c r="O1162" s="228" t="str">
        <f t="shared" ca="1" si="791"/>
        <v>Instalacoes de Protecao e Aterramento - SPDA</v>
      </c>
      <c r="P1162" s="232" t="str">
        <f>IF(S1162="","",IF(Orçamento!$B1162="INSUMO",S1162,""))</f>
        <v/>
      </c>
      <c r="Q1162" s="244" t="str">
        <f t="shared" si="794"/>
        <v/>
      </c>
      <c r="R1162" s="234">
        <f t="shared" ca="1" si="792"/>
        <v>1</v>
      </c>
      <c r="S1162" s="233" t="s">
        <v>1054</v>
      </c>
      <c r="T1162" s="242" t="s">
        <v>35</v>
      </c>
      <c r="U1162" s="235" t="str">
        <f>IF($B1162="insumo",R1162,"")</f>
        <v/>
      </c>
      <c r="V1162" s="320" t="s">
        <v>35</v>
      </c>
      <c r="W1162" s="236" t="str">
        <f>IFERROR(IF(B1162="INSUMO",_xlfn.XLOOKUP(S1162,Insumos!A:A,Insumos!C:C),""),"Inserir Preço")</f>
        <v/>
      </c>
      <c r="X1162" s="235" t="str">
        <f t="shared" ca="1" si="793"/>
        <v/>
      </c>
      <c r="Y1162" s="236" t="str">
        <f t="shared" si="786"/>
        <v/>
      </c>
      <c r="Z1162" s="237">
        <f t="shared" ca="1" si="752"/>
        <v>7363</v>
      </c>
      <c r="AA1162" s="238"/>
      <c r="AB1162" s="233" t="str">
        <f>IF(B1162="insumo",_xlfn.XLOOKUP(S1162,Insumos!A:A,Insumos!D:D),"")</f>
        <v/>
      </c>
      <c r="AC1162" s="239">
        <f t="shared" ca="1" si="753"/>
        <v>1.056289479976897E-3</v>
      </c>
      <c r="AE1162" s="240">
        <f ca="1">IFERROR(IF(OR(Z1162="",Z1162=0),"",IF(AF1162="","",IF(AF1162="R$/mês",Z1162/OBRA!$D$12,IF(AF1162="R$/m²",Z1162/OBRA!$D$10,IF(AF1162="R$/apto",Orçamento!Z1162/OBRA!$D$11,""))))),"")</f>
        <v>3.7890522480612177</v>
      </c>
      <c r="AF1162" s="241" t="s">
        <v>154</v>
      </c>
    </row>
    <row r="1163" spans="1:32" s="10" customFormat="1" ht="13.15" hidden="1" customHeight="1" outlineLevel="4" x14ac:dyDescent="0.2">
      <c r="A1163" s="227"/>
      <c r="B1163" s="228" t="s">
        <v>4</v>
      </c>
      <c r="C1163" s="229">
        <f t="shared" si="751"/>
        <v>1</v>
      </c>
      <c r="D1163" s="227" t="str">
        <f t="shared" ca="1" si="795"/>
        <v>10.001.001.001</v>
      </c>
      <c r="E1163" s="228" t="str">
        <f t="shared" ca="1" si="796"/>
        <v>10.001.001.001</v>
      </c>
      <c r="F1163" s="230">
        <f ca="1">IF($B1163="UNIDADE CONSTRUTIVA",OFFSET(F1163,-1,0)+1,LARGE(F$10:F1162,1))</f>
        <v>2</v>
      </c>
      <c r="G1163" s="228" t="str">
        <f t="shared" ca="1" si="787"/>
        <v xml:space="preserve">   GERENCIAMENTO EXECUTIVO</v>
      </c>
      <c r="H1163" s="230">
        <f t="shared" ca="1" si="797"/>
        <v>10</v>
      </c>
      <c r="I1163" s="228" t="str">
        <f t="shared" ca="1" si="788"/>
        <v xml:space="preserve">   INSTALAÇÕES DE COMUNICAÇÕES</v>
      </c>
      <c r="J1163" s="230">
        <f t="shared" ca="1" si="798"/>
        <v>1</v>
      </c>
      <c r="K1163" s="228" t="str">
        <f t="shared" ca="1" si="789"/>
        <v xml:space="preserve">   INSTALAÇÕES DE COMUNICAÇÕES</v>
      </c>
      <c r="L1163" s="231">
        <f t="shared" ca="1" si="799"/>
        <v>1</v>
      </c>
      <c r="M1163" s="228" t="str">
        <f t="shared" ca="1" si="790"/>
        <v xml:space="preserve">   Sistema de interfone / controle de acesso</v>
      </c>
      <c r="N1163" s="231">
        <f t="shared" ca="1" si="800"/>
        <v>1</v>
      </c>
      <c r="O1163" s="228" t="str">
        <f t="shared" ca="1" si="791"/>
        <v>Sistema de interfone / controle de acesso</v>
      </c>
      <c r="P1163" s="232" t="str">
        <f>IF(S1163="","",IF(Orçamento!$B1163="INSUMO",S1163,""))</f>
        <v/>
      </c>
      <c r="Q1163" s="244" t="str">
        <f t="shared" si="794"/>
        <v>Sistema de interfone / controle de acesso</v>
      </c>
      <c r="R1163" s="234">
        <f t="shared" ca="1" si="792"/>
        <v>1</v>
      </c>
      <c r="S1163" s="233" t="s">
        <v>1053</v>
      </c>
      <c r="T1163" s="242" t="s">
        <v>142</v>
      </c>
      <c r="U1163" s="235">
        <v>1</v>
      </c>
      <c r="V1163" s="320" t="s">
        <v>35</v>
      </c>
      <c r="W1163" s="236" t="str">
        <f>IFERROR(IF(B1163="INSUMO",_xlfn.XLOOKUP(S1163,Insumos!A:A,Insumos!C:C),""),"Inserir Preço")</f>
        <v/>
      </c>
      <c r="X1163" s="235">
        <f t="shared" ca="1" si="793"/>
        <v>1</v>
      </c>
      <c r="Y1163" s="236">
        <f t="shared" ca="1" si="786"/>
        <v>7363</v>
      </c>
      <c r="Z1163" s="237">
        <f t="shared" ca="1" si="752"/>
        <v>7363</v>
      </c>
      <c r="AA1163" s="238"/>
      <c r="AB1163" s="233" t="str">
        <f>IF(B1163="insumo",_xlfn.XLOOKUP(S1163,Insumos!A:A,Insumos!D:D),"")</f>
        <v/>
      </c>
      <c r="AC1163" s="239">
        <f t="shared" ca="1" si="753"/>
        <v>1.056289479976897E-3</v>
      </c>
      <c r="AE1163" s="240">
        <f ca="1">IFERROR(IF(OR(Z1163="",Z1163=0),"",IF(AF1163="","",IF(AF1163="R$/mês",Z1163/OBRA!$D$12,IF(AF1163="R$/m²",Z1163/OBRA!$D$10,IF(AF1163="R$/apto",Orçamento!Z1163/OBRA!$D$11,""))))),"")</f>
        <v>3.7890522480612177</v>
      </c>
      <c r="AF1163" s="241" t="s">
        <v>154</v>
      </c>
    </row>
    <row r="1164" spans="1:32" s="10" customFormat="1" ht="13.15" hidden="1" customHeight="1" outlineLevel="4" x14ac:dyDescent="0.2">
      <c r="A1164" s="227"/>
      <c r="B1164" s="228" t="s">
        <v>19</v>
      </c>
      <c r="C1164" s="229">
        <f t="shared" ref="C1164:C1227" si="801">IF(B1164="INSUMO",COUNTIFS(B:B,"INSUMO",S:S,S1164),IF(B1164="SERVIÇO",COUNTIFS(B:B,"SERVIÇO",S:S,S1164),""))</f>
        <v>1</v>
      </c>
      <c r="D1164" s="227" t="str">
        <f t="shared" si="795"/>
        <v/>
      </c>
      <c r="E1164" s="228" t="str">
        <f t="shared" ca="1" si="796"/>
        <v>10.001.001.001</v>
      </c>
      <c r="F1164" s="230">
        <f ca="1">IF($B1164="UNIDADE CONSTRUTIVA",OFFSET(F1164,-1,0)+1,LARGE(F$10:F1163,1))</f>
        <v>2</v>
      </c>
      <c r="G1164" s="228" t="str">
        <f t="shared" ca="1" si="787"/>
        <v xml:space="preserve">   GERENCIAMENTO EXECUTIVO</v>
      </c>
      <c r="H1164" s="230">
        <f t="shared" ca="1" si="797"/>
        <v>10</v>
      </c>
      <c r="I1164" s="228" t="str">
        <f t="shared" ca="1" si="788"/>
        <v xml:space="preserve">   INSTALAÇÕES DE COMUNICAÇÕES</v>
      </c>
      <c r="J1164" s="230">
        <f t="shared" ca="1" si="798"/>
        <v>1</v>
      </c>
      <c r="K1164" s="228" t="str">
        <f t="shared" ca="1" si="789"/>
        <v xml:space="preserve">   INSTALAÇÕES DE COMUNICAÇÕES</v>
      </c>
      <c r="L1164" s="231">
        <f t="shared" ca="1" si="799"/>
        <v>1</v>
      </c>
      <c r="M1164" s="228" t="str">
        <f t="shared" ca="1" si="790"/>
        <v xml:space="preserve">   Sistema de interfone / controle de acesso</v>
      </c>
      <c r="N1164" s="231">
        <f t="shared" ca="1" si="800"/>
        <v>1</v>
      </c>
      <c r="O1164" s="228" t="str">
        <f t="shared" ca="1" si="791"/>
        <v>Sistema de interfone / controle de acesso</v>
      </c>
      <c r="P1164" s="232" t="str">
        <f>IF(S1164="","",IF(Orçamento!$B1164="INSUMO",S1164,""))</f>
        <v>INSTALAÇÕES DE INTERFONIA E CONTROLE DE ACESSOS</v>
      </c>
      <c r="Q1164" s="244" t="str">
        <f t="shared" ref="Q1164:Q1170" si="802">IF(B1164="","",IF(B1164="Serviço",S1164,""))</f>
        <v/>
      </c>
      <c r="R1164" s="234">
        <f t="shared" ca="1" si="792"/>
        <v>1</v>
      </c>
      <c r="S1164" s="233" t="str">
        <f>Insumos!$A$144</f>
        <v>INSTALAÇÕES DE INTERFONIA E CONTROLE DE ACESSOS</v>
      </c>
      <c r="T1164" s="242" t="str">
        <f>_xlfn.XLOOKUP(S1164,Insumos!$A$3:$A$371,Insumos!$B$3:$B$371)</f>
        <v>VB</v>
      </c>
      <c r="U1164" s="235">
        <f ca="1">IF($B1164="insumo",R1164,"")</f>
        <v>1</v>
      </c>
      <c r="V1164" s="320">
        <v>1</v>
      </c>
      <c r="W1164" s="236">
        <f>IFERROR(IF(B1164="INSUMO",_xlfn.XLOOKUP(S1164,Insumos!A:A,Insumos!C:C),""),"Inserir Preço")</f>
        <v>7363</v>
      </c>
      <c r="X1164" s="235">
        <f t="shared" ca="1" si="793"/>
        <v>1</v>
      </c>
      <c r="Y1164" s="236">
        <f t="shared" si="786"/>
        <v>7363</v>
      </c>
      <c r="Z1164" s="237">
        <f t="shared" ref="Z1164:Z1227" ca="1" si="803">IFERROR(IF(B1164="Unidade Construtiva",SUMIFS(Z:Z,B:B,"Célula Construtiva",G:G,G1164),IF(B1164="célula construtiva",SUMIFS(Z:Z,B:B,"Insumo",I:I,I1164,G:G,G1164),IF(B1164="ETAPA",SUMIFS(Z:Z,B:B,"Insumo",K:K,K1164,I:I,I1164,G:G,G1164),IF(B1164="subetapa",SUMIFS(Z:Z,M:M,M1164,B:B,"insumo",K:K,K1164,I:I,I1164,G:G,G1164),IF(B1164="complemento do insumo",V1164*W1164,IF(B1164="INSUMO",R1164*V1164*W1164,X1164*Y1164)))))),"")</f>
        <v>7363</v>
      </c>
      <c r="AA1164" s="238"/>
      <c r="AB1164" s="233" t="str">
        <f>IF(B1164="insumo",_xlfn.XLOOKUP(S1164,Insumos!A:A,Insumos!D:D),"")</f>
        <v>Estimativa</v>
      </c>
      <c r="AC1164" s="239">
        <f t="shared" ref="AC1164:AC1227" ca="1" si="804">IFERROR(IF(B1164="","",Z1164/SUMIF(B:B,"INSUMO",Z:Z)),0)</f>
        <v>1.056289479976897E-3</v>
      </c>
      <c r="AE1164" s="240">
        <f ca="1">IFERROR(IF(OR(Z1164="",Z1164=0),"",IF(AF1164="","",IF(AF1164="R$/mês",Z1164/OBRA!$D$12,IF(AF1164="R$/m²",Z1164/OBRA!$D$10,IF(AF1164="R$/apto",Orçamento!Z1164/OBRA!$D$11,""))))),"")</f>
        <v>3.7890522480612177</v>
      </c>
      <c r="AF1164" s="241" t="s">
        <v>154</v>
      </c>
    </row>
    <row r="1165" spans="1:32" s="10" customFormat="1" ht="13.15" hidden="1" customHeight="1" outlineLevel="3" collapsed="1" x14ac:dyDescent="0.2">
      <c r="A1165" s="227"/>
      <c r="B1165" s="228" t="s">
        <v>3</v>
      </c>
      <c r="C1165" s="229" t="str">
        <f t="shared" si="801"/>
        <v/>
      </c>
      <c r="D1165" s="227" t="str">
        <f t="shared" ca="1" si="795"/>
        <v>10.001.002</v>
      </c>
      <c r="E1165" s="228" t="str">
        <f t="shared" ca="1" si="796"/>
        <v>10.001.001.001</v>
      </c>
      <c r="F1165" s="230">
        <f ca="1">IF($B1165="UNIDADE CONSTRUTIVA",OFFSET(F1165,-1,0)+1,LARGE(F$10:F1164,1))</f>
        <v>2</v>
      </c>
      <c r="G1165" s="228" t="str">
        <f t="shared" ref="G1165:G1179" ca="1" si="805">IF(B1165="*","",IF(B1165="UNIDADE CONSTRUTIVA",S1165,OFFSET(G1165,-1,0)))</f>
        <v xml:space="preserve">   GERENCIAMENTO EXECUTIVO</v>
      </c>
      <c r="H1165" s="230">
        <f t="shared" ca="1" si="797"/>
        <v>10</v>
      </c>
      <c r="I1165" s="228" t="str">
        <f t="shared" ref="I1165:I1179" ca="1" si="806">IF(B1165="*","",IF(B1165="CÉLULA CONSTRUTIVA",S1165,OFFSET(I1165,-1,0)))</f>
        <v xml:space="preserve">   INSTALAÇÕES DE COMUNICAÇÕES</v>
      </c>
      <c r="J1165" s="230">
        <f t="shared" ca="1" si="798"/>
        <v>1</v>
      </c>
      <c r="K1165" s="228" t="str">
        <f t="shared" ref="K1165:K1179" ca="1" si="807">IF(B1165="*","",IF(B1165="ETAPA",S1165,OFFSET(K1165,-1,0)))</f>
        <v xml:space="preserve">   INSTALAÇÕES DE COMUNICAÇÕES</v>
      </c>
      <c r="L1165" s="231">
        <f t="shared" ca="1" si="799"/>
        <v>2</v>
      </c>
      <c r="M1165" s="228" t="str">
        <f t="shared" ref="M1165:M1179" ca="1" si="808">IF(B1165="*","",IF(B1165="SUBETAPA",S1165,OFFSET(M1165,-1,0)))</f>
        <v>Instalação de CFTV</v>
      </c>
      <c r="N1165" s="231">
        <f t="shared" ca="1" si="800"/>
        <v>0</v>
      </c>
      <c r="O1165" s="228" t="str">
        <f t="shared" ref="O1165:O1179" ca="1" si="809">IF(B1165="*","",IF(B1165="SERVIÇO",S1165,OFFSET(O1165,-1,0)))</f>
        <v>Sistema de interfone / controle de acesso</v>
      </c>
      <c r="P1165" s="232" t="str">
        <f>IF(S1165="","",IF(Orçamento!$B1165="INSUMO",S1165,""))</f>
        <v/>
      </c>
      <c r="Q1165" s="244" t="str">
        <f t="shared" si="802"/>
        <v/>
      </c>
      <c r="R1165" s="234">
        <f t="shared" ref="R1165:R1179" ca="1" si="810">IF(B1165="serviço",U1165,OFFSET(R1165,-1,0))</f>
        <v>1</v>
      </c>
      <c r="S1165" s="233" t="s">
        <v>1059</v>
      </c>
      <c r="T1165" s="242" t="s">
        <v>35</v>
      </c>
      <c r="U1165" s="235" t="str">
        <f>IF($B1165="insumo",R1165,"")</f>
        <v/>
      </c>
      <c r="V1165" s="320" t="s">
        <v>35</v>
      </c>
      <c r="W1165" s="236" t="str">
        <f>IFERROR(IF(B1165="INSUMO",_xlfn.XLOOKUP(S1165,Insumos!A:A,Insumos!C:C),""),"Inserir Preço")</f>
        <v/>
      </c>
      <c r="X1165" s="235" t="str">
        <f t="shared" ref="X1165:X1170" ca="1" si="811">IF(B1165="Complemento do insumo",V1165,IF(R1165="","",IF(B1165="serviço",R1165,IF(OR(B1165="insumo"),V1165*R1165,""))))</f>
        <v/>
      </c>
      <c r="Y1165" s="236" t="str">
        <f t="shared" si="786"/>
        <v/>
      </c>
      <c r="Z1165" s="237">
        <f t="shared" ca="1" si="803"/>
        <v>3886.46</v>
      </c>
      <c r="AA1165" s="238"/>
      <c r="AB1165" s="233" t="str">
        <f>IF(B1165="insumo",_xlfn.XLOOKUP(S1165,Insumos!A:A,Insumos!D:D),"")</f>
        <v/>
      </c>
      <c r="AC1165" s="239">
        <f t="shared" ca="1" si="804"/>
        <v>5.5754812065068741E-4</v>
      </c>
      <c r="AE1165" s="240">
        <f ca="1">IFERROR(IF(OR(Z1165="",Z1165=0),"",IF(AF1165="","",IF(AF1165="R$/mês",Z1165/OBRA!$D$12,IF(AF1165="R$/m²",Z1165/OBRA!$D$10,IF(AF1165="R$/apto",Orçamento!Z1165/OBRA!$D$11,""))))),"")</f>
        <v>2</v>
      </c>
      <c r="AF1165" s="241" t="s">
        <v>154</v>
      </c>
    </row>
    <row r="1166" spans="1:32" s="10" customFormat="1" ht="13.15" hidden="1" customHeight="1" outlineLevel="4" x14ac:dyDescent="0.2">
      <c r="A1166" s="227"/>
      <c r="B1166" s="228" t="s">
        <v>4</v>
      </c>
      <c r="C1166" s="229">
        <f t="shared" si="801"/>
        <v>1</v>
      </c>
      <c r="D1166" s="227" t="str">
        <f ca="1">IF(B1166="Unidade Construtiva",TEXT(F1166,"00"),IF(B1166="Célula Construtiva",TEXT(H1166,"00"),IF(B1166="Etapa",CONCATENATE(TEXT(H1166,"00"),".",TEXT(J1166,"000")),IF(B1166="Subetapa",CONCATENATE(TEXT(H1166,"00"),".",TEXT(J1166,"000"),".",TEXT(L1166,"000")),IF(B1166="Serviço",CONCATENATE(TEXT(H1166,"00"),".",TEXT(J1166,"000"),".",TEXT(L1166,"000"),".",TEXT(N1166,"000")),"")))))</f>
        <v>10.001.002.001</v>
      </c>
      <c r="E1166" s="228" t="str">
        <f t="shared" ref="E1166:E1171" ca="1" si="812">IF(B1166="*","",IFERROR(IF(B1166="SERVIÇO",D1166,OFFSET(E1166,-1,0)),""))</f>
        <v>10.001.002.001</v>
      </c>
      <c r="F1166" s="230">
        <f ca="1">IF($B1166="UNIDADE CONSTRUTIVA",OFFSET(F1166,-1,0)+1,LARGE(F$10:F1165,1))</f>
        <v>2</v>
      </c>
      <c r="G1166" s="228" t="str">
        <f t="shared" ca="1" si="805"/>
        <v xml:space="preserve">   GERENCIAMENTO EXECUTIVO</v>
      </c>
      <c r="H1166" s="230">
        <f t="shared" ref="H1166:H1171" ca="1" si="813">IF(B1166="UNIDADE CONSTRUTIVA",0,IF(B1166="CÉLULA CONSTRUTIVA",OFFSET(H1166,-1,0)+1,OFFSET(H1166,-1,0)))</f>
        <v>10</v>
      </c>
      <c r="I1166" s="228" t="str">
        <f t="shared" ca="1" si="806"/>
        <v xml:space="preserve">   INSTALAÇÕES DE COMUNICAÇÕES</v>
      </c>
      <c r="J1166" s="230">
        <f t="shared" ref="J1166:J1171" ca="1" si="814">IF(B1166="CÉLULA CONSTRUTIVA",0,IF(B1166="ETAPA",OFFSET(J1166,-1,0)+1,OFFSET(J1166,-1,0)))</f>
        <v>1</v>
      </c>
      <c r="K1166" s="228" t="str">
        <f t="shared" ca="1" si="807"/>
        <v xml:space="preserve">   INSTALAÇÕES DE COMUNICAÇÕES</v>
      </c>
      <c r="L1166" s="231">
        <f t="shared" ref="L1166:L1171" ca="1" si="815">IF(B1166="ETAPA",0,IF(B1166="SUBETAPA",OFFSET(L1166,-1,0)+1,OFFSET(L1166,-1,0)))</f>
        <v>2</v>
      </c>
      <c r="M1166" s="228" t="str">
        <f t="shared" ca="1" si="808"/>
        <v>Instalação de CFTV</v>
      </c>
      <c r="N1166" s="231">
        <f t="shared" ref="N1166:N1171" ca="1" si="816">IF(B1166="Subetapa",0,IF(B1166="serviço",OFFSET(N1166,-1,0)+1,OFFSET(N1166,-1,0)))</f>
        <v>1</v>
      </c>
      <c r="O1166" s="228" t="str">
        <f t="shared" ca="1" si="809"/>
        <v>Sistema de CFTV</v>
      </c>
      <c r="P1166" s="232" t="str">
        <f>IF(S1166="","",IF(Orçamento!$B1166="INSUMO",S1166,""))</f>
        <v/>
      </c>
      <c r="Q1166" s="244" t="str">
        <f t="shared" si="802"/>
        <v>Sistema de CFTV</v>
      </c>
      <c r="R1166" s="234">
        <f t="shared" ca="1" si="810"/>
        <v>1</v>
      </c>
      <c r="S1166" s="233" t="s">
        <v>1060</v>
      </c>
      <c r="T1166" s="242" t="s">
        <v>142</v>
      </c>
      <c r="U1166" s="235">
        <v>1</v>
      </c>
      <c r="V1166" s="320"/>
      <c r="W1166" s="236" t="str">
        <f>IFERROR(IF(B1166="INSUMO",_xlfn.XLOOKUP(S1166,Insumos!A:A,Insumos!C:C),""),"Inserir Preço")</f>
        <v/>
      </c>
      <c r="X1166" s="235">
        <f t="shared" ca="1" si="811"/>
        <v>1</v>
      </c>
      <c r="Y1166" s="236">
        <f t="shared" ca="1" si="786"/>
        <v>3886.46</v>
      </c>
      <c r="Z1166" s="237">
        <f t="shared" ca="1" si="803"/>
        <v>3886.46</v>
      </c>
      <c r="AA1166" s="238"/>
      <c r="AB1166" s="233" t="str">
        <f>IF(B1166="insumo",_xlfn.XLOOKUP(S1166,Insumos!A:A,Insumos!D:D),"")</f>
        <v/>
      </c>
      <c r="AC1166" s="239">
        <f t="shared" ca="1" si="804"/>
        <v>5.5754812065068741E-4</v>
      </c>
      <c r="AE1166" s="240">
        <f ca="1">IFERROR(IF(OR(Z1166="",Z1166=0),"",IF(AF1166="","",IF(AF1166="R$/mês",Z1166/OBRA!$D$12,IF(AF1166="R$/m²",Z1166/OBRA!$D$10,IF(AF1166="R$/apto",Orçamento!Z1166/OBRA!$D$11,""))))),"")</f>
        <v>2</v>
      </c>
      <c r="AF1166" s="241" t="s">
        <v>154</v>
      </c>
    </row>
    <row r="1167" spans="1:32" s="10" customFormat="1" ht="13.15" hidden="1" customHeight="1" outlineLevel="4" x14ac:dyDescent="0.2">
      <c r="A1167" s="227"/>
      <c r="B1167" s="228" t="s">
        <v>19</v>
      </c>
      <c r="C1167" s="229">
        <f t="shared" si="801"/>
        <v>1</v>
      </c>
      <c r="D1167" s="227" t="str">
        <f>IF(B1167="Unidade Construtiva",TEXT(F1167,"00"),IF(B1167="Célula Construtiva",TEXT(H1167,"00"),IF(B1167="Etapa",CONCATENATE(TEXT(H1167,"00"),".",TEXT(J1167,"000")),IF(B1167="Subetapa",CONCATENATE(TEXT(H1167,"00"),".",TEXT(J1167,"000"),".",TEXT(L1167,"000")),IF(B1167="Serviço",CONCATENATE(TEXT(H1167,"00"),".",TEXT(J1167,"000"),".",TEXT(L1167,"000"),".",TEXT(N1167,"000")),"")))))</f>
        <v/>
      </c>
      <c r="E1167" s="228" t="str">
        <f t="shared" ca="1" si="812"/>
        <v>10.001.002.001</v>
      </c>
      <c r="F1167" s="230">
        <f ca="1">IF($B1167="UNIDADE CONSTRUTIVA",OFFSET(F1167,-1,0)+1,LARGE(F$10:F1166,1))</f>
        <v>2</v>
      </c>
      <c r="G1167" s="228" t="str">
        <f t="shared" ca="1" si="805"/>
        <v xml:space="preserve">   GERENCIAMENTO EXECUTIVO</v>
      </c>
      <c r="H1167" s="230">
        <f t="shared" ca="1" si="813"/>
        <v>10</v>
      </c>
      <c r="I1167" s="228" t="str">
        <f t="shared" ca="1" si="806"/>
        <v xml:space="preserve">   INSTALAÇÕES DE COMUNICAÇÕES</v>
      </c>
      <c r="J1167" s="230">
        <f t="shared" ca="1" si="814"/>
        <v>1</v>
      </c>
      <c r="K1167" s="228" t="str">
        <f t="shared" ca="1" si="807"/>
        <v xml:space="preserve">   INSTALAÇÕES DE COMUNICAÇÕES</v>
      </c>
      <c r="L1167" s="231">
        <f t="shared" ca="1" si="815"/>
        <v>2</v>
      </c>
      <c r="M1167" s="228" t="str">
        <f t="shared" ca="1" si="808"/>
        <v>Instalação de CFTV</v>
      </c>
      <c r="N1167" s="231">
        <f t="shared" ca="1" si="816"/>
        <v>1</v>
      </c>
      <c r="O1167" s="228" t="str">
        <f t="shared" ca="1" si="809"/>
        <v>Sistema de CFTV</v>
      </c>
      <c r="P1167" s="232" t="str">
        <f>IF(S1167="","",IF(Orçamento!$B1167="INSUMO",S1167,""))</f>
        <v>INSTLAÇÃOES DE SISTEMA DE CFTV</v>
      </c>
      <c r="Q1167" s="244" t="str">
        <f t="shared" si="802"/>
        <v/>
      </c>
      <c r="R1167" s="234">
        <f t="shared" ca="1" si="810"/>
        <v>1</v>
      </c>
      <c r="S1167" s="233" t="s">
        <v>1057</v>
      </c>
      <c r="T1167" s="242" t="str">
        <f>_xlfn.XLOOKUP(S1167,Insumos!$A$3:$A$371,Insumos!$B$3:$B$371)</f>
        <v>VB</v>
      </c>
      <c r="U1167" s="235">
        <f ca="1">IF($B1167="insumo",R1167,"")</f>
        <v>1</v>
      </c>
      <c r="V1167" s="320">
        <v>1</v>
      </c>
      <c r="W1167" s="236">
        <f>IFERROR(IF(B1167="INSUMO",_xlfn.XLOOKUP(S1167,Insumos!A:A,Insumos!C:C),""),"Inserir Preço")</f>
        <v>3886.46</v>
      </c>
      <c r="X1167" s="235">
        <f t="shared" ca="1" si="811"/>
        <v>1</v>
      </c>
      <c r="Y1167" s="236">
        <f t="shared" si="786"/>
        <v>3886.46</v>
      </c>
      <c r="Z1167" s="237">
        <f t="shared" ca="1" si="803"/>
        <v>3886.46</v>
      </c>
      <c r="AA1167" s="238"/>
      <c r="AB1167" s="233" t="str">
        <f>IF(B1167="insumo",_xlfn.XLOOKUP(S1167,Insumos!A:A,Insumos!D:D),"")</f>
        <v>Estimativa</v>
      </c>
      <c r="AC1167" s="239">
        <f t="shared" ca="1" si="804"/>
        <v>5.5754812065068741E-4</v>
      </c>
      <c r="AE1167" s="240">
        <f ca="1">IFERROR(IF(OR(Z1167="",Z1167=0),"",IF(AF1167="","",IF(AF1167="R$/mês",Z1167/OBRA!$D$12,IF(AF1167="R$/m²",Z1167/OBRA!$D$10,IF(AF1167="R$/apto",Orçamento!Z1167/OBRA!$D$11,""))))),"")</f>
        <v>2</v>
      </c>
      <c r="AF1167" s="241" t="s">
        <v>154</v>
      </c>
    </row>
    <row r="1168" spans="1:32" s="10" customFormat="1" ht="13.15" hidden="1" customHeight="1" outlineLevel="3" collapsed="1" x14ac:dyDescent="0.2">
      <c r="A1168" s="227"/>
      <c r="B1168" s="228" t="s">
        <v>3</v>
      </c>
      <c r="C1168" s="229" t="str">
        <f t="shared" si="801"/>
        <v/>
      </c>
      <c r="D1168" s="227" t="str">
        <f ca="1">IF(B1168="Unidade Construtiva",TEXT(F1168,"00"),IF(B1168="Célula Construtiva",TEXT(H1168,"00"),IF(B1168="Etapa",CONCATENATE(TEXT(H1168,"00"),".",TEXT(J1168,"000")),IF(B1168="Subetapa",CONCATENATE(TEXT(H1168,"00"),".",TEXT(J1168,"000"),".",TEXT(L1168,"000")),IF(B1168="Serviço",CONCATENATE(TEXT(H1168,"00"),".",TEXT(J1168,"000"),".",TEXT(L1168,"000"),".",TEXT(N1168,"000")),"")))))</f>
        <v>10.001.003</v>
      </c>
      <c r="E1168" s="228" t="str">
        <f t="shared" ca="1" si="812"/>
        <v>10.001.002.001</v>
      </c>
      <c r="F1168" s="230">
        <f ca="1">IF($B1168="UNIDADE CONSTRUTIVA",OFFSET(F1168,-1,0)+1,LARGE(F$10:F1167,1))</f>
        <v>2</v>
      </c>
      <c r="G1168" s="228" t="str">
        <f t="shared" ca="1" si="805"/>
        <v xml:space="preserve">   GERENCIAMENTO EXECUTIVO</v>
      </c>
      <c r="H1168" s="230">
        <f t="shared" ca="1" si="813"/>
        <v>10</v>
      </c>
      <c r="I1168" s="228" t="str">
        <f t="shared" ca="1" si="806"/>
        <v xml:space="preserve">   INSTALAÇÕES DE COMUNICAÇÕES</v>
      </c>
      <c r="J1168" s="230">
        <f t="shared" ca="1" si="814"/>
        <v>1</v>
      </c>
      <c r="K1168" s="228" t="str">
        <f t="shared" ca="1" si="807"/>
        <v xml:space="preserve">   INSTALAÇÕES DE COMUNICAÇÕES</v>
      </c>
      <c r="L1168" s="231">
        <f t="shared" ca="1" si="815"/>
        <v>3</v>
      </c>
      <c r="M1168" s="228" t="str">
        <f t="shared" ca="1" si="808"/>
        <v xml:space="preserve">   Telefonia/lógica/internet</v>
      </c>
      <c r="N1168" s="231">
        <f t="shared" ca="1" si="816"/>
        <v>0</v>
      </c>
      <c r="O1168" s="228" t="str">
        <f t="shared" ca="1" si="809"/>
        <v>Sistema de CFTV</v>
      </c>
      <c r="P1168" s="232" t="str">
        <f>IF(S1168="","",IF(Orçamento!$B1168="INSUMO",S1168,""))</f>
        <v/>
      </c>
      <c r="Q1168" s="244" t="str">
        <f t="shared" si="802"/>
        <v/>
      </c>
      <c r="R1168" s="234">
        <f t="shared" ca="1" si="810"/>
        <v>1</v>
      </c>
      <c r="S1168" s="233" t="s">
        <v>1056</v>
      </c>
      <c r="T1168" s="242" t="s">
        <v>35</v>
      </c>
      <c r="U1168" s="235" t="str">
        <f>IF($B1168="insumo",R1168,"")</f>
        <v/>
      </c>
      <c r="V1168" s="320" t="s">
        <v>35</v>
      </c>
      <c r="W1168" s="236" t="str">
        <f>IFERROR(IF(B1168="INSUMO",_xlfn.XLOOKUP(S1168,Insumos!A:A,Insumos!C:C),""),"Inserir Preço")</f>
        <v/>
      </c>
      <c r="X1168" s="235" t="str">
        <f t="shared" ca="1" si="811"/>
        <v/>
      </c>
      <c r="Y1168" s="236" t="str">
        <f t="shared" si="786"/>
        <v/>
      </c>
      <c r="Z1168" s="237">
        <f t="shared" ca="1" si="803"/>
        <v>5829.6900000000005</v>
      </c>
      <c r="AA1168" s="238"/>
      <c r="AB1168" s="233" t="str">
        <f>IF(B1168="insumo",_xlfn.XLOOKUP(S1168,Insumos!A:A,Insumos!D:D),"")</f>
        <v/>
      </c>
      <c r="AC1168" s="239">
        <f t="shared" ca="1" si="804"/>
        <v>8.3632218097603116E-4</v>
      </c>
      <c r="AE1168" s="240">
        <f ca="1">IFERROR(IF(OR(Z1168="",Z1168=0),"",IF(AF1168="","",IF(AF1168="R$/mês",Z1168/OBRA!$D$12,IF(AF1168="R$/m²",Z1168/OBRA!$D$10,IF(AF1168="R$/apto",Orçamento!Z1168/OBRA!$D$11,""))))),"")</f>
        <v>3.0000000000000004</v>
      </c>
      <c r="AF1168" s="241" t="s">
        <v>154</v>
      </c>
    </row>
    <row r="1169" spans="1:32" s="10" customFormat="1" ht="13.15" hidden="1" customHeight="1" outlineLevel="4" x14ac:dyDescent="0.2">
      <c r="A1169" s="227"/>
      <c r="B1169" s="228" t="s">
        <v>4</v>
      </c>
      <c r="C1169" s="229">
        <f t="shared" si="801"/>
        <v>1</v>
      </c>
      <c r="D1169" s="227" t="str">
        <f ca="1">IF(B1169="Unidade Construtiva",TEXT(F1169,"00"),IF(B1169="Célula Construtiva",TEXT(H1169,"00"),IF(B1169="Etapa",CONCATENATE(TEXT(H1169,"00"),".",TEXT(J1169,"000")),IF(B1169="Subetapa",CONCATENATE(TEXT(H1169,"00"),".",TEXT(J1169,"000"),".",TEXT(L1169,"000")),IF(B1169="Serviço",CONCATENATE(TEXT(H1169,"00"),".",TEXT(J1169,"000"),".",TEXT(L1169,"000"),".",TEXT(N1169,"000")),"")))))</f>
        <v>10.001.003.001</v>
      </c>
      <c r="E1169" s="228" t="str">
        <f t="shared" ca="1" si="812"/>
        <v>10.001.003.001</v>
      </c>
      <c r="F1169" s="230">
        <f ca="1">IF($B1169="UNIDADE CONSTRUTIVA",OFFSET(F1169,-1,0)+1,LARGE(F$10:F1168,1))</f>
        <v>2</v>
      </c>
      <c r="G1169" s="228" t="str">
        <f t="shared" ca="1" si="805"/>
        <v xml:space="preserve">   GERENCIAMENTO EXECUTIVO</v>
      </c>
      <c r="H1169" s="230">
        <f t="shared" ca="1" si="813"/>
        <v>10</v>
      </c>
      <c r="I1169" s="228" t="str">
        <f t="shared" ca="1" si="806"/>
        <v xml:space="preserve">   INSTALAÇÕES DE COMUNICAÇÕES</v>
      </c>
      <c r="J1169" s="230">
        <f t="shared" ca="1" si="814"/>
        <v>1</v>
      </c>
      <c r="K1169" s="228" t="str">
        <f t="shared" ca="1" si="807"/>
        <v xml:space="preserve">   INSTALAÇÕES DE COMUNICAÇÕES</v>
      </c>
      <c r="L1169" s="231">
        <f t="shared" ca="1" si="815"/>
        <v>3</v>
      </c>
      <c r="M1169" s="228" t="str">
        <f t="shared" ca="1" si="808"/>
        <v xml:space="preserve">   Telefonia/lógica/internet</v>
      </c>
      <c r="N1169" s="231">
        <f t="shared" ca="1" si="816"/>
        <v>1</v>
      </c>
      <c r="O1169" s="228" t="str">
        <f t="shared" ca="1" si="809"/>
        <v>Instalação de Equipamentos de Telefonia/lógica/internet</v>
      </c>
      <c r="P1169" s="232" t="str">
        <f>IF(S1169="","",IF(Orçamento!$B1169="INSUMO",S1169,""))</f>
        <v/>
      </c>
      <c r="Q1169" s="244" t="str">
        <f t="shared" si="802"/>
        <v>Instalação de Equipamentos de Telefonia/lógica/internet</v>
      </c>
      <c r="R1169" s="234">
        <f t="shared" ca="1" si="810"/>
        <v>1</v>
      </c>
      <c r="S1169" s="233" t="s">
        <v>1067</v>
      </c>
      <c r="T1169" s="242" t="s">
        <v>142</v>
      </c>
      <c r="U1169" s="235">
        <v>1</v>
      </c>
      <c r="V1169" s="320"/>
      <c r="W1169" s="236" t="str">
        <f>IFERROR(IF(B1169="INSUMO",_xlfn.XLOOKUP(S1169,Insumos!A:A,Insumos!C:C),""),"Inserir Preço")</f>
        <v/>
      </c>
      <c r="X1169" s="235">
        <f t="shared" ca="1" si="811"/>
        <v>1</v>
      </c>
      <c r="Y1169" s="236">
        <f t="shared" ca="1" si="786"/>
        <v>5829.6900000000005</v>
      </c>
      <c r="Z1169" s="237">
        <f t="shared" ca="1" si="803"/>
        <v>5829.6900000000005</v>
      </c>
      <c r="AA1169" s="238"/>
      <c r="AB1169" s="233" t="str">
        <f>IF(B1169="insumo",_xlfn.XLOOKUP(S1169,Insumos!A:A,Insumos!D:D),"")</f>
        <v/>
      </c>
      <c r="AC1169" s="239">
        <f t="shared" ca="1" si="804"/>
        <v>8.3632218097603116E-4</v>
      </c>
      <c r="AE1169" s="240">
        <f ca="1">IFERROR(IF(OR(Z1169="",Z1169=0),"",IF(AF1169="","",IF(AF1169="R$/mês",Z1169/OBRA!$D$12,IF(AF1169="R$/m²",Z1169/OBRA!$D$10,IF(AF1169="R$/apto",Orçamento!Z1169/OBRA!$D$11,""))))),"")</f>
        <v>3.0000000000000004</v>
      </c>
      <c r="AF1169" s="241" t="s">
        <v>154</v>
      </c>
    </row>
    <row r="1170" spans="1:32" s="10" customFormat="1" ht="13.15" hidden="1" customHeight="1" outlineLevel="4" x14ac:dyDescent="0.2">
      <c r="A1170" s="227"/>
      <c r="B1170" s="228" t="s">
        <v>19</v>
      </c>
      <c r="C1170" s="229">
        <f t="shared" si="801"/>
        <v>1</v>
      </c>
      <c r="D1170" s="227" t="str">
        <f>IF(B1170="Unidade Construtiva",TEXT(F1170,"00"),IF(B1170="Célula Construtiva",TEXT(H1170,"00"),IF(B1170="Etapa",CONCATENATE(TEXT(H1170,"00"),".",TEXT(J1170,"000")),IF(B1170="Subetapa",CONCATENATE(TEXT(H1170,"00"),".",TEXT(J1170,"000"),".",TEXT(L1170,"000")),IF(B1170="Serviço",CONCATENATE(TEXT(H1170,"00"),".",TEXT(J1170,"000"),".",TEXT(L1170,"000"),".",TEXT(N1170,"000")),"")))))</f>
        <v/>
      </c>
      <c r="E1170" s="228" t="str">
        <f t="shared" ca="1" si="812"/>
        <v>10.001.003.001</v>
      </c>
      <c r="F1170" s="230">
        <f ca="1">IF($B1170="UNIDADE CONSTRUTIVA",OFFSET(F1170,-1,0)+1,LARGE(F$10:F1169,1))</f>
        <v>2</v>
      </c>
      <c r="G1170" s="228" t="str">
        <f t="shared" ca="1" si="805"/>
        <v xml:space="preserve">   GERENCIAMENTO EXECUTIVO</v>
      </c>
      <c r="H1170" s="230">
        <f t="shared" ca="1" si="813"/>
        <v>10</v>
      </c>
      <c r="I1170" s="228" t="str">
        <f t="shared" ca="1" si="806"/>
        <v xml:space="preserve">   INSTALAÇÕES DE COMUNICAÇÕES</v>
      </c>
      <c r="J1170" s="230">
        <f t="shared" ca="1" si="814"/>
        <v>1</v>
      </c>
      <c r="K1170" s="228" t="str">
        <f t="shared" ca="1" si="807"/>
        <v xml:space="preserve">   INSTALAÇÕES DE COMUNICAÇÕES</v>
      </c>
      <c r="L1170" s="231">
        <f t="shared" ca="1" si="815"/>
        <v>3</v>
      </c>
      <c r="M1170" s="228" t="str">
        <f t="shared" ca="1" si="808"/>
        <v xml:space="preserve">   Telefonia/lógica/internet</v>
      </c>
      <c r="N1170" s="231">
        <f t="shared" ca="1" si="816"/>
        <v>1</v>
      </c>
      <c r="O1170" s="228" t="str">
        <f t="shared" ca="1" si="809"/>
        <v>Instalação de Equipamentos de Telefonia/lógica/internet</v>
      </c>
      <c r="P1170" s="232" t="str">
        <f>IF(S1170="","",IF(Orçamento!$B1170="INSUMO",S1170,""))</f>
        <v>INSTLAÇÃOES DE LOGICA/INTERNET/TELEFONIA</v>
      </c>
      <c r="Q1170" s="244" t="str">
        <f t="shared" si="802"/>
        <v/>
      </c>
      <c r="R1170" s="234">
        <f t="shared" ca="1" si="810"/>
        <v>1</v>
      </c>
      <c r="S1170" s="233" t="s">
        <v>1058</v>
      </c>
      <c r="T1170" s="242" t="str">
        <f>_xlfn.XLOOKUP(S1170,Insumos!$A$3:$A$371,Insumos!$B$3:$B$371)</f>
        <v>VB</v>
      </c>
      <c r="U1170" s="235">
        <f ca="1">IF($B1170="insumo",R1170,"")</f>
        <v>1</v>
      </c>
      <c r="V1170" s="320">
        <v>1</v>
      </c>
      <c r="W1170" s="236">
        <f>IFERROR(IF(B1170="INSUMO",_xlfn.XLOOKUP(S1170,Insumos!A:A,Insumos!C:C),""),"Inserir Preço")</f>
        <v>5829.6900000000005</v>
      </c>
      <c r="X1170" s="235">
        <f t="shared" ca="1" si="811"/>
        <v>1</v>
      </c>
      <c r="Y1170" s="236">
        <f t="shared" si="786"/>
        <v>5829.6900000000005</v>
      </c>
      <c r="Z1170" s="237">
        <f t="shared" ca="1" si="803"/>
        <v>5829.6900000000005</v>
      </c>
      <c r="AA1170" s="238"/>
      <c r="AB1170" s="233" t="str">
        <f>IF(B1170="insumo",_xlfn.XLOOKUP(S1170,Insumos!A:A,Insumos!D:D),"")</f>
        <v>Estimativa</v>
      </c>
      <c r="AC1170" s="239">
        <f t="shared" ca="1" si="804"/>
        <v>8.3632218097603116E-4</v>
      </c>
      <c r="AE1170" s="240">
        <f ca="1">IFERROR(IF(OR(Z1170="",Z1170=0),"",IF(AF1170="","",IF(AF1170="R$/mês",Z1170/OBRA!$D$12,IF(AF1170="R$/m²",Z1170/OBRA!$D$10,IF(AF1170="R$/apto",Orçamento!Z1170/OBRA!$D$11,""))))),"")</f>
        <v>3.0000000000000004</v>
      </c>
      <c r="AF1170" s="241" t="s">
        <v>154</v>
      </c>
    </row>
    <row r="1171" spans="1:32" s="10" customFormat="1" ht="13.15" customHeight="1" outlineLevel="1" x14ac:dyDescent="0.2">
      <c r="A1171" s="227"/>
      <c r="B1171" s="228" t="s">
        <v>1</v>
      </c>
      <c r="C1171" s="229" t="str">
        <f t="shared" si="801"/>
        <v/>
      </c>
      <c r="D1171" s="227" t="str">
        <f t="shared" ref="D1171:D1177" ca="1" si="817">IF(B1171="Unidade Construtiva",TEXT(F1171,"00"),IF(B1171="Célula Construtiva",TEXT(H1171,"00"),IF(B1171="Etapa",CONCATENATE(TEXT(H1171,"00"),".",TEXT(J1171,"000")),IF(B1171="Subetapa",CONCATENATE(TEXT(H1171,"00"),".",TEXT(J1171,"000"),".",TEXT(L1171,"000")),IF(B1171="Serviço",CONCATENATE(TEXT(H1171,"00"),".",TEXT(J1171,"000"),".",TEXT(L1171,"000"),".",TEXT(N1171,"000")),"")))))</f>
        <v>11</v>
      </c>
      <c r="E1171" s="228" t="str">
        <f t="shared" ca="1" si="812"/>
        <v>10.001.003.001</v>
      </c>
      <c r="F1171" s="230">
        <f ca="1">IF($B1171="UNIDADE CONSTRUTIVA",OFFSET(F1171,-1,0)+1,LARGE(F$10:F1170,1))</f>
        <v>2</v>
      </c>
      <c r="G1171" s="228" t="str">
        <f t="shared" ca="1" si="805"/>
        <v xml:space="preserve">   GERENCIAMENTO EXECUTIVO</v>
      </c>
      <c r="H1171" s="230">
        <f t="shared" ca="1" si="813"/>
        <v>11</v>
      </c>
      <c r="I1171" s="228" t="str">
        <f t="shared" ca="1" si="806"/>
        <v xml:space="preserve">   EQUIPAMENTOS E SISTEMAS ESPECIAIS</v>
      </c>
      <c r="J1171" s="230">
        <f t="shared" ca="1" si="814"/>
        <v>0</v>
      </c>
      <c r="K1171" s="228" t="str">
        <f t="shared" ca="1" si="807"/>
        <v xml:space="preserve">   INSTALAÇÕES DE COMUNICAÇÕES</v>
      </c>
      <c r="L1171" s="231">
        <f t="shared" ca="1" si="815"/>
        <v>3</v>
      </c>
      <c r="M1171" s="228" t="str">
        <f t="shared" ca="1" si="808"/>
        <v xml:space="preserve">   Telefonia/lógica/internet</v>
      </c>
      <c r="N1171" s="231">
        <f t="shared" ca="1" si="816"/>
        <v>1</v>
      </c>
      <c r="O1171" s="228" t="str">
        <f t="shared" ca="1" si="809"/>
        <v>Instalação de Equipamentos de Telefonia/lógica/internet</v>
      </c>
      <c r="P1171" s="232" t="str">
        <f>IF(S1171="","",IF(Orçamento!$B1171="INSUMO",S1171,""))</f>
        <v/>
      </c>
      <c r="Q1171" s="244" t="str">
        <f t="shared" ref="Q1171:Q1186" si="818">IF(B1171="","",IF(B1171="Serviço",S1171,""))</f>
        <v/>
      </c>
      <c r="R1171" s="234">
        <f t="shared" ca="1" si="810"/>
        <v>1</v>
      </c>
      <c r="S1171" s="233" t="s">
        <v>522</v>
      </c>
      <c r="T1171" s="242" t="s">
        <v>35</v>
      </c>
      <c r="U1171" s="235" t="str">
        <f>IF($B1171="insumo",R1171,"")</f>
        <v/>
      </c>
      <c r="V1171" s="320" t="s">
        <v>35</v>
      </c>
      <c r="W1171" s="236" t="str">
        <f>IFERROR(IF(B1171="INSUMO",_xlfn.XLOOKUP(S1171,Insumos!A:A,Insumos!C:C),""),"Inserir Preço")</f>
        <v/>
      </c>
      <c r="X1171" s="235" t="str">
        <f t="shared" ref="X1171:X1176" ca="1" si="819">IF(B1171="Complemento do insumo",V1171,IF(R1171="","",IF(B1171="serviço",R1171,IF(OR(B1171="insumo"),V1171*R1171,""))))</f>
        <v/>
      </c>
      <c r="Y1171" s="236" t="str">
        <f t="shared" si="786"/>
        <v/>
      </c>
      <c r="Z1171" s="237">
        <f t="shared" ca="1" si="803"/>
        <v>253095</v>
      </c>
      <c r="AA1171" s="238"/>
      <c r="AB1171" s="233" t="str">
        <f>IF(B1171="insumo",_xlfn.XLOOKUP(S1171,Insumos!A:A,Insumos!D:D),"")</f>
        <v/>
      </c>
      <c r="AC1171" s="239">
        <f t="shared" ca="1" si="804"/>
        <v>3.6308785268878548E-2</v>
      </c>
      <c r="AE1171" s="240">
        <f ca="1">IFERROR(IF(OR(Z1171="",Z1171=0),"",IF(AF1171="","",IF(AF1171="R$/mês",Z1171/OBRA!$D$12,IF(AF1171="R$/m²",Z1171/OBRA!$D$10,IF(AF1171="R$/apto",Orçamento!Z1171/OBRA!$D$11,""))))),"")</f>
        <v>130.24448984422841</v>
      </c>
      <c r="AF1171" s="241" t="s">
        <v>154</v>
      </c>
    </row>
    <row r="1172" spans="1:32" s="10" customFormat="1" ht="13.15" customHeight="1" outlineLevel="2" collapsed="1" x14ac:dyDescent="0.2">
      <c r="A1172" s="227"/>
      <c r="B1172" s="228" t="s">
        <v>2</v>
      </c>
      <c r="C1172" s="229" t="str">
        <f t="shared" si="801"/>
        <v/>
      </c>
      <c r="D1172" s="227" t="str">
        <f t="shared" ca="1" si="817"/>
        <v>11.001</v>
      </c>
      <c r="E1172" s="228" t="str">
        <f t="shared" ref="E1172:E1177" ca="1" si="820">IF(B1172="*","",IFERROR(IF(B1172="SERVIÇO",D1172,OFFSET(E1172,-1,0)),""))</f>
        <v>10.001.003.001</v>
      </c>
      <c r="F1172" s="230">
        <f ca="1">IF($B1172="UNIDADE CONSTRUTIVA",OFFSET(F1172,-1,0)+1,LARGE(F$10:F1171,1))</f>
        <v>2</v>
      </c>
      <c r="G1172" s="228" t="str">
        <f t="shared" ca="1" si="805"/>
        <v xml:space="preserve">   GERENCIAMENTO EXECUTIVO</v>
      </c>
      <c r="H1172" s="230">
        <f t="shared" ref="H1172:H1177" ca="1" si="821">IF(B1172="UNIDADE CONSTRUTIVA",0,IF(B1172="CÉLULA CONSTRUTIVA",OFFSET(H1172,-1,0)+1,OFFSET(H1172,-1,0)))</f>
        <v>11</v>
      </c>
      <c r="I1172" s="228" t="str">
        <f t="shared" ca="1" si="806"/>
        <v xml:space="preserve">   EQUIPAMENTOS E SISTEMAS ESPECIAIS</v>
      </c>
      <c r="J1172" s="230">
        <f t="shared" ref="J1172:J1177" ca="1" si="822">IF(B1172="CÉLULA CONSTRUTIVA",0,IF(B1172="ETAPA",OFFSET(J1172,-1,0)+1,OFFSET(J1172,-1,0)))</f>
        <v>1</v>
      </c>
      <c r="K1172" s="228" t="str">
        <f t="shared" ca="1" si="807"/>
        <v xml:space="preserve">   EQUIPAMENTOS E SISTEMAS ESPECIAIS</v>
      </c>
      <c r="L1172" s="231">
        <f t="shared" ref="L1172:L1177" ca="1" si="823">IF(B1172="ETAPA",0,IF(B1172="SUBETAPA",OFFSET(L1172,-1,0)+1,OFFSET(L1172,-1,0)))</f>
        <v>0</v>
      </c>
      <c r="M1172" s="228" t="str">
        <f t="shared" ca="1" si="808"/>
        <v xml:space="preserve">   Telefonia/lógica/internet</v>
      </c>
      <c r="N1172" s="231">
        <f t="shared" ref="N1172:N1177" ca="1" si="824">IF(B1172="Subetapa",0,IF(B1172="serviço",OFFSET(N1172,-1,0)+1,OFFSET(N1172,-1,0)))</f>
        <v>1</v>
      </c>
      <c r="O1172" s="228" t="str">
        <f t="shared" ca="1" si="809"/>
        <v>Instalação de Equipamentos de Telefonia/lógica/internet</v>
      </c>
      <c r="P1172" s="232" t="str">
        <f>IF(S1172="","",IF(Orçamento!$B1172="INSUMO",S1172,""))</f>
        <v/>
      </c>
      <c r="Q1172" s="244" t="str">
        <f t="shared" si="818"/>
        <v/>
      </c>
      <c r="R1172" s="234">
        <f t="shared" ca="1" si="810"/>
        <v>1</v>
      </c>
      <c r="S1172" s="233" t="s">
        <v>522</v>
      </c>
      <c r="T1172" s="242" t="s">
        <v>35</v>
      </c>
      <c r="U1172" s="235" t="str">
        <f>IF($B1172="insumo",R1172,"")</f>
        <v/>
      </c>
      <c r="V1172" s="320" t="s">
        <v>35</v>
      </c>
      <c r="W1172" s="236" t="str">
        <f>IFERROR(IF(B1172="INSUMO",_xlfn.XLOOKUP(S1172,Insumos!A:A,Insumos!C:C),""),"Inserir Preço")</f>
        <v/>
      </c>
      <c r="X1172" s="235" t="str">
        <f t="shared" ca="1" si="819"/>
        <v/>
      </c>
      <c r="Y1172" s="236" t="str">
        <f t="shared" si="786"/>
        <v/>
      </c>
      <c r="Z1172" s="237">
        <f t="shared" ca="1" si="803"/>
        <v>253095</v>
      </c>
      <c r="AA1172" s="238"/>
      <c r="AB1172" s="233" t="str">
        <f>IF(B1172="insumo",_xlfn.XLOOKUP(S1172,Insumos!A:A,Insumos!D:D),"")</f>
        <v/>
      </c>
      <c r="AC1172" s="239">
        <f t="shared" ca="1" si="804"/>
        <v>3.6308785268878548E-2</v>
      </c>
      <c r="AE1172" s="240">
        <f ca="1">IFERROR(IF(OR(Z1172="",Z1172=0),"",IF(AF1172="","",IF(AF1172="R$/mês",Z1172/OBRA!$D$12,IF(AF1172="R$/m²",Z1172/OBRA!$D$10,IF(AF1172="R$/apto",Orçamento!Z1172/OBRA!$D$11,""))))),"")</f>
        <v>130.24448984422841</v>
      </c>
      <c r="AF1172" s="241" t="s">
        <v>154</v>
      </c>
    </row>
    <row r="1173" spans="1:32" s="10" customFormat="1" ht="13.15" hidden="1" customHeight="1" outlineLevel="3" collapsed="1" x14ac:dyDescent="0.2">
      <c r="A1173" s="227"/>
      <c r="B1173" s="228" t="s">
        <v>3</v>
      </c>
      <c r="C1173" s="229" t="str">
        <f t="shared" si="801"/>
        <v/>
      </c>
      <c r="D1173" s="227" t="str">
        <f t="shared" ca="1" si="817"/>
        <v>11.001.001</v>
      </c>
      <c r="E1173" s="228" t="str">
        <f t="shared" ca="1" si="820"/>
        <v>10.001.003.001</v>
      </c>
      <c r="F1173" s="230">
        <f ca="1">IF($B1173="UNIDADE CONSTRUTIVA",OFFSET(F1173,-1,0)+1,LARGE(F$10:F1172,1))</f>
        <v>2</v>
      </c>
      <c r="G1173" s="228" t="str">
        <f t="shared" ca="1" si="805"/>
        <v xml:space="preserve">   GERENCIAMENTO EXECUTIVO</v>
      </c>
      <c r="H1173" s="230">
        <f t="shared" ca="1" si="821"/>
        <v>11</v>
      </c>
      <c r="I1173" s="228" t="str">
        <f t="shared" ca="1" si="806"/>
        <v xml:space="preserve">   EQUIPAMENTOS E SISTEMAS ESPECIAIS</v>
      </c>
      <c r="J1173" s="230">
        <f t="shared" ca="1" si="822"/>
        <v>1</v>
      </c>
      <c r="K1173" s="228" t="str">
        <f t="shared" ca="1" si="807"/>
        <v xml:space="preserve">   EQUIPAMENTOS E SISTEMAS ESPECIAIS</v>
      </c>
      <c r="L1173" s="231">
        <f t="shared" ca="1" si="823"/>
        <v>1</v>
      </c>
      <c r="M1173" s="228" t="str">
        <f t="shared" ca="1" si="808"/>
        <v xml:space="preserve">   Equipamentos</v>
      </c>
      <c r="N1173" s="231">
        <f t="shared" ca="1" si="824"/>
        <v>0</v>
      </c>
      <c r="O1173" s="228" t="str">
        <f t="shared" ca="1" si="809"/>
        <v>Instalação de Equipamentos de Telefonia/lógica/internet</v>
      </c>
      <c r="P1173" s="232" t="str">
        <f>IF(S1173="","",IF(Orçamento!$B1173="INSUMO",S1173,""))</f>
        <v/>
      </c>
      <c r="Q1173" s="244" t="str">
        <f t="shared" si="818"/>
        <v/>
      </c>
      <c r="R1173" s="234">
        <f t="shared" ca="1" si="810"/>
        <v>1</v>
      </c>
      <c r="S1173" s="233" t="s">
        <v>523</v>
      </c>
      <c r="T1173" s="242" t="s">
        <v>35</v>
      </c>
      <c r="U1173" s="235" t="str">
        <f>IF($B1173="insumo",R1173,"")</f>
        <v/>
      </c>
      <c r="V1173" s="320" t="s">
        <v>35</v>
      </c>
      <c r="W1173" s="236" t="str">
        <f>IFERROR(IF(B1173="INSUMO",_xlfn.XLOOKUP(S1173,Insumos!A:A,Insumos!C:C),""),"Inserir Preço")</f>
        <v/>
      </c>
      <c r="X1173" s="235" t="str">
        <f t="shared" ca="1" si="819"/>
        <v/>
      </c>
      <c r="Y1173" s="236" t="str">
        <f t="shared" si="786"/>
        <v/>
      </c>
      <c r="Z1173" s="237">
        <f t="shared" ca="1" si="803"/>
        <v>187800</v>
      </c>
      <c r="AA1173" s="238"/>
      <c r="AB1173" s="233" t="str">
        <f>IF(B1173="insumo",_xlfn.XLOOKUP(S1173,Insumos!A:A,Insumos!D:D),"")</f>
        <v/>
      </c>
      <c r="AC1173" s="239">
        <f t="shared" ca="1" si="804"/>
        <v>2.6941622211009271E-2</v>
      </c>
      <c r="AE1173" s="240">
        <f ca="1">IFERROR(IF(OR(Z1173="",Z1173=0),"",IF(AF1173="","",IF(AF1173="R$/mês",Z1173/OBRA!$D$12,IF(AF1173="R$/m²",Z1173/OBRA!$D$10,IF(AF1173="R$/apto",Orçamento!Z1173/OBRA!$D$11,""))))),"")</f>
        <v>96.643217735419896</v>
      </c>
      <c r="AF1173" s="241" t="s">
        <v>154</v>
      </c>
    </row>
    <row r="1174" spans="1:32" s="10" customFormat="1" ht="13.15" hidden="1" customHeight="1" outlineLevel="4" x14ac:dyDescent="0.2">
      <c r="A1174" s="227"/>
      <c r="B1174" s="228" t="s">
        <v>4</v>
      </c>
      <c r="C1174" s="229">
        <f t="shared" si="801"/>
        <v>1</v>
      </c>
      <c r="D1174" s="227" t="str">
        <f t="shared" ca="1" si="817"/>
        <v>11.001.001.001</v>
      </c>
      <c r="E1174" s="228" t="str">
        <f t="shared" ca="1" si="820"/>
        <v>11.001.001.001</v>
      </c>
      <c r="F1174" s="230">
        <f ca="1">IF($B1174="UNIDADE CONSTRUTIVA",OFFSET(F1174,-1,0)+1,LARGE(F$10:F1173,1))</f>
        <v>2</v>
      </c>
      <c r="G1174" s="228" t="str">
        <f t="shared" ca="1" si="805"/>
        <v xml:space="preserve">   GERENCIAMENTO EXECUTIVO</v>
      </c>
      <c r="H1174" s="230">
        <f t="shared" ca="1" si="821"/>
        <v>11</v>
      </c>
      <c r="I1174" s="228" t="str">
        <f t="shared" ca="1" si="806"/>
        <v xml:space="preserve">   EQUIPAMENTOS E SISTEMAS ESPECIAIS</v>
      </c>
      <c r="J1174" s="230">
        <f t="shared" ca="1" si="822"/>
        <v>1</v>
      </c>
      <c r="K1174" s="228" t="str">
        <f t="shared" ca="1" si="807"/>
        <v xml:space="preserve">   EQUIPAMENTOS E SISTEMAS ESPECIAIS</v>
      </c>
      <c r="L1174" s="231">
        <f t="shared" ca="1" si="823"/>
        <v>1</v>
      </c>
      <c r="M1174" s="228" t="str">
        <f t="shared" ca="1" si="808"/>
        <v xml:space="preserve">   Equipamentos</v>
      </c>
      <c r="N1174" s="231">
        <f t="shared" ca="1" si="824"/>
        <v>1</v>
      </c>
      <c r="O1174" s="228" t="str">
        <f t="shared" ca="1" si="809"/>
        <v>Elevador social</v>
      </c>
      <c r="P1174" s="232" t="str">
        <f>IF(S1174="","",IF(Orçamento!$B1174="INSUMO",S1174,""))</f>
        <v/>
      </c>
      <c r="Q1174" s="244" t="str">
        <f t="shared" si="818"/>
        <v>Elevador social</v>
      </c>
      <c r="R1174" s="234">
        <f t="shared" ca="1" si="810"/>
        <v>1</v>
      </c>
      <c r="S1174" s="233" t="s">
        <v>524</v>
      </c>
      <c r="T1174" s="242" t="s">
        <v>142</v>
      </c>
      <c r="U1174" s="235">
        <v>1</v>
      </c>
      <c r="V1174" s="320" t="s">
        <v>35</v>
      </c>
      <c r="W1174" s="236" t="str">
        <f>IFERROR(IF(B1174="INSUMO",_xlfn.XLOOKUP(S1174,Insumos!A:A,Insumos!C:C),""),"Inserir Preço")</f>
        <v/>
      </c>
      <c r="X1174" s="235">
        <f t="shared" ca="1" si="819"/>
        <v>1</v>
      </c>
      <c r="Y1174" s="236">
        <f t="shared" ca="1" si="786"/>
        <v>187800</v>
      </c>
      <c r="Z1174" s="237">
        <f t="shared" ca="1" si="803"/>
        <v>187800</v>
      </c>
      <c r="AA1174" s="238"/>
      <c r="AB1174" s="233" t="str">
        <f>IF(B1174="insumo",_xlfn.XLOOKUP(S1174,Insumos!A:A,Insumos!D:D),"")</f>
        <v/>
      </c>
      <c r="AC1174" s="239">
        <f t="shared" ca="1" si="804"/>
        <v>2.6941622211009271E-2</v>
      </c>
      <c r="AE1174" s="240">
        <f ca="1">IFERROR(IF(OR(Z1174="",Z1174=0),"",IF(AF1174="","",IF(AF1174="R$/mês",Z1174/OBRA!$D$12,IF(AF1174="R$/m²",Z1174/OBRA!$D$10,IF(AF1174="R$/apto",Orçamento!Z1174/OBRA!$D$11,""))))),"")</f>
        <v>96.643217735419896</v>
      </c>
      <c r="AF1174" s="241" t="s">
        <v>154</v>
      </c>
    </row>
    <row r="1175" spans="1:32" s="10" customFormat="1" ht="13.15" hidden="1" customHeight="1" outlineLevel="4" x14ac:dyDescent="0.2">
      <c r="A1175" s="227"/>
      <c r="B1175" s="228" t="s">
        <v>19</v>
      </c>
      <c r="C1175" s="229">
        <f t="shared" si="801"/>
        <v>1</v>
      </c>
      <c r="D1175" s="227" t="str">
        <f t="shared" si="817"/>
        <v/>
      </c>
      <c r="E1175" s="228" t="str">
        <f t="shared" ca="1" si="820"/>
        <v>11.001.001.001</v>
      </c>
      <c r="F1175" s="230">
        <f ca="1">IF($B1175="UNIDADE CONSTRUTIVA",OFFSET(F1175,-1,0)+1,LARGE(F$10:F1174,1))</f>
        <v>2</v>
      </c>
      <c r="G1175" s="228" t="str">
        <f t="shared" ca="1" si="805"/>
        <v xml:space="preserve">   GERENCIAMENTO EXECUTIVO</v>
      </c>
      <c r="H1175" s="230">
        <f t="shared" ca="1" si="821"/>
        <v>11</v>
      </c>
      <c r="I1175" s="228" t="str">
        <f t="shared" ca="1" si="806"/>
        <v xml:space="preserve">   EQUIPAMENTOS E SISTEMAS ESPECIAIS</v>
      </c>
      <c r="J1175" s="230">
        <f t="shared" ca="1" si="822"/>
        <v>1</v>
      </c>
      <c r="K1175" s="228" t="str">
        <f t="shared" ca="1" si="807"/>
        <v xml:space="preserve">   EQUIPAMENTOS E SISTEMAS ESPECIAIS</v>
      </c>
      <c r="L1175" s="231">
        <f t="shared" ca="1" si="823"/>
        <v>1</v>
      </c>
      <c r="M1175" s="228" t="str">
        <f t="shared" ca="1" si="808"/>
        <v xml:space="preserve">   Equipamentos</v>
      </c>
      <c r="N1175" s="231">
        <f t="shared" ca="1" si="824"/>
        <v>1</v>
      </c>
      <c r="O1175" s="228" t="str">
        <f t="shared" ca="1" si="809"/>
        <v>Elevador social</v>
      </c>
      <c r="P1175" s="232" t="str">
        <f>IF(S1175="","",IF(Orçamento!$B1175="INSUMO",S1175,""))</f>
        <v>ELEVADOR SOCIAL 8 PARADAS</v>
      </c>
      <c r="Q1175" s="244" t="str">
        <f>IF(B1175="","",IF(B1175="Serviço",S1175,""))</f>
        <v/>
      </c>
      <c r="R1175" s="234">
        <f t="shared" ca="1" si="810"/>
        <v>1</v>
      </c>
      <c r="S1175" s="233" t="s">
        <v>769</v>
      </c>
      <c r="T1175" s="242" t="str">
        <f>_xlfn.XLOOKUP(S1175,Insumos!$A$3:$A$371,Insumos!$B$3:$B$371)</f>
        <v>UN</v>
      </c>
      <c r="U1175" s="235">
        <f ca="1">IF($B1175="insumo",R1175,"")</f>
        <v>1</v>
      </c>
      <c r="V1175" s="320">
        <v>1</v>
      </c>
      <c r="W1175" s="236">
        <f>IFERROR(IF(B1175="INSUMO",_xlfn.XLOOKUP(S1175,Insumos!A:A,Insumos!C:C),""),"Inserir Preço")</f>
        <v>180000</v>
      </c>
      <c r="X1175" s="235">
        <f t="shared" ca="1" si="819"/>
        <v>1</v>
      </c>
      <c r="Y1175" s="236">
        <f t="shared" si="786"/>
        <v>180000</v>
      </c>
      <c r="Z1175" s="237">
        <f t="shared" ca="1" si="803"/>
        <v>180000</v>
      </c>
      <c r="AA1175" s="238"/>
      <c r="AB1175" s="233" t="str">
        <f>IF(B1175="insumo",_xlfn.XLOOKUP(S1175,Insumos!A:A,Insumos!D:D),"")</f>
        <v>TK Elevadores</v>
      </c>
      <c r="AC1175" s="239">
        <f t="shared" ca="1" si="804"/>
        <v>2.5822641096813998E-2</v>
      </c>
      <c r="AE1175" s="240">
        <f ca="1">IFERROR(IF(OR(Z1175="",Z1175=0),"",IF(AF1175="","",IF(AF1175="R$/mês",Z1175/OBRA!$D$12,IF(AF1175="R$/m²",Z1175/OBRA!$D$10,IF(AF1175="R$/apto",Orçamento!Z1175/OBRA!$D$11,""))))),"")</f>
        <v>92.629282174523865</v>
      </c>
      <c r="AF1175" s="241" t="s">
        <v>154</v>
      </c>
    </row>
    <row r="1176" spans="1:32" s="10" customFormat="1" ht="13.15" hidden="1" customHeight="1" outlineLevel="4" x14ac:dyDescent="0.2">
      <c r="A1176" s="227"/>
      <c r="B1176" s="228" t="s">
        <v>19</v>
      </c>
      <c r="C1176" s="229">
        <f t="shared" si="801"/>
        <v>1</v>
      </c>
      <c r="D1176" s="227" t="str">
        <f t="shared" si="817"/>
        <v/>
      </c>
      <c r="E1176" s="228" t="str">
        <f t="shared" ca="1" si="820"/>
        <v>11.001.001.001</v>
      </c>
      <c r="F1176" s="230">
        <f ca="1">IF($B1176="UNIDADE CONSTRUTIVA",OFFSET(F1176,-1,0)+1,LARGE(F$10:F1175,1))</f>
        <v>2</v>
      </c>
      <c r="G1176" s="228" t="str">
        <f t="shared" ca="1" si="805"/>
        <v xml:space="preserve">   GERENCIAMENTO EXECUTIVO</v>
      </c>
      <c r="H1176" s="230">
        <f t="shared" ca="1" si="821"/>
        <v>11</v>
      </c>
      <c r="I1176" s="228" t="str">
        <f t="shared" ca="1" si="806"/>
        <v xml:space="preserve">   EQUIPAMENTOS E SISTEMAS ESPECIAIS</v>
      </c>
      <c r="J1176" s="230">
        <f t="shared" ca="1" si="822"/>
        <v>1</v>
      </c>
      <c r="K1176" s="228" t="str">
        <f t="shared" ca="1" si="807"/>
        <v xml:space="preserve">   EQUIPAMENTOS E SISTEMAS ESPECIAIS</v>
      </c>
      <c r="L1176" s="231">
        <f t="shared" ca="1" si="823"/>
        <v>1</v>
      </c>
      <c r="M1176" s="228" t="str">
        <f t="shared" ca="1" si="808"/>
        <v xml:space="preserve">   Equipamentos</v>
      </c>
      <c r="N1176" s="231">
        <f t="shared" ca="1" si="824"/>
        <v>1</v>
      </c>
      <c r="O1176" s="228" t="str">
        <f t="shared" ca="1" si="809"/>
        <v>Elevador social</v>
      </c>
      <c r="P1176" s="232" t="str">
        <f>IF(S1176="","",IF(Orçamento!$B1176="INSUMO",S1176,""))</f>
        <v>SERVICO ELEVADOR SOCIAL - MANUTENCAO CORRETIVA (AVULSA)</v>
      </c>
      <c r="Q1176" s="244" t="str">
        <f t="shared" si="818"/>
        <v/>
      </c>
      <c r="R1176" s="234">
        <f t="shared" ca="1" si="810"/>
        <v>1</v>
      </c>
      <c r="S1176" s="233" t="s">
        <v>770</v>
      </c>
      <c r="T1176" s="242" t="str">
        <f>_xlfn.XLOOKUP(S1176,Insumos!$A$3:$A$371,Insumos!$B$3:$B$371)</f>
        <v>UN</v>
      </c>
      <c r="U1176" s="235">
        <f ca="1">IF($B1176="insumo",R1176,"")</f>
        <v>1</v>
      </c>
      <c r="V1176" s="320">
        <f>ROUNDUP(OBRA!D12*45%,)</f>
        <v>10</v>
      </c>
      <c r="W1176" s="236">
        <f>IFERROR(IF(B1176="INSUMO",_xlfn.XLOOKUP(S1176,Insumos!A:A,Insumos!C:C),""),"Inserir Preço")</f>
        <v>780</v>
      </c>
      <c r="X1176" s="235">
        <f t="shared" ca="1" si="819"/>
        <v>10</v>
      </c>
      <c r="Y1176" s="236">
        <f t="shared" si="786"/>
        <v>7800</v>
      </c>
      <c r="Z1176" s="237">
        <f t="shared" ca="1" si="803"/>
        <v>7800</v>
      </c>
      <c r="AA1176" s="238"/>
      <c r="AB1176" s="233" t="str">
        <f>IF(B1176="insumo",_xlfn.XLOOKUP(S1176,Insumos!A:A,Insumos!D:D),"")</f>
        <v xml:space="preserve"> </v>
      </c>
      <c r="AC1176" s="239">
        <f t="shared" ca="1" si="804"/>
        <v>1.1189811141952733E-3</v>
      </c>
      <c r="AE1176" s="240">
        <f ca="1">IFERROR(IF(OR(Z1176="",Z1176=0),"",IF(AF1176="","",IF(AF1176="R$/mês",Z1176/OBRA!$D$12,IF(AF1176="R$/m²",Z1176/OBRA!$D$10,IF(AF1176="R$/apto",Orçamento!Z1176/OBRA!$D$11,""))))),"")</f>
        <v>4.0139355608960336</v>
      </c>
      <c r="AF1176" s="241" t="s">
        <v>154</v>
      </c>
    </row>
    <row r="1177" spans="1:32" s="10" customFormat="1" ht="13.15" hidden="1" customHeight="1" outlineLevel="3" collapsed="1" x14ac:dyDescent="0.2">
      <c r="A1177" s="227"/>
      <c r="B1177" s="228" t="s">
        <v>3</v>
      </c>
      <c r="C1177" s="229" t="str">
        <f t="shared" si="801"/>
        <v/>
      </c>
      <c r="D1177" s="227" t="str">
        <f t="shared" ca="1" si="817"/>
        <v>11.001.002</v>
      </c>
      <c r="E1177" s="228" t="str">
        <f t="shared" ca="1" si="820"/>
        <v>11.001.001.001</v>
      </c>
      <c r="F1177" s="230">
        <f ca="1">IF($B1177="UNIDADE CONSTRUTIVA",OFFSET(F1177,-1,0)+1,LARGE(F$10:F1176,1))</f>
        <v>2</v>
      </c>
      <c r="G1177" s="228" t="str">
        <f t="shared" ca="1" si="805"/>
        <v xml:space="preserve">   GERENCIAMENTO EXECUTIVO</v>
      </c>
      <c r="H1177" s="230">
        <f t="shared" ca="1" si="821"/>
        <v>11</v>
      </c>
      <c r="I1177" s="228" t="str">
        <f t="shared" ca="1" si="806"/>
        <v xml:space="preserve">   EQUIPAMENTOS E SISTEMAS ESPECIAIS</v>
      </c>
      <c r="J1177" s="230">
        <f t="shared" ca="1" si="822"/>
        <v>1</v>
      </c>
      <c r="K1177" s="228" t="str">
        <f t="shared" ca="1" si="807"/>
        <v xml:space="preserve">   EQUIPAMENTOS E SISTEMAS ESPECIAIS</v>
      </c>
      <c r="L1177" s="231">
        <f t="shared" ca="1" si="823"/>
        <v>2</v>
      </c>
      <c r="M1177" s="228" t="str">
        <f t="shared" ca="1" si="808"/>
        <v xml:space="preserve">   Sistemas Especiais</v>
      </c>
      <c r="N1177" s="231">
        <f t="shared" ca="1" si="824"/>
        <v>0</v>
      </c>
      <c r="O1177" s="228" t="str">
        <f t="shared" ca="1" si="809"/>
        <v>Elevador social</v>
      </c>
      <c r="P1177" s="232" t="str">
        <f>IF(S1177="","",IF(Orçamento!$B1177="INSUMO",S1177,""))</f>
        <v/>
      </c>
      <c r="Q1177" s="244" t="str">
        <f t="shared" si="818"/>
        <v/>
      </c>
      <c r="R1177" s="234">
        <f t="shared" ca="1" si="810"/>
        <v>1</v>
      </c>
      <c r="S1177" s="233" t="s">
        <v>525</v>
      </c>
      <c r="T1177" s="242" t="s">
        <v>35</v>
      </c>
      <c r="U1177" s="235" t="str">
        <f>IF($B1177="insumo",R1177,"")</f>
        <v/>
      </c>
      <c r="V1177" s="320" t="s">
        <v>35</v>
      </c>
      <c r="W1177" s="236" t="str">
        <f>IFERROR(IF(B1177="INSUMO",_xlfn.XLOOKUP(S1177,Insumos!A:A,Insumos!C:C),""),"Inserir Preço")</f>
        <v/>
      </c>
      <c r="X1177" s="235" t="str">
        <f ca="1">IF(B1177="Complemento do insumo",V1177,IF(R1177="","",IF(B1177="serviço",R1177,IF(OR(B1177="insumo"),V1177*R1177,""))))</f>
        <v/>
      </c>
      <c r="Y1177" s="236" t="str">
        <f t="shared" si="786"/>
        <v/>
      </c>
      <c r="Z1177" s="237">
        <f t="shared" ca="1" si="803"/>
        <v>63245</v>
      </c>
      <c r="AA1177" s="238"/>
      <c r="AB1177" s="233" t="str">
        <f>IF(B1177="insumo",_xlfn.XLOOKUP(S1177,Insumos!A:A,Insumos!D:D),"")</f>
        <v/>
      </c>
      <c r="AC1177" s="239">
        <f t="shared" ca="1" si="804"/>
        <v>9.0730718676000077E-3</v>
      </c>
      <c r="AE1177" s="240">
        <f ca="1">IFERROR(IF(OR(Z1177="",Z1177=0),"",IF(AF1177="","",IF(AF1177="R$/mês",Z1177/OBRA!$D$12,IF(AF1177="R$/m²",Z1177/OBRA!$D$10,IF(AF1177="R$/apto",Orçamento!Z1177/OBRA!$D$11,""))))),"")</f>
        <v>32.546327506265342</v>
      </c>
      <c r="AF1177" s="241" t="s">
        <v>154</v>
      </c>
    </row>
    <row r="1178" spans="1:32" s="10" customFormat="1" ht="13.15" hidden="1" customHeight="1" outlineLevel="4" x14ac:dyDescent="0.2">
      <c r="A1178" s="227"/>
      <c r="B1178" s="228" t="s">
        <v>4</v>
      </c>
      <c r="C1178" s="229">
        <f t="shared" si="801"/>
        <v>1</v>
      </c>
      <c r="D1178" s="227" t="str">
        <f ca="1">IF(B1178="Unidade Construtiva",TEXT(F1178,"00"),IF(B1178="Célula Construtiva",TEXT(H1178,"00"),IF(B1178="Etapa",CONCATENATE(TEXT(H1178,"00"),".",TEXT(J1178,"000")),IF(B1178="Subetapa",CONCATENATE(TEXT(H1178,"00"),".",TEXT(J1178,"000"),".",TEXT(L1178,"000")),IF(B1178="Serviço",CONCATENATE(TEXT(H1178,"00"),".",TEXT(J1178,"000"),".",TEXT(L1178,"000"),".",TEXT(N1178,"000")),"")))))</f>
        <v>11.001.002.001</v>
      </c>
      <c r="E1178" s="228" t="str">
        <f ca="1">IF(B1178="*","",IFERROR(IF(B1178="SERVIÇO",D1178,OFFSET(E1178,-1,0)),""))</f>
        <v>11.001.002.001</v>
      </c>
      <c r="F1178" s="230">
        <f ca="1">IF($B1178="UNIDADE CONSTRUTIVA",OFFSET(F1178,-1,0)+1,LARGE(F$10:F1177,1))</f>
        <v>2</v>
      </c>
      <c r="G1178" s="228" t="str">
        <f t="shared" ca="1" si="805"/>
        <v xml:space="preserve">   GERENCIAMENTO EXECUTIVO</v>
      </c>
      <c r="H1178" s="230">
        <f ca="1">IF(B1178="UNIDADE CONSTRUTIVA",0,IF(B1178="CÉLULA CONSTRUTIVA",OFFSET(H1178,-1,0)+1,OFFSET(H1178,-1,0)))</f>
        <v>11</v>
      </c>
      <c r="I1178" s="228" t="str">
        <f t="shared" ca="1" si="806"/>
        <v xml:space="preserve">   EQUIPAMENTOS E SISTEMAS ESPECIAIS</v>
      </c>
      <c r="J1178" s="230">
        <f ca="1">IF(B1178="CÉLULA CONSTRUTIVA",0,IF(B1178="ETAPA",OFFSET(J1178,-1,0)+1,OFFSET(J1178,-1,0)))</f>
        <v>1</v>
      </c>
      <c r="K1178" s="228" t="str">
        <f t="shared" ca="1" si="807"/>
        <v xml:space="preserve">   EQUIPAMENTOS E SISTEMAS ESPECIAIS</v>
      </c>
      <c r="L1178" s="231">
        <f ca="1">IF(B1178="ETAPA",0,IF(B1178="SUBETAPA",OFFSET(L1178,-1,0)+1,OFFSET(L1178,-1,0)))</f>
        <v>2</v>
      </c>
      <c r="M1178" s="228" t="str">
        <f t="shared" ca="1" si="808"/>
        <v xml:space="preserve">   Sistemas Especiais</v>
      </c>
      <c r="N1178" s="231">
        <f ca="1">IF(B1178="Subetapa",0,IF(B1178="serviço",OFFSET(N1178,-1,0)+1,OFFSET(N1178,-1,0)))</f>
        <v>1</v>
      </c>
      <c r="O1178" s="228" t="str">
        <f t="shared" ca="1" si="809"/>
        <v>Instalação de Equipamentos de Piscina</v>
      </c>
      <c r="P1178" s="232" t="str">
        <f>IF(S1178="","",IF(Orçamento!$B1178="INSUMO",S1178,""))</f>
        <v/>
      </c>
      <c r="Q1178" s="244" t="str">
        <f t="shared" si="818"/>
        <v>Instalação de Equipamentos de Piscina</v>
      </c>
      <c r="R1178" s="234">
        <f t="shared" ca="1" si="810"/>
        <v>1</v>
      </c>
      <c r="S1178" s="233" t="s">
        <v>878</v>
      </c>
      <c r="T1178" s="242" t="s">
        <v>142</v>
      </c>
      <c r="U1178" s="235">
        <v>1</v>
      </c>
      <c r="V1178" s="320"/>
      <c r="W1178" s="236" t="str">
        <f>IFERROR(IF(B1178="INSUMO",_xlfn.XLOOKUP(S1178,Insumos!A:A,Insumos!C:C),""),"Inserir Preço")</f>
        <v/>
      </c>
      <c r="X1178" s="235">
        <f ca="1">IF(B1178="Complemento do insumo",V1178,IF(R1178="","",IF(B1178="serviço",R1178,IF(OR(B1178="insumo"),V1178*R1178,""))))</f>
        <v>1</v>
      </c>
      <c r="Y1178" s="236">
        <f t="shared" ca="1" si="786"/>
        <v>63245</v>
      </c>
      <c r="Z1178" s="237">
        <f t="shared" ca="1" si="803"/>
        <v>63245</v>
      </c>
      <c r="AA1178" s="238"/>
      <c r="AB1178" s="233" t="str">
        <f>IF(B1178="insumo",_xlfn.XLOOKUP(S1178,Insumos!A:A,Insumos!D:D),"")</f>
        <v/>
      </c>
      <c r="AC1178" s="239">
        <f t="shared" ca="1" si="804"/>
        <v>9.0730718676000077E-3</v>
      </c>
      <c r="AE1178" s="240">
        <f ca="1">IFERROR(IF(OR(Z1178="",Z1178=0),"",IF(AF1178="","",IF(AF1178="R$/mês",Z1178/OBRA!$D$12,IF(AF1178="R$/m²",Z1178/OBRA!$D$10,IF(AF1178="R$/apto",Orçamento!Z1178/OBRA!$D$11,""))))),"")</f>
        <v>32.546327506265342</v>
      </c>
      <c r="AF1178" s="241" t="s">
        <v>154</v>
      </c>
    </row>
    <row r="1179" spans="1:32" s="10" customFormat="1" ht="13.15" hidden="1" customHeight="1" outlineLevel="4" x14ac:dyDescent="0.2">
      <c r="A1179" s="227"/>
      <c r="B1179" s="228" t="s">
        <v>19</v>
      </c>
      <c r="C1179" s="229">
        <f t="shared" si="801"/>
        <v>1</v>
      </c>
      <c r="D1179" s="227" t="str">
        <f>IF(B1179="Unidade Construtiva",TEXT(F1179,"00"),IF(B1179="Célula Construtiva",TEXT(H1179,"00"),IF(B1179="Etapa",CONCATENATE(TEXT(H1179,"00"),".",TEXT(J1179,"000")),IF(B1179="Subetapa",CONCATENATE(TEXT(H1179,"00"),".",TEXT(J1179,"000"),".",TEXT(L1179,"000")),IF(B1179="Serviço",CONCATENATE(TEXT(H1179,"00"),".",TEXT(J1179,"000"),".",TEXT(L1179,"000"),".",TEXT(N1179,"000")),"")))))</f>
        <v/>
      </c>
      <c r="E1179" s="228" t="str">
        <f ca="1">IF(B1179="*","",IFERROR(IF(B1179="SERVIÇO",D1179,OFFSET(E1179,-1,0)),""))</f>
        <v>11.001.002.001</v>
      </c>
      <c r="F1179" s="230">
        <f ca="1">IF($B1179="UNIDADE CONSTRUTIVA",OFFSET(F1179,-1,0)+1,LARGE(F$10:F1178,1))</f>
        <v>2</v>
      </c>
      <c r="G1179" s="228" t="str">
        <f t="shared" ca="1" si="805"/>
        <v xml:space="preserve">   GERENCIAMENTO EXECUTIVO</v>
      </c>
      <c r="H1179" s="230">
        <f ca="1">IF(B1179="UNIDADE CONSTRUTIVA",0,IF(B1179="CÉLULA CONSTRUTIVA",OFFSET(H1179,-1,0)+1,OFFSET(H1179,-1,0)))</f>
        <v>11</v>
      </c>
      <c r="I1179" s="228" t="str">
        <f t="shared" ca="1" si="806"/>
        <v xml:space="preserve">   EQUIPAMENTOS E SISTEMAS ESPECIAIS</v>
      </c>
      <c r="J1179" s="230">
        <f ca="1">IF(B1179="CÉLULA CONSTRUTIVA",0,IF(B1179="ETAPA",OFFSET(J1179,-1,0)+1,OFFSET(J1179,-1,0)))</f>
        <v>1</v>
      </c>
      <c r="K1179" s="228" t="str">
        <f t="shared" ca="1" si="807"/>
        <v xml:space="preserve">   EQUIPAMENTOS E SISTEMAS ESPECIAIS</v>
      </c>
      <c r="L1179" s="231">
        <f ca="1">IF(B1179="ETAPA",0,IF(B1179="SUBETAPA",OFFSET(L1179,-1,0)+1,OFFSET(L1179,-1,0)))</f>
        <v>2</v>
      </c>
      <c r="M1179" s="228" t="str">
        <f t="shared" ca="1" si="808"/>
        <v xml:space="preserve">   Sistemas Especiais</v>
      </c>
      <c r="N1179" s="231">
        <f ca="1">IF(B1179="Subetapa",0,IF(B1179="serviço",OFFSET(N1179,-1,0)+1,OFFSET(N1179,-1,0)))</f>
        <v>1</v>
      </c>
      <c r="O1179" s="228" t="str">
        <f t="shared" ca="1" si="809"/>
        <v>Instalação de Equipamentos de Piscina</v>
      </c>
      <c r="P1179" s="232" t="str">
        <f>IF(S1179="","",IF(Orçamento!$B1179="INSUMO",S1179,""))</f>
        <v>Instalação equipamentos para piscina</v>
      </c>
      <c r="Q1179" s="244" t="str">
        <f t="shared" si="818"/>
        <v/>
      </c>
      <c r="R1179" s="234">
        <f t="shared" ca="1" si="810"/>
        <v>1</v>
      </c>
      <c r="S1179" s="233" t="s">
        <v>879</v>
      </c>
      <c r="T1179" s="242" t="str">
        <f>_xlfn.XLOOKUP(S1179,Insumos!$A$3:$A$371,Insumos!$B$3:$B$371)</f>
        <v>vb</v>
      </c>
      <c r="U1179" s="235">
        <f t="shared" ref="U1179:U1187" ca="1" si="825">IF($B1179="insumo",R1179,"")</f>
        <v>1</v>
      </c>
      <c r="V1179" s="320">
        <v>1</v>
      </c>
      <c r="W1179" s="236">
        <f>IFERROR(IF(B1179="INSUMO",_xlfn.XLOOKUP(S1179,Insumos!A:A,Insumos!C:C),""),"Inserir Preço")</f>
        <v>35800</v>
      </c>
      <c r="X1179" s="235">
        <f ca="1">IF(B1179="Complemento do insumo",V1179,IF(R1179="","",IF(B1179="serviço",R1179,IF(OR(B1179="insumo"),V1179*R1179,""))))</f>
        <v>1</v>
      </c>
      <c r="Y1179" s="236">
        <f t="shared" si="786"/>
        <v>35800</v>
      </c>
      <c r="Z1179" s="237">
        <f t="shared" ca="1" si="803"/>
        <v>35800</v>
      </c>
      <c r="AA1179" s="238"/>
      <c r="AB1179" s="233" t="str">
        <f>IF(B1179="insumo",_xlfn.XLOOKUP(S1179,Insumos!A:A,Insumos!D:D),"")</f>
        <v>Base de dados</v>
      </c>
      <c r="AC1179" s="239">
        <f t="shared" ca="1" si="804"/>
        <v>5.1358363959218955E-3</v>
      </c>
      <c r="AE1179" s="240">
        <f ca="1">IFERROR(IF(OR(Z1179="",Z1179=0),"",IF(AF1179="","",IF(AF1179="R$/mês",Z1179/OBRA!$D$12,IF(AF1179="R$/m²",Z1179/OBRA!$D$10,IF(AF1179="R$/apto",Orçamento!Z1179/OBRA!$D$11,""))))),"")</f>
        <v>18.422935010266411</v>
      </c>
      <c r="AF1179" s="241" t="s">
        <v>154</v>
      </c>
    </row>
    <row r="1180" spans="1:32" s="10" customFormat="1" ht="13.15" hidden="1" customHeight="1" outlineLevel="4" x14ac:dyDescent="0.2">
      <c r="A1180" s="227"/>
      <c r="B1180" s="228" t="s">
        <v>19</v>
      </c>
      <c r="C1180" s="229">
        <f t="shared" si="801"/>
        <v>1</v>
      </c>
      <c r="D1180" s="227" t="str">
        <f t="shared" ref="D1180:D1185" si="826">IF(B1180="Unidade Construtiva",TEXT(F1180,"00"),IF(B1180="Célula Construtiva",TEXT(H1180,"00"),IF(B1180="Etapa",CONCATENATE(TEXT(H1180,"00"),".",TEXT(J1180,"000")),IF(B1180="Subetapa",CONCATENATE(TEXT(H1180,"00"),".",TEXT(J1180,"000"),".",TEXT(L1180,"000")),IF(B1180="Serviço",CONCATENATE(TEXT(H1180,"00"),".",TEXT(J1180,"000"),".",TEXT(L1180,"000"),".",TEXT(N1180,"000")),"")))))</f>
        <v/>
      </c>
      <c r="E1180" s="228" t="str">
        <f t="shared" ref="E1180:E1185" ca="1" si="827">IF(B1180="*","",IFERROR(IF(B1180="SERVIÇO",D1180,OFFSET(E1180,-1,0)),""))</f>
        <v>11.001.002.001</v>
      </c>
      <c r="F1180" s="230">
        <f ca="1">IF($B1180="UNIDADE CONSTRUTIVA",OFFSET(F1180,-1,0)+1,LARGE(F$10:F1179,1))</f>
        <v>2</v>
      </c>
      <c r="G1180" s="228" t="str">
        <f t="shared" ref="G1180:G1185" ca="1" si="828">IF(B1180="*","",IF(B1180="UNIDADE CONSTRUTIVA",S1180,OFFSET(G1180,-1,0)))</f>
        <v xml:space="preserve">   GERENCIAMENTO EXECUTIVO</v>
      </c>
      <c r="H1180" s="230">
        <f t="shared" ref="H1180:H1185" ca="1" si="829">IF(B1180="UNIDADE CONSTRUTIVA",0,IF(B1180="CÉLULA CONSTRUTIVA",OFFSET(H1180,-1,0)+1,OFFSET(H1180,-1,0)))</f>
        <v>11</v>
      </c>
      <c r="I1180" s="228" t="str">
        <f t="shared" ref="I1180:I1185" ca="1" si="830">IF(B1180="*","",IF(B1180="CÉLULA CONSTRUTIVA",S1180,OFFSET(I1180,-1,0)))</f>
        <v xml:space="preserve">   EQUIPAMENTOS E SISTEMAS ESPECIAIS</v>
      </c>
      <c r="J1180" s="230">
        <f t="shared" ref="J1180:J1185" ca="1" si="831">IF(B1180="CÉLULA CONSTRUTIVA",0,IF(B1180="ETAPA",OFFSET(J1180,-1,0)+1,OFFSET(J1180,-1,0)))</f>
        <v>1</v>
      </c>
      <c r="K1180" s="228" t="str">
        <f t="shared" ref="K1180:K1185" ca="1" si="832">IF(B1180="*","",IF(B1180="ETAPA",S1180,OFFSET(K1180,-1,0)))</f>
        <v xml:space="preserve">   EQUIPAMENTOS E SISTEMAS ESPECIAIS</v>
      </c>
      <c r="L1180" s="231">
        <f t="shared" ref="L1180:L1185" ca="1" si="833">IF(B1180="ETAPA",0,IF(B1180="SUBETAPA",OFFSET(L1180,-1,0)+1,OFFSET(L1180,-1,0)))</f>
        <v>2</v>
      </c>
      <c r="M1180" s="228" t="str">
        <f t="shared" ref="M1180:M1185" ca="1" si="834">IF(B1180="*","",IF(B1180="SUBETAPA",S1180,OFFSET(M1180,-1,0)))</f>
        <v xml:space="preserve">   Sistemas Especiais</v>
      </c>
      <c r="N1180" s="231">
        <f t="shared" ref="N1180:N1185" ca="1" si="835">IF(B1180="Subetapa",0,IF(B1180="serviço",OFFSET(N1180,-1,0)+1,OFFSET(N1180,-1,0)))</f>
        <v>1</v>
      </c>
      <c r="O1180" s="228" t="str">
        <f t="shared" ref="O1180:O1185" ca="1" si="836">IF(B1180="*","",IF(B1180="SERVIÇO",S1180,OFFSET(O1180,-1,0)))</f>
        <v>Instalação de Equipamentos de Piscina</v>
      </c>
      <c r="P1180" s="232" t="str">
        <f>IF(S1180="","",IF(Orçamento!$B1180="INSUMO",S1180,""))</f>
        <v>Skimmer - 50 mm</v>
      </c>
      <c r="Q1180" s="244" t="str">
        <f t="shared" ref="Q1180:Q1185" si="837">IF(B1180="","",IF(B1180="Serviço",S1180,""))</f>
        <v/>
      </c>
      <c r="R1180" s="234">
        <f t="shared" ref="R1180:R1185" ca="1" si="838">IF(B1180="serviço",U1180,OFFSET(R1180,-1,0))</f>
        <v>1</v>
      </c>
      <c r="S1180" s="233" t="s">
        <v>880</v>
      </c>
      <c r="T1180" s="242" t="str">
        <f>_xlfn.XLOOKUP(S1180,Insumos!$A$3:$A$371,Insumos!$B$3:$B$371)</f>
        <v>un</v>
      </c>
      <c r="U1180" s="235">
        <f t="shared" ca="1" si="825"/>
        <v>1</v>
      </c>
      <c r="V1180" s="320">
        <v>1</v>
      </c>
      <c r="W1180" s="236">
        <f>IFERROR(IF(B1180="INSUMO",_xlfn.XLOOKUP(S1180,Insumos!A:A,Insumos!C:C),""),"Inserir Preço")</f>
        <v>889</v>
      </c>
      <c r="X1180" s="235">
        <f t="shared" ref="X1180:X1185" ca="1" si="839">IF(B1180="Complemento do insumo",V1180,IF(R1180="","",IF(B1180="serviço",R1180,IF(OR(B1180="insumo"),V1180*R1180,""))))</f>
        <v>1</v>
      </c>
      <c r="Y1180" s="236">
        <f t="shared" si="786"/>
        <v>889</v>
      </c>
      <c r="Z1180" s="237">
        <f t="shared" ca="1" si="803"/>
        <v>889</v>
      </c>
      <c r="AA1180" s="238"/>
      <c r="AB1180" s="233" t="str">
        <f>IF(B1180="insumo",_xlfn.XLOOKUP(S1180,Insumos!A:A,Insumos!D:D),"")</f>
        <v>Base de dados</v>
      </c>
      <c r="AC1180" s="239">
        <f t="shared" ca="1" si="804"/>
        <v>1.2753515519482026E-4</v>
      </c>
      <c r="AE1180" s="240">
        <f ca="1">IFERROR(IF(OR(Z1180="",Z1180=0),"",IF(AF1180="","",IF(AF1180="R$/mês",Z1180/OBRA!$D$12,IF(AF1180="R$/m²",Z1180/OBRA!$D$10,IF(AF1180="R$/apto",Orçamento!Z1180/OBRA!$D$11,""))))),"")</f>
        <v>0.45748573251750951</v>
      </c>
      <c r="AF1180" s="241" t="s">
        <v>154</v>
      </c>
    </row>
    <row r="1181" spans="1:32" s="10" customFormat="1" ht="13.15" hidden="1" customHeight="1" outlineLevel="4" x14ac:dyDescent="0.2">
      <c r="A1181" s="227"/>
      <c r="B1181" s="228" t="s">
        <v>19</v>
      </c>
      <c r="C1181" s="229">
        <f t="shared" si="801"/>
        <v>1</v>
      </c>
      <c r="D1181" s="227" t="str">
        <f t="shared" si="826"/>
        <v/>
      </c>
      <c r="E1181" s="228" t="str">
        <f t="shared" ca="1" si="827"/>
        <v>11.001.002.001</v>
      </c>
      <c r="F1181" s="230">
        <f ca="1">IF($B1181="UNIDADE CONSTRUTIVA",OFFSET(F1181,-1,0)+1,LARGE(F$10:F1180,1))</f>
        <v>2</v>
      </c>
      <c r="G1181" s="228" t="str">
        <f t="shared" ca="1" si="828"/>
        <v xml:space="preserve">   GERENCIAMENTO EXECUTIVO</v>
      </c>
      <c r="H1181" s="230">
        <f t="shared" ca="1" si="829"/>
        <v>11</v>
      </c>
      <c r="I1181" s="228" t="str">
        <f t="shared" ca="1" si="830"/>
        <v xml:space="preserve">   EQUIPAMENTOS E SISTEMAS ESPECIAIS</v>
      </c>
      <c r="J1181" s="230">
        <f t="shared" ca="1" si="831"/>
        <v>1</v>
      </c>
      <c r="K1181" s="228" t="str">
        <f t="shared" ca="1" si="832"/>
        <v xml:space="preserve">   EQUIPAMENTOS E SISTEMAS ESPECIAIS</v>
      </c>
      <c r="L1181" s="231">
        <f t="shared" ca="1" si="833"/>
        <v>2</v>
      </c>
      <c r="M1181" s="228" t="str">
        <f t="shared" ca="1" si="834"/>
        <v xml:space="preserve">   Sistemas Especiais</v>
      </c>
      <c r="N1181" s="231">
        <f t="shared" ca="1" si="835"/>
        <v>1</v>
      </c>
      <c r="O1181" s="228" t="str">
        <f t="shared" ca="1" si="836"/>
        <v>Instalação de Equipamentos de Piscina</v>
      </c>
      <c r="P1181" s="232" t="str">
        <f>IF(S1181="","",IF(Orçamento!$B1181="INSUMO",S1181,""))</f>
        <v>Trocador de calor integrado</v>
      </c>
      <c r="Q1181" s="244" t="str">
        <f t="shared" si="837"/>
        <v/>
      </c>
      <c r="R1181" s="234">
        <f t="shared" ca="1" si="838"/>
        <v>1</v>
      </c>
      <c r="S1181" s="233" t="s">
        <v>881</v>
      </c>
      <c r="T1181" s="242" t="str">
        <f>_xlfn.XLOOKUP(S1181,Insumos!$A$3:$A$371,Insumos!$B$3:$B$371)</f>
        <v>un</v>
      </c>
      <c r="U1181" s="235">
        <f t="shared" ca="1" si="825"/>
        <v>1</v>
      </c>
      <c r="V1181" s="320">
        <v>1</v>
      </c>
      <c r="W1181" s="236">
        <f>IFERROR(IF(B1181="INSUMO",_xlfn.XLOOKUP(S1181,Insumos!A:A,Insumos!C:C),""),"Inserir Preço")</f>
        <v>20392</v>
      </c>
      <c r="X1181" s="235">
        <f t="shared" ca="1" si="839"/>
        <v>1</v>
      </c>
      <c r="Y1181" s="236">
        <f t="shared" si="786"/>
        <v>20392</v>
      </c>
      <c r="Z1181" s="237">
        <f t="shared" ca="1" si="803"/>
        <v>20392</v>
      </c>
      <c r="AA1181" s="238"/>
      <c r="AB1181" s="233" t="str">
        <f>IF(B1181="insumo",_xlfn.XLOOKUP(S1181,Insumos!A:A,Insumos!D:D),"")</f>
        <v>Base de dados</v>
      </c>
      <c r="AC1181" s="239">
        <f t="shared" ca="1" si="804"/>
        <v>2.9254183180346168E-3</v>
      </c>
      <c r="AE1181" s="240">
        <f ca="1">IFERROR(IF(OR(Z1181="",Z1181=0),"",IF(AF1181="","",IF(AF1181="R$/mês",Z1181/OBRA!$D$12,IF(AF1181="R$/m²",Z1181/OBRA!$D$10,IF(AF1181="R$/apto",Orçamento!Z1181/OBRA!$D$11,""))))),"")</f>
        <v>10.493868456127169</v>
      </c>
      <c r="AF1181" s="241" t="s">
        <v>154</v>
      </c>
    </row>
    <row r="1182" spans="1:32" s="10" customFormat="1" ht="13.15" hidden="1" customHeight="1" outlineLevel="4" x14ac:dyDescent="0.2">
      <c r="A1182" s="227"/>
      <c r="B1182" s="228" t="s">
        <v>19</v>
      </c>
      <c r="C1182" s="229">
        <f t="shared" si="801"/>
        <v>1</v>
      </c>
      <c r="D1182" s="227" t="str">
        <f t="shared" si="826"/>
        <v/>
      </c>
      <c r="E1182" s="228" t="str">
        <f t="shared" ca="1" si="827"/>
        <v>11.001.002.001</v>
      </c>
      <c r="F1182" s="230">
        <f ca="1">IF($B1182="UNIDADE CONSTRUTIVA",OFFSET(F1182,-1,0)+1,LARGE(F$10:F1181,1))</f>
        <v>2</v>
      </c>
      <c r="G1182" s="228" t="str">
        <f t="shared" ca="1" si="828"/>
        <v xml:space="preserve">   GERENCIAMENTO EXECUTIVO</v>
      </c>
      <c r="H1182" s="230">
        <f t="shared" ca="1" si="829"/>
        <v>11</v>
      </c>
      <c r="I1182" s="228" t="str">
        <f t="shared" ca="1" si="830"/>
        <v xml:space="preserve">   EQUIPAMENTOS E SISTEMAS ESPECIAIS</v>
      </c>
      <c r="J1182" s="230">
        <f t="shared" ca="1" si="831"/>
        <v>1</v>
      </c>
      <c r="K1182" s="228" t="str">
        <f t="shared" ca="1" si="832"/>
        <v xml:space="preserve">   EQUIPAMENTOS E SISTEMAS ESPECIAIS</v>
      </c>
      <c r="L1182" s="231">
        <f t="shared" ca="1" si="833"/>
        <v>2</v>
      </c>
      <c r="M1182" s="228" t="str">
        <f t="shared" ca="1" si="834"/>
        <v xml:space="preserve">   Sistemas Especiais</v>
      </c>
      <c r="N1182" s="231">
        <f t="shared" ca="1" si="835"/>
        <v>1</v>
      </c>
      <c r="O1182" s="228" t="str">
        <f t="shared" ca="1" si="836"/>
        <v>Instalação de Equipamentos de Piscina</v>
      </c>
      <c r="P1182" s="232" t="str">
        <f>IF(S1182="","",IF(Orçamento!$B1182="INSUMO",S1182,""))</f>
        <v>Filtro mod. FM 50 125kg areia - bomba BM de 3/4 cv - Sodramar</v>
      </c>
      <c r="Q1182" s="244" t="str">
        <f t="shared" si="837"/>
        <v/>
      </c>
      <c r="R1182" s="234">
        <f t="shared" ca="1" si="838"/>
        <v>1</v>
      </c>
      <c r="S1182" s="233" t="s">
        <v>882</v>
      </c>
      <c r="T1182" s="242" t="str">
        <f>_xlfn.XLOOKUP(S1182,Insumos!$A$3:$A$371,Insumos!$B$3:$B$371)</f>
        <v>un</v>
      </c>
      <c r="U1182" s="235">
        <f t="shared" ca="1" si="825"/>
        <v>1</v>
      </c>
      <c r="V1182" s="320">
        <v>1</v>
      </c>
      <c r="W1182" s="236">
        <f>IFERROR(IF(B1182="INSUMO",_xlfn.XLOOKUP(S1182,Insumos!A:A,Insumos!C:C),""),"Inserir Preço")</f>
        <v>2187</v>
      </c>
      <c r="X1182" s="235">
        <f t="shared" ca="1" si="839"/>
        <v>1</v>
      </c>
      <c r="Y1182" s="236">
        <f t="shared" si="786"/>
        <v>2187</v>
      </c>
      <c r="Z1182" s="237">
        <f t="shared" ca="1" si="803"/>
        <v>2187</v>
      </c>
      <c r="AA1182" s="238"/>
      <c r="AB1182" s="233" t="str">
        <f>IF(B1182="insumo",_xlfn.XLOOKUP(S1182,Insumos!A:A,Insumos!D:D),"")</f>
        <v>Base de dados</v>
      </c>
      <c r="AC1182" s="239">
        <f t="shared" ca="1" si="804"/>
        <v>3.1374508932629006E-4</v>
      </c>
      <c r="AE1182" s="240">
        <f ca="1">IFERROR(IF(OR(Z1182="",Z1182=0),"",IF(AF1182="","",IF(AF1182="R$/mês",Z1182/OBRA!$D$12,IF(AF1182="R$/m²",Z1182/OBRA!$D$10,IF(AF1182="R$/apto",Orçamento!Z1182/OBRA!$D$11,""))))),"")</f>
        <v>1.1254457784204648</v>
      </c>
      <c r="AF1182" s="241" t="s">
        <v>154</v>
      </c>
    </row>
    <row r="1183" spans="1:32" s="10" customFormat="1" ht="13.15" hidden="1" customHeight="1" outlineLevel="4" x14ac:dyDescent="0.2">
      <c r="A1183" s="227"/>
      <c r="B1183" s="228" t="s">
        <v>19</v>
      </c>
      <c r="C1183" s="229">
        <f t="shared" si="801"/>
        <v>1</v>
      </c>
      <c r="D1183" s="227" t="str">
        <f t="shared" si="826"/>
        <v/>
      </c>
      <c r="E1183" s="228" t="str">
        <f t="shared" ca="1" si="827"/>
        <v>11.001.002.001</v>
      </c>
      <c r="F1183" s="230">
        <f ca="1">IF($B1183="UNIDADE CONSTRUTIVA",OFFSET(F1183,-1,0)+1,LARGE(F$10:F1182,1))</f>
        <v>2</v>
      </c>
      <c r="G1183" s="228" t="str">
        <f t="shared" ca="1" si="828"/>
        <v xml:space="preserve">   GERENCIAMENTO EXECUTIVO</v>
      </c>
      <c r="H1183" s="230">
        <f t="shared" ca="1" si="829"/>
        <v>11</v>
      </c>
      <c r="I1183" s="228" t="str">
        <f t="shared" ca="1" si="830"/>
        <v xml:space="preserve">   EQUIPAMENTOS E SISTEMAS ESPECIAIS</v>
      </c>
      <c r="J1183" s="230">
        <f t="shared" ca="1" si="831"/>
        <v>1</v>
      </c>
      <c r="K1183" s="228" t="str">
        <f t="shared" ca="1" si="832"/>
        <v xml:space="preserve">   EQUIPAMENTOS E SISTEMAS ESPECIAIS</v>
      </c>
      <c r="L1183" s="231">
        <f t="shared" ca="1" si="833"/>
        <v>2</v>
      </c>
      <c r="M1183" s="228" t="str">
        <f t="shared" ca="1" si="834"/>
        <v xml:space="preserve">   Sistemas Especiais</v>
      </c>
      <c r="N1183" s="231">
        <f t="shared" ca="1" si="835"/>
        <v>1</v>
      </c>
      <c r="O1183" s="228" t="str">
        <f t="shared" ca="1" si="836"/>
        <v>Instalação de Equipamentos de Piscina</v>
      </c>
      <c r="P1183" s="232" t="str">
        <f>IF(S1183="","",IF(Orçamento!$B1183="INSUMO",S1183,""))</f>
        <v>Moto bomba 3/4 cv mono auxiliar - Sodramar</v>
      </c>
      <c r="Q1183" s="244" t="str">
        <f t="shared" si="837"/>
        <v/>
      </c>
      <c r="R1183" s="234">
        <f t="shared" ca="1" si="838"/>
        <v>1</v>
      </c>
      <c r="S1183" s="233" t="s">
        <v>883</v>
      </c>
      <c r="T1183" s="242" t="str">
        <f>_xlfn.XLOOKUP(S1183,Insumos!$A$3:$A$371,Insumos!$B$3:$B$371)</f>
        <v>un</v>
      </c>
      <c r="U1183" s="235">
        <f t="shared" ca="1" si="825"/>
        <v>1</v>
      </c>
      <c r="V1183" s="320">
        <v>2</v>
      </c>
      <c r="W1183" s="236">
        <f>IFERROR(IF(B1183="INSUMO",_xlfn.XLOOKUP(S1183,Insumos!A:A,Insumos!C:C),""),"Inserir Preço")</f>
        <v>1464</v>
      </c>
      <c r="X1183" s="235">
        <f t="shared" ca="1" si="839"/>
        <v>2</v>
      </c>
      <c r="Y1183" s="236">
        <f t="shared" si="786"/>
        <v>2928</v>
      </c>
      <c r="Z1183" s="237">
        <f t="shared" ca="1" si="803"/>
        <v>2928</v>
      </c>
      <c r="AA1183" s="238"/>
      <c r="AB1183" s="233" t="str">
        <f>IF(B1183="insumo",_xlfn.XLOOKUP(S1183,Insumos!A:A,Insumos!D:D),"")</f>
        <v>Base de dados</v>
      </c>
      <c r="AC1183" s="239">
        <f t="shared" ca="1" si="804"/>
        <v>4.2004829517484102E-4</v>
      </c>
      <c r="AE1183" s="240">
        <f ca="1">IFERROR(IF(OR(Z1183="",Z1183=0),"",IF(AF1183="","",IF(AF1183="R$/mês",Z1183/OBRA!$D$12,IF(AF1183="R$/m²",Z1183/OBRA!$D$10,IF(AF1183="R$/apto",Orçamento!Z1183/OBRA!$D$11,""))))),"")</f>
        <v>1.5067696567055882</v>
      </c>
      <c r="AF1183" s="241" t="s">
        <v>154</v>
      </c>
    </row>
    <row r="1184" spans="1:32" s="10" customFormat="1" ht="13.15" hidden="1" customHeight="1" outlineLevel="4" x14ac:dyDescent="0.2">
      <c r="A1184" s="227"/>
      <c r="B1184" s="228" t="s">
        <v>19</v>
      </c>
      <c r="C1184" s="229">
        <f t="shared" si="801"/>
        <v>1</v>
      </c>
      <c r="D1184" s="227" t="str">
        <f t="shared" si="826"/>
        <v/>
      </c>
      <c r="E1184" s="228" t="str">
        <f t="shared" ca="1" si="827"/>
        <v>11.001.002.001</v>
      </c>
      <c r="F1184" s="230">
        <f ca="1">IF($B1184="UNIDADE CONSTRUTIVA",OFFSET(F1184,-1,0)+1,LARGE(F$10:F1183,1))</f>
        <v>2</v>
      </c>
      <c r="G1184" s="228" t="str">
        <f t="shared" ca="1" si="828"/>
        <v xml:space="preserve">   GERENCIAMENTO EXECUTIVO</v>
      </c>
      <c r="H1184" s="230">
        <f t="shared" ca="1" si="829"/>
        <v>11</v>
      </c>
      <c r="I1184" s="228" t="str">
        <f t="shared" ca="1" si="830"/>
        <v xml:space="preserve">   EQUIPAMENTOS E SISTEMAS ESPECIAIS</v>
      </c>
      <c r="J1184" s="230">
        <f t="shared" ca="1" si="831"/>
        <v>1</v>
      </c>
      <c r="K1184" s="228" t="str">
        <f t="shared" ca="1" si="832"/>
        <v xml:space="preserve">   EQUIPAMENTOS E SISTEMAS ESPECIAIS</v>
      </c>
      <c r="L1184" s="231">
        <f t="shared" ca="1" si="833"/>
        <v>2</v>
      </c>
      <c r="M1184" s="228" t="str">
        <f t="shared" ca="1" si="834"/>
        <v xml:space="preserve">   Sistemas Especiais</v>
      </c>
      <c r="N1184" s="231">
        <f t="shared" ca="1" si="835"/>
        <v>1</v>
      </c>
      <c r="O1184" s="228" t="str">
        <f t="shared" ca="1" si="836"/>
        <v>Instalação de Equipamentos de Piscina</v>
      </c>
      <c r="P1184" s="232" t="str">
        <f>IF(S1184="","",IF(Orçamento!$B1184="INSUMO",S1184,""))</f>
        <v>Dispositivo de Aspiração / 1.1/2"</v>
      </c>
      <c r="Q1184" s="244" t="str">
        <f t="shared" si="837"/>
        <v/>
      </c>
      <c r="R1184" s="234">
        <f t="shared" ca="1" si="838"/>
        <v>1</v>
      </c>
      <c r="S1184" s="233" t="s">
        <v>884</v>
      </c>
      <c r="T1184" s="242" t="str">
        <f>_xlfn.XLOOKUP(S1184,Insumos!$A$3:$A$371,Insumos!$B$3:$B$371)</f>
        <v>un</v>
      </c>
      <c r="U1184" s="235">
        <f t="shared" ca="1" si="825"/>
        <v>1</v>
      </c>
      <c r="V1184" s="320">
        <v>2</v>
      </c>
      <c r="W1184" s="236">
        <f>IFERROR(IF(B1184="INSUMO",_xlfn.XLOOKUP(S1184,Insumos!A:A,Insumos!C:C),""),"Inserir Preço")</f>
        <v>45</v>
      </c>
      <c r="X1184" s="235">
        <f t="shared" ca="1" si="839"/>
        <v>2</v>
      </c>
      <c r="Y1184" s="236">
        <f t="shared" si="786"/>
        <v>90</v>
      </c>
      <c r="Z1184" s="237">
        <f t="shared" ca="1" si="803"/>
        <v>90</v>
      </c>
      <c r="AA1184" s="238"/>
      <c r="AB1184" s="233" t="str">
        <f>IF(B1184="insumo",_xlfn.XLOOKUP(S1184,Insumos!A:A,Insumos!D:D),"")</f>
        <v>Base de dados</v>
      </c>
      <c r="AC1184" s="239">
        <f t="shared" ca="1" si="804"/>
        <v>1.2911320548406998E-5</v>
      </c>
      <c r="AE1184" s="240">
        <f ca="1">IFERROR(IF(OR(Z1184="",Z1184=0),"",IF(AF1184="","",IF(AF1184="R$/mês",Z1184/OBRA!$D$12,IF(AF1184="R$/m²",Z1184/OBRA!$D$10,IF(AF1184="R$/apto",Orçamento!Z1184/OBRA!$D$11,""))))),"")</f>
        <v>4.631464108726193E-2</v>
      </c>
      <c r="AF1184" s="241" t="s">
        <v>154</v>
      </c>
    </row>
    <row r="1185" spans="1:32" s="10" customFormat="1" ht="13.15" hidden="1" customHeight="1" outlineLevel="4" x14ac:dyDescent="0.2">
      <c r="A1185" s="227"/>
      <c r="B1185" s="228" t="s">
        <v>19</v>
      </c>
      <c r="C1185" s="229">
        <f t="shared" si="801"/>
        <v>1</v>
      </c>
      <c r="D1185" s="227" t="str">
        <f t="shared" si="826"/>
        <v/>
      </c>
      <c r="E1185" s="228" t="str">
        <f t="shared" ca="1" si="827"/>
        <v>11.001.002.001</v>
      </c>
      <c r="F1185" s="230">
        <f ca="1">IF($B1185="UNIDADE CONSTRUTIVA",OFFSET(F1185,-1,0)+1,LARGE(F$10:F1184,1))</f>
        <v>2</v>
      </c>
      <c r="G1185" s="228" t="str">
        <f t="shared" ca="1" si="828"/>
        <v xml:space="preserve">   GERENCIAMENTO EXECUTIVO</v>
      </c>
      <c r="H1185" s="230">
        <f t="shared" ca="1" si="829"/>
        <v>11</v>
      </c>
      <c r="I1185" s="228" t="str">
        <f t="shared" ca="1" si="830"/>
        <v xml:space="preserve">   EQUIPAMENTOS E SISTEMAS ESPECIAIS</v>
      </c>
      <c r="J1185" s="230">
        <f t="shared" ca="1" si="831"/>
        <v>1</v>
      </c>
      <c r="K1185" s="228" t="str">
        <f t="shared" ca="1" si="832"/>
        <v xml:space="preserve">   EQUIPAMENTOS E SISTEMAS ESPECIAIS</v>
      </c>
      <c r="L1185" s="231">
        <f t="shared" ca="1" si="833"/>
        <v>2</v>
      </c>
      <c r="M1185" s="228" t="str">
        <f t="shared" ca="1" si="834"/>
        <v xml:space="preserve">   Sistemas Especiais</v>
      </c>
      <c r="N1185" s="231">
        <f t="shared" ca="1" si="835"/>
        <v>1</v>
      </c>
      <c r="O1185" s="228" t="str">
        <f t="shared" ca="1" si="836"/>
        <v>Instalação de Equipamentos de Piscina</v>
      </c>
      <c r="P1185" s="232" t="str">
        <f>IF(S1185="","",IF(Orçamento!$B1185="INSUMO",S1185,""))</f>
        <v>Dispositivo de Retorno / 1.1/2"</v>
      </c>
      <c r="Q1185" s="244" t="str">
        <f t="shared" si="837"/>
        <v/>
      </c>
      <c r="R1185" s="234">
        <f t="shared" ca="1" si="838"/>
        <v>1</v>
      </c>
      <c r="S1185" s="233" t="s">
        <v>885</v>
      </c>
      <c r="T1185" s="242" t="str">
        <f>_xlfn.XLOOKUP(S1185,Insumos!$A$3:$A$371,Insumos!$B$3:$B$371)</f>
        <v>un</v>
      </c>
      <c r="U1185" s="235">
        <f t="shared" ca="1" si="825"/>
        <v>1</v>
      </c>
      <c r="V1185" s="320">
        <v>4</v>
      </c>
      <c r="W1185" s="236">
        <f>IFERROR(IF(B1185="INSUMO",_xlfn.XLOOKUP(S1185,Insumos!A:A,Insumos!C:C),""),"Inserir Preço")</f>
        <v>35</v>
      </c>
      <c r="X1185" s="235">
        <f t="shared" ca="1" si="839"/>
        <v>4</v>
      </c>
      <c r="Y1185" s="236">
        <f t="shared" si="786"/>
        <v>140</v>
      </c>
      <c r="Z1185" s="237">
        <f t="shared" ca="1" si="803"/>
        <v>140</v>
      </c>
      <c r="AA1185" s="238"/>
      <c r="AB1185" s="233" t="str">
        <f>IF(B1185="insumo",_xlfn.XLOOKUP(S1185,Insumos!A:A,Insumos!D:D),"")</f>
        <v>Base de dados</v>
      </c>
      <c r="AC1185" s="239">
        <f t="shared" ca="1" si="804"/>
        <v>2.008427640863311E-5</v>
      </c>
      <c r="AE1185" s="240">
        <f ca="1">IFERROR(IF(OR(Z1185="",Z1185=0),"",IF(AF1185="","",IF(AF1185="R$/mês",Z1185/OBRA!$D$12,IF(AF1185="R$/m²",Z1185/OBRA!$D$10,IF(AF1185="R$/apto",Orçamento!Z1185/OBRA!$D$11,""))))),"")</f>
        <v>7.2044997246851886E-2</v>
      </c>
      <c r="AF1185" s="241" t="s">
        <v>154</v>
      </c>
    </row>
    <row r="1186" spans="1:32" s="10" customFormat="1" ht="13.15" hidden="1" customHeight="1" outlineLevel="4" x14ac:dyDescent="0.2">
      <c r="A1186" s="227"/>
      <c r="B1186" s="228" t="s">
        <v>19</v>
      </c>
      <c r="C1186" s="229">
        <f t="shared" si="801"/>
        <v>1</v>
      </c>
      <c r="D1186" s="227" t="str">
        <f t="shared" ref="D1186:D1211" si="840">IF(B1186="Unidade Construtiva",TEXT(F1186,"00"),IF(B1186="Célula Construtiva",TEXT(H1186,"00"),IF(B1186="Etapa",CONCATENATE(TEXT(H1186,"00"),".",TEXT(J1186,"000")),IF(B1186="Subetapa",CONCATENATE(TEXT(H1186,"00"),".",TEXT(J1186,"000"),".",TEXT(L1186,"000")),IF(B1186="Serviço",CONCATENATE(TEXT(H1186,"00"),".",TEXT(J1186,"000"),".",TEXT(L1186,"000"),".",TEXT(N1186,"000")),"")))))</f>
        <v/>
      </c>
      <c r="E1186" s="228" t="str">
        <f t="shared" ref="E1186:E1211" ca="1" si="841">IF(B1186="*","",IFERROR(IF(B1186="SERVIÇO",D1186,OFFSET(E1186,-1,0)),""))</f>
        <v>11.001.002.001</v>
      </c>
      <c r="F1186" s="230">
        <f ca="1">IF($B1186="UNIDADE CONSTRUTIVA",OFFSET(F1186,-1,0)+1,LARGE(F$10:F1185,1))</f>
        <v>2</v>
      </c>
      <c r="G1186" s="228" t="str">
        <f ca="1">IF(B1186="*","",IF(B1186="UNIDADE CONSTRUTIVA",S1186,OFFSET(G1186,-1,0)))</f>
        <v xml:space="preserve">   GERENCIAMENTO EXECUTIVO</v>
      </c>
      <c r="H1186" s="230">
        <f t="shared" ref="H1186:H1211" ca="1" si="842">IF(B1186="UNIDADE CONSTRUTIVA",0,IF(B1186="CÉLULA CONSTRUTIVA",OFFSET(H1186,-1,0)+1,OFFSET(H1186,-1,0)))</f>
        <v>11</v>
      </c>
      <c r="I1186" s="228" t="str">
        <f ca="1">IF(B1186="*","",IF(B1186="CÉLULA CONSTRUTIVA",S1186,OFFSET(I1186,-1,0)))</f>
        <v xml:space="preserve">   EQUIPAMENTOS E SISTEMAS ESPECIAIS</v>
      </c>
      <c r="J1186" s="230">
        <f t="shared" ref="J1186:J1211" ca="1" si="843">IF(B1186="CÉLULA CONSTRUTIVA",0,IF(B1186="ETAPA",OFFSET(J1186,-1,0)+1,OFFSET(J1186,-1,0)))</f>
        <v>1</v>
      </c>
      <c r="K1186" s="228" t="str">
        <f ca="1">IF(B1186="*","",IF(B1186="ETAPA",S1186,OFFSET(K1186,-1,0)))</f>
        <v xml:space="preserve">   EQUIPAMENTOS E SISTEMAS ESPECIAIS</v>
      </c>
      <c r="L1186" s="231">
        <f t="shared" ref="L1186:L1211" ca="1" si="844">IF(B1186="ETAPA",0,IF(B1186="SUBETAPA",OFFSET(L1186,-1,0)+1,OFFSET(L1186,-1,0)))</f>
        <v>2</v>
      </c>
      <c r="M1186" s="228" t="str">
        <f ca="1">IF(B1186="*","",IF(B1186="SUBETAPA",S1186,OFFSET(M1186,-1,0)))</f>
        <v xml:space="preserve">   Sistemas Especiais</v>
      </c>
      <c r="N1186" s="231">
        <f t="shared" ref="N1186:N1211" ca="1" si="845">IF(B1186="Subetapa",0,IF(B1186="serviço",OFFSET(N1186,-1,0)+1,OFFSET(N1186,-1,0)))</f>
        <v>1</v>
      </c>
      <c r="O1186" s="228" t="str">
        <f ca="1">IF(B1186="*","",IF(B1186="SERVIÇO",S1186,OFFSET(O1186,-1,0)))</f>
        <v>Instalação de Equipamentos de Piscina</v>
      </c>
      <c r="P1186" s="232" t="str">
        <f>IF(S1186="","",IF(Orçamento!$B1186="INSUMO",S1186,""))</f>
        <v>Dreno de Fundo 1.1/2"</v>
      </c>
      <c r="Q1186" s="244" t="str">
        <f t="shared" si="818"/>
        <v/>
      </c>
      <c r="R1186" s="234">
        <f ca="1">IF(B1186="serviço",U1186,OFFSET(R1186,-1,0))</f>
        <v>1</v>
      </c>
      <c r="S1186" s="233" t="s">
        <v>886</v>
      </c>
      <c r="T1186" s="242" t="str">
        <f>_xlfn.XLOOKUP(S1186,Insumos!$A$3:$A$371,Insumos!$B$3:$B$371)</f>
        <v>un</v>
      </c>
      <c r="U1186" s="235">
        <f t="shared" ca="1" si="825"/>
        <v>1</v>
      </c>
      <c r="V1186" s="320">
        <v>2</v>
      </c>
      <c r="W1186" s="236">
        <f>IFERROR(IF(B1186="INSUMO",_xlfn.XLOOKUP(S1186,Insumos!A:A,Insumos!C:C),""),"Inserir Preço")</f>
        <v>409.5</v>
      </c>
      <c r="X1186" s="235">
        <f ca="1">IF(B1186="Complemento do insumo",V1186,IF(R1186="","",IF(B1186="serviço",R1186,IF(OR(B1186="insumo"),V1186*R1186,""))))</f>
        <v>2</v>
      </c>
      <c r="Y1186" s="236">
        <f t="shared" si="786"/>
        <v>819</v>
      </c>
      <c r="Z1186" s="237">
        <f t="shared" ca="1" si="803"/>
        <v>819</v>
      </c>
      <c r="AA1186" s="238"/>
      <c r="AB1186" s="233" t="str">
        <f>IF(B1186="insumo",_xlfn.XLOOKUP(S1186,Insumos!A:A,Insumos!D:D),"")</f>
        <v>Base de dados</v>
      </c>
      <c r="AC1186" s="239">
        <f t="shared" ca="1" si="804"/>
        <v>1.1749301699050368E-4</v>
      </c>
      <c r="AE1186" s="240">
        <f ca="1">IFERROR(IF(OR(Z1186="",Z1186=0),"",IF(AF1186="","",IF(AF1186="R$/mês",Z1186/OBRA!$D$12,IF(AF1186="R$/m²",Z1186/OBRA!$D$10,IF(AF1186="R$/apto",Orçamento!Z1186/OBRA!$D$11,""))))),"")</f>
        <v>0.42146323389408358</v>
      </c>
      <c r="AF1186" s="241" t="s">
        <v>154</v>
      </c>
    </row>
    <row r="1187" spans="1:32" s="10" customFormat="1" ht="13.15" hidden="1" customHeight="1" outlineLevel="3" collapsed="1" x14ac:dyDescent="0.2">
      <c r="A1187" s="227"/>
      <c r="B1187" s="228" t="s">
        <v>3</v>
      </c>
      <c r="C1187" s="229" t="str">
        <f t="shared" si="801"/>
        <v/>
      </c>
      <c r="D1187" s="227" t="str">
        <f t="shared" ca="1" si="840"/>
        <v>11.001.003</v>
      </c>
      <c r="E1187" s="228" t="str">
        <f t="shared" ca="1" si="841"/>
        <v>11.001.002.001</v>
      </c>
      <c r="F1187" s="230">
        <f ca="1">IF($B1187="UNIDADE CONSTRUTIVA",OFFSET(F1187,-1,0)+1,LARGE(F$10:F1186,1))</f>
        <v>2</v>
      </c>
      <c r="G1187" s="228" t="str">
        <f ca="1">IF(B1187="*","",IF(B1187="UNIDADE CONSTRUTIVA",S1187,OFFSET(G1187,-1,0)))</f>
        <v xml:space="preserve">   GERENCIAMENTO EXECUTIVO</v>
      </c>
      <c r="H1187" s="230">
        <f t="shared" ca="1" si="842"/>
        <v>11</v>
      </c>
      <c r="I1187" s="228" t="str">
        <f ca="1">IF(B1187="*","",IF(B1187="CÉLULA CONSTRUTIVA",S1187,OFFSET(I1187,-1,0)))</f>
        <v xml:space="preserve">   EQUIPAMENTOS E SISTEMAS ESPECIAIS</v>
      </c>
      <c r="J1187" s="230">
        <f t="shared" ca="1" si="843"/>
        <v>1</v>
      </c>
      <c r="K1187" s="228" t="str">
        <f ca="1">IF(B1187="*","",IF(B1187="ETAPA",S1187,OFFSET(K1187,-1,0)))</f>
        <v xml:space="preserve">   EQUIPAMENTOS E SISTEMAS ESPECIAIS</v>
      </c>
      <c r="L1187" s="231">
        <f t="shared" ca="1" si="844"/>
        <v>3</v>
      </c>
      <c r="M1187" s="228" t="str">
        <f ca="1">IF(B1187="*","",IF(B1187="SUBETAPA",S1187,OFFSET(M1187,-1,0)))</f>
        <v xml:space="preserve">   Churrasqueiras e/ou Lareiras</v>
      </c>
      <c r="N1187" s="231">
        <f t="shared" ca="1" si="845"/>
        <v>0</v>
      </c>
      <c r="O1187" s="228" t="str">
        <f ca="1">IF(B1187="*","",IF(B1187="SERVIÇO",S1187,OFFSET(O1187,-1,0)))</f>
        <v>Instalação de Equipamentos de Piscina</v>
      </c>
      <c r="P1187" s="232" t="str">
        <f>IF(S1187="","",IF(Orçamento!$B1187="INSUMO",S1187,""))</f>
        <v/>
      </c>
      <c r="Q1187" s="244" t="str">
        <f>IF(B1187="","",IF(B1187="Serviço",S1187,""))</f>
        <v/>
      </c>
      <c r="R1187" s="234">
        <f ca="1">IF(B1187="serviço",U1187,OFFSET(R1187,-1,0))</f>
        <v>1</v>
      </c>
      <c r="S1187" s="233" t="s">
        <v>526</v>
      </c>
      <c r="T1187" s="242" t="s">
        <v>35</v>
      </c>
      <c r="U1187" s="235" t="str">
        <f t="shared" si="825"/>
        <v/>
      </c>
      <c r="V1187" s="320" t="s">
        <v>35</v>
      </c>
      <c r="W1187" s="236" t="str">
        <f>IFERROR(IF(B1187="INSUMO",_xlfn.XLOOKUP(S1187,Insumos!A:A,Insumos!C:C),""),"Inserir Preço")</f>
        <v/>
      </c>
      <c r="X1187" s="235" t="str">
        <f ca="1">IF(B1187="Complemento do insumo",V1187,IF(R1187="","",IF(B1187="serviço",R1187,IF(OR(B1187="insumo"),V1187*R1187,""))))</f>
        <v/>
      </c>
      <c r="Y1187" s="236" t="str">
        <f t="shared" si="786"/>
        <v/>
      </c>
      <c r="Z1187" s="237">
        <f t="shared" ca="1" si="803"/>
        <v>2050</v>
      </c>
      <c r="AA1187" s="238"/>
      <c r="AB1187" s="233" t="str">
        <f>IF(B1187="insumo",_xlfn.XLOOKUP(S1187,Insumos!A:A,Insumos!D:D),"")</f>
        <v/>
      </c>
      <c r="AC1187" s="239">
        <f t="shared" ca="1" si="804"/>
        <v>2.9409119026927051E-4</v>
      </c>
      <c r="AE1187" s="240">
        <f ca="1">IFERROR(IF(OR(Z1187="",Z1187=0),"",IF(AF1187="","",IF(AF1187="R$/mês",Z1187/OBRA!$D$12,IF(AF1187="R$/m²",Z1187/OBRA!$D$10,IF(AF1187="R$/apto",Orçamento!Z1187/OBRA!$D$11,""))))),"")</f>
        <v>1.0549446025431883</v>
      </c>
      <c r="AF1187" s="241" t="s">
        <v>154</v>
      </c>
    </row>
    <row r="1188" spans="1:32" s="10" customFormat="1" ht="13.15" hidden="1" customHeight="1" outlineLevel="4" x14ac:dyDescent="0.2">
      <c r="A1188" s="227"/>
      <c r="B1188" s="228" t="s">
        <v>4</v>
      </c>
      <c r="C1188" s="229">
        <f t="shared" si="801"/>
        <v>1</v>
      </c>
      <c r="D1188" s="227" t="str">
        <f t="shared" ca="1" si="840"/>
        <v>11.001.003.001</v>
      </c>
      <c r="E1188" s="228" t="str">
        <f t="shared" ca="1" si="841"/>
        <v>11.001.003.001</v>
      </c>
      <c r="F1188" s="230">
        <f ca="1">IF($B1188="UNIDADE CONSTRUTIVA",OFFSET(F1188,-1,0)+1,LARGE(F$10:F1187,1))</f>
        <v>2</v>
      </c>
      <c r="G1188" s="228" t="str">
        <f ca="1">IF(B1188="*","",IF(B1188="UNIDADE CONSTRUTIVA",S1188,OFFSET(G1188,-1,0)))</f>
        <v xml:space="preserve">   GERENCIAMENTO EXECUTIVO</v>
      </c>
      <c r="H1188" s="230">
        <f t="shared" ca="1" si="842"/>
        <v>11</v>
      </c>
      <c r="I1188" s="228" t="str">
        <f ca="1">IF(B1188="*","",IF(B1188="CÉLULA CONSTRUTIVA",S1188,OFFSET(I1188,-1,0)))</f>
        <v xml:space="preserve">   EQUIPAMENTOS E SISTEMAS ESPECIAIS</v>
      </c>
      <c r="J1188" s="230">
        <f t="shared" ca="1" si="843"/>
        <v>1</v>
      </c>
      <c r="K1188" s="228" t="str">
        <f ca="1">IF(B1188="*","",IF(B1188="ETAPA",S1188,OFFSET(K1188,-1,0)))</f>
        <v xml:space="preserve">   EQUIPAMENTOS E SISTEMAS ESPECIAIS</v>
      </c>
      <c r="L1188" s="231">
        <f t="shared" ca="1" si="844"/>
        <v>3</v>
      </c>
      <c r="M1188" s="228" t="str">
        <f ca="1">IF(B1188="*","",IF(B1188="SUBETAPA",S1188,OFFSET(M1188,-1,0)))</f>
        <v xml:space="preserve">   Churrasqueiras e/ou Lareiras</v>
      </c>
      <c r="N1188" s="231">
        <f t="shared" ca="1" si="845"/>
        <v>1</v>
      </c>
      <c r="O1188" s="228" t="str">
        <f ca="1">IF(B1188="*","",IF(B1188="SERVIÇO",S1188,OFFSET(O1188,-1,0)))</f>
        <v>Exaustao das churrasqueiras</v>
      </c>
      <c r="P1188" s="232" t="str">
        <f>IF(S1188="","",IF(Orçamento!$B1188="INSUMO",S1188,""))</f>
        <v/>
      </c>
      <c r="Q1188" s="244" t="str">
        <f>IF(B1188="","",IF(B1188="Serviço",S1188,""))</f>
        <v>Exaustao das churrasqueiras</v>
      </c>
      <c r="R1188" s="234">
        <f ca="1">IF(B1188="serviço",U1188,OFFSET(R1188,-1,0))</f>
        <v>1</v>
      </c>
      <c r="S1188" s="233" t="s">
        <v>527</v>
      </c>
      <c r="T1188" s="242" t="s">
        <v>142</v>
      </c>
      <c r="U1188" s="235">
        <v>1</v>
      </c>
      <c r="V1188" s="320"/>
      <c r="W1188" s="236" t="str">
        <f>IFERROR(IF(B1188="INSUMO",_xlfn.XLOOKUP(S1188,Insumos!A:A,Insumos!C:C),""),"Inserir Preço")</f>
        <v/>
      </c>
      <c r="X1188" s="235">
        <f ca="1">IF(B1188="Complemento do insumo",V1188,IF(R1188="","",IF(B1188="serviço",R1188,IF(OR(B1188="insumo"),V1188*R1188,""))))</f>
        <v>1</v>
      </c>
      <c r="Y1188" s="236">
        <f t="shared" ca="1" si="786"/>
        <v>2050</v>
      </c>
      <c r="Z1188" s="237">
        <f t="shared" ca="1" si="803"/>
        <v>2050</v>
      </c>
      <c r="AA1188" s="238"/>
      <c r="AB1188" s="233" t="str">
        <f>IF(B1188="insumo",_xlfn.XLOOKUP(S1188,Insumos!A:A,Insumos!D:D),"")</f>
        <v/>
      </c>
      <c r="AC1188" s="239">
        <f t="shared" ca="1" si="804"/>
        <v>2.9409119026927051E-4</v>
      </c>
      <c r="AE1188" s="240">
        <f ca="1">IFERROR(IF(OR(Z1188="",Z1188=0),"",IF(AF1188="","",IF(AF1188="R$/mês",Z1188/OBRA!$D$12,IF(AF1188="R$/m²",Z1188/OBRA!$D$10,IF(AF1188="R$/apto",Orçamento!Z1188/OBRA!$D$11,""))))),"")</f>
        <v>1.0549446025431883</v>
      </c>
      <c r="AF1188" s="241" t="s">
        <v>154</v>
      </c>
    </row>
    <row r="1189" spans="1:32" s="10" customFormat="1" ht="13.15" hidden="1" customHeight="1" outlineLevel="4" x14ac:dyDescent="0.2">
      <c r="A1189" s="227"/>
      <c r="B1189" s="228" t="s">
        <v>19</v>
      </c>
      <c r="C1189" s="229">
        <f t="shared" si="801"/>
        <v>1</v>
      </c>
      <c r="D1189" s="227" t="str">
        <f t="shared" si="840"/>
        <v/>
      </c>
      <c r="E1189" s="228" t="str">
        <f t="shared" ca="1" si="841"/>
        <v>11.001.003.001</v>
      </c>
      <c r="F1189" s="230">
        <f ca="1">IF($B1189="UNIDADE CONSTRUTIVA",OFFSET(F1189,-1,0)+1,LARGE(F$10:F1188,1))</f>
        <v>2</v>
      </c>
      <c r="G1189" s="228" t="str">
        <f ca="1">IF(B1189="*","",IF(B1189="UNIDADE CONSTRUTIVA",S1189,OFFSET(G1189,-1,0)))</f>
        <v xml:space="preserve">   GERENCIAMENTO EXECUTIVO</v>
      </c>
      <c r="H1189" s="230">
        <f t="shared" ca="1" si="842"/>
        <v>11</v>
      </c>
      <c r="I1189" s="228" t="str">
        <f ca="1">IF(B1189="*","",IF(B1189="CÉLULA CONSTRUTIVA",S1189,OFFSET(I1189,-1,0)))</f>
        <v xml:space="preserve">   EQUIPAMENTOS E SISTEMAS ESPECIAIS</v>
      </c>
      <c r="J1189" s="230">
        <f t="shared" ca="1" si="843"/>
        <v>1</v>
      </c>
      <c r="K1189" s="228" t="str">
        <f ca="1">IF(B1189="*","",IF(B1189="ETAPA",S1189,OFFSET(K1189,-1,0)))</f>
        <v xml:space="preserve">   EQUIPAMENTOS E SISTEMAS ESPECIAIS</v>
      </c>
      <c r="L1189" s="231">
        <f t="shared" ca="1" si="844"/>
        <v>3</v>
      </c>
      <c r="M1189" s="228" t="str">
        <f ca="1">IF(B1189="*","",IF(B1189="SUBETAPA",S1189,OFFSET(M1189,-1,0)))</f>
        <v xml:space="preserve">   Churrasqueiras e/ou Lareiras</v>
      </c>
      <c r="N1189" s="231">
        <f t="shared" ca="1" si="845"/>
        <v>1</v>
      </c>
      <c r="O1189" s="228" t="str">
        <f ca="1">IF(B1189="*","",IF(B1189="SERVIÇO",S1189,OFFSET(O1189,-1,0)))</f>
        <v>Exaustao das churrasqueiras</v>
      </c>
      <c r="P1189" s="232" t="str">
        <f>IF(S1189="","",IF(Orçamento!$B1189="INSUMO",S1189,""))</f>
        <v>FORNECIMENTO DE MATERIAL PARA INSTALACAO DE EXAUSTAO DE CHURRASQUEIRAS</v>
      </c>
      <c r="Q1189" s="244" t="str">
        <f>IF(B1189="","",IF(B1189="Serviço",S1189,""))</f>
        <v/>
      </c>
      <c r="R1189" s="234">
        <f ca="1">IF(B1189="serviço",U1189,OFFSET(R1189,-1,0))</f>
        <v>1</v>
      </c>
      <c r="S1189" s="233" t="s">
        <v>296</v>
      </c>
      <c r="T1189" s="242" t="str">
        <f>_xlfn.XLOOKUP(S1189,Insumos!$A$3:$A$371,Insumos!$B$3:$B$371)</f>
        <v>VB</v>
      </c>
      <c r="U1189" s="235">
        <f ca="1">IF($B1189="insumo",R1189,"")</f>
        <v>1</v>
      </c>
      <c r="V1189" s="320">
        <v>1</v>
      </c>
      <c r="W1189" s="236">
        <f>IFERROR(IF(B1189="INSUMO",_xlfn.XLOOKUP(S1189,Insumos!A:A,Insumos!C:C),""),"Inserir Preço")</f>
        <v>1200</v>
      </c>
      <c r="X1189" s="235">
        <f ca="1">IF(B1189="Complemento do insumo",V1189,IF(R1189="","",IF(B1189="serviço",R1189,IF(OR(B1189="insumo"),V1189*R1189,""))))</f>
        <v>1</v>
      </c>
      <c r="Y1189" s="236">
        <f t="shared" si="786"/>
        <v>1200</v>
      </c>
      <c r="Z1189" s="237">
        <f t="shared" ca="1" si="803"/>
        <v>1200</v>
      </c>
      <c r="AA1189" s="238"/>
      <c r="AB1189" s="233" t="str">
        <f>IF(B1189="insumo",_xlfn.XLOOKUP(S1189,Insumos!A:A,Insumos!D:D),"")</f>
        <v xml:space="preserve"> </v>
      </c>
      <c r="AC1189" s="239">
        <f t="shared" ca="1" si="804"/>
        <v>1.7215094064542666E-4</v>
      </c>
      <c r="AE1189" s="240">
        <f ca="1">IFERROR(IF(OR(Z1189="",Z1189=0),"",IF(AF1189="","",IF(AF1189="R$/mês",Z1189/OBRA!$D$12,IF(AF1189="R$/m²",Z1189/OBRA!$D$10,IF(AF1189="R$/apto",Orçamento!Z1189/OBRA!$D$11,""))))),"")</f>
        <v>0.61752854783015909</v>
      </c>
      <c r="AF1189" s="241" t="s">
        <v>154</v>
      </c>
    </row>
    <row r="1190" spans="1:32" s="10" customFormat="1" ht="13.15" hidden="1" customHeight="1" outlineLevel="4" x14ac:dyDescent="0.2">
      <c r="A1190" s="227"/>
      <c r="B1190" s="228" t="s">
        <v>19</v>
      </c>
      <c r="C1190" s="229">
        <f t="shared" si="801"/>
        <v>1</v>
      </c>
      <c r="D1190" s="227" t="str">
        <f t="shared" si="840"/>
        <v/>
      </c>
      <c r="E1190" s="228" t="str">
        <f t="shared" ca="1" si="841"/>
        <v>11.001.003.001</v>
      </c>
      <c r="F1190" s="230">
        <f ca="1">IF($B1190="UNIDADE CONSTRUTIVA",OFFSET(F1190,-1,0)+1,LARGE(F$10:F1189,1))</f>
        <v>2</v>
      </c>
      <c r="G1190" s="228" t="str">
        <f ca="1">IF(B1190="*","",IF(B1190="UNIDADE CONSTRUTIVA",S1190,OFFSET(G1190,-1,0)))</f>
        <v xml:space="preserve">   GERENCIAMENTO EXECUTIVO</v>
      </c>
      <c r="H1190" s="230">
        <f t="shared" ca="1" si="842"/>
        <v>11</v>
      </c>
      <c r="I1190" s="228" t="str">
        <f ca="1">IF(B1190="*","",IF(B1190="CÉLULA CONSTRUTIVA",S1190,OFFSET(I1190,-1,0)))</f>
        <v xml:space="preserve">   EQUIPAMENTOS E SISTEMAS ESPECIAIS</v>
      </c>
      <c r="J1190" s="230">
        <f t="shared" ca="1" si="843"/>
        <v>1</v>
      </c>
      <c r="K1190" s="228" t="str">
        <f ca="1">IF(B1190="*","",IF(B1190="ETAPA",S1190,OFFSET(K1190,-1,0)))</f>
        <v xml:space="preserve">   EQUIPAMENTOS E SISTEMAS ESPECIAIS</v>
      </c>
      <c r="L1190" s="231">
        <f t="shared" ca="1" si="844"/>
        <v>3</v>
      </c>
      <c r="M1190" s="228" t="str">
        <f ca="1">IF(B1190="*","",IF(B1190="SUBETAPA",S1190,OFFSET(M1190,-1,0)))</f>
        <v xml:space="preserve">   Churrasqueiras e/ou Lareiras</v>
      </c>
      <c r="N1190" s="231">
        <f t="shared" ca="1" si="845"/>
        <v>1</v>
      </c>
      <c r="O1190" s="228" t="str">
        <f ca="1">IF(B1190="*","",IF(B1190="SERVIÇO",S1190,OFFSET(O1190,-1,0)))</f>
        <v>Exaustao das churrasqueiras</v>
      </c>
      <c r="P1190" s="232" t="str">
        <f>IF(S1190="","",IF(Orçamento!$B1190="INSUMO",S1190,""))</f>
        <v>FORNECIMENTO DE M.O. PARA INSTALACAO DE EXAUSTAO DE CHURRASQUEIRAS</v>
      </c>
      <c r="Q1190" s="244" t="str">
        <f>IF(B1190="","",IF(B1190="Serviço",S1190,""))</f>
        <v/>
      </c>
      <c r="R1190" s="234">
        <f ca="1">IF(B1190="serviço",U1190,OFFSET(R1190,-1,0))</f>
        <v>1</v>
      </c>
      <c r="S1190" s="233" t="s">
        <v>312</v>
      </c>
      <c r="T1190" s="242" t="str">
        <f>_xlfn.XLOOKUP(S1190,Insumos!$A$3:$A$371,Insumos!$B$3:$B$371)</f>
        <v>VB</v>
      </c>
      <c r="U1190" s="235">
        <f ca="1">IF($B1190="insumo",R1190,"")</f>
        <v>1</v>
      </c>
      <c r="V1190" s="320">
        <v>1</v>
      </c>
      <c r="W1190" s="236">
        <f>IFERROR(IF(B1190="INSUMO",_xlfn.XLOOKUP(S1190,Insumos!A:A,Insumos!C:C),""),"Inserir Preço")</f>
        <v>850</v>
      </c>
      <c r="X1190" s="235">
        <f ca="1">IF(B1190="Complemento do insumo",V1190,IF(R1190="","",IF(B1190="serviço",R1190,IF(OR(B1190="insumo"),V1190*R1190,""))))</f>
        <v>1</v>
      </c>
      <c r="Y1190" s="236">
        <f t="shared" si="786"/>
        <v>850</v>
      </c>
      <c r="Z1190" s="237">
        <f t="shared" ca="1" si="803"/>
        <v>850</v>
      </c>
      <c r="AA1190" s="238"/>
      <c r="AB1190" s="233" t="str">
        <f>IF(B1190="insumo",_xlfn.XLOOKUP(S1190,Insumos!A:A,Insumos!D:D),"")</f>
        <v xml:space="preserve"> </v>
      </c>
      <c r="AC1190" s="239">
        <f t="shared" ca="1" si="804"/>
        <v>1.2194024962384388E-4</v>
      </c>
      <c r="AE1190" s="240">
        <f ca="1">IFERROR(IF(OR(Z1190="",Z1190=0),"",IF(AF1190="","",IF(AF1190="R$/mês",Z1190/OBRA!$D$12,IF(AF1190="R$/m²",Z1190/OBRA!$D$10,IF(AF1190="R$/apto",Orçamento!Z1190/OBRA!$D$11,""))))),"")</f>
        <v>0.43741605471302936</v>
      </c>
      <c r="AF1190" s="241" t="s">
        <v>154</v>
      </c>
    </row>
    <row r="1191" spans="1:32" s="10" customFormat="1" ht="13.15" customHeight="1" outlineLevel="1" x14ac:dyDescent="0.2">
      <c r="A1191" s="227"/>
      <c r="B1191" s="228" t="s">
        <v>1</v>
      </c>
      <c r="C1191" s="229" t="str">
        <f t="shared" si="801"/>
        <v/>
      </c>
      <c r="D1191" s="227" t="str">
        <f t="shared" ca="1" si="840"/>
        <v>12</v>
      </c>
      <c r="E1191" s="228" t="str">
        <f ca="1">IF(B1191="*","",IFERROR(IF(B1191="SERVIÇO",D1191,OFFSET(E1191,-1,0)),""))</f>
        <v>11.001.003.001</v>
      </c>
      <c r="F1191" s="230">
        <f ca="1">IF($B1191="UNIDADE CONSTRUTIVA",OFFSET(F1191,-1,0)+1,LARGE(F$10:F1190,1))</f>
        <v>2</v>
      </c>
      <c r="G1191" s="228" t="str">
        <f t="shared" ref="G1191" ca="1" si="846">IF(B1191="*","",IF(B1191="UNIDADE CONSTRUTIVA",S1191,OFFSET(G1191,-1,0)))</f>
        <v xml:space="preserve">   GERENCIAMENTO EXECUTIVO</v>
      </c>
      <c r="H1191" s="230">
        <f ca="1">IF(B1191="UNIDADE CONSTRUTIVA",0,IF(B1191="CÉLULA CONSTRUTIVA",OFFSET(H1191,-1,0)+1,OFFSET(H1191,-1,0)))</f>
        <v>12</v>
      </c>
      <c r="I1191" s="228" t="str">
        <f t="shared" ref="I1191" ca="1" si="847">IF(B1191="*","",IF(B1191="CÉLULA CONSTRUTIVA",S1191,OFFSET(I1191,-1,0)))</f>
        <v xml:space="preserve">   CLIMATIZAÇÃO </v>
      </c>
      <c r="J1191" s="230">
        <f ca="1">IF(B1191="CÉLULA CONSTRUTIVA",0,IF(B1191="ETAPA",OFFSET(J1191,-1,0)+1,OFFSET(J1191,-1,0)))</f>
        <v>0</v>
      </c>
      <c r="K1191" s="228" t="str">
        <f t="shared" ref="K1191" ca="1" si="848">IF(B1191="*","",IF(B1191="ETAPA",S1191,OFFSET(K1191,-1,0)))</f>
        <v xml:space="preserve">   EQUIPAMENTOS E SISTEMAS ESPECIAIS</v>
      </c>
      <c r="L1191" s="231">
        <f ca="1">IF(B1191="ETAPA",0,IF(B1191="SUBETAPA",OFFSET(L1191,-1,0)+1,OFFSET(L1191,-1,0)))</f>
        <v>3</v>
      </c>
      <c r="M1191" s="228" t="str">
        <f t="shared" ref="M1191" ca="1" si="849">IF(B1191="*","",IF(B1191="SUBETAPA",S1191,OFFSET(M1191,-1,0)))</f>
        <v xml:space="preserve">   Churrasqueiras e/ou Lareiras</v>
      </c>
      <c r="N1191" s="231">
        <f ca="1">IF(B1191="Subetapa",0,IF(B1191="serviço",OFFSET(N1191,-1,0)+1,OFFSET(N1191,-1,0)))</f>
        <v>1</v>
      </c>
      <c r="O1191" s="228" t="str">
        <f t="shared" ref="O1191" ca="1" si="850">IF(B1191="*","",IF(B1191="SERVIÇO",S1191,OFFSET(O1191,-1,0)))</f>
        <v>Exaustao das churrasqueiras</v>
      </c>
      <c r="P1191" s="232" t="str">
        <f>IF(S1191="","",IF(Orçamento!$B1191="INSUMO",S1191,""))</f>
        <v/>
      </c>
      <c r="Q1191" s="244" t="str">
        <f t="shared" si="794"/>
        <v/>
      </c>
      <c r="R1191" s="234">
        <f t="shared" ca="1" si="792"/>
        <v>1</v>
      </c>
      <c r="S1191" s="233" t="s">
        <v>1105</v>
      </c>
      <c r="T1191" s="242" t="s">
        <v>35</v>
      </c>
      <c r="U1191" s="235" t="str">
        <f>IF($B1191="insumo",R1191,"")</f>
        <v/>
      </c>
      <c r="V1191" s="320" t="s">
        <v>35</v>
      </c>
      <c r="W1191" s="236" t="str">
        <f>IFERROR(IF(B1191="INSUMO",_xlfn.XLOOKUP(S1191,Insumos!A:A,Insumos!C:C),""),"Inserir Preço")</f>
        <v/>
      </c>
      <c r="X1191" s="235" t="str">
        <f t="shared" ca="1" si="793"/>
        <v/>
      </c>
      <c r="Y1191" s="236" t="str">
        <f t="shared" si="786"/>
        <v/>
      </c>
      <c r="Z1191" s="237">
        <f t="shared" ca="1" si="803"/>
        <v>53440</v>
      </c>
      <c r="AA1191" s="238"/>
      <c r="AB1191" s="233" t="str">
        <f>IF(B1191="insumo",_xlfn.XLOOKUP(S1191,Insumos!A:A,Insumos!D:D),"")</f>
        <v/>
      </c>
      <c r="AC1191" s="239">
        <f t="shared" ca="1" si="804"/>
        <v>7.6664552234096666E-3</v>
      </c>
      <c r="AE1191" s="240">
        <f ca="1">IFERROR(IF(OR(Z1191="",Z1191=0),"",IF(AF1191="","",IF(AF1191="R$/mês",Z1191/OBRA!$D$12,IF(AF1191="R$/m²",Z1191/OBRA!$D$10,IF(AF1191="R$/apto",Orçamento!Z1191/OBRA!$D$11,""))))),"")</f>
        <v>27.500604663369749</v>
      </c>
      <c r="AF1191" s="241" t="s">
        <v>154</v>
      </c>
    </row>
    <row r="1192" spans="1:32" s="10" customFormat="1" ht="13.15" customHeight="1" outlineLevel="2" collapsed="1" x14ac:dyDescent="0.2">
      <c r="A1192" s="227"/>
      <c r="B1192" s="228" t="s">
        <v>2</v>
      </c>
      <c r="C1192" s="229" t="str">
        <f t="shared" si="801"/>
        <v/>
      </c>
      <c r="D1192" s="227" t="str">
        <f t="shared" ca="1" si="840"/>
        <v>12.001</v>
      </c>
      <c r="E1192" s="228" t="str">
        <f t="shared" ca="1" si="841"/>
        <v>11.001.003.001</v>
      </c>
      <c r="F1192" s="230">
        <f ca="1">IF($B1192="UNIDADE CONSTRUTIVA",OFFSET(F1192,-1,0)+1,LARGE(F$10:F1191,1))</f>
        <v>2</v>
      </c>
      <c r="G1192" s="228" t="str">
        <f t="shared" ca="1" si="787"/>
        <v xml:space="preserve">   GERENCIAMENTO EXECUTIVO</v>
      </c>
      <c r="H1192" s="230">
        <f t="shared" ca="1" si="842"/>
        <v>12</v>
      </c>
      <c r="I1192" s="228" t="str">
        <f t="shared" ca="1" si="788"/>
        <v xml:space="preserve">   CLIMATIZAÇÃO </v>
      </c>
      <c r="J1192" s="230">
        <f t="shared" ca="1" si="843"/>
        <v>1</v>
      </c>
      <c r="K1192" s="228" t="str">
        <f t="shared" ca="1" si="789"/>
        <v xml:space="preserve">   CLIMATIZAÇÃO - 2º PAVIMENTO - TÉRREO</v>
      </c>
      <c r="L1192" s="231">
        <f t="shared" ca="1" si="844"/>
        <v>0</v>
      </c>
      <c r="M1192" s="228" t="str">
        <f t="shared" ca="1" si="790"/>
        <v xml:space="preserve">   Churrasqueiras e/ou Lareiras</v>
      </c>
      <c r="N1192" s="231">
        <f t="shared" ca="1" si="845"/>
        <v>1</v>
      </c>
      <c r="O1192" s="228" t="str">
        <f t="shared" ca="1" si="791"/>
        <v>Exaustao das churrasqueiras</v>
      </c>
      <c r="P1192" s="232" t="str">
        <f>IF(S1192="","",IF(Orçamento!$B1192="INSUMO",S1192,""))</f>
        <v/>
      </c>
      <c r="Q1192" s="244" t="str">
        <f t="shared" si="794"/>
        <v/>
      </c>
      <c r="R1192" s="234">
        <f t="shared" ca="1" si="792"/>
        <v>1</v>
      </c>
      <c r="S1192" s="233" t="s">
        <v>646</v>
      </c>
      <c r="T1192" s="242" t="s">
        <v>35</v>
      </c>
      <c r="U1192" s="235" t="str">
        <f>IF($B1192="insumo",R1192,"")</f>
        <v/>
      </c>
      <c r="V1192" s="320" t="s">
        <v>35</v>
      </c>
      <c r="W1192" s="236" t="str">
        <f>IFERROR(IF(B1192="INSUMO",_xlfn.XLOOKUP(S1192,Insumos!A:A,Insumos!C:C),""),"Inserir Preço")</f>
        <v/>
      </c>
      <c r="X1192" s="235" t="str">
        <f t="shared" ca="1" si="793"/>
        <v/>
      </c>
      <c r="Y1192" s="236" t="str">
        <f t="shared" ref="Y1192:Y1255" si="851">IF(B1192="insumo",W1192*V1192,IF(B1192="serviço",SUMIFS(Y:Y,B:B,"insumo",E:E,E1192,I:I,I1192),""))</f>
        <v/>
      </c>
      <c r="Z1192" s="237">
        <f t="shared" ca="1" si="803"/>
        <v>12480</v>
      </c>
      <c r="AA1192" s="238"/>
      <c r="AB1192" s="233" t="str">
        <f>IF(B1192="insumo",_xlfn.XLOOKUP(S1192,Insumos!A:A,Insumos!D:D),"")</f>
        <v/>
      </c>
      <c r="AC1192" s="239">
        <f t="shared" ca="1" si="804"/>
        <v>1.7903697827124372E-3</v>
      </c>
      <c r="AE1192" s="240">
        <f ca="1">IFERROR(IF(OR(Z1192="",Z1192=0),"",IF(AF1192="","",IF(AF1192="R$/mês",Z1192/OBRA!$D$12,IF(AF1192="R$/m²",Z1192/OBRA!$D$10,IF(AF1192="R$/apto",Orçamento!Z1192/OBRA!$D$11,""))))),"")</f>
        <v>6.4222968974336538</v>
      </c>
      <c r="AF1192" s="241" t="s">
        <v>154</v>
      </c>
    </row>
    <row r="1193" spans="1:32" s="10" customFormat="1" ht="13.15" hidden="1" customHeight="1" outlineLevel="3" collapsed="1" x14ac:dyDescent="0.2">
      <c r="A1193" s="227"/>
      <c r="B1193" s="228" t="s">
        <v>3</v>
      </c>
      <c r="C1193" s="229" t="str">
        <f t="shared" si="801"/>
        <v/>
      </c>
      <c r="D1193" s="227" t="str">
        <f t="shared" ca="1" si="840"/>
        <v>12.001.001</v>
      </c>
      <c r="E1193" s="228" t="str">
        <f t="shared" ca="1" si="841"/>
        <v>11.001.003.001</v>
      </c>
      <c r="F1193" s="230">
        <f ca="1">IF($B1193="UNIDADE CONSTRUTIVA",OFFSET(F1193,-1,0)+1,LARGE(F$10:F1192,1))</f>
        <v>2</v>
      </c>
      <c r="G1193" s="228" t="str">
        <f t="shared" ca="1" si="787"/>
        <v xml:space="preserve">   GERENCIAMENTO EXECUTIVO</v>
      </c>
      <c r="H1193" s="230">
        <f t="shared" ca="1" si="842"/>
        <v>12</v>
      </c>
      <c r="I1193" s="228" t="str">
        <f t="shared" ca="1" si="788"/>
        <v xml:space="preserve">   CLIMATIZAÇÃO </v>
      </c>
      <c r="J1193" s="230">
        <f t="shared" ca="1" si="843"/>
        <v>1</v>
      </c>
      <c r="K1193" s="228" t="str">
        <f t="shared" ca="1" si="789"/>
        <v xml:space="preserve">   CLIMATIZAÇÃO - 2º PAVIMENTO - TÉRREO</v>
      </c>
      <c r="L1193" s="231">
        <f t="shared" ca="1" si="844"/>
        <v>1</v>
      </c>
      <c r="M1193" s="228" t="str">
        <f t="shared" ca="1" si="790"/>
        <v xml:space="preserve">   Instalações de Climatização</v>
      </c>
      <c r="N1193" s="231">
        <f t="shared" ca="1" si="845"/>
        <v>0</v>
      </c>
      <c r="O1193" s="228" t="str">
        <f t="shared" ca="1" si="791"/>
        <v>Exaustao das churrasqueiras</v>
      </c>
      <c r="P1193" s="232" t="str">
        <f>IF(S1193="","",IF(Orçamento!$B1193="INSUMO",S1193,""))</f>
        <v/>
      </c>
      <c r="Q1193" s="244" t="str">
        <f t="shared" si="794"/>
        <v/>
      </c>
      <c r="R1193" s="234">
        <f t="shared" ca="1" si="792"/>
        <v>1</v>
      </c>
      <c r="S1193" s="233" t="s">
        <v>457</v>
      </c>
      <c r="T1193" s="242" t="s">
        <v>35</v>
      </c>
      <c r="U1193" s="235" t="str">
        <f>IF($B1193="insumo",R1193,"")</f>
        <v/>
      </c>
      <c r="V1193" s="320" t="s">
        <v>35</v>
      </c>
      <c r="W1193" s="236" t="str">
        <f>IFERROR(IF(B1193="INSUMO",_xlfn.XLOOKUP(S1193,Insumos!A:A,Insumos!C:C),""),"Inserir Preço")</f>
        <v/>
      </c>
      <c r="X1193" s="235" t="str">
        <f t="shared" ca="1" si="793"/>
        <v/>
      </c>
      <c r="Y1193" s="236" t="str">
        <f t="shared" si="851"/>
        <v/>
      </c>
      <c r="Z1193" s="237">
        <f t="shared" ca="1" si="803"/>
        <v>12480</v>
      </c>
      <c r="AA1193" s="238"/>
      <c r="AB1193" s="233" t="str">
        <f>IF(B1193="insumo",_xlfn.XLOOKUP(S1193,Insumos!A:A,Insumos!D:D),"")</f>
        <v/>
      </c>
      <c r="AC1193" s="239">
        <f t="shared" ca="1" si="804"/>
        <v>1.7903697827124372E-3</v>
      </c>
      <c r="AE1193" s="240">
        <f ca="1">IFERROR(IF(OR(Z1193="",Z1193=0),"",IF(AF1193="","",IF(AF1193="R$/mês",Z1193/OBRA!$D$12,IF(AF1193="R$/m²",Z1193/OBRA!$D$10,IF(AF1193="R$/apto",Orçamento!Z1193/OBRA!$D$11,""))))),"")</f>
        <v>6.4222968974336538</v>
      </c>
      <c r="AF1193" s="241" t="s">
        <v>154</v>
      </c>
    </row>
    <row r="1194" spans="1:32" s="10" customFormat="1" ht="13.15" hidden="1" customHeight="1" outlineLevel="4" x14ac:dyDescent="0.2">
      <c r="A1194" s="227"/>
      <c r="B1194" s="228" t="s">
        <v>4</v>
      </c>
      <c r="C1194" s="229">
        <f t="shared" si="801"/>
        <v>3</v>
      </c>
      <c r="D1194" s="227" t="str">
        <f t="shared" ca="1" si="840"/>
        <v>12.001.001.001</v>
      </c>
      <c r="E1194" s="228" t="str">
        <f t="shared" ca="1" si="841"/>
        <v>12.001.001.001</v>
      </c>
      <c r="F1194" s="230">
        <f ca="1">IF($B1194="UNIDADE CONSTRUTIVA",OFFSET(F1194,-1,0)+1,LARGE(F$10:F1193,1))</f>
        <v>2</v>
      </c>
      <c r="G1194" s="228" t="str">
        <f t="shared" ca="1" si="787"/>
        <v xml:space="preserve">   GERENCIAMENTO EXECUTIVO</v>
      </c>
      <c r="H1194" s="230">
        <f t="shared" ca="1" si="842"/>
        <v>12</v>
      </c>
      <c r="I1194" s="228" t="str">
        <f t="shared" ca="1" si="788"/>
        <v xml:space="preserve">   CLIMATIZAÇÃO </v>
      </c>
      <c r="J1194" s="230">
        <f t="shared" ca="1" si="843"/>
        <v>1</v>
      </c>
      <c r="K1194" s="228" t="str">
        <f t="shared" ca="1" si="789"/>
        <v xml:space="preserve">   CLIMATIZAÇÃO - 2º PAVIMENTO - TÉRREO</v>
      </c>
      <c r="L1194" s="231">
        <f t="shared" ca="1" si="844"/>
        <v>1</v>
      </c>
      <c r="M1194" s="228" t="str">
        <f t="shared" ca="1" si="790"/>
        <v xml:space="preserve">   Instalações de Climatização</v>
      </c>
      <c r="N1194" s="231">
        <f t="shared" ca="1" si="845"/>
        <v>1</v>
      </c>
      <c r="O1194" s="228" t="str">
        <f t="shared" ca="1" si="791"/>
        <v>Infraestrutura para instalacao de ar condicionado</v>
      </c>
      <c r="P1194" s="232" t="str">
        <f>IF(S1194="","",IF(Orçamento!$B1194="INSUMO",S1194,""))</f>
        <v/>
      </c>
      <c r="Q1194" s="244" t="str">
        <f t="shared" si="794"/>
        <v>Infraestrutura para instalacao de ar condicionado</v>
      </c>
      <c r="R1194" s="234">
        <f t="shared" ca="1" si="792"/>
        <v>4</v>
      </c>
      <c r="S1194" s="233" t="s">
        <v>458</v>
      </c>
      <c r="T1194" s="242" t="s">
        <v>142</v>
      </c>
      <c r="U1194" s="235">
        <v>4</v>
      </c>
      <c r="V1194" s="320" t="s">
        <v>35</v>
      </c>
      <c r="W1194" s="236" t="str">
        <f>IFERROR(IF(B1194="INSUMO",_xlfn.XLOOKUP(S1194,Insumos!A:A,Insumos!C:C),""),"Inserir Preço")</f>
        <v/>
      </c>
      <c r="X1194" s="235">
        <f t="shared" ca="1" si="793"/>
        <v>4</v>
      </c>
      <c r="Y1194" s="236">
        <f t="shared" ca="1" si="851"/>
        <v>890</v>
      </c>
      <c r="Z1194" s="237">
        <f t="shared" ca="1" si="803"/>
        <v>3560</v>
      </c>
      <c r="AA1194" s="238"/>
      <c r="AB1194" s="233" t="str">
        <f>IF(B1194="insumo",_xlfn.XLOOKUP(S1194,Insumos!A:A,Insumos!D:D),"")</f>
        <v/>
      </c>
      <c r="AC1194" s="239">
        <f t="shared" ca="1" si="804"/>
        <v>5.1071445724809909E-4</v>
      </c>
      <c r="AE1194" s="240">
        <f ca="1">IFERROR(IF(OR(Z1194="",Z1194=0),"",IF(AF1194="","",IF(AF1194="R$/mês",Z1194/OBRA!$D$12,IF(AF1194="R$/m²",Z1194/OBRA!$D$10,IF(AF1194="R$/apto",Orçamento!Z1194/OBRA!$D$11,""))))),"")</f>
        <v>1.8320013585628052</v>
      </c>
      <c r="AF1194" s="241" t="s">
        <v>154</v>
      </c>
    </row>
    <row r="1195" spans="1:32" s="10" customFormat="1" ht="13.15" hidden="1" customHeight="1" outlineLevel="4" x14ac:dyDescent="0.2">
      <c r="A1195" s="227"/>
      <c r="B1195" s="228" t="s">
        <v>19</v>
      </c>
      <c r="C1195" s="229">
        <f t="shared" si="801"/>
        <v>3</v>
      </c>
      <c r="D1195" s="227" t="str">
        <f t="shared" si="840"/>
        <v/>
      </c>
      <c r="E1195" s="228" t="str">
        <f t="shared" ca="1" si="841"/>
        <v>12.001.001.001</v>
      </c>
      <c r="F1195" s="230">
        <f ca="1">IF($B1195="UNIDADE CONSTRUTIVA",OFFSET(F1195,-1,0)+1,LARGE(F$10:F1194,1))</f>
        <v>2</v>
      </c>
      <c r="G1195" s="228" t="str">
        <f t="shared" ca="1" si="787"/>
        <v xml:space="preserve">   GERENCIAMENTO EXECUTIVO</v>
      </c>
      <c r="H1195" s="230">
        <f t="shared" ca="1" si="842"/>
        <v>12</v>
      </c>
      <c r="I1195" s="228" t="str">
        <f t="shared" ca="1" si="788"/>
        <v xml:space="preserve">   CLIMATIZAÇÃO </v>
      </c>
      <c r="J1195" s="230">
        <f t="shared" ca="1" si="843"/>
        <v>1</v>
      </c>
      <c r="K1195" s="228" t="str">
        <f t="shared" ca="1" si="789"/>
        <v xml:space="preserve">   CLIMATIZAÇÃO - 2º PAVIMENTO - TÉRREO</v>
      </c>
      <c r="L1195" s="231">
        <f t="shared" ca="1" si="844"/>
        <v>1</v>
      </c>
      <c r="M1195" s="228" t="str">
        <f t="shared" ca="1" si="790"/>
        <v xml:space="preserve">   Instalações de Climatização</v>
      </c>
      <c r="N1195" s="231">
        <f t="shared" ca="1" si="845"/>
        <v>1</v>
      </c>
      <c r="O1195" s="228" t="str">
        <f t="shared" ca="1" si="791"/>
        <v>Infraestrutura para instalacao de ar condicionado</v>
      </c>
      <c r="P1195" s="232" t="str">
        <f>IF(S1195="","",IF(Orçamento!$B1195="INSUMO",S1195,""))</f>
        <v>FORNECIMENTO DE M.O. PARA INFRAESTRUTURA DE AR CONDICIONADO</v>
      </c>
      <c r="Q1195" s="244" t="str">
        <f t="shared" si="794"/>
        <v/>
      </c>
      <c r="R1195" s="234">
        <f t="shared" ca="1" si="792"/>
        <v>4</v>
      </c>
      <c r="S1195" s="233" t="s">
        <v>398</v>
      </c>
      <c r="T1195" s="242" t="str">
        <f>_xlfn.XLOOKUP(S1195,Insumos!$A$3:$A$371,Insumos!$B$3:$B$371)</f>
        <v>UN</v>
      </c>
      <c r="U1195" s="235">
        <f ca="1">IF($B1195="insumo",R1195,"")</f>
        <v>4</v>
      </c>
      <c r="V1195" s="320">
        <v>1</v>
      </c>
      <c r="W1195" s="236">
        <f>IFERROR(IF(B1195="INSUMO",_xlfn.XLOOKUP(S1195,Insumos!A:A,Insumos!C:C),""),"Inserir Preço")</f>
        <v>890</v>
      </c>
      <c r="X1195" s="235">
        <f t="shared" ca="1" si="793"/>
        <v>4</v>
      </c>
      <c r="Y1195" s="236">
        <f t="shared" si="851"/>
        <v>890</v>
      </c>
      <c r="Z1195" s="237">
        <f t="shared" ca="1" si="803"/>
        <v>3560</v>
      </c>
      <c r="AA1195" s="238"/>
      <c r="AB1195" s="233" t="str">
        <f>IF(B1195="insumo",_xlfn.XLOOKUP(S1195,Insumos!A:A,Insumos!D:D),"")</f>
        <v>Essence Climatização</v>
      </c>
      <c r="AC1195" s="239">
        <f t="shared" ca="1" si="804"/>
        <v>5.1071445724809909E-4</v>
      </c>
      <c r="AE1195" s="240">
        <f ca="1">IFERROR(IF(OR(Z1195="",Z1195=0),"",IF(AF1195="","",IF(AF1195="R$/mês",Z1195/OBRA!$D$12,IF(AF1195="R$/m²",Z1195/OBRA!$D$10,IF(AF1195="R$/apto",Orçamento!Z1195/OBRA!$D$11,""))))),"")</f>
        <v>1.8320013585628052</v>
      </c>
      <c r="AF1195" s="241" t="s">
        <v>154</v>
      </c>
    </row>
    <row r="1196" spans="1:32" s="10" customFormat="1" ht="13.15" hidden="1" customHeight="1" outlineLevel="4" x14ac:dyDescent="0.2">
      <c r="A1196" s="227"/>
      <c r="B1196" s="228" t="s">
        <v>4</v>
      </c>
      <c r="C1196" s="229">
        <f t="shared" si="801"/>
        <v>2</v>
      </c>
      <c r="D1196" s="227" t="str">
        <f t="shared" ca="1" si="840"/>
        <v>12.001.001.002</v>
      </c>
      <c r="E1196" s="228" t="str">
        <f t="shared" ca="1" si="841"/>
        <v>12.001.001.002</v>
      </c>
      <c r="F1196" s="230">
        <f ca="1">IF($B1196="UNIDADE CONSTRUTIVA",OFFSET(F1196,-1,0)+1,LARGE(F$10:F1195,1))</f>
        <v>2</v>
      </c>
      <c r="G1196" s="228" t="str">
        <f t="shared" ca="1" si="787"/>
        <v xml:space="preserve">   GERENCIAMENTO EXECUTIVO</v>
      </c>
      <c r="H1196" s="230">
        <f t="shared" ca="1" si="842"/>
        <v>12</v>
      </c>
      <c r="I1196" s="228" t="str">
        <f t="shared" ca="1" si="788"/>
        <v xml:space="preserve">   CLIMATIZAÇÃO </v>
      </c>
      <c r="J1196" s="230">
        <f t="shared" ca="1" si="843"/>
        <v>1</v>
      </c>
      <c r="K1196" s="228" t="str">
        <f t="shared" ca="1" si="789"/>
        <v xml:space="preserve">   CLIMATIZAÇÃO - 2º PAVIMENTO - TÉRREO</v>
      </c>
      <c r="L1196" s="231">
        <f t="shared" ca="1" si="844"/>
        <v>1</v>
      </c>
      <c r="M1196" s="228" t="str">
        <f t="shared" ca="1" si="790"/>
        <v xml:space="preserve">   Instalações de Climatização</v>
      </c>
      <c r="N1196" s="231">
        <f t="shared" ca="1" si="845"/>
        <v>2</v>
      </c>
      <c r="O1196" s="228" t="str">
        <f t="shared" ca="1" si="791"/>
        <v>Equipamento de ar-condicionado</v>
      </c>
      <c r="P1196" s="232" t="str">
        <f>IF(S1196="","",IF(Orçamento!$B1196="INSUMO",S1196,""))</f>
        <v/>
      </c>
      <c r="Q1196" s="244" t="str">
        <f t="shared" si="794"/>
        <v>Equipamento de ar-condicionado</v>
      </c>
      <c r="R1196" s="234">
        <f t="shared" ca="1" si="792"/>
        <v>1</v>
      </c>
      <c r="S1196" s="233" t="s">
        <v>320</v>
      </c>
      <c r="T1196" s="242" t="s">
        <v>142</v>
      </c>
      <c r="U1196" s="235">
        <v>1</v>
      </c>
      <c r="V1196" s="320" t="s">
        <v>35</v>
      </c>
      <c r="W1196" s="236" t="str">
        <f>IFERROR(IF(B1196="INSUMO",_xlfn.XLOOKUP(S1196,Insumos!A:A,Insumos!C:C),""),"Inserir Preço")</f>
        <v/>
      </c>
      <c r="X1196" s="235">
        <f t="shared" ca="1" si="793"/>
        <v>1</v>
      </c>
      <c r="Y1196" s="236">
        <f t="shared" ca="1" si="851"/>
        <v>8920</v>
      </c>
      <c r="Z1196" s="237">
        <f t="shared" ca="1" si="803"/>
        <v>8920</v>
      </c>
      <c r="AA1196" s="238"/>
      <c r="AB1196" s="233" t="str">
        <f>IF(B1196="insumo",_xlfn.XLOOKUP(S1196,Insumos!A:A,Insumos!D:D),"")</f>
        <v/>
      </c>
      <c r="AC1196" s="239">
        <f t="shared" ca="1" si="804"/>
        <v>1.2796553254643382E-3</v>
      </c>
      <c r="AE1196" s="240">
        <f ca="1">IFERROR(IF(OR(Z1196="",Z1196=0),"",IF(AF1196="","",IF(AF1196="R$/mês",Z1196/OBRA!$D$12,IF(AF1196="R$/m²",Z1196/OBRA!$D$10,IF(AF1196="R$/apto",Orçamento!Z1196/OBRA!$D$11,""))))),"")</f>
        <v>4.5902955388708486</v>
      </c>
      <c r="AF1196" s="241" t="s">
        <v>154</v>
      </c>
    </row>
    <row r="1197" spans="1:32" s="10" customFormat="1" ht="13.15" hidden="1" customHeight="1" outlineLevel="4" x14ac:dyDescent="0.2">
      <c r="A1197" s="227"/>
      <c r="B1197" s="228" t="s">
        <v>19</v>
      </c>
      <c r="C1197" s="229">
        <f t="shared" si="801"/>
        <v>2</v>
      </c>
      <c r="D1197" s="227" t="str">
        <f t="shared" si="840"/>
        <v/>
      </c>
      <c r="E1197" s="228" t="str">
        <f t="shared" ca="1" si="841"/>
        <v>12.001.001.002</v>
      </c>
      <c r="F1197" s="230">
        <f ca="1">IF($B1197="UNIDADE CONSTRUTIVA",OFFSET(F1197,-1,0)+1,LARGE(F$10:F1196,1))</f>
        <v>2</v>
      </c>
      <c r="G1197" s="228" t="str">
        <f t="shared" ca="1" si="787"/>
        <v xml:space="preserve">   GERENCIAMENTO EXECUTIVO</v>
      </c>
      <c r="H1197" s="230">
        <f t="shared" ca="1" si="842"/>
        <v>12</v>
      </c>
      <c r="I1197" s="228" t="str">
        <f t="shared" ca="1" si="788"/>
        <v xml:space="preserve">   CLIMATIZAÇÃO </v>
      </c>
      <c r="J1197" s="230">
        <f t="shared" ca="1" si="843"/>
        <v>1</v>
      </c>
      <c r="K1197" s="228" t="str">
        <f t="shared" ca="1" si="789"/>
        <v xml:space="preserve">   CLIMATIZAÇÃO - 2º PAVIMENTO - TÉRREO</v>
      </c>
      <c r="L1197" s="231">
        <f t="shared" ca="1" si="844"/>
        <v>1</v>
      </c>
      <c r="M1197" s="228" t="str">
        <f t="shared" ca="1" si="790"/>
        <v xml:space="preserve">   Instalações de Climatização</v>
      </c>
      <c r="N1197" s="231">
        <f t="shared" ca="1" si="845"/>
        <v>2</v>
      </c>
      <c r="O1197" s="228" t="str">
        <f t="shared" ca="1" si="791"/>
        <v>Equipamento de ar-condicionado</v>
      </c>
      <c r="P1197" s="232" t="str">
        <f>IF(S1197="","",IF(Orçamento!$B1197="INSUMO",S1197,""))</f>
        <v>Equipamento de ar-condicionado</v>
      </c>
      <c r="Q1197" s="244" t="str">
        <f t="shared" si="794"/>
        <v/>
      </c>
      <c r="R1197" s="234">
        <f t="shared" ca="1" si="792"/>
        <v>1</v>
      </c>
      <c r="S1197" s="233" t="s">
        <v>320</v>
      </c>
      <c r="T1197" s="242" t="str">
        <f>_xlfn.XLOOKUP(S1197,Insumos!$A$3:$A$371,Insumos!$B$3:$B$371)</f>
        <v>UN</v>
      </c>
      <c r="U1197" s="235">
        <f t="shared" ref="U1197:U1204" ca="1" si="852">IF($B1197="insumo",R1197,"")</f>
        <v>1</v>
      </c>
      <c r="V1197" s="320">
        <v>1</v>
      </c>
      <c r="W1197" s="236">
        <f>IFERROR(IF(B1197="INSUMO",_xlfn.XLOOKUP(S1197,Insumos!A:A,Insumos!C:C),""),"Inserir Preço")</f>
        <v>8500</v>
      </c>
      <c r="X1197" s="235">
        <f t="shared" ca="1" si="793"/>
        <v>1</v>
      </c>
      <c r="Y1197" s="236">
        <f t="shared" si="851"/>
        <v>8500</v>
      </c>
      <c r="Z1197" s="237">
        <f t="shared" ca="1" si="803"/>
        <v>8500</v>
      </c>
      <c r="AA1197" s="238"/>
      <c r="AB1197" s="233" t="str">
        <f>IF(B1197="insumo",_xlfn.XLOOKUP(S1197,Insumos!A:A,Insumos!D:D),"")</f>
        <v>Essence Climatização</v>
      </c>
      <c r="AC1197" s="239">
        <f t="shared" ca="1" si="804"/>
        <v>1.2194024962384389E-3</v>
      </c>
      <c r="AE1197" s="240">
        <f ca="1">IFERROR(IF(OR(Z1197="",Z1197=0),"",IF(AF1197="","",IF(AF1197="R$/mês",Z1197/OBRA!$D$12,IF(AF1197="R$/m²",Z1197/OBRA!$D$10,IF(AF1197="R$/apto",Orçamento!Z1197/OBRA!$D$11,""))))),"")</f>
        <v>4.3741605471302929</v>
      </c>
      <c r="AF1197" s="241" t="s">
        <v>154</v>
      </c>
    </row>
    <row r="1198" spans="1:32" s="10" customFormat="1" ht="13.15" hidden="1" customHeight="1" outlineLevel="4" x14ac:dyDescent="0.2">
      <c r="A1198" s="227"/>
      <c r="B1198" s="228" t="s">
        <v>19</v>
      </c>
      <c r="C1198" s="229">
        <f t="shared" si="801"/>
        <v>2</v>
      </c>
      <c r="D1198" s="227" t="str">
        <f t="shared" si="840"/>
        <v/>
      </c>
      <c r="E1198" s="228" t="str">
        <f t="shared" ca="1" si="841"/>
        <v>12.001.001.002</v>
      </c>
      <c r="F1198" s="230">
        <f ca="1">IF($B1198="UNIDADE CONSTRUTIVA",OFFSET(F1198,-1,0)+1,LARGE(F$10:F1197,1))</f>
        <v>2</v>
      </c>
      <c r="G1198" s="228" t="str">
        <f ca="1">IF(B1198="*","",IF(B1198="UNIDADE CONSTRUTIVA",S1198,OFFSET(G1198,-1,0)))</f>
        <v xml:space="preserve">   GERENCIAMENTO EXECUTIVO</v>
      </c>
      <c r="H1198" s="230">
        <f t="shared" ca="1" si="842"/>
        <v>12</v>
      </c>
      <c r="I1198" s="228" t="str">
        <f ca="1">IF(B1198="*","",IF(B1198="CÉLULA CONSTRUTIVA",S1198,OFFSET(I1198,-1,0)))</f>
        <v xml:space="preserve">   CLIMATIZAÇÃO </v>
      </c>
      <c r="J1198" s="230">
        <f t="shared" ca="1" si="843"/>
        <v>1</v>
      </c>
      <c r="K1198" s="228" t="str">
        <f ca="1">IF(B1198="*","",IF(B1198="ETAPA",S1198,OFFSET(K1198,-1,0)))</f>
        <v xml:space="preserve">   CLIMATIZAÇÃO - 2º PAVIMENTO - TÉRREO</v>
      </c>
      <c r="L1198" s="231">
        <f t="shared" ca="1" si="844"/>
        <v>1</v>
      </c>
      <c r="M1198" s="228" t="str">
        <f ca="1">IF(B1198="*","",IF(B1198="SUBETAPA",S1198,OFFSET(M1198,-1,0)))</f>
        <v xml:space="preserve">   Instalações de Climatização</v>
      </c>
      <c r="N1198" s="231">
        <f t="shared" ca="1" si="845"/>
        <v>2</v>
      </c>
      <c r="O1198" s="228" t="str">
        <f ca="1">IF(B1198="*","",IF(B1198="SERVIÇO",S1198,OFFSET(O1198,-1,0)))</f>
        <v>Equipamento de ar-condicionado</v>
      </c>
      <c r="P1198" s="232" t="str">
        <f>IF(S1198="","",IF(Orçamento!$B1198="INSUMO",S1198,""))</f>
        <v>FORNECIMENTO DE M.O. PARA EQUIPAMENTO DE AR CONDICIONADO</v>
      </c>
      <c r="Q1198" s="244" t="str">
        <f>IF(B1198="","",IF(B1198="Serviço",S1198,""))</f>
        <v/>
      </c>
      <c r="R1198" s="234">
        <f ca="1">IF(B1198="serviço",U1198,OFFSET(R1198,-1,0))</f>
        <v>1</v>
      </c>
      <c r="S1198" s="233" t="s">
        <v>803</v>
      </c>
      <c r="T1198" s="242" t="str">
        <f>_xlfn.XLOOKUP(S1198,Insumos!$A$3:$A$371,Insumos!$B$3:$B$371)</f>
        <v>UN</v>
      </c>
      <c r="U1198" s="235">
        <f t="shared" ca="1" si="852"/>
        <v>1</v>
      </c>
      <c r="V1198" s="320">
        <v>1</v>
      </c>
      <c r="W1198" s="236">
        <f>IFERROR(IF(B1198="INSUMO",_xlfn.XLOOKUP(S1198,Insumos!A:A,Insumos!C:C),""),"Inserir Preço")</f>
        <v>420</v>
      </c>
      <c r="X1198" s="235">
        <f t="shared" ca="1" si="793"/>
        <v>1</v>
      </c>
      <c r="Y1198" s="236">
        <f t="shared" si="851"/>
        <v>420</v>
      </c>
      <c r="Z1198" s="237">
        <f t="shared" ca="1" si="803"/>
        <v>420</v>
      </c>
      <c r="AA1198" s="238"/>
      <c r="AB1198" s="233" t="str">
        <f>IF(B1198="insumo",_xlfn.XLOOKUP(S1198,Insumos!A:A,Insumos!D:D),"")</f>
        <v>Essence Climatização</v>
      </c>
      <c r="AC1198" s="239">
        <f t="shared" ca="1" si="804"/>
        <v>6.0252829225899329E-5</v>
      </c>
      <c r="AE1198" s="240">
        <f ca="1">IFERROR(IF(OR(Z1198="",Z1198=0),"",IF(AF1198="","",IF(AF1198="R$/mês",Z1198/OBRA!$D$12,IF(AF1198="R$/m²",Z1198/OBRA!$D$10,IF(AF1198="R$/apto",Orçamento!Z1198/OBRA!$D$11,""))))),"")</f>
        <v>0.21613499174055567</v>
      </c>
      <c r="AF1198" s="241" t="s">
        <v>154</v>
      </c>
    </row>
    <row r="1199" spans="1:32" s="10" customFormat="1" ht="13.15" customHeight="1" outlineLevel="2" collapsed="1" x14ac:dyDescent="0.2">
      <c r="A1199" s="227"/>
      <c r="B1199" s="228" t="s">
        <v>2</v>
      </c>
      <c r="C1199" s="229" t="str">
        <f t="shared" si="801"/>
        <v/>
      </c>
      <c r="D1199" s="227" t="str">
        <f t="shared" ca="1" si="840"/>
        <v>12.002</v>
      </c>
      <c r="E1199" s="228" t="str">
        <f t="shared" ca="1" si="841"/>
        <v>12.001.001.002</v>
      </c>
      <c r="F1199" s="230">
        <f ca="1">IF($B1199="UNIDADE CONSTRUTIVA",OFFSET(F1199,-1,0)+1,LARGE(F$10:F1198,1))</f>
        <v>2</v>
      </c>
      <c r="G1199" s="228" t="str">
        <f t="shared" ca="1" si="787"/>
        <v xml:space="preserve">   GERENCIAMENTO EXECUTIVO</v>
      </c>
      <c r="H1199" s="230">
        <f t="shared" ca="1" si="842"/>
        <v>12</v>
      </c>
      <c r="I1199" s="228" t="str">
        <f t="shared" ca="1" si="788"/>
        <v xml:space="preserve">   CLIMATIZAÇÃO </v>
      </c>
      <c r="J1199" s="230">
        <f t="shared" ca="1" si="843"/>
        <v>2</v>
      </c>
      <c r="K1199" s="228" t="str">
        <f t="shared" ca="1" si="789"/>
        <v xml:space="preserve">   CLIMATIZAÇÃO - 3º  ao 7º PAVIMENTO - TIPO</v>
      </c>
      <c r="L1199" s="231">
        <f t="shared" ca="1" si="844"/>
        <v>0</v>
      </c>
      <c r="M1199" s="228" t="str">
        <f t="shared" ca="1" si="790"/>
        <v xml:space="preserve">   Instalações de Climatização</v>
      </c>
      <c r="N1199" s="231">
        <f t="shared" ca="1" si="845"/>
        <v>2</v>
      </c>
      <c r="O1199" s="228" t="str">
        <f t="shared" ca="1" si="791"/>
        <v>Equipamento de ar-condicionado</v>
      </c>
      <c r="P1199" s="232" t="str">
        <f>IF(S1199="","",IF(Orçamento!$B1199="INSUMO",S1199,""))</f>
        <v/>
      </c>
      <c r="Q1199" s="244" t="str">
        <f t="shared" si="794"/>
        <v/>
      </c>
      <c r="R1199" s="234">
        <f t="shared" ca="1" si="792"/>
        <v>1</v>
      </c>
      <c r="S1199" s="233" t="s">
        <v>672</v>
      </c>
      <c r="T1199" s="242" t="s">
        <v>35</v>
      </c>
      <c r="U1199" s="235" t="str">
        <f t="shared" si="852"/>
        <v/>
      </c>
      <c r="V1199" s="320" t="s">
        <v>35</v>
      </c>
      <c r="W1199" s="236" t="str">
        <f>IFERROR(IF(B1199="INSUMO",_xlfn.XLOOKUP(S1199,Insumos!A:A,Insumos!C:C),""),"Inserir Preço")</f>
        <v/>
      </c>
      <c r="X1199" s="235" t="str">
        <f t="shared" ca="1" si="793"/>
        <v/>
      </c>
      <c r="Y1199" s="236" t="str">
        <f t="shared" si="851"/>
        <v/>
      </c>
      <c r="Z1199" s="237">
        <f t="shared" ca="1" si="803"/>
        <v>31150</v>
      </c>
      <c r="AA1199" s="238"/>
      <c r="AB1199" s="233" t="str">
        <f>IF(B1199="insumo",_xlfn.XLOOKUP(S1199,Insumos!A:A,Insumos!D:D),"")</f>
        <v/>
      </c>
      <c r="AC1199" s="239">
        <f t="shared" ca="1" si="804"/>
        <v>4.4687515009208664E-3</v>
      </c>
      <c r="AE1199" s="240">
        <f ca="1">IFERROR(IF(OR(Z1199="",Z1199=0),"",IF(AF1199="","",IF(AF1199="R$/mês",Z1199/OBRA!$D$12,IF(AF1199="R$/m²",Z1199/OBRA!$D$10,IF(AF1199="R$/apto",Orçamento!Z1199/OBRA!$D$11,""))))),"")</f>
        <v>16.030011887424546</v>
      </c>
      <c r="AF1199" s="241" t="s">
        <v>154</v>
      </c>
    </row>
    <row r="1200" spans="1:32" s="10" customFormat="1" ht="13.15" hidden="1" customHeight="1" outlineLevel="3" collapsed="1" x14ac:dyDescent="0.2">
      <c r="A1200" s="227"/>
      <c r="B1200" s="228" t="s">
        <v>3</v>
      </c>
      <c r="C1200" s="229" t="str">
        <f t="shared" si="801"/>
        <v/>
      </c>
      <c r="D1200" s="227" t="str">
        <f t="shared" ca="1" si="840"/>
        <v>12.002.001</v>
      </c>
      <c r="E1200" s="228" t="str">
        <f t="shared" ca="1" si="841"/>
        <v>12.001.001.002</v>
      </c>
      <c r="F1200" s="230">
        <f ca="1">IF($B1200="UNIDADE CONSTRUTIVA",OFFSET(F1200,-1,0)+1,LARGE(F$10:F1199,1))</f>
        <v>2</v>
      </c>
      <c r="G1200" s="228" t="str">
        <f t="shared" ca="1" si="787"/>
        <v xml:space="preserve">   GERENCIAMENTO EXECUTIVO</v>
      </c>
      <c r="H1200" s="230">
        <f t="shared" ca="1" si="842"/>
        <v>12</v>
      </c>
      <c r="I1200" s="228" t="str">
        <f t="shared" ca="1" si="788"/>
        <v xml:space="preserve">   CLIMATIZAÇÃO </v>
      </c>
      <c r="J1200" s="230">
        <f t="shared" ca="1" si="843"/>
        <v>2</v>
      </c>
      <c r="K1200" s="228" t="str">
        <f t="shared" ca="1" si="789"/>
        <v xml:space="preserve">   CLIMATIZAÇÃO - 3º  ao 7º PAVIMENTO - TIPO</v>
      </c>
      <c r="L1200" s="231">
        <f t="shared" ca="1" si="844"/>
        <v>1</v>
      </c>
      <c r="M1200" s="228" t="str">
        <f t="shared" ca="1" si="790"/>
        <v xml:space="preserve">   Instalações de Climatização</v>
      </c>
      <c r="N1200" s="231">
        <f t="shared" ca="1" si="845"/>
        <v>0</v>
      </c>
      <c r="O1200" s="228" t="str">
        <f t="shared" ca="1" si="791"/>
        <v>Equipamento de ar-condicionado</v>
      </c>
      <c r="P1200" s="232" t="str">
        <f>IF(S1200="","",IF(Orçamento!$B1200="INSUMO",S1200,""))</f>
        <v/>
      </c>
      <c r="Q1200" s="244" t="str">
        <f t="shared" si="794"/>
        <v/>
      </c>
      <c r="R1200" s="234">
        <f t="shared" ca="1" si="792"/>
        <v>1</v>
      </c>
      <c r="S1200" s="233" t="s">
        <v>457</v>
      </c>
      <c r="T1200" s="242" t="s">
        <v>35</v>
      </c>
      <c r="U1200" s="235" t="str">
        <f t="shared" si="852"/>
        <v/>
      </c>
      <c r="V1200" s="320" t="s">
        <v>35</v>
      </c>
      <c r="W1200" s="236" t="str">
        <f>IFERROR(IF(B1200="INSUMO",_xlfn.XLOOKUP(S1200,Insumos!A:A,Insumos!C:C),""),"Inserir Preço")</f>
        <v/>
      </c>
      <c r="X1200" s="235" t="str">
        <f t="shared" ca="1" si="793"/>
        <v/>
      </c>
      <c r="Y1200" s="236" t="str">
        <f t="shared" si="851"/>
        <v/>
      </c>
      <c r="Z1200" s="237">
        <f t="shared" ca="1" si="803"/>
        <v>31150</v>
      </c>
      <c r="AA1200" s="238"/>
      <c r="AB1200" s="233" t="str">
        <f>IF(B1200="insumo",_xlfn.XLOOKUP(S1200,Insumos!A:A,Insumos!D:D),"")</f>
        <v/>
      </c>
      <c r="AC1200" s="239">
        <f t="shared" ca="1" si="804"/>
        <v>4.4687515009208664E-3</v>
      </c>
      <c r="AE1200" s="240">
        <f ca="1">IFERROR(IF(OR(Z1200="",Z1200=0),"",IF(AF1200="","",IF(AF1200="R$/mês",Z1200/OBRA!$D$12,IF(AF1200="R$/m²",Z1200/OBRA!$D$10,IF(AF1200="R$/apto",Orçamento!Z1200/OBRA!$D$11,""))))),"")</f>
        <v>16.030011887424546</v>
      </c>
      <c r="AF1200" s="241" t="s">
        <v>154</v>
      </c>
    </row>
    <row r="1201" spans="1:32" s="10" customFormat="1" ht="13.15" hidden="1" customHeight="1" outlineLevel="4" x14ac:dyDescent="0.2">
      <c r="A1201" s="227"/>
      <c r="B1201" s="228" t="s">
        <v>4</v>
      </c>
      <c r="C1201" s="229">
        <f t="shared" si="801"/>
        <v>3</v>
      </c>
      <c r="D1201" s="227" t="str">
        <f t="shared" ca="1" si="840"/>
        <v>12.002.001.001</v>
      </c>
      <c r="E1201" s="228" t="str">
        <f t="shared" ca="1" si="841"/>
        <v>12.002.001.001</v>
      </c>
      <c r="F1201" s="230">
        <f ca="1">IF($B1201="UNIDADE CONSTRUTIVA",OFFSET(F1201,-1,0)+1,LARGE(F$10:F1200,1))</f>
        <v>2</v>
      </c>
      <c r="G1201" s="228" t="str">
        <f ca="1">IF(B1201="*","",IF(B1201="UNIDADE CONSTRUTIVA",S1201,OFFSET(G1201,-1,0)))</f>
        <v xml:space="preserve">   GERENCIAMENTO EXECUTIVO</v>
      </c>
      <c r="H1201" s="230">
        <f t="shared" ca="1" si="842"/>
        <v>12</v>
      </c>
      <c r="I1201" s="228" t="str">
        <f ca="1">IF(B1201="*","",IF(B1201="CÉLULA CONSTRUTIVA",S1201,OFFSET(I1201,-1,0)))</f>
        <v xml:space="preserve">   CLIMATIZAÇÃO </v>
      </c>
      <c r="J1201" s="230">
        <f t="shared" ca="1" si="843"/>
        <v>2</v>
      </c>
      <c r="K1201" s="228" t="str">
        <f ca="1">IF(B1201="*","",IF(B1201="ETAPA",S1201,OFFSET(K1201,-1,0)))</f>
        <v xml:space="preserve">   CLIMATIZAÇÃO - 3º  ao 7º PAVIMENTO - TIPO</v>
      </c>
      <c r="L1201" s="231">
        <f t="shared" ca="1" si="844"/>
        <v>1</v>
      </c>
      <c r="M1201" s="228" t="str">
        <f ca="1">IF(B1201="*","",IF(B1201="SUBETAPA",S1201,OFFSET(M1201,-1,0)))</f>
        <v xml:space="preserve">   Instalações de Climatização</v>
      </c>
      <c r="N1201" s="231">
        <f t="shared" ca="1" si="845"/>
        <v>1</v>
      </c>
      <c r="O1201" s="228" t="str">
        <f ca="1">IF(B1201="*","",IF(B1201="SERVIÇO",S1201,OFFSET(O1201,-1,0)))</f>
        <v>Infraestrutura para instalacao de ar condicionado</v>
      </c>
      <c r="P1201" s="232" t="str">
        <f>IF(S1201="","",IF(Orçamento!$B1201="INSUMO",S1201,""))</f>
        <v/>
      </c>
      <c r="Q1201" s="244" t="str">
        <f>IF(B1201="","",IF(B1201="Serviço",S1201,""))</f>
        <v>Infraestrutura para instalacao de ar condicionado</v>
      </c>
      <c r="R1201" s="234">
        <f ca="1">IF(B1201="serviço",U1201,OFFSET(R1201,-1,0))</f>
        <v>35</v>
      </c>
      <c r="S1201" s="233" t="s">
        <v>458</v>
      </c>
      <c r="T1201" s="242" t="s">
        <v>142</v>
      </c>
      <c r="U1201" s="235">
        <v>35</v>
      </c>
      <c r="V1201" s="320" t="s">
        <v>35</v>
      </c>
      <c r="W1201" s="236" t="str">
        <f>IFERROR(IF(B1201="INSUMO",_xlfn.XLOOKUP(S1201,Insumos!A:A,Insumos!C:C),""),"Inserir Preço")</f>
        <v/>
      </c>
      <c r="X1201" s="235">
        <f ca="1">IF(B1201="Complemento do insumo",V1201,IF(R1201="","",IF(B1201="serviço",R1201,IF(OR(B1201="insumo"),V1201*R1201,""))))</f>
        <v>35</v>
      </c>
      <c r="Y1201" s="236">
        <f t="shared" ca="1" si="851"/>
        <v>890</v>
      </c>
      <c r="Z1201" s="237">
        <f t="shared" ca="1" si="803"/>
        <v>31150</v>
      </c>
      <c r="AA1201" s="238"/>
      <c r="AB1201" s="233" t="str">
        <f>IF(B1201="insumo",_xlfn.XLOOKUP(S1201,Insumos!A:A,Insumos!D:D),"")</f>
        <v/>
      </c>
      <c r="AC1201" s="239">
        <f t="shared" ca="1" si="804"/>
        <v>4.4687515009208664E-3</v>
      </c>
      <c r="AE1201" s="240">
        <f ca="1">IFERROR(IF(OR(Z1201="",Z1201=0),"",IF(AF1201="","",IF(AF1201="R$/mês",Z1201/OBRA!$D$12,IF(AF1201="R$/m²",Z1201/OBRA!$D$10,IF(AF1201="R$/apto",Orçamento!Z1201/OBRA!$D$11,""))))),"")</f>
        <v>16.030011887424546</v>
      </c>
      <c r="AF1201" s="241" t="s">
        <v>154</v>
      </c>
    </row>
    <row r="1202" spans="1:32" s="10" customFormat="1" ht="13.15" hidden="1" customHeight="1" outlineLevel="4" x14ac:dyDescent="0.2">
      <c r="A1202" s="227"/>
      <c r="B1202" s="228" t="s">
        <v>19</v>
      </c>
      <c r="C1202" s="229">
        <f t="shared" si="801"/>
        <v>3</v>
      </c>
      <c r="D1202" s="227" t="str">
        <f t="shared" si="840"/>
        <v/>
      </c>
      <c r="E1202" s="228" t="str">
        <f t="shared" ca="1" si="841"/>
        <v>12.002.001.001</v>
      </c>
      <c r="F1202" s="230">
        <f ca="1">IF($B1202="UNIDADE CONSTRUTIVA",OFFSET(F1202,-1,0)+1,LARGE(F$10:F1201,1))</f>
        <v>2</v>
      </c>
      <c r="G1202" s="228" t="str">
        <f ca="1">IF(B1202="*","",IF(B1202="UNIDADE CONSTRUTIVA",S1202,OFFSET(G1202,-1,0)))</f>
        <v xml:space="preserve">   GERENCIAMENTO EXECUTIVO</v>
      </c>
      <c r="H1202" s="230">
        <f t="shared" ca="1" si="842"/>
        <v>12</v>
      </c>
      <c r="I1202" s="228" t="str">
        <f ca="1">IF(B1202="*","",IF(B1202="CÉLULA CONSTRUTIVA",S1202,OFFSET(I1202,-1,0)))</f>
        <v xml:space="preserve">   CLIMATIZAÇÃO </v>
      </c>
      <c r="J1202" s="230">
        <f t="shared" ca="1" si="843"/>
        <v>2</v>
      </c>
      <c r="K1202" s="228" t="str">
        <f ca="1">IF(B1202="*","",IF(B1202="ETAPA",S1202,OFFSET(K1202,-1,0)))</f>
        <v xml:space="preserve">   CLIMATIZAÇÃO - 3º  ao 7º PAVIMENTO - TIPO</v>
      </c>
      <c r="L1202" s="231">
        <f t="shared" ca="1" si="844"/>
        <v>1</v>
      </c>
      <c r="M1202" s="228" t="str">
        <f ca="1">IF(B1202="*","",IF(B1202="SUBETAPA",S1202,OFFSET(M1202,-1,0)))</f>
        <v xml:space="preserve">   Instalações de Climatização</v>
      </c>
      <c r="N1202" s="231">
        <f t="shared" ca="1" si="845"/>
        <v>1</v>
      </c>
      <c r="O1202" s="228" t="str">
        <f ca="1">IF(B1202="*","",IF(B1202="SERVIÇO",S1202,OFFSET(O1202,-1,0)))</f>
        <v>Infraestrutura para instalacao de ar condicionado</v>
      </c>
      <c r="P1202" s="232" t="str">
        <f>IF(S1202="","",IF(Orçamento!$B1202="INSUMO",S1202,""))</f>
        <v>FORNECIMENTO DE M.O. PARA INFRAESTRUTURA DE AR CONDICIONADO</v>
      </c>
      <c r="Q1202" s="244" t="str">
        <f>IF(B1202="","",IF(B1202="Serviço",S1202,""))</f>
        <v/>
      </c>
      <c r="R1202" s="234">
        <f ca="1">IF(B1202="serviço",U1202,OFFSET(R1202,-1,0))</f>
        <v>35</v>
      </c>
      <c r="S1202" s="233" t="s">
        <v>398</v>
      </c>
      <c r="T1202" s="242" t="str">
        <f>_xlfn.XLOOKUP(S1202,Insumos!$A$3:$A$371,Insumos!$B$3:$B$371)</f>
        <v>UN</v>
      </c>
      <c r="U1202" s="235">
        <f ca="1">IF($B1202="insumo",R1202,"")</f>
        <v>35</v>
      </c>
      <c r="V1202" s="320">
        <v>1</v>
      </c>
      <c r="W1202" s="236">
        <f>IFERROR(IF(B1202="INSUMO",_xlfn.XLOOKUP(S1202,Insumos!A:A,Insumos!C:C),""),"Inserir Preço")</f>
        <v>890</v>
      </c>
      <c r="X1202" s="235">
        <f ca="1">IF(B1202="Complemento do insumo",V1202,IF(R1202="","",IF(B1202="serviço",R1202,IF(OR(B1202="insumo"),V1202*R1202,""))))</f>
        <v>35</v>
      </c>
      <c r="Y1202" s="236">
        <f t="shared" si="851"/>
        <v>890</v>
      </c>
      <c r="Z1202" s="237">
        <f t="shared" ca="1" si="803"/>
        <v>31150</v>
      </c>
      <c r="AA1202" s="238"/>
      <c r="AB1202" s="233" t="str">
        <f>IF(B1202="insumo",_xlfn.XLOOKUP(S1202,Insumos!A:A,Insumos!D:D),"")</f>
        <v>Essence Climatização</v>
      </c>
      <c r="AC1202" s="239">
        <f t="shared" ca="1" si="804"/>
        <v>4.4687515009208664E-3</v>
      </c>
      <c r="AE1202" s="240">
        <f ca="1">IFERROR(IF(OR(Z1202="",Z1202=0),"",IF(AF1202="","",IF(AF1202="R$/mês",Z1202/OBRA!$D$12,IF(AF1202="R$/m²",Z1202/OBRA!$D$10,IF(AF1202="R$/apto",Orçamento!Z1202/OBRA!$D$11,""))))),"")</f>
        <v>16.030011887424546</v>
      </c>
      <c r="AF1202" s="241" t="s">
        <v>154</v>
      </c>
    </row>
    <row r="1203" spans="1:32" s="10" customFormat="1" ht="13.15" customHeight="1" outlineLevel="2" collapsed="1" x14ac:dyDescent="0.2">
      <c r="A1203" s="227"/>
      <c r="B1203" s="228" t="s">
        <v>2</v>
      </c>
      <c r="C1203" s="229" t="str">
        <f t="shared" si="801"/>
        <v/>
      </c>
      <c r="D1203" s="227" t="str">
        <f t="shared" ca="1" si="840"/>
        <v>12.003</v>
      </c>
      <c r="E1203" s="228" t="str">
        <f t="shared" ca="1" si="841"/>
        <v>12.002.001.001</v>
      </c>
      <c r="F1203" s="230">
        <f ca="1">IF($B1203="UNIDADE CONSTRUTIVA",OFFSET(F1203,-1,0)+1,LARGE(F$10:F1202,1))</f>
        <v>2</v>
      </c>
      <c r="G1203" s="228" t="str">
        <f t="shared" ca="1" si="787"/>
        <v xml:space="preserve">   GERENCIAMENTO EXECUTIVO</v>
      </c>
      <c r="H1203" s="230">
        <f t="shared" ca="1" si="842"/>
        <v>12</v>
      </c>
      <c r="I1203" s="228" t="str">
        <f t="shared" ca="1" si="788"/>
        <v xml:space="preserve">   CLIMATIZAÇÃO </v>
      </c>
      <c r="J1203" s="230">
        <f t="shared" ca="1" si="843"/>
        <v>3</v>
      </c>
      <c r="K1203" s="228" t="str">
        <f t="shared" ca="1" si="789"/>
        <v xml:space="preserve">   CLIMATIZAÇÃO - 8º PAVIMENTO - COBERTURA</v>
      </c>
      <c r="L1203" s="231">
        <f t="shared" ca="1" si="844"/>
        <v>0</v>
      </c>
      <c r="M1203" s="228" t="str">
        <f t="shared" ca="1" si="790"/>
        <v xml:space="preserve">   Instalações de Climatização</v>
      </c>
      <c r="N1203" s="231">
        <f t="shared" ca="1" si="845"/>
        <v>1</v>
      </c>
      <c r="O1203" s="228" t="str">
        <f t="shared" ca="1" si="791"/>
        <v>Infraestrutura para instalacao de ar condicionado</v>
      </c>
      <c r="P1203" s="232" t="str">
        <f>IF(S1203="","",IF(Orçamento!$B1203="INSUMO",S1203,""))</f>
        <v/>
      </c>
      <c r="Q1203" s="244" t="str">
        <f t="shared" si="794"/>
        <v/>
      </c>
      <c r="R1203" s="234">
        <f t="shared" ca="1" si="792"/>
        <v>35</v>
      </c>
      <c r="S1203" s="233" t="s">
        <v>654</v>
      </c>
      <c r="T1203" s="242" t="s">
        <v>35</v>
      </c>
      <c r="U1203" s="235" t="str">
        <f t="shared" si="852"/>
        <v/>
      </c>
      <c r="V1203" s="320" t="s">
        <v>35</v>
      </c>
      <c r="W1203" s="236" t="str">
        <f>IFERROR(IF(B1203="INSUMO",_xlfn.XLOOKUP(S1203,Insumos!A:A,Insumos!C:C),""),"Inserir Preço")</f>
        <v/>
      </c>
      <c r="X1203" s="235" t="str">
        <f t="shared" ca="1" si="793"/>
        <v/>
      </c>
      <c r="Y1203" s="236" t="str">
        <f t="shared" si="851"/>
        <v/>
      </c>
      <c r="Z1203" s="237">
        <f t="shared" ca="1" si="803"/>
        <v>9810</v>
      </c>
      <c r="AA1203" s="238"/>
      <c r="AB1203" s="233" t="str">
        <f>IF(B1203="insumo",_xlfn.XLOOKUP(S1203,Insumos!A:A,Insumos!D:D),"")</f>
        <v/>
      </c>
      <c r="AC1203" s="239">
        <f t="shared" ca="1" si="804"/>
        <v>1.4073339397763628E-3</v>
      </c>
      <c r="AE1203" s="240">
        <f ca="1">IFERROR(IF(OR(Z1203="",Z1203=0),"",IF(AF1203="","",IF(AF1203="R$/mês",Z1203/OBRA!$D$12,IF(AF1203="R$/m²",Z1203/OBRA!$D$10,IF(AF1203="R$/apto",Orçamento!Z1203/OBRA!$D$11,""))))),"")</f>
        <v>5.0482958785115501</v>
      </c>
      <c r="AF1203" s="241" t="s">
        <v>154</v>
      </c>
    </row>
    <row r="1204" spans="1:32" s="10" customFormat="1" ht="13.15" hidden="1" customHeight="1" outlineLevel="3" collapsed="1" x14ac:dyDescent="0.2">
      <c r="A1204" s="227"/>
      <c r="B1204" s="228" t="s">
        <v>3</v>
      </c>
      <c r="C1204" s="229" t="str">
        <f t="shared" si="801"/>
        <v/>
      </c>
      <c r="D1204" s="227" t="str">
        <f t="shared" ca="1" si="840"/>
        <v>12.003.001</v>
      </c>
      <c r="E1204" s="228" t="str">
        <f t="shared" ca="1" si="841"/>
        <v>12.002.001.001</v>
      </c>
      <c r="F1204" s="230">
        <f ca="1">IF($B1204="UNIDADE CONSTRUTIVA",OFFSET(F1204,-1,0)+1,LARGE(F$10:F1203,1))</f>
        <v>2</v>
      </c>
      <c r="G1204" s="228" t="str">
        <f t="shared" ca="1" si="787"/>
        <v xml:space="preserve">   GERENCIAMENTO EXECUTIVO</v>
      </c>
      <c r="H1204" s="230">
        <f t="shared" ca="1" si="842"/>
        <v>12</v>
      </c>
      <c r="I1204" s="228" t="str">
        <f t="shared" ca="1" si="788"/>
        <v xml:space="preserve">   CLIMATIZAÇÃO </v>
      </c>
      <c r="J1204" s="230">
        <f t="shared" ca="1" si="843"/>
        <v>3</v>
      </c>
      <c r="K1204" s="228" t="str">
        <f t="shared" ca="1" si="789"/>
        <v xml:space="preserve">   CLIMATIZAÇÃO - 8º PAVIMENTO - COBERTURA</v>
      </c>
      <c r="L1204" s="231">
        <f t="shared" ca="1" si="844"/>
        <v>1</v>
      </c>
      <c r="M1204" s="228" t="str">
        <f t="shared" ca="1" si="790"/>
        <v xml:space="preserve">   Instalações de Exaustão Mecânica</v>
      </c>
      <c r="N1204" s="231">
        <f t="shared" ca="1" si="845"/>
        <v>0</v>
      </c>
      <c r="O1204" s="228" t="str">
        <f t="shared" ca="1" si="791"/>
        <v>Infraestrutura para instalacao de ar condicionado</v>
      </c>
      <c r="P1204" s="232" t="str">
        <f>IF(S1204="","",IF(Orçamento!$B1204="INSUMO",S1204,""))</f>
        <v/>
      </c>
      <c r="Q1204" s="244" t="str">
        <f t="shared" si="794"/>
        <v/>
      </c>
      <c r="R1204" s="234">
        <f t="shared" ca="1" si="792"/>
        <v>35</v>
      </c>
      <c r="S1204" s="233" t="s">
        <v>459</v>
      </c>
      <c r="T1204" s="242" t="s">
        <v>35</v>
      </c>
      <c r="U1204" s="235" t="str">
        <f t="shared" si="852"/>
        <v/>
      </c>
      <c r="V1204" s="320" t="s">
        <v>35</v>
      </c>
      <c r="W1204" s="236" t="str">
        <f>IFERROR(IF(B1204="INSUMO",_xlfn.XLOOKUP(S1204,Insumos!A:A,Insumos!C:C),""),"Inserir Preço")</f>
        <v/>
      </c>
      <c r="X1204" s="235" t="str">
        <f t="shared" ca="1" si="793"/>
        <v/>
      </c>
      <c r="Y1204" s="236" t="str">
        <f t="shared" si="851"/>
        <v/>
      </c>
      <c r="Z1204" s="237">
        <f t="shared" ca="1" si="803"/>
        <v>9810</v>
      </c>
      <c r="AA1204" s="238"/>
      <c r="AB1204" s="233" t="str">
        <f>IF(B1204="insumo",_xlfn.XLOOKUP(S1204,Insumos!A:A,Insumos!D:D),"")</f>
        <v/>
      </c>
      <c r="AC1204" s="239">
        <f t="shared" ca="1" si="804"/>
        <v>1.4073339397763628E-3</v>
      </c>
      <c r="AE1204" s="240">
        <f ca="1">IFERROR(IF(OR(Z1204="",Z1204=0),"",IF(AF1204="","",IF(AF1204="R$/mês",Z1204/OBRA!$D$12,IF(AF1204="R$/m²",Z1204/OBRA!$D$10,IF(AF1204="R$/apto",Orçamento!Z1204/OBRA!$D$11,""))))),"")</f>
        <v>5.0482958785115501</v>
      </c>
      <c r="AF1204" s="241" t="s">
        <v>154</v>
      </c>
    </row>
    <row r="1205" spans="1:32" s="10" customFormat="1" ht="13.15" hidden="1" customHeight="1" outlineLevel="4" x14ac:dyDescent="0.2">
      <c r="A1205" s="227"/>
      <c r="B1205" s="228" t="s">
        <v>4</v>
      </c>
      <c r="C1205" s="229">
        <f t="shared" si="801"/>
        <v>3</v>
      </c>
      <c r="D1205" s="227" t="str">
        <f t="shared" ca="1" si="840"/>
        <v>12.003.001.001</v>
      </c>
      <c r="E1205" s="228" t="str">
        <f t="shared" ca="1" si="841"/>
        <v>12.003.001.001</v>
      </c>
      <c r="F1205" s="230">
        <f ca="1">IF($B1205="UNIDADE CONSTRUTIVA",OFFSET(F1205,-1,0)+1,LARGE(F$10:F1204,1))</f>
        <v>2</v>
      </c>
      <c r="G1205" s="228" t="str">
        <f t="shared" ca="1" si="787"/>
        <v xml:space="preserve">   GERENCIAMENTO EXECUTIVO</v>
      </c>
      <c r="H1205" s="230">
        <f t="shared" ca="1" si="842"/>
        <v>12</v>
      </c>
      <c r="I1205" s="228" t="str">
        <f t="shared" ca="1" si="788"/>
        <v xml:space="preserve">   CLIMATIZAÇÃO </v>
      </c>
      <c r="J1205" s="230">
        <f t="shared" ca="1" si="843"/>
        <v>3</v>
      </c>
      <c r="K1205" s="228" t="str">
        <f t="shared" ca="1" si="789"/>
        <v xml:space="preserve">   CLIMATIZAÇÃO - 8º PAVIMENTO - COBERTURA</v>
      </c>
      <c r="L1205" s="231">
        <f t="shared" ca="1" si="844"/>
        <v>1</v>
      </c>
      <c r="M1205" s="228" t="str">
        <f t="shared" ca="1" si="790"/>
        <v xml:space="preserve">   Instalações de Exaustão Mecânica</v>
      </c>
      <c r="N1205" s="231">
        <f t="shared" ca="1" si="845"/>
        <v>1</v>
      </c>
      <c r="O1205" s="228" t="str">
        <f t="shared" ca="1" si="791"/>
        <v>Infraestrutura para instalacao de ar condicionado</v>
      </c>
      <c r="P1205" s="232" t="str">
        <f>IF(S1205="","",IF(Orçamento!$B1205="INSUMO",S1205,""))</f>
        <v/>
      </c>
      <c r="Q1205" s="244" t="str">
        <f t="shared" si="794"/>
        <v>Infraestrutura para instalacao de ar condicionado</v>
      </c>
      <c r="R1205" s="234">
        <f t="shared" ca="1" si="792"/>
        <v>1</v>
      </c>
      <c r="S1205" s="233" t="s">
        <v>458</v>
      </c>
      <c r="T1205" s="242" t="s">
        <v>142</v>
      </c>
      <c r="U1205" s="235">
        <v>1</v>
      </c>
      <c r="V1205" s="320" t="s">
        <v>35</v>
      </c>
      <c r="W1205" s="236" t="str">
        <f>IFERROR(IF(B1205="INSUMO",_xlfn.XLOOKUP(S1205,Insumos!A:A,Insumos!C:C),""),"Inserir Preço")</f>
        <v/>
      </c>
      <c r="X1205" s="235">
        <f t="shared" ca="1" si="793"/>
        <v>1</v>
      </c>
      <c r="Y1205" s="236">
        <f t="shared" ca="1" si="851"/>
        <v>890</v>
      </c>
      <c r="Z1205" s="237">
        <f t="shared" ca="1" si="803"/>
        <v>890</v>
      </c>
      <c r="AA1205" s="238"/>
      <c r="AB1205" s="233" t="str">
        <f>IF(B1205="insumo",_xlfn.XLOOKUP(S1205,Insumos!A:A,Insumos!D:D),"")</f>
        <v/>
      </c>
      <c r="AC1205" s="239">
        <f t="shared" ca="1" si="804"/>
        <v>1.2767861431202477E-4</v>
      </c>
      <c r="AE1205" s="240">
        <f ca="1">IFERROR(IF(OR(Z1205="",Z1205=0),"",IF(AF1205="","",IF(AF1205="R$/mês",Z1205/OBRA!$D$12,IF(AF1205="R$/m²",Z1205/OBRA!$D$10,IF(AF1205="R$/apto",Orçamento!Z1205/OBRA!$D$11,""))))),"")</f>
        <v>0.4580003396407013</v>
      </c>
      <c r="AF1205" s="241" t="s">
        <v>154</v>
      </c>
    </row>
    <row r="1206" spans="1:32" s="10" customFormat="1" ht="13.15" hidden="1" customHeight="1" outlineLevel="4" x14ac:dyDescent="0.2">
      <c r="A1206" s="227"/>
      <c r="B1206" s="228" t="s">
        <v>19</v>
      </c>
      <c r="C1206" s="229">
        <f t="shared" si="801"/>
        <v>3</v>
      </c>
      <c r="D1206" s="227" t="str">
        <f t="shared" si="840"/>
        <v/>
      </c>
      <c r="E1206" s="228" t="str">
        <f t="shared" ca="1" si="841"/>
        <v>12.003.001.001</v>
      </c>
      <c r="F1206" s="230">
        <f ca="1">IF($B1206="UNIDADE CONSTRUTIVA",OFFSET(F1206,-1,0)+1,LARGE(F$10:F1205,1))</f>
        <v>2</v>
      </c>
      <c r="G1206" s="228" t="str">
        <f t="shared" ca="1" si="787"/>
        <v xml:space="preserve">   GERENCIAMENTO EXECUTIVO</v>
      </c>
      <c r="H1206" s="230">
        <f t="shared" ca="1" si="842"/>
        <v>12</v>
      </c>
      <c r="I1206" s="228" t="str">
        <f t="shared" ca="1" si="788"/>
        <v xml:space="preserve">   CLIMATIZAÇÃO </v>
      </c>
      <c r="J1206" s="230">
        <f t="shared" ca="1" si="843"/>
        <v>3</v>
      </c>
      <c r="K1206" s="228" t="str">
        <f t="shared" ca="1" si="789"/>
        <v xml:space="preserve">   CLIMATIZAÇÃO - 8º PAVIMENTO - COBERTURA</v>
      </c>
      <c r="L1206" s="231">
        <f t="shared" ca="1" si="844"/>
        <v>1</v>
      </c>
      <c r="M1206" s="228" t="str">
        <f t="shared" ca="1" si="790"/>
        <v xml:space="preserve">   Instalações de Exaustão Mecânica</v>
      </c>
      <c r="N1206" s="231">
        <f t="shared" ca="1" si="845"/>
        <v>1</v>
      </c>
      <c r="O1206" s="228" t="str">
        <f t="shared" ca="1" si="791"/>
        <v>Infraestrutura para instalacao de ar condicionado</v>
      </c>
      <c r="P1206" s="232" t="str">
        <f>IF(S1206="","",IF(Orçamento!$B1206="INSUMO",S1206,""))</f>
        <v>FORNECIMENTO DE M.O. PARA INFRAESTRUTURA DE AR CONDICIONADO</v>
      </c>
      <c r="Q1206" s="244" t="str">
        <f t="shared" si="794"/>
        <v/>
      </c>
      <c r="R1206" s="234">
        <f t="shared" ca="1" si="792"/>
        <v>1</v>
      </c>
      <c r="S1206" s="233" t="s">
        <v>398</v>
      </c>
      <c r="T1206" s="242" t="str">
        <f>_xlfn.XLOOKUP(S1206,Insumos!$A$3:$A$371,Insumos!$B$3:$B$371)</f>
        <v>UN</v>
      </c>
      <c r="U1206" s="235">
        <f ca="1">IF($B1206="insumo",R1206,"")</f>
        <v>1</v>
      </c>
      <c r="V1206" s="320">
        <v>1</v>
      </c>
      <c r="W1206" s="236">
        <f>IFERROR(IF(B1206="INSUMO",_xlfn.XLOOKUP(S1206,Insumos!A:A,Insumos!C:C),""),"Inserir Preço")</f>
        <v>890</v>
      </c>
      <c r="X1206" s="235">
        <f t="shared" ca="1" si="793"/>
        <v>1</v>
      </c>
      <c r="Y1206" s="236">
        <f t="shared" si="851"/>
        <v>890</v>
      </c>
      <c r="Z1206" s="237">
        <f t="shared" ca="1" si="803"/>
        <v>890</v>
      </c>
      <c r="AA1206" s="238"/>
      <c r="AB1206" s="233" t="str">
        <f>IF(B1206="insumo",_xlfn.XLOOKUP(S1206,Insumos!A:A,Insumos!D:D),"")</f>
        <v>Essence Climatização</v>
      </c>
      <c r="AC1206" s="239">
        <f t="shared" ca="1" si="804"/>
        <v>1.2767861431202477E-4</v>
      </c>
      <c r="AE1206" s="240">
        <f ca="1">IFERROR(IF(OR(Z1206="",Z1206=0),"",IF(AF1206="","",IF(AF1206="R$/mês",Z1206/OBRA!$D$12,IF(AF1206="R$/m²",Z1206/OBRA!$D$10,IF(AF1206="R$/apto",Orçamento!Z1206/OBRA!$D$11,""))))),"")</f>
        <v>0.4580003396407013</v>
      </c>
      <c r="AF1206" s="241" t="s">
        <v>154</v>
      </c>
    </row>
    <row r="1207" spans="1:32" s="10" customFormat="1" ht="13.15" hidden="1" customHeight="1" outlineLevel="4" x14ac:dyDescent="0.2">
      <c r="A1207" s="227"/>
      <c r="B1207" s="228" t="s">
        <v>4</v>
      </c>
      <c r="C1207" s="229">
        <f t="shared" si="801"/>
        <v>2</v>
      </c>
      <c r="D1207" s="227" t="str">
        <f t="shared" ca="1" si="840"/>
        <v>12.003.001.002</v>
      </c>
      <c r="E1207" s="228" t="str">
        <f t="shared" ca="1" si="841"/>
        <v>12.003.001.002</v>
      </c>
      <c r="F1207" s="230">
        <f ca="1">IF($B1207="UNIDADE CONSTRUTIVA",OFFSET(F1207,-1,0)+1,LARGE(F$10:F1206,1))</f>
        <v>2</v>
      </c>
      <c r="G1207" s="228" t="str">
        <f t="shared" ca="1" si="787"/>
        <v xml:space="preserve">   GERENCIAMENTO EXECUTIVO</v>
      </c>
      <c r="H1207" s="230">
        <f t="shared" ca="1" si="842"/>
        <v>12</v>
      </c>
      <c r="I1207" s="228" t="str">
        <f t="shared" ca="1" si="788"/>
        <v xml:space="preserve">   CLIMATIZAÇÃO </v>
      </c>
      <c r="J1207" s="230">
        <f t="shared" ca="1" si="843"/>
        <v>3</v>
      </c>
      <c r="K1207" s="228" t="str">
        <f t="shared" ca="1" si="789"/>
        <v xml:space="preserve">   CLIMATIZAÇÃO - 8º PAVIMENTO - COBERTURA</v>
      </c>
      <c r="L1207" s="231">
        <f t="shared" ca="1" si="844"/>
        <v>1</v>
      </c>
      <c r="M1207" s="228" t="str">
        <f t="shared" ca="1" si="790"/>
        <v xml:space="preserve">   Instalações de Exaustão Mecânica</v>
      </c>
      <c r="N1207" s="231">
        <f t="shared" ca="1" si="845"/>
        <v>2</v>
      </c>
      <c r="O1207" s="228" t="str">
        <f t="shared" ca="1" si="791"/>
        <v>Equipamento de ar-condicionado</v>
      </c>
      <c r="P1207" s="232" t="str">
        <f>IF(S1207="","",IF(Orçamento!$B1207="INSUMO",S1207,""))</f>
        <v/>
      </c>
      <c r="Q1207" s="244" t="str">
        <f t="shared" si="794"/>
        <v>Equipamento de ar-condicionado</v>
      </c>
      <c r="R1207" s="234">
        <f t="shared" ca="1" si="792"/>
        <v>1</v>
      </c>
      <c r="S1207" s="233" t="s">
        <v>320</v>
      </c>
      <c r="T1207" s="242" t="s">
        <v>142</v>
      </c>
      <c r="U1207" s="235">
        <f>U1205</f>
        <v>1</v>
      </c>
      <c r="V1207" s="320" t="s">
        <v>35</v>
      </c>
      <c r="W1207" s="236" t="str">
        <f>IFERROR(IF(B1207="INSUMO",_xlfn.XLOOKUP(S1207,Insumos!A:A,Insumos!C:C),""),"Inserir Preço")</f>
        <v/>
      </c>
      <c r="X1207" s="235">
        <f t="shared" ca="1" si="793"/>
        <v>1</v>
      </c>
      <c r="Y1207" s="236">
        <f t="shared" ca="1" si="851"/>
        <v>8920</v>
      </c>
      <c r="Z1207" s="237">
        <f t="shared" ca="1" si="803"/>
        <v>8920</v>
      </c>
      <c r="AA1207" s="238"/>
      <c r="AB1207" s="233" t="str">
        <f>IF(B1207="insumo",_xlfn.XLOOKUP(S1207,Insumos!A:A,Insumos!D:D),"")</f>
        <v/>
      </c>
      <c r="AC1207" s="239">
        <f t="shared" ca="1" si="804"/>
        <v>1.2796553254643382E-3</v>
      </c>
      <c r="AE1207" s="240">
        <f ca="1">IFERROR(IF(OR(Z1207="",Z1207=0),"",IF(AF1207="","",IF(AF1207="R$/mês",Z1207/OBRA!$D$12,IF(AF1207="R$/m²",Z1207/OBRA!$D$10,IF(AF1207="R$/apto",Orçamento!Z1207/OBRA!$D$11,""))))),"")</f>
        <v>4.5902955388708486</v>
      </c>
      <c r="AF1207" s="241" t="s">
        <v>154</v>
      </c>
    </row>
    <row r="1208" spans="1:32" s="10" customFormat="1" ht="13.15" hidden="1" customHeight="1" outlineLevel="4" x14ac:dyDescent="0.2">
      <c r="A1208" s="227"/>
      <c r="B1208" s="228" t="s">
        <v>19</v>
      </c>
      <c r="C1208" s="229">
        <f t="shared" si="801"/>
        <v>2</v>
      </c>
      <c r="D1208" s="227" t="str">
        <f t="shared" si="840"/>
        <v/>
      </c>
      <c r="E1208" s="228" t="str">
        <f t="shared" ca="1" si="841"/>
        <v>12.003.001.002</v>
      </c>
      <c r="F1208" s="230">
        <f ca="1">IF($B1208="UNIDADE CONSTRUTIVA",OFFSET(F1208,-1,0)+1,LARGE(F$10:F1207,1))</f>
        <v>2</v>
      </c>
      <c r="G1208" s="228" t="str">
        <f t="shared" ca="1" si="787"/>
        <v xml:space="preserve">   GERENCIAMENTO EXECUTIVO</v>
      </c>
      <c r="H1208" s="230">
        <f t="shared" ca="1" si="842"/>
        <v>12</v>
      </c>
      <c r="I1208" s="228" t="str">
        <f t="shared" ca="1" si="788"/>
        <v xml:space="preserve">   CLIMATIZAÇÃO </v>
      </c>
      <c r="J1208" s="230">
        <f t="shared" ca="1" si="843"/>
        <v>3</v>
      </c>
      <c r="K1208" s="228" t="str">
        <f t="shared" ca="1" si="789"/>
        <v xml:space="preserve">   CLIMATIZAÇÃO - 8º PAVIMENTO - COBERTURA</v>
      </c>
      <c r="L1208" s="231">
        <f t="shared" ca="1" si="844"/>
        <v>1</v>
      </c>
      <c r="M1208" s="228" t="str">
        <f t="shared" ca="1" si="790"/>
        <v xml:space="preserve">   Instalações de Exaustão Mecânica</v>
      </c>
      <c r="N1208" s="231">
        <f t="shared" ca="1" si="845"/>
        <v>2</v>
      </c>
      <c r="O1208" s="228" t="str">
        <f t="shared" ca="1" si="791"/>
        <v>Equipamento de ar-condicionado</v>
      </c>
      <c r="P1208" s="232" t="str">
        <f>IF(S1208="","",IF(Orçamento!$B1208="INSUMO",S1208,""))</f>
        <v>Equipamento de ar-condicionado</v>
      </c>
      <c r="Q1208" s="244" t="str">
        <f t="shared" si="794"/>
        <v/>
      </c>
      <c r="R1208" s="234">
        <f t="shared" ca="1" si="792"/>
        <v>1</v>
      </c>
      <c r="S1208" s="233" t="s">
        <v>320</v>
      </c>
      <c r="T1208" s="242" t="str">
        <f>_xlfn.XLOOKUP(S1208,Insumos!$A$3:$A$371,Insumos!$B$3:$B$371)</f>
        <v>UN</v>
      </c>
      <c r="U1208" s="235">
        <f ca="1">IF($B1208="insumo",R1208,"")</f>
        <v>1</v>
      </c>
      <c r="V1208" s="320">
        <v>1</v>
      </c>
      <c r="W1208" s="236">
        <f>IFERROR(IF(B1208="INSUMO",_xlfn.XLOOKUP(S1208,Insumos!A:A,Insumos!C:C),""),"Inserir Preço")</f>
        <v>8500</v>
      </c>
      <c r="X1208" s="235">
        <f t="shared" ca="1" si="793"/>
        <v>1</v>
      </c>
      <c r="Y1208" s="236">
        <f t="shared" si="851"/>
        <v>8500</v>
      </c>
      <c r="Z1208" s="237">
        <f t="shared" ca="1" si="803"/>
        <v>8500</v>
      </c>
      <c r="AA1208" s="238"/>
      <c r="AB1208" s="233" t="str">
        <f>IF(B1208="insumo",_xlfn.XLOOKUP(S1208,Insumos!A:A,Insumos!D:D),"")</f>
        <v>Essence Climatização</v>
      </c>
      <c r="AC1208" s="239">
        <f t="shared" ca="1" si="804"/>
        <v>1.2194024962384389E-3</v>
      </c>
      <c r="AE1208" s="240">
        <f ca="1">IFERROR(IF(OR(Z1208="",Z1208=0),"",IF(AF1208="","",IF(AF1208="R$/mês",Z1208/OBRA!$D$12,IF(AF1208="R$/m²",Z1208/OBRA!$D$10,IF(AF1208="R$/apto",Orçamento!Z1208/OBRA!$D$11,""))))),"")</f>
        <v>4.3741605471302929</v>
      </c>
      <c r="AF1208" s="241" t="s">
        <v>154</v>
      </c>
    </row>
    <row r="1209" spans="1:32" s="10" customFormat="1" ht="13.15" hidden="1" customHeight="1" outlineLevel="4" x14ac:dyDescent="0.2">
      <c r="A1209" s="227"/>
      <c r="B1209" s="228" t="s">
        <v>19</v>
      </c>
      <c r="C1209" s="229">
        <f t="shared" si="801"/>
        <v>2</v>
      </c>
      <c r="D1209" s="227" t="str">
        <f t="shared" si="840"/>
        <v/>
      </c>
      <c r="E1209" s="228" t="str">
        <f t="shared" ca="1" si="841"/>
        <v>12.003.001.002</v>
      </c>
      <c r="F1209" s="230">
        <f ca="1">IF($B1209="UNIDADE CONSTRUTIVA",OFFSET(F1209,-1,0)+1,LARGE(F$10:F1208,1))</f>
        <v>2</v>
      </c>
      <c r="G1209" s="228" t="str">
        <f t="shared" ca="1" si="787"/>
        <v xml:space="preserve">   GERENCIAMENTO EXECUTIVO</v>
      </c>
      <c r="H1209" s="230">
        <f t="shared" ca="1" si="842"/>
        <v>12</v>
      </c>
      <c r="I1209" s="228" t="str">
        <f t="shared" ca="1" si="788"/>
        <v xml:space="preserve">   CLIMATIZAÇÃO </v>
      </c>
      <c r="J1209" s="230">
        <f t="shared" ca="1" si="843"/>
        <v>3</v>
      </c>
      <c r="K1209" s="228" t="str">
        <f t="shared" ca="1" si="789"/>
        <v xml:space="preserve">   CLIMATIZAÇÃO - 8º PAVIMENTO - COBERTURA</v>
      </c>
      <c r="L1209" s="231">
        <f t="shared" ca="1" si="844"/>
        <v>1</v>
      </c>
      <c r="M1209" s="228" t="str">
        <f t="shared" ca="1" si="790"/>
        <v xml:space="preserve">   Instalações de Exaustão Mecânica</v>
      </c>
      <c r="N1209" s="231">
        <f t="shared" ca="1" si="845"/>
        <v>2</v>
      </c>
      <c r="O1209" s="228" t="str">
        <f t="shared" ca="1" si="791"/>
        <v>Equipamento de ar-condicionado</v>
      </c>
      <c r="P1209" s="232" t="str">
        <f>IF(S1209="","",IF(Orçamento!$B1209="INSUMO",S1209,""))</f>
        <v>FORNECIMENTO DE M.O. PARA EQUIPAMENTO DE AR CONDICIONADO</v>
      </c>
      <c r="Q1209" s="244" t="str">
        <f t="shared" si="794"/>
        <v/>
      </c>
      <c r="R1209" s="234">
        <f t="shared" ca="1" si="792"/>
        <v>1</v>
      </c>
      <c r="S1209" s="233" t="s">
        <v>803</v>
      </c>
      <c r="T1209" s="242" t="str">
        <f>_xlfn.XLOOKUP(S1209,Insumos!$A$3:$A$371,Insumos!$B$3:$B$371)</f>
        <v>UN</v>
      </c>
      <c r="U1209" s="235">
        <f ca="1">IF($B1209="insumo",R1209,"")</f>
        <v>1</v>
      </c>
      <c r="V1209" s="320">
        <v>1</v>
      </c>
      <c r="W1209" s="236">
        <f>IFERROR(IF(B1209="INSUMO",_xlfn.XLOOKUP(S1209,Insumos!A:A,Insumos!C:C),""),"Inserir Preço")</f>
        <v>420</v>
      </c>
      <c r="X1209" s="235">
        <f t="shared" ca="1" si="793"/>
        <v>1</v>
      </c>
      <c r="Y1209" s="236">
        <f t="shared" si="851"/>
        <v>420</v>
      </c>
      <c r="Z1209" s="237">
        <f t="shared" ca="1" si="803"/>
        <v>420</v>
      </c>
      <c r="AA1209" s="238"/>
      <c r="AB1209" s="233" t="str">
        <f>IF(B1209="insumo",_xlfn.XLOOKUP(S1209,Insumos!A:A,Insumos!D:D),"")</f>
        <v>Essence Climatização</v>
      </c>
      <c r="AC1209" s="239">
        <f t="shared" ca="1" si="804"/>
        <v>6.0252829225899329E-5</v>
      </c>
      <c r="AE1209" s="240">
        <f ca="1">IFERROR(IF(OR(Z1209="",Z1209=0),"",IF(AF1209="","",IF(AF1209="R$/mês",Z1209/OBRA!$D$12,IF(AF1209="R$/m²",Z1209/OBRA!$D$10,IF(AF1209="R$/apto",Orçamento!Z1209/OBRA!$D$11,""))))),"")</f>
        <v>0.21613499174055567</v>
      </c>
      <c r="AF1209" s="241" t="s">
        <v>154</v>
      </c>
    </row>
    <row r="1210" spans="1:32" s="10" customFormat="1" ht="13.15" customHeight="1" outlineLevel="1" x14ac:dyDescent="0.2">
      <c r="A1210" s="227"/>
      <c r="B1210" s="228" t="s">
        <v>1</v>
      </c>
      <c r="C1210" s="229" t="str">
        <f t="shared" si="801"/>
        <v/>
      </c>
      <c r="D1210" s="227" t="str">
        <f t="shared" ca="1" si="840"/>
        <v>13</v>
      </c>
      <c r="E1210" s="228" t="str">
        <f ca="1">IF(B1210="*","",IFERROR(IF(B1210="SERVIÇO",D1210,OFFSET(E1210,-1,0)),""))</f>
        <v>12.003.001.002</v>
      </c>
      <c r="F1210" s="230">
        <f ca="1">IF($B1210="UNIDADE CONSTRUTIVA",OFFSET(F1210,-1,0)+1,LARGE(F$10:F1209,1))</f>
        <v>2</v>
      </c>
      <c r="G1210" s="228" t="str">
        <f t="shared" ca="1" si="787"/>
        <v xml:space="preserve">   GERENCIAMENTO EXECUTIVO</v>
      </c>
      <c r="H1210" s="230">
        <f ca="1">IF(B1210="UNIDADE CONSTRUTIVA",0,IF(B1210="CÉLULA CONSTRUTIVA",OFFSET(H1210,-1,0)+1,OFFSET(H1210,-1,0)))</f>
        <v>13</v>
      </c>
      <c r="I1210" s="228" t="str">
        <f t="shared" ca="1" si="788"/>
        <v xml:space="preserve">   REVESTIMENTOS INTERNOS DE PAREDE</v>
      </c>
      <c r="J1210" s="230">
        <f ca="1">IF(B1210="CÉLULA CONSTRUTIVA",0,IF(B1210="ETAPA",OFFSET(J1210,-1,0)+1,OFFSET(J1210,-1,0)))</f>
        <v>0</v>
      </c>
      <c r="K1210" s="228" t="str">
        <f t="shared" ca="1" si="789"/>
        <v xml:space="preserve">   CLIMATIZAÇÃO - 8º PAVIMENTO - COBERTURA</v>
      </c>
      <c r="L1210" s="231">
        <f ca="1">IF(B1210="ETAPA",0,IF(B1210="SUBETAPA",OFFSET(L1210,-1,0)+1,OFFSET(L1210,-1,0)))</f>
        <v>1</v>
      </c>
      <c r="M1210" s="228" t="str">
        <f t="shared" ca="1" si="790"/>
        <v xml:space="preserve">   Instalações de Exaustão Mecânica</v>
      </c>
      <c r="N1210" s="231">
        <f ca="1">IF(B1210="Subetapa",0,IF(B1210="serviço",OFFSET(N1210,-1,0)+1,OFFSET(N1210,-1,0)))</f>
        <v>2</v>
      </c>
      <c r="O1210" s="228" t="str">
        <f t="shared" ca="1" si="791"/>
        <v>Equipamento de ar-condicionado</v>
      </c>
      <c r="P1210" s="232" t="str">
        <f>IF(S1210="","",IF(Orçamento!$B1210="INSUMO",S1210,""))</f>
        <v/>
      </c>
      <c r="Q1210" s="244" t="str">
        <f t="shared" ref="Q1210:Q1243" si="853">IF(B1210="","",IF(B1210="Serviço",S1210,""))</f>
        <v/>
      </c>
      <c r="R1210" s="234">
        <f t="shared" ref="R1210:R1243" ca="1" si="854">IF(B1210="serviço",U1210,OFFSET(R1210,-1,0))</f>
        <v>1</v>
      </c>
      <c r="S1210" s="233" t="s">
        <v>730</v>
      </c>
      <c r="T1210" s="242" t="s">
        <v>35</v>
      </c>
      <c r="U1210" s="235" t="str">
        <f>IF($B1210="insumo",R1210,"")</f>
        <v/>
      </c>
      <c r="V1210" s="320" t="s">
        <v>35</v>
      </c>
      <c r="W1210" s="236" t="str">
        <f>IFERROR(IF(B1210="INSUMO",_xlfn.XLOOKUP(S1210,Insumos!A:A,Insumos!C:C),""),"Inserir Preço")</f>
        <v/>
      </c>
      <c r="X1210" s="235" t="str">
        <f t="shared" ref="X1210:X1243" ca="1" si="855">IF(B1210="Complemento do insumo",V1210,IF(R1210="","",IF(B1210="serviço",R1210,IF(OR(B1210="insumo"),V1210*R1210,""))))</f>
        <v/>
      </c>
      <c r="Y1210" s="236" t="str">
        <f t="shared" si="851"/>
        <v/>
      </c>
      <c r="Z1210" s="237">
        <f t="shared" ca="1" si="803"/>
        <v>397235.17496869533</v>
      </c>
      <c r="AA1210" s="238"/>
      <c r="AB1210" s="233" t="str">
        <f>IF(B1210="insumo",_xlfn.XLOOKUP(S1210,Insumos!A:A,Insumos!D:D),"")</f>
        <v/>
      </c>
      <c r="AC1210" s="239">
        <f t="shared" ca="1" si="804"/>
        <v>5.6987007523592953E-2</v>
      </c>
      <c r="AE1210" s="240">
        <f ca="1">IFERROR(IF(OR(Z1210="",Z1210=0),"",IF(AF1210="","",IF(AF1210="R$/mês",Z1210/OBRA!$D$12,IF(AF1210="R$/m²",Z1210/OBRA!$D$10,IF(AF1210="R$/apto",Orçamento!Z1210/OBRA!$D$11,""))))),"")</f>
        <v>204.42005062123133</v>
      </c>
      <c r="AF1210" s="241" t="s">
        <v>154</v>
      </c>
    </row>
    <row r="1211" spans="1:32" s="10" customFormat="1" ht="13.15" customHeight="1" outlineLevel="2" collapsed="1" x14ac:dyDescent="0.2">
      <c r="A1211" s="227"/>
      <c r="B1211" s="228" t="s">
        <v>2</v>
      </c>
      <c r="C1211" s="229" t="str">
        <f t="shared" si="801"/>
        <v/>
      </c>
      <c r="D1211" s="227" t="str">
        <f t="shared" ca="1" si="840"/>
        <v>13.001</v>
      </c>
      <c r="E1211" s="228" t="str">
        <f t="shared" ca="1" si="841"/>
        <v>12.003.001.002</v>
      </c>
      <c r="F1211" s="230">
        <f ca="1">IF($B1211="UNIDADE CONSTRUTIVA",OFFSET(F1211,-1,0)+1,LARGE(F$10:F1210,1))</f>
        <v>2</v>
      </c>
      <c r="G1211" s="228" t="str">
        <f t="shared" ref="G1211:G1243" ca="1" si="856">IF(B1211="*","",IF(B1211="UNIDADE CONSTRUTIVA",S1211,OFFSET(G1211,-1,0)))</f>
        <v xml:space="preserve">   GERENCIAMENTO EXECUTIVO</v>
      </c>
      <c r="H1211" s="230">
        <f t="shared" ca="1" si="842"/>
        <v>13</v>
      </c>
      <c r="I1211" s="228" t="str">
        <f t="shared" ref="I1211:I1243" ca="1" si="857">IF(B1211="*","",IF(B1211="CÉLULA CONSTRUTIVA",S1211,OFFSET(I1211,-1,0)))</f>
        <v xml:space="preserve">   REVESTIMENTOS INTERNOS DE PAREDE</v>
      </c>
      <c r="J1211" s="230">
        <f t="shared" ca="1" si="843"/>
        <v>1</v>
      </c>
      <c r="K1211" s="228" t="str">
        <f t="shared" ref="K1211:K1243" ca="1" si="858">IF(B1211="*","",IF(B1211="ETAPA",S1211,OFFSET(K1211,-1,0)))</f>
        <v xml:space="preserve">   REVESTIMENTOS INTERNOS DE PAREDE - 1º PAVIMENTO - SUBSOLO</v>
      </c>
      <c r="L1211" s="231">
        <f t="shared" ca="1" si="844"/>
        <v>0</v>
      </c>
      <c r="M1211" s="228" t="str">
        <f t="shared" ref="M1211:M1243" ca="1" si="859">IF(B1211="*","",IF(B1211="SUBETAPA",S1211,OFFSET(M1211,-1,0)))</f>
        <v xml:space="preserve">   Instalações de Exaustão Mecânica</v>
      </c>
      <c r="N1211" s="231">
        <f t="shared" ca="1" si="845"/>
        <v>2</v>
      </c>
      <c r="O1211" s="228" t="str">
        <f t="shared" ref="O1211:O1243" ca="1" si="860">IF(B1211="*","",IF(B1211="SERVIÇO",S1211,OFFSET(O1211,-1,0)))</f>
        <v>Equipamento de ar-condicionado</v>
      </c>
      <c r="P1211" s="232" t="str">
        <f>IF(S1211="","",IF(Orçamento!$B1211="INSUMO",S1211,""))</f>
        <v/>
      </c>
      <c r="Q1211" s="244" t="str">
        <f t="shared" si="853"/>
        <v/>
      </c>
      <c r="R1211" s="234">
        <f t="shared" ca="1" si="854"/>
        <v>1</v>
      </c>
      <c r="S1211" s="233" t="s">
        <v>725</v>
      </c>
      <c r="T1211" s="242" t="s">
        <v>35</v>
      </c>
      <c r="U1211" s="235" t="str">
        <f>IF($B1211="insumo",R1211,"")</f>
        <v/>
      </c>
      <c r="V1211" s="320" t="s">
        <v>35</v>
      </c>
      <c r="W1211" s="236" t="str">
        <f>IFERROR(IF(B1211="INSUMO",_xlfn.XLOOKUP(S1211,Insumos!A:A,Insumos!C:C),""),"Inserir Preço")</f>
        <v/>
      </c>
      <c r="X1211" s="235" t="str">
        <f t="shared" ca="1" si="855"/>
        <v/>
      </c>
      <c r="Y1211" s="236" t="str">
        <f t="shared" si="851"/>
        <v/>
      </c>
      <c r="Z1211" s="237">
        <f t="shared" ca="1" si="803"/>
        <v>36323.972902451831</v>
      </c>
      <c r="AA1211" s="238"/>
      <c r="AB1211" s="233" t="str">
        <f>IF(B1211="insumo",_xlfn.XLOOKUP(S1211,Insumos!A:A,Insumos!D:D),"")</f>
        <v/>
      </c>
      <c r="AC1211" s="239">
        <f t="shared" ca="1" si="804"/>
        <v>5.2110050859467258E-3</v>
      </c>
      <c r="AE1211" s="240">
        <f ca="1">IFERROR(IF(OR(Z1211="",Z1211=0),"",IF(AF1211="","",IF(AF1211="R$/mês",Z1211/OBRA!$D$12,IF(AF1211="R$/m²",Z1211/OBRA!$D$10,IF(AF1211="R$/apto",Orçamento!Z1211/OBRA!$D$11,""))))),"")</f>
        <v>18.692575198227605</v>
      </c>
      <c r="AF1211" s="241" t="s">
        <v>154</v>
      </c>
    </row>
    <row r="1212" spans="1:32" s="10" customFormat="1" ht="13.15" hidden="1" customHeight="1" outlineLevel="3" collapsed="1" x14ac:dyDescent="0.2">
      <c r="A1212" s="227"/>
      <c r="B1212" s="228" t="s">
        <v>3</v>
      </c>
      <c r="C1212" s="229" t="str">
        <f t="shared" si="801"/>
        <v/>
      </c>
      <c r="D1212" s="227" t="str">
        <f t="shared" ref="D1212:D1243" ca="1" si="861">IF(B1212="Unidade Construtiva",TEXT(F1212,"00"),IF(B1212="Célula Construtiva",TEXT(H1212,"00"),IF(B1212="Etapa",CONCATENATE(TEXT(H1212,"00"),".",TEXT(J1212,"000")),IF(B1212="Subetapa",CONCATENATE(TEXT(H1212,"00"),".",TEXT(J1212,"000"),".",TEXT(L1212,"000")),IF(B1212="Serviço",CONCATENATE(TEXT(H1212,"00"),".",TEXT(J1212,"000"),".",TEXT(L1212,"000"),".",TEXT(N1212,"000")),"")))))</f>
        <v>13.001.001</v>
      </c>
      <c r="E1212" s="228" t="str">
        <f t="shared" ref="E1212:E1243" ca="1" si="862">IF(B1212="*","",IFERROR(IF(B1212="SERVIÇO",D1212,OFFSET(E1212,-1,0)),""))</f>
        <v>12.003.001.002</v>
      </c>
      <c r="F1212" s="230">
        <f ca="1">IF($B1212="UNIDADE CONSTRUTIVA",OFFSET(F1212,-1,0)+1,LARGE(F$10:F1211,1))</f>
        <v>2</v>
      </c>
      <c r="G1212" s="228" t="str">
        <f t="shared" ca="1" si="856"/>
        <v xml:space="preserve">   GERENCIAMENTO EXECUTIVO</v>
      </c>
      <c r="H1212" s="230">
        <f t="shared" ref="H1212:H1243" ca="1" si="863">IF(B1212="UNIDADE CONSTRUTIVA",0,IF(B1212="CÉLULA CONSTRUTIVA",OFFSET(H1212,-1,0)+1,OFFSET(H1212,-1,0)))</f>
        <v>13</v>
      </c>
      <c r="I1212" s="228" t="str">
        <f t="shared" ca="1" si="857"/>
        <v xml:space="preserve">   REVESTIMENTOS INTERNOS DE PAREDE</v>
      </c>
      <c r="J1212" s="230">
        <f t="shared" ref="J1212:J1243" ca="1" si="864">IF(B1212="CÉLULA CONSTRUTIVA",0,IF(B1212="ETAPA",OFFSET(J1212,-1,0)+1,OFFSET(J1212,-1,0)))</f>
        <v>1</v>
      </c>
      <c r="K1212" s="228" t="str">
        <f t="shared" ca="1" si="858"/>
        <v xml:space="preserve">   REVESTIMENTOS INTERNOS DE PAREDE - 1º PAVIMENTO - SUBSOLO</v>
      </c>
      <c r="L1212" s="231">
        <f t="shared" ref="L1212:L1243" ca="1" si="865">IF(B1212="ETAPA",0,IF(B1212="SUBETAPA",OFFSET(L1212,-1,0)+1,OFFSET(L1212,-1,0)))</f>
        <v>1</v>
      </c>
      <c r="M1212" s="228" t="str">
        <f t="shared" ca="1" si="859"/>
        <v xml:space="preserve">   Reboco</v>
      </c>
      <c r="N1212" s="231">
        <f t="shared" ref="N1212:N1243" ca="1" si="866">IF(B1212="Subetapa",0,IF(B1212="serviço",OFFSET(N1212,-1,0)+1,OFFSET(N1212,-1,0)))</f>
        <v>0</v>
      </c>
      <c r="O1212" s="228" t="str">
        <f t="shared" ca="1" si="860"/>
        <v>Equipamento de ar-condicionado</v>
      </c>
      <c r="P1212" s="232" t="str">
        <f>IF(S1212="","",IF(Orçamento!$B1212="INSUMO",S1212,""))</f>
        <v/>
      </c>
      <c r="Q1212" s="244" t="str">
        <f t="shared" si="853"/>
        <v/>
      </c>
      <c r="R1212" s="234">
        <f t="shared" ca="1" si="854"/>
        <v>1</v>
      </c>
      <c r="S1212" s="233" t="s">
        <v>478</v>
      </c>
      <c r="T1212" s="242" t="s">
        <v>35</v>
      </c>
      <c r="U1212" s="235" t="str">
        <f>IF($B1212="insumo",R1212,"")</f>
        <v/>
      </c>
      <c r="V1212" s="320" t="s">
        <v>35</v>
      </c>
      <c r="W1212" s="236" t="str">
        <f>IFERROR(IF(B1212="INSUMO",_xlfn.XLOOKUP(S1212,Insumos!A:A,Insumos!C:C),""),"Inserir Preço")</f>
        <v/>
      </c>
      <c r="X1212" s="235" t="str">
        <f t="shared" ca="1" si="855"/>
        <v/>
      </c>
      <c r="Y1212" s="236" t="str">
        <f t="shared" si="851"/>
        <v/>
      </c>
      <c r="Z1212" s="237">
        <f t="shared" ca="1" si="803"/>
        <v>11199.67028</v>
      </c>
      <c r="AA1212" s="238"/>
      <c r="AB1212" s="233" t="str">
        <f>IF(B1212="insumo",_xlfn.XLOOKUP(S1212,Insumos!A:A,Insumos!D:D),"")</f>
        <v/>
      </c>
      <c r="AC1212" s="239">
        <f t="shared" ca="1" si="804"/>
        <v>1.6066948113505242E-3</v>
      </c>
      <c r="AE1212" s="240">
        <f ca="1">IFERROR(IF(OR(Z1212="",Z1212=0),"",IF(AF1212="","",IF(AF1212="R$/mês",Z1212/OBRA!$D$12,IF(AF1212="R$/m²",Z1212/OBRA!$D$10,IF(AF1212="R$/apto",Orçamento!Z1212/OBRA!$D$11,""))))),"")</f>
        <v>5.7634301034874929</v>
      </c>
      <c r="AF1212" s="241" t="s">
        <v>154</v>
      </c>
    </row>
    <row r="1213" spans="1:32" s="10" customFormat="1" ht="13.15" hidden="1" customHeight="1" outlineLevel="4" x14ac:dyDescent="0.2">
      <c r="A1213" s="227"/>
      <c r="B1213" s="228" t="s">
        <v>4</v>
      </c>
      <c r="C1213" s="229">
        <f t="shared" si="801"/>
        <v>6</v>
      </c>
      <c r="D1213" s="227" t="str">
        <f t="shared" ca="1" si="861"/>
        <v>13.001.001.001</v>
      </c>
      <c r="E1213" s="228" t="str">
        <f t="shared" ca="1" si="862"/>
        <v>13.001.001.001</v>
      </c>
      <c r="F1213" s="230">
        <f ca="1">IF($B1213="UNIDADE CONSTRUTIVA",OFFSET(F1213,-1,0)+1,LARGE(F$10:F1212,1))</f>
        <v>2</v>
      </c>
      <c r="G1213" s="228" t="str">
        <f t="shared" ca="1" si="856"/>
        <v xml:space="preserve">   GERENCIAMENTO EXECUTIVO</v>
      </c>
      <c r="H1213" s="230">
        <f t="shared" ca="1" si="863"/>
        <v>13</v>
      </c>
      <c r="I1213" s="228" t="str">
        <f t="shared" ca="1" si="857"/>
        <v xml:space="preserve">   REVESTIMENTOS INTERNOS DE PAREDE</v>
      </c>
      <c r="J1213" s="230">
        <f t="shared" ca="1" si="864"/>
        <v>1</v>
      </c>
      <c r="K1213" s="228" t="str">
        <f t="shared" ca="1" si="858"/>
        <v xml:space="preserve">   REVESTIMENTOS INTERNOS DE PAREDE - 1º PAVIMENTO - SUBSOLO</v>
      </c>
      <c r="L1213" s="231">
        <f t="shared" ca="1" si="865"/>
        <v>1</v>
      </c>
      <c r="M1213" s="228" t="str">
        <f t="shared" ca="1" si="859"/>
        <v xml:space="preserve">   Reboco</v>
      </c>
      <c r="N1213" s="231">
        <f t="shared" ca="1" si="866"/>
        <v>1</v>
      </c>
      <c r="O1213" s="228" t="str">
        <f t="shared" ca="1" si="860"/>
        <v>Chapisco aplicado em estruturas de concreto, com desempenadeira dentada, de argamassa industrializada</v>
      </c>
      <c r="P1213" s="232" t="str">
        <f>IF(S1213="","",IF(Orçamento!$B1213="INSUMO",S1213,""))</f>
        <v/>
      </c>
      <c r="Q1213" s="244" t="str">
        <f t="shared" si="853"/>
        <v>Chapisco aplicado em estruturas de concreto, com desempenadeira dentada, de argamassa industrializada</v>
      </c>
      <c r="R1213" s="234">
        <f t="shared" ca="1" si="854"/>
        <v>223.73</v>
      </c>
      <c r="S1213" s="233" t="s">
        <v>479</v>
      </c>
      <c r="T1213" s="242" t="s">
        <v>140</v>
      </c>
      <c r="U1213" s="235">
        <v>223.73</v>
      </c>
      <c r="V1213" s="320" t="s">
        <v>35</v>
      </c>
      <c r="W1213" s="236" t="str">
        <f>IFERROR(IF(B1213="INSUMO",_xlfn.XLOOKUP(S1213,Insumos!A:A,Insumos!C:C),""),"Inserir Preço")</f>
        <v/>
      </c>
      <c r="X1213" s="235">
        <f t="shared" ca="1" si="855"/>
        <v>223.73</v>
      </c>
      <c r="Y1213" s="236">
        <f t="shared" ca="1" si="851"/>
        <v>5.5020000000000007</v>
      </c>
      <c r="Z1213" s="237">
        <f t="shared" ca="1" si="803"/>
        <v>1230.9624600000002</v>
      </c>
      <c r="AA1213" s="238"/>
      <c r="AB1213" s="233" t="str">
        <f>IF(B1213="insumo",_xlfn.XLOOKUP(S1213,Insumos!A:A,Insumos!D:D),"")</f>
        <v/>
      </c>
      <c r="AC1213" s="239">
        <f t="shared" ca="1" si="804"/>
        <v>1.76592787823507E-4</v>
      </c>
      <c r="AE1213" s="240">
        <f ca="1">IFERROR(IF(OR(Z1213="",Z1213=0),"",IF(AF1213="","",IF(AF1213="R$/mês",Z1213/OBRA!$D$12,IF(AF1213="R$/m²",Z1213/OBRA!$D$10,IF(AF1213="R$/apto",Orçamento!Z1213/OBRA!$D$11,""))))),"")</f>
        <v>0.63346205029770031</v>
      </c>
      <c r="AF1213" s="241" t="s">
        <v>154</v>
      </c>
    </row>
    <row r="1214" spans="1:32" s="10" customFormat="1" ht="13.15" hidden="1" customHeight="1" outlineLevel="4" x14ac:dyDescent="0.2">
      <c r="A1214" s="227"/>
      <c r="B1214" s="228" t="s">
        <v>19</v>
      </c>
      <c r="C1214" s="229">
        <f t="shared" si="801"/>
        <v>11</v>
      </c>
      <c r="D1214" s="227" t="str">
        <f t="shared" si="861"/>
        <v/>
      </c>
      <c r="E1214" s="228" t="str">
        <f t="shared" ca="1" si="862"/>
        <v>13.001.001.001</v>
      </c>
      <c r="F1214" s="230">
        <f ca="1">IF($B1214="UNIDADE CONSTRUTIVA",OFFSET(F1214,-1,0)+1,LARGE(F$10:F1213,1))</f>
        <v>2</v>
      </c>
      <c r="G1214" s="228" t="str">
        <f t="shared" ca="1" si="856"/>
        <v xml:space="preserve">   GERENCIAMENTO EXECUTIVO</v>
      </c>
      <c r="H1214" s="230">
        <f t="shared" ca="1" si="863"/>
        <v>13</v>
      </c>
      <c r="I1214" s="228" t="str">
        <f t="shared" ca="1" si="857"/>
        <v xml:space="preserve">   REVESTIMENTOS INTERNOS DE PAREDE</v>
      </c>
      <c r="J1214" s="230">
        <f t="shared" ca="1" si="864"/>
        <v>1</v>
      </c>
      <c r="K1214" s="228" t="str">
        <f t="shared" ca="1" si="858"/>
        <v xml:space="preserve">   REVESTIMENTOS INTERNOS DE PAREDE - 1º PAVIMENTO - SUBSOLO</v>
      </c>
      <c r="L1214" s="231">
        <f t="shared" ca="1" si="865"/>
        <v>1</v>
      </c>
      <c r="M1214" s="228" t="str">
        <f t="shared" ca="1" si="859"/>
        <v xml:space="preserve">   Reboco</v>
      </c>
      <c r="N1214" s="231">
        <f t="shared" ca="1" si="866"/>
        <v>1</v>
      </c>
      <c r="O1214" s="228" t="str">
        <f t="shared" ca="1" si="860"/>
        <v>Chapisco aplicado em estruturas de concreto, com desempenadeira dentada, de argamassa industrializada</v>
      </c>
      <c r="P1214" s="232" t="str">
        <f>IF(S1214="","",IF(Orçamento!$B1214="INSUMO",S1214,""))</f>
        <v>CHAPISCO COLANTE 20KG</v>
      </c>
      <c r="Q1214" s="244" t="str">
        <f t="shared" si="853"/>
        <v/>
      </c>
      <c r="R1214" s="234">
        <f t="shared" ca="1" si="854"/>
        <v>223.73</v>
      </c>
      <c r="S1214" s="233" t="s">
        <v>1027</v>
      </c>
      <c r="T1214" s="242" t="str">
        <f>_xlfn.XLOOKUP(S1214,Insumos!$A$3:$A$371,Insumos!$B$3:$B$371)</f>
        <v>KG</v>
      </c>
      <c r="U1214" s="235">
        <f ca="1">IF($B1214="insumo",R1214,"")</f>
        <v>223.73</v>
      </c>
      <c r="V1214" s="320">
        <v>4.2</v>
      </c>
      <c r="W1214" s="236">
        <f>IFERROR(IF(B1214="INSUMO",_xlfn.XLOOKUP(S1214,Insumos!A:A,Insumos!C:C),""),"Inserir Preço")</f>
        <v>1.31</v>
      </c>
      <c r="X1214" s="235">
        <f t="shared" ca="1" si="855"/>
        <v>939.66599999999994</v>
      </c>
      <c r="Y1214" s="236">
        <f t="shared" si="851"/>
        <v>5.5020000000000007</v>
      </c>
      <c r="Z1214" s="237">
        <f t="shared" ca="1" si="803"/>
        <v>1230.96246</v>
      </c>
      <c r="AA1214" s="238"/>
      <c r="AB1214" s="233" t="str">
        <f>IF(B1214="insumo",_xlfn.XLOOKUP(S1214,Insumos!A:A,Insumos!D:D),"")</f>
        <v xml:space="preserve"> </v>
      </c>
      <c r="AC1214" s="239">
        <f t="shared" ca="1" si="804"/>
        <v>1.7659278782350697E-4</v>
      </c>
      <c r="AE1214" s="240">
        <f ca="1">IFERROR(IF(OR(Z1214="",Z1214=0),"",IF(AF1214="","",IF(AF1214="R$/mês",Z1214/OBRA!$D$12,IF(AF1214="R$/m²",Z1214/OBRA!$D$10,IF(AF1214="R$/apto",Orçamento!Z1214/OBRA!$D$11,""))))),"")</f>
        <v>0.6334620502977002</v>
      </c>
      <c r="AF1214" s="241" t="s">
        <v>154</v>
      </c>
    </row>
    <row r="1215" spans="1:32" s="10" customFormat="1" ht="13.15" hidden="1" customHeight="1" outlineLevel="4" x14ac:dyDescent="0.2">
      <c r="A1215" s="227"/>
      <c r="B1215" s="228" t="s">
        <v>4</v>
      </c>
      <c r="C1215" s="229">
        <f t="shared" si="801"/>
        <v>5</v>
      </c>
      <c r="D1215" s="227" t="str">
        <f t="shared" ca="1" si="861"/>
        <v>13.001.001.002</v>
      </c>
      <c r="E1215" s="228" t="str">
        <f t="shared" ca="1" si="862"/>
        <v>13.001.001.002</v>
      </c>
      <c r="F1215" s="230">
        <f ca="1">IF($B1215="UNIDADE CONSTRUTIVA",OFFSET(F1215,-1,0)+1,LARGE(F$10:F1214,1))</f>
        <v>2</v>
      </c>
      <c r="G1215" s="228" t="str">
        <f t="shared" ca="1" si="856"/>
        <v xml:space="preserve">   GERENCIAMENTO EXECUTIVO</v>
      </c>
      <c r="H1215" s="230">
        <f t="shared" ca="1" si="863"/>
        <v>13</v>
      </c>
      <c r="I1215" s="228" t="str">
        <f t="shared" ca="1" si="857"/>
        <v xml:space="preserve">   REVESTIMENTOS INTERNOS DE PAREDE</v>
      </c>
      <c r="J1215" s="230">
        <f t="shared" ca="1" si="864"/>
        <v>1</v>
      </c>
      <c r="K1215" s="228" t="str">
        <f t="shared" ca="1" si="858"/>
        <v xml:space="preserve">   REVESTIMENTOS INTERNOS DE PAREDE - 1º PAVIMENTO - SUBSOLO</v>
      </c>
      <c r="L1215" s="231">
        <f t="shared" ca="1" si="865"/>
        <v>1</v>
      </c>
      <c r="M1215" s="228" t="str">
        <f t="shared" ca="1" si="859"/>
        <v xml:space="preserve">   Reboco</v>
      </c>
      <c r="N1215" s="231">
        <f t="shared" ca="1" si="866"/>
        <v>2</v>
      </c>
      <c r="O1215" s="228" t="str">
        <f t="shared" ca="1" si="860"/>
        <v>Chapisco aplicado em alvenarias internas, com colher de pedreiro, de argamassa estabilizada</v>
      </c>
      <c r="P1215" s="232" t="str">
        <f>IF(S1215="","",IF(Orçamento!$B1215="INSUMO",S1215,""))</f>
        <v/>
      </c>
      <c r="Q1215" s="244" t="str">
        <f t="shared" si="853"/>
        <v>Chapisco aplicado em alvenarias internas, com colher de pedreiro, de argamassa estabilizada</v>
      </c>
      <c r="R1215" s="234">
        <f t="shared" ca="1" si="854"/>
        <v>203.57</v>
      </c>
      <c r="S1215" s="233" t="s">
        <v>480</v>
      </c>
      <c r="T1215" s="242" t="s">
        <v>140</v>
      </c>
      <c r="U1215" s="235">
        <v>203.57</v>
      </c>
      <c r="V1215" s="320" t="s">
        <v>35</v>
      </c>
      <c r="W1215" s="236" t="str">
        <f>IFERROR(IF(B1215="INSUMO",_xlfn.XLOOKUP(S1215,Insumos!A:A,Insumos!C:C),""),"Inserir Preço")</f>
        <v/>
      </c>
      <c r="X1215" s="235">
        <f t="shared" ca="1" si="855"/>
        <v>203.57</v>
      </c>
      <c r="Y1215" s="236">
        <f t="shared" ca="1" si="851"/>
        <v>7.93</v>
      </c>
      <c r="Z1215" s="237">
        <f t="shared" ca="1" si="803"/>
        <v>1614.3100999999999</v>
      </c>
      <c r="AA1215" s="238"/>
      <c r="AB1215" s="233" t="str">
        <f>IF(B1215="insumo",_xlfn.XLOOKUP(S1215,Insumos!A:A,Insumos!D:D),"")</f>
        <v/>
      </c>
      <c r="AC1215" s="239">
        <f t="shared" ca="1" si="804"/>
        <v>2.3158750184034397E-4</v>
      </c>
      <c r="AE1215" s="240">
        <f ca="1">IFERROR(IF(OR(Z1215="",Z1215=0),"",IF(AF1215="","",IF(AF1215="R$/mês",Z1215/OBRA!$D$12,IF(AF1215="R$/m²",Z1215/OBRA!$D$10,IF(AF1215="R$/apto",Orçamento!Z1215/OBRA!$D$11,""))))),"")</f>
        <v>0.83073547650046564</v>
      </c>
      <c r="AF1215" s="241" t="s">
        <v>154</v>
      </c>
    </row>
    <row r="1216" spans="1:32" s="10" customFormat="1" ht="13.15" hidden="1" customHeight="1" outlineLevel="4" x14ac:dyDescent="0.2">
      <c r="A1216" s="227"/>
      <c r="B1216" s="228" t="s">
        <v>19</v>
      </c>
      <c r="C1216" s="229">
        <f t="shared" si="801"/>
        <v>6</v>
      </c>
      <c r="D1216" s="227" t="str">
        <f t="shared" si="861"/>
        <v/>
      </c>
      <c r="E1216" s="228" t="str">
        <f t="shared" ca="1" si="862"/>
        <v>13.001.001.002</v>
      </c>
      <c r="F1216" s="230">
        <f ca="1">IF($B1216="UNIDADE CONSTRUTIVA",OFFSET(F1216,-1,0)+1,LARGE(F$10:F1215,1))</f>
        <v>2</v>
      </c>
      <c r="G1216" s="228" t="str">
        <f t="shared" ca="1" si="856"/>
        <v xml:space="preserve">   GERENCIAMENTO EXECUTIVO</v>
      </c>
      <c r="H1216" s="230">
        <f t="shared" ca="1" si="863"/>
        <v>13</v>
      </c>
      <c r="I1216" s="228" t="str">
        <f t="shared" ca="1" si="857"/>
        <v xml:space="preserve">   REVESTIMENTOS INTERNOS DE PAREDE</v>
      </c>
      <c r="J1216" s="230">
        <f t="shared" ca="1" si="864"/>
        <v>1</v>
      </c>
      <c r="K1216" s="228" t="str">
        <f t="shared" ca="1" si="858"/>
        <v xml:space="preserve">   REVESTIMENTOS INTERNOS DE PAREDE - 1º PAVIMENTO - SUBSOLO</v>
      </c>
      <c r="L1216" s="231">
        <f t="shared" ca="1" si="865"/>
        <v>1</v>
      </c>
      <c r="M1216" s="228" t="str">
        <f t="shared" ca="1" si="859"/>
        <v xml:space="preserve">   Reboco</v>
      </c>
      <c r="N1216" s="231">
        <f t="shared" ca="1" si="866"/>
        <v>2</v>
      </c>
      <c r="O1216" s="228" t="str">
        <f t="shared" ca="1" si="860"/>
        <v>Chapisco aplicado em alvenarias internas, com colher de pedreiro, de argamassa estabilizada</v>
      </c>
      <c r="P1216" s="232" t="str">
        <f>IF(S1216="","",IF(Orçamento!$B1216="INSUMO",S1216,""))</f>
        <v>ARGAMASSA ESTABILIZADA PARA CHAPISCO</v>
      </c>
      <c r="Q1216" s="244" t="str">
        <f t="shared" si="853"/>
        <v/>
      </c>
      <c r="R1216" s="234">
        <f t="shared" ca="1" si="854"/>
        <v>203.57</v>
      </c>
      <c r="S1216" s="233" t="s">
        <v>328</v>
      </c>
      <c r="T1216" s="242" t="str">
        <f>_xlfn.XLOOKUP(S1216,Insumos!$A$3:$A$371,Insumos!$B$3:$B$371)</f>
        <v>M3</v>
      </c>
      <c r="U1216" s="235">
        <f ca="1">IF($B1216="insumo",R1216,"")</f>
        <v>203.57</v>
      </c>
      <c r="V1216" s="320">
        <v>1.888095238095238E-2</v>
      </c>
      <c r="W1216" s="236">
        <f>IFERROR(IF(B1216="INSUMO",_xlfn.XLOOKUP(S1216,Insumos!A:A,Insumos!C:C),""),"Inserir Preço")</f>
        <v>420</v>
      </c>
      <c r="X1216" s="235">
        <f t="shared" ca="1" si="855"/>
        <v>3.843595476190476</v>
      </c>
      <c r="Y1216" s="236">
        <f t="shared" si="851"/>
        <v>7.93</v>
      </c>
      <c r="Z1216" s="237">
        <f t="shared" ca="1" si="803"/>
        <v>1614.3100999999999</v>
      </c>
      <c r="AA1216" s="238"/>
      <c r="AB1216" s="233" t="str">
        <f>IF(B1216="insumo",_xlfn.XLOOKUP(S1216,Insumos!A:A,Insumos!D:D),"")</f>
        <v xml:space="preserve"> </v>
      </c>
      <c r="AC1216" s="239">
        <f t="shared" ca="1" si="804"/>
        <v>2.3158750184034397E-4</v>
      </c>
      <c r="AE1216" s="240">
        <f ca="1">IFERROR(IF(OR(Z1216="",Z1216=0),"",IF(AF1216="","",IF(AF1216="R$/mês",Z1216/OBRA!$D$12,IF(AF1216="R$/m²",Z1216/OBRA!$D$10,IF(AF1216="R$/apto",Orçamento!Z1216/OBRA!$D$11,""))))),"")</f>
        <v>0.83073547650046564</v>
      </c>
      <c r="AF1216" s="241" t="s">
        <v>154</v>
      </c>
    </row>
    <row r="1217" spans="1:32" s="10" customFormat="1" ht="13.15" hidden="1" customHeight="1" outlineLevel="4" x14ac:dyDescent="0.2">
      <c r="A1217" s="227"/>
      <c r="B1217" s="228" t="s">
        <v>4</v>
      </c>
      <c r="C1217" s="229">
        <f t="shared" si="801"/>
        <v>5</v>
      </c>
      <c r="D1217" s="227" t="str">
        <f t="shared" ca="1" si="861"/>
        <v>13.001.001.003</v>
      </c>
      <c r="E1217" s="228" t="str">
        <f t="shared" ca="1" si="862"/>
        <v>13.001.001.003</v>
      </c>
      <c r="F1217" s="230">
        <f ca="1">IF($B1217="UNIDADE CONSTRUTIVA",OFFSET(F1217,-1,0)+1,LARGE(F$10:F1216,1))</f>
        <v>2</v>
      </c>
      <c r="G1217" s="228" t="str">
        <f t="shared" ca="1" si="856"/>
        <v xml:space="preserve">   GERENCIAMENTO EXECUTIVO</v>
      </c>
      <c r="H1217" s="230">
        <f t="shared" ca="1" si="863"/>
        <v>13</v>
      </c>
      <c r="I1217" s="228" t="str">
        <f t="shared" ca="1" si="857"/>
        <v xml:space="preserve">   REVESTIMENTOS INTERNOS DE PAREDE</v>
      </c>
      <c r="J1217" s="230">
        <f t="shared" ca="1" si="864"/>
        <v>1</v>
      </c>
      <c r="K1217" s="228" t="str">
        <f t="shared" ca="1" si="858"/>
        <v xml:space="preserve">   REVESTIMENTOS INTERNOS DE PAREDE - 1º PAVIMENTO - SUBSOLO</v>
      </c>
      <c r="L1217" s="231">
        <f t="shared" ca="1" si="865"/>
        <v>1</v>
      </c>
      <c r="M1217" s="228" t="str">
        <f t="shared" ca="1" si="859"/>
        <v xml:space="preserve">   Reboco</v>
      </c>
      <c r="N1217" s="231">
        <f t="shared" ca="1" si="866"/>
        <v>3</v>
      </c>
      <c r="O1217" s="228" t="str">
        <f t="shared" ca="1" si="860"/>
        <v>Massa unica para reboco interno em argamassa estabilizada, espessura de 20mm, com execucao de taliscas</v>
      </c>
      <c r="P1217" s="232" t="str">
        <f>IF(S1217="","",IF(Orçamento!$B1217="INSUMO",S1217,""))</f>
        <v/>
      </c>
      <c r="Q1217" s="244" t="str">
        <f t="shared" si="853"/>
        <v>Massa unica para reboco interno em argamassa estabilizada, espessura de 20mm, com execucao de taliscas</v>
      </c>
      <c r="R1217" s="234">
        <f t="shared" ca="1" si="854"/>
        <v>427.3</v>
      </c>
      <c r="S1217" s="233" t="s">
        <v>481</v>
      </c>
      <c r="T1217" s="242" t="s">
        <v>140</v>
      </c>
      <c r="U1217" s="235">
        <v>427.3</v>
      </c>
      <c r="V1217" s="320" t="s">
        <v>35</v>
      </c>
      <c r="W1217" s="236" t="str">
        <f>IFERROR(IF(B1217="INSUMO",_xlfn.XLOOKUP(S1217,Insumos!A:A,Insumos!C:C),""),"Inserir Preço")</f>
        <v/>
      </c>
      <c r="X1217" s="235">
        <f t="shared" ca="1" si="855"/>
        <v>427.3</v>
      </c>
      <c r="Y1217" s="236">
        <f t="shared" ca="1" si="851"/>
        <v>19.008000000000003</v>
      </c>
      <c r="Z1217" s="237">
        <f t="shared" ca="1" si="803"/>
        <v>8122.1184000000012</v>
      </c>
      <c r="AA1217" s="238"/>
      <c r="AB1217" s="233" t="str">
        <f>IF(B1217="insumo",_xlfn.XLOOKUP(S1217,Insumos!A:A,Insumos!D:D),"")</f>
        <v/>
      </c>
      <c r="AC1217" s="239">
        <f t="shared" ca="1" si="804"/>
        <v>1.1651919354946066E-3</v>
      </c>
      <c r="AE1217" s="240">
        <f ca="1">IFERROR(IF(OR(Z1217="",Z1217=0),"",IF(AF1217="","",IF(AF1217="R$/mês",Z1217/OBRA!$D$12,IF(AF1217="R$/m²",Z1217/OBRA!$D$10,IF(AF1217="R$/apto",Orçamento!Z1217/OBRA!$D$11,""))))),"")</f>
        <v>4.17969998404718</v>
      </c>
      <c r="AF1217" s="241" t="s">
        <v>154</v>
      </c>
    </row>
    <row r="1218" spans="1:32" s="10" customFormat="1" ht="13.15" hidden="1" customHeight="1" outlineLevel="4" x14ac:dyDescent="0.2">
      <c r="A1218" s="227"/>
      <c r="B1218" s="228" t="s">
        <v>19</v>
      </c>
      <c r="C1218" s="229">
        <f t="shared" si="801"/>
        <v>11</v>
      </c>
      <c r="D1218" s="227" t="str">
        <f t="shared" si="861"/>
        <v/>
      </c>
      <c r="E1218" s="228" t="str">
        <f t="shared" ca="1" si="862"/>
        <v>13.001.001.003</v>
      </c>
      <c r="F1218" s="230">
        <f ca="1">IF($B1218="UNIDADE CONSTRUTIVA",OFFSET(F1218,-1,0)+1,LARGE(F$10:F1217,1))</f>
        <v>2</v>
      </c>
      <c r="G1218" s="228" t="str">
        <f t="shared" ca="1" si="856"/>
        <v xml:space="preserve">   GERENCIAMENTO EXECUTIVO</v>
      </c>
      <c r="H1218" s="230">
        <f t="shared" ca="1" si="863"/>
        <v>13</v>
      </c>
      <c r="I1218" s="228" t="str">
        <f t="shared" ca="1" si="857"/>
        <v xml:space="preserve">   REVESTIMENTOS INTERNOS DE PAREDE</v>
      </c>
      <c r="J1218" s="230">
        <f t="shared" ca="1" si="864"/>
        <v>1</v>
      </c>
      <c r="K1218" s="228" t="str">
        <f t="shared" ca="1" si="858"/>
        <v xml:space="preserve">   REVESTIMENTOS INTERNOS DE PAREDE - 1º PAVIMENTO - SUBSOLO</v>
      </c>
      <c r="L1218" s="231">
        <f t="shared" ca="1" si="865"/>
        <v>1</v>
      </c>
      <c r="M1218" s="228" t="str">
        <f t="shared" ca="1" si="859"/>
        <v xml:space="preserve">   Reboco</v>
      </c>
      <c r="N1218" s="231">
        <f t="shared" ca="1" si="866"/>
        <v>3</v>
      </c>
      <c r="O1218" s="228" t="str">
        <f t="shared" ca="1" si="860"/>
        <v>Massa unica para reboco interno em argamassa estabilizada, espessura de 20mm, com execucao de taliscas</v>
      </c>
      <c r="P1218" s="232" t="str">
        <f>IF(S1218="","",IF(Orçamento!$B1218="INSUMO",S1218,""))</f>
        <v>ARGAMASSA ESTABILIZADA PARA REBOCO</v>
      </c>
      <c r="Q1218" s="244" t="str">
        <f t="shared" si="853"/>
        <v/>
      </c>
      <c r="R1218" s="234">
        <f t="shared" ca="1" si="854"/>
        <v>427.3</v>
      </c>
      <c r="S1218" s="233" t="s">
        <v>256</v>
      </c>
      <c r="T1218" s="242" t="str">
        <f>_xlfn.XLOOKUP(S1218,Insumos!$A$3:$A$371,Insumos!$B$3:$B$371)</f>
        <v>M3</v>
      </c>
      <c r="U1218" s="235">
        <f ca="1">IF($B1218="insumo",R1218,"")</f>
        <v>427.3</v>
      </c>
      <c r="V1218" s="320">
        <v>3.9600000000000003E-2</v>
      </c>
      <c r="W1218" s="236">
        <f>IFERROR(IF(B1218="INSUMO",_xlfn.XLOOKUP(S1218,Insumos!A:A,Insumos!C:C),""),"Inserir Preço")</f>
        <v>480</v>
      </c>
      <c r="X1218" s="235">
        <f t="shared" ca="1" si="855"/>
        <v>16.921080000000003</v>
      </c>
      <c r="Y1218" s="236">
        <f t="shared" si="851"/>
        <v>19.008000000000003</v>
      </c>
      <c r="Z1218" s="237">
        <f t="shared" ca="1" si="803"/>
        <v>8122.1184000000012</v>
      </c>
      <c r="AA1218" s="238"/>
      <c r="AB1218" s="233" t="str">
        <f>IF(B1218="insumo",_xlfn.XLOOKUP(S1218,Insumos!A:A,Insumos!D:D),"")</f>
        <v xml:space="preserve"> </v>
      </c>
      <c r="AC1218" s="239">
        <f t="shared" ca="1" si="804"/>
        <v>1.1651919354946066E-3</v>
      </c>
      <c r="AE1218" s="240">
        <f ca="1">IFERROR(IF(OR(Z1218="",Z1218=0),"",IF(AF1218="","",IF(AF1218="R$/mês",Z1218/OBRA!$D$12,IF(AF1218="R$/m²",Z1218/OBRA!$D$10,IF(AF1218="R$/apto",Orçamento!Z1218/OBRA!$D$11,""))))),"")</f>
        <v>4.17969998404718</v>
      </c>
      <c r="AF1218" s="241" t="s">
        <v>154</v>
      </c>
    </row>
    <row r="1219" spans="1:32" s="10" customFormat="1" ht="13.15" hidden="1" customHeight="1" outlineLevel="4" x14ac:dyDescent="0.2">
      <c r="A1219" s="227"/>
      <c r="B1219" s="228" t="s">
        <v>4</v>
      </c>
      <c r="C1219" s="229">
        <f t="shared" si="801"/>
        <v>5</v>
      </c>
      <c r="D1219" s="227" t="str">
        <f t="shared" ca="1" si="861"/>
        <v>13.001.001.004</v>
      </c>
      <c r="E1219" s="228" t="str">
        <f t="shared" ca="1" si="862"/>
        <v>13.001.001.004</v>
      </c>
      <c r="F1219" s="230">
        <f ca="1">IF($B1219="UNIDADE CONSTRUTIVA",OFFSET(F1219,-1,0)+1,LARGE(F$10:F1218,1))</f>
        <v>2</v>
      </c>
      <c r="G1219" s="228" t="str">
        <f t="shared" ca="1" si="856"/>
        <v xml:space="preserve">   GERENCIAMENTO EXECUTIVO</v>
      </c>
      <c r="H1219" s="230">
        <f t="shared" ca="1" si="863"/>
        <v>13</v>
      </c>
      <c r="I1219" s="228" t="str">
        <f t="shared" ca="1" si="857"/>
        <v xml:space="preserve">   REVESTIMENTOS INTERNOS DE PAREDE</v>
      </c>
      <c r="J1219" s="230">
        <f t="shared" ca="1" si="864"/>
        <v>1</v>
      </c>
      <c r="K1219" s="228" t="str">
        <f t="shared" ca="1" si="858"/>
        <v xml:space="preserve">   REVESTIMENTOS INTERNOS DE PAREDE - 1º PAVIMENTO - SUBSOLO</v>
      </c>
      <c r="L1219" s="231">
        <f t="shared" ca="1" si="865"/>
        <v>1</v>
      </c>
      <c r="M1219" s="228" t="str">
        <f t="shared" ca="1" si="859"/>
        <v xml:space="preserve">   Reboco</v>
      </c>
      <c r="N1219" s="231">
        <f t="shared" ca="1" si="866"/>
        <v>4</v>
      </c>
      <c r="O1219" s="228" t="str">
        <f t="shared" ca="1" si="860"/>
        <v>Estucamento de estrutura de concreto em pilares e vigas</v>
      </c>
      <c r="P1219" s="232" t="str">
        <f>IF(S1219="","",IF(Orçamento!$B1219="INSUMO",S1219,""))</f>
        <v/>
      </c>
      <c r="Q1219" s="244" t="str">
        <f t="shared" si="853"/>
        <v>Estucamento de estrutura de concreto em pilares e vigas</v>
      </c>
      <c r="R1219" s="234">
        <f t="shared" ca="1" si="854"/>
        <v>57.36</v>
      </c>
      <c r="S1219" s="233" t="s">
        <v>482</v>
      </c>
      <c r="T1219" s="242" t="s">
        <v>140</v>
      </c>
      <c r="U1219" s="235">
        <v>57.36</v>
      </c>
      <c r="V1219" s="320" t="s">
        <v>35</v>
      </c>
      <c r="W1219" s="236" t="str">
        <f>IFERROR(IF(B1219="INSUMO",_xlfn.XLOOKUP(S1219,Insumos!A:A,Insumos!C:C),""),"Inserir Preço")</f>
        <v/>
      </c>
      <c r="X1219" s="235">
        <f t="shared" ca="1" si="855"/>
        <v>57.36</v>
      </c>
      <c r="Y1219" s="236">
        <f t="shared" ca="1" si="851"/>
        <v>4.0495000000000001</v>
      </c>
      <c r="Z1219" s="237">
        <f t="shared" ca="1" si="803"/>
        <v>232.27932000000001</v>
      </c>
      <c r="AA1219" s="238"/>
      <c r="AB1219" s="233" t="str">
        <f>IF(B1219="insumo",_xlfn.XLOOKUP(S1219,Insumos!A:A,Insumos!D:D),"")</f>
        <v/>
      </c>
      <c r="AC1219" s="239">
        <f t="shared" ca="1" si="804"/>
        <v>3.332258619206672E-5</v>
      </c>
      <c r="AE1219" s="240">
        <f ca="1">IFERROR(IF(OR(Z1219="",Z1219=0),"",IF(AF1219="","",IF(AF1219="R$/mês",Z1219/OBRA!$D$12,IF(AF1219="R$/m²",Z1219/OBRA!$D$10,IF(AF1219="R$/apto",Orçamento!Z1219/OBRA!$D$11,""))))),"")</f>
        <v>0.11953259264214736</v>
      </c>
      <c r="AF1219" s="241" t="s">
        <v>154</v>
      </c>
    </row>
    <row r="1220" spans="1:32" s="10" customFormat="1" ht="13.15" hidden="1" customHeight="1" outlineLevel="4" x14ac:dyDescent="0.2">
      <c r="A1220" s="227"/>
      <c r="B1220" s="228" t="s">
        <v>19</v>
      </c>
      <c r="C1220" s="229">
        <f t="shared" si="801"/>
        <v>13</v>
      </c>
      <c r="D1220" s="227" t="str">
        <f t="shared" si="861"/>
        <v/>
      </c>
      <c r="E1220" s="228" t="str">
        <f t="shared" ca="1" si="862"/>
        <v>13.001.001.004</v>
      </c>
      <c r="F1220" s="230">
        <f ca="1">IF($B1220="UNIDADE CONSTRUTIVA",OFFSET(F1220,-1,0)+1,LARGE(F$10:F1219,1))</f>
        <v>2</v>
      </c>
      <c r="G1220" s="228" t="str">
        <f t="shared" ca="1" si="856"/>
        <v xml:space="preserve">   GERENCIAMENTO EXECUTIVO</v>
      </c>
      <c r="H1220" s="230">
        <f t="shared" ca="1" si="863"/>
        <v>13</v>
      </c>
      <c r="I1220" s="228" t="str">
        <f t="shared" ca="1" si="857"/>
        <v xml:space="preserve">   REVESTIMENTOS INTERNOS DE PAREDE</v>
      </c>
      <c r="J1220" s="230">
        <f t="shared" ca="1" si="864"/>
        <v>1</v>
      </c>
      <c r="K1220" s="228" t="str">
        <f t="shared" ca="1" si="858"/>
        <v xml:space="preserve">   REVESTIMENTOS INTERNOS DE PAREDE - 1º PAVIMENTO - SUBSOLO</v>
      </c>
      <c r="L1220" s="231">
        <f t="shared" ca="1" si="865"/>
        <v>1</v>
      </c>
      <c r="M1220" s="228" t="str">
        <f t="shared" ca="1" si="859"/>
        <v xml:space="preserve">   Reboco</v>
      </c>
      <c r="N1220" s="231">
        <f t="shared" ca="1" si="866"/>
        <v>4</v>
      </c>
      <c r="O1220" s="228" t="str">
        <f t="shared" ca="1" si="860"/>
        <v>Estucamento de estrutura de concreto em pilares e vigas</v>
      </c>
      <c r="P1220" s="232" t="str">
        <f>IF(S1220="","",IF(Orçamento!$B1220="INSUMO",S1220,""))</f>
        <v>CIMENTO PORTLAND CP II 32 - Z</v>
      </c>
      <c r="Q1220" s="244" t="str">
        <f t="shared" si="853"/>
        <v/>
      </c>
      <c r="R1220" s="234">
        <f t="shared" ca="1" si="854"/>
        <v>57.36</v>
      </c>
      <c r="S1220" s="233" t="s">
        <v>343</v>
      </c>
      <c r="T1220" s="242" t="str">
        <f>_xlfn.XLOOKUP(S1220,Insumos!$A$3:$A$371,Insumos!$B$3:$B$371)</f>
        <v>KG</v>
      </c>
      <c r="U1220" s="235">
        <f ca="1">IF($B1220="insumo",R1220,"")</f>
        <v>57.36</v>
      </c>
      <c r="V1220" s="320">
        <v>0.6</v>
      </c>
      <c r="W1220" s="236">
        <f>IFERROR(IF(B1220="INSUMO",_xlfn.XLOOKUP(S1220,Insumos!A:A,Insumos!C:C),""),"Inserir Preço")</f>
        <v>0.74</v>
      </c>
      <c r="X1220" s="235">
        <f t="shared" ca="1" si="855"/>
        <v>34.415999999999997</v>
      </c>
      <c r="Y1220" s="236">
        <f t="shared" si="851"/>
        <v>0.44400000000000001</v>
      </c>
      <c r="Z1220" s="237">
        <f t="shared" ca="1" si="803"/>
        <v>25.467839999999999</v>
      </c>
      <c r="AA1220" s="238"/>
      <c r="AB1220" s="233" t="str">
        <f>IF(B1220="insumo",_xlfn.XLOOKUP(S1220,Insumos!A:A,Insumos!D:D),"")</f>
        <v xml:space="preserve"> </v>
      </c>
      <c r="AC1220" s="239">
        <f t="shared" ca="1" si="804"/>
        <v>3.6535938435060186E-6</v>
      </c>
      <c r="AE1220" s="240">
        <f ca="1">IFERROR(IF(OR(Z1220="",Z1220=0),"",IF(AF1220="","",IF(AF1220="R$/mês",Z1220/OBRA!$D$12,IF(AF1220="R$/m²",Z1220/OBRA!$D$10,IF(AF1220="R$/apto",Orçamento!Z1220/OBRA!$D$11,""))))),"")</f>
        <v>1.3105931876309032E-2</v>
      </c>
      <c r="AF1220" s="241" t="s">
        <v>154</v>
      </c>
    </row>
    <row r="1221" spans="1:32" s="10" customFormat="1" ht="13.15" hidden="1" customHeight="1" outlineLevel="4" x14ac:dyDescent="0.2">
      <c r="A1221" s="227"/>
      <c r="B1221" s="228" t="s">
        <v>19</v>
      </c>
      <c r="C1221" s="229">
        <f t="shared" si="801"/>
        <v>7</v>
      </c>
      <c r="D1221" s="227" t="str">
        <f t="shared" si="861"/>
        <v/>
      </c>
      <c r="E1221" s="228" t="str">
        <f t="shared" ca="1" si="862"/>
        <v>13.001.001.004</v>
      </c>
      <c r="F1221" s="230">
        <f ca="1">IF($B1221="UNIDADE CONSTRUTIVA",OFFSET(F1221,-1,0)+1,LARGE(F$10:F1220,1))</f>
        <v>2</v>
      </c>
      <c r="G1221" s="228" t="str">
        <f t="shared" ca="1" si="856"/>
        <v xml:space="preserve">   GERENCIAMENTO EXECUTIVO</v>
      </c>
      <c r="H1221" s="230">
        <f t="shared" ca="1" si="863"/>
        <v>13</v>
      </c>
      <c r="I1221" s="228" t="str">
        <f t="shared" ca="1" si="857"/>
        <v xml:space="preserve">   REVESTIMENTOS INTERNOS DE PAREDE</v>
      </c>
      <c r="J1221" s="230">
        <f t="shared" ca="1" si="864"/>
        <v>1</v>
      </c>
      <c r="K1221" s="228" t="str">
        <f t="shared" ca="1" si="858"/>
        <v xml:space="preserve">   REVESTIMENTOS INTERNOS DE PAREDE - 1º PAVIMENTO - SUBSOLO</v>
      </c>
      <c r="L1221" s="231">
        <f t="shared" ca="1" si="865"/>
        <v>1</v>
      </c>
      <c r="M1221" s="228" t="str">
        <f t="shared" ca="1" si="859"/>
        <v xml:space="preserve">   Reboco</v>
      </c>
      <c r="N1221" s="231">
        <f t="shared" ca="1" si="866"/>
        <v>4</v>
      </c>
      <c r="O1221" s="228" t="str">
        <f t="shared" ca="1" si="860"/>
        <v>Estucamento de estrutura de concreto em pilares e vigas</v>
      </c>
      <c r="P1221" s="232" t="str">
        <f>IF(S1221="","",IF(Orçamento!$B1221="INSUMO",S1221,""))</f>
        <v>CIMENTO BRANCO</v>
      </c>
      <c r="Q1221" s="244" t="str">
        <f t="shared" si="853"/>
        <v/>
      </c>
      <c r="R1221" s="234">
        <f t="shared" ca="1" si="854"/>
        <v>57.36</v>
      </c>
      <c r="S1221" s="233" t="s">
        <v>379</v>
      </c>
      <c r="T1221" s="242" t="str">
        <f>_xlfn.XLOOKUP(S1221,Insumos!$A$3:$A$371,Insumos!$B$3:$B$371)</f>
        <v>KG</v>
      </c>
      <c r="U1221" s="235">
        <f ca="1">IF($B1221="insumo",R1221,"")</f>
        <v>57.36</v>
      </c>
      <c r="V1221" s="320">
        <v>0.3</v>
      </c>
      <c r="W1221" s="236">
        <f>IFERROR(IF(B1221="INSUMO",_xlfn.XLOOKUP(S1221,Insumos!A:A,Insumos!C:C),""),"Inserir Preço")</f>
        <v>2.64</v>
      </c>
      <c r="X1221" s="235">
        <f t="shared" ca="1" si="855"/>
        <v>17.207999999999998</v>
      </c>
      <c r="Y1221" s="236">
        <f t="shared" si="851"/>
        <v>0.79200000000000004</v>
      </c>
      <c r="Z1221" s="237">
        <f t="shared" ca="1" si="803"/>
        <v>45.429119999999998</v>
      </c>
      <c r="AA1221" s="238"/>
      <c r="AB1221" s="233" t="str">
        <f>IF(B1221="insumo",_xlfn.XLOOKUP(S1221,Insumos!A:A,Insumos!D:D),"")</f>
        <v xml:space="preserve"> </v>
      </c>
      <c r="AC1221" s="239">
        <f t="shared" ca="1" si="804"/>
        <v>6.5172214505783038E-6</v>
      </c>
      <c r="AE1221" s="240">
        <f ca="1">IFERROR(IF(OR(Z1221="",Z1221=0),"",IF(AF1221="","",IF(AF1221="R$/mês",Z1221/OBRA!$D$12,IF(AF1221="R$/m²",Z1221/OBRA!$D$10,IF(AF1221="R$/apto",Orçamento!Z1221/OBRA!$D$11,""))))),"")</f>
        <v>2.3378148752335029E-2</v>
      </c>
      <c r="AF1221" s="241" t="s">
        <v>154</v>
      </c>
    </row>
    <row r="1222" spans="1:32" s="10" customFormat="1" ht="13.15" hidden="1" customHeight="1" outlineLevel="4" x14ac:dyDescent="0.2">
      <c r="A1222" s="227"/>
      <c r="B1222" s="228" t="s">
        <v>19</v>
      </c>
      <c r="C1222" s="229">
        <f t="shared" si="801"/>
        <v>19</v>
      </c>
      <c r="D1222" s="227" t="str">
        <f t="shared" si="861"/>
        <v/>
      </c>
      <c r="E1222" s="228" t="str">
        <f t="shared" ca="1" si="862"/>
        <v>13.001.001.004</v>
      </c>
      <c r="F1222" s="230">
        <f ca="1">IF($B1222="UNIDADE CONSTRUTIVA",OFFSET(F1222,-1,0)+1,LARGE(F$10:F1221,1))</f>
        <v>2</v>
      </c>
      <c r="G1222" s="228" t="str">
        <f t="shared" ca="1" si="856"/>
        <v xml:space="preserve">   GERENCIAMENTO EXECUTIVO</v>
      </c>
      <c r="H1222" s="230">
        <f t="shared" ca="1" si="863"/>
        <v>13</v>
      </c>
      <c r="I1222" s="228" t="str">
        <f t="shared" ca="1" si="857"/>
        <v xml:space="preserve">   REVESTIMENTOS INTERNOS DE PAREDE</v>
      </c>
      <c r="J1222" s="230">
        <f t="shared" ca="1" si="864"/>
        <v>1</v>
      </c>
      <c r="K1222" s="228" t="str">
        <f t="shared" ca="1" si="858"/>
        <v xml:space="preserve">   REVESTIMENTOS INTERNOS DE PAREDE - 1º PAVIMENTO - SUBSOLO</v>
      </c>
      <c r="L1222" s="231">
        <f t="shared" ca="1" si="865"/>
        <v>1</v>
      </c>
      <c r="M1222" s="228" t="str">
        <f t="shared" ca="1" si="859"/>
        <v xml:space="preserve">   Reboco</v>
      </c>
      <c r="N1222" s="231">
        <f t="shared" ca="1" si="866"/>
        <v>4</v>
      </c>
      <c r="O1222" s="228" t="str">
        <f t="shared" ca="1" si="860"/>
        <v>Estucamento de estrutura de concreto em pilares e vigas</v>
      </c>
      <c r="P1222" s="232" t="str">
        <f>IF(S1222="","",IF(Orçamento!$B1222="INSUMO",S1222,""))</f>
        <v>LIXA EM FOLHA PARA PAREDE OU MADEIRA N° 120</v>
      </c>
      <c r="Q1222" s="244" t="str">
        <f t="shared" si="853"/>
        <v/>
      </c>
      <c r="R1222" s="234">
        <f t="shared" ca="1" si="854"/>
        <v>57.36</v>
      </c>
      <c r="S1222" s="233" t="s">
        <v>922</v>
      </c>
      <c r="T1222" s="242" t="str">
        <f>_xlfn.XLOOKUP(S1222,Insumos!$A$3:$A$371,Insumos!$B$3:$B$371)</f>
        <v>UN</v>
      </c>
      <c r="U1222" s="235">
        <f ca="1">IF($B1222="insumo",R1222,"")</f>
        <v>57.36</v>
      </c>
      <c r="V1222" s="320">
        <v>0.05</v>
      </c>
      <c r="W1222" s="236">
        <f>IFERROR(IF(B1222="INSUMO",_xlfn.XLOOKUP(S1222,Insumos!A:A,Insumos!C:C),""),"Inserir Preço")</f>
        <v>2.2999999999999998</v>
      </c>
      <c r="X1222" s="235">
        <f t="shared" ca="1" si="855"/>
        <v>2.8680000000000003</v>
      </c>
      <c r="Y1222" s="236">
        <f t="shared" si="851"/>
        <v>0.11499999999999999</v>
      </c>
      <c r="Z1222" s="237">
        <f t="shared" ca="1" si="803"/>
        <v>6.5964</v>
      </c>
      <c r="AA1222" s="238"/>
      <c r="AB1222" s="233" t="str">
        <f>IF(B1222="insumo",_xlfn.XLOOKUP(S1222,Insumos!A:A,Insumos!D:D),"")</f>
        <v xml:space="preserve"> </v>
      </c>
      <c r="AC1222" s="239">
        <f t="shared" ca="1" si="804"/>
        <v>9.4631372072791031E-7</v>
      </c>
      <c r="AE1222" s="240">
        <f ca="1">IFERROR(IF(OR(Z1222="",Z1222=0),"",IF(AF1222="","",IF(AF1222="R$/mês",Z1222/OBRA!$D$12,IF(AF1222="R$/m²",Z1222/OBRA!$D$10,IF(AF1222="R$/apto",Orçamento!Z1222/OBRA!$D$11,""))))),"")</f>
        <v>3.3945544274223845E-3</v>
      </c>
      <c r="AF1222" s="241" t="s">
        <v>154</v>
      </c>
    </row>
    <row r="1223" spans="1:32" s="10" customFormat="1" ht="13.15" hidden="1" customHeight="1" outlineLevel="4" x14ac:dyDescent="0.2">
      <c r="A1223" s="227"/>
      <c r="B1223" s="228" t="s">
        <v>19</v>
      </c>
      <c r="C1223" s="229">
        <f t="shared" si="801"/>
        <v>7</v>
      </c>
      <c r="D1223" s="227" t="str">
        <f t="shared" si="861"/>
        <v/>
      </c>
      <c r="E1223" s="228" t="str">
        <f t="shared" ca="1" si="862"/>
        <v>13.001.001.004</v>
      </c>
      <c r="F1223" s="230">
        <f ca="1">IF($B1223="UNIDADE CONSTRUTIVA",OFFSET(F1223,-1,0)+1,LARGE(F$10:F1222,1))</f>
        <v>2</v>
      </c>
      <c r="G1223" s="228" t="str">
        <f t="shared" ca="1" si="856"/>
        <v xml:space="preserve">   GERENCIAMENTO EXECUTIVO</v>
      </c>
      <c r="H1223" s="230">
        <f t="shared" ca="1" si="863"/>
        <v>13</v>
      </c>
      <c r="I1223" s="228" t="str">
        <f t="shared" ca="1" si="857"/>
        <v xml:space="preserve">   REVESTIMENTOS INTERNOS DE PAREDE</v>
      </c>
      <c r="J1223" s="230">
        <f t="shared" ca="1" si="864"/>
        <v>1</v>
      </c>
      <c r="K1223" s="228" t="str">
        <f t="shared" ca="1" si="858"/>
        <v xml:space="preserve">   REVESTIMENTOS INTERNOS DE PAREDE - 1º PAVIMENTO - SUBSOLO</v>
      </c>
      <c r="L1223" s="231">
        <f t="shared" ca="1" si="865"/>
        <v>1</v>
      </c>
      <c r="M1223" s="228" t="str">
        <f t="shared" ca="1" si="859"/>
        <v xml:space="preserve">   Reboco</v>
      </c>
      <c r="N1223" s="231">
        <f t="shared" ca="1" si="866"/>
        <v>4</v>
      </c>
      <c r="O1223" s="228" t="str">
        <f t="shared" ca="1" si="860"/>
        <v>Estucamento de estrutura de concreto em pilares e vigas</v>
      </c>
      <c r="P1223" s="232" t="str">
        <f>IF(S1223="","",IF(Orçamento!$B1223="INSUMO",S1223,""))</f>
        <v>ADESIVO DE BASE ACRILICA COMPATIVEL COM CIMENTO</v>
      </c>
      <c r="Q1223" s="244" t="str">
        <f t="shared" si="853"/>
        <v/>
      </c>
      <c r="R1223" s="234">
        <f t="shared" ca="1" si="854"/>
        <v>57.36</v>
      </c>
      <c r="S1223" s="233" t="s">
        <v>355</v>
      </c>
      <c r="T1223" s="242" t="str">
        <f>_xlfn.XLOOKUP(S1223,Insumos!$A$3:$A$371,Insumos!$B$3:$B$371)</f>
        <v>KG</v>
      </c>
      <c r="U1223" s="235">
        <f ca="1">IF($B1223="insumo",R1223,"")</f>
        <v>57.36</v>
      </c>
      <c r="V1223" s="320">
        <v>0.15</v>
      </c>
      <c r="W1223" s="236">
        <f>IFERROR(IF(B1223="INSUMO",_xlfn.XLOOKUP(S1223,Insumos!A:A,Insumos!C:C),""),"Inserir Preço")</f>
        <v>17.990000000000002</v>
      </c>
      <c r="X1223" s="235">
        <f t="shared" ca="1" si="855"/>
        <v>8.6039999999999992</v>
      </c>
      <c r="Y1223" s="236">
        <f t="shared" si="851"/>
        <v>2.6985000000000001</v>
      </c>
      <c r="Z1223" s="237">
        <f t="shared" ca="1" si="803"/>
        <v>154.78595999999999</v>
      </c>
      <c r="AA1223" s="238"/>
      <c r="AB1223" s="233" t="str">
        <f>IF(B1223="insumo",_xlfn.XLOOKUP(S1223,Insumos!A:A,Insumos!D:D),"")</f>
        <v xml:space="preserve"> </v>
      </c>
      <c r="AC1223" s="239">
        <f t="shared" ca="1" si="804"/>
        <v>2.2205457177254484E-5</v>
      </c>
      <c r="AE1223" s="240">
        <f ca="1">IFERROR(IF(OR(Z1223="",Z1223=0),"",IF(AF1223="","",IF(AF1223="R$/mês",Z1223/OBRA!$D$12,IF(AF1223="R$/m²",Z1223/OBRA!$D$10,IF(AF1223="R$/apto",Orçamento!Z1223/OBRA!$D$11,""))))),"")</f>
        <v>7.9653957586080903E-2</v>
      </c>
      <c r="AF1223" s="241" t="s">
        <v>154</v>
      </c>
    </row>
    <row r="1224" spans="1:32" s="10" customFormat="1" ht="13.15" hidden="1" customHeight="1" outlineLevel="3" collapsed="1" x14ac:dyDescent="0.2">
      <c r="A1224" s="227"/>
      <c r="B1224" s="228" t="s">
        <v>3</v>
      </c>
      <c r="C1224" s="229" t="str">
        <f t="shared" si="801"/>
        <v/>
      </c>
      <c r="D1224" s="227" t="str">
        <f t="shared" ca="1" si="861"/>
        <v>13.001.002</v>
      </c>
      <c r="E1224" s="228" t="str">
        <f t="shared" ca="1" si="862"/>
        <v>13.001.001.004</v>
      </c>
      <c r="F1224" s="230">
        <f ca="1">IF($B1224="UNIDADE CONSTRUTIVA",OFFSET(F1224,-1,0)+1,LARGE(F$10:F1223,1))</f>
        <v>2</v>
      </c>
      <c r="G1224" s="228" t="str">
        <f t="shared" ref="G1224:G1233" ca="1" si="867">IF(B1224="*","",IF(B1224="UNIDADE CONSTRUTIVA",S1224,OFFSET(G1224,-1,0)))</f>
        <v xml:space="preserve">   GERENCIAMENTO EXECUTIVO</v>
      </c>
      <c r="H1224" s="230">
        <f t="shared" ca="1" si="863"/>
        <v>13</v>
      </c>
      <c r="I1224" s="228" t="str">
        <f t="shared" ref="I1224:I1233" ca="1" si="868">IF(B1224="*","",IF(B1224="CÉLULA CONSTRUTIVA",S1224,OFFSET(I1224,-1,0)))</f>
        <v xml:space="preserve">   REVESTIMENTOS INTERNOS DE PAREDE</v>
      </c>
      <c r="J1224" s="230">
        <f t="shared" ca="1" si="864"/>
        <v>1</v>
      </c>
      <c r="K1224" s="228" t="str">
        <f t="shared" ref="K1224:K1233" ca="1" si="869">IF(B1224="*","",IF(B1224="ETAPA",S1224,OFFSET(K1224,-1,0)))</f>
        <v xml:space="preserve">   REVESTIMENTOS INTERNOS DE PAREDE - 1º PAVIMENTO - SUBSOLO</v>
      </c>
      <c r="L1224" s="231">
        <f t="shared" ca="1" si="865"/>
        <v>2</v>
      </c>
      <c r="M1224" s="228" t="str">
        <f t="shared" ref="M1224:M1233" ca="1" si="870">IF(B1224="*","",IF(B1224="SUBETAPA",S1224,OFFSET(M1224,-1,0)))</f>
        <v xml:space="preserve">   Acabamentos Cerâmicos e Porcelanatos</v>
      </c>
      <c r="N1224" s="231">
        <f t="shared" ca="1" si="866"/>
        <v>0</v>
      </c>
      <c r="O1224" s="228" t="str">
        <f t="shared" ref="O1224:O1233" ca="1" si="871">IF(B1224="*","",IF(B1224="SERVIÇO",S1224,OFFSET(O1224,-1,0)))</f>
        <v>Estucamento de estrutura de concreto em pilares e vigas</v>
      </c>
      <c r="P1224" s="232" t="str">
        <f>IF(S1224="","",IF(Orçamento!$B1224="INSUMO",S1224,""))</f>
        <v/>
      </c>
      <c r="Q1224" s="244" t="str">
        <f t="shared" si="853"/>
        <v/>
      </c>
      <c r="R1224" s="234">
        <f t="shared" ref="R1224:R1233" ca="1" si="872">IF(B1224="serviço",U1224,OFFSET(R1224,-1,0))</f>
        <v>57.36</v>
      </c>
      <c r="S1224" s="233" t="s">
        <v>731</v>
      </c>
      <c r="T1224" s="242" t="s">
        <v>35</v>
      </c>
      <c r="U1224" s="235" t="str">
        <f>IF($B1224="insumo",R1224,"")</f>
        <v/>
      </c>
      <c r="V1224" s="320" t="s">
        <v>35</v>
      </c>
      <c r="W1224" s="236" t="str">
        <f>IFERROR(IF(B1224="INSUMO",_xlfn.XLOOKUP(S1224,Insumos!A:A,Insumos!C:C),""),"Inserir Preço")</f>
        <v/>
      </c>
      <c r="X1224" s="235" t="str">
        <f t="shared" ref="X1224:X1233" ca="1" si="873">IF(B1224="Complemento do insumo",V1224,IF(R1224="","",IF(B1224="serviço",R1224,IF(OR(B1224="insumo"),V1224*R1224,""))))</f>
        <v/>
      </c>
      <c r="Y1224" s="236" t="str">
        <f t="shared" si="851"/>
        <v/>
      </c>
      <c r="Z1224" s="237">
        <f t="shared" ca="1" si="803"/>
        <v>2161.6074999999996</v>
      </c>
      <c r="AA1224" s="238"/>
      <c r="AB1224" s="233" t="str">
        <f>IF(B1224="insumo",_xlfn.XLOOKUP(S1224,Insumos!A:A,Insumos!D:D),"")</f>
        <v/>
      </c>
      <c r="AC1224" s="239">
        <f t="shared" ca="1" si="804"/>
        <v>3.1010230369267418E-4</v>
      </c>
      <c r="AE1224" s="240">
        <f ca="1">IFERROR(IF(OR(Z1224="",Z1224=0),"",IF(AF1224="","",IF(AF1224="R$/mês",Z1224/OBRA!$D$12,IF(AF1224="R$/m²",Z1224/OBRA!$D$10,IF(AF1224="R$/apto",Orçamento!Z1224/OBRA!$D$11,""))))),"")</f>
        <v>1.1123786170448169</v>
      </c>
      <c r="AF1224" s="241" t="s">
        <v>154</v>
      </c>
    </row>
    <row r="1225" spans="1:32" s="10" customFormat="1" ht="13.15" hidden="1" customHeight="1" outlineLevel="4" x14ac:dyDescent="0.2">
      <c r="A1225" s="227"/>
      <c r="B1225" s="228" t="s">
        <v>4</v>
      </c>
      <c r="C1225" s="229">
        <f t="shared" si="801"/>
        <v>3</v>
      </c>
      <c r="D1225" s="227" t="str">
        <f t="shared" ca="1" si="861"/>
        <v>13.001.002.001</v>
      </c>
      <c r="E1225" s="228" t="str">
        <f t="shared" ca="1" si="862"/>
        <v>13.001.002.001</v>
      </c>
      <c r="F1225" s="230">
        <f ca="1">IF($B1225="UNIDADE CONSTRUTIVA",OFFSET(F1225,-1,0)+1,LARGE(F$10:F1224,1))</f>
        <v>2</v>
      </c>
      <c r="G1225" s="228" t="str">
        <f t="shared" ca="1" si="867"/>
        <v xml:space="preserve">   GERENCIAMENTO EXECUTIVO</v>
      </c>
      <c r="H1225" s="230">
        <f t="shared" ca="1" si="863"/>
        <v>13</v>
      </c>
      <c r="I1225" s="228" t="str">
        <f t="shared" ca="1" si="868"/>
        <v xml:space="preserve">   REVESTIMENTOS INTERNOS DE PAREDE</v>
      </c>
      <c r="J1225" s="230">
        <f t="shared" ca="1" si="864"/>
        <v>1</v>
      </c>
      <c r="K1225" s="228" t="str">
        <f t="shared" ca="1" si="869"/>
        <v xml:space="preserve">   REVESTIMENTOS INTERNOS DE PAREDE - 1º PAVIMENTO - SUBSOLO</v>
      </c>
      <c r="L1225" s="231">
        <f t="shared" ca="1" si="865"/>
        <v>2</v>
      </c>
      <c r="M1225" s="228" t="str">
        <f t="shared" ca="1" si="870"/>
        <v xml:space="preserve">   Acabamentos Cerâmicos e Porcelanatos</v>
      </c>
      <c r="N1225" s="231">
        <f t="shared" ca="1" si="866"/>
        <v>1</v>
      </c>
      <c r="O1225" s="228" t="str">
        <f t="shared" ca="1" si="871"/>
        <v>Revestimento em Cerâmica 60x60cm interno</v>
      </c>
      <c r="P1225" s="232" t="str">
        <f>IF(S1225="","",IF(Orçamento!$B1225="INSUMO",S1225,""))</f>
        <v/>
      </c>
      <c r="Q1225" s="244" t="str">
        <f t="shared" si="853"/>
        <v>Revestimento em Cerâmica 60x60cm interno</v>
      </c>
      <c r="R1225" s="234">
        <f t="shared" ca="1" si="872"/>
        <v>32.5</v>
      </c>
      <c r="S1225" s="233" t="s">
        <v>732</v>
      </c>
      <c r="T1225" s="242" t="s">
        <v>140</v>
      </c>
      <c r="U1225" s="235">
        <v>32.5</v>
      </c>
      <c r="V1225" s="320" t="s">
        <v>35</v>
      </c>
      <c r="W1225" s="236" t="str">
        <f>IFERROR(IF(B1225="INSUMO",_xlfn.XLOOKUP(S1225,Insumos!A:A,Insumos!C:C),""),"Inserir Preço")</f>
        <v/>
      </c>
      <c r="X1225" s="235">
        <f t="shared" ca="1" si="873"/>
        <v>32.5</v>
      </c>
      <c r="Y1225" s="236">
        <f t="shared" ca="1" si="851"/>
        <v>66.510999999999981</v>
      </c>
      <c r="Z1225" s="237">
        <f t="shared" ca="1" si="803"/>
        <v>2161.6074999999996</v>
      </c>
      <c r="AA1225" s="238"/>
      <c r="AB1225" s="233" t="str">
        <f>IF(B1225="insumo",_xlfn.XLOOKUP(S1225,Insumos!A:A,Insumos!D:D),"")</f>
        <v/>
      </c>
      <c r="AC1225" s="239">
        <f t="shared" ca="1" si="804"/>
        <v>3.1010230369267418E-4</v>
      </c>
      <c r="AE1225" s="240">
        <f ca="1">IFERROR(IF(OR(Z1225="",Z1225=0),"",IF(AF1225="","",IF(AF1225="R$/mês",Z1225/OBRA!$D$12,IF(AF1225="R$/m²",Z1225/OBRA!$D$10,IF(AF1225="R$/apto",Orçamento!Z1225/OBRA!$D$11,""))))),"")</f>
        <v>1.1123786170448169</v>
      </c>
      <c r="AF1225" s="241" t="s">
        <v>154</v>
      </c>
    </row>
    <row r="1226" spans="1:32" s="10" customFormat="1" ht="13.15" hidden="1" customHeight="1" outlineLevel="4" x14ac:dyDescent="0.2">
      <c r="A1226" s="227"/>
      <c r="B1226" s="228" t="s">
        <v>19</v>
      </c>
      <c r="C1226" s="229">
        <f t="shared" si="801"/>
        <v>13</v>
      </c>
      <c r="D1226" s="227" t="str">
        <f t="shared" si="861"/>
        <v/>
      </c>
      <c r="E1226" s="228" t="str">
        <f t="shared" ca="1" si="862"/>
        <v>13.001.002.001</v>
      </c>
      <c r="F1226" s="230">
        <f ca="1">IF($B1226="UNIDADE CONSTRUTIVA",OFFSET(F1226,-1,0)+1,LARGE(F$10:F1225,1))</f>
        <v>2</v>
      </c>
      <c r="G1226" s="228" t="str">
        <f t="shared" ca="1" si="867"/>
        <v xml:space="preserve">   GERENCIAMENTO EXECUTIVO</v>
      </c>
      <c r="H1226" s="230">
        <f t="shared" ca="1" si="863"/>
        <v>13</v>
      </c>
      <c r="I1226" s="228" t="str">
        <f t="shared" ca="1" si="868"/>
        <v xml:space="preserve">   REVESTIMENTOS INTERNOS DE PAREDE</v>
      </c>
      <c r="J1226" s="230">
        <f t="shared" ca="1" si="864"/>
        <v>1</v>
      </c>
      <c r="K1226" s="228" t="str">
        <f t="shared" ca="1" si="869"/>
        <v xml:space="preserve">   REVESTIMENTOS INTERNOS DE PAREDE - 1º PAVIMENTO - SUBSOLO</v>
      </c>
      <c r="L1226" s="231">
        <f t="shared" ca="1" si="865"/>
        <v>2</v>
      </c>
      <c r="M1226" s="228" t="str">
        <f t="shared" ca="1" si="870"/>
        <v xml:space="preserve">   Acabamentos Cerâmicos e Porcelanatos</v>
      </c>
      <c r="N1226" s="231">
        <f t="shared" ca="1" si="866"/>
        <v>1</v>
      </c>
      <c r="O1226" s="228" t="str">
        <f t="shared" ca="1" si="871"/>
        <v>Revestimento em Cerâmica 60x60cm interno</v>
      </c>
      <c r="P1226" s="232" t="str">
        <f>IF(S1226="","",IF(Orçamento!$B1226="INSUMO",S1226,""))</f>
        <v>REVESTIMENTO - HANGAR CHICAGO 60X60 NAT BOLD</v>
      </c>
      <c r="Q1226" s="244" t="str">
        <f t="shared" si="853"/>
        <v/>
      </c>
      <c r="R1226" s="234">
        <f t="shared" ca="1" si="872"/>
        <v>32.5</v>
      </c>
      <c r="S1226" s="233" t="s">
        <v>912</v>
      </c>
      <c r="T1226" s="242" t="str">
        <f>_xlfn.XLOOKUP(S1226,Insumos!$A$3:$A$371,Insumos!$B$3:$B$371)</f>
        <v>M2</v>
      </c>
      <c r="U1226" s="235">
        <f ca="1">IF($B1226="insumo",R1226,"")</f>
        <v>32.5</v>
      </c>
      <c r="V1226" s="320">
        <v>1.1499999999999999</v>
      </c>
      <c r="W1226" s="236">
        <f>IFERROR(IF(B1226="INSUMO",_xlfn.XLOOKUP(S1226,Insumos!A:A,Insumos!C:C),""),"Inserir Preço")</f>
        <v>45.19</v>
      </c>
      <c r="X1226" s="235">
        <f t="shared" ca="1" si="873"/>
        <v>37.375</v>
      </c>
      <c r="Y1226" s="236">
        <f t="shared" si="851"/>
        <v>51.968499999999992</v>
      </c>
      <c r="Z1226" s="237">
        <f t="shared" ca="1" si="803"/>
        <v>1688.9762499999999</v>
      </c>
      <c r="AA1226" s="238"/>
      <c r="AB1226" s="233" t="str">
        <f>IF(B1226="insumo",_xlfn.XLOOKUP(S1226,Insumos!A:A,Insumos!D:D),"")</f>
        <v>Portobelo</v>
      </c>
      <c r="AC1226" s="239">
        <f t="shared" ca="1" si="804"/>
        <v>2.4229904180440439E-4</v>
      </c>
      <c r="AE1226" s="240">
        <f ca="1">IFERROR(IF(OR(Z1226="",Z1226=0),"",IF(AF1226="","",IF(AF1226="R$/mês",Z1226/OBRA!$D$12,IF(AF1226="R$/m²",Z1226/OBRA!$D$10,IF(AF1226="R$/apto",Orçamento!Z1226/OBRA!$D$11,""))))),"")</f>
        <v>0.86915920915177303</v>
      </c>
      <c r="AF1226" s="241" t="s">
        <v>154</v>
      </c>
    </row>
    <row r="1227" spans="1:32" s="10" customFormat="1" ht="13.15" hidden="1" customHeight="1" outlineLevel="4" x14ac:dyDescent="0.2">
      <c r="A1227" s="227"/>
      <c r="B1227" s="228" t="s">
        <v>19</v>
      </c>
      <c r="C1227" s="229">
        <f t="shared" si="801"/>
        <v>16</v>
      </c>
      <c r="D1227" s="227" t="str">
        <f t="shared" si="861"/>
        <v/>
      </c>
      <c r="E1227" s="228" t="str">
        <f t="shared" ca="1" si="862"/>
        <v>13.001.002.001</v>
      </c>
      <c r="F1227" s="230">
        <f ca="1">IF($B1227="UNIDADE CONSTRUTIVA",OFFSET(F1227,-1,0)+1,LARGE(F$10:F1226,1))</f>
        <v>2</v>
      </c>
      <c r="G1227" s="228" t="str">
        <f t="shared" ca="1" si="867"/>
        <v xml:space="preserve">   GERENCIAMENTO EXECUTIVO</v>
      </c>
      <c r="H1227" s="230">
        <f t="shared" ca="1" si="863"/>
        <v>13</v>
      </c>
      <c r="I1227" s="228" t="str">
        <f t="shared" ca="1" si="868"/>
        <v xml:space="preserve">   REVESTIMENTOS INTERNOS DE PAREDE</v>
      </c>
      <c r="J1227" s="230">
        <f t="shared" ca="1" si="864"/>
        <v>1</v>
      </c>
      <c r="K1227" s="228" t="str">
        <f t="shared" ca="1" si="869"/>
        <v xml:space="preserve">   REVESTIMENTOS INTERNOS DE PAREDE - 1º PAVIMENTO - SUBSOLO</v>
      </c>
      <c r="L1227" s="231">
        <f t="shared" ca="1" si="865"/>
        <v>2</v>
      </c>
      <c r="M1227" s="228" t="str">
        <f t="shared" ca="1" si="870"/>
        <v xml:space="preserve">   Acabamentos Cerâmicos e Porcelanatos</v>
      </c>
      <c r="N1227" s="231">
        <f t="shared" ca="1" si="866"/>
        <v>1</v>
      </c>
      <c r="O1227" s="228" t="str">
        <f t="shared" ca="1" si="871"/>
        <v>Revestimento em Cerâmica 60x60cm interno</v>
      </c>
      <c r="P1227" s="232" t="str">
        <f>IF(S1227="","",IF(Orçamento!$B1227="INSUMO",S1227,""))</f>
        <v>ARGAMASSA COLANTE AC III</v>
      </c>
      <c r="Q1227" s="244" t="str">
        <f t="shared" si="853"/>
        <v/>
      </c>
      <c r="R1227" s="234">
        <f t="shared" ca="1" si="872"/>
        <v>32.5</v>
      </c>
      <c r="S1227" s="233" t="s">
        <v>357</v>
      </c>
      <c r="T1227" s="242" t="str">
        <f>_xlfn.XLOOKUP(S1227,Insumos!$A$3:$A$371,Insumos!$B$3:$B$371)</f>
        <v>KG</v>
      </c>
      <c r="U1227" s="235">
        <f ca="1">IF($B1227="insumo",R1227,"")</f>
        <v>32.5</v>
      </c>
      <c r="V1227" s="320">
        <v>12.5</v>
      </c>
      <c r="W1227" s="236">
        <f>IFERROR(IF(B1227="INSUMO",_xlfn.XLOOKUP(S1227,Insumos!A:A,Insumos!C:C),""),"Inserir Preço")</f>
        <v>0.92500000000000004</v>
      </c>
      <c r="X1227" s="235">
        <f t="shared" ca="1" si="873"/>
        <v>406.25</v>
      </c>
      <c r="Y1227" s="236">
        <f t="shared" si="851"/>
        <v>11.5625</v>
      </c>
      <c r="Z1227" s="237">
        <f t="shared" ca="1" si="803"/>
        <v>375.78125</v>
      </c>
      <c r="AA1227" s="238"/>
      <c r="AB1227" s="233" t="str">
        <f>IF(B1227="insumo",_xlfn.XLOOKUP(S1227,Insumos!A:A,Insumos!D:D),"")</f>
        <v>Argabrus</v>
      </c>
      <c r="AC1227" s="239">
        <f t="shared" ca="1" si="804"/>
        <v>5.3909246387011862E-5</v>
      </c>
      <c r="AE1227" s="240">
        <f ca="1">IFERROR(IF(OR(Z1227="",Z1227=0),"",IF(AF1227="","",IF(AF1227="R$/mês",Z1227/OBRA!$D$12,IF(AF1227="R$/m²",Z1227/OBRA!$D$10,IF(AF1227="R$/apto",Orçamento!Z1227/OBRA!$D$11,""))))),"")</f>
        <v>0.19337970801191831</v>
      </c>
      <c r="AF1227" s="241" t="s">
        <v>154</v>
      </c>
    </row>
    <row r="1228" spans="1:32" s="10" customFormat="1" ht="13.15" hidden="1" customHeight="1" outlineLevel="4" x14ac:dyDescent="0.2">
      <c r="A1228" s="227"/>
      <c r="B1228" s="228" t="s">
        <v>19</v>
      </c>
      <c r="C1228" s="229">
        <f t="shared" ref="C1228:C1291" si="874">IF(B1228="INSUMO",COUNTIFS(B:B,"INSUMO",S:S,S1228),IF(B1228="SERVIÇO",COUNTIFS(B:B,"SERVIÇO",S:S,S1228),""))</f>
        <v>32</v>
      </c>
      <c r="D1228" s="227" t="str">
        <f t="shared" si="861"/>
        <v/>
      </c>
      <c r="E1228" s="228" t="str">
        <f t="shared" ca="1" si="862"/>
        <v>13.001.002.001</v>
      </c>
      <c r="F1228" s="230">
        <f ca="1">IF($B1228="UNIDADE CONSTRUTIVA",OFFSET(F1228,-1,0)+1,LARGE(F$10:F1227,1))</f>
        <v>2</v>
      </c>
      <c r="G1228" s="228" t="str">
        <f t="shared" ca="1" si="867"/>
        <v xml:space="preserve">   GERENCIAMENTO EXECUTIVO</v>
      </c>
      <c r="H1228" s="230">
        <f t="shared" ca="1" si="863"/>
        <v>13</v>
      </c>
      <c r="I1228" s="228" t="str">
        <f t="shared" ca="1" si="868"/>
        <v xml:space="preserve">   REVESTIMENTOS INTERNOS DE PAREDE</v>
      </c>
      <c r="J1228" s="230">
        <f t="shared" ca="1" si="864"/>
        <v>1</v>
      </c>
      <c r="K1228" s="228" t="str">
        <f t="shared" ca="1" si="869"/>
        <v xml:space="preserve">   REVESTIMENTOS INTERNOS DE PAREDE - 1º PAVIMENTO - SUBSOLO</v>
      </c>
      <c r="L1228" s="231">
        <f t="shared" ca="1" si="865"/>
        <v>2</v>
      </c>
      <c r="M1228" s="228" t="str">
        <f t="shared" ca="1" si="870"/>
        <v xml:space="preserve">   Acabamentos Cerâmicos e Porcelanatos</v>
      </c>
      <c r="N1228" s="231">
        <f t="shared" ca="1" si="866"/>
        <v>1</v>
      </c>
      <c r="O1228" s="228" t="str">
        <f t="shared" ca="1" si="871"/>
        <v>Revestimento em Cerâmica 60x60cm interno</v>
      </c>
      <c r="P1228" s="232" t="str">
        <f>IF(S1228="","",IF(Orçamento!$B1228="INSUMO",S1228,""))</f>
        <v>REJUNTE FLEXIVEL CIMENTICIO TIPO II NBR 14992</v>
      </c>
      <c r="Q1228" s="244" t="str">
        <f t="shared" si="853"/>
        <v/>
      </c>
      <c r="R1228" s="234">
        <f t="shared" ca="1" si="872"/>
        <v>32.5</v>
      </c>
      <c r="S1228" s="233" t="s">
        <v>734</v>
      </c>
      <c r="T1228" s="242" t="str">
        <f>_xlfn.XLOOKUP(S1228,Insumos!$A$3:$A$371,Insumos!$B$3:$B$371)</f>
        <v>KG</v>
      </c>
      <c r="U1228" s="235">
        <f ca="1">IF($B1228="insumo",R1228,"")</f>
        <v>32.5</v>
      </c>
      <c r="V1228" s="320">
        <v>0.5</v>
      </c>
      <c r="W1228" s="236">
        <f>IFERROR(IF(B1228="INSUMO",_xlfn.XLOOKUP(S1228,Insumos!A:A,Insumos!C:C),""),"Inserir Preço")</f>
        <v>4.2</v>
      </c>
      <c r="X1228" s="235">
        <f t="shared" ca="1" si="873"/>
        <v>16.25</v>
      </c>
      <c r="Y1228" s="236">
        <f t="shared" si="851"/>
        <v>2.1</v>
      </c>
      <c r="Z1228" s="237">
        <f t="shared" ref="Z1228:Z1291" ca="1" si="875">IFERROR(IF(B1228="Unidade Construtiva",SUMIFS(Z:Z,B:B,"Célula Construtiva",G:G,G1228),IF(B1228="célula construtiva",SUMIFS(Z:Z,B:B,"Insumo",I:I,I1228,G:G,G1228),IF(B1228="ETAPA",SUMIFS(Z:Z,B:B,"Insumo",K:K,K1228,I:I,I1228,G:G,G1228),IF(B1228="subetapa",SUMIFS(Z:Z,M:M,M1228,B:B,"insumo",K:K,K1228,I:I,I1228,G:G,G1228),IF(B1228="complemento do insumo",V1228*W1228,IF(B1228="INSUMO",R1228*V1228*W1228,X1228*Y1228)))))),"")</f>
        <v>68.25</v>
      </c>
      <c r="AA1228" s="238"/>
      <c r="AB1228" s="233" t="str">
        <f>IF(B1228="insumo",_xlfn.XLOOKUP(S1228,Insumos!A:A,Insumos!D:D),"")</f>
        <v>Distribuidora Sika</v>
      </c>
      <c r="AC1228" s="239">
        <f t="shared" ref="AC1228:AC1291" ca="1" si="876">IFERROR(IF(B1228="","",Z1228/SUMIF(B:B,"INSUMO",Z:Z)),0)</f>
        <v>9.7910847492086409E-6</v>
      </c>
      <c r="AE1228" s="240">
        <f ca="1">IFERROR(IF(OR(Z1228="",Z1228=0),"",IF(AF1228="","",IF(AF1228="R$/mês",Z1228/OBRA!$D$12,IF(AF1228="R$/m²",Z1228/OBRA!$D$10,IF(AF1228="R$/apto",Orçamento!Z1228/OBRA!$D$11,""))))),"")</f>
        <v>3.5121936157840296E-2</v>
      </c>
      <c r="AF1228" s="241" t="s">
        <v>154</v>
      </c>
    </row>
    <row r="1229" spans="1:32" s="10" customFormat="1" ht="13.15" hidden="1" customHeight="1" outlineLevel="4" x14ac:dyDescent="0.2">
      <c r="A1229" s="227"/>
      <c r="B1229" s="228" t="s">
        <v>19</v>
      </c>
      <c r="C1229" s="229">
        <f t="shared" si="874"/>
        <v>15</v>
      </c>
      <c r="D1229" s="227" t="str">
        <f t="shared" si="861"/>
        <v/>
      </c>
      <c r="E1229" s="228" t="str">
        <f t="shared" ca="1" si="862"/>
        <v>13.001.002.001</v>
      </c>
      <c r="F1229" s="230">
        <f ca="1">IF($B1229="UNIDADE CONSTRUTIVA",OFFSET(F1229,-1,0)+1,LARGE(F$10:F1228,1))</f>
        <v>2</v>
      </c>
      <c r="G1229" s="228" t="str">
        <f t="shared" ca="1" si="867"/>
        <v xml:space="preserve">   GERENCIAMENTO EXECUTIVO</v>
      </c>
      <c r="H1229" s="230">
        <f t="shared" ca="1" si="863"/>
        <v>13</v>
      </c>
      <c r="I1229" s="228" t="str">
        <f t="shared" ca="1" si="868"/>
        <v xml:space="preserve">   REVESTIMENTOS INTERNOS DE PAREDE</v>
      </c>
      <c r="J1229" s="230">
        <f t="shared" ca="1" si="864"/>
        <v>1</v>
      </c>
      <c r="K1229" s="228" t="str">
        <f t="shared" ca="1" si="869"/>
        <v xml:space="preserve">   REVESTIMENTOS INTERNOS DE PAREDE - 1º PAVIMENTO - SUBSOLO</v>
      </c>
      <c r="L1229" s="231">
        <f t="shared" ca="1" si="865"/>
        <v>2</v>
      </c>
      <c r="M1229" s="228" t="str">
        <f t="shared" ca="1" si="870"/>
        <v xml:space="preserve">   Acabamentos Cerâmicos e Porcelanatos</v>
      </c>
      <c r="N1229" s="231">
        <f t="shared" ca="1" si="866"/>
        <v>1</v>
      </c>
      <c r="O1229" s="228" t="str">
        <f t="shared" ca="1" si="871"/>
        <v>Revestimento em Cerâmica 60x60cm interno</v>
      </c>
      <c r="P1229" s="232" t="str">
        <f>IF(S1229="","",IF(Orçamento!$B1229="INSUMO",S1229,""))</f>
        <v>ESPACADOR PVC JUNTA PISO 3,0MM NBR 6118</v>
      </c>
      <c r="Q1229" s="244" t="str">
        <f t="shared" si="853"/>
        <v/>
      </c>
      <c r="R1229" s="234">
        <f t="shared" ca="1" si="872"/>
        <v>32.5</v>
      </c>
      <c r="S1229" s="233" t="s">
        <v>716</v>
      </c>
      <c r="T1229" s="242" t="str">
        <f>_xlfn.XLOOKUP(S1229,Insumos!$A$3:$A$371,Insumos!$B$3:$B$371)</f>
        <v>UN</v>
      </c>
      <c r="U1229" s="235">
        <f ca="1">IF($B1229="insumo",R1229,"")</f>
        <v>32.5</v>
      </c>
      <c r="V1229" s="320">
        <v>4</v>
      </c>
      <c r="W1229" s="236">
        <f>IFERROR(IF(B1229="INSUMO",_xlfn.XLOOKUP(S1229,Insumos!A:A,Insumos!C:C),""),"Inserir Preço")</f>
        <v>0.22</v>
      </c>
      <c r="X1229" s="235">
        <f t="shared" ca="1" si="873"/>
        <v>130</v>
      </c>
      <c r="Y1229" s="236">
        <f t="shared" si="851"/>
        <v>0.88</v>
      </c>
      <c r="Z1229" s="237">
        <f t="shared" ca="1" si="875"/>
        <v>28.6</v>
      </c>
      <c r="AA1229" s="238"/>
      <c r="AB1229" s="233" t="str">
        <f>IF(B1229="insumo",_xlfn.XLOOKUP(S1229,Insumos!A:A,Insumos!D:D),"")</f>
        <v>Base de Dados</v>
      </c>
      <c r="AC1229" s="239">
        <f t="shared" ca="1" si="876"/>
        <v>4.1029307520493353E-6</v>
      </c>
      <c r="AE1229" s="240">
        <f ca="1">IFERROR(IF(OR(Z1229="",Z1229=0),"",IF(AF1229="","",IF(AF1229="R$/mês",Z1229/OBRA!$D$12,IF(AF1229="R$/m²",Z1229/OBRA!$D$10,IF(AF1229="R$/apto",Orçamento!Z1229/OBRA!$D$11,""))))),"")</f>
        <v>1.4717763723285458E-2</v>
      </c>
      <c r="AF1229" s="241" t="s">
        <v>154</v>
      </c>
    </row>
    <row r="1230" spans="1:32" s="10" customFormat="1" ht="13.15" hidden="1" customHeight="1" outlineLevel="3" collapsed="1" x14ac:dyDescent="0.2">
      <c r="A1230" s="227"/>
      <c r="B1230" s="228" t="s">
        <v>3</v>
      </c>
      <c r="C1230" s="229" t="str">
        <f t="shared" si="874"/>
        <v/>
      </c>
      <c r="D1230" s="227" t="str">
        <f t="shared" ca="1" si="861"/>
        <v>13.001.003</v>
      </c>
      <c r="E1230" s="228" t="str">
        <f t="shared" ca="1" si="862"/>
        <v>13.001.002.001</v>
      </c>
      <c r="F1230" s="230">
        <f ca="1">IF($B1230="UNIDADE CONSTRUTIVA",OFFSET(F1230,-1,0)+1,LARGE(F$10:F1229,1))</f>
        <v>2</v>
      </c>
      <c r="G1230" s="228" t="str">
        <f t="shared" ca="1" si="867"/>
        <v xml:space="preserve">   GERENCIAMENTO EXECUTIVO</v>
      </c>
      <c r="H1230" s="230">
        <f t="shared" ca="1" si="863"/>
        <v>13</v>
      </c>
      <c r="I1230" s="228" t="str">
        <f t="shared" ca="1" si="868"/>
        <v xml:space="preserve">   REVESTIMENTOS INTERNOS DE PAREDE</v>
      </c>
      <c r="J1230" s="230">
        <f t="shared" ca="1" si="864"/>
        <v>1</v>
      </c>
      <c r="K1230" s="228" t="str">
        <f t="shared" ca="1" si="869"/>
        <v xml:space="preserve">   REVESTIMENTOS INTERNOS DE PAREDE - 1º PAVIMENTO - SUBSOLO</v>
      </c>
      <c r="L1230" s="231">
        <f t="shared" ca="1" si="865"/>
        <v>3</v>
      </c>
      <c r="M1230" s="228" t="str">
        <f t="shared" ca="1" si="870"/>
        <v xml:space="preserve">   Peitoris</v>
      </c>
      <c r="N1230" s="231">
        <f t="shared" ca="1" si="866"/>
        <v>0</v>
      </c>
      <c r="O1230" s="228" t="str">
        <f t="shared" ca="1" si="871"/>
        <v>Revestimento em Cerâmica 60x60cm interno</v>
      </c>
      <c r="P1230" s="232" t="str">
        <f>IF(S1230="","",IF(Orçamento!$B1230="INSUMO",S1230,""))</f>
        <v/>
      </c>
      <c r="Q1230" s="244" t="str">
        <f t="shared" si="853"/>
        <v/>
      </c>
      <c r="R1230" s="234">
        <f t="shared" ca="1" si="872"/>
        <v>32.5</v>
      </c>
      <c r="S1230" s="233" t="s">
        <v>493</v>
      </c>
      <c r="T1230" s="242" t="s">
        <v>35</v>
      </c>
      <c r="U1230" s="235" t="str">
        <f>IF($B1230="insumo",R1230,"")</f>
        <v/>
      </c>
      <c r="V1230" s="320" t="s">
        <v>35</v>
      </c>
      <c r="W1230" s="236" t="str">
        <f>IFERROR(IF(B1230="INSUMO",_xlfn.XLOOKUP(S1230,Insumos!A:A,Insumos!C:C),""),"Inserir Preço")</f>
        <v/>
      </c>
      <c r="X1230" s="235" t="str">
        <f t="shared" ca="1" si="873"/>
        <v/>
      </c>
      <c r="Y1230" s="236" t="str">
        <f t="shared" si="851"/>
        <v/>
      </c>
      <c r="Z1230" s="237">
        <f t="shared" ca="1" si="875"/>
        <v>261.61177500000002</v>
      </c>
      <c r="AA1230" s="238"/>
      <c r="AB1230" s="233" t="str">
        <f>IF(B1230="insumo",_xlfn.XLOOKUP(S1230,Insumos!A:A,Insumos!D:D),"")</f>
        <v/>
      </c>
      <c r="AC1230" s="239">
        <f t="shared" ca="1" si="876"/>
        <v>3.7530594291808095E-5</v>
      </c>
      <c r="AE1230" s="240">
        <f ca="1">IFERROR(IF(OR(Z1230="",Z1230=0),"",IF(AF1230="","",IF(AF1230="R$/mês",Z1230/OBRA!$D$12,IF(AF1230="R$/m²",Z1230/OBRA!$D$10,IF(AF1230="R$/apto",Orçamento!Z1230/OBRA!$D$11,""))))),"")</f>
        <v>0.13462728292585027</v>
      </c>
      <c r="AF1230" s="241" t="s">
        <v>154</v>
      </c>
    </row>
    <row r="1231" spans="1:32" s="10" customFormat="1" ht="13.15" hidden="1" customHeight="1" outlineLevel="4" x14ac:dyDescent="0.2">
      <c r="A1231" s="227"/>
      <c r="B1231" s="228" t="s">
        <v>4</v>
      </c>
      <c r="C1231" s="229">
        <f t="shared" si="874"/>
        <v>5</v>
      </c>
      <c r="D1231" s="227" t="str">
        <f t="shared" ca="1" si="861"/>
        <v>13.001.003.001</v>
      </c>
      <c r="E1231" s="228" t="str">
        <f t="shared" ca="1" si="862"/>
        <v>13.001.003.001</v>
      </c>
      <c r="F1231" s="230">
        <f ca="1">IF($B1231="UNIDADE CONSTRUTIVA",OFFSET(F1231,-1,0)+1,LARGE(F$10:F1230,1))</f>
        <v>2</v>
      </c>
      <c r="G1231" s="228" t="str">
        <f t="shared" ca="1" si="867"/>
        <v xml:space="preserve">   GERENCIAMENTO EXECUTIVO</v>
      </c>
      <c r="H1231" s="230">
        <f t="shared" ca="1" si="863"/>
        <v>13</v>
      </c>
      <c r="I1231" s="228" t="str">
        <f t="shared" ca="1" si="868"/>
        <v xml:space="preserve">   REVESTIMENTOS INTERNOS DE PAREDE</v>
      </c>
      <c r="J1231" s="230">
        <f t="shared" ca="1" si="864"/>
        <v>1</v>
      </c>
      <c r="K1231" s="228" t="str">
        <f t="shared" ca="1" si="869"/>
        <v xml:space="preserve">   REVESTIMENTOS INTERNOS DE PAREDE - 1º PAVIMENTO - SUBSOLO</v>
      </c>
      <c r="L1231" s="231">
        <f t="shared" ca="1" si="865"/>
        <v>3</v>
      </c>
      <c r="M1231" s="228" t="str">
        <f t="shared" ca="1" si="870"/>
        <v xml:space="preserve">   Peitoris</v>
      </c>
      <c r="N1231" s="231">
        <f t="shared" ca="1" si="866"/>
        <v>1</v>
      </c>
      <c r="O1231" s="228" t="str">
        <f t="shared" ca="1" si="871"/>
        <v>Peitoril em granito, acabamento polido, espessura 2cm</v>
      </c>
      <c r="P1231" s="232" t="str">
        <f>IF(S1231="","",IF(Orçamento!$B1231="INSUMO",S1231,""))</f>
        <v/>
      </c>
      <c r="Q1231" s="244" t="str">
        <f t="shared" si="853"/>
        <v>Peitoril em granito, acabamento polido, espessura 2cm</v>
      </c>
      <c r="R1231" s="234">
        <f t="shared" ca="1" si="872"/>
        <v>2.7</v>
      </c>
      <c r="S1231" s="233" t="s">
        <v>494</v>
      </c>
      <c r="T1231" s="242" t="s">
        <v>158</v>
      </c>
      <c r="U1231" s="235">
        <v>2.7</v>
      </c>
      <c r="V1231" s="320" t="s">
        <v>35</v>
      </c>
      <c r="W1231" s="236" t="str">
        <f>IFERROR(IF(B1231="INSUMO",_xlfn.XLOOKUP(S1231,Insumos!A:A,Insumos!C:C),""),"Inserir Preço")</f>
        <v/>
      </c>
      <c r="X1231" s="235">
        <f t="shared" ca="1" si="873"/>
        <v>2.7</v>
      </c>
      <c r="Y1231" s="236">
        <f t="shared" ca="1" si="851"/>
        <v>96.893250000000009</v>
      </c>
      <c r="Z1231" s="237">
        <f t="shared" ca="1" si="875"/>
        <v>261.61177500000002</v>
      </c>
      <c r="AA1231" s="238"/>
      <c r="AB1231" s="233" t="str">
        <f>IF(B1231="insumo",_xlfn.XLOOKUP(S1231,Insumos!A:A,Insumos!D:D),"")</f>
        <v/>
      </c>
      <c r="AC1231" s="239">
        <f t="shared" ca="1" si="876"/>
        <v>3.7530594291808095E-5</v>
      </c>
      <c r="AE1231" s="240">
        <f ca="1">IFERROR(IF(OR(Z1231="",Z1231=0),"",IF(AF1231="","",IF(AF1231="R$/mês",Z1231/OBRA!$D$12,IF(AF1231="R$/m²",Z1231/OBRA!$D$10,IF(AF1231="R$/apto",Orçamento!Z1231/OBRA!$D$11,""))))),"")</f>
        <v>0.13462728292585027</v>
      </c>
      <c r="AF1231" s="241" t="s">
        <v>154</v>
      </c>
    </row>
    <row r="1232" spans="1:32" s="10" customFormat="1" ht="13.15" hidden="1" customHeight="1" outlineLevel="4" x14ac:dyDescent="0.2">
      <c r="A1232" s="227"/>
      <c r="B1232" s="228" t="s">
        <v>19</v>
      </c>
      <c r="C1232" s="229">
        <f t="shared" si="874"/>
        <v>16</v>
      </c>
      <c r="D1232" s="227" t="str">
        <f t="shared" si="861"/>
        <v/>
      </c>
      <c r="E1232" s="228" t="str">
        <f t="shared" ca="1" si="862"/>
        <v>13.001.003.001</v>
      </c>
      <c r="F1232" s="230">
        <f ca="1">IF($B1232="UNIDADE CONSTRUTIVA",OFFSET(F1232,-1,0)+1,LARGE(F$10:F1231,1))</f>
        <v>2</v>
      </c>
      <c r="G1232" s="228" t="str">
        <f t="shared" ca="1" si="867"/>
        <v xml:space="preserve">   GERENCIAMENTO EXECUTIVO</v>
      </c>
      <c r="H1232" s="230">
        <f t="shared" ca="1" si="863"/>
        <v>13</v>
      </c>
      <c r="I1232" s="228" t="str">
        <f t="shared" ca="1" si="868"/>
        <v xml:space="preserve">   REVESTIMENTOS INTERNOS DE PAREDE</v>
      </c>
      <c r="J1232" s="230">
        <f t="shared" ca="1" si="864"/>
        <v>1</v>
      </c>
      <c r="K1232" s="228" t="str">
        <f t="shared" ca="1" si="869"/>
        <v xml:space="preserve">   REVESTIMENTOS INTERNOS DE PAREDE - 1º PAVIMENTO - SUBSOLO</v>
      </c>
      <c r="L1232" s="231">
        <f t="shared" ca="1" si="865"/>
        <v>3</v>
      </c>
      <c r="M1232" s="228" t="str">
        <f t="shared" ca="1" si="870"/>
        <v xml:space="preserve">   Peitoris</v>
      </c>
      <c r="N1232" s="231">
        <f t="shared" ca="1" si="866"/>
        <v>1</v>
      </c>
      <c r="O1232" s="228" t="str">
        <f t="shared" ca="1" si="871"/>
        <v>Peitoril em granito, acabamento polido, espessura 2cm</v>
      </c>
      <c r="P1232" s="232" t="str">
        <f>IF(S1232="","",IF(Orçamento!$B1232="INSUMO",S1232,""))</f>
        <v>ARGAMASSA COLANTE AC III</v>
      </c>
      <c r="Q1232" s="244" t="str">
        <f t="shared" si="853"/>
        <v/>
      </c>
      <c r="R1232" s="234">
        <f t="shared" ca="1" si="872"/>
        <v>2.7</v>
      </c>
      <c r="S1232" s="233" t="s">
        <v>357</v>
      </c>
      <c r="T1232" s="242" t="str">
        <f>_xlfn.XLOOKUP(S1232,Insumos!$A$3:$A$371,Insumos!$B$3:$B$371)</f>
        <v>KG</v>
      </c>
      <c r="U1232" s="235">
        <f ca="1">IF($B1232="insumo",R1232,"")</f>
        <v>2.7</v>
      </c>
      <c r="V1232" s="320">
        <v>1.29</v>
      </c>
      <c r="W1232" s="236">
        <f>IFERROR(IF(B1232="INSUMO",_xlfn.XLOOKUP(S1232,Insumos!A:A,Insumos!C:C),""),"Inserir Preço")</f>
        <v>0.92500000000000004</v>
      </c>
      <c r="X1232" s="235">
        <f t="shared" ca="1" si="873"/>
        <v>3.4830000000000005</v>
      </c>
      <c r="Y1232" s="236">
        <f t="shared" si="851"/>
        <v>1.1932500000000001</v>
      </c>
      <c r="Z1232" s="237">
        <f t="shared" ca="1" si="875"/>
        <v>3.2217750000000005</v>
      </c>
      <c r="AA1232" s="238"/>
      <c r="AB1232" s="233" t="str">
        <f>IF(B1232="insumo",_xlfn.XLOOKUP(S1232,Insumos!A:A,Insumos!D:D),"")</f>
        <v>Argabrus</v>
      </c>
      <c r="AC1232" s="239">
        <f t="shared" ca="1" si="876"/>
        <v>4.6219299733159964E-7</v>
      </c>
      <c r="AE1232" s="240">
        <f ca="1">IFERROR(IF(OR(Z1232="",Z1232=0),"",IF(AF1232="","",IF(AF1232="R$/mês",Z1232/OBRA!$D$12,IF(AF1232="R$/m²",Z1232/OBRA!$D$10,IF(AF1232="R$/apto",Orçamento!Z1232/OBRA!$D$11,""))))),"")</f>
        <v>1.6579483643212592E-3</v>
      </c>
      <c r="AF1232" s="241" t="s">
        <v>154</v>
      </c>
    </row>
    <row r="1233" spans="1:32" s="10" customFormat="1" ht="13.15" hidden="1" customHeight="1" outlineLevel="4" x14ac:dyDescent="0.2">
      <c r="A1233" s="227"/>
      <c r="B1233" s="228" t="s">
        <v>19</v>
      </c>
      <c r="C1233" s="229">
        <f t="shared" si="874"/>
        <v>11</v>
      </c>
      <c r="D1233" s="227" t="str">
        <f t="shared" si="861"/>
        <v/>
      </c>
      <c r="E1233" s="228" t="str">
        <f t="shared" ca="1" si="862"/>
        <v>13.001.003.001</v>
      </c>
      <c r="F1233" s="230">
        <f ca="1">IF($B1233="UNIDADE CONSTRUTIVA",OFFSET(F1233,-1,0)+1,LARGE(F$10:F1232,1))</f>
        <v>2</v>
      </c>
      <c r="G1233" s="228" t="str">
        <f t="shared" ca="1" si="867"/>
        <v xml:space="preserve">   GERENCIAMENTO EXECUTIVO</v>
      </c>
      <c r="H1233" s="230">
        <f t="shared" ca="1" si="863"/>
        <v>13</v>
      </c>
      <c r="I1233" s="228" t="str">
        <f t="shared" ca="1" si="868"/>
        <v xml:space="preserve">   REVESTIMENTOS INTERNOS DE PAREDE</v>
      </c>
      <c r="J1233" s="230">
        <f t="shared" ca="1" si="864"/>
        <v>1</v>
      </c>
      <c r="K1233" s="228" t="str">
        <f t="shared" ca="1" si="869"/>
        <v xml:space="preserve">   REVESTIMENTOS INTERNOS DE PAREDE - 1º PAVIMENTO - SUBSOLO</v>
      </c>
      <c r="L1233" s="231">
        <f t="shared" ca="1" si="865"/>
        <v>3</v>
      </c>
      <c r="M1233" s="228" t="str">
        <f t="shared" ca="1" si="870"/>
        <v xml:space="preserve">   Peitoris</v>
      </c>
      <c r="N1233" s="231">
        <f t="shared" ca="1" si="866"/>
        <v>1</v>
      </c>
      <c r="O1233" s="228" t="str">
        <f t="shared" ca="1" si="871"/>
        <v>Peitoril em granito, acabamento polido, espessura 2cm</v>
      </c>
      <c r="P1233" s="232" t="str">
        <f>IF(S1233="","",IF(Orçamento!$B1233="INSUMO",S1233,""))</f>
        <v>GRANITO POLIDO</v>
      </c>
      <c r="Q1233" s="244" t="str">
        <f t="shared" si="853"/>
        <v/>
      </c>
      <c r="R1233" s="234">
        <f t="shared" ca="1" si="872"/>
        <v>2.7</v>
      </c>
      <c r="S1233" s="233" t="s">
        <v>286</v>
      </c>
      <c r="T1233" s="242" t="str">
        <f>_xlfn.XLOOKUP(S1233,Insumos!$A$3:$A$371,Insumos!$B$3:$B$371)</f>
        <v>M2</v>
      </c>
      <c r="U1233" s="235">
        <f ca="1">IF($B1233="insumo",R1233,"")</f>
        <v>2.7</v>
      </c>
      <c r="V1233" s="320">
        <v>0.15</v>
      </c>
      <c r="W1233" s="236">
        <f>IFERROR(IF(B1233="INSUMO",_xlfn.XLOOKUP(S1233,Insumos!A:A,Insumos!C:C),""),"Inserir Preço")</f>
        <v>638</v>
      </c>
      <c r="X1233" s="235">
        <f t="shared" ca="1" si="873"/>
        <v>0.40500000000000003</v>
      </c>
      <c r="Y1233" s="236">
        <f t="shared" si="851"/>
        <v>95.7</v>
      </c>
      <c r="Z1233" s="237">
        <f t="shared" ca="1" si="875"/>
        <v>258.39000000000004</v>
      </c>
      <c r="AA1233" s="238"/>
      <c r="AB1233" s="233" t="str">
        <f>IF(B1233="insumo",_xlfn.XLOOKUP(S1233,Insumos!A:A,Insumos!D:D),"")</f>
        <v xml:space="preserve"> </v>
      </c>
      <c r="AC1233" s="239">
        <f t="shared" ca="1" si="876"/>
        <v>3.7068401294476501E-5</v>
      </c>
      <c r="AE1233" s="240">
        <f ca="1">IFERROR(IF(OR(Z1233="",Z1233=0),"",IF(AF1233="","",IF(AF1233="R$/mês",Z1233/OBRA!$D$12,IF(AF1233="R$/m²",Z1233/OBRA!$D$10,IF(AF1233="R$/apto",Orçamento!Z1233/OBRA!$D$11,""))))),"")</f>
        <v>0.13296933456152901</v>
      </c>
      <c r="AF1233" s="241" t="s">
        <v>154</v>
      </c>
    </row>
    <row r="1234" spans="1:32" s="10" customFormat="1" ht="13.15" hidden="1" customHeight="1" outlineLevel="3" collapsed="1" x14ac:dyDescent="0.2">
      <c r="A1234" s="227"/>
      <c r="B1234" s="228" t="s">
        <v>3</v>
      </c>
      <c r="C1234" s="229" t="str">
        <f t="shared" si="874"/>
        <v/>
      </c>
      <c r="D1234" s="227" t="str">
        <f t="shared" ca="1" si="861"/>
        <v>13.001.004</v>
      </c>
      <c r="E1234" s="228" t="str">
        <f t="shared" ca="1" si="862"/>
        <v>13.001.003.001</v>
      </c>
      <c r="F1234" s="230">
        <f ca="1">IF($B1234="UNIDADE CONSTRUTIVA",OFFSET(F1234,-1,0)+1,LARGE(F$10:F1233,1))</f>
        <v>2</v>
      </c>
      <c r="G1234" s="228" t="str">
        <f t="shared" ca="1" si="856"/>
        <v xml:space="preserve">   GERENCIAMENTO EXECUTIVO</v>
      </c>
      <c r="H1234" s="230">
        <f t="shared" ca="1" si="863"/>
        <v>13</v>
      </c>
      <c r="I1234" s="228" t="str">
        <f t="shared" ca="1" si="857"/>
        <v xml:space="preserve">   REVESTIMENTOS INTERNOS DE PAREDE</v>
      </c>
      <c r="J1234" s="230">
        <f t="shared" ca="1" si="864"/>
        <v>1</v>
      </c>
      <c r="K1234" s="228" t="str">
        <f t="shared" ca="1" si="858"/>
        <v xml:space="preserve">   REVESTIMENTOS INTERNOS DE PAREDE - 1º PAVIMENTO - SUBSOLO</v>
      </c>
      <c r="L1234" s="231">
        <f t="shared" ca="1" si="865"/>
        <v>4</v>
      </c>
      <c r="M1234" s="228" t="str">
        <f t="shared" ca="1" si="859"/>
        <v xml:space="preserve">   Mão de Obra</v>
      </c>
      <c r="N1234" s="231">
        <f t="shared" ca="1" si="866"/>
        <v>0</v>
      </c>
      <c r="O1234" s="228" t="str">
        <f t="shared" ca="1" si="860"/>
        <v>Peitoril em granito, acabamento polido, espessura 2cm</v>
      </c>
      <c r="P1234" s="232" t="str">
        <f>IF(S1234="","",IF(Orçamento!$B1234="INSUMO",S1234,""))</f>
        <v/>
      </c>
      <c r="Q1234" s="244" t="str">
        <f t="shared" si="853"/>
        <v/>
      </c>
      <c r="R1234" s="234">
        <f t="shared" ca="1" si="854"/>
        <v>2.7</v>
      </c>
      <c r="S1234" s="233" t="s">
        <v>438</v>
      </c>
      <c r="T1234" s="242" t="s">
        <v>35</v>
      </c>
      <c r="U1234" s="235" t="str">
        <f>IF($B1234="insumo",R1234,"")</f>
        <v/>
      </c>
      <c r="V1234" s="320" t="s">
        <v>35</v>
      </c>
      <c r="W1234" s="236" t="str">
        <f>IFERROR(IF(B1234="INSUMO",_xlfn.XLOOKUP(S1234,Insumos!A:A,Insumos!C:C),""),"Inserir Preço")</f>
        <v/>
      </c>
      <c r="X1234" s="235" t="str">
        <f t="shared" ca="1" si="855"/>
        <v/>
      </c>
      <c r="Y1234" s="236" t="str">
        <f t="shared" si="851"/>
        <v/>
      </c>
      <c r="Z1234" s="237">
        <f t="shared" ca="1" si="875"/>
        <v>22701.083347451829</v>
      </c>
      <c r="AA1234" s="238"/>
      <c r="AB1234" s="233" t="str">
        <f>IF(B1234="insumo",_xlfn.XLOOKUP(S1234,Insumos!A:A,Insumos!D:D),"")</f>
        <v/>
      </c>
      <c r="AC1234" s="239">
        <f t="shared" ca="1" si="876"/>
        <v>3.2566773766117192E-3</v>
      </c>
      <c r="AE1234" s="240">
        <f ca="1">IFERROR(IF(OR(Z1234="",Z1234=0),"",IF(AF1234="","",IF(AF1234="R$/mês",Z1234/OBRA!$D$12,IF(AF1234="R$/m²",Z1234/OBRA!$D$10,IF(AF1234="R$/apto",Orçamento!Z1234/OBRA!$D$11,""))))),"")</f>
        <v>11.682139194769446</v>
      </c>
      <c r="AF1234" s="241" t="s">
        <v>154</v>
      </c>
    </row>
    <row r="1235" spans="1:32" s="10" customFormat="1" ht="13.15" hidden="1" customHeight="1" outlineLevel="4" x14ac:dyDescent="0.2">
      <c r="A1235" s="227"/>
      <c r="B1235" s="228" t="s">
        <v>4</v>
      </c>
      <c r="C1235" s="229">
        <f t="shared" si="874"/>
        <v>5</v>
      </c>
      <c r="D1235" s="227" t="str">
        <f t="shared" ca="1" si="861"/>
        <v>13.001.004.001</v>
      </c>
      <c r="E1235" s="228" t="str">
        <f t="shared" ca="1" si="862"/>
        <v>13.001.004.001</v>
      </c>
      <c r="F1235" s="230">
        <f ca="1">IF($B1235="UNIDADE CONSTRUTIVA",OFFSET(F1235,-1,0)+1,LARGE(F$10:F1234,1))</f>
        <v>2</v>
      </c>
      <c r="G1235" s="228" t="str">
        <f t="shared" ca="1" si="856"/>
        <v xml:space="preserve">   GERENCIAMENTO EXECUTIVO</v>
      </c>
      <c r="H1235" s="230">
        <f t="shared" ca="1" si="863"/>
        <v>13</v>
      </c>
      <c r="I1235" s="228" t="str">
        <f t="shared" ca="1" si="857"/>
        <v xml:space="preserve">   REVESTIMENTOS INTERNOS DE PAREDE</v>
      </c>
      <c r="J1235" s="230">
        <f t="shared" ca="1" si="864"/>
        <v>1</v>
      </c>
      <c r="K1235" s="228" t="str">
        <f t="shared" ca="1" si="858"/>
        <v xml:space="preserve">   REVESTIMENTOS INTERNOS DE PAREDE - 1º PAVIMENTO - SUBSOLO</v>
      </c>
      <c r="L1235" s="231">
        <f t="shared" ca="1" si="865"/>
        <v>4</v>
      </c>
      <c r="M1235" s="228" t="str">
        <f t="shared" ca="1" si="859"/>
        <v xml:space="preserve">   Mão de Obra</v>
      </c>
      <c r="N1235" s="231">
        <f t="shared" ca="1" si="866"/>
        <v>1</v>
      </c>
      <c r="O1235" s="228" t="str">
        <f t="shared" ca="1" si="860"/>
        <v>Mao de obra para reboco interno, incluindo chapisco</v>
      </c>
      <c r="P1235" s="232" t="str">
        <f>IF(S1235="","",IF(Orçamento!$B1235="INSUMO",S1235,""))</f>
        <v/>
      </c>
      <c r="Q1235" s="244" t="str">
        <f t="shared" si="853"/>
        <v>Mao de obra para reboco interno, incluindo chapisco</v>
      </c>
      <c r="R1235" s="234">
        <f t="shared" ca="1" si="854"/>
        <v>427.3</v>
      </c>
      <c r="S1235" s="233" t="s">
        <v>483</v>
      </c>
      <c r="T1235" s="242" t="s">
        <v>140</v>
      </c>
      <c r="U1235" s="235">
        <f>U1217</f>
        <v>427.3</v>
      </c>
      <c r="V1235" s="320" t="s">
        <v>35</v>
      </c>
      <c r="W1235" s="236" t="str">
        <f>IFERROR(IF(B1235="INSUMO",_xlfn.XLOOKUP(S1235,Insumos!A:A,Insumos!C:C),""),"Inserir Preço")</f>
        <v/>
      </c>
      <c r="X1235" s="235">
        <f t="shared" ca="1" si="855"/>
        <v>427.3</v>
      </c>
      <c r="Y1235" s="236">
        <f t="shared" ca="1" si="851"/>
        <v>40.637259305842548</v>
      </c>
      <c r="Z1235" s="237">
        <f t="shared" ca="1" si="875"/>
        <v>17364.300901386519</v>
      </c>
      <c r="AA1235" s="238"/>
      <c r="AB1235" s="233" t="str">
        <f>IF(B1235="insumo",_xlfn.XLOOKUP(S1235,Insumos!A:A,Insumos!D:D),"")</f>
        <v/>
      </c>
      <c r="AC1235" s="239">
        <f t="shared" ca="1" si="876"/>
        <v>2.4910672781865992E-3</v>
      </c>
      <c r="AE1235" s="240">
        <f ca="1">IFERROR(IF(OR(Z1235="",Z1235=0),"",IF(AF1235="","",IF(AF1235="R$/mês",Z1235/OBRA!$D$12,IF(AF1235="R$/m²",Z1235/OBRA!$D$10,IF(AF1235="R$/apto",Orçamento!Z1235/OBRA!$D$11,""))))),"")</f>
        <v>8.9357929330992825</v>
      </c>
      <c r="AF1235" s="241" t="s">
        <v>154</v>
      </c>
    </row>
    <row r="1236" spans="1:32" s="10" customFormat="1" ht="13.15" hidden="1" customHeight="1" outlineLevel="4" x14ac:dyDescent="0.2">
      <c r="A1236" s="227"/>
      <c r="B1236" s="228" t="s">
        <v>19</v>
      </c>
      <c r="C1236" s="229">
        <f t="shared" si="874"/>
        <v>5</v>
      </c>
      <c r="D1236" s="227" t="str">
        <f t="shared" si="861"/>
        <v/>
      </c>
      <c r="E1236" s="228" t="str">
        <f t="shared" ca="1" si="862"/>
        <v>13.001.004.001</v>
      </c>
      <c r="F1236" s="230">
        <f ca="1">IF($B1236="UNIDADE CONSTRUTIVA",OFFSET(F1236,-1,0)+1,LARGE(F$10:F1235,1))</f>
        <v>2</v>
      </c>
      <c r="G1236" s="228" t="str">
        <f t="shared" ca="1" si="856"/>
        <v xml:space="preserve">   GERENCIAMENTO EXECUTIVO</v>
      </c>
      <c r="H1236" s="230">
        <f t="shared" ca="1" si="863"/>
        <v>13</v>
      </c>
      <c r="I1236" s="228" t="str">
        <f t="shared" ca="1" si="857"/>
        <v xml:space="preserve">   REVESTIMENTOS INTERNOS DE PAREDE</v>
      </c>
      <c r="J1236" s="230">
        <f t="shared" ca="1" si="864"/>
        <v>1</v>
      </c>
      <c r="K1236" s="228" t="str">
        <f t="shared" ca="1" si="858"/>
        <v xml:space="preserve">   REVESTIMENTOS INTERNOS DE PAREDE - 1º PAVIMENTO - SUBSOLO</v>
      </c>
      <c r="L1236" s="231">
        <f t="shared" ca="1" si="865"/>
        <v>4</v>
      </c>
      <c r="M1236" s="228" t="str">
        <f t="shared" ca="1" si="859"/>
        <v xml:space="preserve">   Mão de Obra</v>
      </c>
      <c r="N1236" s="231">
        <f t="shared" ca="1" si="866"/>
        <v>1</v>
      </c>
      <c r="O1236" s="228" t="str">
        <f t="shared" ca="1" si="860"/>
        <v>Mao de obra para reboco interno, incluindo chapisco</v>
      </c>
      <c r="P1236" s="232" t="str">
        <f>IF(S1236="","",IF(Orçamento!$B1236="INSUMO",S1236,""))</f>
        <v>MAO DE OBRA PARA CHAPISCO E REBOCO INTERNOS</v>
      </c>
      <c r="Q1236" s="244" t="str">
        <f t="shared" si="853"/>
        <v/>
      </c>
      <c r="R1236" s="234">
        <f t="shared" ca="1" si="854"/>
        <v>427.3</v>
      </c>
      <c r="S1236" s="233" t="s">
        <v>253</v>
      </c>
      <c r="T1236" s="242" t="str">
        <f>_xlfn.XLOOKUP(S1236,Insumos!$A$3:$A$371,Insumos!$B$3:$B$371)</f>
        <v>M2</v>
      </c>
      <c r="U1236" s="235">
        <f ca="1">IF($B1236="insumo",R1236,"")</f>
        <v>427.3</v>
      </c>
      <c r="V1236" s="320">
        <v>1</v>
      </c>
      <c r="W1236" s="236">
        <f>IFERROR(IF(B1236="INSUMO",_xlfn.XLOOKUP(S1236,Insumos!A:A,Insumos!C:C),""),"Inserir Preço")</f>
        <v>40.637259305842548</v>
      </c>
      <c r="X1236" s="235">
        <f t="shared" ca="1" si="855"/>
        <v>427.3</v>
      </c>
      <c r="Y1236" s="236">
        <f t="shared" si="851"/>
        <v>40.637259305842548</v>
      </c>
      <c r="Z1236" s="237">
        <f t="shared" ca="1" si="875"/>
        <v>17364.300901386519</v>
      </c>
      <c r="AA1236" s="238"/>
      <c r="AB1236" s="233" t="str">
        <f>IF(B1236="insumo",_xlfn.XLOOKUP(S1236,Insumos!A:A,Insumos!D:D),"")</f>
        <v>Aba Custo Serviços</v>
      </c>
      <c r="AC1236" s="239">
        <f t="shared" ca="1" si="876"/>
        <v>2.4910672781865992E-3</v>
      </c>
      <c r="AE1236" s="240">
        <f ca="1">IFERROR(IF(OR(Z1236="",Z1236=0),"",IF(AF1236="","",IF(AF1236="R$/mês",Z1236/OBRA!$D$12,IF(AF1236="R$/m²",Z1236/OBRA!$D$10,IF(AF1236="R$/apto",Orçamento!Z1236/OBRA!$D$11,""))))),"")</f>
        <v>8.9357929330992825</v>
      </c>
      <c r="AF1236" s="241" t="s">
        <v>154</v>
      </c>
    </row>
    <row r="1237" spans="1:32" s="10" customFormat="1" ht="13.15" hidden="1" customHeight="1" outlineLevel="4" x14ac:dyDescent="0.2">
      <c r="A1237" s="227"/>
      <c r="B1237" s="228" t="s">
        <v>4</v>
      </c>
      <c r="C1237" s="229">
        <f t="shared" si="874"/>
        <v>5</v>
      </c>
      <c r="D1237" s="227" t="str">
        <f t="shared" ca="1" si="861"/>
        <v>13.001.004.002</v>
      </c>
      <c r="E1237" s="228" t="str">
        <f t="shared" ca="1" si="862"/>
        <v>13.001.004.002</v>
      </c>
      <c r="F1237" s="230">
        <f ca="1">IF($B1237="UNIDADE CONSTRUTIVA",OFFSET(F1237,-1,0)+1,LARGE(F$10:F1236,1))</f>
        <v>2</v>
      </c>
      <c r="G1237" s="228" t="str">
        <f t="shared" ca="1" si="856"/>
        <v xml:space="preserve">   GERENCIAMENTO EXECUTIVO</v>
      </c>
      <c r="H1237" s="230">
        <f t="shared" ca="1" si="863"/>
        <v>13</v>
      </c>
      <c r="I1237" s="228" t="str">
        <f t="shared" ca="1" si="857"/>
        <v xml:space="preserve">   REVESTIMENTOS INTERNOS DE PAREDE</v>
      </c>
      <c r="J1237" s="230">
        <f t="shared" ca="1" si="864"/>
        <v>1</v>
      </c>
      <c r="K1237" s="228" t="str">
        <f t="shared" ca="1" si="858"/>
        <v xml:space="preserve">   REVESTIMENTOS INTERNOS DE PAREDE - 1º PAVIMENTO - SUBSOLO</v>
      </c>
      <c r="L1237" s="231">
        <f t="shared" ca="1" si="865"/>
        <v>4</v>
      </c>
      <c r="M1237" s="228" t="str">
        <f t="shared" ca="1" si="859"/>
        <v xml:space="preserve">   Mão de Obra</v>
      </c>
      <c r="N1237" s="231">
        <f t="shared" ca="1" si="866"/>
        <v>2</v>
      </c>
      <c r="O1237" s="228" t="str">
        <f t="shared" ca="1" si="860"/>
        <v>Mao de obra para estucamento de estrutura em concreto</v>
      </c>
      <c r="P1237" s="232" t="str">
        <f>IF(S1237="","",IF(Orçamento!$B1237="INSUMO",S1237,""))</f>
        <v/>
      </c>
      <c r="Q1237" s="244" t="str">
        <f t="shared" si="853"/>
        <v>Mao de obra para estucamento de estrutura em concreto</v>
      </c>
      <c r="R1237" s="234">
        <f t="shared" ca="1" si="854"/>
        <v>57.36</v>
      </c>
      <c r="S1237" s="233" t="s">
        <v>1163</v>
      </c>
      <c r="T1237" s="242" t="s">
        <v>140</v>
      </c>
      <c r="U1237" s="235">
        <f>U1219</f>
        <v>57.36</v>
      </c>
      <c r="V1237" s="320" t="s">
        <v>35</v>
      </c>
      <c r="W1237" s="236" t="str">
        <f>IFERROR(IF(B1237="INSUMO",_xlfn.XLOOKUP(S1237,Insumos!A:A,Insumos!C:C),""),"Inserir Preço")</f>
        <v/>
      </c>
      <c r="X1237" s="235">
        <f t="shared" ca="1" si="855"/>
        <v>57.36</v>
      </c>
      <c r="Y1237" s="236">
        <f t="shared" ca="1" si="851"/>
        <v>50.894746969405425</v>
      </c>
      <c r="Z1237" s="237">
        <f t="shared" ca="1" si="875"/>
        <v>2919.3226861650951</v>
      </c>
      <c r="AA1237" s="238"/>
      <c r="AB1237" s="233" t="str">
        <f>IF(B1237="insumo",_xlfn.XLOOKUP(S1237,Insumos!A:A,Insumos!D:D),"")</f>
        <v/>
      </c>
      <c r="AC1237" s="239">
        <f t="shared" ca="1" si="876"/>
        <v>4.1880345539237901E-4</v>
      </c>
      <c r="AE1237" s="240">
        <f ca="1">IFERROR(IF(OR(Z1237="",Z1237=0),"",IF(AF1237="","",IF(AF1237="R$/mês",Z1237/OBRA!$D$12,IF(AF1237="R$/m²",Z1237/OBRA!$D$10,IF(AF1237="R$/apto",Orçamento!Z1237/OBRA!$D$11,""))))),"")</f>
        <v>1.5023042491959753</v>
      </c>
      <c r="AF1237" s="241" t="s">
        <v>154</v>
      </c>
    </row>
    <row r="1238" spans="1:32" s="10" customFormat="1" ht="13.15" hidden="1" customHeight="1" outlineLevel="4" x14ac:dyDescent="0.2">
      <c r="A1238" s="227"/>
      <c r="B1238" s="228" t="s">
        <v>19</v>
      </c>
      <c r="C1238" s="229">
        <f t="shared" si="874"/>
        <v>5</v>
      </c>
      <c r="D1238" s="227" t="str">
        <f t="shared" si="861"/>
        <v/>
      </c>
      <c r="E1238" s="228" t="str">
        <f t="shared" ca="1" si="862"/>
        <v>13.001.004.002</v>
      </c>
      <c r="F1238" s="230">
        <f ca="1">IF($B1238="UNIDADE CONSTRUTIVA",OFFSET(F1238,-1,0)+1,LARGE(F$10:F1237,1))</f>
        <v>2</v>
      </c>
      <c r="G1238" s="228" t="str">
        <f t="shared" ca="1" si="856"/>
        <v xml:space="preserve">   GERENCIAMENTO EXECUTIVO</v>
      </c>
      <c r="H1238" s="230">
        <f t="shared" ca="1" si="863"/>
        <v>13</v>
      </c>
      <c r="I1238" s="228" t="str">
        <f t="shared" ca="1" si="857"/>
        <v xml:space="preserve">   REVESTIMENTOS INTERNOS DE PAREDE</v>
      </c>
      <c r="J1238" s="230">
        <f t="shared" ca="1" si="864"/>
        <v>1</v>
      </c>
      <c r="K1238" s="228" t="str">
        <f t="shared" ca="1" si="858"/>
        <v xml:space="preserve">   REVESTIMENTOS INTERNOS DE PAREDE - 1º PAVIMENTO - SUBSOLO</v>
      </c>
      <c r="L1238" s="231">
        <f t="shared" ca="1" si="865"/>
        <v>4</v>
      </c>
      <c r="M1238" s="228" t="str">
        <f t="shared" ca="1" si="859"/>
        <v xml:space="preserve">   Mão de Obra</v>
      </c>
      <c r="N1238" s="231">
        <f t="shared" ca="1" si="866"/>
        <v>2</v>
      </c>
      <c r="O1238" s="228" t="str">
        <f t="shared" ca="1" si="860"/>
        <v>Mao de obra para estucamento de estrutura em concreto</v>
      </c>
      <c r="P1238" s="232" t="str">
        <f>IF(S1238="","",IF(Orçamento!$B1238="INSUMO",S1238,""))</f>
        <v>MAO DE OBRA PARA ESTUCAMENTO DE ESTRUTURA DE CONCRETO</v>
      </c>
      <c r="Q1238" s="244" t="str">
        <f t="shared" si="853"/>
        <v/>
      </c>
      <c r="R1238" s="234">
        <f t="shared" ca="1" si="854"/>
        <v>57.36</v>
      </c>
      <c r="S1238" s="233" t="s">
        <v>777</v>
      </c>
      <c r="T1238" s="242" t="str">
        <f>_xlfn.XLOOKUP(S1238,Insumos!$A$3:$A$371,Insumos!$B$3:$B$371)</f>
        <v>M2</v>
      </c>
      <c r="U1238" s="235">
        <f ca="1">IF($B1238="insumo",R1238,"")</f>
        <v>57.36</v>
      </c>
      <c r="V1238" s="320">
        <v>1</v>
      </c>
      <c r="W1238" s="236">
        <f>IFERROR(IF(B1238="INSUMO",_xlfn.XLOOKUP(S1238,Insumos!A:A,Insumos!C:C),""),"Inserir Preço")</f>
        <v>50.894746969405425</v>
      </c>
      <c r="X1238" s="235">
        <f t="shared" ca="1" si="855"/>
        <v>57.36</v>
      </c>
      <c r="Y1238" s="236">
        <f t="shared" si="851"/>
        <v>50.894746969405425</v>
      </c>
      <c r="Z1238" s="237">
        <f t="shared" ca="1" si="875"/>
        <v>2919.3226861650951</v>
      </c>
      <c r="AA1238" s="238"/>
      <c r="AB1238" s="233" t="str">
        <f>IF(B1238="insumo",_xlfn.XLOOKUP(S1238,Insumos!A:A,Insumos!D:D),"")</f>
        <v>Aba Custo Serviços</v>
      </c>
      <c r="AC1238" s="239">
        <f t="shared" ca="1" si="876"/>
        <v>4.1880345539237901E-4</v>
      </c>
      <c r="AE1238" s="240">
        <f ca="1">IFERROR(IF(OR(Z1238="",Z1238=0),"",IF(AF1238="","",IF(AF1238="R$/mês",Z1238/OBRA!$D$12,IF(AF1238="R$/m²",Z1238/OBRA!$D$10,IF(AF1238="R$/apto",Orçamento!Z1238/OBRA!$D$11,""))))),"")</f>
        <v>1.5023042491959753</v>
      </c>
      <c r="AF1238" s="241" t="s">
        <v>154</v>
      </c>
    </row>
    <row r="1239" spans="1:32" s="10" customFormat="1" ht="13.15" hidden="1" customHeight="1" outlineLevel="4" x14ac:dyDescent="0.2">
      <c r="A1239" s="227"/>
      <c r="B1239" s="228" t="s">
        <v>4</v>
      </c>
      <c r="C1239" s="229">
        <f t="shared" si="874"/>
        <v>3</v>
      </c>
      <c r="D1239" s="227" t="str">
        <f ca="1">IF(B1239="Unidade Construtiva",TEXT(F1239,"00"),IF(B1239="Célula Construtiva",TEXT(H1239,"00"),IF(B1239="Etapa",CONCATENATE(TEXT(H1239,"00"),".",TEXT(J1239,"000")),IF(B1239="Subetapa",CONCATENATE(TEXT(H1239,"00"),".",TEXT(J1239,"000"),".",TEXT(L1239,"000")),IF(B1239="Serviço",CONCATENATE(TEXT(H1239,"00"),".",TEXT(J1239,"000"),".",TEXT(L1239,"000"),".",TEXT(N1239,"000")),"")))))</f>
        <v>13.001.004.003</v>
      </c>
      <c r="E1239" s="228" t="str">
        <f ca="1">IF(B1239="*","",IFERROR(IF(B1239="SERVIÇO",D1239,OFFSET(E1239,-1,0)),""))</f>
        <v>13.001.004.003</v>
      </c>
      <c r="F1239" s="230">
        <f ca="1">IF($B1239="UNIDADE CONSTRUTIVA",OFFSET(F1239,-1,0)+1,LARGE(F$10:F1238,1))</f>
        <v>2</v>
      </c>
      <c r="G1239" s="228" t="str">
        <f t="shared" ca="1" si="856"/>
        <v xml:space="preserve">   GERENCIAMENTO EXECUTIVO</v>
      </c>
      <c r="H1239" s="230">
        <f ca="1">IF(B1239="UNIDADE CONSTRUTIVA",0,IF(B1239="CÉLULA CONSTRUTIVA",OFFSET(H1239,-1,0)+1,OFFSET(H1239,-1,0)))</f>
        <v>13</v>
      </c>
      <c r="I1239" s="228" t="str">
        <f t="shared" ca="1" si="857"/>
        <v xml:space="preserve">   REVESTIMENTOS INTERNOS DE PAREDE</v>
      </c>
      <c r="J1239" s="230">
        <f ca="1">IF(B1239="CÉLULA CONSTRUTIVA",0,IF(B1239="ETAPA",OFFSET(J1239,-1,0)+1,OFFSET(J1239,-1,0)))</f>
        <v>1</v>
      </c>
      <c r="K1239" s="228" t="str">
        <f t="shared" ca="1" si="858"/>
        <v xml:space="preserve">   REVESTIMENTOS INTERNOS DE PAREDE - 1º PAVIMENTO - SUBSOLO</v>
      </c>
      <c r="L1239" s="231">
        <f ca="1">IF(B1239="ETAPA",0,IF(B1239="SUBETAPA",OFFSET(L1239,-1,0)+1,OFFSET(L1239,-1,0)))</f>
        <v>4</v>
      </c>
      <c r="M1239" s="228" t="str">
        <f t="shared" ca="1" si="859"/>
        <v xml:space="preserve">   Mão de Obra</v>
      </c>
      <c r="N1239" s="231">
        <f ca="1">IF(B1239="Subetapa",0,IF(B1239="serviço",OFFSET(N1239,-1,0)+1,OFFSET(N1239,-1,0)))</f>
        <v>3</v>
      </c>
      <c r="O1239" s="228" t="str">
        <f t="shared" ca="1" si="860"/>
        <v>Mao de obra para colocacao e rejuntamento de Azulejo Cerâmico</v>
      </c>
      <c r="P1239" s="232" t="str">
        <f>IF(S1239="","",IF(Orçamento!$B1239="INSUMO",S1239,""))</f>
        <v/>
      </c>
      <c r="Q1239" s="244" t="str">
        <f>IF(B1239="","",IF(B1239="Serviço",S1239,""))</f>
        <v>Mao de obra para colocacao e rejuntamento de Azulejo Cerâmico</v>
      </c>
      <c r="R1239" s="234">
        <f t="shared" ca="1" si="854"/>
        <v>32.5</v>
      </c>
      <c r="S1239" s="233" t="s">
        <v>782</v>
      </c>
      <c r="T1239" s="242" t="s">
        <v>140</v>
      </c>
      <c r="U1239" s="235">
        <f>U1225</f>
        <v>32.5</v>
      </c>
      <c r="V1239" s="320" t="s">
        <v>35</v>
      </c>
      <c r="W1239" s="236" t="str">
        <f>IFERROR(IF(B1239="INSUMO",_xlfn.XLOOKUP(S1239,Insumos!A:A,Insumos!C:C),""),"Inserir Preço")</f>
        <v/>
      </c>
      <c r="X1239" s="235">
        <f t="shared" ca="1" si="855"/>
        <v>32.5</v>
      </c>
      <c r="Y1239" s="236">
        <f t="shared" ca="1" si="851"/>
        <v>73.511069535391343</v>
      </c>
      <c r="Z1239" s="237">
        <f t="shared" ca="1" si="875"/>
        <v>2389.1097599002187</v>
      </c>
      <c r="AA1239" s="238"/>
      <c r="AB1239" s="233" t="str">
        <f>IF(B1239="insumo",_xlfn.XLOOKUP(S1239,Insumos!A:A,Insumos!D:D),"")</f>
        <v/>
      </c>
      <c r="AC1239" s="239">
        <f t="shared" ca="1" si="876"/>
        <v>3.4273957705999338E-4</v>
      </c>
      <c r="AE1239" s="240">
        <f ca="1">IFERROR(IF(OR(Z1239="",Z1239=0),"",IF(AF1239="","",IF(AF1239="R$/mês",Z1239/OBRA!$D$12,IF(AF1239="R$/m²",Z1239/OBRA!$D$10,IF(AF1239="R$/apto",Orçamento!Z1239/OBRA!$D$11,""))))),"")</f>
        <v>1.2294529005317016</v>
      </c>
      <c r="AF1239" s="241" t="s">
        <v>154</v>
      </c>
    </row>
    <row r="1240" spans="1:32" s="10" customFormat="1" ht="13.15" hidden="1" customHeight="1" outlineLevel="4" x14ac:dyDescent="0.2">
      <c r="A1240" s="227"/>
      <c r="B1240" s="228" t="s">
        <v>19</v>
      </c>
      <c r="C1240" s="229">
        <f t="shared" si="874"/>
        <v>4</v>
      </c>
      <c r="D1240" s="227" t="str">
        <f>IF(B1240="Unidade Construtiva",TEXT(F1240,"00"),IF(B1240="Célula Construtiva",TEXT(H1240,"00"),IF(B1240="Etapa",CONCATENATE(TEXT(H1240,"00"),".",TEXT(J1240,"000")),IF(B1240="Subetapa",CONCATENATE(TEXT(H1240,"00"),".",TEXT(J1240,"000"),".",TEXT(L1240,"000")),IF(B1240="Serviço",CONCATENATE(TEXT(H1240,"00"),".",TEXT(J1240,"000"),".",TEXT(L1240,"000"),".",TEXT(N1240,"000")),"")))))</f>
        <v/>
      </c>
      <c r="E1240" s="228" t="str">
        <f ca="1">IF(B1240="*","",IFERROR(IF(B1240="SERVIÇO",D1240,OFFSET(E1240,-1,0)),""))</f>
        <v>13.001.004.003</v>
      </c>
      <c r="F1240" s="230">
        <f ca="1">IF($B1240="UNIDADE CONSTRUTIVA",OFFSET(F1240,-1,0)+1,LARGE(F$10:F1239,1))</f>
        <v>2</v>
      </c>
      <c r="G1240" s="228" t="str">
        <f t="shared" ca="1" si="856"/>
        <v xml:space="preserve">   GERENCIAMENTO EXECUTIVO</v>
      </c>
      <c r="H1240" s="230">
        <f ca="1">IF(B1240="UNIDADE CONSTRUTIVA",0,IF(B1240="CÉLULA CONSTRUTIVA",OFFSET(H1240,-1,0)+1,OFFSET(H1240,-1,0)))</f>
        <v>13</v>
      </c>
      <c r="I1240" s="228" t="str">
        <f t="shared" ca="1" si="857"/>
        <v xml:space="preserve">   REVESTIMENTOS INTERNOS DE PAREDE</v>
      </c>
      <c r="J1240" s="230">
        <f ca="1">IF(B1240="CÉLULA CONSTRUTIVA",0,IF(B1240="ETAPA",OFFSET(J1240,-1,0)+1,OFFSET(J1240,-1,0)))</f>
        <v>1</v>
      </c>
      <c r="K1240" s="228" t="str">
        <f t="shared" ca="1" si="858"/>
        <v xml:space="preserve">   REVESTIMENTOS INTERNOS DE PAREDE - 1º PAVIMENTO - SUBSOLO</v>
      </c>
      <c r="L1240" s="231">
        <f ca="1">IF(B1240="ETAPA",0,IF(B1240="SUBETAPA",OFFSET(L1240,-1,0)+1,OFFSET(L1240,-1,0)))</f>
        <v>4</v>
      </c>
      <c r="M1240" s="228" t="str">
        <f t="shared" ca="1" si="859"/>
        <v xml:space="preserve">   Mão de Obra</v>
      </c>
      <c r="N1240" s="231">
        <f ca="1">IF(B1240="Subetapa",0,IF(B1240="serviço",OFFSET(N1240,-1,0)+1,OFFSET(N1240,-1,0)))</f>
        <v>3</v>
      </c>
      <c r="O1240" s="228" t="str">
        <f t="shared" ca="1" si="860"/>
        <v>Mao de obra para colocacao e rejuntamento de Azulejo Cerâmico</v>
      </c>
      <c r="P1240" s="232" t="str">
        <f>IF(S1240="","",IF(Orçamento!$B1240="INSUMO",S1240,""))</f>
        <v>MAO DE OBRA PARA COLOCACAO E REJUNTAMENTO DE AZULEJO</v>
      </c>
      <c r="Q1240" s="244" t="str">
        <f>IF(B1240="","",IF(B1240="Serviço",S1240,""))</f>
        <v/>
      </c>
      <c r="R1240" s="234">
        <f t="shared" ca="1" si="854"/>
        <v>32.5</v>
      </c>
      <c r="S1240" s="233" t="s">
        <v>363</v>
      </c>
      <c r="T1240" s="242" t="str">
        <f>_xlfn.XLOOKUP(S1240,Insumos!$A$3:$A$371,Insumos!$B$3:$B$371)</f>
        <v>M2</v>
      </c>
      <c r="U1240" s="235">
        <f ca="1">IF($B1240="insumo",R1240,"")</f>
        <v>32.5</v>
      </c>
      <c r="V1240" s="320">
        <v>1</v>
      </c>
      <c r="W1240" s="236">
        <f>IFERROR(IF(B1240="INSUMO",_xlfn.XLOOKUP(S1240,Insumos!A:A,Insumos!C:C),""),"Inserir Preço")</f>
        <v>73.511069535391343</v>
      </c>
      <c r="X1240" s="235">
        <f t="shared" ca="1" si="855"/>
        <v>32.5</v>
      </c>
      <c r="Y1240" s="236">
        <f t="shared" si="851"/>
        <v>73.511069535391343</v>
      </c>
      <c r="Z1240" s="237">
        <f t="shared" ca="1" si="875"/>
        <v>2389.1097599002187</v>
      </c>
      <c r="AA1240" s="238"/>
      <c r="AB1240" s="233" t="str">
        <f>IF(B1240="insumo",_xlfn.XLOOKUP(S1240,Insumos!A:A,Insumos!D:D),"")</f>
        <v>Aba Custo Serviços</v>
      </c>
      <c r="AC1240" s="239">
        <f t="shared" ca="1" si="876"/>
        <v>3.4273957705999338E-4</v>
      </c>
      <c r="AE1240" s="240">
        <f ca="1">IFERROR(IF(OR(Z1240="",Z1240=0),"",IF(AF1240="","",IF(AF1240="R$/mês",Z1240/OBRA!$D$12,IF(AF1240="R$/m²",Z1240/OBRA!$D$10,IF(AF1240="R$/apto",Orçamento!Z1240/OBRA!$D$11,""))))),"")</f>
        <v>1.2294529005317016</v>
      </c>
      <c r="AF1240" s="241" t="s">
        <v>154</v>
      </c>
    </row>
    <row r="1241" spans="1:32" s="10" customFormat="1" ht="13.15" hidden="1" customHeight="1" outlineLevel="4" x14ac:dyDescent="0.2">
      <c r="A1241" s="227"/>
      <c r="B1241" s="228" t="s">
        <v>4</v>
      </c>
      <c r="C1241" s="229">
        <f t="shared" si="874"/>
        <v>5</v>
      </c>
      <c r="D1241" s="227" t="str">
        <f t="shared" ca="1" si="861"/>
        <v>13.001.004.004</v>
      </c>
      <c r="E1241" s="228" t="str">
        <f t="shared" ca="1" si="862"/>
        <v>13.001.004.004</v>
      </c>
      <c r="F1241" s="230">
        <f ca="1">IF($B1241="UNIDADE CONSTRUTIVA",OFFSET(F1241,-1,0)+1,LARGE(F$10:F1240,1))</f>
        <v>2</v>
      </c>
      <c r="G1241" s="228" t="str">
        <f ca="1">IF(B1241="*","",IF(B1241="UNIDADE CONSTRUTIVA",S1241,OFFSET(G1241,-1,0)))</f>
        <v xml:space="preserve">   GERENCIAMENTO EXECUTIVO</v>
      </c>
      <c r="H1241" s="230">
        <f t="shared" ca="1" si="863"/>
        <v>13</v>
      </c>
      <c r="I1241" s="228" t="str">
        <f ca="1">IF(B1241="*","",IF(B1241="CÉLULA CONSTRUTIVA",S1241,OFFSET(I1241,-1,0)))</f>
        <v xml:space="preserve">   REVESTIMENTOS INTERNOS DE PAREDE</v>
      </c>
      <c r="J1241" s="230">
        <f t="shared" ca="1" si="864"/>
        <v>1</v>
      </c>
      <c r="K1241" s="228" t="str">
        <f ca="1">IF(B1241="*","",IF(B1241="ETAPA",S1241,OFFSET(K1241,-1,0)))</f>
        <v xml:space="preserve">   REVESTIMENTOS INTERNOS DE PAREDE - 1º PAVIMENTO - SUBSOLO</v>
      </c>
      <c r="L1241" s="231">
        <f t="shared" ca="1" si="865"/>
        <v>4</v>
      </c>
      <c r="M1241" s="228" t="str">
        <f ca="1">IF(B1241="*","",IF(B1241="SUBETAPA",S1241,OFFSET(M1241,-1,0)))</f>
        <v xml:space="preserve">   Mão de Obra</v>
      </c>
      <c r="N1241" s="231">
        <f t="shared" ca="1" si="866"/>
        <v>4</v>
      </c>
      <c r="O1241" s="228" t="str">
        <f ca="1">IF(B1241="*","",IF(B1241="SERVIÇO",S1241,OFFSET(O1241,-1,0)))</f>
        <v>Mao de obra para colocacao de peitoril</v>
      </c>
      <c r="P1241" s="232" t="str">
        <f>IF(S1241="","",IF(Orçamento!$B1241="INSUMO",S1241,""))</f>
        <v/>
      </c>
      <c r="Q1241" s="244" t="str">
        <f t="shared" si="853"/>
        <v>Mao de obra para colocacao de peitoril</v>
      </c>
      <c r="R1241" s="234">
        <f ca="1">IF(B1241="serviço",U1241,OFFSET(R1241,-1,0))</f>
        <v>2.7</v>
      </c>
      <c r="S1241" s="233" t="s">
        <v>497</v>
      </c>
      <c r="T1241" s="242" t="s">
        <v>158</v>
      </c>
      <c r="U1241" s="235">
        <f>U1231</f>
        <v>2.7</v>
      </c>
      <c r="V1241" s="320" t="s">
        <v>35</v>
      </c>
      <c r="W1241" s="236" t="str">
        <f>IFERROR(IF(B1241="INSUMO",_xlfn.XLOOKUP(S1241,Insumos!A:A,Insumos!C:C),""),"Inserir Preço")</f>
        <v/>
      </c>
      <c r="X1241" s="235">
        <f ca="1">IF(B1241="Complemento do insumo",V1241,IF(R1241="","",IF(B1241="serviço",R1241,IF(OR(B1241="insumo"),V1241*R1241,""))))</f>
        <v>2.7</v>
      </c>
      <c r="Y1241" s="236">
        <f t="shared" ca="1" si="851"/>
        <v>10.5</v>
      </c>
      <c r="Z1241" s="237">
        <f t="shared" ca="1" si="875"/>
        <v>28.35</v>
      </c>
      <c r="AA1241" s="238"/>
      <c r="AB1241" s="233" t="str">
        <f>IF(B1241="insumo",_xlfn.XLOOKUP(S1241,Insumos!A:A,Insumos!D:D),"")</f>
        <v/>
      </c>
      <c r="AC1241" s="239">
        <f t="shared" ca="1" si="876"/>
        <v>4.0670659727482048E-6</v>
      </c>
      <c r="AE1241" s="240">
        <f ca="1">IFERROR(IF(OR(Z1241="",Z1241=0),"",IF(AF1241="","",IF(AF1241="R$/mês",Z1241/OBRA!$D$12,IF(AF1241="R$/m²",Z1241/OBRA!$D$10,IF(AF1241="R$/apto",Orçamento!Z1241/OBRA!$D$11,""))))),"")</f>
        <v>1.4589111942487508E-2</v>
      </c>
      <c r="AF1241" s="241" t="s">
        <v>154</v>
      </c>
    </row>
    <row r="1242" spans="1:32" s="10" customFormat="1" ht="13.15" hidden="1" customHeight="1" outlineLevel="4" x14ac:dyDescent="0.2">
      <c r="A1242" s="227"/>
      <c r="B1242" s="228" t="s">
        <v>19</v>
      </c>
      <c r="C1242" s="229">
        <f t="shared" si="874"/>
        <v>5</v>
      </c>
      <c r="D1242" s="227" t="str">
        <f t="shared" si="861"/>
        <v/>
      </c>
      <c r="E1242" s="228" t="str">
        <f t="shared" ca="1" si="862"/>
        <v>13.001.004.004</v>
      </c>
      <c r="F1242" s="230">
        <f ca="1">IF($B1242="UNIDADE CONSTRUTIVA",OFFSET(F1242,-1,0)+1,LARGE(F$10:F1241,1))</f>
        <v>2</v>
      </c>
      <c r="G1242" s="228" t="str">
        <f ca="1">IF(B1242="*","",IF(B1242="UNIDADE CONSTRUTIVA",S1242,OFFSET(G1242,-1,0)))</f>
        <v xml:space="preserve">   GERENCIAMENTO EXECUTIVO</v>
      </c>
      <c r="H1242" s="230">
        <f t="shared" ca="1" si="863"/>
        <v>13</v>
      </c>
      <c r="I1242" s="228" t="str">
        <f ca="1">IF(B1242="*","",IF(B1242="CÉLULA CONSTRUTIVA",S1242,OFFSET(I1242,-1,0)))</f>
        <v xml:space="preserve">   REVESTIMENTOS INTERNOS DE PAREDE</v>
      </c>
      <c r="J1242" s="230">
        <f t="shared" ca="1" si="864"/>
        <v>1</v>
      </c>
      <c r="K1242" s="228" t="str">
        <f ca="1">IF(B1242="*","",IF(B1242="ETAPA",S1242,OFFSET(K1242,-1,0)))</f>
        <v xml:space="preserve">   REVESTIMENTOS INTERNOS DE PAREDE - 1º PAVIMENTO - SUBSOLO</v>
      </c>
      <c r="L1242" s="231">
        <f t="shared" ca="1" si="865"/>
        <v>4</v>
      </c>
      <c r="M1242" s="228" t="str">
        <f ca="1">IF(B1242="*","",IF(B1242="SUBETAPA",S1242,OFFSET(M1242,-1,0)))</f>
        <v xml:space="preserve">   Mão de Obra</v>
      </c>
      <c r="N1242" s="231">
        <f t="shared" ca="1" si="866"/>
        <v>4</v>
      </c>
      <c r="O1242" s="228" t="str">
        <f ca="1">IF(B1242="*","",IF(B1242="SERVIÇO",S1242,OFFSET(O1242,-1,0)))</f>
        <v>Mao de obra para colocacao de peitoril</v>
      </c>
      <c r="P1242" s="232" t="str">
        <f>IF(S1242="","",IF(Orçamento!$B1242="INSUMO",S1242,""))</f>
        <v>MAO DE OBRA PARA COLOCACAO DE PEITORIL</v>
      </c>
      <c r="Q1242" s="244" t="str">
        <f t="shared" si="853"/>
        <v/>
      </c>
      <c r="R1242" s="234">
        <f ca="1">IF(B1242="serviço",U1242,OFFSET(R1242,-1,0))</f>
        <v>2.7</v>
      </c>
      <c r="S1242" s="233" t="s">
        <v>373</v>
      </c>
      <c r="T1242" s="242" t="str">
        <f>_xlfn.XLOOKUP(S1242,Insumos!$A$3:$A$371,Insumos!$B$3:$B$371)</f>
        <v>M2</v>
      </c>
      <c r="U1242" s="235">
        <f ca="1">IF($B1242="insumo",R1242,"")</f>
        <v>2.7</v>
      </c>
      <c r="V1242" s="320">
        <v>1</v>
      </c>
      <c r="W1242" s="236">
        <f>IFERROR(IF(B1242="INSUMO",_xlfn.XLOOKUP(S1242,Insumos!A:A,Insumos!C:C),""),"Inserir Preço")</f>
        <v>10.5</v>
      </c>
      <c r="X1242" s="235">
        <f ca="1">IF(B1242="Complemento do insumo",V1242,IF(R1242="","",IF(B1242="serviço",R1242,IF(OR(B1242="insumo"),V1242*R1242,""))))</f>
        <v>2.7</v>
      </c>
      <c r="Y1242" s="236">
        <f t="shared" si="851"/>
        <v>10.5</v>
      </c>
      <c r="Z1242" s="237">
        <f t="shared" ca="1" si="875"/>
        <v>28.35</v>
      </c>
      <c r="AA1242" s="238"/>
      <c r="AB1242" s="233" t="str">
        <f>IF(B1242="insumo",_xlfn.XLOOKUP(S1242,Insumos!A:A,Insumos!D:D),"")</f>
        <v xml:space="preserve"> </v>
      </c>
      <c r="AC1242" s="239">
        <f t="shared" ca="1" si="876"/>
        <v>4.0670659727482048E-6</v>
      </c>
      <c r="AE1242" s="240">
        <f ca="1">IFERROR(IF(OR(Z1242="",Z1242=0),"",IF(AF1242="","",IF(AF1242="R$/mês",Z1242/OBRA!$D$12,IF(AF1242="R$/m²",Z1242/OBRA!$D$10,IF(AF1242="R$/apto",Orçamento!Z1242/OBRA!$D$11,""))))),"")</f>
        <v>1.4589111942487508E-2</v>
      </c>
      <c r="AF1242" s="241" t="s">
        <v>154</v>
      </c>
    </row>
    <row r="1243" spans="1:32" s="10" customFormat="1" ht="13.15" customHeight="1" outlineLevel="2" collapsed="1" x14ac:dyDescent="0.2">
      <c r="A1243" s="227"/>
      <c r="B1243" s="228" t="s">
        <v>2</v>
      </c>
      <c r="C1243" s="229" t="str">
        <f t="shared" si="874"/>
        <v/>
      </c>
      <c r="D1243" s="227" t="str">
        <f t="shared" ca="1" si="861"/>
        <v>13.002</v>
      </c>
      <c r="E1243" s="228" t="str">
        <f t="shared" ca="1" si="862"/>
        <v>13.001.004.004</v>
      </c>
      <c r="F1243" s="230">
        <f ca="1">IF($B1243="UNIDADE CONSTRUTIVA",OFFSET(F1243,-1,0)+1,LARGE(F$10:F1242,1))</f>
        <v>2</v>
      </c>
      <c r="G1243" s="228" t="str">
        <f t="shared" ca="1" si="856"/>
        <v xml:space="preserve">   GERENCIAMENTO EXECUTIVO</v>
      </c>
      <c r="H1243" s="230">
        <f t="shared" ca="1" si="863"/>
        <v>13</v>
      </c>
      <c r="I1243" s="228" t="str">
        <f t="shared" ca="1" si="857"/>
        <v xml:space="preserve">   REVESTIMENTOS INTERNOS DE PAREDE</v>
      </c>
      <c r="J1243" s="230">
        <f t="shared" ca="1" si="864"/>
        <v>2</v>
      </c>
      <c r="K1243" s="228" t="str">
        <f t="shared" ca="1" si="858"/>
        <v xml:space="preserve">   REVESTIMENTOS INTERNOS DE PAREDE - 2º PAVIMENTO - TÉRREO</v>
      </c>
      <c r="L1243" s="231">
        <f t="shared" ca="1" si="865"/>
        <v>0</v>
      </c>
      <c r="M1243" s="228" t="str">
        <f t="shared" ca="1" si="859"/>
        <v xml:space="preserve">   Mão de Obra</v>
      </c>
      <c r="N1243" s="231">
        <f t="shared" ca="1" si="866"/>
        <v>4</v>
      </c>
      <c r="O1243" s="228" t="str">
        <f t="shared" ca="1" si="860"/>
        <v>Mao de obra para colocacao de peitoril</v>
      </c>
      <c r="P1243" s="232" t="str">
        <f>IF(S1243="","",IF(Orçamento!$B1243="INSUMO",S1243,""))</f>
        <v/>
      </c>
      <c r="Q1243" s="244" t="str">
        <f t="shared" si="853"/>
        <v/>
      </c>
      <c r="R1243" s="234">
        <f t="shared" ca="1" si="854"/>
        <v>2.7</v>
      </c>
      <c r="S1243" s="233" t="s">
        <v>726</v>
      </c>
      <c r="T1243" s="242" t="s">
        <v>35</v>
      </c>
      <c r="U1243" s="235" t="str">
        <f>IF($B1243="insumo",R1243,"")</f>
        <v/>
      </c>
      <c r="V1243" s="320" t="s">
        <v>35</v>
      </c>
      <c r="W1243" s="236" t="str">
        <f>IFERROR(IF(B1243="INSUMO",_xlfn.XLOOKUP(S1243,Insumos!A:A,Insumos!C:C),""),"Inserir Preço")</f>
        <v/>
      </c>
      <c r="X1243" s="235" t="str">
        <f t="shared" ca="1" si="855"/>
        <v/>
      </c>
      <c r="Y1243" s="236" t="str">
        <f t="shared" si="851"/>
        <v/>
      </c>
      <c r="Z1243" s="237">
        <f t="shared" ca="1" si="875"/>
        <v>39428.126829291177</v>
      </c>
      <c r="AA1243" s="238"/>
      <c r="AB1243" s="233" t="str">
        <f>IF(B1243="insumo",_xlfn.XLOOKUP(S1243,Insumos!A:A,Insumos!D:D),"")</f>
        <v/>
      </c>
      <c r="AC1243" s="239">
        <f t="shared" ca="1" si="876"/>
        <v>5.6563242679580497E-3</v>
      </c>
      <c r="AE1243" s="240">
        <f ca="1">IFERROR(IF(OR(Z1243="",Z1243=0),"",IF(AF1243="","",IF(AF1243="R$/mês",Z1243/OBRA!$D$12,IF(AF1243="R$/m²",Z1243/OBRA!$D$10,IF(AF1243="R$/apto",Orçamento!Z1243/OBRA!$D$11,""))))),"")</f>
        <v>20.289994920462927</v>
      </c>
      <c r="AF1243" s="241" t="s">
        <v>154</v>
      </c>
    </row>
    <row r="1244" spans="1:32" s="10" customFormat="1" ht="13.15" hidden="1" customHeight="1" outlineLevel="3" collapsed="1" x14ac:dyDescent="0.2">
      <c r="A1244" s="227"/>
      <c r="B1244" s="228" t="s">
        <v>3</v>
      </c>
      <c r="C1244" s="229" t="str">
        <f t="shared" si="874"/>
        <v/>
      </c>
      <c r="D1244" s="227" t="str">
        <f t="shared" ref="D1244:D1255" ca="1" si="877">IF(B1244="Unidade Construtiva",TEXT(F1244,"00"),IF(B1244="Célula Construtiva",TEXT(H1244,"00"),IF(B1244="Etapa",CONCATENATE(TEXT(H1244,"00"),".",TEXT(J1244,"000")),IF(B1244="Subetapa",CONCATENATE(TEXT(H1244,"00"),".",TEXT(J1244,"000"),".",TEXT(L1244,"000")),IF(B1244="Serviço",CONCATENATE(TEXT(H1244,"00"),".",TEXT(J1244,"000"),".",TEXT(L1244,"000"),".",TEXT(N1244,"000")),"")))))</f>
        <v>13.002.001</v>
      </c>
      <c r="E1244" s="228" t="str">
        <f t="shared" ref="E1244:E1255" ca="1" si="878">IF(B1244="*","",IFERROR(IF(B1244="SERVIÇO",D1244,OFFSET(E1244,-1,0)),""))</f>
        <v>13.001.004.004</v>
      </c>
      <c r="F1244" s="230">
        <f ca="1">IF($B1244="UNIDADE CONSTRUTIVA",OFFSET(F1244,-1,0)+1,LARGE(F$10:F1243,1))</f>
        <v>2</v>
      </c>
      <c r="G1244" s="228" t="str">
        <f t="shared" ref="G1244:G1255" ca="1" si="879">IF(B1244="*","",IF(B1244="UNIDADE CONSTRUTIVA",S1244,OFFSET(G1244,-1,0)))</f>
        <v xml:space="preserve">   GERENCIAMENTO EXECUTIVO</v>
      </c>
      <c r="H1244" s="230">
        <f t="shared" ref="H1244:H1255" ca="1" si="880">IF(B1244="UNIDADE CONSTRUTIVA",0,IF(B1244="CÉLULA CONSTRUTIVA",OFFSET(H1244,-1,0)+1,OFFSET(H1244,-1,0)))</f>
        <v>13</v>
      </c>
      <c r="I1244" s="228" t="str">
        <f t="shared" ref="I1244:I1255" ca="1" si="881">IF(B1244="*","",IF(B1244="CÉLULA CONSTRUTIVA",S1244,OFFSET(I1244,-1,0)))</f>
        <v xml:space="preserve">   REVESTIMENTOS INTERNOS DE PAREDE</v>
      </c>
      <c r="J1244" s="230">
        <f t="shared" ref="J1244:J1255" ca="1" si="882">IF(B1244="CÉLULA CONSTRUTIVA",0,IF(B1244="ETAPA",OFFSET(J1244,-1,0)+1,OFFSET(J1244,-1,0)))</f>
        <v>2</v>
      </c>
      <c r="K1244" s="228" t="str">
        <f t="shared" ref="K1244:K1255" ca="1" si="883">IF(B1244="*","",IF(B1244="ETAPA",S1244,OFFSET(K1244,-1,0)))</f>
        <v xml:space="preserve">   REVESTIMENTOS INTERNOS DE PAREDE - 2º PAVIMENTO - TÉRREO</v>
      </c>
      <c r="L1244" s="231">
        <f t="shared" ref="L1244:L1255" ca="1" si="884">IF(B1244="ETAPA",0,IF(B1244="SUBETAPA",OFFSET(L1244,-1,0)+1,OFFSET(L1244,-1,0)))</f>
        <v>1</v>
      </c>
      <c r="M1244" s="228" t="str">
        <f t="shared" ref="M1244:M1255" ca="1" si="885">IF(B1244="*","",IF(B1244="SUBETAPA",S1244,OFFSET(M1244,-1,0)))</f>
        <v xml:space="preserve">   Reboco</v>
      </c>
      <c r="N1244" s="231">
        <f t="shared" ref="N1244:N1255" ca="1" si="886">IF(B1244="Subetapa",0,IF(B1244="serviço",OFFSET(N1244,-1,0)+1,OFFSET(N1244,-1,0)))</f>
        <v>0</v>
      </c>
      <c r="O1244" s="228" t="str">
        <f t="shared" ref="O1244:O1255" ca="1" si="887">IF(B1244="*","",IF(B1244="SERVIÇO",S1244,OFFSET(O1244,-1,0)))</f>
        <v>Mao de obra para colocacao de peitoril</v>
      </c>
      <c r="P1244" s="232" t="str">
        <f>IF(S1244="","",IF(Orçamento!$B1244="INSUMO",S1244,""))</f>
        <v/>
      </c>
      <c r="Q1244" s="244" t="str">
        <f t="shared" ref="Q1244:Q1255" si="888">IF(B1244="","",IF(B1244="Serviço",S1244,""))</f>
        <v/>
      </c>
      <c r="R1244" s="234">
        <f t="shared" ref="R1244:R1255" ca="1" si="889">IF(B1244="serviço",U1244,OFFSET(R1244,-1,0))</f>
        <v>2.7</v>
      </c>
      <c r="S1244" s="233" t="s">
        <v>478</v>
      </c>
      <c r="T1244" s="242" t="s">
        <v>35</v>
      </c>
      <c r="U1244" s="235" t="str">
        <f>IF($B1244="insumo",R1244,"")</f>
        <v/>
      </c>
      <c r="V1244" s="320" t="s">
        <v>35</v>
      </c>
      <c r="W1244" s="236" t="str">
        <f>IFERROR(IF(B1244="INSUMO",_xlfn.XLOOKUP(S1244,Insumos!A:A,Insumos!C:C),""),"Inserir Preço")</f>
        <v/>
      </c>
      <c r="X1244" s="235" t="str">
        <f t="shared" ref="X1244:X1255" ca="1" si="890">IF(B1244="Complemento do insumo",V1244,IF(R1244="","",IF(B1244="serviço",R1244,IF(OR(B1244="insumo"),V1244*R1244,""))))</f>
        <v/>
      </c>
      <c r="Y1244" s="236" t="str">
        <f t="shared" si="851"/>
        <v/>
      </c>
      <c r="Z1244" s="237">
        <f t="shared" ca="1" si="875"/>
        <v>9707.3524899999993</v>
      </c>
      <c r="AA1244" s="238"/>
      <c r="AB1244" s="233" t="str">
        <f>IF(B1244="insumo",_xlfn.XLOOKUP(S1244,Insumos!A:A,Insumos!D:D),"")</f>
        <v/>
      </c>
      <c r="AC1244" s="239">
        <f t="shared" ca="1" si="876"/>
        <v>1.3926082186085204E-3</v>
      </c>
      <c r="AE1244" s="240">
        <f ca="1">IFERROR(IF(OR(Z1244="",Z1244=0),"",IF(AF1244="","",IF(AF1244="R$/mês",Z1244/OBRA!$D$12,IF(AF1244="R$/m²",Z1244/OBRA!$D$10,IF(AF1244="R$/apto",Orçamento!Z1244/OBRA!$D$11,""))))),"")</f>
        <v>4.9954727386876483</v>
      </c>
      <c r="AF1244" s="241" t="s">
        <v>154</v>
      </c>
    </row>
    <row r="1245" spans="1:32" s="10" customFormat="1" ht="13.15" hidden="1" customHeight="1" outlineLevel="4" x14ac:dyDescent="0.2">
      <c r="A1245" s="227"/>
      <c r="B1245" s="228" t="s">
        <v>4</v>
      </c>
      <c r="C1245" s="229">
        <f t="shared" si="874"/>
        <v>6</v>
      </c>
      <c r="D1245" s="227" t="str">
        <f t="shared" ca="1" si="877"/>
        <v>13.002.001.001</v>
      </c>
      <c r="E1245" s="228" t="str">
        <f t="shared" ca="1" si="878"/>
        <v>13.002.001.001</v>
      </c>
      <c r="F1245" s="230">
        <f ca="1">IF($B1245="UNIDADE CONSTRUTIVA",OFFSET(F1245,-1,0)+1,LARGE(F$10:F1244,1))</f>
        <v>2</v>
      </c>
      <c r="G1245" s="228" t="str">
        <f t="shared" ca="1" si="879"/>
        <v xml:space="preserve">   GERENCIAMENTO EXECUTIVO</v>
      </c>
      <c r="H1245" s="230">
        <f t="shared" ca="1" si="880"/>
        <v>13</v>
      </c>
      <c r="I1245" s="228" t="str">
        <f t="shared" ca="1" si="881"/>
        <v xml:space="preserve">   REVESTIMENTOS INTERNOS DE PAREDE</v>
      </c>
      <c r="J1245" s="230">
        <f t="shared" ca="1" si="882"/>
        <v>2</v>
      </c>
      <c r="K1245" s="228" t="str">
        <f t="shared" ca="1" si="883"/>
        <v xml:space="preserve">   REVESTIMENTOS INTERNOS DE PAREDE - 2º PAVIMENTO - TÉRREO</v>
      </c>
      <c r="L1245" s="231">
        <f t="shared" ca="1" si="884"/>
        <v>1</v>
      </c>
      <c r="M1245" s="228" t="str">
        <f t="shared" ca="1" si="885"/>
        <v xml:space="preserve">   Reboco</v>
      </c>
      <c r="N1245" s="231">
        <f t="shared" ca="1" si="886"/>
        <v>1</v>
      </c>
      <c r="O1245" s="228" t="str">
        <f t="shared" ca="1" si="887"/>
        <v>Chapisco aplicado em estruturas de concreto, com desempenadeira dentada, de argamassa industrializada</v>
      </c>
      <c r="P1245" s="232" t="str">
        <f>IF(S1245="","",IF(Orçamento!$B1245="INSUMO",S1245,""))</f>
        <v/>
      </c>
      <c r="Q1245" s="244" t="str">
        <f t="shared" si="888"/>
        <v>Chapisco aplicado em estruturas de concreto, com desempenadeira dentada, de argamassa industrializada</v>
      </c>
      <c r="R1245" s="234">
        <f t="shared" ca="1" si="889"/>
        <v>67.914000000000001</v>
      </c>
      <c r="S1245" s="233" t="s">
        <v>479</v>
      </c>
      <c r="T1245" s="242" t="s">
        <v>140</v>
      </c>
      <c r="U1245" s="235">
        <v>67.914000000000001</v>
      </c>
      <c r="V1245" s="320" t="s">
        <v>35</v>
      </c>
      <c r="W1245" s="236" t="str">
        <f>IFERROR(IF(B1245="INSUMO",_xlfn.XLOOKUP(S1245,Insumos!A:A,Insumos!C:C),""),"Inserir Preço")</f>
        <v/>
      </c>
      <c r="X1245" s="235">
        <f t="shared" ca="1" si="890"/>
        <v>67.914000000000001</v>
      </c>
      <c r="Y1245" s="236">
        <f t="shared" ca="1" si="851"/>
        <v>5.5020000000000007</v>
      </c>
      <c r="Z1245" s="237">
        <f t="shared" ca="1" si="875"/>
        <v>373.66282800000005</v>
      </c>
      <c r="AA1245" s="238"/>
      <c r="AB1245" s="233" t="str">
        <f>IF(B1245="insumo",_xlfn.XLOOKUP(S1245,Insumos!A:A,Insumos!D:D),"")</f>
        <v/>
      </c>
      <c r="AC1245" s="239">
        <f t="shared" ca="1" si="876"/>
        <v>5.3605339437025233E-5</v>
      </c>
      <c r="AE1245" s="240">
        <f ca="1">IFERROR(IF(OR(Z1245="",Z1245=0),"",IF(AF1245="","",IF(AF1245="R$/mês",Z1245/OBRA!$D$12,IF(AF1245="R$/m²",Z1245/OBRA!$D$10,IF(AF1245="R$/apto",Orçamento!Z1245/OBRA!$D$11,""))))),"")</f>
        <v>0.19228955296079212</v>
      </c>
      <c r="AF1245" s="241" t="s">
        <v>154</v>
      </c>
    </row>
    <row r="1246" spans="1:32" s="10" customFormat="1" ht="13.15" hidden="1" customHeight="1" outlineLevel="4" x14ac:dyDescent="0.2">
      <c r="A1246" s="227"/>
      <c r="B1246" s="228" t="s">
        <v>19</v>
      </c>
      <c r="C1246" s="229">
        <f t="shared" si="874"/>
        <v>11</v>
      </c>
      <c r="D1246" s="227" t="str">
        <f t="shared" si="877"/>
        <v/>
      </c>
      <c r="E1246" s="228" t="str">
        <f t="shared" ca="1" si="878"/>
        <v>13.002.001.001</v>
      </c>
      <c r="F1246" s="230">
        <f ca="1">IF($B1246="UNIDADE CONSTRUTIVA",OFFSET(F1246,-1,0)+1,LARGE(F$10:F1245,1))</f>
        <v>2</v>
      </c>
      <c r="G1246" s="228" t="str">
        <f t="shared" ca="1" si="879"/>
        <v xml:space="preserve">   GERENCIAMENTO EXECUTIVO</v>
      </c>
      <c r="H1246" s="230">
        <f t="shared" ca="1" si="880"/>
        <v>13</v>
      </c>
      <c r="I1246" s="228" t="str">
        <f t="shared" ca="1" si="881"/>
        <v xml:space="preserve">   REVESTIMENTOS INTERNOS DE PAREDE</v>
      </c>
      <c r="J1246" s="230">
        <f t="shared" ca="1" si="882"/>
        <v>2</v>
      </c>
      <c r="K1246" s="228" t="str">
        <f t="shared" ca="1" si="883"/>
        <v xml:space="preserve">   REVESTIMENTOS INTERNOS DE PAREDE - 2º PAVIMENTO - TÉRREO</v>
      </c>
      <c r="L1246" s="231">
        <f t="shared" ca="1" si="884"/>
        <v>1</v>
      </c>
      <c r="M1246" s="228" t="str">
        <f t="shared" ca="1" si="885"/>
        <v xml:space="preserve">   Reboco</v>
      </c>
      <c r="N1246" s="231">
        <f t="shared" ca="1" si="886"/>
        <v>1</v>
      </c>
      <c r="O1246" s="228" t="str">
        <f t="shared" ca="1" si="887"/>
        <v>Chapisco aplicado em estruturas de concreto, com desempenadeira dentada, de argamassa industrializada</v>
      </c>
      <c r="P1246" s="232" t="str">
        <f>IF(S1246="","",IF(Orçamento!$B1246="INSUMO",S1246,""))</f>
        <v>CHAPISCO COLANTE 20KG</v>
      </c>
      <c r="Q1246" s="244" t="str">
        <f t="shared" si="888"/>
        <v/>
      </c>
      <c r="R1246" s="234">
        <f t="shared" ca="1" si="889"/>
        <v>67.914000000000001</v>
      </c>
      <c r="S1246" s="233" t="s">
        <v>1027</v>
      </c>
      <c r="T1246" s="242" t="str">
        <f>_xlfn.XLOOKUP(S1246,Insumos!$A$3:$A$371,Insumos!$B$3:$B$371)</f>
        <v>KG</v>
      </c>
      <c r="U1246" s="235">
        <f ca="1">IF($B1246="insumo",R1246,"")</f>
        <v>67.914000000000001</v>
      </c>
      <c r="V1246" s="320">
        <v>4.2</v>
      </c>
      <c r="W1246" s="236">
        <f>IFERROR(IF(B1246="INSUMO",_xlfn.XLOOKUP(S1246,Insumos!A:A,Insumos!C:C),""),"Inserir Preço")</f>
        <v>1.31</v>
      </c>
      <c r="X1246" s="235">
        <f t="shared" ca="1" si="890"/>
        <v>285.23880000000003</v>
      </c>
      <c r="Y1246" s="236">
        <f t="shared" si="851"/>
        <v>5.5020000000000007</v>
      </c>
      <c r="Z1246" s="237">
        <f t="shared" ca="1" si="875"/>
        <v>373.66282800000005</v>
      </c>
      <c r="AA1246" s="238"/>
      <c r="AB1246" s="233" t="str">
        <f>IF(B1246="insumo",_xlfn.XLOOKUP(S1246,Insumos!A:A,Insumos!D:D),"")</f>
        <v xml:space="preserve"> </v>
      </c>
      <c r="AC1246" s="239">
        <f t="shared" ca="1" si="876"/>
        <v>5.3605339437025233E-5</v>
      </c>
      <c r="AE1246" s="240">
        <f ca="1">IFERROR(IF(OR(Z1246="",Z1246=0),"",IF(AF1246="","",IF(AF1246="R$/mês",Z1246/OBRA!$D$12,IF(AF1246="R$/m²",Z1246/OBRA!$D$10,IF(AF1246="R$/apto",Orçamento!Z1246/OBRA!$D$11,""))))),"")</f>
        <v>0.19228955296079212</v>
      </c>
      <c r="AF1246" s="241" t="s">
        <v>154</v>
      </c>
    </row>
    <row r="1247" spans="1:32" s="10" customFormat="1" ht="13.15" hidden="1" customHeight="1" outlineLevel="4" x14ac:dyDescent="0.2">
      <c r="A1247" s="227"/>
      <c r="B1247" s="228" t="s">
        <v>4</v>
      </c>
      <c r="C1247" s="229">
        <f t="shared" si="874"/>
        <v>5</v>
      </c>
      <c r="D1247" s="227" t="str">
        <f t="shared" ca="1" si="877"/>
        <v>13.002.001.002</v>
      </c>
      <c r="E1247" s="228" t="str">
        <f t="shared" ca="1" si="878"/>
        <v>13.002.001.002</v>
      </c>
      <c r="F1247" s="230">
        <f ca="1">IF($B1247="UNIDADE CONSTRUTIVA",OFFSET(F1247,-1,0)+1,LARGE(F$10:F1246,1))</f>
        <v>2</v>
      </c>
      <c r="G1247" s="228" t="str">
        <f t="shared" ca="1" si="879"/>
        <v xml:space="preserve">   GERENCIAMENTO EXECUTIVO</v>
      </c>
      <c r="H1247" s="230">
        <f t="shared" ca="1" si="880"/>
        <v>13</v>
      </c>
      <c r="I1247" s="228" t="str">
        <f t="shared" ca="1" si="881"/>
        <v xml:space="preserve">   REVESTIMENTOS INTERNOS DE PAREDE</v>
      </c>
      <c r="J1247" s="230">
        <f t="shared" ca="1" si="882"/>
        <v>2</v>
      </c>
      <c r="K1247" s="228" t="str">
        <f t="shared" ca="1" si="883"/>
        <v xml:space="preserve">   REVESTIMENTOS INTERNOS DE PAREDE - 2º PAVIMENTO - TÉRREO</v>
      </c>
      <c r="L1247" s="231">
        <f t="shared" ca="1" si="884"/>
        <v>1</v>
      </c>
      <c r="M1247" s="228" t="str">
        <f t="shared" ca="1" si="885"/>
        <v xml:space="preserve">   Reboco</v>
      </c>
      <c r="N1247" s="231">
        <f t="shared" ca="1" si="886"/>
        <v>2</v>
      </c>
      <c r="O1247" s="228" t="str">
        <f t="shared" ca="1" si="887"/>
        <v>Chapisco aplicado em alvenarias internas, com colher de pedreiro, de argamassa estabilizada</v>
      </c>
      <c r="P1247" s="232" t="str">
        <f>IF(S1247="","",IF(Orçamento!$B1247="INSUMO",S1247,""))</f>
        <v/>
      </c>
      <c r="Q1247" s="244" t="str">
        <f t="shared" si="888"/>
        <v>Chapisco aplicado em alvenarias internas, com colher de pedreiro, de argamassa estabilizada</v>
      </c>
      <c r="R1247" s="234">
        <f t="shared" ca="1" si="889"/>
        <v>203.57</v>
      </c>
      <c r="S1247" s="233" t="s">
        <v>480</v>
      </c>
      <c r="T1247" s="242" t="s">
        <v>140</v>
      </c>
      <c r="U1247" s="235">
        <v>203.57</v>
      </c>
      <c r="V1247" s="320" t="s">
        <v>35</v>
      </c>
      <c r="W1247" s="236" t="str">
        <f>IFERROR(IF(B1247="INSUMO",_xlfn.XLOOKUP(S1247,Insumos!A:A,Insumos!C:C),""),"Inserir Preço")</f>
        <v/>
      </c>
      <c r="X1247" s="235">
        <f t="shared" ca="1" si="890"/>
        <v>203.57</v>
      </c>
      <c r="Y1247" s="236">
        <f t="shared" ca="1" si="851"/>
        <v>7.93</v>
      </c>
      <c r="Z1247" s="237">
        <f t="shared" ca="1" si="875"/>
        <v>1614.3100999999999</v>
      </c>
      <c r="AA1247" s="238"/>
      <c r="AB1247" s="233" t="str">
        <f>IF(B1247="insumo",_xlfn.XLOOKUP(S1247,Insumos!A:A,Insumos!D:D),"")</f>
        <v/>
      </c>
      <c r="AC1247" s="239">
        <f t="shared" ca="1" si="876"/>
        <v>2.3158750184034397E-4</v>
      </c>
      <c r="AE1247" s="240">
        <f ca="1">IFERROR(IF(OR(Z1247="",Z1247=0),"",IF(AF1247="","",IF(AF1247="R$/mês",Z1247/OBRA!$D$12,IF(AF1247="R$/m²",Z1247/OBRA!$D$10,IF(AF1247="R$/apto",Orçamento!Z1247/OBRA!$D$11,""))))),"")</f>
        <v>0.83073547650046564</v>
      </c>
      <c r="AF1247" s="241" t="s">
        <v>154</v>
      </c>
    </row>
    <row r="1248" spans="1:32" s="10" customFormat="1" ht="13.15" hidden="1" customHeight="1" outlineLevel="4" x14ac:dyDescent="0.2">
      <c r="A1248" s="227"/>
      <c r="B1248" s="228" t="s">
        <v>19</v>
      </c>
      <c r="C1248" s="229">
        <f t="shared" si="874"/>
        <v>6</v>
      </c>
      <c r="D1248" s="227" t="str">
        <f t="shared" si="877"/>
        <v/>
      </c>
      <c r="E1248" s="228" t="str">
        <f t="shared" ca="1" si="878"/>
        <v>13.002.001.002</v>
      </c>
      <c r="F1248" s="230">
        <f ca="1">IF($B1248="UNIDADE CONSTRUTIVA",OFFSET(F1248,-1,0)+1,LARGE(F$10:F1247,1))</f>
        <v>2</v>
      </c>
      <c r="G1248" s="228" t="str">
        <f t="shared" ca="1" si="879"/>
        <v xml:space="preserve">   GERENCIAMENTO EXECUTIVO</v>
      </c>
      <c r="H1248" s="230">
        <f t="shared" ca="1" si="880"/>
        <v>13</v>
      </c>
      <c r="I1248" s="228" t="str">
        <f t="shared" ca="1" si="881"/>
        <v xml:space="preserve">   REVESTIMENTOS INTERNOS DE PAREDE</v>
      </c>
      <c r="J1248" s="230">
        <f t="shared" ca="1" si="882"/>
        <v>2</v>
      </c>
      <c r="K1248" s="228" t="str">
        <f t="shared" ca="1" si="883"/>
        <v xml:space="preserve">   REVESTIMENTOS INTERNOS DE PAREDE - 2º PAVIMENTO - TÉRREO</v>
      </c>
      <c r="L1248" s="231">
        <f t="shared" ca="1" si="884"/>
        <v>1</v>
      </c>
      <c r="M1248" s="228" t="str">
        <f t="shared" ca="1" si="885"/>
        <v xml:space="preserve">   Reboco</v>
      </c>
      <c r="N1248" s="231">
        <f t="shared" ca="1" si="886"/>
        <v>2</v>
      </c>
      <c r="O1248" s="228" t="str">
        <f t="shared" ca="1" si="887"/>
        <v>Chapisco aplicado em alvenarias internas, com colher de pedreiro, de argamassa estabilizada</v>
      </c>
      <c r="P1248" s="232" t="str">
        <f>IF(S1248="","",IF(Orçamento!$B1248="INSUMO",S1248,""))</f>
        <v>ARGAMASSA ESTABILIZADA PARA CHAPISCO</v>
      </c>
      <c r="Q1248" s="244" t="str">
        <f t="shared" si="888"/>
        <v/>
      </c>
      <c r="R1248" s="234">
        <f t="shared" ca="1" si="889"/>
        <v>203.57</v>
      </c>
      <c r="S1248" s="233" t="s">
        <v>328</v>
      </c>
      <c r="T1248" s="242" t="str">
        <f>_xlfn.XLOOKUP(S1248,Insumos!$A$3:$A$371,Insumos!$B$3:$B$371)</f>
        <v>M3</v>
      </c>
      <c r="U1248" s="235">
        <f ca="1">IF($B1248="insumo",R1248,"")</f>
        <v>203.57</v>
      </c>
      <c r="V1248" s="320">
        <v>1.888095238095238E-2</v>
      </c>
      <c r="W1248" s="236">
        <f>IFERROR(IF(B1248="INSUMO",_xlfn.XLOOKUP(S1248,Insumos!A:A,Insumos!C:C),""),"Inserir Preço")</f>
        <v>420</v>
      </c>
      <c r="X1248" s="235">
        <f t="shared" ca="1" si="890"/>
        <v>3.843595476190476</v>
      </c>
      <c r="Y1248" s="236">
        <f t="shared" si="851"/>
        <v>7.93</v>
      </c>
      <c r="Z1248" s="237">
        <f t="shared" ca="1" si="875"/>
        <v>1614.3100999999999</v>
      </c>
      <c r="AA1248" s="238"/>
      <c r="AB1248" s="233" t="str">
        <f>IF(B1248="insumo",_xlfn.XLOOKUP(S1248,Insumos!A:A,Insumos!D:D),"")</f>
        <v xml:space="preserve"> </v>
      </c>
      <c r="AC1248" s="239">
        <f t="shared" ca="1" si="876"/>
        <v>2.3158750184034397E-4</v>
      </c>
      <c r="AE1248" s="240">
        <f ca="1">IFERROR(IF(OR(Z1248="",Z1248=0),"",IF(AF1248="","",IF(AF1248="R$/mês",Z1248/OBRA!$D$12,IF(AF1248="R$/m²",Z1248/OBRA!$D$10,IF(AF1248="R$/apto",Orçamento!Z1248/OBRA!$D$11,""))))),"")</f>
        <v>0.83073547650046564</v>
      </c>
      <c r="AF1248" s="241" t="s">
        <v>154</v>
      </c>
    </row>
    <row r="1249" spans="1:32" s="10" customFormat="1" ht="13.15" hidden="1" customHeight="1" outlineLevel="4" x14ac:dyDescent="0.2">
      <c r="A1249" s="227"/>
      <c r="B1249" s="228" t="s">
        <v>4</v>
      </c>
      <c r="C1249" s="229">
        <f t="shared" si="874"/>
        <v>5</v>
      </c>
      <c r="D1249" s="227" t="str">
        <f t="shared" ca="1" si="877"/>
        <v>13.002.001.003</v>
      </c>
      <c r="E1249" s="228" t="str">
        <f t="shared" ca="1" si="878"/>
        <v>13.002.001.003</v>
      </c>
      <c r="F1249" s="230">
        <f ca="1">IF($B1249="UNIDADE CONSTRUTIVA",OFFSET(F1249,-1,0)+1,LARGE(F$10:F1248,1))</f>
        <v>2</v>
      </c>
      <c r="G1249" s="228" t="str">
        <f t="shared" ca="1" si="879"/>
        <v xml:space="preserve">   GERENCIAMENTO EXECUTIVO</v>
      </c>
      <c r="H1249" s="230">
        <f t="shared" ca="1" si="880"/>
        <v>13</v>
      </c>
      <c r="I1249" s="228" t="str">
        <f t="shared" ca="1" si="881"/>
        <v xml:space="preserve">   REVESTIMENTOS INTERNOS DE PAREDE</v>
      </c>
      <c r="J1249" s="230">
        <f t="shared" ca="1" si="882"/>
        <v>2</v>
      </c>
      <c r="K1249" s="228" t="str">
        <f t="shared" ca="1" si="883"/>
        <v xml:space="preserve">   REVESTIMENTOS INTERNOS DE PAREDE - 2º PAVIMENTO - TÉRREO</v>
      </c>
      <c r="L1249" s="231">
        <f t="shared" ca="1" si="884"/>
        <v>1</v>
      </c>
      <c r="M1249" s="228" t="str">
        <f t="shared" ca="1" si="885"/>
        <v xml:space="preserve">   Reboco</v>
      </c>
      <c r="N1249" s="231">
        <f t="shared" ca="1" si="886"/>
        <v>3</v>
      </c>
      <c r="O1249" s="228" t="str">
        <f t="shared" ca="1" si="887"/>
        <v>Massa unica para reboco interno em argamassa estabilizada, espessura de 20mm, com execucao de taliscas</v>
      </c>
      <c r="P1249" s="232" t="str">
        <f>IF(S1249="","",IF(Orçamento!$B1249="INSUMO",S1249,""))</f>
        <v/>
      </c>
      <c r="Q1249" s="244" t="str">
        <f t="shared" si="888"/>
        <v>Massa unica para reboco interno em argamassa estabilizada, espessura de 20mm, com execucao de taliscas</v>
      </c>
      <c r="R1249" s="234">
        <f t="shared" ca="1" si="889"/>
        <v>401.63400000000001</v>
      </c>
      <c r="S1249" s="233" t="s">
        <v>481</v>
      </c>
      <c r="T1249" s="242" t="s">
        <v>140</v>
      </c>
      <c r="U1249" s="235">
        <v>401.63400000000001</v>
      </c>
      <c r="V1249" s="320" t="s">
        <v>35</v>
      </c>
      <c r="W1249" s="236" t="str">
        <f>IFERROR(IF(B1249="INSUMO",_xlfn.XLOOKUP(S1249,Insumos!A:A,Insumos!C:C),""),"Inserir Preço")</f>
        <v/>
      </c>
      <c r="X1249" s="235">
        <f t="shared" ca="1" si="890"/>
        <v>401.63400000000001</v>
      </c>
      <c r="Y1249" s="236">
        <f t="shared" ca="1" si="851"/>
        <v>19.008000000000003</v>
      </c>
      <c r="Z1249" s="237">
        <f t="shared" ca="1" si="875"/>
        <v>7634.2590720000017</v>
      </c>
      <c r="AA1249" s="238"/>
      <c r="AB1249" s="233" t="str">
        <f>IF(B1249="insumo",_xlfn.XLOOKUP(S1249,Insumos!A:A,Insumos!D:D),"")</f>
        <v/>
      </c>
      <c r="AC1249" s="239">
        <f t="shared" ca="1" si="876"/>
        <v>1.0952040669797351E-3</v>
      </c>
      <c r="AE1249" s="240">
        <f ca="1">IFERROR(IF(OR(Z1249="",Z1249=0),"",IF(AF1249="","",IF(AF1249="R$/mês",Z1249/OBRA!$D$12,IF(AF1249="R$/m²",Z1249/OBRA!$D$10,IF(AF1249="R$/apto",Orçamento!Z1249/OBRA!$D$11,""))))),"")</f>
        <v>3.9286440987428155</v>
      </c>
      <c r="AF1249" s="241" t="s">
        <v>154</v>
      </c>
    </row>
    <row r="1250" spans="1:32" s="10" customFormat="1" ht="13.15" hidden="1" customHeight="1" outlineLevel="4" x14ac:dyDescent="0.2">
      <c r="A1250" s="227"/>
      <c r="B1250" s="228" t="s">
        <v>19</v>
      </c>
      <c r="C1250" s="229">
        <f t="shared" si="874"/>
        <v>11</v>
      </c>
      <c r="D1250" s="227" t="str">
        <f t="shared" si="877"/>
        <v/>
      </c>
      <c r="E1250" s="228" t="str">
        <f t="shared" ca="1" si="878"/>
        <v>13.002.001.003</v>
      </c>
      <c r="F1250" s="230">
        <f ca="1">IF($B1250="UNIDADE CONSTRUTIVA",OFFSET(F1250,-1,0)+1,LARGE(F$10:F1249,1))</f>
        <v>2</v>
      </c>
      <c r="G1250" s="228" t="str">
        <f t="shared" ca="1" si="879"/>
        <v xml:space="preserve">   GERENCIAMENTO EXECUTIVO</v>
      </c>
      <c r="H1250" s="230">
        <f t="shared" ca="1" si="880"/>
        <v>13</v>
      </c>
      <c r="I1250" s="228" t="str">
        <f t="shared" ca="1" si="881"/>
        <v xml:space="preserve">   REVESTIMENTOS INTERNOS DE PAREDE</v>
      </c>
      <c r="J1250" s="230">
        <f t="shared" ca="1" si="882"/>
        <v>2</v>
      </c>
      <c r="K1250" s="228" t="str">
        <f t="shared" ca="1" si="883"/>
        <v xml:space="preserve">   REVESTIMENTOS INTERNOS DE PAREDE - 2º PAVIMENTO - TÉRREO</v>
      </c>
      <c r="L1250" s="231">
        <f t="shared" ca="1" si="884"/>
        <v>1</v>
      </c>
      <c r="M1250" s="228" t="str">
        <f t="shared" ca="1" si="885"/>
        <v xml:space="preserve">   Reboco</v>
      </c>
      <c r="N1250" s="231">
        <f t="shared" ca="1" si="886"/>
        <v>3</v>
      </c>
      <c r="O1250" s="228" t="str">
        <f t="shared" ca="1" si="887"/>
        <v>Massa unica para reboco interno em argamassa estabilizada, espessura de 20mm, com execucao de taliscas</v>
      </c>
      <c r="P1250" s="232" t="str">
        <f>IF(S1250="","",IF(Orçamento!$B1250="INSUMO",S1250,""))</f>
        <v>ARGAMASSA ESTABILIZADA PARA REBOCO</v>
      </c>
      <c r="Q1250" s="244" t="str">
        <f t="shared" si="888"/>
        <v/>
      </c>
      <c r="R1250" s="234">
        <f t="shared" ca="1" si="889"/>
        <v>401.63400000000001</v>
      </c>
      <c r="S1250" s="233" t="s">
        <v>256</v>
      </c>
      <c r="T1250" s="242" t="str">
        <f>_xlfn.XLOOKUP(S1250,Insumos!$A$3:$A$371,Insumos!$B$3:$B$371)</f>
        <v>M3</v>
      </c>
      <c r="U1250" s="235">
        <f ca="1">IF($B1250="insumo",R1250,"")</f>
        <v>401.63400000000001</v>
      </c>
      <c r="V1250" s="320">
        <v>3.9600000000000003E-2</v>
      </c>
      <c r="W1250" s="236">
        <f>IFERROR(IF(B1250="INSUMO",_xlfn.XLOOKUP(S1250,Insumos!A:A,Insumos!C:C),""),"Inserir Preço")</f>
        <v>480</v>
      </c>
      <c r="X1250" s="235">
        <f t="shared" ca="1" si="890"/>
        <v>15.904706400000002</v>
      </c>
      <c r="Y1250" s="236">
        <f t="shared" si="851"/>
        <v>19.008000000000003</v>
      </c>
      <c r="Z1250" s="237">
        <f t="shared" ca="1" si="875"/>
        <v>7634.2590720000007</v>
      </c>
      <c r="AA1250" s="238"/>
      <c r="AB1250" s="233" t="str">
        <f>IF(B1250="insumo",_xlfn.XLOOKUP(S1250,Insumos!A:A,Insumos!D:D),"")</f>
        <v xml:space="preserve"> </v>
      </c>
      <c r="AC1250" s="239">
        <f t="shared" ca="1" si="876"/>
        <v>1.0952040669797351E-3</v>
      </c>
      <c r="AE1250" s="240">
        <f ca="1">IFERROR(IF(OR(Z1250="",Z1250=0),"",IF(AF1250="","",IF(AF1250="R$/mês",Z1250/OBRA!$D$12,IF(AF1250="R$/m²",Z1250/OBRA!$D$10,IF(AF1250="R$/apto",Orçamento!Z1250/OBRA!$D$11,""))))),"")</f>
        <v>3.9286440987428151</v>
      </c>
      <c r="AF1250" s="241" t="s">
        <v>154</v>
      </c>
    </row>
    <row r="1251" spans="1:32" s="10" customFormat="1" ht="13.15" hidden="1" customHeight="1" outlineLevel="4" x14ac:dyDescent="0.2">
      <c r="A1251" s="227"/>
      <c r="B1251" s="228" t="s">
        <v>4</v>
      </c>
      <c r="C1251" s="229">
        <f t="shared" si="874"/>
        <v>5</v>
      </c>
      <c r="D1251" s="227" t="str">
        <f t="shared" ca="1" si="877"/>
        <v>13.002.001.004</v>
      </c>
      <c r="E1251" s="228" t="str">
        <f t="shared" ca="1" si="878"/>
        <v>13.002.001.004</v>
      </c>
      <c r="F1251" s="230">
        <f ca="1">IF($B1251="UNIDADE CONSTRUTIVA",OFFSET(F1251,-1,0)+1,LARGE(F$10:F1250,1))</f>
        <v>2</v>
      </c>
      <c r="G1251" s="228" t="str">
        <f t="shared" ca="1" si="879"/>
        <v xml:space="preserve">   GERENCIAMENTO EXECUTIVO</v>
      </c>
      <c r="H1251" s="230">
        <f t="shared" ca="1" si="880"/>
        <v>13</v>
      </c>
      <c r="I1251" s="228" t="str">
        <f t="shared" ca="1" si="881"/>
        <v xml:space="preserve">   REVESTIMENTOS INTERNOS DE PAREDE</v>
      </c>
      <c r="J1251" s="230">
        <f t="shared" ca="1" si="882"/>
        <v>2</v>
      </c>
      <c r="K1251" s="228" t="str">
        <f t="shared" ca="1" si="883"/>
        <v xml:space="preserve">   REVESTIMENTOS INTERNOS DE PAREDE - 2º PAVIMENTO - TÉRREO</v>
      </c>
      <c r="L1251" s="231">
        <f t="shared" ca="1" si="884"/>
        <v>1</v>
      </c>
      <c r="M1251" s="228" t="str">
        <f t="shared" ca="1" si="885"/>
        <v xml:space="preserve">   Reboco</v>
      </c>
      <c r="N1251" s="231">
        <f t="shared" ca="1" si="886"/>
        <v>4</v>
      </c>
      <c r="O1251" s="228" t="str">
        <f t="shared" ca="1" si="887"/>
        <v>Estucamento de estrutura de concreto em pilares e vigas</v>
      </c>
      <c r="P1251" s="232" t="str">
        <f>IF(S1251="","",IF(Orçamento!$B1251="INSUMO",S1251,""))</f>
        <v/>
      </c>
      <c r="Q1251" s="244" t="str">
        <f t="shared" si="888"/>
        <v>Estucamento de estrutura de concreto em pilares e vigas</v>
      </c>
      <c r="R1251" s="234">
        <f t="shared" ca="1" si="889"/>
        <v>21.02</v>
      </c>
      <c r="S1251" s="233" t="s">
        <v>482</v>
      </c>
      <c r="T1251" s="242" t="s">
        <v>140</v>
      </c>
      <c r="U1251" s="235">
        <v>21.02</v>
      </c>
      <c r="V1251" s="320" t="s">
        <v>35</v>
      </c>
      <c r="W1251" s="236" t="str">
        <f>IFERROR(IF(B1251="INSUMO",_xlfn.XLOOKUP(S1251,Insumos!A:A,Insumos!C:C),""),"Inserir Preço")</f>
        <v/>
      </c>
      <c r="X1251" s="235">
        <f t="shared" ca="1" si="890"/>
        <v>21.02</v>
      </c>
      <c r="Y1251" s="236">
        <f t="shared" ca="1" si="851"/>
        <v>4.0495000000000001</v>
      </c>
      <c r="Z1251" s="237">
        <f t="shared" ca="1" si="875"/>
        <v>85.120490000000004</v>
      </c>
      <c r="AA1251" s="238"/>
      <c r="AB1251" s="233" t="str">
        <f>IF(B1251="insumo",_xlfn.XLOOKUP(S1251,Insumos!A:A,Insumos!D:D),"")</f>
        <v/>
      </c>
      <c r="AC1251" s="239">
        <f t="shared" ca="1" si="876"/>
        <v>1.2211310351416362E-5</v>
      </c>
      <c r="AE1251" s="240">
        <f ca="1">IFERROR(IF(OR(Z1251="",Z1251=0),"",IF(AF1251="","",IF(AF1251="R$/mês",Z1251/OBRA!$D$12,IF(AF1251="R$/m²",Z1251/OBRA!$D$10,IF(AF1251="R$/apto",Orçamento!Z1251/OBRA!$D$11,""))))),"")</f>
        <v>4.3803610483576318E-2</v>
      </c>
      <c r="AF1251" s="241" t="s">
        <v>154</v>
      </c>
    </row>
    <row r="1252" spans="1:32" s="10" customFormat="1" ht="13.15" hidden="1" customHeight="1" outlineLevel="4" x14ac:dyDescent="0.2">
      <c r="A1252" s="227"/>
      <c r="B1252" s="228" t="s">
        <v>19</v>
      </c>
      <c r="C1252" s="229">
        <f t="shared" si="874"/>
        <v>13</v>
      </c>
      <c r="D1252" s="227" t="str">
        <f t="shared" si="877"/>
        <v/>
      </c>
      <c r="E1252" s="228" t="str">
        <f t="shared" ca="1" si="878"/>
        <v>13.002.001.004</v>
      </c>
      <c r="F1252" s="230">
        <f ca="1">IF($B1252="UNIDADE CONSTRUTIVA",OFFSET(F1252,-1,0)+1,LARGE(F$10:F1251,1))</f>
        <v>2</v>
      </c>
      <c r="G1252" s="228" t="str">
        <f t="shared" ca="1" si="879"/>
        <v xml:space="preserve">   GERENCIAMENTO EXECUTIVO</v>
      </c>
      <c r="H1252" s="230">
        <f t="shared" ca="1" si="880"/>
        <v>13</v>
      </c>
      <c r="I1252" s="228" t="str">
        <f t="shared" ca="1" si="881"/>
        <v xml:space="preserve">   REVESTIMENTOS INTERNOS DE PAREDE</v>
      </c>
      <c r="J1252" s="230">
        <f t="shared" ca="1" si="882"/>
        <v>2</v>
      </c>
      <c r="K1252" s="228" t="str">
        <f t="shared" ca="1" si="883"/>
        <v xml:space="preserve">   REVESTIMENTOS INTERNOS DE PAREDE - 2º PAVIMENTO - TÉRREO</v>
      </c>
      <c r="L1252" s="231">
        <f t="shared" ca="1" si="884"/>
        <v>1</v>
      </c>
      <c r="M1252" s="228" t="str">
        <f t="shared" ca="1" si="885"/>
        <v xml:space="preserve">   Reboco</v>
      </c>
      <c r="N1252" s="231">
        <f t="shared" ca="1" si="886"/>
        <v>4</v>
      </c>
      <c r="O1252" s="228" t="str">
        <f t="shared" ca="1" si="887"/>
        <v>Estucamento de estrutura de concreto em pilares e vigas</v>
      </c>
      <c r="P1252" s="232" t="str">
        <f>IF(S1252="","",IF(Orçamento!$B1252="INSUMO",S1252,""))</f>
        <v>CIMENTO PORTLAND CP II 32 - Z</v>
      </c>
      <c r="Q1252" s="244" t="str">
        <f t="shared" si="888"/>
        <v/>
      </c>
      <c r="R1252" s="234">
        <f t="shared" ca="1" si="889"/>
        <v>21.02</v>
      </c>
      <c r="S1252" s="233" t="s">
        <v>343</v>
      </c>
      <c r="T1252" s="242" t="str">
        <f>_xlfn.XLOOKUP(S1252,Insumos!$A$3:$A$371,Insumos!$B$3:$B$371)</f>
        <v>KG</v>
      </c>
      <c r="U1252" s="235">
        <f ca="1">IF($B1252="insumo",R1252,"")</f>
        <v>21.02</v>
      </c>
      <c r="V1252" s="320">
        <v>0.6</v>
      </c>
      <c r="W1252" s="236">
        <f>IFERROR(IF(B1252="INSUMO",_xlfn.XLOOKUP(S1252,Insumos!A:A,Insumos!C:C),""),"Inserir Preço")</f>
        <v>0.74</v>
      </c>
      <c r="X1252" s="235">
        <f t="shared" ca="1" si="890"/>
        <v>12.612</v>
      </c>
      <c r="Y1252" s="236">
        <f t="shared" si="851"/>
        <v>0.44400000000000001</v>
      </c>
      <c r="Z1252" s="237">
        <f t="shared" ca="1" si="875"/>
        <v>9.3328799999999994</v>
      </c>
      <c r="AA1252" s="238"/>
      <c r="AB1252" s="233" t="str">
        <f>IF(B1252="insumo",_xlfn.XLOOKUP(S1252,Insumos!A:A,Insumos!D:D),"")</f>
        <v xml:space="preserve"> </v>
      </c>
      <c r="AC1252" s="239">
        <f t="shared" ca="1" si="876"/>
        <v>1.3388867257757412E-6</v>
      </c>
      <c r="AE1252" s="240">
        <f ca="1">IFERROR(IF(OR(Z1252="",Z1252=0),"",IF(AF1252="","",IF(AF1252="R$/mês",Z1252/OBRA!$D$12,IF(AF1252="R$/m²",Z1252/OBRA!$D$10,IF(AF1252="R$/apto",Orçamento!Z1252/OBRA!$D$11,""))))),"")</f>
        <v>4.8027665278942786E-3</v>
      </c>
      <c r="AF1252" s="241" t="s">
        <v>154</v>
      </c>
    </row>
    <row r="1253" spans="1:32" s="10" customFormat="1" ht="13.15" hidden="1" customHeight="1" outlineLevel="4" x14ac:dyDescent="0.2">
      <c r="A1253" s="227"/>
      <c r="B1253" s="228" t="s">
        <v>19</v>
      </c>
      <c r="C1253" s="229">
        <f t="shared" si="874"/>
        <v>7</v>
      </c>
      <c r="D1253" s="227" t="str">
        <f t="shared" si="877"/>
        <v/>
      </c>
      <c r="E1253" s="228" t="str">
        <f t="shared" ca="1" si="878"/>
        <v>13.002.001.004</v>
      </c>
      <c r="F1253" s="230">
        <f ca="1">IF($B1253="UNIDADE CONSTRUTIVA",OFFSET(F1253,-1,0)+1,LARGE(F$10:F1252,1))</f>
        <v>2</v>
      </c>
      <c r="G1253" s="228" t="str">
        <f t="shared" ca="1" si="879"/>
        <v xml:space="preserve">   GERENCIAMENTO EXECUTIVO</v>
      </c>
      <c r="H1253" s="230">
        <f t="shared" ca="1" si="880"/>
        <v>13</v>
      </c>
      <c r="I1253" s="228" t="str">
        <f t="shared" ca="1" si="881"/>
        <v xml:space="preserve">   REVESTIMENTOS INTERNOS DE PAREDE</v>
      </c>
      <c r="J1253" s="230">
        <f t="shared" ca="1" si="882"/>
        <v>2</v>
      </c>
      <c r="K1253" s="228" t="str">
        <f t="shared" ca="1" si="883"/>
        <v xml:space="preserve">   REVESTIMENTOS INTERNOS DE PAREDE - 2º PAVIMENTO - TÉRREO</v>
      </c>
      <c r="L1253" s="231">
        <f t="shared" ca="1" si="884"/>
        <v>1</v>
      </c>
      <c r="M1253" s="228" t="str">
        <f t="shared" ca="1" si="885"/>
        <v xml:space="preserve">   Reboco</v>
      </c>
      <c r="N1253" s="231">
        <f t="shared" ca="1" si="886"/>
        <v>4</v>
      </c>
      <c r="O1253" s="228" t="str">
        <f t="shared" ca="1" si="887"/>
        <v>Estucamento de estrutura de concreto em pilares e vigas</v>
      </c>
      <c r="P1253" s="232" t="str">
        <f>IF(S1253="","",IF(Orçamento!$B1253="INSUMO",S1253,""))</f>
        <v>CIMENTO BRANCO</v>
      </c>
      <c r="Q1253" s="244" t="str">
        <f t="shared" si="888"/>
        <v/>
      </c>
      <c r="R1253" s="234">
        <f t="shared" ca="1" si="889"/>
        <v>21.02</v>
      </c>
      <c r="S1253" s="233" t="s">
        <v>379</v>
      </c>
      <c r="T1253" s="242" t="str">
        <f>_xlfn.XLOOKUP(S1253,Insumos!$A$3:$A$371,Insumos!$B$3:$B$371)</f>
        <v>KG</v>
      </c>
      <c r="U1253" s="235">
        <f ca="1">IF($B1253="insumo",R1253,"")</f>
        <v>21.02</v>
      </c>
      <c r="V1253" s="320">
        <v>0.3</v>
      </c>
      <c r="W1253" s="236">
        <f>IFERROR(IF(B1253="INSUMO",_xlfn.XLOOKUP(S1253,Insumos!A:A,Insumos!C:C),""),"Inserir Preço")</f>
        <v>2.64</v>
      </c>
      <c r="X1253" s="235">
        <f t="shared" ca="1" si="890"/>
        <v>6.306</v>
      </c>
      <c r="Y1253" s="236">
        <f t="shared" si="851"/>
        <v>0.79200000000000004</v>
      </c>
      <c r="Z1253" s="237">
        <f t="shared" ca="1" si="875"/>
        <v>16.647840000000002</v>
      </c>
      <c r="AA1253" s="238"/>
      <c r="AB1253" s="233" t="str">
        <f>IF(B1253="insumo",_xlfn.XLOOKUP(S1253,Insumos!A:A,Insumos!D:D),"")</f>
        <v xml:space="preserve"> </v>
      </c>
      <c r="AC1253" s="239">
        <f t="shared" ca="1" si="876"/>
        <v>2.3882844297621334E-6</v>
      </c>
      <c r="AE1253" s="240">
        <f ca="1">IFERROR(IF(OR(Z1253="",Z1253=0),"",IF(AF1253="","",IF(AF1253="R$/mês",Z1253/OBRA!$D$12,IF(AF1253="R$/m²",Z1253/OBRA!$D$10,IF(AF1253="R$/apto",Orçamento!Z1253/OBRA!$D$11,""))))),"")</f>
        <v>8.5670970497573641E-3</v>
      </c>
      <c r="AF1253" s="241" t="s">
        <v>154</v>
      </c>
    </row>
    <row r="1254" spans="1:32" s="10" customFormat="1" ht="13.15" hidden="1" customHeight="1" outlineLevel="4" x14ac:dyDescent="0.2">
      <c r="A1254" s="227"/>
      <c r="B1254" s="228" t="s">
        <v>19</v>
      </c>
      <c r="C1254" s="229">
        <f t="shared" si="874"/>
        <v>19</v>
      </c>
      <c r="D1254" s="227" t="str">
        <f t="shared" si="877"/>
        <v/>
      </c>
      <c r="E1254" s="228" t="str">
        <f t="shared" ca="1" si="878"/>
        <v>13.002.001.004</v>
      </c>
      <c r="F1254" s="230">
        <f ca="1">IF($B1254="UNIDADE CONSTRUTIVA",OFFSET(F1254,-1,0)+1,LARGE(F$10:F1253,1))</f>
        <v>2</v>
      </c>
      <c r="G1254" s="228" t="str">
        <f t="shared" ca="1" si="879"/>
        <v xml:space="preserve">   GERENCIAMENTO EXECUTIVO</v>
      </c>
      <c r="H1254" s="230">
        <f t="shared" ca="1" si="880"/>
        <v>13</v>
      </c>
      <c r="I1254" s="228" t="str">
        <f t="shared" ca="1" si="881"/>
        <v xml:space="preserve">   REVESTIMENTOS INTERNOS DE PAREDE</v>
      </c>
      <c r="J1254" s="230">
        <f t="shared" ca="1" si="882"/>
        <v>2</v>
      </c>
      <c r="K1254" s="228" t="str">
        <f t="shared" ca="1" si="883"/>
        <v xml:space="preserve">   REVESTIMENTOS INTERNOS DE PAREDE - 2º PAVIMENTO - TÉRREO</v>
      </c>
      <c r="L1254" s="231">
        <f t="shared" ca="1" si="884"/>
        <v>1</v>
      </c>
      <c r="M1254" s="228" t="str">
        <f t="shared" ca="1" si="885"/>
        <v xml:space="preserve">   Reboco</v>
      </c>
      <c r="N1254" s="231">
        <f t="shared" ca="1" si="886"/>
        <v>4</v>
      </c>
      <c r="O1254" s="228" t="str">
        <f t="shared" ca="1" si="887"/>
        <v>Estucamento de estrutura de concreto em pilares e vigas</v>
      </c>
      <c r="P1254" s="232" t="str">
        <f>IF(S1254="","",IF(Orçamento!$B1254="INSUMO",S1254,""))</f>
        <v>LIXA EM FOLHA PARA PAREDE OU MADEIRA N° 120</v>
      </c>
      <c r="Q1254" s="244" t="str">
        <f t="shared" si="888"/>
        <v/>
      </c>
      <c r="R1254" s="234">
        <f t="shared" ca="1" si="889"/>
        <v>21.02</v>
      </c>
      <c r="S1254" s="233" t="s">
        <v>922</v>
      </c>
      <c r="T1254" s="242" t="str">
        <f>_xlfn.XLOOKUP(S1254,Insumos!$A$3:$A$371,Insumos!$B$3:$B$371)</f>
        <v>UN</v>
      </c>
      <c r="U1254" s="235">
        <f ca="1">IF($B1254="insumo",R1254,"")</f>
        <v>21.02</v>
      </c>
      <c r="V1254" s="320">
        <v>0.05</v>
      </c>
      <c r="W1254" s="236">
        <f>IFERROR(IF(B1254="INSUMO",_xlfn.XLOOKUP(S1254,Insumos!A:A,Insumos!C:C),""),"Inserir Preço")</f>
        <v>2.2999999999999998</v>
      </c>
      <c r="X1254" s="235">
        <f t="shared" ca="1" si="890"/>
        <v>1.0509999999999999</v>
      </c>
      <c r="Y1254" s="236">
        <f t="shared" si="851"/>
        <v>0.11499999999999999</v>
      </c>
      <c r="Z1254" s="237">
        <f t="shared" ca="1" si="875"/>
        <v>2.4172999999999996</v>
      </c>
      <c r="AA1254" s="238"/>
      <c r="AB1254" s="233" t="str">
        <f>IF(B1254="insumo",_xlfn.XLOOKUP(S1254,Insumos!A:A,Insumos!D:D),"")</f>
        <v xml:space="preserve"> </v>
      </c>
      <c r="AC1254" s="239">
        <f t="shared" ca="1" si="876"/>
        <v>3.4678372401849147E-7</v>
      </c>
      <c r="AE1254" s="240">
        <f ca="1">IFERROR(IF(OR(Z1254="",Z1254=0),"",IF(AF1254="","",IF(AF1254="R$/mês",Z1254/OBRA!$D$12,IF(AF1254="R$/m²",Z1254/OBRA!$D$10,IF(AF1254="R$/apto",Orçamento!Z1254/OBRA!$D$11,""))))),"")</f>
        <v>1.243959798891536E-3</v>
      </c>
      <c r="AF1254" s="241" t="s">
        <v>154</v>
      </c>
    </row>
    <row r="1255" spans="1:32" s="10" customFormat="1" ht="13.15" hidden="1" customHeight="1" outlineLevel="4" x14ac:dyDescent="0.2">
      <c r="A1255" s="227"/>
      <c r="B1255" s="228" t="s">
        <v>19</v>
      </c>
      <c r="C1255" s="229">
        <f t="shared" si="874"/>
        <v>7</v>
      </c>
      <c r="D1255" s="227" t="str">
        <f t="shared" si="877"/>
        <v/>
      </c>
      <c r="E1255" s="228" t="str">
        <f t="shared" ca="1" si="878"/>
        <v>13.002.001.004</v>
      </c>
      <c r="F1255" s="230">
        <f ca="1">IF($B1255="UNIDADE CONSTRUTIVA",OFFSET(F1255,-1,0)+1,LARGE(F$10:F1254,1))</f>
        <v>2</v>
      </c>
      <c r="G1255" s="228" t="str">
        <f t="shared" ca="1" si="879"/>
        <v xml:space="preserve">   GERENCIAMENTO EXECUTIVO</v>
      </c>
      <c r="H1255" s="230">
        <f t="shared" ca="1" si="880"/>
        <v>13</v>
      </c>
      <c r="I1255" s="228" t="str">
        <f t="shared" ca="1" si="881"/>
        <v xml:space="preserve">   REVESTIMENTOS INTERNOS DE PAREDE</v>
      </c>
      <c r="J1255" s="230">
        <f t="shared" ca="1" si="882"/>
        <v>2</v>
      </c>
      <c r="K1255" s="228" t="str">
        <f t="shared" ca="1" si="883"/>
        <v xml:space="preserve">   REVESTIMENTOS INTERNOS DE PAREDE - 2º PAVIMENTO - TÉRREO</v>
      </c>
      <c r="L1255" s="231">
        <f t="shared" ca="1" si="884"/>
        <v>1</v>
      </c>
      <c r="M1255" s="228" t="str">
        <f t="shared" ca="1" si="885"/>
        <v xml:space="preserve">   Reboco</v>
      </c>
      <c r="N1255" s="231">
        <f t="shared" ca="1" si="886"/>
        <v>4</v>
      </c>
      <c r="O1255" s="228" t="str">
        <f t="shared" ca="1" si="887"/>
        <v>Estucamento de estrutura de concreto em pilares e vigas</v>
      </c>
      <c r="P1255" s="232" t="str">
        <f>IF(S1255="","",IF(Orçamento!$B1255="INSUMO",S1255,""))</f>
        <v>ADESIVO DE BASE ACRILICA COMPATIVEL COM CIMENTO</v>
      </c>
      <c r="Q1255" s="244" t="str">
        <f t="shared" si="888"/>
        <v/>
      </c>
      <c r="R1255" s="234">
        <f t="shared" ca="1" si="889"/>
        <v>21.02</v>
      </c>
      <c r="S1255" s="233" t="s">
        <v>355</v>
      </c>
      <c r="T1255" s="242" t="str">
        <f>_xlfn.XLOOKUP(S1255,Insumos!$A$3:$A$371,Insumos!$B$3:$B$371)</f>
        <v>KG</v>
      </c>
      <c r="U1255" s="235">
        <f ca="1">IF($B1255="insumo",R1255,"")</f>
        <v>21.02</v>
      </c>
      <c r="V1255" s="320">
        <v>0.15</v>
      </c>
      <c r="W1255" s="236">
        <f>IFERROR(IF(B1255="INSUMO",_xlfn.XLOOKUP(S1255,Insumos!A:A,Insumos!C:C),""),"Inserir Preço")</f>
        <v>17.990000000000002</v>
      </c>
      <c r="X1255" s="235">
        <f t="shared" ca="1" si="890"/>
        <v>3.153</v>
      </c>
      <c r="Y1255" s="236">
        <f t="shared" si="851"/>
        <v>2.6985000000000001</v>
      </c>
      <c r="Z1255" s="237">
        <f t="shared" ca="1" si="875"/>
        <v>56.722470000000008</v>
      </c>
      <c r="AA1255" s="238"/>
      <c r="AB1255" s="233" t="str">
        <f>IF(B1255="insumo",_xlfn.XLOOKUP(S1255,Insumos!A:A,Insumos!D:D),"")</f>
        <v xml:space="preserve"> </v>
      </c>
      <c r="AC1255" s="239">
        <f t="shared" ca="1" si="876"/>
        <v>8.1373554718599961E-6</v>
      </c>
      <c r="AE1255" s="240">
        <f ca="1">IFERROR(IF(OR(Z1255="",Z1255=0),"",IF(AF1255="","",IF(AF1255="R$/mês",Z1255/OBRA!$D$12,IF(AF1255="R$/m²",Z1255/OBRA!$D$10,IF(AF1255="R$/apto",Orçamento!Z1255/OBRA!$D$11,""))))),"")</f>
        <v>2.9189787107033141E-2</v>
      </c>
      <c r="AF1255" s="241" t="s">
        <v>154</v>
      </c>
    </row>
    <row r="1256" spans="1:32" s="10" customFormat="1" ht="13.15" hidden="1" customHeight="1" outlineLevel="3" collapsed="1" x14ac:dyDescent="0.2">
      <c r="A1256" s="227"/>
      <c r="B1256" s="228" t="s">
        <v>3</v>
      </c>
      <c r="C1256" s="229" t="str">
        <f t="shared" si="874"/>
        <v/>
      </c>
      <c r="D1256" s="227" t="str">
        <f t="shared" ref="D1256:D1306" ca="1" si="891">IF(B1256="Unidade Construtiva",TEXT(F1256,"00"),IF(B1256="Célula Construtiva",TEXT(H1256,"00"),IF(B1256="Etapa",CONCATENATE(TEXT(H1256,"00"),".",TEXT(J1256,"000")),IF(B1256="Subetapa",CONCATENATE(TEXT(H1256,"00"),".",TEXT(J1256,"000"),".",TEXT(L1256,"000")),IF(B1256="Serviço",CONCATENATE(TEXT(H1256,"00"),".",TEXT(J1256,"000"),".",TEXT(L1256,"000"),".",TEXT(N1256,"000")),"")))))</f>
        <v>13.002.002</v>
      </c>
      <c r="E1256" s="228" t="str">
        <f t="shared" ref="E1256:E1306" ca="1" si="892">IF(B1256="*","",IFERROR(IF(B1256="SERVIÇO",D1256,OFFSET(E1256,-1,0)),""))</f>
        <v>13.002.001.004</v>
      </c>
      <c r="F1256" s="230">
        <f ca="1">IF($B1256="UNIDADE CONSTRUTIVA",OFFSET(F1256,-1,0)+1,LARGE(F$10:F1255,1))</f>
        <v>2</v>
      </c>
      <c r="G1256" s="228" t="str">
        <f t="shared" ref="G1256:G1274" ca="1" si="893">IF(B1256="*","",IF(B1256="UNIDADE CONSTRUTIVA",S1256,OFFSET(G1256,-1,0)))</f>
        <v xml:space="preserve">   GERENCIAMENTO EXECUTIVO</v>
      </c>
      <c r="H1256" s="230">
        <f t="shared" ref="H1256:H1306" ca="1" si="894">IF(B1256="UNIDADE CONSTRUTIVA",0,IF(B1256="CÉLULA CONSTRUTIVA",OFFSET(H1256,-1,0)+1,OFFSET(H1256,-1,0)))</f>
        <v>13</v>
      </c>
      <c r="I1256" s="228" t="str">
        <f t="shared" ref="I1256:I1274" ca="1" si="895">IF(B1256="*","",IF(B1256="CÉLULA CONSTRUTIVA",S1256,OFFSET(I1256,-1,0)))</f>
        <v xml:space="preserve">   REVESTIMENTOS INTERNOS DE PAREDE</v>
      </c>
      <c r="J1256" s="230">
        <f t="shared" ref="J1256:J1306" ca="1" si="896">IF(B1256="CÉLULA CONSTRUTIVA",0,IF(B1256="ETAPA",OFFSET(J1256,-1,0)+1,OFFSET(J1256,-1,0)))</f>
        <v>2</v>
      </c>
      <c r="K1256" s="228" t="str">
        <f t="shared" ref="K1256:K1274" ca="1" si="897">IF(B1256="*","",IF(B1256="ETAPA",S1256,OFFSET(K1256,-1,0)))</f>
        <v xml:space="preserve">   REVESTIMENTOS INTERNOS DE PAREDE - 2º PAVIMENTO - TÉRREO</v>
      </c>
      <c r="L1256" s="231">
        <f t="shared" ref="L1256:L1306" ca="1" si="898">IF(B1256="ETAPA",0,IF(B1256="SUBETAPA",OFFSET(L1256,-1,0)+1,OFFSET(L1256,-1,0)))</f>
        <v>2</v>
      </c>
      <c r="M1256" s="228" t="str">
        <f t="shared" ref="M1256:M1274" ca="1" si="899">IF(B1256="*","",IF(B1256="SUBETAPA",S1256,OFFSET(M1256,-1,0)))</f>
        <v xml:space="preserve">   Acabamentos Cerâmicos e Porcelanatos</v>
      </c>
      <c r="N1256" s="231">
        <f t="shared" ref="N1256:N1306" ca="1" si="900">IF(B1256="Subetapa",0,IF(B1256="serviço",OFFSET(N1256,-1,0)+1,OFFSET(N1256,-1,0)))</f>
        <v>0</v>
      </c>
      <c r="O1256" s="228" t="str">
        <f t="shared" ref="O1256:O1274" ca="1" si="901">IF(B1256="*","",IF(B1256="SERVIÇO",S1256,OFFSET(O1256,-1,0)))</f>
        <v>Estucamento de estrutura de concreto em pilares e vigas</v>
      </c>
      <c r="P1256" s="232" t="str">
        <f>IF(S1256="","",IF(Orçamento!$B1256="INSUMO",S1256,""))</f>
        <v/>
      </c>
      <c r="Q1256" s="244" t="str">
        <f t="shared" ref="Q1256:Q1306" si="902">IF(B1256="","",IF(B1256="Serviço",S1256,""))</f>
        <v/>
      </c>
      <c r="R1256" s="234">
        <f t="shared" ref="R1256:R1274" ca="1" si="903">IF(B1256="serviço",U1256,OFFSET(R1256,-1,0))</f>
        <v>21.02</v>
      </c>
      <c r="S1256" s="233" t="s">
        <v>731</v>
      </c>
      <c r="T1256" s="242" t="s">
        <v>35</v>
      </c>
      <c r="U1256" s="235" t="str">
        <f>IF($B1256="insumo",R1256,"")</f>
        <v/>
      </c>
      <c r="V1256" s="320" t="s">
        <v>35</v>
      </c>
      <c r="W1256" s="236" t="str">
        <f>IFERROR(IF(B1256="INSUMO",_xlfn.XLOOKUP(S1256,Insumos!A:A,Insumos!C:C),""),"Inserir Preço")</f>
        <v/>
      </c>
      <c r="X1256" s="235" t="str">
        <f t="shared" ref="X1256:X1274" ca="1" si="904">IF(B1256="Complemento do insumo",V1256,IF(R1256="","",IF(B1256="serviço",R1256,IF(OR(B1256="insumo"),V1256*R1256,""))))</f>
        <v/>
      </c>
      <c r="Y1256" s="236" t="str">
        <f t="shared" ref="Y1256:Y1319" si="905">IF(B1256="insumo",W1256*V1256,IF(B1256="serviço",SUMIFS(Y:Y,B:B,"insumo",E:E,E1256,I:I,I1256),""))</f>
        <v/>
      </c>
      <c r="Z1256" s="237">
        <f t="shared" ca="1" si="875"/>
        <v>4616.5285099999992</v>
      </c>
      <c r="AA1256" s="238"/>
      <c r="AB1256" s="233" t="str">
        <f>IF(B1256="insumo",_xlfn.XLOOKUP(S1256,Insumos!A:A,Insumos!D:D),"")</f>
        <v/>
      </c>
      <c r="AC1256" s="239">
        <f t="shared" ca="1" si="876"/>
        <v>6.6228310459410817E-4</v>
      </c>
      <c r="AE1256" s="240">
        <f ca="1">IFERROR(IF(OR(Z1256="",Z1256=0),"",IF(AF1256="","",IF(AF1256="R$/mês",Z1256/OBRA!$D$12,IF(AF1256="R$/m²",Z1256/OBRA!$D$10,IF(AF1256="R$/apto",Orçamento!Z1256/OBRA!$D$11,""))))),"")</f>
        <v>2.3756984556640228</v>
      </c>
      <c r="AF1256" s="241" t="s">
        <v>154</v>
      </c>
    </row>
    <row r="1257" spans="1:32" s="10" customFormat="1" ht="13.15" hidden="1" customHeight="1" outlineLevel="4" x14ac:dyDescent="0.2">
      <c r="A1257" s="227"/>
      <c r="B1257" s="228" t="s">
        <v>4</v>
      </c>
      <c r="C1257" s="229">
        <f t="shared" si="874"/>
        <v>3</v>
      </c>
      <c r="D1257" s="227" t="str">
        <f t="shared" ca="1" si="891"/>
        <v>13.002.002.001</v>
      </c>
      <c r="E1257" s="228" t="str">
        <f t="shared" ca="1" si="892"/>
        <v>13.002.002.001</v>
      </c>
      <c r="F1257" s="230">
        <f ca="1">IF($B1257="UNIDADE CONSTRUTIVA",OFFSET(F1257,-1,0)+1,LARGE(F$10:F1256,1))</f>
        <v>2</v>
      </c>
      <c r="G1257" s="228" t="str">
        <f t="shared" ca="1" si="893"/>
        <v xml:space="preserve">   GERENCIAMENTO EXECUTIVO</v>
      </c>
      <c r="H1257" s="230">
        <f t="shared" ca="1" si="894"/>
        <v>13</v>
      </c>
      <c r="I1257" s="228" t="str">
        <f t="shared" ca="1" si="895"/>
        <v xml:space="preserve">   REVESTIMENTOS INTERNOS DE PAREDE</v>
      </c>
      <c r="J1257" s="230">
        <f t="shared" ca="1" si="896"/>
        <v>2</v>
      </c>
      <c r="K1257" s="228" t="str">
        <f t="shared" ca="1" si="897"/>
        <v xml:space="preserve">   REVESTIMENTOS INTERNOS DE PAREDE - 2º PAVIMENTO - TÉRREO</v>
      </c>
      <c r="L1257" s="231">
        <f t="shared" ca="1" si="898"/>
        <v>2</v>
      </c>
      <c r="M1257" s="228" t="str">
        <f t="shared" ca="1" si="899"/>
        <v xml:space="preserve">   Acabamentos Cerâmicos e Porcelanatos</v>
      </c>
      <c r="N1257" s="231">
        <f t="shared" ca="1" si="900"/>
        <v>1</v>
      </c>
      <c r="O1257" s="228" t="str">
        <f t="shared" ca="1" si="901"/>
        <v>Revestimento em Cerâmica 60x60cm interno</v>
      </c>
      <c r="P1257" s="232" t="str">
        <f>IF(S1257="","",IF(Orçamento!$B1257="INSUMO",S1257,""))</f>
        <v/>
      </c>
      <c r="Q1257" s="244" t="str">
        <f t="shared" si="902"/>
        <v>Revestimento em Cerâmica 60x60cm interno</v>
      </c>
      <c r="R1257" s="234">
        <f t="shared" ca="1" si="903"/>
        <v>69.41</v>
      </c>
      <c r="S1257" s="233" t="s">
        <v>732</v>
      </c>
      <c r="T1257" s="242" t="s">
        <v>140</v>
      </c>
      <c r="U1257" s="235">
        <v>69.41</v>
      </c>
      <c r="V1257" s="320" t="s">
        <v>35</v>
      </c>
      <c r="W1257" s="236" t="str">
        <f>IFERROR(IF(B1257="INSUMO",_xlfn.XLOOKUP(S1257,Insumos!A:A,Insumos!C:C),""),"Inserir Preço")</f>
        <v/>
      </c>
      <c r="X1257" s="235">
        <f t="shared" ca="1" si="904"/>
        <v>69.41</v>
      </c>
      <c r="Y1257" s="236">
        <f t="shared" ca="1" si="905"/>
        <v>66.510999999999981</v>
      </c>
      <c r="Z1257" s="237">
        <f t="shared" ca="1" si="875"/>
        <v>4616.5285099999983</v>
      </c>
      <c r="AA1257" s="238"/>
      <c r="AB1257" s="233" t="str">
        <f>IF(B1257="insumo",_xlfn.XLOOKUP(S1257,Insumos!A:A,Insumos!D:D),"")</f>
        <v/>
      </c>
      <c r="AC1257" s="239">
        <f t="shared" ca="1" si="876"/>
        <v>6.6228310459410806E-4</v>
      </c>
      <c r="AE1257" s="240">
        <f ca="1">IFERROR(IF(OR(Z1257="",Z1257=0),"",IF(AF1257="","",IF(AF1257="R$/mês",Z1257/OBRA!$D$12,IF(AF1257="R$/m²",Z1257/OBRA!$D$10,IF(AF1257="R$/apto",Orçamento!Z1257/OBRA!$D$11,""))))),"")</f>
        <v>2.3756984556640224</v>
      </c>
      <c r="AF1257" s="241" t="s">
        <v>154</v>
      </c>
    </row>
    <row r="1258" spans="1:32" s="10" customFormat="1" ht="13.15" hidden="1" customHeight="1" outlineLevel="4" x14ac:dyDescent="0.2">
      <c r="A1258" s="227"/>
      <c r="B1258" s="228" t="s">
        <v>19</v>
      </c>
      <c r="C1258" s="229">
        <f t="shared" si="874"/>
        <v>13</v>
      </c>
      <c r="D1258" s="227" t="str">
        <f t="shared" si="891"/>
        <v/>
      </c>
      <c r="E1258" s="228" t="str">
        <f t="shared" ca="1" si="892"/>
        <v>13.002.002.001</v>
      </c>
      <c r="F1258" s="230">
        <f ca="1">IF($B1258="UNIDADE CONSTRUTIVA",OFFSET(F1258,-1,0)+1,LARGE(F$10:F1257,1))</f>
        <v>2</v>
      </c>
      <c r="G1258" s="228" t="str">
        <f t="shared" ca="1" si="893"/>
        <v xml:space="preserve">   GERENCIAMENTO EXECUTIVO</v>
      </c>
      <c r="H1258" s="230">
        <f t="shared" ca="1" si="894"/>
        <v>13</v>
      </c>
      <c r="I1258" s="228" t="str">
        <f t="shared" ca="1" si="895"/>
        <v xml:space="preserve">   REVESTIMENTOS INTERNOS DE PAREDE</v>
      </c>
      <c r="J1258" s="230">
        <f t="shared" ca="1" si="896"/>
        <v>2</v>
      </c>
      <c r="K1258" s="228" t="str">
        <f t="shared" ca="1" si="897"/>
        <v xml:space="preserve">   REVESTIMENTOS INTERNOS DE PAREDE - 2º PAVIMENTO - TÉRREO</v>
      </c>
      <c r="L1258" s="231">
        <f t="shared" ca="1" si="898"/>
        <v>2</v>
      </c>
      <c r="M1258" s="228" t="str">
        <f t="shared" ca="1" si="899"/>
        <v xml:space="preserve">   Acabamentos Cerâmicos e Porcelanatos</v>
      </c>
      <c r="N1258" s="231">
        <f t="shared" ca="1" si="900"/>
        <v>1</v>
      </c>
      <c r="O1258" s="228" t="str">
        <f t="shared" ca="1" si="901"/>
        <v>Revestimento em Cerâmica 60x60cm interno</v>
      </c>
      <c r="P1258" s="232" t="str">
        <f>IF(S1258="","",IF(Orçamento!$B1258="INSUMO",S1258,""))</f>
        <v>REVESTIMENTO - HANGAR CHICAGO 60X60 NAT BOLD</v>
      </c>
      <c r="Q1258" s="244" t="str">
        <f t="shared" si="902"/>
        <v/>
      </c>
      <c r="R1258" s="234">
        <f t="shared" ca="1" si="903"/>
        <v>69.41</v>
      </c>
      <c r="S1258" s="233" t="s">
        <v>912</v>
      </c>
      <c r="T1258" s="242" t="str">
        <f>_xlfn.XLOOKUP(S1258,Insumos!$A$3:$A$371,Insumos!$B$3:$B$371)</f>
        <v>M2</v>
      </c>
      <c r="U1258" s="235">
        <f ca="1">IF($B1258="insumo",R1258,"")</f>
        <v>69.41</v>
      </c>
      <c r="V1258" s="320">
        <v>1.1499999999999999</v>
      </c>
      <c r="W1258" s="236">
        <f>IFERROR(IF(B1258="INSUMO",_xlfn.XLOOKUP(S1258,Insumos!A:A,Insumos!C:C),""),"Inserir Preço")</f>
        <v>45.19</v>
      </c>
      <c r="X1258" s="235">
        <f t="shared" ca="1" si="904"/>
        <v>79.821499999999986</v>
      </c>
      <c r="Y1258" s="236">
        <f t="shared" si="905"/>
        <v>51.968499999999992</v>
      </c>
      <c r="Z1258" s="237">
        <f t="shared" ca="1" si="875"/>
        <v>3607.1335849999991</v>
      </c>
      <c r="AA1258" s="238"/>
      <c r="AB1258" s="233" t="str">
        <f>IF(B1258="insumo",_xlfn.XLOOKUP(S1258,Insumos!A:A,Insumos!D:D),"")</f>
        <v>Portobelo</v>
      </c>
      <c r="AC1258" s="239">
        <f t="shared" ca="1" si="876"/>
        <v>5.1747619974288326E-4</v>
      </c>
      <c r="AE1258" s="240">
        <f ca="1">IFERROR(IF(OR(Z1258="",Z1258=0),"",IF(AF1258="","",IF(AF1258="R$/mês",Z1258/OBRA!$D$12,IF(AF1258="R$/m²",Z1258/OBRA!$D$10,IF(AF1258="R$/apto",Orçamento!Z1258/OBRA!$D$11,""))))),"")</f>
        <v>1.8562566371453708</v>
      </c>
      <c r="AF1258" s="241" t="s">
        <v>154</v>
      </c>
    </row>
    <row r="1259" spans="1:32" s="10" customFormat="1" ht="13.15" hidden="1" customHeight="1" outlineLevel="4" x14ac:dyDescent="0.2">
      <c r="A1259" s="227"/>
      <c r="B1259" s="228" t="s">
        <v>19</v>
      </c>
      <c r="C1259" s="229">
        <f t="shared" si="874"/>
        <v>16</v>
      </c>
      <c r="D1259" s="227" t="str">
        <f t="shared" si="891"/>
        <v/>
      </c>
      <c r="E1259" s="228" t="str">
        <f t="shared" ca="1" si="892"/>
        <v>13.002.002.001</v>
      </c>
      <c r="F1259" s="230">
        <f ca="1">IF($B1259="UNIDADE CONSTRUTIVA",OFFSET(F1259,-1,0)+1,LARGE(F$10:F1258,1))</f>
        <v>2</v>
      </c>
      <c r="G1259" s="228" t="str">
        <f t="shared" ca="1" si="893"/>
        <v xml:space="preserve">   GERENCIAMENTO EXECUTIVO</v>
      </c>
      <c r="H1259" s="230">
        <f t="shared" ca="1" si="894"/>
        <v>13</v>
      </c>
      <c r="I1259" s="228" t="str">
        <f t="shared" ca="1" si="895"/>
        <v xml:space="preserve">   REVESTIMENTOS INTERNOS DE PAREDE</v>
      </c>
      <c r="J1259" s="230">
        <f t="shared" ca="1" si="896"/>
        <v>2</v>
      </c>
      <c r="K1259" s="228" t="str">
        <f t="shared" ca="1" si="897"/>
        <v xml:space="preserve">   REVESTIMENTOS INTERNOS DE PAREDE - 2º PAVIMENTO - TÉRREO</v>
      </c>
      <c r="L1259" s="231">
        <f t="shared" ca="1" si="898"/>
        <v>2</v>
      </c>
      <c r="M1259" s="228" t="str">
        <f t="shared" ca="1" si="899"/>
        <v xml:space="preserve">   Acabamentos Cerâmicos e Porcelanatos</v>
      </c>
      <c r="N1259" s="231">
        <f t="shared" ca="1" si="900"/>
        <v>1</v>
      </c>
      <c r="O1259" s="228" t="str">
        <f t="shared" ca="1" si="901"/>
        <v>Revestimento em Cerâmica 60x60cm interno</v>
      </c>
      <c r="P1259" s="232" t="str">
        <f>IF(S1259="","",IF(Orçamento!$B1259="INSUMO",S1259,""))</f>
        <v>ARGAMASSA COLANTE AC III</v>
      </c>
      <c r="Q1259" s="244" t="str">
        <f t="shared" si="902"/>
        <v/>
      </c>
      <c r="R1259" s="234">
        <f t="shared" ca="1" si="903"/>
        <v>69.41</v>
      </c>
      <c r="S1259" s="233" t="s">
        <v>357</v>
      </c>
      <c r="T1259" s="242" t="str">
        <f>_xlfn.XLOOKUP(S1259,Insumos!$A$3:$A$371,Insumos!$B$3:$B$371)</f>
        <v>KG</v>
      </c>
      <c r="U1259" s="235">
        <f ca="1">IF($B1259="insumo",R1259,"")</f>
        <v>69.41</v>
      </c>
      <c r="V1259" s="320">
        <v>12.5</v>
      </c>
      <c r="W1259" s="236">
        <f>IFERROR(IF(B1259="INSUMO",_xlfn.XLOOKUP(S1259,Insumos!A:A,Insumos!C:C),""),"Inserir Preço")</f>
        <v>0.92500000000000004</v>
      </c>
      <c r="X1259" s="235">
        <f t="shared" ca="1" si="904"/>
        <v>867.625</v>
      </c>
      <c r="Y1259" s="236">
        <f t="shared" si="905"/>
        <v>11.5625</v>
      </c>
      <c r="Z1259" s="237">
        <f t="shared" ca="1" si="875"/>
        <v>802.55312500000002</v>
      </c>
      <c r="AA1259" s="238"/>
      <c r="AB1259" s="233" t="str">
        <f>IF(B1259="insumo",_xlfn.XLOOKUP(S1259,Insumos!A:A,Insumos!D:D),"")</f>
        <v>Argabrus</v>
      </c>
      <c r="AC1259" s="239">
        <f t="shared" ca="1" si="876"/>
        <v>1.1513356282223056E-4</v>
      </c>
      <c r="AE1259" s="240">
        <f ca="1">IFERROR(IF(OR(Z1259="",Z1259=0),"",IF(AF1259="","",IF(AF1259="R$/mês",Z1259/OBRA!$D$12,IF(AF1259="R$/m²",Z1259/OBRA!$D$10,IF(AF1259="R$/apto",Orçamento!Z1259/OBRA!$D$11,""))))),"")</f>
        <v>0.41299955486483847</v>
      </c>
      <c r="AF1259" s="241" t="s">
        <v>154</v>
      </c>
    </row>
    <row r="1260" spans="1:32" s="10" customFormat="1" ht="13.15" hidden="1" customHeight="1" outlineLevel="4" x14ac:dyDescent="0.2">
      <c r="A1260" s="227"/>
      <c r="B1260" s="228" t="s">
        <v>19</v>
      </c>
      <c r="C1260" s="229">
        <f t="shared" si="874"/>
        <v>32</v>
      </c>
      <c r="D1260" s="227" t="str">
        <f t="shared" si="891"/>
        <v/>
      </c>
      <c r="E1260" s="228" t="str">
        <f t="shared" ca="1" si="892"/>
        <v>13.002.002.001</v>
      </c>
      <c r="F1260" s="230">
        <f ca="1">IF($B1260="UNIDADE CONSTRUTIVA",OFFSET(F1260,-1,0)+1,LARGE(F$10:F1259,1))</f>
        <v>2</v>
      </c>
      <c r="G1260" s="228" t="str">
        <f t="shared" ca="1" si="893"/>
        <v xml:space="preserve">   GERENCIAMENTO EXECUTIVO</v>
      </c>
      <c r="H1260" s="230">
        <f t="shared" ca="1" si="894"/>
        <v>13</v>
      </c>
      <c r="I1260" s="228" t="str">
        <f t="shared" ca="1" si="895"/>
        <v xml:space="preserve">   REVESTIMENTOS INTERNOS DE PAREDE</v>
      </c>
      <c r="J1260" s="230">
        <f t="shared" ca="1" si="896"/>
        <v>2</v>
      </c>
      <c r="K1260" s="228" t="str">
        <f t="shared" ca="1" si="897"/>
        <v xml:space="preserve">   REVESTIMENTOS INTERNOS DE PAREDE - 2º PAVIMENTO - TÉRREO</v>
      </c>
      <c r="L1260" s="231">
        <f t="shared" ca="1" si="898"/>
        <v>2</v>
      </c>
      <c r="M1260" s="228" t="str">
        <f t="shared" ca="1" si="899"/>
        <v xml:space="preserve">   Acabamentos Cerâmicos e Porcelanatos</v>
      </c>
      <c r="N1260" s="231">
        <f t="shared" ca="1" si="900"/>
        <v>1</v>
      </c>
      <c r="O1260" s="228" t="str">
        <f t="shared" ca="1" si="901"/>
        <v>Revestimento em Cerâmica 60x60cm interno</v>
      </c>
      <c r="P1260" s="232" t="str">
        <f>IF(S1260="","",IF(Orçamento!$B1260="INSUMO",S1260,""))</f>
        <v>REJUNTE FLEXIVEL CIMENTICIO TIPO II NBR 14992</v>
      </c>
      <c r="Q1260" s="244" t="str">
        <f t="shared" si="902"/>
        <v/>
      </c>
      <c r="R1260" s="234">
        <f t="shared" ca="1" si="903"/>
        <v>69.41</v>
      </c>
      <c r="S1260" s="233" t="s">
        <v>734</v>
      </c>
      <c r="T1260" s="242" t="str">
        <f>_xlfn.XLOOKUP(S1260,Insumos!$A$3:$A$371,Insumos!$B$3:$B$371)</f>
        <v>KG</v>
      </c>
      <c r="U1260" s="235">
        <f ca="1">IF($B1260="insumo",R1260,"")</f>
        <v>69.41</v>
      </c>
      <c r="V1260" s="320">
        <v>0.5</v>
      </c>
      <c r="W1260" s="236">
        <f>IFERROR(IF(B1260="INSUMO",_xlfn.XLOOKUP(S1260,Insumos!A:A,Insumos!C:C),""),"Inserir Preço")</f>
        <v>4.2</v>
      </c>
      <c r="X1260" s="235">
        <f t="shared" ca="1" si="904"/>
        <v>34.704999999999998</v>
      </c>
      <c r="Y1260" s="236">
        <f t="shared" si="905"/>
        <v>2.1</v>
      </c>
      <c r="Z1260" s="237">
        <f t="shared" ca="1" si="875"/>
        <v>145.761</v>
      </c>
      <c r="AA1260" s="238"/>
      <c r="AB1260" s="233" t="str">
        <f>IF(B1260="insumo",_xlfn.XLOOKUP(S1260,Insumos!A:A,Insumos!D:D),"")</f>
        <v>Distribuidora Sika</v>
      </c>
      <c r="AC1260" s="239">
        <f t="shared" ca="1" si="876"/>
        <v>2.0910744382848362E-5</v>
      </c>
      <c r="AE1260" s="240">
        <f ca="1">IFERROR(IF(OR(Z1260="",Z1260=0),"",IF(AF1260="","",IF(AF1260="R$/mês",Z1260/OBRA!$D$12,IF(AF1260="R$/m²",Z1260/OBRA!$D$10,IF(AF1260="R$/apto",Orçamento!Z1260/OBRA!$D$11,""))))),"")</f>
        <v>7.5009648883559848E-2</v>
      </c>
      <c r="AF1260" s="241" t="s">
        <v>154</v>
      </c>
    </row>
    <row r="1261" spans="1:32" s="10" customFormat="1" ht="13.15" hidden="1" customHeight="1" outlineLevel="4" x14ac:dyDescent="0.2">
      <c r="A1261" s="227"/>
      <c r="B1261" s="228" t="s">
        <v>19</v>
      </c>
      <c r="C1261" s="229">
        <f t="shared" si="874"/>
        <v>15</v>
      </c>
      <c r="D1261" s="227" t="str">
        <f t="shared" si="891"/>
        <v/>
      </c>
      <c r="E1261" s="228" t="str">
        <f t="shared" ca="1" si="892"/>
        <v>13.002.002.001</v>
      </c>
      <c r="F1261" s="230">
        <f ca="1">IF($B1261="UNIDADE CONSTRUTIVA",OFFSET(F1261,-1,0)+1,LARGE(F$10:F1260,1))</f>
        <v>2</v>
      </c>
      <c r="G1261" s="228" t="str">
        <f t="shared" ca="1" si="893"/>
        <v xml:space="preserve">   GERENCIAMENTO EXECUTIVO</v>
      </c>
      <c r="H1261" s="230">
        <f t="shared" ca="1" si="894"/>
        <v>13</v>
      </c>
      <c r="I1261" s="228" t="str">
        <f t="shared" ca="1" si="895"/>
        <v xml:space="preserve">   REVESTIMENTOS INTERNOS DE PAREDE</v>
      </c>
      <c r="J1261" s="230">
        <f t="shared" ca="1" si="896"/>
        <v>2</v>
      </c>
      <c r="K1261" s="228" t="str">
        <f t="shared" ca="1" si="897"/>
        <v xml:space="preserve">   REVESTIMENTOS INTERNOS DE PAREDE - 2º PAVIMENTO - TÉRREO</v>
      </c>
      <c r="L1261" s="231">
        <f t="shared" ca="1" si="898"/>
        <v>2</v>
      </c>
      <c r="M1261" s="228" t="str">
        <f t="shared" ca="1" si="899"/>
        <v xml:space="preserve">   Acabamentos Cerâmicos e Porcelanatos</v>
      </c>
      <c r="N1261" s="231">
        <f t="shared" ca="1" si="900"/>
        <v>1</v>
      </c>
      <c r="O1261" s="228" t="str">
        <f t="shared" ca="1" si="901"/>
        <v>Revestimento em Cerâmica 60x60cm interno</v>
      </c>
      <c r="P1261" s="232" t="str">
        <f>IF(S1261="","",IF(Orçamento!$B1261="INSUMO",S1261,""))</f>
        <v>ESPACADOR PVC JUNTA PISO 3,0MM NBR 6118</v>
      </c>
      <c r="Q1261" s="244" t="str">
        <f t="shared" si="902"/>
        <v/>
      </c>
      <c r="R1261" s="234">
        <f t="shared" ca="1" si="903"/>
        <v>69.41</v>
      </c>
      <c r="S1261" s="233" t="s">
        <v>716</v>
      </c>
      <c r="T1261" s="242" t="str">
        <f>_xlfn.XLOOKUP(S1261,Insumos!$A$3:$A$371,Insumos!$B$3:$B$371)</f>
        <v>UN</v>
      </c>
      <c r="U1261" s="235">
        <f ca="1">IF($B1261="insumo",R1261,"")</f>
        <v>69.41</v>
      </c>
      <c r="V1261" s="320">
        <v>4</v>
      </c>
      <c r="W1261" s="236">
        <f>IFERROR(IF(B1261="INSUMO",_xlfn.XLOOKUP(S1261,Insumos!A:A,Insumos!C:C),""),"Inserir Preço")</f>
        <v>0.22</v>
      </c>
      <c r="X1261" s="235">
        <f t="shared" ca="1" si="904"/>
        <v>277.64</v>
      </c>
      <c r="Y1261" s="236">
        <f t="shared" si="905"/>
        <v>0.88</v>
      </c>
      <c r="Z1261" s="237">
        <f t="shared" ca="1" si="875"/>
        <v>61.080799999999996</v>
      </c>
      <c r="AA1261" s="238"/>
      <c r="AB1261" s="233" t="str">
        <f>IF(B1261="insumo",_xlfn.XLOOKUP(S1261,Insumos!A:A,Insumos!D:D),"")</f>
        <v>Base de Dados</v>
      </c>
      <c r="AC1261" s="239">
        <f t="shared" ca="1" si="876"/>
        <v>8.7625976461459801E-6</v>
      </c>
      <c r="AE1261" s="240">
        <f ca="1">IFERROR(IF(OR(Z1261="",Z1261=0),"",IF(AF1261="","",IF(AF1261="R$/mês",Z1261/OBRA!$D$12,IF(AF1261="R$/m²",Z1261/OBRA!$D$10,IF(AF1261="R$/apto",Orçamento!Z1261/OBRA!$D$11,""))))),"")</f>
        <v>3.143261477025365E-2</v>
      </c>
      <c r="AF1261" s="241" t="s">
        <v>154</v>
      </c>
    </row>
    <row r="1262" spans="1:32" s="10" customFormat="1" ht="13.15" hidden="1" customHeight="1" outlineLevel="3" collapsed="1" x14ac:dyDescent="0.2">
      <c r="A1262" s="227"/>
      <c r="B1262" s="228" t="s">
        <v>3</v>
      </c>
      <c r="C1262" s="229" t="str">
        <f t="shared" si="874"/>
        <v/>
      </c>
      <c r="D1262" s="227" t="str">
        <f t="shared" ca="1" si="891"/>
        <v>13.002.003</v>
      </c>
      <c r="E1262" s="228" t="str">
        <f t="shared" ca="1" si="892"/>
        <v>13.002.002.001</v>
      </c>
      <c r="F1262" s="230">
        <f ca="1">IF($B1262="UNIDADE CONSTRUTIVA",OFFSET(F1262,-1,0)+1,LARGE(F$10:F1261,1))</f>
        <v>2</v>
      </c>
      <c r="G1262" s="228" t="str">
        <f t="shared" ca="1" si="893"/>
        <v xml:space="preserve">   GERENCIAMENTO EXECUTIVO</v>
      </c>
      <c r="H1262" s="230">
        <f t="shared" ca="1" si="894"/>
        <v>13</v>
      </c>
      <c r="I1262" s="228" t="str">
        <f t="shared" ca="1" si="895"/>
        <v xml:space="preserve">   REVESTIMENTOS INTERNOS DE PAREDE</v>
      </c>
      <c r="J1262" s="230">
        <f t="shared" ca="1" si="896"/>
        <v>2</v>
      </c>
      <c r="K1262" s="228" t="str">
        <f t="shared" ca="1" si="897"/>
        <v xml:space="preserve">   REVESTIMENTOS INTERNOS DE PAREDE - 2º PAVIMENTO - TÉRREO</v>
      </c>
      <c r="L1262" s="231">
        <f t="shared" ca="1" si="898"/>
        <v>3</v>
      </c>
      <c r="M1262" s="228" t="str">
        <f t="shared" ca="1" si="899"/>
        <v xml:space="preserve">   Peitoris</v>
      </c>
      <c r="N1262" s="231">
        <f t="shared" ca="1" si="900"/>
        <v>0</v>
      </c>
      <c r="O1262" s="228" t="str">
        <f t="shared" ca="1" si="901"/>
        <v>Revestimento em Cerâmica 60x60cm interno</v>
      </c>
      <c r="P1262" s="232" t="str">
        <f>IF(S1262="","",IF(Orçamento!$B1262="INSUMO",S1262,""))</f>
        <v/>
      </c>
      <c r="Q1262" s="244" t="str">
        <f t="shared" si="902"/>
        <v/>
      </c>
      <c r="R1262" s="234">
        <f t="shared" ca="1" si="903"/>
        <v>69.41</v>
      </c>
      <c r="S1262" s="233" t="s">
        <v>493</v>
      </c>
      <c r="T1262" s="242" t="s">
        <v>35</v>
      </c>
      <c r="U1262" s="235" t="str">
        <f>IF($B1262="insumo",R1262,"")</f>
        <v/>
      </c>
      <c r="V1262" s="320" t="s">
        <v>35</v>
      </c>
      <c r="W1262" s="236" t="str">
        <f>IFERROR(IF(B1262="INSUMO",_xlfn.XLOOKUP(S1262,Insumos!A:A,Insumos!C:C),""),"Inserir Preço")</f>
        <v/>
      </c>
      <c r="X1262" s="235" t="str">
        <f t="shared" ca="1" si="904"/>
        <v/>
      </c>
      <c r="Y1262" s="236" t="str">
        <f t="shared" si="905"/>
        <v/>
      </c>
      <c r="Z1262" s="237">
        <f t="shared" ca="1" si="875"/>
        <v>2355.4749074999995</v>
      </c>
      <c r="AA1262" s="238"/>
      <c r="AB1262" s="233" t="str">
        <f>IF(B1262="insumo",_xlfn.XLOOKUP(S1262,Insumos!A:A,Insumos!D:D),"")</f>
        <v/>
      </c>
      <c r="AC1262" s="239">
        <f t="shared" ca="1" si="876"/>
        <v>3.3791435082735353E-4</v>
      </c>
      <c r="AE1262" s="240">
        <f ca="1">IFERROR(IF(OR(Z1262="",Z1262=0),"",IF(AF1262="","",IF(AF1262="R$/mês",Z1262/OBRA!$D$12,IF(AF1262="R$/m²",Z1262/OBRA!$D$10,IF(AF1262="R$/apto",Orçamento!Z1262/OBRA!$D$11,""))))),"")</f>
        <v>1.2121441658990442</v>
      </c>
      <c r="AF1262" s="241" t="s">
        <v>154</v>
      </c>
    </row>
    <row r="1263" spans="1:32" s="10" customFormat="1" ht="13.15" hidden="1" customHeight="1" outlineLevel="4" x14ac:dyDescent="0.2">
      <c r="A1263" s="227"/>
      <c r="B1263" s="228" t="s">
        <v>4</v>
      </c>
      <c r="C1263" s="229">
        <f t="shared" si="874"/>
        <v>5</v>
      </c>
      <c r="D1263" s="227" t="str">
        <f t="shared" ca="1" si="891"/>
        <v>13.002.003.001</v>
      </c>
      <c r="E1263" s="228" t="str">
        <f t="shared" ca="1" si="892"/>
        <v>13.002.003.001</v>
      </c>
      <c r="F1263" s="230">
        <f ca="1">IF($B1263="UNIDADE CONSTRUTIVA",OFFSET(F1263,-1,0)+1,LARGE(F$10:F1262,1))</f>
        <v>2</v>
      </c>
      <c r="G1263" s="228" t="str">
        <f t="shared" ca="1" si="893"/>
        <v xml:space="preserve">   GERENCIAMENTO EXECUTIVO</v>
      </c>
      <c r="H1263" s="230">
        <f t="shared" ca="1" si="894"/>
        <v>13</v>
      </c>
      <c r="I1263" s="228" t="str">
        <f t="shared" ca="1" si="895"/>
        <v xml:space="preserve">   REVESTIMENTOS INTERNOS DE PAREDE</v>
      </c>
      <c r="J1263" s="230">
        <f t="shared" ca="1" si="896"/>
        <v>2</v>
      </c>
      <c r="K1263" s="228" t="str">
        <f t="shared" ca="1" si="897"/>
        <v xml:space="preserve">   REVESTIMENTOS INTERNOS DE PAREDE - 2º PAVIMENTO - TÉRREO</v>
      </c>
      <c r="L1263" s="231">
        <f t="shared" ca="1" si="898"/>
        <v>3</v>
      </c>
      <c r="M1263" s="228" t="str">
        <f t="shared" ca="1" si="899"/>
        <v xml:space="preserve">   Peitoris</v>
      </c>
      <c r="N1263" s="231">
        <f t="shared" ca="1" si="900"/>
        <v>1</v>
      </c>
      <c r="O1263" s="228" t="str">
        <f t="shared" ca="1" si="901"/>
        <v>Peitoril em granito, acabamento polido, espessura 2cm</v>
      </c>
      <c r="P1263" s="232" t="str">
        <f>IF(S1263="","",IF(Orçamento!$B1263="INSUMO",S1263,""))</f>
        <v/>
      </c>
      <c r="Q1263" s="244" t="str">
        <f t="shared" si="902"/>
        <v>Peitoril em granito, acabamento polido, espessura 2cm</v>
      </c>
      <c r="R1263" s="234">
        <f t="shared" ca="1" si="903"/>
        <v>24.31</v>
      </c>
      <c r="S1263" s="233" t="s">
        <v>494</v>
      </c>
      <c r="T1263" s="242" t="s">
        <v>158</v>
      </c>
      <c r="U1263" s="235">
        <v>24.31</v>
      </c>
      <c r="V1263" s="320" t="s">
        <v>35</v>
      </c>
      <c r="W1263" s="236" t="str">
        <f>IFERROR(IF(B1263="INSUMO",_xlfn.XLOOKUP(S1263,Insumos!A:A,Insumos!C:C),""),"Inserir Preço")</f>
        <v/>
      </c>
      <c r="X1263" s="235">
        <f t="shared" ca="1" si="904"/>
        <v>24.31</v>
      </c>
      <c r="Y1263" s="236">
        <f t="shared" ca="1" si="905"/>
        <v>96.893250000000009</v>
      </c>
      <c r="Z1263" s="237">
        <f t="shared" ca="1" si="875"/>
        <v>2355.4749075</v>
      </c>
      <c r="AA1263" s="238"/>
      <c r="AB1263" s="233" t="str">
        <f>IF(B1263="insumo",_xlfn.XLOOKUP(S1263,Insumos!A:A,Insumos!D:D),"")</f>
        <v/>
      </c>
      <c r="AC1263" s="239">
        <f t="shared" ca="1" si="876"/>
        <v>3.3791435082735358E-4</v>
      </c>
      <c r="AE1263" s="240">
        <f ca="1">IFERROR(IF(OR(Z1263="",Z1263=0),"",IF(AF1263="","",IF(AF1263="R$/mês",Z1263/OBRA!$D$12,IF(AF1263="R$/m²",Z1263/OBRA!$D$10,IF(AF1263="R$/apto",Orçamento!Z1263/OBRA!$D$11,""))))),"")</f>
        <v>1.2121441658990444</v>
      </c>
      <c r="AF1263" s="241" t="s">
        <v>154</v>
      </c>
    </row>
    <row r="1264" spans="1:32" s="10" customFormat="1" ht="13.15" hidden="1" customHeight="1" outlineLevel="4" x14ac:dyDescent="0.2">
      <c r="A1264" s="227"/>
      <c r="B1264" s="228" t="s">
        <v>19</v>
      </c>
      <c r="C1264" s="229">
        <f t="shared" si="874"/>
        <v>16</v>
      </c>
      <c r="D1264" s="227" t="str">
        <f t="shared" si="891"/>
        <v/>
      </c>
      <c r="E1264" s="228" t="str">
        <f t="shared" ca="1" si="892"/>
        <v>13.002.003.001</v>
      </c>
      <c r="F1264" s="230">
        <f ca="1">IF($B1264="UNIDADE CONSTRUTIVA",OFFSET(F1264,-1,0)+1,LARGE(F$10:F1263,1))</f>
        <v>2</v>
      </c>
      <c r="G1264" s="228" t="str">
        <f t="shared" ca="1" si="893"/>
        <v xml:space="preserve">   GERENCIAMENTO EXECUTIVO</v>
      </c>
      <c r="H1264" s="230">
        <f t="shared" ca="1" si="894"/>
        <v>13</v>
      </c>
      <c r="I1264" s="228" t="str">
        <f t="shared" ca="1" si="895"/>
        <v xml:space="preserve">   REVESTIMENTOS INTERNOS DE PAREDE</v>
      </c>
      <c r="J1264" s="230">
        <f t="shared" ca="1" si="896"/>
        <v>2</v>
      </c>
      <c r="K1264" s="228" t="str">
        <f t="shared" ca="1" si="897"/>
        <v xml:space="preserve">   REVESTIMENTOS INTERNOS DE PAREDE - 2º PAVIMENTO - TÉRREO</v>
      </c>
      <c r="L1264" s="231">
        <f t="shared" ca="1" si="898"/>
        <v>3</v>
      </c>
      <c r="M1264" s="228" t="str">
        <f t="shared" ca="1" si="899"/>
        <v xml:space="preserve">   Peitoris</v>
      </c>
      <c r="N1264" s="231">
        <f t="shared" ca="1" si="900"/>
        <v>1</v>
      </c>
      <c r="O1264" s="228" t="str">
        <f t="shared" ca="1" si="901"/>
        <v>Peitoril em granito, acabamento polido, espessura 2cm</v>
      </c>
      <c r="P1264" s="232" t="str">
        <f>IF(S1264="","",IF(Orçamento!$B1264="INSUMO",S1264,""))</f>
        <v>ARGAMASSA COLANTE AC III</v>
      </c>
      <c r="Q1264" s="244" t="str">
        <f t="shared" si="902"/>
        <v/>
      </c>
      <c r="R1264" s="234">
        <f t="shared" ca="1" si="903"/>
        <v>24.31</v>
      </c>
      <c r="S1264" s="233" t="s">
        <v>357</v>
      </c>
      <c r="T1264" s="242" t="str">
        <f>_xlfn.XLOOKUP(S1264,Insumos!$A$3:$A$371,Insumos!$B$3:$B$371)</f>
        <v>KG</v>
      </c>
      <c r="U1264" s="235">
        <f ca="1">IF($B1264="insumo",R1264,"")</f>
        <v>24.31</v>
      </c>
      <c r="V1264" s="320">
        <v>1.29</v>
      </c>
      <c r="W1264" s="236">
        <f>IFERROR(IF(B1264="INSUMO",_xlfn.XLOOKUP(S1264,Insumos!A:A,Insumos!C:C),""),"Inserir Preço")</f>
        <v>0.92500000000000004</v>
      </c>
      <c r="X1264" s="235">
        <f t="shared" ca="1" si="904"/>
        <v>31.3599</v>
      </c>
      <c r="Y1264" s="236">
        <f t="shared" si="905"/>
        <v>1.1932500000000001</v>
      </c>
      <c r="Z1264" s="237">
        <f t="shared" ca="1" si="875"/>
        <v>29.007907500000002</v>
      </c>
      <c r="AA1264" s="238"/>
      <c r="AB1264" s="233" t="str">
        <f>IF(B1264="insumo",_xlfn.XLOOKUP(S1264,Insumos!A:A,Insumos!D:D),"")</f>
        <v>Argabrus</v>
      </c>
      <c r="AC1264" s="239">
        <f t="shared" ca="1" si="876"/>
        <v>4.1614488019004392E-6</v>
      </c>
      <c r="AE1264" s="240">
        <f ca="1">IFERROR(IF(OR(Z1264="",Z1264=0),"",IF(AF1264="","",IF(AF1264="R$/mês",Z1264/OBRA!$D$12,IF(AF1264="R$/m²",Z1264/OBRA!$D$10,IF(AF1264="R$/apto",Orçamento!Z1264/OBRA!$D$11,""))))),"")</f>
        <v>1.4927675828388817E-2</v>
      </c>
      <c r="AF1264" s="241" t="s">
        <v>154</v>
      </c>
    </row>
    <row r="1265" spans="1:32" s="10" customFormat="1" ht="13.15" hidden="1" customHeight="1" outlineLevel="4" x14ac:dyDescent="0.2">
      <c r="A1265" s="227"/>
      <c r="B1265" s="228" t="s">
        <v>19</v>
      </c>
      <c r="C1265" s="229">
        <f t="shared" si="874"/>
        <v>11</v>
      </c>
      <c r="D1265" s="227" t="str">
        <f t="shared" si="891"/>
        <v/>
      </c>
      <c r="E1265" s="228" t="str">
        <f t="shared" ca="1" si="892"/>
        <v>13.002.003.001</v>
      </c>
      <c r="F1265" s="230">
        <f ca="1">IF($B1265="UNIDADE CONSTRUTIVA",OFFSET(F1265,-1,0)+1,LARGE(F$10:F1264,1))</f>
        <v>2</v>
      </c>
      <c r="G1265" s="228" t="str">
        <f t="shared" ca="1" si="893"/>
        <v xml:space="preserve">   GERENCIAMENTO EXECUTIVO</v>
      </c>
      <c r="H1265" s="230">
        <f t="shared" ca="1" si="894"/>
        <v>13</v>
      </c>
      <c r="I1265" s="228" t="str">
        <f t="shared" ca="1" si="895"/>
        <v xml:space="preserve">   REVESTIMENTOS INTERNOS DE PAREDE</v>
      </c>
      <c r="J1265" s="230">
        <f t="shared" ca="1" si="896"/>
        <v>2</v>
      </c>
      <c r="K1265" s="228" t="str">
        <f t="shared" ca="1" si="897"/>
        <v xml:space="preserve">   REVESTIMENTOS INTERNOS DE PAREDE - 2º PAVIMENTO - TÉRREO</v>
      </c>
      <c r="L1265" s="231">
        <f t="shared" ca="1" si="898"/>
        <v>3</v>
      </c>
      <c r="M1265" s="228" t="str">
        <f t="shared" ca="1" si="899"/>
        <v xml:space="preserve">   Peitoris</v>
      </c>
      <c r="N1265" s="231">
        <f t="shared" ca="1" si="900"/>
        <v>1</v>
      </c>
      <c r="O1265" s="228" t="str">
        <f t="shared" ca="1" si="901"/>
        <v>Peitoril em granito, acabamento polido, espessura 2cm</v>
      </c>
      <c r="P1265" s="232" t="str">
        <f>IF(S1265="","",IF(Orçamento!$B1265="INSUMO",S1265,""))</f>
        <v>GRANITO POLIDO</v>
      </c>
      <c r="Q1265" s="244" t="str">
        <f t="shared" si="902"/>
        <v/>
      </c>
      <c r="R1265" s="234">
        <f t="shared" ca="1" si="903"/>
        <v>24.31</v>
      </c>
      <c r="S1265" s="233" t="s">
        <v>286</v>
      </c>
      <c r="T1265" s="242" t="str">
        <f>_xlfn.XLOOKUP(S1265,Insumos!$A$3:$A$371,Insumos!$B$3:$B$371)</f>
        <v>M2</v>
      </c>
      <c r="U1265" s="235">
        <f ca="1">IF($B1265="insumo",R1265,"")</f>
        <v>24.31</v>
      </c>
      <c r="V1265" s="320">
        <v>0.15</v>
      </c>
      <c r="W1265" s="236">
        <f>IFERROR(IF(B1265="INSUMO",_xlfn.XLOOKUP(S1265,Insumos!A:A,Insumos!C:C),""),"Inserir Preço")</f>
        <v>638</v>
      </c>
      <c r="X1265" s="235">
        <f t="shared" ca="1" si="904"/>
        <v>3.6464999999999996</v>
      </c>
      <c r="Y1265" s="236">
        <f t="shared" si="905"/>
        <v>95.7</v>
      </c>
      <c r="Z1265" s="237">
        <f t="shared" ca="1" si="875"/>
        <v>2326.4669999999996</v>
      </c>
      <c r="AA1265" s="238"/>
      <c r="AB1265" s="233" t="str">
        <f>IF(B1265="insumo",_xlfn.XLOOKUP(S1265,Insumos!A:A,Insumos!D:D),"")</f>
        <v xml:space="preserve"> </v>
      </c>
      <c r="AC1265" s="239">
        <f t="shared" ca="1" si="876"/>
        <v>3.3375290202545312E-4</v>
      </c>
      <c r="AE1265" s="240">
        <f ca="1">IFERROR(IF(OR(Z1265="",Z1265=0),"",IF(AF1265="","",IF(AF1265="R$/mês",Z1265/OBRA!$D$12,IF(AF1265="R$/m²",Z1265/OBRA!$D$10,IF(AF1265="R$/apto",Orçamento!Z1265/OBRA!$D$11,""))))),"")</f>
        <v>1.1972164900706554</v>
      </c>
      <c r="AF1265" s="241" t="s">
        <v>154</v>
      </c>
    </row>
    <row r="1266" spans="1:32" s="10" customFormat="1" ht="13.15" hidden="1" customHeight="1" outlineLevel="3" collapsed="1" x14ac:dyDescent="0.2">
      <c r="A1266" s="227"/>
      <c r="B1266" s="228" t="s">
        <v>3</v>
      </c>
      <c r="C1266" s="229" t="str">
        <f t="shared" si="874"/>
        <v/>
      </c>
      <c r="D1266" s="227" t="str">
        <f t="shared" ca="1" si="891"/>
        <v>13.002.004</v>
      </c>
      <c r="E1266" s="228" t="str">
        <f t="shared" ca="1" si="892"/>
        <v>13.002.003.001</v>
      </c>
      <c r="F1266" s="230">
        <f ca="1">IF($B1266="UNIDADE CONSTRUTIVA",OFFSET(F1266,-1,0)+1,LARGE(F$10:F1265,1))</f>
        <v>2</v>
      </c>
      <c r="G1266" s="228" t="str">
        <f t="shared" ca="1" si="893"/>
        <v xml:space="preserve">   GERENCIAMENTO EXECUTIVO</v>
      </c>
      <c r="H1266" s="230">
        <f t="shared" ca="1" si="894"/>
        <v>13</v>
      </c>
      <c r="I1266" s="228" t="str">
        <f t="shared" ca="1" si="895"/>
        <v xml:space="preserve">   REVESTIMENTOS INTERNOS DE PAREDE</v>
      </c>
      <c r="J1266" s="230">
        <f t="shared" ca="1" si="896"/>
        <v>2</v>
      </c>
      <c r="K1266" s="228" t="str">
        <f t="shared" ca="1" si="897"/>
        <v xml:space="preserve">   REVESTIMENTOS INTERNOS DE PAREDE - 2º PAVIMENTO - TÉRREO</v>
      </c>
      <c r="L1266" s="231">
        <f t="shared" ca="1" si="898"/>
        <v>4</v>
      </c>
      <c r="M1266" s="228" t="str">
        <f t="shared" ca="1" si="899"/>
        <v xml:space="preserve">   Mão de Obra</v>
      </c>
      <c r="N1266" s="231">
        <f t="shared" ca="1" si="900"/>
        <v>0</v>
      </c>
      <c r="O1266" s="228" t="str">
        <f t="shared" ca="1" si="901"/>
        <v>Peitoril em granito, acabamento polido, espessura 2cm</v>
      </c>
      <c r="P1266" s="232" t="str">
        <f>IF(S1266="","",IF(Orçamento!$B1266="INSUMO",S1266,""))</f>
        <v/>
      </c>
      <c r="Q1266" s="244" t="str">
        <f t="shared" si="902"/>
        <v/>
      </c>
      <c r="R1266" s="234">
        <f t="shared" ca="1" si="903"/>
        <v>24.31</v>
      </c>
      <c r="S1266" s="233" t="s">
        <v>438</v>
      </c>
      <c r="T1266" s="242" t="s">
        <v>35</v>
      </c>
      <c r="U1266" s="235" t="str">
        <f>IF($B1266="insumo",R1266,"")</f>
        <v/>
      </c>
      <c r="V1266" s="320" t="s">
        <v>35</v>
      </c>
      <c r="W1266" s="236" t="str">
        <f>IFERROR(IF(B1266="INSUMO",_xlfn.XLOOKUP(S1266,Insumos!A:A,Insumos!C:C),""),"Inserir Preço")</f>
        <v/>
      </c>
      <c r="X1266" s="235" t="str">
        <f t="shared" ca="1" si="904"/>
        <v/>
      </c>
      <c r="Y1266" s="236" t="str">
        <f t="shared" si="905"/>
        <v/>
      </c>
      <c r="Z1266" s="237">
        <f t="shared" ca="1" si="875"/>
        <v>22748.770921791183</v>
      </c>
      <c r="AA1266" s="238"/>
      <c r="AB1266" s="233" t="str">
        <f>IF(B1266="insumo",_xlfn.XLOOKUP(S1266,Insumos!A:A,Insumos!D:D),"")</f>
        <v/>
      </c>
      <c r="AC1266" s="239">
        <f t="shared" ca="1" si="876"/>
        <v>3.2635185939280682E-3</v>
      </c>
      <c r="AE1266" s="240">
        <f ca="1">IFERROR(IF(OR(Z1266="",Z1266=0),"",IF(AF1266="","",IF(AF1266="R$/mês",Z1266/OBRA!$D$12,IF(AF1266="R$/m²",Z1266/OBRA!$D$10,IF(AF1266="R$/apto",Orçamento!Z1266/OBRA!$D$11,""))))),"")</f>
        <v>11.706679560212216</v>
      </c>
      <c r="AF1266" s="241" t="s">
        <v>154</v>
      </c>
    </row>
    <row r="1267" spans="1:32" s="10" customFormat="1" ht="13.15" hidden="1" customHeight="1" outlineLevel="4" x14ac:dyDescent="0.2">
      <c r="A1267" s="227"/>
      <c r="B1267" s="228" t="s">
        <v>4</v>
      </c>
      <c r="C1267" s="229">
        <f t="shared" si="874"/>
        <v>5</v>
      </c>
      <c r="D1267" s="227" t="str">
        <f t="shared" ca="1" si="891"/>
        <v>13.002.004.001</v>
      </c>
      <c r="E1267" s="228" t="str">
        <f t="shared" ca="1" si="892"/>
        <v>13.002.004.001</v>
      </c>
      <c r="F1267" s="230">
        <f ca="1">IF($B1267="UNIDADE CONSTRUTIVA",OFFSET(F1267,-1,0)+1,LARGE(F$10:F1266,1))</f>
        <v>2</v>
      </c>
      <c r="G1267" s="228" t="str">
        <f t="shared" ca="1" si="893"/>
        <v xml:space="preserve">   GERENCIAMENTO EXECUTIVO</v>
      </c>
      <c r="H1267" s="230">
        <f t="shared" ca="1" si="894"/>
        <v>13</v>
      </c>
      <c r="I1267" s="228" t="str">
        <f t="shared" ca="1" si="895"/>
        <v xml:space="preserve">   REVESTIMENTOS INTERNOS DE PAREDE</v>
      </c>
      <c r="J1267" s="230">
        <f t="shared" ca="1" si="896"/>
        <v>2</v>
      </c>
      <c r="K1267" s="228" t="str">
        <f t="shared" ca="1" si="897"/>
        <v xml:space="preserve">   REVESTIMENTOS INTERNOS DE PAREDE - 2º PAVIMENTO - TÉRREO</v>
      </c>
      <c r="L1267" s="231">
        <f t="shared" ca="1" si="898"/>
        <v>4</v>
      </c>
      <c r="M1267" s="228" t="str">
        <f t="shared" ca="1" si="899"/>
        <v xml:space="preserve">   Mão de Obra</v>
      </c>
      <c r="N1267" s="231">
        <f t="shared" ca="1" si="900"/>
        <v>1</v>
      </c>
      <c r="O1267" s="228" t="str">
        <f t="shared" ca="1" si="901"/>
        <v>Mao de obra para reboco interno, incluindo chapisco</v>
      </c>
      <c r="P1267" s="232" t="str">
        <f>IF(S1267="","",IF(Orçamento!$B1267="INSUMO",S1267,""))</f>
        <v/>
      </c>
      <c r="Q1267" s="244" t="str">
        <f t="shared" si="902"/>
        <v>Mao de obra para reboco interno, incluindo chapisco</v>
      </c>
      <c r="R1267" s="234">
        <f t="shared" ca="1" si="903"/>
        <v>401.63400000000001</v>
      </c>
      <c r="S1267" s="233" t="s">
        <v>483</v>
      </c>
      <c r="T1267" s="242" t="s">
        <v>140</v>
      </c>
      <c r="U1267" s="235">
        <f>U1249</f>
        <v>401.63400000000001</v>
      </c>
      <c r="V1267" s="320" t="s">
        <v>35</v>
      </c>
      <c r="W1267" s="236" t="str">
        <f>IFERROR(IF(B1267="INSUMO",_xlfn.XLOOKUP(S1267,Insumos!A:A,Insumos!C:C),""),"Inserir Preço")</f>
        <v/>
      </c>
      <c r="X1267" s="235">
        <f t="shared" ca="1" si="904"/>
        <v>401.63400000000001</v>
      </c>
      <c r="Y1267" s="236">
        <f t="shared" ca="1" si="905"/>
        <v>40.637259305842548</v>
      </c>
      <c r="Z1267" s="237">
        <f t="shared" ca="1" si="875"/>
        <v>16321.305004042766</v>
      </c>
      <c r="AA1267" s="238"/>
      <c r="AB1267" s="233" t="str">
        <f>IF(B1267="insumo",_xlfn.XLOOKUP(S1267,Insumos!A:A,Insumos!D:D),"")</f>
        <v/>
      </c>
      <c r="AC1267" s="239">
        <f t="shared" ca="1" si="876"/>
        <v>2.3414400075057258E-3</v>
      </c>
      <c r="AE1267" s="240">
        <f ca="1">IFERROR(IF(OR(Z1267="",Z1267=0),"",IF(AF1267="","",IF(AF1267="R$/mês",Z1267/OBRA!$D$12,IF(AF1267="R$/m²",Z1267/OBRA!$D$10,IF(AF1267="R$/apto",Orçamento!Z1267/OBRA!$D$11,""))))),"")</f>
        <v>8.399059814866364</v>
      </c>
      <c r="AF1267" s="241" t="s">
        <v>154</v>
      </c>
    </row>
    <row r="1268" spans="1:32" s="10" customFormat="1" ht="13.15" hidden="1" customHeight="1" outlineLevel="4" x14ac:dyDescent="0.2">
      <c r="A1268" s="227"/>
      <c r="B1268" s="228" t="s">
        <v>19</v>
      </c>
      <c r="C1268" s="229">
        <f t="shared" si="874"/>
        <v>5</v>
      </c>
      <c r="D1268" s="227" t="str">
        <f t="shared" si="891"/>
        <v/>
      </c>
      <c r="E1268" s="228" t="str">
        <f t="shared" ca="1" si="892"/>
        <v>13.002.004.001</v>
      </c>
      <c r="F1268" s="230">
        <f ca="1">IF($B1268="UNIDADE CONSTRUTIVA",OFFSET(F1268,-1,0)+1,LARGE(F$10:F1267,1))</f>
        <v>2</v>
      </c>
      <c r="G1268" s="228" t="str">
        <f t="shared" ca="1" si="893"/>
        <v xml:space="preserve">   GERENCIAMENTO EXECUTIVO</v>
      </c>
      <c r="H1268" s="230">
        <f t="shared" ca="1" si="894"/>
        <v>13</v>
      </c>
      <c r="I1268" s="228" t="str">
        <f t="shared" ca="1" si="895"/>
        <v xml:space="preserve">   REVESTIMENTOS INTERNOS DE PAREDE</v>
      </c>
      <c r="J1268" s="230">
        <f t="shared" ca="1" si="896"/>
        <v>2</v>
      </c>
      <c r="K1268" s="228" t="str">
        <f t="shared" ca="1" si="897"/>
        <v xml:space="preserve">   REVESTIMENTOS INTERNOS DE PAREDE - 2º PAVIMENTO - TÉRREO</v>
      </c>
      <c r="L1268" s="231">
        <f t="shared" ca="1" si="898"/>
        <v>4</v>
      </c>
      <c r="M1268" s="228" t="str">
        <f t="shared" ca="1" si="899"/>
        <v xml:space="preserve">   Mão de Obra</v>
      </c>
      <c r="N1268" s="231">
        <f t="shared" ca="1" si="900"/>
        <v>1</v>
      </c>
      <c r="O1268" s="228" t="str">
        <f t="shared" ca="1" si="901"/>
        <v>Mao de obra para reboco interno, incluindo chapisco</v>
      </c>
      <c r="P1268" s="232" t="str">
        <f>IF(S1268="","",IF(Orçamento!$B1268="INSUMO",S1268,""))</f>
        <v>MAO DE OBRA PARA CHAPISCO E REBOCO INTERNOS</v>
      </c>
      <c r="Q1268" s="244" t="str">
        <f t="shared" si="902"/>
        <v/>
      </c>
      <c r="R1268" s="234">
        <f t="shared" ca="1" si="903"/>
        <v>401.63400000000001</v>
      </c>
      <c r="S1268" s="233" t="s">
        <v>253</v>
      </c>
      <c r="T1268" s="242" t="str">
        <f>_xlfn.XLOOKUP(S1268,Insumos!$A$3:$A$371,Insumos!$B$3:$B$371)</f>
        <v>M2</v>
      </c>
      <c r="U1268" s="235">
        <f ca="1">IF($B1268="insumo",R1268,"")</f>
        <v>401.63400000000001</v>
      </c>
      <c r="V1268" s="320">
        <v>1</v>
      </c>
      <c r="W1268" s="236">
        <f>IFERROR(IF(B1268="INSUMO",_xlfn.XLOOKUP(S1268,Insumos!A:A,Insumos!C:C),""),"Inserir Preço")</f>
        <v>40.637259305842548</v>
      </c>
      <c r="X1268" s="235">
        <f t="shared" ca="1" si="904"/>
        <v>401.63400000000001</v>
      </c>
      <c r="Y1268" s="236">
        <f t="shared" si="905"/>
        <v>40.637259305842548</v>
      </c>
      <c r="Z1268" s="237">
        <f t="shared" ca="1" si="875"/>
        <v>16321.305004042766</v>
      </c>
      <c r="AA1268" s="238"/>
      <c r="AB1268" s="233" t="str">
        <f>IF(B1268="insumo",_xlfn.XLOOKUP(S1268,Insumos!A:A,Insumos!D:D),"")</f>
        <v>Aba Custo Serviços</v>
      </c>
      <c r="AC1268" s="239">
        <f t="shared" ca="1" si="876"/>
        <v>2.3414400075057258E-3</v>
      </c>
      <c r="AE1268" s="240">
        <f ca="1">IFERROR(IF(OR(Z1268="",Z1268=0),"",IF(AF1268="","",IF(AF1268="R$/mês",Z1268/OBRA!$D$12,IF(AF1268="R$/m²",Z1268/OBRA!$D$10,IF(AF1268="R$/apto",Orçamento!Z1268/OBRA!$D$11,""))))),"")</f>
        <v>8.399059814866364</v>
      </c>
      <c r="AF1268" s="241" t="s">
        <v>154</v>
      </c>
    </row>
    <row r="1269" spans="1:32" s="10" customFormat="1" ht="13.15" hidden="1" customHeight="1" outlineLevel="4" x14ac:dyDescent="0.2">
      <c r="A1269" s="227"/>
      <c r="B1269" s="228" t="s">
        <v>4</v>
      </c>
      <c r="C1269" s="229">
        <f t="shared" si="874"/>
        <v>5</v>
      </c>
      <c r="D1269" s="227" t="str">
        <f t="shared" ca="1" si="891"/>
        <v>13.002.004.002</v>
      </c>
      <c r="E1269" s="228" t="str">
        <f t="shared" ca="1" si="892"/>
        <v>13.002.004.002</v>
      </c>
      <c r="F1269" s="230">
        <f ca="1">IF($B1269="UNIDADE CONSTRUTIVA",OFFSET(F1269,-1,0)+1,LARGE(F$10:F1268,1))</f>
        <v>2</v>
      </c>
      <c r="G1269" s="228" t="str">
        <f t="shared" ca="1" si="893"/>
        <v xml:space="preserve">   GERENCIAMENTO EXECUTIVO</v>
      </c>
      <c r="H1269" s="230">
        <f t="shared" ca="1" si="894"/>
        <v>13</v>
      </c>
      <c r="I1269" s="228" t="str">
        <f t="shared" ca="1" si="895"/>
        <v xml:space="preserve">   REVESTIMENTOS INTERNOS DE PAREDE</v>
      </c>
      <c r="J1269" s="230">
        <f t="shared" ca="1" si="896"/>
        <v>2</v>
      </c>
      <c r="K1269" s="228" t="str">
        <f t="shared" ca="1" si="897"/>
        <v xml:space="preserve">   REVESTIMENTOS INTERNOS DE PAREDE - 2º PAVIMENTO - TÉRREO</v>
      </c>
      <c r="L1269" s="231">
        <f t="shared" ca="1" si="898"/>
        <v>4</v>
      </c>
      <c r="M1269" s="228" t="str">
        <f t="shared" ca="1" si="899"/>
        <v xml:space="preserve">   Mão de Obra</v>
      </c>
      <c r="N1269" s="231">
        <f t="shared" ca="1" si="900"/>
        <v>2</v>
      </c>
      <c r="O1269" s="228" t="str">
        <f t="shared" ca="1" si="901"/>
        <v>Mao de obra para estucamento de estrutura em concreto</v>
      </c>
      <c r="P1269" s="232" t="str">
        <f>IF(S1269="","",IF(Orçamento!$B1269="INSUMO",S1269,""))</f>
        <v/>
      </c>
      <c r="Q1269" s="244" t="str">
        <f t="shared" si="902"/>
        <v>Mao de obra para estucamento de estrutura em concreto</v>
      </c>
      <c r="R1269" s="234">
        <f t="shared" ca="1" si="903"/>
        <v>21.02</v>
      </c>
      <c r="S1269" s="233" t="s">
        <v>1163</v>
      </c>
      <c r="T1269" s="242" t="s">
        <v>140</v>
      </c>
      <c r="U1269" s="235">
        <f>U1251</f>
        <v>21.02</v>
      </c>
      <c r="V1269" s="320" t="s">
        <v>35</v>
      </c>
      <c r="W1269" s="236" t="str">
        <f>IFERROR(IF(B1269="INSUMO",_xlfn.XLOOKUP(S1269,Insumos!A:A,Insumos!C:C),""),"Inserir Preço")</f>
        <v/>
      </c>
      <c r="X1269" s="235">
        <f t="shared" ca="1" si="904"/>
        <v>21.02</v>
      </c>
      <c r="Y1269" s="236">
        <f t="shared" ca="1" si="905"/>
        <v>50.894746969405425</v>
      </c>
      <c r="Z1269" s="237">
        <f t="shared" ca="1" si="875"/>
        <v>1069.8075812969021</v>
      </c>
      <c r="AA1269" s="238"/>
      <c r="AB1269" s="233" t="str">
        <f>IF(B1269="insumo",_xlfn.XLOOKUP(S1269,Insumos!A:A,Insumos!D:D),"")</f>
        <v/>
      </c>
      <c r="AC1269" s="239">
        <f t="shared" ca="1" si="876"/>
        <v>1.5347365119155868E-4</v>
      </c>
      <c r="AE1269" s="240">
        <f ca="1">IFERROR(IF(OR(Z1269="",Z1269=0),"",IF(AF1269="","",IF(AF1269="R$/mês",Z1269/OBRA!$D$12,IF(AF1269="R$/m²",Z1269/OBRA!$D$10,IF(AF1269="R$/apto",Orçamento!Z1269/OBRA!$D$11,""))))),"")</f>
        <v>0.55053060177997559</v>
      </c>
      <c r="AF1269" s="241" t="s">
        <v>154</v>
      </c>
    </row>
    <row r="1270" spans="1:32" s="10" customFormat="1" ht="13.15" hidden="1" customHeight="1" outlineLevel="4" x14ac:dyDescent="0.2">
      <c r="A1270" s="227"/>
      <c r="B1270" s="228" t="s">
        <v>19</v>
      </c>
      <c r="C1270" s="229">
        <f t="shared" si="874"/>
        <v>5</v>
      </c>
      <c r="D1270" s="227" t="str">
        <f t="shared" si="891"/>
        <v/>
      </c>
      <c r="E1270" s="228" t="str">
        <f t="shared" ca="1" si="892"/>
        <v>13.002.004.002</v>
      </c>
      <c r="F1270" s="230">
        <f ca="1">IF($B1270="UNIDADE CONSTRUTIVA",OFFSET(F1270,-1,0)+1,LARGE(F$10:F1269,1))</f>
        <v>2</v>
      </c>
      <c r="G1270" s="228" t="str">
        <f t="shared" ca="1" si="893"/>
        <v xml:space="preserve">   GERENCIAMENTO EXECUTIVO</v>
      </c>
      <c r="H1270" s="230">
        <f t="shared" ca="1" si="894"/>
        <v>13</v>
      </c>
      <c r="I1270" s="228" t="str">
        <f t="shared" ca="1" si="895"/>
        <v xml:space="preserve">   REVESTIMENTOS INTERNOS DE PAREDE</v>
      </c>
      <c r="J1270" s="230">
        <f t="shared" ca="1" si="896"/>
        <v>2</v>
      </c>
      <c r="K1270" s="228" t="str">
        <f t="shared" ca="1" si="897"/>
        <v xml:space="preserve">   REVESTIMENTOS INTERNOS DE PAREDE - 2º PAVIMENTO - TÉRREO</v>
      </c>
      <c r="L1270" s="231">
        <f t="shared" ca="1" si="898"/>
        <v>4</v>
      </c>
      <c r="M1270" s="228" t="str">
        <f t="shared" ca="1" si="899"/>
        <v xml:space="preserve">   Mão de Obra</v>
      </c>
      <c r="N1270" s="231">
        <f t="shared" ca="1" si="900"/>
        <v>2</v>
      </c>
      <c r="O1270" s="228" t="str">
        <f t="shared" ca="1" si="901"/>
        <v>Mao de obra para estucamento de estrutura em concreto</v>
      </c>
      <c r="P1270" s="232" t="str">
        <f>IF(S1270="","",IF(Orçamento!$B1270="INSUMO",S1270,""))</f>
        <v>MAO DE OBRA PARA ESTUCAMENTO DE ESTRUTURA DE CONCRETO</v>
      </c>
      <c r="Q1270" s="244" t="str">
        <f t="shared" si="902"/>
        <v/>
      </c>
      <c r="R1270" s="234">
        <f t="shared" ca="1" si="903"/>
        <v>21.02</v>
      </c>
      <c r="S1270" s="233" t="s">
        <v>777</v>
      </c>
      <c r="T1270" s="242" t="str">
        <f>_xlfn.XLOOKUP(S1270,Insumos!$A$3:$A$371,Insumos!$B$3:$B$371)</f>
        <v>M2</v>
      </c>
      <c r="U1270" s="235">
        <f ca="1">IF($B1270="insumo",R1270,"")</f>
        <v>21.02</v>
      </c>
      <c r="V1270" s="320">
        <v>1</v>
      </c>
      <c r="W1270" s="236">
        <f>IFERROR(IF(B1270="INSUMO",_xlfn.XLOOKUP(S1270,Insumos!A:A,Insumos!C:C),""),"Inserir Preço")</f>
        <v>50.894746969405425</v>
      </c>
      <c r="X1270" s="235">
        <f t="shared" ca="1" si="904"/>
        <v>21.02</v>
      </c>
      <c r="Y1270" s="236">
        <f t="shared" si="905"/>
        <v>50.894746969405425</v>
      </c>
      <c r="Z1270" s="237">
        <f t="shared" ca="1" si="875"/>
        <v>1069.8075812969021</v>
      </c>
      <c r="AA1270" s="238"/>
      <c r="AB1270" s="233" t="str">
        <f>IF(B1270="insumo",_xlfn.XLOOKUP(S1270,Insumos!A:A,Insumos!D:D),"")</f>
        <v>Aba Custo Serviços</v>
      </c>
      <c r="AC1270" s="239">
        <f t="shared" ca="1" si="876"/>
        <v>1.5347365119155868E-4</v>
      </c>
      <c r="AE1270" s="240">
        <f ca="1">IFERROR(IF(OR(Z1270="",Z1270=0),"",IF(AF1270="","",IF(AF1270="R$/mês",Z1270/OBRA!$D$12,IF(AF1270="R$/m²",Z1270/OBRA!$D$10,IF(AF1270="R$/apto",Orçamento!Z1270/OBRA!$D$11,""))))),"")</f>
        <v>0.55053060177997559</v>
      </c>
      <c r="AF1270" s="241" t="s">
        <v>154</v>
      </c>
    </row>
    <row r="1271" spans="1:32" s="10" customFormat="1" ht="13.15" hidden="1" customHeight="1" outlineLevel="4" x14ac:dyDescent="0.2">
      <c r="A1271" s="227"/>
      <c r="B1271" s="228" t="s">
        <v>4</v>
      </c>
      <c r="C1271" s="229">
        <f t="shared" si="874"/>
        <v>3</v>
      </c>
      <c r="D1271" s="227" t="str">
        <f ca="1">IF(B1271="Unidade Construtiva",TEXT(F1271,"00"),IF(B1271="Célula Construtiva",TEXT(H1271,"00"),IF(B1271="Etapa",CONCATENATE(TEXT(H1271,"00"),".",TEXT(J1271,"000")),IF(B1271="Subetapa",CONCATENATE(TEXT(H1271,"00"),".",TEXT(J1271,"000"),".",TEXT(L1271,"000")),IF(B1271="Serviço",CONCATENATE(TEXT(H1271,"00"),".",TEXT(J1271,"000"),".",TEXT(L1271,"000"),".",TEXT(N1271,"000")),"")))))</f>
        <v>13.002.004.003</v>
      </c>
      <c r="E1271" s="228" t="str">
        <f ca="1">IF(B1271="*","",IFERROR(IF(B1271="SERVIÇO",D1271,OFFSET(E1271,-1,0)),""))</f>
        <v>13.002.004.003</v>
      </c>
      <c r="F1271" s="230">
        <f ca="1">IF($B1271="UNIDADE CONSTRUTIVA",OFFSET(F1271,-1,0)+1,LARGE(F$10:F1270,1))</f>
        <v>2</v>
      </c>
      <c r="G1271" s="228" t="str">
        <f t="shared" ca="1" si="893"/>
        <v xml:space="preserve">   GERENCIAMENTO EXECUTIVO</v>
      </c>
      <c r="H1271" s="230">
        <f ca="1">IF(B1271="UNIDADE CONSTRUTIVA",0,IF(B1271="CÉLULA CONSTRUTIVA",OFFSET(H1271,-1,0)+1,OFFSET(H1271,-1,0)))</f>
        <v>13</v>
      </c>
      <c r="I1271" s="228" t="str">
        <f t="shared" ca="1" si="895"/>
        <v xml:space="preserve">   REVESTIMENTOS INTERNOS DE PAREDE</v>
      </c>
      <c r="J1271" s="230">
        <f ca="1">IF(B1271="CÉLULA CONSTRUTIVA",0,IF(B1271="ETAPA",OFFSET(J1271,-1,0)+1,OFFSET(J1271,-1,0)))</f>
        <v>2</v>
      </c>
      <c r="K1271" s="228" t="str">
        <f t="shared" ca="1" si="897"/>
        <v xml:space="preserve">   REVESTIMENTOS INTERNOS DE PAREDE - 2º PAVIMENTO - TÉRREO</v>
      </c>
      <c r="L1271" s="231">
        <f ca="1">IF(B1271="ETAPA",0,IF(B1271="SUBETAPA",OFFSET(L1271,-1,0)+1,OFFSET(L1271,-1,0)))</f>
        <v>4</v>
      </c>
      <c r="M1271" s="228" t="str">
        <f t="shared" ca="1" si="899"/>
        <v xml:space="preserve">   Mão de Obra</v>
      </c>
      <c r="N1271" s="231">
        <f ca="1">IF(B1271="Subetapa",0,IF(B1271="serviço",OFFSET(N1271,-1,0)+1,OFFSET(N1271,-1,0)))</f>
        <v>3</v>
      </c>
      <c r="O1271" s="228" t="str">
        <f t="shared" ca="1" si="901"/>
        <v>Mao de obra para colocacao e rejuntamento de Azulejo Cerâmico</v>
      </c>
      <c r="P1271" s="232" t="str">
        <f>IF(S1271="","",IF(Orçamento!$B1271="INSUMO",S1271,""))</f>
        <v/>
      </c>
      <c r="Q1271" s="244" t="str">
        <f>IF(B1271="","",IF(B1271="Serviço",S1271,""))</f>
        <v>Mao de obra para colocacao e rejuntamento de Azulejo Cerâmico</v>
      </c>
      <c r="R1271" s="234">
        <f t="shared" ca="1" si="903"/>
        <v>69.41</v>
      </c>
      <c r="S1271" s="233" t="s">
        <v>782</v>
      </c>
      <c r="T1271" s="242" t="s">
        <v>140</v>
      </c>
      <c r="U1271" s="235">
        <f>U1257</f>
        <v>69.41</v>
      </c>
      <c r="V1271" s="320" t="s">
        <v>35</v>
      </c>
      <c r="W1271" s="236" t="str">
        <f>IFERROR(IF(B1271="INSUMO",_xlfn.XLOOKUP(S1271,Insumos!A:A,Insumos!C:C),""),"Inserir Preço")</f>
        <v/>
      </c>
      <c r="X1271" s="235">
        <f t="shared" ca="1" si="904"/>
        <v>69.41</v>
      </c>
      <c r="Y1271" s="236">
        <f t="shared" ca="1" si="905"/>
        <v>73.511069535391343</v>
      </c>
      <c r="Z1271" s="237">
        <f t="shared" ca="1" si="875"/>
        <v>5102.4033364515126</v>
      </c>
      <c r="AA1271" s="238"/>
      <c r="AB1271" s="233" t="str">
        <f>IF(B1271="insumo",_xlfn.XLOOKUP(S1271,Insumos!A:A,Insumos!D:D),"")</f>
        <v/>
      </c>
      <c r="AC1271" s="239">
        <f t="shared" ca="1" si="876"/>
        <v>7.3198627826874269E-4</v>
      </c>
      <c r="AE1271" s="240">
        <f ca="1">IFERROR(IF(OR(Z1271="",Z1271=0),"",IF(AF1271="","",IF(AF1271="R$/mês",Z1271/OBRA!$D$12,IF(AF1271="R$/m²",Z1271/OBRA!$D$10,IF(AF1271="R$/apto",Orçamento!Z1271/OBRA!$D$11,""))))),"")</f>
        <v>2.625733102335551</v>
      </c>
      <c r="AF1271" s="241" t="s">
        <v>154</v>
      </c>
    </row>
    <row r="1272" spans="1:32" s="10" customFormat="1" ht="13.15" hidden="1" customHeight="1" outlineLevel="4" x14ac:dyDescent="0.2">
      <c r="A1272" s="227"/>
      <c r="B1272" s="228" t="s">
        <v>19</v>
      </c>
      <c r="C1272" s="229">
        <f t="shared" si="874"/>
        <v>4</v>
      </c>
      <c r="D1272" s="227" t="str">
        <f>IF(B1272="Unidade Construtiva",TEXT(F1272,"00"),IF(B1272="Célula Construtiva",TEXT(H1272,"00"),IF(B1272="Etapa",CONCATENATE(TEXT(H1272,"00"),".",TEXT(J1272,"000")),IF(B1272="Subetapa",CONCATENATE(TEXT(H1272,"00"),".",TEXT(J1272,"000"),".",TEXT(L1272,"000")),IF(B1272="Serviço",CONCATENATE(TEXT(H1272,"00"),".",TEXT(J1272,"000"),".",TEXT(L1272,"000"),".",TEXT(N1272,"000")),"")))))</f>
        <v/>
      </c>
      <c r="E1272" s="228" t="str">
        <f ca="1">IF(B1272="*","",IFERROR(IF(B1272="SERVIÇO",D1272,OFFSET(E1272,-1,0)),""))</f>
        <v>13.002.004.003</v>
      </c>
      <c r="F1272" s="230">
        <f ca="1">IF($B1272="UNIDADE CONSTRUTIVA",OFFSET(F1272,-1,0)+1,LARGE(F$10:F1271,1))</f>
        <v>2</v>
      </c>
      <c r="G1272" s="228" t="str">
        <f t="shared" ca="1" si="893"/>
        <v xml:space="preserve">   GERENCIAMENTO EXECUTIVO</v>
      </c>
      <c r="H1272" s="230">
        <f ca="1">IF(B1272="UNIDADE CONSTRUTIVA",0,IF(B1272="CÉLULA CONSTRUTIVA",OFFSET(H1272,-1,0)+1,OFFSET(H1272,-1,0)))</f>
        <v>13</v>
      </c>
      <c r="I1272" s="228" t="str">
        <f t="shared" ca="1" si="895"/>
        <v xml:space="preserve">   REVESTIMENTOS INTERNOS DE PAREDE</v>
      </c>
      <c r="J1272" s="230">
        <f ca="1">IF(B1272="CÉLULA CONSTRUTIVA",0,IF(B1272="ETAPA",OFFSET(J1272,-1,0)+1,OFFSET(J1272,-1,0)))</f>
        <v>2</v>
      </c>
      <c r="K1272" s="228" t="str">
        <f t="shared" ca="1" si="897"/>
        <v xml:space="preserve">   REVESTIMENTOS INTERNOS DE PAREDE - 2º PAVIMENTO - TÉRREO</v>
      </c>
      <c r="L1272" s="231">
        <f ca="1">IF(B1272="ETAPA",0,IF(B1272="SUBETAPA",OFFSET(L1272,-1,0)+1,OFFSET(L1272,-1,0)))</f>
        <v>4</v>
      </c>
      <c r="M1272" s="228" t="str">
        <f t="shared" ca="1" si="899"/>
        <v xml:space="preserve">   Mão de Obra</v>
      </c>
      <c r="N1272" s="231">
        <f ca="1">IF(B1272="Subetapa",0,IF(B1272="serviço",OFFSET(N1272,-1,0)+1,OFFSET(N1272,-1,0)))</f>
        <v>3</v>
      </c>
      <c r="O1272" s="228" t="str">
        <f t="shared" ca="1" si="901"/>
        <v>Mao de obra para colocacao e rejuntamento de Azulejo Cerâmico</v>
      </c>
      <c r="P1272" s="232" t="str">
        <f>IF(S1272="","",IF(Orçamento!$B1272="INSUMO",S1272,""))</f>
        <v>MAO DE OBRA PARA COLOCACAO E REJUNTAMENTO DE AZULEJO</v>
      </c>
      <c r="Q1272" s="244" t="str">
        <f>IF(B1272="","",IF(B1272="Serviço",S1272,""))</f>
        <v/>
      </c>
      <c r="R1272" s="234">
        <f t="shared" ca="1" si="903"/>
        <v>69.41</v>
      </c>
      <c r="S1272" s="233" t="s">
        <v>363</v>
      </c>
      <c r="T1272" s="242" t="str">
        <f>_xlfn.XLOOKUP(S1272,Insumos!$A$3:$A$371,Insumos!$B$3:$B$371)</f>
        <v>M2</v>
      </c>
      <c r="U1272" s="235">
        <f ca="1">IF($B1272="insumo",R1272,"")</f>
        <v>69.41</v>
      </c>
      <c r="V1272" s="320">
        <v>1</v>
      </c>
      <c r="W1272" s="236">
        <f>IFERROR(IF(B1272="INSUMO",_xlfn.XLOOKUP(S1272,Insumos!A:A,Insumos!C:C),""),"Inserir Preço")</f>
        <v>73.511069535391343</v>
      </c>
      <c r="X1272" s="235">
        <f t="shared" ca="1" si="904"/>
        <v>69.41</v>
      </c>
      <c r="Y1272" s="236">
        <f t="shared" si="905"/>
        <v>73.511069535391343</v>
      </c>
      <c r="Z1272" s="237">
        <f t="shared" ca="1" si="875"/>
        <v>5102.4033364515126</v>
      </c>
      <c r="AA1272" s="238"/>
      <c r="AB1272" s="233" t="str">
        <f>IF(B1272="insumo",_xlfn.XLOOKUP(S1272,Insumos!A:A,Insumos!D:D),"")</f>
        <v>Aba Custo Serviços</v>
      </c>
      <c r="AC1272" s="239">
        <f t="shared" ca="1" si="876"/>
        <v>7.3198627826874269E-4</v>
      </c>
      <c r="AE1272" s="240">
        <f ca="1">IFERROR(IF(OR(Z1272="",Z1272=0),"",IF(AF1272="","",IF(AF1272="R$/mês",Z1272/OBRA!$D$12,IF(AF1272="R$/m²",Z1272/OBRA!$D$10,IF(AF1272="R$/apto",Orçamento!Z1272/OBRA!$D$11,""))))),"")</f>
        <v>2.625733102335551</v>
      </c>
      <c r="AF1272" s="241" t="s">
        <v>154</v>
      </c>
    </row>
    <row r="1273" spans="1:32" s="10" customFormat="1" ht="13.15" hidden="1" customHeight="1" outlineLevel="4" x14ac:dyDescent="0.2">
      <c r="A1273" s="227"/>
      <c r="B1273" s="228" t="s">
        <v>4</v>
      </c>
      <c r="C1273" s="229">
        <f t="shared" si="874"/>
        <v>5</v>
      </c>
      <c r="D1273" s="227" t="str">
        <f t="shared" ca="1" si="891"/>
        <v>13.002.004.004</v>
      </c>
      <c r="E1273" s="228" t="str">
        <f t="shared" ca="1" si="892"/>
        <v>13.002.004.004</v>
      </c>
      <c r="F1273" s="230">
        <f ca="1">IF($B1273="UNIDADE CONSTRUTIVA",OFFSET(F1273,-1,0)+1,LARGE(F$10:F1272,1))</f>
        <v>2</v>
      </c>
      <c r="G1273" s="228" t="str">
        <f t="shared" ca="1" si="893"/>
        <v xml:space="preserve">   GERENCIAMENTO EXECUTIVO</v>
      </c>
      <c r="H1273" s="230">
        <f t="shared" ca="1" si="894"/>
        <v>13</v>
      </c>
      <c r="I1273" s="228" t="str">
        <f t="shared" ca="1" si="895"/>
        <v xml:space="preserve">   REVESTIMENTOS INTERNOS DE PAREDE</v>
      </c>
      <c r="J1273" s="230">
        <f t="shared" ca="1" si="896"/>
        <v>2</v>
      </c>
      <c r="K1273" s="228" t="str">
        <f t="shared" ca="1" si="897"/>
        <v xml:space="preserve">   REVESTIMENTOS INTERNOS DE PAREDE - 2º PAVIMENTO - TÉRREO</v>
      </c>
      <c r="L1273" s="231">
        <f t="shared" ca="1" si="898"/>
        <v>4</v>
      </c>
      <c r="M1273" s="228" t="str">
        <f t="shared" ca="1" si="899"/>
        <v xml:space="preserve">   Mão de Obra</v>
      </c>
      <c r="N1273" s="231">
        <f t="shared" ca="1" si="900"/>
        <v>4</v>
      </c>
      <c r="O1273" s="228" t="str">
        <f t="shared" ca="1" si="901"/>
        <v>Mao de obra para colocacao de peitoril</v>
      </c>
      <c r="P1273" s="232" t="str">
        <f>IF(S1273="","",IF(Orçamento!$B1273="INSUMO",S1273,""))</f>
        <v/>
      </c>
      <c r="Q1273" s="244" t="str">
        <f t="shared" si="902"/>
        <v>Mao de obra para colocacao de peitoril</v>
      </c>
      <c r="R1273" s="234">
        <f t="shared" ca="1" si="903"/>
        <v>24.31</v>
      </c>
      <c r="S1273" s="233" t="s">
        <v>497</v>
      </c>
      <c r="T1273" s="242" t="s">
        <v>158</v>
      </c>
      <c r="U1273" s="235">
        <f>U1263</f>
        <v>24.31</v>
      </c>
      <c r="V1273" s="320" t="s">
        <v>35</v>
      </c>
      <c r="W1273" s="236" t="str">
        <f>IFERROR(IF(B1273="INSUMO",_xlfn.XLOOKUP(S1273,Insumos!A:A,Insumos!C:C),""),"Inserir Preço")</f>
        <v/>
      </c>
      <c r="X1273" s="235">
        <f t="shared" ca="1" si="904"/>
        <v>24.31</v>
      </c>
      <c r="Y1273" s="236">
        <f t="shared" ca="1" si="905"/>
        <v>10.5</v>
      </c>
      <c r="Z1273" s="237">
        <f t="shared" ca="1" si="875"/>
        <v>255.255</v>
      </c>
      <c r="AA1273" s="238"/>
      <c r="AB1273" s="233" t="str">
        <f>IF(B1273="insumo",_xlfn.XLOOKUP(S1273,Insumos!A:A,Insumos!D:D),"")</f>
        <v/>
      </c>
      <c r="AC1273" s="239">
        <f t="shared" ca="1" si="876"/>
        <v>3.6618656962040318E-5</v>
      </c>
      <c r="AE1273" s="240">
        <f ca="1">IFERROR(IF(OR(Z1273="",Z1273=0),"",IF(AF1273="","",IF(AF1273="R$/mês",Z1273/OBRA!$D$12,IF(AF1273="R$/m²",Z1273/OBRA!$D$10,IF(AF1273="R$/apto",Orçamento!Z1273/OBRA!$D$11,""))))),"")</f>
        <v>0.13135604123032271</v>
      </c>
      <c r="AF1273" s="241" t="s">
        <v>154</v>
      </c>
    </row>
    <row r="1274" spans="1:32" s="10" customFormat="1" ht="13.15" hidden="1" customHeight="1" outlineLevel="4" x14ac:dyDescent="0.2">
      <c r="A1274" s="227"/>
      <c r="B1274" s="228" t="s">
        <v>19</v>
      </c>
      <c r="C1274" s="229">
        <f t="shared" si="874"/>
        <v>5</v>
      </c>
      <c r="D1274" s="227" t="str">
        <f t="shared" si="891"/>
        <v/>
      </c>
      <c r="E1274" s="228" t="str">
        <f t="shared" ca="1" si="892"/>
        <v>13.002.004.004</v>
      </c>
      <c r="F1274" s="230">
        <f ca="1">IF($B1274="UNIDADE CONSTRUTIVA",OFFSET(F1274,-1,0)+1,LARGE(F$10:F1273,1))</f>
        <v>2</v>
      </c>
      <c r="G1274" s="228" t="str">
        <f t="shared" ca="1" si="893"/>
        <v xml:space="preserve">   GERENCIAMENTO EXECUTIVO</v>
      </c>
      <c r="H1274" s="230">
        <f t="shared" ca="1" si="894"/>
        <v>13</v>
      </c>
      <c r="I1274" s="228" t="str">
        <f t="shared" ca="1" si="895"/>
        <v xml:space="preserve">   REVESTIMENTOS INTERNOS DE PAREDE</v>
      </c>
      <c r="J1274" s="230">
        <f t="shared" ca="1" si="896"/>
        <v>2</v>
      </c>
      <c r="K1274" s="228" t="str">
        <f t="shared" ca="1" si="897"/>
        <v xml:space="preserve">   REVESTIMENTOS INTERNOS DE PAREDE - 2º PAVIMENTO - TÉRREO</v>
      </c>
      <c r="L1274" s="231">
        <f t="shared" ca="1" si="898"/>
        <v>4</v>
      </c>
      <c r="M1274" s="228" t="str">
        <f t="shared" ca="1" si="899"/>
        <v xml:space="preserve">   Mão de Obra</v>
      </c>
      <c r="N1274" s="231">
        <f t="shared" ca="1" si="900"/>
        <v>4</v>
      </c>
      <c r="O1274" s="228" t="str">
        <f t="shared" ca="1" si="901"/>
        <v>Mao de obra para colocacao de peitoril</v>
      </c>
      <c r="P1274" s="232" t="str">
        <f>IF(S1274="","",IF(Orçamento!$B1274="INSUMO",S1274,""))</f>
        <v>MAO DE OBRA PARA COLOCACAO DE PEITORIL</v>
      </c>
      <c r="Q1274" s="244" t="str">
        <f t="shared" si="902"/>
        <v/>
      </c>
      <c r="R1274" s="234">
        <f t="shared" ca="1" si="903"/>
        <v>24.31</v>
      </c>
      <c r="S1274" s="233" t="s">
        <v>373</v>
      </c>
      <c r="T1274" s="242" t="str">
        <f>_xlfn.XLOOKUP(S1274,Insumos!$A$3:$A$371,Insumos!$B$3:$B$371)</f>
        <v>M2</v>
      </c>
      <c r="U1274" s="235">
        <f ca="1">IF($B1274="insumo",R1274,"")</f>
        <v>24.31</v>
      </c>
      <c r="V1274" s="320">
        <v>1</v>
      </c>
      <c r="W1274" s="236">
        <f>IFERROR(IF(B1274="INSUMO",_xlfn.XLOOKUP(S1274,Insumos!A:A,Insumos!C:C),""),"Inserir Preço")</f>
        <v>10.5</v>
      </c>
      <c r="X1274" s="235">
        <f t="shared" ca="1" si="904"/>
        <v>24.31</v>
      </c>
      <c r="Y1274" s="236">
        <f t="shared" si="905"/>
        <v>10.5</v>
      </c>
      <c r="Z1274" s="237">
        <f t="shared" ca="1" si="875"/>
        <v>255.255</v>
      </c>
      <c r="AA1274" s="238"/>
      <c r="AB1274" s="233" t="str">
        <f>IF(B1274="insumo",_xlfn.XLOOKUP(S1274,Insumos!A:A,Insumos!D:D),"")</f>
        <v xml:space="preserve"> </v>
      </c>
      <c r="AC1274" s="239">
        <f t="shared" ca="1" si="876"/>
        <v>3.6618656962040318E-5</v>
      </c>
      <c r="AE1274" s="240">
        <f ca="1">IFERROR(IF(OR(Z1274="",Z1274=0),"",IF(AF1274="","",IF(AF1274="R$/mês",Z1274/OBRA!$D$12,IF(AF1274="R$/m²",Z1274/OBRA!$D$10,IF(AF1274="R$/apto",Orçamento!Z1274/OBRA!$D$11,""))))),"")</f>
        <v>0.13135604123032271</v>
      </c>
      <c r="AF1274" s="241" t="s">
        <v>154</v>
      </c>
    </row>
    <row r="1275" spans="1:32" s="10" customFormat="1" ht="13.15" customHeight="1" outlineLevel="2" collapsed="1" x14ac:dyDescent="0.2">
      <c r="A1275" s="227"/>
      <c r="B1275" s="228" t="s">
        <v>2</v>
      </c>
      <c r="C1275" s="229" t="str">
        <f t="shared" si="874"/>
        <v/>
      </c>
      <c r="D1275" s="227" t="str">
        <f t="shared" ca="1" si="891"/>
        <v>13.003</v>
      </c>
      <c r="E1275" s="228" t="str">
        <f t="shared" ca="1" si="892"/>
        <v>13.002.004.004</v>
      </c>
      <c r="F1275" s="230">
        <f ca="1">IF($B1275="UNIDADE CONSTRUTIVA",OFFSET(F1275,-1,0)+1,LARGE(F$10:F1274,1))</f>
        <v>2</v>
      </c>
      <c r="G1275" s="228" t="str">
        <f t="shared" ref="G1275:G1287" ca="1" si="906">IF(B1275="*","",IF(B1275="UNIDADE CONSTRUTIVA",S1275,OFFSET(G1275,-1,0)))</f>
        <v xml:space="preserve">   GERENCIAMENTO EXECUTIVO</v>
      </c>
      <c r="H1275" s="230">
        <f t="shared" ca="1" si="894"/>
        <v>13</v>
      </c>
      <c r="I1275" s="228" t="str">
        <f t="shared" ref="I1275:I1287" ca="1" si="907">IF(B1275="*","",IF(B1275="CÉLULA CONSTRUTIVA",S1275,OFFSET(I1275,-1,0)))</f>
        <v xml:space="preserve">   REVESTIMENTOS INTERNOS DE PAREDE</v>
      </c>
      <c r="J1275" s="230">
        <f t="shared" ca="1" si="896"/>
        <v>3</v>
      </c>
      <c r="K1275" s="228" t="str">
        <f t="shared" ref="K1275:K1287" ca="1" si="908">IF(B1275="*","",IF(B1275="ETAPA",S1275,OFFSET(K1275,-1,0)))</f>
        <v xml:space="preserve">   REVESTIMENTOS INTERNOS DE PAREDE - 3º  ao 7º PAVIMENTO - TIPO</v>
      </c>
      <c r="L1275" s="231">
        <f t="shared" ca="1" si="898"/>
        <v>0</v>
      </c>
      <c r="M1275" s="228" t="str">
        <f t="shared" ref="M1275:M1287" ca="1" si="909">IF(B1275="*","",IF(B1275="SUBETAPA",S1275,OFFSET(M1275,-1,0)))</f>
        <v xml:space="preserve">   Mão de Obra</v>
      </c>
      <c r="N1275" s="231">
        <f t="shared" ca="1" si="900"/>
        <v>4</v>
      </c>
      <c r="O1275" s="228" t="str">
        <f t="shared" ref="O1275:O1287" ca="1" si="910">IF(B1275="*","",IF(B1275="SERVIÇO",S1275,OFFSET(O1275,-1,0)))</f>
        <v>Mao de obra para colocacao de peitoril</v>
      </c>
      <c r="P1275" s="232" t="str">
        <f>IF(S1275="","",IF(Orçamento!$B1275="INSUMO",S1275,""))</f>
        <v/>
      </c>
      <c r="Q1275" s="244" t="str">
        <f t="shared" si="902"/>
        <v/>
      </c>
      <c r="R1275" s="234">
        <f t="shared" ref="R1275:R1287" ca="1" si="911">IF(B1275="serviço",U1275,OFFSET(R1275,-1,0))</f>
        <v>24.31</v>
      </c>
      <c r="S1275" s="233" t="s">
        <v>727</v>
      </c>
      <c r="T1275" s="242" t="s">
        <v>35</v>
      </c>
      <c r="U1275" s="235" t="str">
        <f>IF($B1275="insumo",R1275,"")</f>
        <v/>
      </c>
      <c r="V1275" s="320" t="s">
        <v>35</v>
      </c>
      <c r="W1275" s="236" t="str">
        <f>IFERROR(IF(B1275="INSUMO",_xlfn.XLOOKUP(S1275,Insumos!A:A,Insumos!C:C),""),"Inserir Preço")</f>
        <v/>
      </c>
      <c r="X1275" s="235" t="str">
        <f t="shared" ref="X1275:X1287" ca="1" si="912">IF(B1275="Complemento do insumo",V1275,IF(R1275="","",IF(B1275="serviço",R1275,IF(OR(B1275="insumo"),V1275*R1275,""))))</f>
        <v/>
      </c>
      <c r="Y1275" s="236" t="str">
        <f t="shared" si="905"/>
        <v/>
      </c>
      <c r="Z1275" s="237">
        <f t="shared" ca="1" si="875"/>
        <v>266698.23824494157</v>
      </c>
      <c r="AA1275" s="238"/>
      <c r="AB1275" s="233" t="str">
        <f>IF(B1275="insumo",_xlfn.XLOOKUP(S1275,Insumos!A:A,Insumos!D:D),"")</f>
        <v/>
      </c>
      <c r="AC1275" s="239">
        <f t="shared" ca="1" si="876"/>
        <v>3.8260293818620658E-2</v>
      </c>
      <c r="AE1275" s="240">
        <f ca="1">IFERROR(IF(OR(Z1275="",Z1275=0),"",IF(AF1275="","",IF(AF1275="R$/mês",Z1275/OBRA!$D$12,IF(AF1275="R$/m²",Z1275/OBRA!$D$10,IF(AF1275="R$/apto",Orçamento!Z1275/OBRA!$D$11,""))))),"")</f>
        <v>137.24481314355046</v>
      </c>
      <c r="AF1275" s="241" t="s">
        <v>154</v>
      </c>
    </row>
    <row r="1276" spans="1:32" s="10" customFormat="1" ht="13.15" hidden="1" customHeight="1" outlineLevel="3" collapsed="1" x14ac:dyDescent="0.2">
      <c r="A1276" s="227"/>
      <c r="B1276" s="228" t="s">
        <v>3</v>
      </c>
      <c r="C1276" s="229" t="str">
        <f t="shared" si="874"/>
        <v/>
      </c>
      <c r="D1276" s="227" t="str">
        <f t="shared" ca="1" si="891"/>
        <v>13.003.001</v>
      </c>
      <c r="E1276" s="228" t="str">
        <f t="shared" ca="1" si="892"/>
        <v>13.002.004.004</v>
      </c>
      <c r="F1276" s="230">
        <f ca="1">IF($B1276="UNIDADE CONSTRUTIVA",OFFSET(F1276,-1,0)+1,LARGE(F$10:F1275,1))</f>
        <v>2</v>
      </c>
      <c r="G1276" s="228" t="str">
        <f t="shared" ca="1" si="906"/>
        <v xml:space="preserve">   GERENCIAMENTO EXECUTIVO</v>
      </c>
      <c r="H1276" s="230">
        <f t="shared" ca="1" si="894"/>
        <v>13</v>
      </c>
      <c r="I1276" s="228" t="str">
        <f t="shared" ca="1" si="907"/>
        <v xml:space="preserve">   REVESTIMENTOS INTERNOS DE PAREDE</v>
      </c>
      <c r="J1276" s="230">
        <f t="shared" ca="1" si="896"/>
        <v>3</v>
      </c>
      <c r="K1276" s="228" t="str">
        <f t="shared" ca="1" si="908"/>
        <v xml:space="preserve">   REVESTIMENTOS INTERNOS DE PAREDE - 3º  ao 7º PAVIMENTO - TIPO</v>
      </c>
      <c r="L1276" s="231">
        <f t="shared" ca="1" si="898"/>
        <v>1</v>
      </c>
      <c r="M1276" s="228" t="str">
        <f t="shared" ca="1" si="909"/>
        <v xml:space="preserve">   Reboco</v>
      </c>
      <c r="N1276" s="231">
        <f t="shared" ca="1" si="900"/>
        <v>0</v>
      </c>
      <c r="O1276" s="228" t="str">
        <f t="shared" ca="1" si="910"/>
        <v>Mao de obra para colocacao de peitoril</v>
      </c>
      <c r="P1276" s="232" t="str">
        <f>IF(S1276="","",IF(Orçamento!$B1276="INSUMO",S1276,""))</f>
        <v/>
      </c>
      <c r="Q1276" s="244" t="str">
        <f t="shared" si="902"/>
        <v/>
      </c>
      <c r="R1276" s="234">
        <f t="shared" ca="1" si="911"/>
        <v>24.31</v>
      </c>
      <c r="S1276" s="233" t="s">
        <v>478</v>
      </c>
      <c r="T1276" s="242" t="s">
        <v>35</v>
      </c>
      <c r="U1276" s="235" t="str">
        <f>IF($B1276="insumo",R1276,"")</f>
        <v/>
      </c>
      <c r="V1276" s="320" t="s">
        <v>35</v>
      </c>
      <c r="W1276" s="236" t="str">
        <f>IFERROR(IF(B1276="INSUMO",_xlfn.XLOOKUP(S1276,Insumos!A:A,Insumos!C:C),""),"Inserir Preço")</f>
        <v/>
      </c>
      <c r="X1276" s="235" t="str">
        <f t="shared" ca="1" si="912"/>
        <v/>
      </c>
      <c r="Y1276" s="236" t="str">
        <f t="shared" si="905"/>
        <v/>
      </c>
      <c r="Z1276" s="237">
        <f t="shared" ca="1" si="875"/>
        <v>67943.162360000002</v>
      </c>
      <c r="AA1276" s="238"/>
      <c r="AB1276" s="233" t="str">
        <f>IF(B1276="insumo",_xlfn.XLOOKUP(S1276,Insumos!A:A,Insumos!D:D),"")</f>
        <v/>
      </c>
      <c r="AC1276" s="239">
        <f t="shared" ca="1" si="876"/>
        <v>9.7470660922491219E-3</v>
      </c>
      <c r="AE1276" s="240">
        <f ca="1">IFERROR(IF(OR(Z1276="",Z1276=0),"",IF(AF1276="","",IF(AF1276="R$/mês",Z1276/OBRA!$D$12,IF(AF1276="R$/m²",Z1276/OBRA!$D$10,IF(AF1276="R$/apto",Orçamento!Z1276/OBRA!$D$11,""))))),"")</f>
        <v>34.964035322632938</v>
      </c>
      <c r="AF1276" s="241" t="s">
        <v>154</v>
      </c>
    </row>
    <row r="1277" spans="1:32" s="10" customFormat="1" ht="13.15" hidden="1" customHeight="1" outlineLevel="4" x14ac:dyDescent="0.2">
      <c r="A1277" s="227"/>
      <c r="B1277" s="228" t="s">
        <v>4</v>
      </c>
      <c r="C1277" s="229">
        <f t="shared" si="874"/>
        <v>6</v>
      </c>
      <c r="D1277" s="227" t="str">
        <f t="shared" ca="1" si="891"/>
        <v>13.003.001.001</v>
      </c>
      <c r="E1277" s="228" t="str">
        <f t="shared" ca="1" si="892"/>
        <v>13.003.001.001</v>
      </c>
      <c r="F1277" s="230">
        <f ca="1">IF($B1277="UNIDADE CONSTRUTIVA",OFFSET(F1277,-1,0)+1,LARGE(F$10:F1276,1))</f>
        <v>2</v>
      </c>
      <c r="G1277" s="228" t="str">
        <f t="shared" ca="1" si="906"/>
        <v xml:space="preserve">   GERENCIAMENTO EXECUTIVO</v>
      </c>
      <c r="H1277" s="230">
        <f t="shared" ca="1" si="894"/>
        <v>13</v>
      </c>
      <c r="I1277" s="228" t="str">
        <f t="shared" ca="1" si="907"/>
        <v xml:space="preserve">   REVESTIMENTOS INTERNOS DE PAREDE</v>
      </c>
      <c r="J1277" s="230">
        <f t="shared" ca="1" si="896"/>
        <v>3</v>
      </c>
      <c r="K1277" s="228" t="str">
        <f t="shared" ca="1" si="908"/>
        <v xml:space="preserve">   REVESTIMENTOS INTERNOS DE PAREDE - 3º  ao 7º PAVIMENTO - TIPO</v>
      </c>
      <c r="L1277" s="231">
        <f t="shared" ca="1" si="898"/>
        <v>1</v>
      </c>
      <c r="M1277" s="228" t="str">
        <f t="shared" ca="1" si="909"/>
        <v xml:space="preserve">   Reboco</v>
      </c>
      <c r="N1277" s="231">
        <f t="shared" ca="1" si="900"/>
        <v>1</v>
      </c>
      <c r="O1277" s="228" t="str">
        <f t="shared" ca="1" si="910"/>
        <v>Chapisco aplicado em estruturas de concreto, com desempenadeira dentada, de argamassa industrializada</v>
      </c>
      <c r="P1277" s="232" t="str">
        <f>IF(S1277="","",IF(Orçamento!$B1277="INSUMO",S1277,""))</f>
        <v/>
      </c>
      <c r="Q1277" s="244" t="str">
        <f t="shared" si="902"/>
        <v>Chapisco aplicado em estruturas de concreto, com desempenadeira dentada, de argamassa industrializada</v>
      </c>
      <c r="R1277" s="234">
        <f t="shared" ca="1" si="911"/>
        <v>388.91</v>
      </c>
      <c r="S1277" s="233" t="s">
        <v>479</v>
      </c>
      <c r="T1277" s="242" t="s">
        <v>140</v>
      </c>
      <c r="U1277" s="235">
        <v>388.91</v>
      </c>
      <c r="V1277" s="320" t="s">
        <v>35</v>
      </c>
      <c r="W1277" s="236" t="str">
        <f>IFERROR(IF(B1277="INSUMO",_xlfn.XLOOKUP(S1277,Insumos!A:A,Insumos!C:C),""),"Inserir Preço")</f>
        <v/>
      </c>
      <c r="X1277" s="235">
        <f t="shared" ca="1" si="912"/>
        <v>388.91</v>
      </c>
      <c r="Y1277" s="236">
        <f t="shared" ca="1" si="905"/>
        <v>5.5020000000000007</v>
      </c>
      <c r="Z1277" s="237">
        <f t="shared" ca="1" si="875"/>
        <v>2139.7828200000004</v>
      </c>
      <c r="AA1277" s="238"/>
      <c r="AB1277" s="233" t="str">
        <f>IF(B1277="insumo",_xlfn.XLOOKUP(S1277,Insumos!A:A,Insumos!D:D),"")</f>
        <v/>
      </c>
      <c r="AC1277" s="239">
        <f t="shared" ca="1" si="876"/>
        <v>3.0697135436660308E-4</v>
      </c>
      <c r="AE1277" s="240">
        <f ca="1">IFERROR(IF(OR(Z1277="",Z1277=0),"",IF(AF1277="","",IF(AF1277="R$/mês",Z1277/OBRA!$D$12,IF(AF1277="R$/m²",Z1277/OBRA!$D$10,IF(AF1277="R$/apto",Orçamento!Z1277/OBRA!$D$11,""))))),"")</f>
        <v>1.1011474812554356</v>
      </c>
      <c r="AF1277" s="241" t="s">
        <v>154</v>
      </c>
    </row>
    <row r="1278" spans="1:32" s="10" customFormat="1" ht="13.15" hidden="1" customHeight="1" outlineLevel="4" x14ac:dyDescent="0.2">
      <c r="A1278" s="227"/>
      <c r="B1278" s="228" t="s">
        <v>19</v>
      </c>
      <c r="C1278" s="229">
        <f t="shared" si="874"/>
        <v>11</v>
      </c>
      <c r="D1278" s="227" t="str">
        <f t="shared" si="891"/>
        <v/>
      </c>
      <c r="E1278" s="228" t="str">
        <f t="shared" ca="1" si="892"/>
        <v>13.003.001.001</v>
      </c>
      <c r="F1278" s="230">
        <f ca="1">IF($B1278="UNIDADE CONSTRUTIVA",OFFSET(F1278,-1,0)+1,LARGE(F$10:F1277,1))</f>
        <v>2</v>
      </c>
      <c r="G1278" s="228" t="str">
        <f t="shared" ca="1" si="906"/>
        <v xml:space="preserve">   GERENCIAMENTO EXECUTIVO</v>
      </c>
      <c r="H1278" s="230">
        <f t="shared" ca="1" si="894"/>
        <v>13</v>
      </c>
      <c r="I1278" s="228" t="str">
        <f t="shared" ca="1" si="907"/>
        <v xml:space="preserve">   REVESTIMENTOS INTERNOS DE PAREDE</v>
      </c>
      <c r="J1278" s="230">
        <f t="shared" ca="1" si="896"/>
        <v>3</v>
      </c>
      <c r="K1278" s="228" t="str">
        <f t="shared" ca="1" si="908"/>
        <v xml:space="preserve">   REVESTIMENTOS INTERNOS DE PAREDE - 3º  ao 7º PAVIMENTO - TIPO</v>
      </c>
      <c r="L1278" s="231">
        <f t="shared" ca="1" si="898"/>
        <v>1</v>
      </c>
      <c r="M1278" s="228" t="str">
        <f t="shared" ca="1" si="909"/>
        <v xml:space="preserve">   Reboco</v>
      </c>
      <c r="N1278" s="231">
        <f t="shared" ca="1" si="900"/>
        <v>1</v>
      </c>
      <c r="O1278" s="228" t="str">
        <f t="shared" ca="1" si="910"/>
        <v>Chapisco aplicado em estruturas de concreto, com desempenadeira dentada, de argamassa industrializada</v>
      </c>
      <c r="P1278" s="232" t="str">
        <f>IF(S1278="","",IF(Orçamento!$B1278="INSUMO",S1278,""))</f>
        <v>CHAPISCO COLANTE 20KG</v>
      </c>
      <c r="Q1278" s="244" t="str">
        <f t="shared" si="902"/>
        <v/>
      </c>
      <c r="R1278" s="234">
        <f t="shared" ca="1" si="911"/>
        <v>388.91</v>
      </c>
      <c r="S1278" s="233" t="s">
        <v>1027</v>
      </c>
      <c r="T1278" s="242" t="str">
        <f>_xlfn.XLOOKUP(S1278,Insumos!$A$3:$A$371,Insumos!$B$3:$B$371)</f>
        <v>KG</v>
      </c>
      <c r="U1278" s="235">
        <f ca="1">IF($B1278="insumo",R1278,"")</f>
        <v>388.91</v>
      </c>
      <c r="V1278" s="320">
        <v>4.2</v>
      </c>
      <c r="W1278" s="236">
        <f>IFERROR(IF(B1278="INSUMO",_xlfn.XLOOKUP(S1278,Insumos!A:A,Insumos!C:C),""),"Inserir Preço")</f>
        <v>1.31</v>
      </c>
      <c r="X1278" s="235">
        <f t="shared" ca="1" si="912"/>
        <v>1633.4220000000003</v>
      </c>
      <c r="Y1278" s="236">
        <f t="shared" si="905"/>
        <v>5.5020000000000007</v>
      </c>
      <c r="Z1278" s="237">
        <f t="shared" ca="1" si="875"/>
        <v>2139.7828200000004</v>
      </c>
      <c r="AA1278" s="238"/>
      <c r="AB1278" s="233" t="str">
        <f>IF(B1278="insumo",_xlfn.XLOOKUP(S1278,Insumos!A:A,Insumos!D:D),"")</f>
        <v xml:space="preserve"> </v>
      </c>
      <c r="AC1278" s="239">
        <f t="shared" ca="1" si="876"/>
        <v>3.0697135436660308E-4</v>
      </c>
      <c r="AE1278" s="240">
        <f ca="1">IFERROR(IF(OR(Z1278="",Z1278=0),"",IF(AF1278="","",IF(AF1278="R$/mês",Z1278/OBRA!$D$12,IF(AF1278="R$/m²",Z1278/OBRA!$D$10,IF(AF1278="R$/apto",Orçamento!Z1278/OBRA!$D$11,""))))),"")</f>
        <v>1.1011474812554356</v>
      </c>
      <c r="AF1278" s="241" t="s">
        <v>154</v>
      </c>
    </row>
    <row r="1279" spans="1:32" s="10" customFormat="1" ht="13.15" hidden="1" customHeight="1" outlineLevel="4" x14ac:dyDescent="0.2">
      <c r="A1279" s="227"/>
      <c r="B1279" s="228" t="s">
        <v>4</v>
      </c>
      <c r="C1279" s="229">
        <f t="shared" si="874"/>
        <v>5</v>
      </c>
      <c r="D1279" s="227" t="str">
        <f t="shared" ca="1" si="891"/>
        <v>13.003.001.002</v>
      </c>
      <c r="E1279" s="228" t="str">
        <f t="shared" ca="1" si="892"/>
        <v>13.003.001.002</v>
      </c>
      <c r="F1279" s="230">
        <f ca="1">IF($B1279="UNIDADE CONSTRUTIVA",OFFSET(F1279,-1,0)+1,LARGE(F$10:F1278,1))</f>
        <v>2</v>
      </c>
      <c r="G1279" s="228" t="str">
        <f t="shared" ca="1" si="906"/>
        <v xml:space="preserve">   GERENCIAMENTO EXECUTIVO</v>
      </c>
      <c r="H1279" s="230">
        <f t="shared" ca="1" si="894"/>
        <v>13</v>
      </c>
      <c r="I1279" s="228" t="str">
        <f t="shared" ca="1" si="907"/>
        <v xml:space="preserve">   REVESTIMENTOS INTERNOS DE PAREDE</v>
      </c>
      <c r="J1279" s="230">
        <f t="shared" ca="1" si="896"/>
        <v>3</v>
      </c>
      <c r="K1279" s="228" t="str">
        <f t="shared" ca="1" si="908"/>
        <v xml:space="preserve">   REVESTIMENTOS INTERNOS DE PAREDE - 3º  ao 7º PAVIMENTO - TIPO</v>
      </c>
      <c r="L1279" s="231">
        <f t="shared" ca="1" si="898"/>
        <v>1</v>
      </c>
      <c r="M1279" s="228" t="str">
        <f t="shared" ca="1" si="909"/>
        <v xml:space="preserve">   Reboco</v>
      </c>
      <c r="N1279" s="231">
        <f t="shared" ca="1" si="900"/>
        <v>2</v>
      </c>
      <c r="O1279" s="228" t="str">
        <f t="shared" ca="1" si="910"/>
        <v>Chapisco aplicado em alvenarias internas, com colher de pedreiro, de argamassa estabilizada</v>
      </c>
      <c r="P1279" s="232" t="str">
        <f>IF(S1279="","",IF(Orçamento!$B1279="INSUMO",S1279,""))</f>
        <v/>
      </c>
      <c r="Q1279" s="244" t="str">
        <f t="shared" si="902"/>
        <v>Chapisco aplicado em alvenarias internas, com colher de pedreiro, de argamassa estabilizada</v>
      </c>
      <c r="R1279" s="234">
        <f t="shared" ca="1" si="911"/>
        <v>2144.56</v>
      </c>
      <c r="S1279" s="233" t="s">
        <v>480</v>
      </c>
      <c r="T1279" s="242" t="s">
        <v>140</v>
      </c>
      <c r="U1279" s="235">
        <v>2144.56</v>
      </c>
      <c r="V1279" s="320" t="s">
        <v>35</v>
      </c>
      <c r="W1279" s="236" t="str">
        <f>IFERROR(IF(B1279="INSUMO",_xlfn.XLOOKUP(S1279,Insumos!A:A,Insumos!C:C),""),"Inserir Preço")</f>
        <v/>
      </c>
      <c r="X1279" s="235">
        <f t="shared" ca="1" si="912"/>
        <v>2144.56</v>
      </c>
      <c r="Y1279" s="236">
        <f t="shared" ca="1" si="905"/>
        <v>7.93</v>
      </c>
      <c r="Z1279" s="237">
        <f t="shared" ca="1" si="875"/>
        <v>17006.360799999999</v>
      </c>
      <c r="AA1279" s="238"/>
      <c r="AB1279" s="233" t="str">
        <f>IF(B1279="insumo",_xlfn.XLOOKUP(S1279,Insumos!A:A,Insumos!D:D),"")</f>
        <v/>
      </c>
      <c r="AC1279" s="239">
        <f t="shared" ca="1" si="876"/>
        <v>2.4397175072295918E-3</v>
      </c>
      <c r="AE1279" s="240">
        <f ca="1">IFERROR(IF(OR(Z1279="",Z1279=0),"",IF(AF1279="","",IF(AF1279="R$/mês",Z1279/OBRA!$D$12,IF(AF1279="R$/m²",Z1279/OBRA!$D$10,IF(AF1279="R$/apto",Orçamento!Z1279/OBRA!$D$11,""))))),"")</f>
        <v>8.7515944072497849</v>
      </c>
      <c r="AF1279" s="241" t="s">
        <v>154</v>
      </c>
    </row>
    <row r="1280" spans="1:32" s="10" customFormat="1" ht="13.15" hidden="1" customHeight="1" outlineLevel="4" x14ac:dyDescent="0.2">
      <c r="A1280" s="227"/>
      <c r="B1280" s="228" t="s">
        <v>19</v>
      </c>
      <c r="C1280" s="229">
        <f t="shared" si="874"/>
        <v>6</v>
      </c>
      <c r="D1280" s="227" t="str">
        <f t="shared" si="891"/>
        <v/>
      </c>
      <c r="E1280" s="228" t="str">
        <f t="shared" ca="1" si="892"/>
        <v>13.003.001.002</v>
      </c>
      <c r="F1280" s="230">
        <f ca="1">IF($B1280="UNIDADE CONSTRUTIVA",OFFSET(F1280,-1,0)+1,LARGE(F$10:F1279,1))</f>
        <v>2</v>
      </c>
      <c r="G1280" s="228" t="str">
        <f t="shared" ca="1" si="906"/>
        <v xml:space="preserve">   GERENCIAMENTO EXECUTIVO</v>
      </c>
      <c r="H1280" s="230">
        <f t="shared" ca="1" si="894"/>
        <v>13</v>
      </c>
      <c r="I1280" s="228" t="str">
        <f t="shared" ca="1" si="907"/>
        <v xml:space="preserve">   REVESTIMENTOS INTERNOS DE PAREDE</v>
      </c>
      <c r="J1280" s="230">
        <f t="shared" ca="1" si="896"/>
        <v>3</v>
      </c>
      <c r="K1280" s="228" t="str">
        <f t="shared" ca="1" si="908"/>
        <v xml:space="preserve">   REVESTIMENTOS INTERNOS DE PAREDE - 3º  ao 7º PAVIMENTO - TIPO</v>
      </c>
      <c r="L1280" s="231">
        <f t="shared" ca="1" si="898"/>
        <v>1</v>
      </c>
      <c r="M1280" s="228" t="str">
        <f t="shared" ca="1" si="909"/>
        <v xml:space="preserve">   Reboco</v>
      </c>
      <c r="N1280" s="231">
        <f t="shared" ca="1" si="900"/>
        <v>2</v>
      </c>
      <c r="O1280" s="228" t="str">
        <f t="shared" ca="1" si="910"/>
        <v>Chapisco aplicado em alvenarias internas, com colher de pedreiro, de argamassa estabilizada</v>
      </c>
      <c r="P1280" s="232" t="str">
        <f>IF(S1280="","",IF(Orçamento!$B1280="INSUMO",S1280,""))</f>
        <v>ARGAMASSA ESTABILIZADA PARA CHAPISCO</v>
      </c>
      <c r="Q1280" s="244" t="str">
        <f t="shared" si="902"/>
        <v/>
      </c>
      <c r="R1280" s="234">
        <f t="shared" ca="1" si="911"/>
        <v>2144.56</v>
      </c>
      <c r="S1280" s="233" t="s">
        <v>328</v>
      </c>
      <c r="T1280" s="242" t="str">
        <f>_xlfn.XLOOKUP(S1280,Insumos!$A$3:$A$371,Insumos!$B$3:$B$371)</f>
        <v>M3</v>
      </c>
      <c r="U1280" s="235">
        <f ca="1">IF($B1280="insumo",R1280,"")</f>
        <v>2144.56</v>
      </c>
      <c r="V1280" s="320">
        <v>1.888095238095238E-2</v>
      </c>
      <c r="W1280" s="236">
        <f>IFERROR(IF(B1280="INSUMO",_xlfn.XLOOKUP(S1280,Insumos!A:A,Insumos!C:C),""),"Inserir Preço")</f>
        <v>420</v>
      </c>
      <c r="X1280" s="235">
        <f t="shared" ca="1" si="912"/>
        <v>40.491335238095239</v>
      </c>
      <c r="Y1280" s="236">
        <f t="shared" si="905"/>
        <v>7.93</v>
      </c>
      <c r="Z1280" s="237">
        <f t="shared" ca="1" si="875"/>
        <v>17006.360799999999</v>
      </c>
      <c r="AA1280" s="238"/>
      <c r="AB1280" s="233" t="str">
        <f>IF(B1280="insumo",_xlfn.XLOOKUP(S1280,Insumos!A:A,Insumos!D:D),"")</f>
        <v xml:space="preserve"> </v>
      </c>
      <c r="AC1280" s="239">
        <f t="shared" ca="1" si="876"/>
        <v>2.4397175072295918E-3</v>
      </c>
      <c r="AE1280" s="240">
        <f ca="1">IFERROR(IF(OR(Z1280="",Z1280=0),"",IF(AF1280="","",IF(AF1280="R$/mês",Z1280/OBRA!$D$12,IF(AF1280="R$/m²",Z1280/OBRA!$D$10,IF(AF1280="R$/apto",Orçamento!Z1280/OBRA!$D$11,""))))),"")</f>
        <v>8.7515944072497849</v>
      </c>
      <c r="AF1280" s="241" t="s">
        <v>154</v>
      </c>
    </row>
    <row r="1281" spans="1:32" s="10" customFormat="1" ht="13.15" hidden="1" customHeight="1" outlineLevel="4" x14ac:dyDescent="0.2">
      <c r="A1281" s="227"/>
      <c r="B1281" s="228" t="s">
        <v>4</v>
      </c>
      <c r="C1281" s="229">
        <f t="shared" si="874"/>
        <v>5</v>
      </c>
      <c r="D1281" s="227" t="str">
        <f t="shared" ca="1" si="891"/>
        <v>13.003.001.003</v>
      </c>
      <c r="E1281" s="228" t="str">
        <f t="shared" ca="1" si="892"/>
        <v>13.003.001.003</v>
      </c>
      <c r="F1281" s="230">
        <f ca="1">IF($B1281="UNIDADE CONSTRUTIVA",OFFSET(F1281,-1,0)+1,LARGE(F$10:F1280,1))</f>
        <v>2</v>
      </c>
      <c r="G1281" s="228" t="str">
        <f t="shared" ca="1" si="906"/>
        <v xml:space="preserve">   GERENCIAMENTO EXECUTIVO</v>
      </c>
      <c r="H1281" s="230">
        <f t="shared" ca="1" si="894"/>
        <v>13</v>
      </c>
      <c r="I1281" s="228" t="str">
        <f t="shared" ca="1" si="907"/>
        <v xml:space="preserve">   REVESTIMENTOS INTERNOS DE PAREDE</v>
      </c>
      <c r="J1281" s="230">
        <f t="shared" ca="1" si="896"/>
        <v>3</v>
      </c>
      <c r="K1281" s="228" t="str">
        <f t="shared" ca="1" si="908"/>
        <v xml:space="preserve">   REVESTIMENTOS INTERNOS DE PAREDE - 3º  ao 7º PAVIMENTO - TIPO</v>
      </c>
      <c r="L1281" s="231">
        <f t="shared" ca="1" si="898"/>
        <v>1</v>
      </c>
      <c r="M1281" s="228" t="str">
        <f t="shared" ca="1" si="909"/>
        <v xml:space="preserve">   Reboco</v>
      </c>
      <c r="N1281" s="231">
        <f t="shared" ca="1" si="900"/>
        <v>3</v>
      </c>
      <c r="O1281" s="228" t="str">
        <f t="shared" ca="1" si="910"/>
        <v>Massa unica para reboco interno em argamassa estabilizada, espessura de 20mm, com execucao de taliscas</v>
      </c>
      <c r="P1281" s="232" t="str">
        <f>IF(S1281="","",IF(Orçamento!$B1281="INSUMO",S1281,""))</f>
        <v/>
      </c>
      <c r="Q1281" s="244" t="str">
        <f t="shared" si="902"/>
        <v>Massa unica para reboco interno em argamassa estabilizada, espessura de 20mm, com execucao de taliscas</v>
      </c>
      <c r="R1281" s="234">
        <f t="shared" ca="1" si="911"/>
        <v>2533.48</v>
      </c>
      <c r="S1281" s="233" t="s">
        <v>481</v>
      </c>
      <c r="T1281" s="242" t="s">
        <v>140</v>
      </c>
      <c r="U1281" s="235">
        <v>2533.48</v>
      </c>
      <c r="V1281" s="320" t="s">
        <v>35</v>
      </c>
      <c r="W1281" s="236" t="str">
        <f>IFERROR(IF(B1281="INSUMO",_xlfn.XLOOKUP(S1281,Insumos!A:A,Insumos!C:C),""),"Inserir Preço")</f>
        <v/>
      </c>
      <c r="X1281" s="235">
        <f t="shared" ca="1" si="912"/>
        <v>2533.48</v>
      </c>
      <c r="Y1281" s="236">
        <f t="shared" ca="1" si="905"/>
        <v>19.008000000000003</v>
      </c>
      <c r="Z1281" s="237">
        <f t="shared" ca="1" si="875"/>
        <v>48156.38784000001</v>
      </c>
      <c r="AA1281" s="238"/>
      <c r="AB1281" s="233" t="str">
        <f>IF(B1281="insumo",_xlfn.XLOOKUP(S1281,Insumos!A:A,Insumos!D:D),"")</f>
        <v/>
      </c>
      <c r="AC1281" s="239">
        <f t="shared" ca="1" si="876"/>
        <v>6.90847288728499E-3</v>
      </c>
      <c r="AE1281" s="240">
        <f ca="1">IFERROR(IF(OR(Z1281="",Z1281=0),"",IF(AF1281="","",IF(AF1281="R$/mês",Z1281/OBRA!$D$12,IF(AF1281="R$/m²",Z1281/OBRA!$D$10,IF(AF1281="R$/apto",Orçamento!Z1281/OBRA!$D$11,""))))),"")</f>
        <v>24.781620209650946</v>
      </c>
      <c r="AF1281" s="241" t="s">
        <v>154</v>
      </c>
    </row>
    <row r="1282" spans="1:32" s="10" customFormat="1" ht="13.15" hidden="1" customHeight="1" outlineLevel="4" x14ac:dyDescent="0.2">
      <c r="A1282" s="227"/>
      <c r="B1282" s="228" t="s">
        <v>19</v>
      </c>
      <c r="C1282" s="229">
        <f t="shared" si="874"/>
        <v>11</v>
      </c>
      <c r="D1282" s="227" t="str">
        <f t="shared" si="891"/>
        <v/>
      </c>
      <c r="E1282" s="228" t="str">
        <f t="shared" ca="1" si="892"/>
        <v>13.003.001.003</v>
      </c>
      <c r="F1282" s="230">
        <f ca="1">IF($B1282="UNIDADE CONSTRUTIVA",OFFSET(F1282,-1,0)+1,LARGE(F$10:F1281,1))</f>
        <v>2</v>
      </c>
      <c r="G1282" s="228" t="str">
        <f t="shared" ca="1" si="906"/>
        <v xml:space="preserve">   GERENCIAMENTO EXECUTIVO</v>
      </c>
      <c r="H1282" s="230">
        <f t="shared" ca="1" si="894"/>
        <v>13</v>
      </c>
      <c r="I1282" s="228" t="str">
        <f t="shared" ca="1" si="907"/>
        <v xml:space="preserve">   REVESTIMENTOS INTERNOS DE PAREDE</v>
      </c>
      <c r="J1282" s="230">
        <f t="shared" ca="1" si="896"/>
        <v>3</v>
      </c>
      <c r="K1282" s="228" t="str">
        <f t="shared" ca="1" si="908"/>
        <v xml:space="preserve">   REVESTIMENTOS INTERNOS DE PAREDE - 3º  ao 7º PAVIMENTO - TIPO</v>
      </c>
      <c r="L1282" s="231">
        <f t="shared" ca="1" si="898"/>
        <v>1</v>
      </c>
      <c r="M1282" s="228" t="str">
        <f t="shared" ca="1" si="909"/>
        <v xml:space="preserve">   Reboco</v>
      </c>
      <c r="N1282" s="231">
        <f t="shared" ca="1" si="900"/>
        <v>3</v>
      </c>
      <c r="O1282" s="228" t="str">
        <f t="shared" ca="1" si="910"/>
        <v>Massa unica para reboco interno em argamassa estabilizada, espessura de 20mm, com execucao de taliscas</v>
      </c>
      <c r="P1282" s="232" t="str">
        <f>IF(S1282="","",IF(Orçamento!$B1282="INSUMO",S1282,""))</f>
        <v>ARGAMASSA ESTABILIZADA PARA REBOCO</v>
      </c>
      <c r="Q1282" s="244" t="str">
        <f t="shared" si="902"/>
        <v/>
      </c>
      <c r="R1282" s="234">
        <f t="shared" ca="1" si="911"/>
        <v>2533.48</v>
      </c>
      <c r="S1282" s="233" t="s">
        <v>256</v>
      </c>
      <c r="T1282" s="242" t="str">
        <f>_xlfn.XLOOKUP(S1282,Insumos!$A$3:$A$371,Insumos!$B$3:$B$371)</f>
        <v>M3</v>
      </c>
      <c r="U1282" s="235">
        <f ca="1">IF($B1282="insumo",R1282,"")</f>
        <v>2533.48</v>
      </c>
      <c r="V1282" s="320">
        <v>3.9600000000000003E-2</v>
      </c>
      <c r="W1282" s="236">
        <f>IFERROR(IF(B1282="INSUMO",_xlfn.XLOOKUP(S1282,Insumos!A:A,Insumos!C:C),""),"Inserir Preço")</f>
        <v>480</v>
      </c>
      <c r="X1282" s="235">
        <f t="shared" ca="1" si="912"/>
        <v>100.32580800000001</v>
      </c>
      <c r="Y1282" s="236">
        <f t="shared" si="905"/>
        <v>19.008000000000003</v>
      </c>
      <c r="Z1282" s="237">
        <f t="shared" ca="1" si="875"/>
        <v>48156.387840000003</v>
      </c>
      <c r="AA1282" s="238"/>
      <c r="AB1282" s="233" t="str">
        <f>IF(B1282="insumo",_xlfn.XLOOKUP(S1282,Insumos!A:A,Insumos!D:D),"")</f>
        <v xml:space="preserve"> </v>
      </c>
      <c r="AC1282" s="239">
        <f t="shared" ca="1" si="876"/>
        <v>6.9084728872849882E-3</v>
      </c>
      <c r="AE1282" s="240">
        <f ca="1">IFERROR(IF(OR(Z1282="",Z1282=0),"",IF(AF1282="","",IF(AF1282="R$/mês",Z1282/OBRA!$D$12,IF(AF1282="R$/m²",Z1282/OBRA!$D$10,IF(AF1282="R$/apto",Orçamento!Z1282/OBRA!$D$11,""))))),"")</f>
        <v>24.781620209650942</v>
      </c>
      <c r="AF1282" s="241" t="s">
        <v>154</v>
      </c>
    </row>
    <row r="1283" spans="1:32" s="10" customFormat="1" ht="13.15" hidden="1" customHeight="1" outlineLevel="4" x14ac:dyDescent="0.2">
      <c r="A1283" s="227"/>
      <c r="B1283" s="228" t="s">
        <v>4</v>
      </c>
      <c r="C1283" s="229">
        <f t="shared" si="874"/>
        <v>5</v>
      </c>
      <c r="D1283" s="227" t="str">
        <f t="shared" ca="1" si="891"/>
        <v>13.003.001.004</v>
      </c>
      <c r="E1283" s="228" t="str">
        <f t="shared" ca="1" si="892"/>
        <v>13.003.001.004</v>
      </c>
      <c r="F1283" s="230">
        <f ca="1">IF($B1283="UNIDADE CONSTRUTIVA",OFFSET(F1283,-1,0)+1,LARGE(F$10:F1282,1))</f>
        <v>2</v>
      </c>
      <c r="G1283" s="228" t="str">
        <f t="shared" ca="1" si="906"/>
        <v xml:space="preserve">   GERENCIAMENTO EXECUTIVO</v>
      </c>
      <c r="H1283" s="230">
        <f t="shared" ca="1" si="894"/>
        <v>13</v>
      </c>
      <c r="I1283" s="228" t="str">
        <f t="shared" ca="1" si="907"/>
        <v xml:space="preserve">   REVESTIMENTOS INTERNOS DE PAREDE</v>
      </c>
      <c r="J1283" s="230">
        <f t="shared" ca="1" si="896"/>
        <v>3</v>
      </c>
      <c r="K1283" s="228" t="str">
        <f t="shared" ca="1" si="908"/>
        <v xml:space="preserve">   REVESTIMENTOS INTERNOS DE PAREDE - 3º  ao 7º PAVIMENTO - TIPO</v>
      </c>
      <c r="L1283" s="231">
        <f t="shared" ca="1" si="898"/>
        <v>1</v>
      </c>
      <c r="M1283" s="228" t="str">
        <f t="shared" ca="1" si="909"/>
        <v xml:space="preserve">   Reboco</v>
      </c>
      <c r="N1283" s="231">
        <f t="shared" ca="1" si="900"/>
        <v>4</v>
      </c>
      <c r="O1283" s="228" t="str">
        <f t="shared" ca="1" si="910"/>
        <v>Estucamento de estrutura de concreto em pilares e vigas</v>
      </c>
      <c r="P1283" s="232" t="str">
        <f>IF(S1283="","",IF(Orçamento!$B1283="INSUMO",S1283,""))</f>
        <v/>
      </c>
      <c r="Q1283" s="244" t="str">
        <f t="shared" si="902"/>
        <v>Estucamento de estrutura de concreto em pilares e vigas</v>
      </c>
      <c r="R1283" s="234">
        <f t="shared" ca="1" si="911"/>
        <v>158.19999999999999</v>
      </c>
      <c r="S1283" s="233" t="s">
        <v>482</v>
      </c>
      <c r="T1283" s="242" t="s">
        <v>140</v>
      </c>
      <c r="U1283" s="235">
        <v>158.19999999999999</v>
      </c>
      <c r="V1283" s="320" t="s">
        <v>35</v>
      </c>
      <c r="W1283" s="236" t="str">
        <f>IFERROR(IF(B1283="INSUMO",_xlfn.XLOOKUP(S1283,Insumos!A:A,Insumos!C:C),""),"Inserir Preço")</f>
        <v/>
      </c>
      <c r="X1283" s="235">
        <f t="shared" ca="1" si="912"/>
        <v>158.19999999999999</v>
      </c>
      <c r="Y1283" s="236">
        <f t="shared" ca="1" si="905"/>
        <v>4.0495000000000001</v>
      </c>
      <c r="Z1283" s="237">
        <f t="shared" ca="1" si="875"/>
        <v>640.6309</v>
      </c>
      <c r="AA1283" s="238"/>
      <c r="AB1283" s="233" t="str">
        <f>IF(B1283="insumo",_xlfn.XLOOKUP(S1283,Insumos!A:A,Insumos!D:D),"")</f>
        <v/>
      </c>
      <c r="AC1283" s="239">
        <f t="shared" ca="1" si="876"/>
        <v>9.190434336793854E-5</v>
      </c>
      <c r="AE1283" s="240">
        <f ca="1">IFERROR(IF(OR(Z1283="",Z1283=0),"",IF(AF1283="","",IF(AF1283="R$/mês",Z1283/OBRA!$D$12,IF(AF1283="R$/m²",Z1283/OBRA!$D$10,IF(AF1283="R$/apto",Orçamento!Z1283/OBRA!$D$11,""))))),"")</f>
        <v>0.32967322447677322</v>
      </c>
      <c r="AF1283" s="241" t="s">
        <v>154</v>
      </c>
    </row>
    <row r="1284" spans="1:32" s="10" customFormat="1" ht="13.15" hidden="1" customHeight="1" outlineLevel="4" x14ac:dyDescent="0.2">
      <c r="A1284" s="227"/>
      <c r="B1284" s="228" t="s">
        <v>19</v>
      </c>
      <c r="C1284" s="229">
        <f t="shared" si="874"/>
        <v>13</v>
      </c>
      <c r="D1284" s="227" t="str">
        <f t="shared" si="891"/>
        <v/>
      </c>
      <c r="E1284" s="228" t="str">
        <f t="shared" ca="1" si="892"/>
        <v>13.003.001.004</v>
      </c>
      <c r="F1284" s="230">
        <f ca="1">IF($B1284="UNIDADE CONSTRUTIVA",OFFSET(F1284,-1,0)+1,LARGE(F$10:F1283,1))</f>
        <v>2</v>
      </c>
      <c r="G1284" s="228" t="str">
        <f t="shared" ca="1" si="906"/>
        <v xml:space="preserve">   GERENCIAMENTO EXECUTIVO</v>
      </c>
      <c r="H1284" s="230">
        <f t="shared" ca="1" si="894"/>
        <v>13</v>
      </c>
      <c r="I1284" s="228" t="str">
        <f t="shared" ca="1" si="907"/>
        <v xml:space="preserve">   REVESTIMENTOS INTERNOS DE PAREDE</v>
      </c>
      <c r="J1284" s="230">
        <f t="shared" ca="1" si="896"/>
        <v>3</v>
      </c>
      <c r="K1284" s="228" t="str">
        <f t="shared" ca="1" si="908"/>
        <v xml:space="preserve">   REVESTIMENTOS INTERNOS DE PAREDE - 3º  ao 7º PAVIMENTO - TIPO</v>
      </c>
      <c r="L1284" s="231">
        <f t="shared" ca="1" si="898"/>
        <v>1</v>
      </c>
      <c r="M1284" s="228" t="str">
        <f t="shared" ca="1" si="909"/>
        <v xml:space="preserve">   Reboco</v>
      </c>
      <c r="N1284" s="231">
        <f t="shared" ca="1" si="900"/>
        <v>4</v>
      </c>
      <c r="O1284" s="228" t="str">
        <f t="shared" ca="1" si="910"/>
        <v>Estucamento de estrutura de concreto em pilares e vigas</v>
      </c>
      <c r="P1284" s="232" t="str">
        <f>IF(S1284="","",IF(Orçamento!$B1284="INSUMO",S1284,""))</f>
        <v>CIMENTO PORTLAND CP II 32 - Z</v>
      </c>
      <c r="Q1284" s="244" t="str">
        <f t="shared" si="902"/>
        <v/>
      </c>
      <c r="R1284" s="234">
        <f t="shared" ca="1" si="911"/>
        <v>158.19999999999999</v>
      </c>
      <c r="S1284" s="233" t="s">
        <v>343</v>
      </c>
      <c r="T1284" s="242" t="str">
        <f>_xlfn.XLOOKUP(S1284,Insumos!$A$3:$A$371,Insumos!$B$3:$B$371)</f>
        <v>KG</v>
      </c>
      <c r="U1284" s="235">
        <f ca="1">IF($B1284="insumo",R1284,"")</f>
        <v>158.19999999999999</v>
      </c>
      <c r="V1284" s="320">
        <v>0.6</v>
      </c>
      <c r="W1284" s="236">
        <f>IFERROR(IF(B1284="INSUMO",_xlfn.XLOOKUP(S1284,Insumos!A:A,Insumos!C:C),""),"Inserir Preço")</f>
        <v>0.74</v>
      </c>
      <c r="X1284" s="235">
        <f t="shared" ca="1" si="912"/>
        <v>94.919999999999987</v>
      </c>
      <c r="Y1284" s="236">
        <f t="shared" si="905"/>
        <v>0.44400000000000001</v>
      </c>
      <c r="Z1284" s="237">
        <f t="shared" ca="1" si="875"/>
        <v>70.240799999999993</v>
      </c>
      <c r="AA1284" s="238"/>
      <c r="AB1284" s="233" t="str">
        <f>IF(B1284="insumo",_xlfn.XLOOKUP(S1284,Insumos!A:A,Insumos!D:D),"")</f>
        <v xml:space="preserve"> </v>
      </c>
      <c r="AC1284" s="239">
        <f t="shared" ca="1" si="876"/>
        <v>1.0076683159739402E-5</v>
      </c>
      <c r="AE1284" s="240">
        <f ca="1">IFERROR(IF(OR(Z1284="",Z1284=0),"",IF(AF1284="","",IF(AF1284="R$/mês",Z1284/OBRA!$D$12,IF(AF1284="R$/m²",Z1284/OBRA!$D$10,IF(AF1284="R$/apto",Orçamento!Z1284/OBRA!$D$11,""))))),"")</f>
        <v>3.6146416018690529E-2</v>
      </c>
      <c r="AF1284" s="241" t="s">
        <v>154</v>
      </c>
    </row>
    <row r="1285" spans="1:32" s="10" customFormat="1" ht="13.15" hidden="1" customHeight="1" outlineLevel="4" x14ac:dyDescent="0.2">
      <c r="A1285" s="227"/>
      <c r="B1285" s="228" t="s">
        <v>19</v>
      </c>
      <c r="C1285" s="229">
        <f t="shared" si="874"/>
        <v>7</v>
      </c>
      <c r="D1285" s="227" t="str">
        <f t="shared" si="891"/>
        <v/>
      </c>
      <c r="E1285" s="228" t="str">
        <f t="shared" ca="1" si="892"/>
        <v>13.003.001.004</v>
      </c>
      <c r="F1285" s="230">
        <f ca="1">IF($B1285="UNIDADE CONSTRUTIVA",OFFSET(F1285,-1,0)+1,LARGE(F$10:F1284,1))</f>
        <v>2</v>
      </c>
      <c r="G1285" s="228" t="str">
        <f t="shared" ca="1" si="906"/>
        <v xml:space="preserve">   GERENCIAMENTO EXECUTIVO</v>
      </c>
      <c r="H1285" s="230">
        <f t="shared" ca="1" si="894"/>
        <v>13</v>
      </c>
      <c r="I1285" s="228" t="str">
        <f t="shared" ca="1" si="907"/>
        <v xml:space="preserve">   REVESTIMENTOS INTERNOS DE PAREDE</v>
      </c>
      <c r="J1285" s="230">
        <f t="shared" ca="1" si="896"/>
        <v>3</v>
      </c>
      <c r="K1285" s="228" t="str">
        <f t="shared" ca="1" si="908"/>
        <v xml:space="preserve">   REVESTIMENTOS INTERNOS DE PAREDE - 3º  ao 7º PAVIMENTO - TIPO</v>
      </c>
      <c r="L1285" s="231">
        <f t="shared" ca="1" si="898"/>
        <v>1</v>
      </c>
      <c r="M1285" s="228" t="str">
        <f t="shared" ca="1" si="909"/>
        <v xml:space="preserve">   Reboco</v>
      </c>
      <c r="N1285" s="231">
        <f t="shared" ca="1" si="900"/>
        <v>4</v>
      </c>
      <c r="O1285" s="228" t="str">
        <f t="shared" ca="1" si="910"/>
        <v>Estucamento de estrutura de concreto em pilares e vigas</v>
      </c>
      <c r="P1285" s="232" t="str">
        <f>IF(S1285="","",IF(Orçamento!$B1285="INSUMO",S1285,""))</f>
        <v>CIMENTO BRANCO</v>
      </c>
      <c r="Q1285" s="244" t="str">
        <f t="shared" si="902"/>
        <v/>
      </c>
      <c r="R1285" s="234">
        <f t="shared" ca="1" si="911"/>
        <v>158.19999999999999</v>
      </c>
      <c r="S1285" s="233" t="s">
        <v>379</v>
      </c>
      <c r="T1285" s="242" t="str">
        <f>_xlfn.XLOOKUP(S1285,Insumos!$A$3:$A$371,Insumos!$B$3:$B$371)</f>
        <v>KG</v>
      </c>
      <c r="U1285" s="235">
        <f ca="1">IF($B1285="insumo",R1285,"")</f>
        <v>158.19999999999999</v>
      </c>
      <c r="V1285" s="320">
        <v>0.3</v>
      </c>
      <c r="W1285" s="236">
        <f>IFERROR(IF(B1285="INSUMO",_xlfn.XLOOKUP(S1285,Insumos!A:A,Insumos!C:C),""),"Inserir Preço")</f>
        <v>2.64</v>
      </c>
      <c r="X1285" s="235">
        <f t="shared" ca="1" si="912"/>
        <v>47.459999999999994</v>
      </c>
      <c r="Y1285" s="236">
        <f t="shared" si="905"/>
        <v>0.79200000000000004</v>
      </c>
      <c r="Z1285" s="237">
        <f t="shared" ca="1" si="875"/>
        <v>125.2944</v>
      </c>
      <c r="AA1285" s="238"/>
      <c r="AB1285" s="233" t="str">
        <f>IF(B1285="insumo",_xlfn.XLOOKUP(S1285,Insumos!A:A,Insumos!D:D),"")</f>
        <v xml:space="preserve"> </v>
      </c>
      <c r="AC1285" s="239">
        <f t="shared" ca="1" si="876"/>
        <v>1.7974624014670287E-5</v>
      </c>
      <c r="AE1285" s="240">
        <f ca="1">IFERROR(IF(OR(Z1285="",Z1285=0),"",IF(AF1285="","",IF(AF1285="R$/mês",Z1285/OBRA!$D$12,IF(AF1285="R$/m²",Z1285/OBRA!$D$10,IF(AF1285="R$/apto",Orçamento!Z1285/OBRA!$D$11,""))))),"")</f>
        <v>6.447739073604257E-2</v>
      </c>
      <c r="AF1285" s="241" t="s">
        <v>154</v>
      </c>
    </row>
    <row r="1286" spans="1:32" s="10" customFormat="1" ht="13.15" hidden="1" customHeight="1" outlineLevel="4" x14ac:dyDescent="0.2">
      <c r="A1286" s="227"/>
      <c r="B1286" s="228" t="s">
        <v>19</v>
      </c>
      <c r="C1286" s="229">
        <f t="shared" si="874"/>
        <v>19</v>
      </c>
      <c r="D1286" s="227" t="str">
        <f t="shared" si="891"/>
        <v/>
      </c>
      <c r="E1286" s="228" t="str">
        <f t="shared" ca="1" si="892"/>
        <v>13.003.001.004</v>
      </c>
      <c r="F1286" s="230">
        <f ca="1">IF($B1286="UNIDADE CONSTRUTIVA",OFFSET(F1286,-1,0)+1,LARGE(F$10:F1285,1))</f>
        <v>2</v>
      </c>
      <c r="G1286" s="228" t="str">
        <f t="shared" ca="1" si="906"/>
        <v xml:space="preserve">   GERENCIAMENTO EXECUTIVO</v>
      </c>
      <c r="H1286" s="230">
        <f t="shared" ca="1" si="894"/>
        <v>13</v>
      </c>
      <c r="I1286" s="228" t="str">
        <f t="shared" ca="1" si="907"/>
        <v xml:space="preserve">   REVESTIMENTOS INTERNOS DE PAREDE</v>
      </c>
      <c r="J1286" s="230">
        <f t="shared" ca="1" si="896"/>
        <v>3</v>
      </c>
      <c r="K1286" s="228" t="str">
        <f t="shared" ca="1" si="908"/>
        <v xml:space="preserve">   REVESTIMENTOS INTERNOS DE PAREDE - 3º  ao 7º PAVIMENTO - TIPO</v>
      </c>
      <c r="L1286" s="231">
        <f t="shared" ca="1" si="898"/>
        <v>1</v>
      </c>
      <c r="M1286" s="228" t="str">
        <f t="shared" ca="1" si="909"/>
        <v xml:space="preserve">   Reboco</v>
      </c>
      <c r="N1286" s="231">
        <f t="shared" ca="1" si="900"/>
        <v>4</v>
      </c>
      <c r="O1286" s="228" t="str">
        <f t="shared" ca="1" si="910"/>
        <v>Estucamento de estrutura de concreto em pilares e vigas</v>
      </c>
      <c r="P1286" s="232" t="str">
        <f>IF(S1286="","",IF(Orçamento!$B1286="INSUMO",S1286,""))</f>
        <v>LIXA EM FOLHA PARA PAREDE OU MADEIRA N° 120</v>
      </c>
      <c r="Q1286" s="244" t="str">
        <f t="shared" si="902"/>
        <v/>
      </c>
      <c r="R1286" s="234">
        <f t="shared" ca="1" si="911"/>
        <v>158.19999999999999</v>
      </c>
      <c r="S1286" s="233" t="s">
        <v>922</v>
      </c>
      <c r="T1286" s="242" t="str">
        <f>_xlfn.XLOOKUP(S1286,Insumos!$A$3:$A$371,Insumos!$B$3:$B$371)</f>
        <v>UN</v>
      </c>
      <c r="U1286" s="235">
        <f ca="1">IF($B1286="insumo",R1286,"")</f>
        <v>158.19999999999999</v>
      </c>
      <c r="V1286" s="320">
        <v>0.05</v>
      </c>
      <c r="W1286" s="236">
        <f>IFERROR(IF(B1286="INSUMO",_xlfn.XLOOKUP(S1286,Insumos!A:A,Insumos!C:C),""),"Inserir Preço")</f>
        <v>2.2999999999999998</v>
      </c>
      <c r="X1286" s="235">
        <f t="shared" ca="1" si="912"/>
        <v>7.91</v>
      </c>
      <c r="Y1286" s="236">
        <f t="shared" si="905"/>
        <v>0.11499999999999999</v>
      </c>
      <c r="Z1286" s="237">
        <f t="shared" ca="1" si="875"/>
        <v>18.192999999999998</v>
      </c>
      <c r="AA1286" s="238"/>
      <c r="AB1286" s="233" t="str">
        <f>IF(B1286="insumo",_xlfn.XLOOKUP(S1286,Insumos!A:A,Insumos!D:D),"")</f>
        <v xml:space="preserve"> </v>
      </c>
      <c r="AC1286" s="239">
        <f t="shared" ca="1" si="876"/>
        <v>2.6099517193018723E-6</v>
      </c>
      <c r="AE1286" s="240">
        <f ca="1">IFERROR(IF(OR(Z1286="",Z1286=0),"",IF(AF1286="","",IF(AF1286="R$/mês",Z1286/OBRA!$D$12,IF(AF1286="R$/m²",Z1286/OBRA!$D$10,IF(AF1286="R$/apto",Orçamento!Z1286/OBRA!$D$11,""))))),"")</f>
        <v>9.3622473922284014E-3</v>
      </c>
      <c r="AF1286" s="241" t="s">
        <v>154</v>
      </c>
    </row>
    <row r="1287" spans="1:32" s="10" customFormat="1" ht="13.15" hidden="1" customHeight="1" outlineLevel="4" x14ac:dyDescent="0.2">
      <c r="A1287" s="227"/>
      <c r="B1287" s="228" t="s">
        <v>19</v>
      </c>
      <c r="C1287" s="229">
        <f t="shared" si="874"/>
        <v>7</v>
      </c>
      <c r="D1287" s="227" t="str">
        <f t="shared" si="891"/>
        <v/>
      </c>
      <c r="E1287" s="228" t="str">
        <f t="shared" ca="1" si="892"/>
        <v>13.003.001.004</v>
      </c>
      <c r="F1287" s="230">
        <f ca="1">IF($B1287="UNIDADE CONSTRUTIVA",OFFSET(F1287,-1,0)+1,LARGE(F$10:F1286,1))</f>
        <v>2</v>
      </c>
      <c r="G1287" s="228" t="str">
        <f t="shared" ca="1" si="906"/>
        <v xml:space="preserve">   GERENCIAMENTO EXECUTIVO</v>
      </c>
      <c r="H1287" s="230">
        <f t="shared" ca="1" si="894"/>
        <v>13</v>
      </c>
      <c r="I1287" s="228" t="str">
        <f t="shared" ca="1" si="907"/>
        <v xml:space="preserve">   REVESTIMENTOS INTERNOS DE PAREDE</v>
      </c>
      <c r="J1287" s="230">
        <f t="shared" ca="1" si="896"/>
        <v>3</v>
      </c>
      <c r="K1287" s="228" t="str">
        <f t="shared" ca="1" si="908"/>
        <v xml:space="preserve">   REVESTIMENTOS INTERNOS DE PAREDE - 3º  ao 7º PAVIMENTO - TIPO</v>
      </c>
      <c r="L1287" s="231">
        <f t="shared" ca="1" si="898"/>
        <v>1</v>
      </c>
      <c r="M1287" s="228" t="str">
        <f t="shared" ca="1" si="909"/>
        <v xml:space="preserve">   Reboco</v>
      </c>
      <c r="N1287" s="231">
        <f t="shared" ca="1" si="900"/>
        <v>4</v>
      </c>
      <c r="O1287" s="228" t="str">
        <f t="shared" ca="1" si="910"/>
        <v>Estucamento de estrutura de concreto em pilares e vigas</v>
      </c>
      <c r="P1287" s="232" t="str">
        <f>IF(S1287="","",IF(Orçamento!$B1287="INSUMO",S1287,""))</f>
        <v>ADESIVO DE BASE ACRILICA COMPATIVEL COM CIMENTO</v>
      </c>
      <c r="Q1287" s="244" t="str">
        <f t="shared" si="902"/>
        <v/>
      </c>
      <c r="R1287" s="234">
        <f t="shared" ca="1" si="911"/>
        <v>158.19999999999999</v>
      </c>
      <c r="S1287" s="233" t="s">
        <v>355</v>
      </c>
      <c r="T1287" s="242" t="str">
        <f>_xlfn.XLOOKUP(S1287,Insumos!$A$3:$A$371,Insumos!$B$3:$B$371)</f>
        <v>KG</v>
      </c>
      <c r="U1287" s="235">
        <f ca="1">IF($B1287="insumo",R1287,"")</f>
        <v>158.19999999999999</v>
      </c>
      <c r="V1287" s="320">
        <v>0.15</v>
      </c>
      <c r="W1287" s="236">
        <f>IFERROR(IF(B1287="INSUMO",_xlfn.XLOOKUP(S1287,Insumos!A:A,Insumos!C:C),""),"Inserir Preço")</f>
        <v>17.990000000000002</v>
      </c>
      <c r="X1287" s="235">
        <f t="shared" ca="1" si="912"/>
        <v>23.729999999999997</v>
      </c>
      <c r="Y1287" s="236">
        <f t="shared" si="905"/>
        <v>2.6985000000000001</v>
      </c>
      <c r="Z1287" s="237">
        <f t="shared" ca="1" si="875"/>
        <v>426.90269999999998</v>
      </c>
      <c r="AA1287" s="238"/>
      <c r="AB1287" s="233" t="str">
        <f>IF(B1287="insumo",_xlfn.XLOOKUP(S1287,Insumos!A:A,Insumos!D:D),"")</f>
        <v xml:space="preserve"> </v>
      </c>
      <c r="AC1287" s="239">
        <f t="shared" ca="1" si="876"/>
        <v>6.124308447422698E-5</v>
      </c>
      <c r="AE1287" s="240">
        <f ca="1">IFERROR(IF(OR(Z1287="",Z1287=0),"",IF(AF1287="","",IF(AF1287="R$/mês",Z1287/OBRA!$D$12,IF(AF1287="R$/m²",Z1287/OBRA!$D$10,IF(AF1287="R$/apto",Orçamento!Z1287/OBRA!$D$11,""))))),"")</f>
        <v>0.21968717032981169</v>
      </c>
      <c r="AF1287" s="241" t="s">
        <v>154</v>
      </c>
    </row>
    <row r="1288" spans="1:32" s="10" customFormat="1" ht="13.15" hidden="1" customHeight="1" outlineLevel="3" collapsed="1" x14ac:dyDescent="0.2">
      <c r="A1288" s="227"/>
      <c r="B1288" s="228" t="s">
        <v>3</v>
      </c>
      <c r="C1288" s="229" t="str">
        <f t="shared" si="874"/>
        <v/>
      </c>
      <c r="D1288" s="227" t="str">
        <f t="shared" ca="1" si="891"/>
        <v>13.003.002</v>
      </c>
      <c r="E1288" s="228" t="str">
        <f t="shared" ca="1" si="892"/>
        <v>13.003.001.004</v>
      </c>
      <c r="F1288" s="230">
        <f ca="1">IF($B1288="UNIDADE CONSTRUTIVA",OFFSET(F1288,-1,0)+1,LARGE(F$10:F1287,1))</f>
        <v>2</v>
      </c>
      <c r="G1288" s="228" t="str">
        <f t="shared" ref="G1288:G1306" ca="1" si="913">IF(B1288="*","",IF(B1288="UNIDADE CONSTRUTIVA",S1288,OFFSET(G1288,-1,0)))</f>
        <v xml:space="preserve">   GERENCIAMENTO EXECUTIVO</v>
      </c>
      <c r="H1288" s="230">
        <f t="shared" ca="1" si="894"/>
        <v>13</v>
      </c>
      <c r="I1288" s="228" t="str">
        <f t="shared" ref="I1288:I1306" ca="1" si="914">IF(B1288="*","",IF(B1288="CÉLULA CONSTRUTIVA",S1288,OFFSET(I1288,-1,0)))</f>
        <v xml:space="preserve">   REVESTIMENTOS INTERNOS DE PAREDE</v>
      </c>
      <c r="J1288" s="230">
        <f t="shared" ca="1" si="896"/>
        <v>3</v>
      </c>
      <c r="K1288" s="228" t="str">
        <f t="shared" ref="K1288:K1306" ca="1" si="915">IF(B1288="*","",IF(B1288="ETAPA",S1288,OFFSET(K1288,-1,0)))</f>
        <v xml:space="preserve">   REVESTIMENTOS INTERNOS DE PAREDE - 3º  ao 7º PAVIMENTO - TIPO</v>
      </c>
      <c r="L1288" s="231">
        <f t="shared" ca="1" si="898"/>
        <v>2</v>
      </c>
      <c r="M1288" s="228" t="str">
        <f t="shared" ref="M1288:M1306" ca="1" si="916">IF(B1288="*","",IF(B1288="SUBETAPA",S1288,OFFSET(M1288,-1,0)))</f>
        <v xml:space="preserve">   Acabamentos Cerâmicos e Porcelanatos</v>
      </c>
      <c r="N1288" s="231">
        <f t="shared" ca="1" si="900"/>
        <v>0</v>
      </c>
      <c r="O1288" s="228" t="str">
        <f t="shared" ref="O1288:O1306" ca="1" si="917">IF(B1288="*","",IF(B1288="SERVIÇO",S1288,OFFSET(O1288,-1,0)))</f>
        <v>Estucamento de estrutura de concreto em pilares e vigas</v>
      </c>
      <c r="P1288" s="232" t="str">
        <f>IF(S1288="","",IF(Orçamento!$B1288="INSUMO",S1288,""))</f>
        <v/>
      </c>
      <c r="Q1288" s="244" t="str">
        <f t="shared" si="902"/>
        <v/>
      </c>
      <c r="R1288" s="234">
        <f t="shared" ref="R1288:R1306" ca="1" si="918">IF(B1288="serviço",U1288,OFFSET(R1288,-1,0))</f>
        <v>158.19999999999999</v>
      </c>
      <c r="S1288" s="233" t="s">
        <v>731</v>
      </c>
      <c r="T1288" s="242" t="s">
        <v>35</v>
      </c>
      <c r="U1288" s="235" t="str">
        <f>IF($B1288="insumo",R1288,"")</f>
        <v/>
      </c>
      <c r="V1288" s="320" t="s">
        <v>35</v>
      </c>
      <c r="W1288" s="236" t="str">
        <f>IFERROR(IF(B1288="INSUMO",_xlfn.XLOOKUP(S1288,Insumos!A:A,Insumos!C:C),""),"Inserir Preço")</f>
        <v/>
      </c>
      <c r="X1288" s="235" t="str">
        <f t="shared" ref="X1288:X1306" ca="1" si="919">IF(B1288="Complemento do insumo",V1288,IF(R1288="","",IF(B1288="serviço",R1288,IF(OR(B1288="insumo"),V1288*R1288,""))))</f>
        <v/>
      </c>
      <c r="Y1288" s="236" t="str">
        <f t="shared" si="905"/>
        <v/>
      </c>
      <c r="Z1288" s="237">
        <f t="shared" ca="1" si="875"/>
        <v>39222.201809999999</v>
      </c>
      <c r="AA1288" s="238"/>
      <c r="AB1288" s="233" t="str">
        <f>IF(B1288="insumo",_xlfn.XLOOKUP(S1288,Insumos!A:A,Insumos!D:D),"")</f>
        <v/>
      </c>
      <c r="AC1288" s="239">
        <f t="shared" ca="1" si="876"/>
        <v>5.6267824464802134E-3</v>
      </c>
      <c r="AE1288" s="240">
        <f ca="1">IFERROR(IF(OR(Z1288="",Z1288=0),"",IF(AF1288="","",IF(AF1288="R$/mês",Z1288/OBRA!$D$12,IF(AF1288="R$/m²",Z1288/OBRA!$D$10,IF(AF1288="R$/apto",Orçamento!Z1288/OBRA!$D$11,""))))),"")</f>
        <v>20.18402443869228</v>
      </c>
      <c r="AF1288" s="241" t="s">
        <v>154</v>
      </c>
    </row>
    <row r="1289" spans="1:32" s="10" customFormat="1" ht="13.15" hidden="1" customHeight="1" outlineLevel="4" x14ac:dyDescent="0.2">
      <c r="A1289" s="227"/>
      <c r="B1289" s="228" t="s">
        <v>4</v>
      </c>
      <c r="C1289" s="229">
        <f t="shared" si="874"/>
        <v>3</v>
      </c>
      <c r="D1289" s="227" t="str">
        <f t="shared" ca="1" si="891"/>
        <v>13.003.002.001</v>
      </c>
      <c r="E1289" s="228" t="str">
        <f t="shared" ca="1" si="892"/>
        <v>13.003.002.001</v>
      </c>
      <c r="F1289" s="230">
        <f ca="1">IF($B1289="UNIDADE CONSTRUTIVA",OFFSET(F1289,-1,0)+1,LARGE(F$10:F1288,1))</f>
        <v>2</v>
      </c>
      <c r="G1289" s="228" t="str">
        <f t="shared" ca="1" si="913"/>
        <v xml:space="preserve">   GERENCIAMENTO EXECUTIVO</v>
      </c>
      <c r="H1289" s="230">
        <f t="shared" ca="1" si="894"/>
        <v>13</v>
      </c>
      <c r="I1289" s="228" t="str">
        <f t="shared" ca="1" si="914"/>
        <v xml:space="preserve">   REVESTIMENTOS INTERNOS DE PAREDE</v>
      </c>
      <c r="J1289" s="230">
        <f t="shared" ca="1" si="896"/>
        <v>3</v>
      </c>
      <c r="K1289" s="228" t="str">
        <f t="shared" ca="1" si="915"/>
        <v xml:space="preserve">   REVESTIMENTOS INTERNOS DE PAREDE - 3º  ao 7º PAVIMENTO - TIPO</v>
      </c>
      <c r="L1289" s="231">
        <f t="shared" ca="1" si="898"/>
        <v>2</v>
      </c>
      <c r="M1289" s="228" t="str">
        <f t="shared" ca="1" si="916"/>
        <v xml:space="preserve">   Acabamentos Cerâmicos e Porcelanatos</v>
      </c>
      <c r="N1289" s="231">
        <f t="shared" ca="1" si="900"/>
        <v>1</v>
      </c>
      <c r="O1289" s="228" t="str">
        <f t="shared" ca="1" si="917"/>
        <v>Revestimento em Cerâmica 60x60cm interno</v>
      </c>
      <c r="P1289" s="232" t="str">
        <f>IF(S1289="","",IF(Orçamento!$B1289="INSUMO",S1289,""))</f>
        <v/>
      </c>
      <c r="Q1289" s="244" t="str">
        <f t="shared" si="902"/>
        <v>Revestimento em Cerâmica 60x60cm interno</v>
      </c>
      <c r="R1289" s="234">
        <f t="shared" ca="1" si="918"/>
        <v>589.71</v>
      </c>
      <c r="S1289" s="233" t="s">
        <v>732</v>
      </c>
      <c r="T1289" s="242" t="s">
        <v>140</v>
      </c>
      <c r="U1289" s="235">
        <v>589.71</v>
      </c>
      <c r="V1289" s="320" t="s">
        <v>35</v>
      </c>
      <c r="W1289" s="236" t="str">
        <f>IFERROR(IF(B1289="INSUMO",_xlfn.XLOOKUP(S1289,Insumos!A:A,Insumos!C:C),""),"Inserir Preço")</f>
        <v/>
      </c>
      <c r="X1289" s="235">
        <f t="shared" ca="1" si="919"/>
        <v>589.71</v>
      </c>
      <c r="Y1289" s="236">
        <f t="shared" ca="1" si="905"/>
        <v>66.510999999999981</v>
      </c>
      <c r="Z1289" s="237">
        <f t="shared" ca="1" si="875"/>
        <v>39222.201809999991</v>
      </c>
      <c r="AA1289" s="238"/>
      <c r="AB1289" s="233" t="str">
        <f>IF(B1289="insumo",_xlfn.XLOOKUP(S1289,Insumos!A:A,Insumos!D:D),"")</f>
        <v/>
      </c>
      <c r="AC1289" s="239">
        <f t="shared" ca="1" si="876"/>
        <v>5.6267824464802116E-3</v>
      </c>
      <c r="AE1289" s="240">
        <f ca="1">IFERROR(IF(OR(Z1289="",Z1289=0),"",IF(AF1289="","",IF(AF1289="R$/mês",Z1289/OBRA!$D$12,IF(AF1289="R$/m²",Z1289/OBRA!$D$10,IF(AF1289="R$/apto",Orçamento!Z1289/OBRA!$D$11,""))))),"")</f>
        <v>20.184024438692276</v>
      </c>
      <c r="AF1289" s="241" t="s">
        <v>154</v>
      </c>
    </row>
    <row r="1290" spans="1:32" s="10" customFormat="1" ht="13.15" hidden="1" customHeight="1" outlineLevel="4" x14ac:dyDescent="0.2">
      <c r="A1290" s="227"/>
      <c r="B1290" s="228" t="s">
        <v>19</v>
      </c>
      <c r="C1290" s="229">
        <f t="shared" si="874"/>
        <v>13</v>
      </c>
      <c r="D1290" s="227" t="str">
        <f t="shared" si="891"/>
        <v/>
      </c>
      <c r="E1290" s="228" t="str">
        <f t="shared" ca="1" si="892"/>
        <v>13.003.002.001</v>
      </c>
      <c r="F1290" s="230">
        <f ca="1">IF($B1290="UNIDADE CONSTRUTIVA",OFFSET(F1290,-1,0)+1,LARGE(F$10:F1289,1))</f>
        <v>2</v>
      </c>
      <c r="G1290" s="228" t="str">
        <f t="shared" ca="1" si="913"/>
        <v xml:space="preserve">   GERENCIAMENTO EXECUTIVO</v>
      </c>
      <c r="H1290" s="230">
        <f t="shared" ca="1" si="894"/>
        <v>13</v>
      </c>
      <c r="I1290" s="228" t="str">
        <f t="shared" ca="1" si="914"/>
        <v xml:space="preserve">   REVESTIMENTOS INTERNOS DE PAREDE</v>
      </c>
      <c r="J1290" s="230">
        <f t="shared" ca="1" si="896"/>
        <v>3</v>
      </c>
      <c r="K1290" s="228" t="str">
        <f t="shared" ca="1" si="915"/>
        <v xml:space="preserve">   REVESTIMENTOS INTERNOS DE PAREDE - 3º  ao 7º PAVIMENTO - TIPO</v>
      </c>
      <c r="L1290" s="231">
        <f t="shared" ca="1" si="898"/>
        <v>2</v>
      </c>
      <c r="M1290" s="228" t="str">
        <f t="shared" ca="1" si="916"/>
        <v xml:space="preserve">   Acabamentos Cerâmicos e Porcelanatos</v>
      </c>
      <c r="N1290" s="231">
        <f t="shared" ca="1" si="900"/>
        <v>1</v>
      </c>
      <c r="O1290" s="228" t="str">
        <f t="shared" ca="1" si="917"/>
        <v>Revestimento em Cerâmica 60x60cm interno</v>
      </c>
      <c r="P1290" s="232" t="str">
        <f>IF(S1290="","",IF(Orçamento!$B1290="INSUMO",S1290,""))</f>
        <v>REVESTIMENTO - HANGAR CHICAGO 60X60 NAT BOLD</v>
      </c>
      <c r="Q1290" s="244" t="str">
        <f t="shared" si="902"/>
        <v/>
      </c>
      <c r="R1290" s="234">
        <f t="shared" ca="1" si="918"/>
        <v>589.71</v>
      </c>
      <c r="S1290" s="233" t="s">
        <v>912</v>
      </c>
      <c r="T1290" s="242" t="str">
        <f>_xlfn.XLOOKUP(S1290,Insumos!$A$3:$A$371,Insumos!$B$3:$B$371)</f>
        <v>M2</v>
      </c>
      <c r="U1290" s="235">
        <f ca="1">IF($B1290="insumo",R1290,"")</f>
        <v>589.71</v>
      </c>
      <c r="V1290" s="320">
        <v>1.1499999999999999</v>
      </c>
      <c r="W1290" s="236">
        <f>IFERROR(IF(B1290="INSUMO",_xlfn.XLOOKUP(S1290,Insumos!A:A,Insumos!C:C),""),"Inserir Preço")</f>
        <v>45.19</v>
      </c>
      <c r="X1290" s="235">
        <f t="shared" ca="1" si="919"/>
        <v>678.16650000000004</v>
      </c>
      <c r="Y1290" s="236">
        <f t="shared" si="905"/>
        <v>51.968499999999992</v>
      </c>
      <c r="Z1290" s="237">
        <f t="shared" ca="1" si="875"/>
        <v>30646.344134999999</v>
      </c>
      <c r="AA1290" s="238"/>
      <c r="AB1290" s="233" t="str">
        <f>IF(B1290="insumo",_xlfn.XLOOKUP(S1290,Insumos!A:A,Insumos!D:D),"")</f>
        <v>Portobelo</v>
      </c>
      <c r="AC1290" s="239">
        <f t="shared" ca="1" si="876"/>
        <v>4.3964974751530871E-3</v>
      </c>
      <c r="AE1290" s="240">
        <f ca="1">IFERROR(IF(OR(Z1290="",Z1290=0),"",IF(AF1290="","",IF(AF1290="R$/mês",Z1290/OBRA!$D$12,IF(AF1290="R$/m²",Z1290/OBRA!$D$10,IF(AF1290="R$/apto",Orçamento!Z1290/OBRA!$D$11,""))))),"")</f>
        <v>15.770826991658218</v>
      </c>
      <c r="AF1290" s="241" t="s">
        <v>154</v>
      </c>
    </row>
    <row r="1291" spans="1:32" s="10" customFormat="1" ht="13.15" hidden="1" customHeight="1" outlineLevel="4" x14ac:dyDescent="0.2">
      <c r="A1291" s="227"/>
      <c r="B1291" s="228" t="s">
        <v>19</v>
      </c>
      <c r="C1291" s="229">
        <f t="shared" si="874"/>
        <v>16</v>
      </c>
      <c r="D1291" s="227" t="str">
        <f t="shared" si="891"/>
        <v/>
      </c>
      <c r="E1291" s="228" t="str">
        <f t="shared" ca="1" si="892"/>
        <v>13.003.002.001</v>
      </c>
      <c r="F1291" s="230">
        <f ca="1">IF($B1291="UNIDADE CONSTRUTIVA",OFFSET(F1291,-1,0)+1,LARGE(F$10:F1290,1))</f>
        <v>2</v>
      </c>
      <c r="G1291" s="228" t="str">
        <f t="shared" ca="1" si="913"/>
        <v xml:space="preserve">   GERENCIAMENTO EXECUTIVO</v>
      </c>
      <c r="H1291" s="230">
        <f t="shared" ca="1" si="894"/>
        <v>13</v>
      </c>
      <c r="I1291" s="228" t="str">
        <f t="shared" ca="1" si="914"/>
        <v xml:space="preserve">   REVESTIMENTOS INTERNOS DE PAREDE</v>
      </c>
      <c r="J1291" s="230">
        <f t="shared" ca="1" si="896"/>
        <v>3</v>
      </c>
      <c r="K1291" s="228" t="str">
        <f t="shared" ca="1" si="915"/>
        <v xml:space="preserve">   REVESTIMENTOS INTERNOS DE PAREDE - 3º  ao 7º PAVIMENTO - TIPO</v>
      </c>
      <c r="L1291" s="231">
        <f t="shared" ca="1" si="898"/>
        <v>2</v>
      </c>
      <c r="M1291" s="228" t="str">
        <f t="shared" ca="1" si="916"/>
        <v xml:space="preserve">   Acabamentos Cerâmicos e Porcelanatos</v>
      </c>
      <c r="N1291" s="231">
        <f t="shared" ca="1" si="900"/>
        <v>1</v>
      </c>
      <c r="O1291" s="228" t="str">
        <f t="shared" ca="1" si="917"/>
        <v>Revestimento em Cerâmica 60x60cm interno</v>
      </c>
      <c r="P1291" s="232" t="str">
        <f>IF(S1291="","",IF(Orçamento!$B1291="INSUMO",S1291,""))</f>
        <v>ARGAMASSA COLANTE AC III</v>
      </c>
      <c r="Q1291" s="244" t="str">
        <f t="shared" si="902"/>
        <v/>
      </c>
      <c r="R1291" s="234">
        <f t="shared" ca="1" si="918"/>
        <v>589.71</v>
      </c>
      <c r="S1291" s="233" t="s">
        <v>357</v>
      </c>
      <c r="T1291" s="242" t="str">
        <f>_xlfn.XLOOKUP(S1291,Insumos!$A$3:$A$371,Insumos!$B$3:$B$371)</f>
        <v>KG</v>
      </c>
      <c r="U1291" s="235">
        <f ca="1">IF($B1291="insumo",R1291,"")</f>
        <v>589.71</v>
      </c>
      <c r="V1291" s="320">
        <v>12.5</v>
      </c>
      <c r="W1291" s="236">
        <f>IFERROR(IF(B1291="INSUMO",_xlfn.XLOOKUP(S1291,Insumos!A:A,Insumos!C:C),""),"Inserir Preço")</f>
        <v>0.92500000000000004</v>
      </c>
      <c r="X1291" s="235">
        <f t="shared" ca="1" si="919"/>
        <v>7371.375</v>
      </c>
      <c r="Y1291" s="236">
        <f t="shared" si="905"/>
        <v>11.5625</v>
      </c>
      <c r="Z1291" s="237">
        <f t="shared" ca="1" si="875"/>
        <v>6818.5218750000004</v>
      </c>
      <c r="AA1291" s="238"/>
      <c r="AB1291" s="233" t="str">
        <f>IF(B1291="insumo",_xlfn.XLOOKUP(S1291,Insumos!A:A,Insumos!D:D),"")</f>
        <v>Argabrus</v>
      </c>
      <c r="AC1291" s="239">
        <f t="shared" ca="1" si="876"/>
        <v>9.7817912882722366E-4</v>
      </c>
      <c r="AE1291" s="240">
        <f ca="1">IFERROR(IF(OR(Z1291="",Z1291=0),"",IF(AF1291="","",IF(AF1291="R$/mês",Z1291/OBRA!$D$12,IF(AF1291="R$/m²",Z1291/OBRA!$D$10,IF(AF1291="R$/apto",Orçamento!Z1291/OBRA!$D$11,""))))),"")</f>
        <v>3.5088599265141029</v>
      </c>
      <c r="AF1291" s="241" t="s">
        <v>154</v>
      </c>
    </row>
    <row r="1292" spans="1:32" s="10" customFormat="1" ht="13.15" hidden="1" customHeight="1" outlineLevel="4" x14ac:dyDescent="0.2">
      <c r="A1292" s="227"/>
      <c r="B1292" s="228" t="s">
        <v>19</v>
      </c>
      <c r="C1292" s="229">
        <f t="shared" ref="C1292:C1355" si="920">IF(B1292="INSUMO",COUNTIFS(B:B,"INSUMO",S:S,S1292),IF(B1292="SERVIÇO",COUNTIFS(B:B,"SERVIÇO",S:S,S1292),""))</f>
        <v>32</v>
      </c>
      <c r="D1292" s="227" t="str">
        <f t="shared" si="891"/>
        <v/>
      </c>
      <c r="E1292" s="228" t="str">
        <f t="shared" ca="1" si="892"/>
        <v>13.003.002.001</v>
      </c>
      <c r="F1292" s="230">
        <f ca="1">IF($B1292="UNIDADE CONSTRUTIVA",OFFSET(F1292,-1,0)+1,LARGE(F$10:F1291,1))</f>
        <v>2</v>
      </c>
      <c r="G1292" s="228" t="str">
        <f t="shared" ca="1" si="913"/>
        <v xml:space="preserve">   GERENCIAMENTO EXECUTIVO</v>
      </c>
      <c r="H1292" s="230">
        <f t="shared" ca="1" si="894"/>
        <v>13</v>
      </c>
      <c r="I1292" s="228" t="str">
        <f t="shared" ca="1" si="914"/>
        <v xml:space="preserve">   REVESTIMENTOS INTERNOS DE PAREDE</v>
      </c>
      <c r="J1292" s="230">
        <f t="shared" ca="1" si="896"/>
        <v>3</v>
      </c>
      <c r="K1292" s="228" t="str">
        <f t="shared" ca="1" si="915"/>
        <v xml:space="preserve">   REVESTIMENTOS INTERNOS DE PAREDE - 3º  ao 7º PAVIMENTO - TIPO</v>
      </c>
      <c r="L1292" s="231">
        <f t="shared" ca="1" si="898"/>
        <v>2</v>
      </c>
      <c r="M1292" s="228" t="str">
        <f t="shared" ca="1" si="916"/>
        <v xml:space="preserve">   Acabamentos Cerâmicos e Porcelanatos</v>
      </c>
      <c r="N1292" s="231">
        <f t="shared" ca="1" si="900"/>
        <v>1</v>
      </c>
      <c r="O1292" s="228" t="str">
        <f t="shared" ca="1" si="917"/>
        <v>Revestimento em Cerâmica 60x60cm interno</v>
      </c>
      <c r="P1292" s="232" t="str">
        <f>IF(S1292="","",IF(Orçamento!$B1292="INSUMO",S1292,""))</f>
        <v>REJUNTE FLEXIVEL CIMENTICIO TIPO II NBR 14992</v>
      </c>
      <c r="Q1292" s="244" t="str">
        <f t="shared" si="902"/>
        <v/>
      </c>
      <c r="R1292" s="234">
        <f t="shared" ca="1" si="918"/>
        <v>589.71</v>
      </c>
      <c r="S1292" s="233" t="s">
        <v>734</v>
      </c>
      <c r="T1292" s="242" t="str">
        <f>_xlfn.XLOOKUP(S1292,Insumos!$A$3:$A$371,Insumos!$B$3:$B$371)</f>
        <v>KG</v>
      </c>
      <c r="U1292" s="235">
        <f ca="1">IF($B1292="insumo",R1292,"")</f>
        <v>589.71</v>
      </c>
      <c r="V1292" s="320">
        <v>0.5</v>
      </c>
      <c r="W1292" s="236">
        <f>IFERROR(IF(B1292="INSUMO",_xlfn.XLOOKUP(S1292,Insumos!A:A,Insumos!C:C),""),"Inserir Preço")</f>
        <v>4.2</v>
      </c>
      <c r="X1292" s="235">
        <f t="shared" ca="1" si="919"/>
        <v>294.85500000000002</v>
      </c>
      <c r="Y1292" s="236">
        <f t="shared" si="905"/>
        <v>2.1</v>
      </c>
      <c r="Z1292" s="237">
        <f t="shared" ref="Z1292:Z1355" ca="1" si="921">IFERROR(IF(B1292="Unidade Construtiva",SUMIFS(Z:Z,B:B,"Célula Construtiva",G:G,G1292),IF(B1292="célula construtiva",SUMIFS(Z:Z,B:B,"Insumo",I:I,I1292,G:G,G1292),IF(B1292="ETAPA",SUMIFS(Z:Z,B:B,"Insumo",K:K,K1292,I:I,I1292,G:G,G1292),IF(B1292="subetapa",SUMIFS(Z:Z,M:M,M1292,B:B,"insumo",K:K,K1292,I:I,I1292,G:G,G1292),IF(B1292="complemento do insumo",V1292*W1292,IF(B1292="INSUMO",R1292*V1292*W1292,X1292*Y1292)))))),"")</f>
        <v>1238.3910000000001</v>
      </c>
      <c r="AA1292" s="238"/>
      <c r="AB1292" s="233" t="str">
        <f>IF(B1292="insumo",_xlfn.XLOOKUP(S1292,Insumos!A:A,Insumos!D:D),"")</f>
        <v>Distribuidora Sika</v>
      </c>
      <c r="AC1292" s="239">
        <f t="shared" ref="AC1292:AC1355" ca="1" si="922">IFERROR(IF(B1292="","",Z1292/SUMIF(B:B,"INSUMO",Z:Z)),0)</f>
        <v>1.7765847961402547E-4</v>
      </c>
      <c r="AE1292" s="240">
        <f ca="1">IFERROR(IF(OR(Z1292="",Z1292=0),"",IF(AF1292="","",IF(AF1292="R$/mês",Z1292/OBRA!$D$12,IF(AF1292="R$/m²",Z1292/OBRA!$D$10,IF(AF1292="R$/apto",Orçamento!Z1292/OBRA!$D$11,""))))),"")</f>
        <v>0.6372848298966155</v>
      </c>
      <c r="AF1292" s="241" t="s">
        <v>154</v>
      </c>
    </row>
    <row r="1293" spans="1:32" s="10" customFormat="1" ht="13.15" hidden="1" customHeight="1" outlineLevel="4" x14ac:dyDescent="0.2">
      <c r="A1293" s="227"/>
      <c r="B1293" s="228" t="s">
        <v>19</v>
      </c>
      <c r="C1293" s="229">
        <f t="shared" si="920"/>
        <v>15</v>
      </c>
      <c r="D1293" s="227" t="str">
        <f t="shared" si="891"/>
        <v/>
      </c>
      <c r="E1293" s="228" t="str">
        <f t="shared" ca="1" si="892"/>
        <v>13.003.002.001</v>
      </c>
      <c r="F1293" s="230">
        <f ca="1">IF($B1293="UNIDADE CONSTRUTIVA",OFFSET(F1293,-1,0)+1,LARGE(F$10:F1292,1))</f>
        <v>2</v>
      </c>
      <c r="G1293" s="228" t="str">
        <f t="shared" ca="1" si="913"/>
        <v xml:space="preserve">   GERENCIAMENTO EXECUTIVO</v>
      </c>
      <c r="H1293" s="230">
        <f t="shared" ca="1" si="894"/>
        <v>13</v>
      </c>
      <c r="I1293" s="228" t="str">
        <f t="shared" ca="1" si="914"/>
        <v xml:space="preserve">   REVESTIMENTOS INTERNOS DE PAREDE</v>
      </c>
      <c r="J1293" s="230">
        <f t="shared" ca="1" si="896"/>
        <v>3</v>
      </c>
      <c r="K1293" s="228" t="str">
        <f t="shared" ca="1" si="915"/>
        <v xml:space="preserve">   REVESTIMENTOS INTERNOS DE PAREDE - 3º  ao 7º PAVIMENTO - TIPO</v>
      </c>
      <c r="L1293" s="231">
        <f t="shared" ca="1" si="898"/>
        <v>2</v>
      </c>
      <c r="M1293" s="228" t="str">
        <f t="shared" ca="1" si="916"/>
        <v xml:space="preserve">   Acabamentos Cerâmicos e Porcelanatos</v>
      </c>
      <c r="N1293" s="231">
        <f t="shared" ca="1" si="900"/>
        <v>1</v>
      </c>
      <c r="O1293" s="228" t="str">
        <f t="shared" ca="1" si="917"/>
        <v>Revestimento em Cerâmica 60x60cm interno</v>
      </c>
      <c r="P1293" s="232" t="str">
        <f>IF(S1293="","",IF(Orçamento!$B1293="INSUMO",S1293,""))</f>
        <v>ESPACADOR PVC JUNTA PISO 3,0MM NBR 6118</v>
      </c>
      <c r="Q1293" s="244" t="str">
        <f t="shared" si="902"/>
        <v/>
      </c>
      <c r="R1293" s="234">
        <f t="shared" ca="1" si="918"/>
        <v>589.71</v>
      </c>
      <c r="S1293" s="233" t="s">
        <v>716</v>
      </c>
      <c r="T1293" s="242" t="str">
        <f>_xlfn.XLOOKUP(S1293,Insumos!$A$3:$A$371,Insumos!$B$3:$B$371)</f>
        <v>UN</v>
      </c>
      <c r="U1293" s="235">
        <f ca="1">IF($B1293="insumo",R1293,"")</f>
        <v>589.71</v>
      </c>
      <c r="V1293" s="320">
        <v>4</v>
      </c>
      <c r="W1293" s="236">
        <f>IFERROR(IF(B1293="INSUMO",_xlfn.XLOOKUP(S1293,Insumos!A:A,Insumos!C:C),""),"Inserir Preço")</f>
        <v>0.22</v>
      </c>
      <c r="X1293" s="235">
        <f t="shared" ca="1" si="919"/>
        <v>2358.84</v>
      </c>
      <c r="Y1293" s="236">
        <f t="shared" si="905"/>
        <v>0.88</v>
      </c>
      <c r="Z1293" s="237">
        <f t="shared" ca="1" si="921"/>
        <v>518.94479999999999</v>
      </c>
      <c r="AA1293" s="238"/>
      <c r="AB1293" s="233" t="str">
        <f>IF(B1293="insumo",_xlfn.XLOOKUP(S1293,Insumos!A:A,Insumos!D:D),"")</f>
        <v>Base de Dados</v>
      </c>
      <c r="AC1293" s="239">
        <f t="shared" ca="1" si="922"/>
        <v>7.444736288587734E-5</v>
      </c>
      <c r="AE1293" s="240">
        <f ca="1">IFERROR(IF(OR(Z1293="",Z1293=0),"",IF(AF1293="","",IF(AF1293="R$/mês",Z1293/OBRA!$D$12,IF(AF1293="R$/m²",Z1293/OBRA!$D$10,IF(AF1293="R$/apto",Orçamento!Z1293/OBRA!$D$11,""))))),"")</f>
        <v>0.26705269062334358</v>
      </c>
      <c r="AF1293" s="241" t="s">
        <v>154</v>
      </c>
    </row>
    <row r="1294" spans="1:32" s="10" customFormat="1" ht="13.15" hidden="1" customHeight="1" outlineLevel="3" collapsed="1" x14ac:dyDescent="0.2">
      <c r="A1294" s="227"/>
      <c r="B1294" s="228" t="s">
        <v>3</v>
      </c>
      <c r="C1294" s="229" t="str">
        <f t="shared" si="920"/>
        <v/>
      </c>
      <c r="D1294" s="227" t="str">
        <f t="shared" ca="1" si="891"/>
        <v>13.003.003</v>
      </c>
      <c r="E1294" s="228" t="str">
        <f t="shared" ca="1" si="892"/>
        <v>13.003.002.001</v>
      </c>
      <c r="F1294" s="230">
        <f ca="1">IF($B1294="UNIDADE CONSTRUTIVA",OFFSET(F1294,-1,0)+1,LARGE(F$10:F1293,1))</f>
        <v>2</v>
      </c>
      <c r="G1294" s="228" t="str">
        <f t="shared" ca="1" si="913"/>
        <v xml:space="preserve">   GERENCIAMENTO EXECUTIVO</v>
      </c>
      <c r="H1294" s="230">
        <f t="shared" ca="1" si="894"/>
        <v>13</v>
      </c>
      <c r="I1294" s="228" t="str">
        <f t="shared" ca="1" si="914"/>
        <v xml:space="preserve">   REVESTIMENTOS INTERNOS DE PAREDE</v>
      </c>
      <c r="J1294" s="230">
        <f t="shared" ca="1" si="896"/>
        <v>3</v>
      </c>
      <c r="K1294" s="228" t="str">
        <f t="shared" ca="1" si="915"/>
        <v xml:space="preserve">   REVESTIMENTOS INTERNOS DE PAREDE - 3º  ao 7º PAVIMENTO - TIPO</v>
      </c>
      <c r="L1294" s="231">
        <f t="shared" ca="1" si="898"/>
        <v>3</v>
      </c>
      <c r="M1294" s="228" t="str">
        <f t="shared" ca="1" si="916"/>
        <v xml:space="preserve">   Peitoris</v>
      </c>
      <c r="N1294" s="231">
        <f t="shared" ca="1" si="900"/>
        <v>0</v>
      </c>
      <c r="O1294" s="228" t="str">
        <f t="shared" ca="1" si="917"/>
        <v>Revestimento em Cerâmica 60x60cm interno</v>
      </c>
      <c r="P1294" s="232" t="str">
        <f>IF(S1294="","",IF(Orçamento!$B1294="INSUMO",S1294,""))</f>
        <v/>
      </c>
      <c r="Q1294" s="244" t="str">
        <f t="shared" si="902"/>
        <v/>
      </c>
      <c r="R1294" s="234">
        <f t="shared" ca="1" si="918"/>
        <v>589.71</v>
      </c>
      <c r="S1294" s="233" t="s">
        <v>493</v>
      </c>
      <c r="T1294" s="242" t="s">
        <v>35</v>
      </c>
      <c r="U1294" s="235" t="str">
        <f>IF($B1294="insumo",R1294,"")</f>
        <v/>
      </c>
      <c r="V1294" s="320" t="s">
        <v>35</v>
      </c>
      <c r="W1294" s="236" t="str">
        <f>IFERROR(IF(B1294="INSUMO",_xlfn.XLOOKUP(S1294,Insumos!A:A,Insumos!C:C),""),"Inserir Preço")</f>
        <v/>
      </c>
      <c r="X1294" s="235" t="str">
        <f t="shared" ca="1" si="919"/>
        <v/>
      </c>
      <c r="Y1294" s="236" t="str">
        <f t="shared" si="905"/>
        <v/>
      </c>
      <c r="Z1294" s="237">
        <f t="shared" ca="1" si="921"/>
        <v>4671.2235824999998</v>
      </c>
      <c r="AA1294" s="238"/>
      <c r="AB1294" s="233" t="str">
        <f>IF(B1294="insumo",_xlfn.XLOOKUP(S1294,Insumos!A:A,Insumos!D:D),"")</f>
        <v/>
      </c>
      <c r="AC1294" s="239">
        <f t="shared" ca="1" si="922"/>
        <v>6.7012961141039561E-4</v>
      </c>
      <c r="AE1294" s="240">
        <f ca="1">IFERROR(IF(OR(Z1294="",Z1294=0),"",IF(AF1294="","",IF(AF1294="R$/mês",Z1294/OBRA!$D$12,IF(AF1294="R$/m²",Z1294/OBRA!$D$10,IF(AF1294="R$/apto",Orçamento!Z1294/OBRA!$D$11,""))))),"")</f>
        <v>2.4038449295760151</v>
      </c>
      <c r="AF1294" s="241" t="s">
        <v>154</v>
      </c>
    </row>
    <row r="1295" spans="1:32" s="10" customFormat="1" ht="13.15" hidden="1" customHeight="1" outlineLevel="4" x14ac:dyDescent="0.2">
      <c r="A1295" s="227"/>
      <c r="B1295" s="228" t="s">
        <v>4</v>
      </c>
      <c r="C1295" s="229">
        <f t="shared" si="920"/>
        <v>5</v>
      </c>
      <c r="D1295" s="227" t="str">
        <f t="shared" ca="1" si="891"/>
        <v>13.003.003.001</v>
      </c>
      <c r="E1295" s="228" t="str">
        <f t="shared" ca="1" si="892"/>
        <v>13.003.003.001</v>
      </c>
      <c r="F1295" s="230">
        <f ca="1">IF($B1295="UNIDADE CONSTRUTIVA",OFFSET(F1295,-1,0)+1,LARGE(F$10:F1294,1))</f>
        <v>2</v>
      </c>
      <c r="G1295" s="228" t="str">
        <f t="shared" ca="1" si="913"/>
        <v xml:space="preserve">   GERENCIAMENTO EXECUTIVO</v>
      </c>
      <c r="H1295" s="230">
        <f t="shared" ca="1" si="894"/>
        <v>13</v>
      </c>
      <c r="I1295" s="228" t="str">
        <f t="shared" ca="1" si="914"/>
        <v xml:space="preserve">   REVESTIMENTOS INTERNOS DE PAREDE</v>
      </c>
      <c r="J1295" s="230">
        <f t="shared" ca="1" si="896"/>
        <v>3</v>
      </c>
      <c r="K1295" s="228" t="str">
        <f t="shared" ca="1" si="915"/>
        <v xml:space="preserve">   REVESTIMENTOS INTERNOS DE PAREDE - 3º  ao 7º PAVIMENTO - TIPO</v>
      </c>
      <c r="L1295" s="231">
        <f t="shared" ca="1" si="898"/>
        <v>3</v>
      </c>
      <c r="M1295" s="228" t="str">
        <f t="shared" ca="1" si="916"/>
        <v xml:space="preserve">   Peitoris</v>
      </c>
      <c r="N1295" s="231">
        <f t="shared" ca="1" si="900"/>
        <v>1</v>
      </c>
      <c r="O1295" s="228" t="str">
        <f t="shared" ca="1" si="917"/>
        <v>Peitoril em granito, acabamento polido, espessura 2cm</v>
      </c>
      <c r="P1295" s="232" t="str">
        <f>IF(S1295="","",IF(Orçamento!$B1295="INSUMO",S1295,""))</f>
        <v/>
      </c>
      <c r="Q1295" s="244" t="str">
        <f t="shared" si="902"/>
        <v>Peitoril em granito, acabamento polido, espessura 2cm</v>
      </c>
      <c r="R1295" s="234">
        <f t="shared" ca="1" si="918"/>
        <v>48.21</v>
      </c>
      <c r="S1295" s="233" t="s">
        <v>494</v>
      </c>
      <c r="T1295" s="242" t="s">
        <v>158</v>
      </c>
      <c r="U1295" s="235">
        <v>48.21</v>
      </c>
      <c r="V1295" s="320" t="s">
        <v>35</v>
      </c>
      <c r="W1295" s="236" t="str">
        <f>IFERROR(IF(B1295="INSUMO",_xlfn.XLOOKUP(S1295,Insumos!A:A,Insumos!C:C),""),"Inserir Preço")</f>
        <v/>
      </c>
      <c r="X1295" s="235">
        <f t="shared" ca="1" si="919"/>
        <v>48.21</v>
      </c>
      <c r="Y1295" s="236">
        <f t="shared" ca="1" si="905"/>
        <v>96.893250000000009</v>
      </c>
      <c r="Z1295" s="237">
        <f t="shared" ca="1" si="921"/>
        <v>4671.2235825000007</v>
      </c>
      <c r="AA1295" s="238"/>
      <c r="AB1295" s="233" t="str">
        <f>IF(B1295="insumo",_xlfn.XLOOKUP(S1295,Insumos!A:A,Insumos!D:D),"")</f>
        <v/>
      </c>
      <c r="AC1295" s="239">
        <f t="shared" ca="1" si="922"/>
        <v>6.7012961141039572E-4</v>
      </c>
      <c r="AE1295" s="240">
        <f ca="1">IFERROR(IF(OR(Z1295="",Z1295=0),"",IF(AF1295="","",IF(AF1295="R$/mês",Z1295/OBRA!$D$12,IF(AF1295="R$/m²",Z1295/OBRA!$D$10,IF(AF1295="R$/apto",Orçamento!Z1295/OBRA!$D$11,""))))),"")</f>
        <v>2.4038449295760156</v>
      </c>
      <c r="AF1295" s="241" t="s">
        <v>154</v>
      </c>
    </row>
    <row r="1296" spans="1:32" s="10" customFormat="1" ht="13.15" hidden="1" customHeight="1" outlineLevel="4" x14ac:dyDescent="0.2">
      <c r="A1296" s="227"/>
      <c r="B1296" s="228" t="s">
        <v>19</v>
      </c>
      <c r="C1296" s="229">
        <f t="shared" si="920"/>
        <v>16</v>
      </c>
      <c r="D1296" s="227" t="str">
        <f t="shared" si="891"/>
        <v/>
      </c>
      <c r="E1296" s="228" t="str">
        <f t="shared" ca="1" si="892"/>
        <v>13.003.003.001</v>
      </c>
      <c r="F1296" s="230">
        <f ca="1">IF($B1296="UNIDADE CONSTRUTIVA",OFFSET(F1296,-1,0)+1,LARGE(F$10:F1295,1))</f>
        <v>2</v>
      </c>
      <c r="G1296" s="228" t="str">
        <f t="shared" ca="1" si="913"/>
        <v xml:space="preserve">   GERENCIAMENTO EXECUTIVO</v>
      </c>
      <c r="H1296" s="230">
        <f t="shared" ca="1" si="894"/>
        <v>13</v>
      </c>
      <c r="I1296" s="228" t="str">
        <f t="shared" ca="1" si="914"/>
        <v xml:space="preserve">   REVESTIMENTOS INTERNOS DE PAREDE</v>
      </c>
      <c r="J1296" s="230">
        <f t="shared" ca="1" si="896"/>
        <v>3</v>
      </c>
      <c r="K1296" s="228" t="str">
        <f t="shared" ca="1" si="915"/>
        <v xml:space="preserve">   REVESTIMENTOS INTERNOS DE PAREDE - 3º  ao 7º PAVIMENTO - TIPO</v>
      </c>
      <c r="L1296" s="231">
        <f t="shared" ca="1" si="898"/>
        <v>3</v>
      </c>
      <c r="M1296" s="228" t="str">
        <f t="shared" ca="1" si="916"/>
        <v xml:space="preserve">   Peitoris</v>
      </c>
      <c r="N1296" s="231">
        <f t="shared" ca="1" si="900"/>
        <v>1</v>
      </c>
      <c r="O1296" s="228" t="str">
        <f t="shared" ca="1" si="917"/>
        <v>Peitoril em granito, acabamento polido, espessura 2cm</v>
      </c>
      <c r="P1296" s="232" t="str">
        <f>IF(S1296="","",IF(Orçamento!$B1296="INSUMO",S1296,""))</f>
        <v>ARGAMASSA COLANTE AC III</v>
      </c>
      <c r="Q1296" s="244" t="str">
        <f t="shared" si="902"/>
        <v/>
      </c>
      <c r="R1296" s="234">
        <f t="shared" ca="1" si="918"/>
        <v>48.21</v>
      </c>
      <c r="S1296" s="233" t="s">
        <v>357</v>
      </c>
      <c r="T1296" s="242" t="str">
        <f>_xlfn.XLOOKUP(S1296,Insumos!$A$3:$A$371,Insumos!$B$3:$B$371)</f>
        <v>KG</v>
      </c>
      <c r="U1296" s="235">
        <f ca="1">IF($B1296="insumo",R1296,"")</f>
        <v>48.21</v>
      </c>
      <c r="V1296" s="320">
        <v>1.29</v>
      </c>
      <c r="W1296" s="236">
        <f>IFERROR(IF(B1296="INSUMO",_xlfn.XLOOKUP(S1296,Insumos!A:A,Insumos!C:C),""),"Inserir Preço")</f>
        <v>0.92500000000000004</v>
      </c>
      <c r="X1296" s="235">
        <f t="shared" ca="1" si="919"/>
        <v>62.190900000000006</v>
      </c>
      <c r="Y1296" s="236">
        <f t="shared" si="905"/>
        <v>1.1932500000000001</v>
      </c>
      <c r="Z1296" s="237">
        <f t="shared" ca="1" si="921"/>
        <v>57.526582500000011</v>
      </c>
      <c r="AA1296" s="238"/>
      <c r="AB1296" s="233" t="str">
        <f>IF(B1296="insumo",_xlfn.XLOOKUP(S1296,Insumos!A:A,Insumos!D:D),"")</f>
        <v>Argabrus</v>
      </c>
      <c r="AC1296" s="239">
        <f t="shared" ca="1" si="922"/>
        <v>8.2527127412431172E-6</v>
      </c>
      <c r="AE1296" s="240">
        <f ca="1">IFERROR(IF(OR(Z1296="",Z1296=0),"",IF(AF1296="","",IF(AF1296="R$/mês",Z1296/OBRA!$D$12,IF(AF1296="R$/m²",Z1296/OBRA!$D$10,IF(AF1296="R$/apto",Orçamento!Z1296/OBRA!$D$11,""))))),"")</f>
        <v>2.9603589127380706E-2</v>
      </c>
      <c r="AF1296" s="241" t="s">
        <v>154</v>
      </c>
    </row>
    <row r="1297" spans="1:32" s="10" customFormat="1" ht="13.15" hidden="1" customHeight="1" outlineLevel="4" x14ac:dyDescent="0.2">
      <c r="A1297" s="227"/>
      <c r="B1297" s="228" t="s">
        <v>19</v>
      </c>
      <c r="C1297" s="229">
        <f t="shared" si="920"/>
        <v>11</v>
      </c>
      <c r="D1297" s="227" t="str">
        <f t="shared" si="891"/>
        <v/>
      </c>
      <c r="E1297" s="228" t="str">
        <f t="shared" ca="1" si="892"/>
        <v>13.003.003.001</v>
      </c>
      <c r="F1297" s="230">
        <f ca="1">IF($B1297="UNIDADE CONSTRUTIVA",OFFSET(F1297,-1,0)+1,LARGE(F$10:F1296,1))</f>
        <v>2</v>
      </c>
      <c r="G1297" s="228" t="str">
        <f t="shared" ca="1" si="913"/>
        <v xml:space="preserve">   GERENCIAMENTO EXECUTIVO</v>
      </c>
      <c r="H1297" s="230">
        <f t="shared" ca="1" si="894"/>
        <v>13</v>
      </c>
      <c r="I1297" s="228" t="str">
        <f t="shared" ca="1" si="914"/>
        <v xml:space="preserve">   REVESTIMENTOS INTERNOS DE PAREDE</v>
      </c>
      <c r="J1297" s="230">
        <f t="shared" ca="1" si="896"/>
        <v>3</v>
      </c>
      <c r="K1297" s="228" t="str">
        <f t="shared" ca="1" si="915"/>
        <v xml:space="preserve">   REVESTIMENTOS INTERNOS DE PAREDE - 3º  ao 7º PAVIMENTO - TIPO</v>
      </c>
      <c r="L1297" s="231">
        <f t="shared" ca="1" si="898"/>
        <v>3</v>
      </c>
      <c r="M1297" s="228" t="str">
        <f t="shared" ca="1" si="916"/>
        <v xml:space="preserve">   Peitoris</v>
      </c>
      <c r="N1297" s="231">
        <f t="shared" ca="1" si="900"/>
        <v>1</v>
      </c>
      <c r="O1297" s="228" t="str">
        <f t="shared" ca="1" si="917"/>
        <v>Peitoril em granito, acabamento polido, espessura 2cm</v>
      </c>
      <c r="P1297" s="232" t="str">
        <f>IF(S1297="","",IF(Orçamento!$B1297="INSUMO",S1297,""))</f>
        <v>GRANITO POLIDO</v>
      </c>
      <c r="Q1297" s="244" t="str">
        <f t="shared" si="902"/>
        <v/>
      </c>
      <c r="R1297" s="234">
        <f t="shared" ca="1" si="918"/>
        <v>48.21</v>
      </c>
      <c r="S1297" s="233" t="s">
        <v>286</v>
      </c>
      <c r="T1297" s="242" t="str">
        <f>_xlfn.XLOOKUP(S1297,Insumos!$A$3:$A$371,Insumos!$B$3:$B$371)</f>
        <v>M2</v>
      </c>
      <c r="U1297" s="235">
        <f ca="1">IF($B1297="insumo",R1297,"")</f>
        <v>48.21</v>
      </c>
      <c r="V1297" s="320">
        <v>0.15</v>
      </c>
      <c r="W1297" s="236">
        <f>IFERROR(IF(B1297="INSUMO",_xlfn.XLOOKUP(S1297,Insumos!A:A,Insumos!C:C),""),"Inserir Preço")</f>
        <v>638</v>
      </c>
      <c r="X1297" s="235">
        <f t="shared" ca="1" si="919"/>
        <v>7.2314999999999996</v>
      </c>
      <c r="Y1297" s="236">
        <f t="shared" si="905"/>
        <v>95.7</v>
      </c>
      <c r="Z1297" s="237">
        <f t="shared" ca="1" si="921"/>
        <v>4613.6970000000001</v>
      </c>
      <c r="AA1297" s="238"/>
      <c r="AB1297" s="233" t="str">
        <f>IF(B1297="insumo",_xlfn.XLOOKUP(S1297,Insumos!A:A,Insumos!D:D),"")</f>
        <v xml:space="preserve"> </v>
      </c>
      <c r="AC1297" s="239">
        <f t="shared" ca="1" si="922"/>
        <v>6.6187689866915248E-4</v>
      </c>
      <c r="AE1297" s="240">
        <f ca="1">IFERROR(IF(OR(Z1297="",Z1297=0),"",IF(AF1297="","",IF(AF1297="R$/mês",Z1297/OBRA!$D$12,IF(AF1297="R$/m²",Z1297/OBRA!$D$10,IF(AF1297="R$/apto",Orçamento!Z1297/OBRA!$D$11,""))))),"")</f>
        <v>2.3742413404486347</v>
      </c>
      <c r="AF1297" s="241" t="s">
        <v>154</v>
      </c>
    </row>
    <row r="1298" spans="1:32" s="10" customFormat="1" ht="13.15" hidden="1" customHeight="1" outlineLevel="3" collapsed="1" x14ac:dyDescent="0.2">
      <c r="A1298" s="227"/>
      <c r="B1298" s="228" t="s">
        <v>3</v>
      </c>
      <c r="C1298" s="229" t="str">
        <f t="shared" si="920"/>
        <v/>
      </c>
      <c r="D1298" s="227" t="str">
        <f t="shared" ca="1" si="891"/>
        <v>13.003.004</v>
      </c>
      <c r="E1298" s="228" t="str">
        <f t="shared" ca="1" si="892"/>
        <v>13.003.003.001</v>
      </c>
      <c r="F1298" s="230">
        <f ca="1">IF($B1298="UNIDADE CONSTRUTIVA",OFFSET(F1298,-1,0)+1,LARGE(F$10:F1297,1))</f>
        <v>2</v>
      </c>
      <c r="G1298" s="228" t="str">
        <f t="shared" ca="1" si="913"/>
        <v xml:space="preserve">   GERENCIAMENTO EXECUTIVO</v>
      </c>
      <c r="H1298" s="230">
        <f t="shared" ca="1" si="894"/>
        <v>13</v>
      </c>
      <c r="I1298" s="228" t="str">
        <f t="shared" ca="1" si="914"/>
        <v xml:space="preserve">   REVESTIMENTOS INTERNOS DE PAREDE</v>
      </c>
      <c r="J1298" s="230">
        <f t="shared" ca="1" si="896"/>
        <v>3</v>
      </c>
      <c r="K1298" s="228" t="str">
        <f t="shared" ca="1" si="915"/>
        <v xml:space="preserve">   REVESTIMENTOS INTERNOS DE PAREDE - 3º  ao 7º PAVIMENTO - TIPO</v>
      </c>
      <c r="L1298" s="231">
        <f t="shared" ca="1" si="898"/>
        <v>4</v>
      </c>
      <c r="M1298" s="228" t="str">
        <f t="shared" ca="1" si="916"/>
        <v xml:space="preserve">   Mão de Obra</v>
      </c>
      <c r="N1298" s="231">
        <f t="shared" ca="1" si="900"/>
        <v>0</v>
      </c>
      <c r="O1298" s="228" t="str">
        <f t="shared" ca="1" si="917"/>
        <v>Peitoril em granito, acabamento polido, espessura 2cm</v>
      </c>
      <c r="P1298" s="232" t="str">
        <f>IF(S1298="","",IF(Orçamento!$B1298="INSUMO",S1298,""))</f>
        <v/>
      </c>
      <c r="Q1298" s="244" t="str">
        <f t="shared" si="902"/>
        <v/>
      </c>
      <c r="R1298" s="234">
        <f t="shared" ca="1" si="918"/>
        <v>48.21</v>
      </c>
      <c r="S1298" s="233" t="s">
        <v>438</v>
      </c>
      <c r="T1298" s="242" t="s">
        <v>35</v>
      </c>
      <c r="U1298" s="235" t="str">
        <f>IF($B1298="insumo",R1298,"")</f>
        <v/>
      </c>
      <c r="V1298" s="320" t="s">
        <v>35</v>
      </c>
      <c r="W1298" s="236" t="str">
        <f>IFERROR(IF(B1298="INSUMO",_xlfn.XLOOKUP(S1298,Insumos!A:A,Insumos!C:C),""),"Inserir Preço")</f>
        <v/>
      </c>
      <c r="X1298" s="235" t="str">
        <f t="shared" ca="1" si="919"/>
        <v/>
      </c>
      <c r="Y1298" s="236" t="str">
        <f t="shared" si="905"/>
        <v/>
      </c>
      <c r="Z1298" s="237">
        <f t="shared" ca="1" si="921"/>
        <v>154861.65049244152</v>
      </c>
      <c r="AA1298" s="238"/>
      <c r="AB1298" s="233" t="str">
        <f>IF(B1298="insumo",_xlfn.XLOOKUP(S1298,Insumos!A:A,Insumos!D:D),"")</f>
        <v/>
      </c>
      <c r="AC1298" s="239">
        <f t="shared" ca="1" si="922"/>
        <v>2.2216315668480924E-2</v>
      </c>
      <c r="AE1298" s="240">
        <f ca="1">IFERROR(IF(OR(Z1298="",Z1298=0),"",IF(AF1298="","",IF(AF1298="R$/mês",Z1298/OBRA!$D$12,IF(AF1298="R$/m²",Z1298/OBRA!$D$10,IF(AF1298="R$/apto",Orçamento!Z1298/OBRA!$D$11,""))))),"")</f>
        <v>79.692908452649206</v>
      </c>
      <c r="AF1298" s="241" t="s">
        <v>154</v>
      </c>
    </row>
    <row r="1299" spans="1:32" s="10" customFormat="1" ht="13.15" hidden="1" customHeight="1" outlineLevel="4" x14ac:dyDescent="0.2">
      <c r="A1299" s="227"/>
      <c r="B1299" s="228" t="s">
        <v>4</v>
      </c>
      <c r="C1299" s="229">
        <f t="shared" si="920"/>
        <v>5</v>
      </c>
      <c r="D1299" s="227" t="str">
        <f t="shared" ca="1" si="891"/>
        <v>13.003.004.001</v>
      </c>
      <c r="E1299" s="228" t="str">
        <f t="shared" ca="1" si="892"/>
        <v>13.003.004.001</v>
      </c>
      <c r="F1299" s="230">
        <f ca="1">IF($B1299="UNIDADE CONSTRUTIVA",OFFSET(F1299,-1,0)+1,LARGE(F$10:F1298,1))</f>
        <v>2</v>
      </c>
      <c r="G1299" s="228" t="str">
        <f t="shared" ca="1" si="913"/>
        <v xml:space="preserve">   GERENCIAMENTO EXECUTIVO</v>
      </c>
      <c r="H1299" s="230">
        <f t="shared" ca="1" si="894"/>
        <v>13</v>
      </c>
      <c r="I1299" s="228" t="str">
        <f t="shared" ca="1" si="914"/>
        <v xml:space="preserve">   REVESTIMENTOS INTERNOS DE PAREDE</v>
      </c>
      <c r="J1299" s="230">
        <f t="shared" ca="1" si="896"/>
        <v>3</v>
      </c>
      <c r="K1299" s="228" t="str">
        <f t="shared" ca="1" si="915"/>
        <v xml:space="preserve">   REVESTIMENTOS INTERNOS DE PAREDE - 3º  ao 7º PAVIMENTO - TIPO</v>
      </c>
      <c r="L1299" s="231">
        <f t="shared" ca="1" si="898"/>
        <v>4</v>
      </c>
      <c r="M1299" s="228" t="str">
        <f t="shared" ca="1" si="916"/>
        <v xml:space="preserve">   Mão de Obra</v>
      </c>
      <c r="N1299" s="231">
        <f t="shared" ca="1" si="900"/>
        <v>1</v>
      </c>
      <c r="O1299" s="228" t="str">
        <f t="shared" ca="1" si="917"/>
        <v>Mao de obra para reboco interno, incluindo chapisco</v>
      </c>
      <c r="P1299" s="232" t="str">
        <f>IF(S1299="","",IF(Orçamento!$B1299="INSUMO",S1299,""))</f>
        <v/>
      </c>
      <c r="Q1299" s="244" t="str">
        <f t="shared" si="902"/>
        <v>Mao de obra para reboco interno, incluindo chapisco</v>
      </c>
      <c r="R1299" s="234">
        <f t="shared" ca="1" si="918"/>
        <v>2533.48</v>
      </c>
      <c r="S1299" s="233" t="s">
        <v>483</v>
      </c>
      <c r="T1299" s="242" t="s">
        <v>140</v>
      </c>
      <c r="U1299" s="235">
        <f>U1281</f>
        <v>2533.48</v>
      </c>
      <c r="V1299" s="320" t="s">
        <v>35</v>
      </c>
      <c r="W1299" s="236" t="str">
        <f>IFERROR(IF(B1299="INSUMO",_xlfn.XLOOKUP(S1299,Insumos!A:A,Insumos!C:C),""),"Inserir Preço")</f>
        <v/>
      </c>
      <c r="X1299" s="235">
        <f t="shared" ca="1" si="919"/>
        <v>2533.48</v>
      </c>
      <c r="Y1299" s="236">
        <f t="shared" ca="1" si="905"/>
        <v>40.637259305842548</v>
      </c>
      <c r="Z1299" s="237">
        <f t="shared" ca="1" si="921"/>
        <v>102953.68370616598</v>
      </c>
      <c r="AA1299" s="238"/>
      <c r="AB1299" s="233" t="str">
        <f>IF(B1299="insumo",_xlfn.XLOOKUP(S1299,Insumos!A:A,Insumos!D:D),"")</f>
        <v/>
      </c>
      <c r="AC1299" s="239">
        <f t="shared" ca="1" si="922"/>
        <v>1.4769644577440174E-2</v>
      </c>
      <c r="AE1299" s="240">
        <f ca="1">IFERROR(IF(OR(Z1299="",Z1299=0),"",IF(AF1299="","",IF(AF1299="R$/mês",Z1299/OBRA!$D$12,IF(AF1299="R$/m²",Z1299/OBRA!$D$10,IF(AF1299="R$/apto",Orçamento!Z1299/OBRA!$D$11,""))))),"")</f>
        <v>52.980698994028486</v>
      </c>
      <c r="AF1299" s="241" t="s">
        <v>154</v>
      </c>
    </row>
    <row r="1300" spans="1:32" s="10" customFormat="1" ht="13.15" hidden="1" customHeight="1" outlineLevel="4" x14ac:dyDescent="0.2">
      <c r="A1300" s="227"/>
      <c r="B1300" s="228" t="s">
        <v>19</v>
      </c>
      <c r="C1300" s="229">
        <f t="shared" si="920"/>
        <v>5</v>
      </c>
      <c r="D1300" s="227" t="str">
        <f t="shared" si="891"/>
        <v/>
      </c>
      <c r="E1300" s="228" t="str">
        <f t="shared" ca="1" si="892"/>
        <v>13.003.004.001</v>
      </c>
      <c r="F1300" s="230">
        <f ca="1">IF($B1300="UNIDADE CONSTRUTIVA",OFFSET(F1300,-1,0)+1,LARGE(F$10:F1299,1))</f>
        <v>2</v>
      </c>
      <c r="G1300" s="228" t="str">
        <f t="shared" ca="1" si="913"/>
        <v xml:space="preserve">   GERENCIAMENTO EXECUTIVO</v>
      </c>
      <c r="H1300" s="230">
        <f t="shared" ca="1" si="894"/>
        <v>13</v>
      </c>
      <c r="I1300" s="228" t="str">
        <f t="shared" ca="1" si="914"/>
        <v xml:space="preserve">   REVESTIMENTOS INTERNOS DE PAREDE</v>
      </c>
      <c r="J1300" s="230">
        <f t="shared" ca="1" si="896"/>
        <v>3</v>
      </c>
      <c r="K1300" s="228" t="str">
        <f t="shared" ca="1" si="915"/>
        <v xml:space="preserve">   REVESTIMENTOS INTERNOS DE PAREDE - 3º  ao 7º PAVIMENTO - TIPO</v>
      </c>
      <c r="L1300" s="231">
        <f t="shared" ca="1" si="898"/>
        <v>4</v>
      </c>
      <c r="M1300" s="228" t="str">
        <f t="shared" ca="1" si="916"/>
        <v xml:space="preserve">   Mão de Obra</v>
      </c>
      <c r="N1300" s="231">
        <f t="shared" ca="1" si="900"/>
        <v>1</v>
      </c>
      <c r="O1300" s="228" t="str">
        <f t="shared" ca="1" si="917"/>
        <v>Mao de obra para reboco interno, incluindo chapisco</v>
      </c>
      <c r="P1300" s="232" t="str">
        <f>IF(S1300="","",IF(Orçamento!$B1300="INSUMO",S1300,""))</f>
        <v>MAO DE OBRA PARA CHAPISCO E REBOCO INTERNOS</v>
      </c>
      <c r="Q1300" s="244" t="str">
        <f t="shared" si="902"/>
        <v/>
      </c>
      <c r="R1300" s="234">
        <f t="shared" ca="1" si="918"/>
        <v>2533.48</v>
      </c>
      <c r="S1300" s="233" t="s">
        <v>253</v>
      </c>
      <c r="T1300" s="242" t="str">
        <f>_xlfn.XLOOKUP(S1300,Insumos!$A$3:$A$371,Insumos!$B$3:$B$371)</f>
        <v>M2</v>
      </c>
      <c r="U1300" s="235">
        <f ca="1">IF($B1300="insumo",R1300,"")</f>
        <v>2533.48</v>
      </c>
      <c r="V1300" s="320">
        <v>1</v>
      </c>
      <c r="W1300" s="236">
        <f>IFERROR(IF(B1300="INSUMO",_xlfn.XLOOKUP(S1300,Insumos!A:A,Insumos!C:C),""),"Inserir Preço")</f>
        <v>40.637259305842548</v>
      </c>
      <c r="X1300" s="235">
        <f t="shared" ca="1" si="919"/>
        <v>2533.48</v>
      </c>
      <c r="Y1300" s="236">
        <f t="shared" si="905"/>
        <v>40.637259305842548</v>
      </c>
      <c r="Z1300" s="237">
        <f t="shared" ca="1" si="921"/>
        <v>102953.68370616598</v>
      </c>
      <c r="AA1300" s="238"/>
      <c r="AB1300" s="233" t="str">
        <f>IF(B1300="insumo",_xlfn.XLOOKUP(S1300,Insumos!A:A,Insumos!D:D),"")</f>
        <v>Aba Custo Serviços</v>
      </c>
      <c r="AC1300" s="239">
        <f t="shared" ca="1" si="922"/>
        <v>1.4769644577440174E-2</v>
      </c>
      <c r="AE1300" s="240">
        <f ca="1">IFERROR(IF(OR(Z1300="",Z1300=0),"",IF(AF1300="","",IF(AF1300="R$/mês",Z1300/OBRA!$D$12,IF(AF1300="R$/m²",Z1300/OBRA!$D$10,IF(AF1300="R$/apto",Orçamento!Z1300/OBRA!$D$11,""))))),"")</f>
        <v>52.980698994028486</v>
      </c>
      <c r="AF1300" s="241" t="s">
        <v>154</v>
      </c>
    </row>
    <row r="1301" spans="1:32" s="10" customFormat="1" ht="13.15" hidden="1" customHeight="1" outlineLevel="4" x14ac:dyDescent="0.2">
      <c r="A1301" s="227"/>
      <c r="B1301" s="228" t="s">
        <v>4</v>
      </c>
      <c r="C1301" s="229">
        <f t="shared" si="920"/>
        <v>5</v>
      </c>
      <c r="D1301" s="227" t="str">
        <f t="shared" ca="1" si="891"/>
        <v>13.003.004.002</v>
      </c>
      <c r="E1301" s="228" t="str">
        <f t="shared" ca="1" si="892"/>
        <v>13.003.004.002</v>
      </c>
      <c r="F1301" s="230">
        <f ca="1">IF($B1301="UNIDADE CONSTRUTIVA",OFFSET(F1301,-1,0)+1,LARGE(F$10:F1300,1))</f>
        <v>2</v>
      </c>
      <c r="G1301" s="228" t="str">
        <f t="shared" ca="1" si="913"/>
        <v xml:space="preserve">   GERENCIAMENTO EXECUTIVO</v>
      </c>
      <c r="H1301" s="230">
        <f t="shared" ca="1" si="894"/>
        <v>13</v>
      </c>
      <c r="I1301" s="228" t="str">
        <f t="shared" ca="1" si="914"/>
        <v xml:space="preserve">   REVESTIMENTOS INTERNOS DE PAREDE</v>
      </c>
      <c r="J1301" s="230">
        <f t="shared" ca="1" si="896"/>
        <v>3</v>
      </c>
      <c r="K1301" s="228" t="str">
        <f t="shared" ca="1" si="915"/>
        <v xml:space="preserve">   REVESTIMENTOS INTERNOS DE PAREDE - 3º  ao 7º PAVIMENTO - TIPO</v>
      </c>
      <c r="L1301" s="231">
        <f t="shared" ca="1" si="898"/>
        <v>4</v>
      </c>
      <c r="M1301" s="228" t="str">
        <f t="shared" ca="1" si="916"/>
        <v xml:space="preserve">   Mão de Obra</v>
      </c>
      <c r="N1301" s="231">
        <f t="shared" ca="1" si="900"/>
        <v>2</v>
      </c>
      <c r="O1301" s="228" t="str">
        <f t="shared" ca="1" si="917"/>
        <v>Mao de obra para estucamento de estrutura em concreto</v>
      </c>
      <c r="P1301" s="232" t="str">
        <f>IF(S1301="","",IF(Orçamento!$B1301="INSUMO",S1301,""))</f>
        <v/>
      </c>
      <c r="Q1301" s="244" t="str">
        <f t="shared" si="902"/>
        <v>Mao de obra para estucamento de estrutura em concreto</v>
      </c>
      <c r="R1301" s="234">
        <f t="shared" ca="1" si="918"/>
        <v>158.19999999999999</v>
      </c>
      <c r="S1301" s="233" t="s">
        <v>1163</v>
      </c>
      <c r="T1301" s="242" t="s">
        <v>140</v>
      </c>
      <c r="U1301" s="235">
        <f>U1283</f>
        <v>158.19999999999999</v>
      </c>
      <c r="V1301" s="320" t="s">
        <v>35</v>
      </c>
      <c r="W1301" s="236" t="str">
        <f>IFERROR(IF(B1301="INSUMO",_xlfn.XLOOKUP(S1301,Insumos!A:A,Insumos!C:C),""),"Inserir Preço")</f>
        <v/>
      </c>
      <c r="X1301" s="235">
        <f t="shared" ca="1" si="919"/>
        <v>158.19999999999999</v>
      </c>
      <c r="Y1301" s="236">
        <f t="shared" ca="1" si="905"/>
        <v>50.894746969405425</v>
      </c>
      <c r="Z1301" s="237">
        <f t="shared" ca="1" si="921"/>
        <v>8051.5489705599375</v>
      </c>
      <c r="AA1301" s="238"/>
      <c r="AB1301" s="233" t="str">
        <f>IF(B1301="insumo",_xlfn.XLOOKUP(S1301,Insumos!A:A,Insumos!D:D),"")</f>
        <v/>
      </c>
      <c r="AC1301" s="239">
        <f t="shared" ca="1" si="922"/>
        <v>1.1550681074455082E-3</v>
      </c>
      <c r="AE1301" s="240">
        <f ca="1">IFERROR(IF(OR(Z1301="",Z1301=0),"",IF(AF1301="","",IF(AF1301="R$/mês",Z1301/OBRA!$D$12,IF(AF1301="R$/m²",Z1301/OBRA!$D$10,IF(AF1301="R$/apto",Orçamento!Z1301/OBRA!$D$11,""))))),"")</f>
        <v>4.1433844529777417</v>
      </c>
      <c r="AF1301" s="241" t="s">
        <v>154</v>
      </c>
    </row>
    <row r="1302" spans="1:32" s="10" customFormat="1" ht="13.15" hidden="1" customHeight="1" outlineLevel="4" x14ac:dyDescent="0.2">
      <c r="A1302" s="227"/>
      <c r="B1302" s="228" t="s">
        <v>19</v>
      </c>
      <c r="C1302" s="229">
        <f t="shared" si="920"/>
        <v>5</v>
      </c>
      <c r="D1302" s="227" t="str">
        <f t="shared" si="891"/>
        <v/>
      </c>
      <c r="E1302" s="228" t="str">
        <f t="shared" ca="1" si="892"/>
        <v>13.003.004.002</v>
      </c>
      <c r="F1302" s="230">
        <f ca="1">IF($B1302="UNIDADE CONSTRUTIVA",OFFSET(F1302,-1,0)+1,LARGE(F$10:F1301,1))</f>
        <v>2</v>
      </c>
      <c r="G1302" s="228" t="str">
        <f t="shared" ca="1" si="913"/>
        <v xml:space="preserve">   GERENCIAMENTO EXECUTIVO</v>
      </c>
      <c r="H1302" s="230">
        <f t="shared" ca="1" si="894"/>
        <v>13</v>
      </c>
      <c r="I1302" s="228" t="str">
        <f t="shared" ca="1" si="914"/>
        <v xml:space="preserve">   REVESTIMENTOS INTERNOS DE PAREDE</v>
      </c>
      <c r="J1302" s="230">
        <f t="shared" ca="1" si="896"/>
        <v>3</v>
      </c>
      <c r="K1302" s="228" t="str">
        <f t="shared" ca="1" si="915"/>
        <v xml:space="preserve">   REVESTIMENTOS INTERNOS DE PAREDE - 3º  ao 7º PAVIMENTO - TIPO</v>
      </c>
      <c r="L1302" s="231">
        <f t="shared" ca="1" si="898"/>
        <v>4</v>
      </c>
      <c r="M1302" s="228" t="str">
        <f t="shared" ca="1" si="916"/>
        <v xml:space="preserve">   Mão de Obra</v>
      </c>
      <c r="N1302" s="231">
        <f t="shared" ca="1" si="900"/>
        <v>2</v>
      </c>
      <c r="O1302" s="228" t="str">
        <f t="shared" ca="1" si="917"/>
        <v>Mao de obra para estucamento de estrutura em concreto</v>
      </c>
      <c r="P1302" s="232" t="str">
        <f>IF(S1302="","",IF(Orçamento!$B1302="INSUMO",S1302,""))</f>
        <v>MAO DE OBRA PARA ESTUCAMENTO DE ESTRUTURA DE CONCRETO</v>
      </c>
      <c r="Q1302" s="244" t="str">
        <f t="shared" si="902"/>
        <v/>
      </c>
      <c r="R1302" s="234">
        <f t="shared" ca="1" si="918"/>
        <v>158.19999999999999</v>
      </c>
      <c r="S1302" s="233" t="s">
        <v>777</v>
      </c>
      <c r="T1302" s="242" t="str">
        <f>_xlfn.XLOOKUP(S1302,Insumos!$A$3:$A$371,Insumos!$B$3:$B$371)</f>
        <v>M2</v>
      </c>
      <c r="U1302" s="235">
        <f ca="1">IF($B1302="insumo",R1302,"")</f>
        <v>158.19999999999999</v>
      </c>
      <c r="V1302" s="320">
        <v>1</v>
      </c>
      <c r="W1302" s="236">
        <f>IFERROR(IF(B1302="INSUMO",_xlfn.XLOOKUP(S1302,Insumos!A:A,Insumos!C:C),""),"Inserir Preço")</f>
        <v>50.894746969405425</v>
      </c>
      <c r="X1302" s="235">
        <f t="shared" ca="1" si="919"/>
        <v>158.19999999999999</v>
      </c>
      <c r="Y1302" s="236">
        <f t="shared" si="905"/>
        <v>50.894746969405425</v>
      </c>
      <c r="Z1302" s="237">
        <f t="shared" ca="1" si="921"/>
        <v>8051.5489705599375</v>
      </c>
      <c r="AA1302" s="238"/>
      <c r="AB1302" s="233" t="str">
        <f>IF(B1302="insumo",_xlfn.XLOOKUP(S1302,Insumos!A:A,Insumos!D:D),"")</f>
        <v>Aba Custo Serviços</v>
      </c>
      <c r="AC1302" s="239">
        <f t="shared" ca="1" si="922"/>
        <v>1.1550681074455082E-3</v>
      </c>
      <c r="AE1302" s="240">
        <f ca="1">IFERROR(IF(OR(Z1302="",Z1302=0),"",IF(AF1302="","",IF(AF1302="R$/mês",Z1302/OBRA!$D$12,IF(AF1302="R$/m²",Z1302/OBRA!$D$10,IF(AF1302="R$/apto",Orçamento!Z1302/OBRA!$D$11,""))))),"")</f>
        <v>4.1433844529777417</v>
      </c>
      <c r="AF1302" s="241" t="s">
        <v>154</v>
      </c>
    </row>
    <row r="1303" spans="1:32" s="10" customFormat="1" ht="13.15" hidden="1" customHeight="1" outlineLevel="4" x14ac:dyDescent="0.2">
      <c r="A1303" s="227"/>
      <c r="B1303" s="228" t="s">
        <v>4</v>
      </c>
      <c r="C1303" s="229">
        <f t="shared" si="920"/>
        <v>3</v>
      </c>
      <c r="D1303" s="227" t="str">
        <f t="shared" ca="1" si="891"/>
        <v>13.003.004.003</v>
      </c>
      <c r="E1303" s="228" t="str">
        <f t="shared" ca="1" si="892"/>
        <v>13.003.004.003</v>
      </c>
      <c r="F1303" s="230">
        <f ca="1">IF($B1303="UNIDADE CONSTRUTIVA",OFFSET(F1303,-1,0)+1,LARGE(F$10:F1302,1))</f>
        <v>2</v>
      </c>
      <c r="G1303" s="228" t="str">
        <f t="shared" ca="1" si="913"/>
        <v xml:space="preserve">   GERENCIAMENTO EXECUTIVO</v>
      </c>
      <c r="H1303" s="230">
        <f t="shared" ca="1" si="894"/>
        <v>13</v>
      </c>
      <c r="I1303" s="228" t="str">
        <f t="shared" ca="1" si="914"/>
        <v xml:space="preserve">   REVESTIMENTOS INTERNOS DE PAREDE</v>
      </c>
      <c r="J1303" s="230">
        <f t="shared" ca="1" si="896"/>
        <v>3</v>
      </c>
      <c r="K1303" s="228" t="str">
        <f t="shared" ca="1" si="915"/>
        <v xml:space="preserve">   REVESTIMENTOS INTERNOS DE PAREDE - 3º  ao 7º PAVIMENTO - TIPO</v>
      </c>
      <c r="L1303" s="231">
        <f t="shared" ca="1" si="898"/>
        <v>4</v>
      </c>
      <c r="M1303" s="228" t="str">
        <f t="shared" ca="1" si="916"/>
        <v xml:space="preserve">   Mão de Obra</v>
      </c>
      <c r="N1303" s="231">
        <f t="shared" ca="1" si="900"/>
        <v>3</v>
      </c>
      <c r="O1303" s="228" t="str">
        <f t="shared" ca="1" si="917"/>
        <v>Mao de obra para colocacao e rejuntamento de Azulejo Cerâmico</v>
      </c>
      <c r="P1303" s="232" t="str">
        <f>IF(S1303="","",IF(Orçamento!$B1303="INSUMO",S1303,""))</f>
        <v/>
      </c>
      <c r="Q1303" s="244" t="str">
        <f t="shared" si="902"/>
        <v>Mao de obra para colocacao e rejuntamento de Azulejo Cerâmico</v>
      </c>
      <c r="R1303" s="234">
        <f t="shared" ca="1" si="918"/>
        <v>589.71</v>
      </c>
      <c r="S1303" s="233" t="s">
        <v>782</v>
      </c>
      <c r="T1303" s="242" t="s">
        <v>140</v>
      </c>
      <c r="U1303" s="235">
        <f>U1289</f>
        <v>589.71</v>
      </c>
      <c r="V1303" s="320" t="s">
        <v>35</v>
      </c>
      <c r="W1303" s="236" t="str">
        <f>IFERROR(IF(B1303="INSUMO",_xlfn.XLOOKUP(S1303,Insumos!A:A,Insumos!C:C),""),"Inserir Preço")</f>
        <v/>
      </c>
      <c r="X1303" s="235">
        <f t="shared" ca="1" si="919"/>
        <v>589.71</v>
      </c>
      <c r="Y1303" s="236">
        <f t="shared" ca="1" si="905"/>
        <v>73.511069535391343</v>
      </c>
      <c r="Z1303" s="237">
        <f t="shared" ca="1" si="921"/>
        <v>43350.212815715633</v>
      </c>
      <c r="AA1303" s="238"/>
      <c r="AB1303" s="233" t="str">
        <f>IF(B1303="insumo",_xlfn.XLOOKUP(S1303,Insumos!A:A,Insumos!D:D),"")</f>
        <v/>
      </c>
      <c r="AC1303" s="239">
        <f t="shared" ca="1" si="922"/>
        <v>6.21898326117073E-3</v>
      </c>
      <c r="AE1303" s="240">
        <f ca="1">IFERROR(IF(OR(Z1303="",Z1303=0),"",IF(AF1303="","",IF(AF1303="R$/mês",Z1303/OBRA!$D$12,IF(AF1303="R$/m²",Z1303/OBRA!$D$10,IF(AF1303="R$/apto",Orçamento!Z1303/OBRA!$D$11,""))))),"")</f>
        <v>22.308328306847688</v>
      </c>
      <c r="AF1303" s="241" t="s">
        <v>154</v>
      </c>
    </row>
    <row r="1304" spans="1:32" s="10" customFormat="1" ht="13.15" hidden="1" customHeight="1" outlineLevel="4" x14ac:dyDescent="0.2">
      <c r="A1304" s="227"/>
      <c r="B1304" s="228" t="s">
        <v>19</v>
      </c>
      <c r="C1304" s="229">
        <f t="shared" si="920"/>
        <v>4</v>
      </c>
      <c r="D1304" s="227" t="str">
        <f t="shared" si="891"/>
        <v/>
      </c>
      <c r="E1304" s="228" t="str">
        <f t="shared" ca="1" si="892"/>
        <v>13.003.004.003</v>
      </c>
      <c r="F1304" s="230">
        <f ca="1">IF($B1304="UNIDADE CONSTRUTIVA",OFFSET(F1304,-1,0)+1,LARGE(F$10:F1303,1))</f>
        <v>2</v>
      </c>
      <c r="G1304" s="228" t="str">
        <f t="shared" ca="1" si="913"/>
        <v xml:space="preserve">   GERENCIAMENTO EXECUTIVO</v>
      </c>
      <c r="H1304" s="230">
        <f t="shared" ca="1" si="894"/>
        <v>13</v>
      </c>
      <c r="I1304" s="228" t="str">
        <f t="shared" ca="1" si="914"/>
        <v xml:space="preserve">   REVESTIMENTOS INTERNOS DE PAREDE</v>
      </c>
      <c r="J1304" s="230">
        <f t="shared" ca="1" si="896"/>
        <v>3</v>
      </c>
      <c r="K1304" s="228" t="str">
        <f t="shared" ca="1" si="915"/>
        <v xml:space="preserve">   REVESTIMENTOS INTERNOS DE PAREDE - 3º  ao 7º PAVIMENTO - TIPO</v>
      </c>
      <c r="L1304" s="231">
        <f t="shared" ca="1" si="898"/>
        <v>4</v>
      </c>
      <c r="M1304" s="228" t="str">
        <f t="shared" ca="1" si="916"/>
        <v xml:space="preserve">   Mão de Obra</v>
      </c>
      <c r="N1304" s="231">
        <f t="shared" ca="1" si="900"/>
        <v>3</v>
      </c>
      <c r="O1304" s="228" t="str">
        <f t="shared" ca="1" si="917"/>
        <v>Mao de obra para colocacao e rejuntamento de Azulejo Cerâmico</v>
      </c>
      <c r="P1304" s="232" t="str">
        <f>IF(S1304="","",IF(Orçamento!$B1304="INSUMO",S1304,""))</f>
        <v>MAO DE OBRA PARA COLOCACAO E REJUNTAMENTO DE AZULEJO</v>
      </c>
      <c r="Q1304" s="244" t="str">
        <f t="shared" si="902"/>
        <v/>
      </c>
      <c r="R1304" s="234">
        <f t="shared" ca="1" si="918"/>
        <v>589.71</v>
      </c>
      <c r="S1304" s="233" t="s">
        <v>363</v>
      </c>
      <c r="T1304" s="242" t="str">
        <f>_xlfn.XLOOKUP(S1304,Insumos!$A$3:$A$371,Insumos!$B$3:$B$371)</f>
        <v>M2</v>
      </c>
      <c r="U1304" s="235">
        <f ca="1">IF($B1304="insumo",R1304,"")</f>
        <v>589.71</v>
      </c>
      <c r="V1304" s="320">
        <v>1</v>
      </c>
      <c r="W1304" s="236">
        <f>IFERROR(IF(B1304="INSUMO",_xlfn.XLOOKUP(S1304,Insumos!A:A,Insumos!C:C),""),"Inserir Preço")</f>
        <v>73.511069535391343</v>
      </c>
      <c r="X1304" s="235">
        <f t="shared" ca="1" si="919"/>
        <v>589.71</v>
      </c>
      <c r="Y1304" s="236">
        <f t="shared" si="905"/>
        <v>73.511069535391343</v>
      </c>
      <c r="Z1304" s="237">
        <f t="shared" ca="1" si="921"/>
        <v>43350.212815715633</v>
      </c>
      <c r="AA1304" s="238"/>
      <c r="AB1304" s="233" t="str">
        <f>IF(B1304="insumo",_xlfn.XLOOKUP(S1304,Insumos!A:A,Insumos!D:D),"")</f>
        <v>Aba Custo Serviços</v>
      </c>
      <c r="AC1304" s="239">
        <f t="shared" ca="1" si="922"/>
        <v>6.21898326117073E-3</v>
      </c>
      <c r="AE1304" s="240">
        <f ca="1">IFERROR(IF(OR(Z1304="",Z1304=0),"",IF(AF1304="","",IF(AF1304="R$/mês",Z1304/OBRA!$D$12,IF(AF1304="R$/m²",Z1304/OBRA!$D$10,IF(AF1304="R$/apto",Orçamento!Z1304/OBRA!$D$11,""))))),"")</f>
        <v>22.308328306847688</v>
      </c>
      <c r="AF1304" s="241" t="s">
        <v>154</v>
      </c>
    </row>
    <row r="1305" spans="1:32" s="10" customFormat="1" ht="13.15" hidden="1" customHeight="1" outlineLevel="4" x14ac:dyDescent="0.2">
      <c r="A1305" s="227"/>
      <c r="B1305" s="228" t="s">
        <v>4</v>
      </c>
      <c r="C1305" s="229">
        <f t="shared" si="920"/>
        <v>5</v>
      </c>
      <c r="D1305" s="227" t="str">
        <f t="shared" ca="1" si="891"/>
        <v>13.003.004.004</v>
      </c>
      <c r="E1305" s="228" t="str">
        <f t="shared" ca="1" si="892"/>
        <v>13.003.004.004</v>
      </c>
      <c r="F1305" s="230">
        <f ca="1">IF($B1305="UNIDADE CONSTRUTIVA",OFFSET(F1305,-1,0)+1,LARGE(F$10:F1304,1))</f>
        <v>2</v>
      </c>
      <c r="G1305" s="228" t="str">
        <f t="shared" ca="1" si="913"/>
        <v xml:space="preserve">   GERENCIAMENTO EXECUTIVO</v>
      </c>
      <c r="H1305" s="230">
        <f t="shared" ca="1" si="894"/>
        <v>13</v>
      </c>
      <c r="I1305" s="228" t="str">
        <f t="shared" ca="1" si="914"/>
        <v xml:space="preserve">   REVESTIMENTOS INTERNOS DE PAREDE</v>
      </c>
      <c r="J1305" s="230">
        <f t="shared" ca="1" si="896"/>
        <v>3</v>
      </c>
      <c r="K1305" s="228" t="str">
        <f t="shared" ca="1" si="915"/>
        <v xml:space="preserve">   REVESTIMENTOS INTERNOS DE PAREDE - 3º  ao 7º PAVIMENTO - TIPO</v>
      </c>
      <c r="L1305" s="231">
        <f t="shared" ca="1" si="898"/>
        <v>4</v>
      </c>
      <c r="M1305" s="228" t="str">
        <f t="shared" ca="1" si="916"/>
        <v xml:space="preserve">   Mão de Obra</v>
      </c>
      <c r="N1305" s="231">
        <f t="shared" ca="1" si="900"/>
        <v>4</v>
      </c>
      <c r="O1305" s="228" t="str">
        <f t="shared" ca="1" si="917"/>
        <v>Mao de obra para colocacao de peitoril</v>
      </c>
      <c r="P1305" s="232" t="str">
        <f>IF(S1305="","",IF(Orçamento!$B1305="INSUMO",S1305,""))</f>
        <v/>
      </c>
      <c r="Q1305" s="244" t="str">
        <f t="shared" si="902"/>
        <v>Mao de obra para colocacao de peitoril</v>
      </c>
      <c r="R1305" s="234">
        <f t="shared" ca="1" si="918"/>
        <v>48.21</v>
      </c>
      <c r="S1305" s="233" t="s">
        <v>497</v>
      </c>
      <c r="T1305" s="242" t="s">
        <v>158</v>
      </c>
      <c r="U1305" s="235">
        <f>U1295</f>
        <v>48.21</v>
      </c>
      <c r="V1305" s="320" t="s">
        <v>35</v>
      </c>
      <c r="W1305" s="236" t="str">
        <f>IFERROR(IF(B1305="INSUMO",_xlfn.XLOOKUP(S1305,Insumos!A:A,Insumos!C:C),""),"Inserir Preço")</f>
        <v/>
      </c>
      <c r="X1305" s="235">
        <f t="shared" ca="1" si="919"/>
        <v>48.21</v>
      </c>
      <c r="Y1305" s="236">
        <f t="shared" ca="1" si="905"/>
        <v>10.5</v>
      </c>
      <c r="Z1305" s="237">
        <f t="shared" ca="1" si="921"/>
        <v>506.20499999999998</v>
      </c>
      <c r="AA1305" s="238"/>
      <c r="AB1305" s="233" t="str">
        <f>IF(B1305="insumo",_xlfn.XLOOKUP(S1305,Insumos!A:A,Insumos!D:D),"")</f>
        <v/>
      </c>
      <c r="AC1305" s="239">
        <f t="shared" ca="1" si="922"/>
        <v>7.2619722424515165E-5</v>
      </c>
      <c r="AE1305" s="240">
        <f ca="1">IFERROR(IF(OR(Z1305="",Z1305=0),"",IF(AF1305="","",IF(AF1305="R$/mês",Z1305/OBRA!$D$12,IF(AF1305="R$/m²",Z1305/OBRA!$D$10,IF(AF1305="R$/apto",Orçamento!Z1305/OBRA!$D$11,""))))),"")</f>
        <v>0.26049669879530474</v>
      </c>
      <c r="AF1305" s="241" t="s">
        <v>154</v>
      </c>
    </row>
    <row r="1306" spans="1:32" s="10" customFormat="1" ht="13.15" hidden="1" customHeight="1" outlineLevel="4" x14ac:dyDescent="0.2">
      <c r="A1306" s="227"/>
      <c r="B1306" s="228" t="s">
        <v>19</v>
      </c>
      <c r="C1306" s="229">
        <f t="shared" si="920"/>
        <v>5</v>
      </c>
      <c r="D1306" s="227" t="str">
        <f t="shared" si="891"/>
        <v/>
      </c>
      <c r="E1306" s="228" t="str">
        <f t="shared" ca="1" si="892"/>
        <v>13.003.004.004</v>
      </c>
      <c r="F1306" s="230">
        <f ca="1">IF($B1306="UNIDADE CONSTRUTIVA",OFFSET(F1306,-1,0)+1,LARGE(F$10:F1305,1))</f>
        <v>2</v>
      </c>
      <c r="G1306" s="228" t="str">
        <f t="shared" ca="1" si="913"/>
        <v xml:space="preserve">   GERENCIAMENTO EXECUTIVO</v>
      </c>
      <c r="H1306" s="230">
        <f t="shared" ca="1" si="894"/>
        <v>13</v>
      </c>
      <c r="I1306" s="228" t="str">
        <f t="shared" ca="1" si="914"/>
        <v xml:space="preserve">   REVESTIMENTOS INTERNOS DE PAREDE</v>
      </c>
      <c r="J1306" s="230">
        <f t="shared" ca="1" si="896"/>
        <v>3</v>
      </c>
      <c r="K1306" s="228" t="str">
        <f t="shared" ca="1" si="915"/>
        <v xml:space="preserve">   REVESTIMENTOS INTERNOS DE PAREDE - 3º  ao 7º PAVIMENTO - TIPO</v>
      </c>
      <c r="L1306" s="231">
        <f t="shared" ca="1" si="898"/>
        <v>4</v>
      </c>
      <c r="M1306" s="228" t="str">
        <f t="shared" ca="1" si="916"/>
        <v xml:space="preserve">   Mão de Obra</v>
      </c>
      <c r="N1306" s="231">
        <f t="shared" ca="1" si="900"/>
        <v>4</v>
      </c>
      <c r="O1306" s="228" t="str">
        <f t="shared" ca="1" si="917"/>
        <v>Mao de obra para colocacao de peitoril</v>
      </c>
      <c r="P1306" s="232" t="str">
        <f>IF(S1306="","",IF(Orçamento!$B1306="INSUMO",S1306,""))</f>
        <v>MAO DE OBRA PARA COLOCACAO DE PEITORIL</v>
      </c>
      <c r="Q1306" s="244" t="str">
        <f t="shared" si="902"/>
        <v/>
      </c>
      <c r="R1306" s="234">
        <f t="shared" ca="1" si="918"/>
        <v>48.21</v>
      </c>
      <c r="S1306" s="233" t="s">
        <v>373</v>
      </c>
      <c r="T1306" s="242" t="str">
        <f>_xlfn.XLOOKUP(S1306,Insumos!$A$3:$A$371,Insumos!$B$3:$B$371)</f>
        <v>M2</v>
      </c>
      <c r="U1306" s="235">
        <f ca="1">IF($B1306="insumo",R1306,"")</f>
        <v>48.21</v>
      </c>
      <c r="V1306" s="320">
        <v>1</v>
      </c>
      <c r="W1306" s="236">
        <f>IFERROR(IF(B1306="INSUMO",_xlfn.XLOOKUP(S1306,Insumos!A:A,Insumos!C:C),""),"Inserir Preço")</f>
        <v>10.5</v>
      </c>
      <c r="X1306" s="235">
        <f t="shared" ca="1" si="919"/>
        <v>48.21</v>
      </c>
      <c r="Y1306" s="236">
        <f t="shared" si="905"/>
        <v>10.5</v>
      </c>
      <c r="Z1306" s="237">
        <f t="shared" ca="1" si="921"/>
        <v>506.20499999999998</v>
      </c>
      <c r="AA1306" s="238"/>
      <c r="AB1306" s="233" t="str">
        <f>IF(B1306="insumo",_xlfn.XLOOKUP(S1306,Insumos!A:A,Insumos!D:D),"")</f>
        <v xml:space="preserve"> </v>
      </c>
      <c r="AC1306" s="239">
        <f t="shared" ca="1" si="922"/>
        <v>7.2619722424515165E-5</v>
      </c>
      <c r="AE1306" s="240">
        <f ca="1">IFERROR(IF(OR(Z1306="",Z1306=0),"",IF(AF1306="","",IF(AF1306="R$/mês",Z1306/OBRA!$D$12,IF(AF1306="R$/m²",Z1306/OBRA!$D$10,IF(AF1306="R$/apto",Orçamento!Z1306/OBRA!$D$11,""))))),"")</f>
        <v>0.26049669879530474</v>
      </c>
      <c r="AF1306" s="241" t="s">
        <v>154</v>
      </c>
    </row>
    <row r="1307" spans="1:32" s="10" customFormat="1" ht="13.15" customHeight="1" outlineLevel="2" collapsed="1" x14ac:dyDescent="0.2">
      <c r="A1307" s="227"/>
      <c r="B1307" s="228" t="s">
        <v>2</v>
      </c>
      <c r="C1307" s="229" t="str">
        <f t="shared" si="920"/>
        <v/>
      </c>
      <c r="D1307" s="227" t="str">
        <f t="shared" ref="D1307:D1345" ca="1" si="923">IF(B1307="Unidade Construtiva",TEXT(F1307,"00"),IF(B1307="Célula Construtiva",TEXT(H1307,"00"),IF(B1307="Etapa",CONCATENATE(TEXT(H1307,"00"),".",TEXT(J1307,"000")),IF(B1307="Subetapa",CONCATENATE(TEXT(H1307,"00"),".",TEXT(J1307,"000"),".",TEXT(L1307,"000")),IF(B1307="Serviço",CONCATENATE(TEXT(H1307,"00"),".",TEXT(J1307,"000"),".",TEXT(L1307,"000"),".",TEXT(N1307,"000")),"")))))</f>
        <v>13.004</v>
      </c>
      <c r="E1307" s="228" t="str">
        <f t="shared" ref="E1307:E1345" ca="1" si="924">IF(B1307="*","",IFERROR(IF(B1307="SERVIÇO",D1307,OFFSET(E1307,-1,0)),""))</f>
        <v>13.003.004.004</v>
      </c>
      <c r="F1307" s="230">
        <f ca="1">IF($B1307="UNIDADE CONSTRUTIVA",OFFSET(F1307,-1,0)+1,LARGE(F$10:F1306,1))</f>
        <v>2</v>
      </c>
      <c r="G1307" s="228" t="str">
        <f ca="1">IF(B1307="*","",IF(B1307="UNIDADE CONSTRUTIVA",S1307,OFFSET(G1307,-1,0)))</f>
        <v xml:space="preserve">   GERENCIAMENTO EXECUTIVO</v>
      </c>
      <c r="H1307" s="230">
        <f t="shared" ref="H1307:H1345" ca="1" si="925">IF(B1307="UNIDADE CONSTRUTIVA",0,IF(B1307="CÉLULA CONSTRUTIVA",OFFSET(H1307,-1,0)+1,OFFSET(H1307,-1,0)))</f>
        <v>13</v>
      </c>
      <c r="I1307" s="228" t="str">
        <f ca="1">IF(B1307="*","",IF(B1307="CÉLULA CONSTRUTIVA",S1307,OFFSET(I1307,-1,0)))</f>
        <v xml:space="preserve">   REVESTIMENTOS INTERNOS DE PAREDE</v>
      </c>
      <c r="J1307" s="230">
        <f t="shared" ref="J1307:J1345" ca="1" si="926">IF(B1307="CÉLULA CONSTRUTIVA",0,IF(B1307="ETAPA",OFFSET(J1307,-1,0)+1,OFFSET(J1307,-1,0)))</f>
        <v>4</v>
      </c>
      <c r="K1307" s="228" t="str">
        <f ca="1">IF(B1307="*","",IF(B1307="ETAPA",S1307,OFFSET(K1307,-1,0)))</f>
        <v xml:space="preserve">   REVESTIMENTOS INTERNOS DE PAREDE - 8º PAVIMENTO - COBERTURA</v>
      </c>
      <c r="L1307" s="231">
        <f t="shared" ref="L1307:L1345" ca="1" si="927">IF(B1307="ETAPA",0,IF(B1307="SUBETAPA",OFFSET(L1307,-1,0)+1,OFFSET(L1307,-1,0)))</f>
        <v>0</v>
      </c>
      <c r="M1307" s="228" t="str">
        <f ca="1">IF(B1307="*","",IF(B1307="SUBETAPA",S1307,OFFSET(M1307,-1,0)))</f>
        <v xml:space="preserve">   Mão de Obra</v>
      </c>
      <c r="N1307" s="231">
        <f t="shared" ref="N1307:N1345" ca="1" si="928">IF(B1307="Subetapa",0,IF(B1307="serviço",OFFSET(N1307,-1,0)+1,OFFSET(N1307,-1,0)))</f>
        <v>4</v>
      </c>
      <c r="O1307" s="228" t="str">
        <f ca="1">IF(B1307="*","",IF(B1307="SERVIÇO",S1307,OFFSET(O1307,-1,0)))</f>
        <v>Mao de obra para colocacao de peitoril</v>
      </c>
      <c r="P1307" s="232" t="str">
        <f>IF(S1307="","",IF(Orçamento!$B1307="INSUMO",S1307,""))</f>
        <v/>
      </c>
      <c r="Q1307" s="244" t="str">
        <f t="shared" ref="Q1307:Q1345" si="929">IF(B1307="","",IF(B1307="Serviço",S1307,""))</f>
        <v/>
      </c>
      <c r="R1307" s="234">
        <f ca="1">IF(B1307="serviço",U1307,OFFSET(R1307,-1,0))</f>
        <v>48.21</v>
      </c>
      <c r="S1307" s="233" t="s">
        <v>728</v>
      </c>
      <c r="T1307" s="242" t="s">
        <v>35</v>
      </c>
      <c r="U1307" s="235" t="str">
        <f>IF($B1307="insumo",R1307,"")</f>
        <v/>
      </c>
      <c r="V1307" s="320" t="s">
        <v>35</v>
      </c>
      <c r="W1307" s="236" t="str">
        <f>IFERROR(IF(B1307="INSUMO",_xlfn.XLOOKUP(S1307,Insumos!A:A,Insumos!C:C),""),"Inserir Preço")</f>
        <v/>
      </c>
      <c r="X1307" s="235" t="str">
        <f ca="1">IF(B1307="Complemento do insumo",V1307,IF(R1307="","",IF(B1307="serviço",R1307,IF(OR(B1307="insumo"),V1307*R1307,""))))</f>
        <v/>
      </c>
      <c r="Y1307" s="236" t="str">
        <f t="shared" si="905"/>
        <v/>
      </c>
      <c r="Z1307" s="237">
        <f t="shared" ca="1" si="921"/>
        <v>34603.335906860077</v>
      </c>
      <c r="AA1307" s="238"/>
      <c r="AB1307" s="233" t="str">
        <f>IF(B1307="insumo",_xlfn.XLOOKUP(S1307,Insumos!A:A,Insumos!D:D),"")</f>
        <v/>
      </c>
      <c r="AC1307" s="239">
        <f t="shared" ca="1" si="922"/>
        <v>4.9641640215296913E-3</v>
      </c>
      <c r="AE1307" s="240">
        <f ca="1">IFERROR(IF(OR(Z1307="",Z1307=0),"",IF(AF1307="","",IF(AF1307="R$/mês",Z1307/OBRA!$D$12,IF(AF1307="R$/m²",Z1307/OBRA!$D$10,IF(AF1307="R$/apto",Orçamento!Z1307/OBRA!$D$11,""))))),"")</f>
        <v>17.807123143868754</v>
      </c>
      <c r="AF1307" s="241" t="s">
        <v>154</v>
      </c>
    </row>
    <row r="1308" spans="1:32" s="10" customFormat="1" ht="13.15" hidden="1" customHeight="1" outlineLevel="3" collapsed="1" x14ac:dyDescent="0.2">
      <c r="A1308" s="227"/>
      <c r="B1308" s="228" t="s">
        <v>3</v>
      </c>
      <c r="C1308" s="229" t="str">
        <f t="shared" si="920"/>
        <v/>
      </c>
      <c r="D1308" s="227" t="str">
        <f t="shared" ca="1" si="923"/>
        <v>13.004.001</v>
      </c>
      <c r="E1308" s="228" t="str">
        <f t="shared" ca="1" si="924"/>
        <v>13.003.004.004</v>
      </c>
      <c r="F1308" s="230">
        <f ca="1">IF($B1308="UNIDADE CONSTRUTIVA",OFFSET(F1308,-1,0)+1,LARGE(F$10:F1307,1))</f>
        <v>2</v>
      </c>
      <c r="G1308" s="228" t="str">
        <f t="shared" ref="G1308:G1344" ca="1" si="930">IF(B1308="*","",IF(B1308="UNIDADE CONSTRUTIVA",S1308,OFFSET(G1308,-1,0)))</f>
        <v xml:space="preserve">   GERENCIAMENTO EXECUTIVO</v>
      </c>
      <c r="H1308" s="230">
        <f t="shared" ca="1" si="925"/>
        <v>13</v>
      </c>
      <c r="I1308" s="228" t="str">
        <f t="shared" ref="I1308:I1344" ca="1" si="931">IF(B1308="*","",IF(B1308="CÉLULA CONSTRUTIVA",S1308,OFFSET(I1308,-1,0)))</f>
        <v xml:space="preserve">   REVESTIMENTOS INTERNOS DE PAREDE</v>
      </c>
      <c r="J1308" s="230">
        <f t="shared" ca="1" si="926"/>
        <v>4</v>
      </c>
      <c r="K1308" s="228" t="str">
        <f t="shared" ref="K1308:K1344" ca="1" si="932">IF(B1308="*","",IF(B1308="ETAPA",S1308,OFFSET(K1308,-1,0)))</f>
        <v xml:space="preserve">   REVESTIMENTOS INTERNOS DE PAREDE - 8º PAVIMENTO - COBERTURA</v>
      </c>
      <c r="L1308" s="231">
        <f t="shared" ca="1" si="927"/>
        <v>1</v>
      </c>
      <c r="M1308" s="228" t="str">
        <f t="shared" ref="M1308:M1344" ca="1" si="933">IF(B1308="*","",IF(B1308="SUBETAPA",S1308,OFFSET(M1308,-1,0)))</f>
        <v xml:space="preserve">   Reboco</v>
      </c>
      <c r="N1308" s="231">
        <f t="shared" ca="1" si="928"/>
        <v>0</v>
      </c>
      <c r="O1308" s="228" t="str">
        <f t="shared" ref="O1308:O1344" ca="1" si="934">IF(B1308="*","",IF(B1308="SERVIÇO",S1308,OFFSET(O1308,-1,0)))</f>
        <v>Mao de obra para colocacao de peitoril</v>
      </c>
      <c r="P1308" s="232" t="str">
        <f>IF(S1308="","",IF(Orçamento!$B1308="INSUMO",S1308,""))</f>
        <v/>
      </c>
      <c r="Q1308" s="244" t="str">
        <f t="shared" si="929"/>
        <v/>
      </c>
      <c r="R1308" s="234">
        <f t="shared" ref="R1308:R1344" ca="1" si="935">IF(B1308="serviço",U1308,OFFSET(R1308,-1,0))</f>
        <v>48.21</v>
      </c>
      <c r="S1308" s="233" t="s">
        <v>478</v>
      </c>
      <c r="T1308" s="242" t="s">
        <v>35</v>
      </c>
      <c r="U1308" s="235" t="str">
        <f>IF($B1308="insumo",R1308,"")</f>
        <v/>
      </c>
      <c r="V1308" s="320" t="s">
        <v>35</v>
      </c>
      <c r="W1308" s="236" t="str">
        <f>IFERROR(IF(B1308="INSUMO",_xlfn.XLOOKUP(S1308,Insumos!A:A,Insumos!C:C),""),"Inserir Preço")</f>
        <v/>
      </c>
      <c r="X1308" s="235" t="str">
        <f t="shared" ref="X1308:X1344" ca="1" si="936">IF(B1308="Complemento do insumo",V1308,IF(R1308="","",IF(B1308="serviço",R1308,IF(OR(B1308="insumo"),V1308*R1308,""))))</f>
        <v/>
      </c>
      <c r="Y1308" s="236" t="str">
        <f t="shared" si="905"/>
        <v/>
      </c>
      <c r="Z1308" s="237">
        <f t="shared" ca="1" si="921"/>
        <v>7740.9268900000006</v>
      </c>
      <c r="AA1308" s="238"/>
      <c r="AB1308" s="233" t="str">
        <f>IF(B1308="insumo",_xlfn.XLOOKUP(S1308,Insumos!A:A,Insumos!D:D),"")</f>
        <v/>
      </c>
      <c r="AC1308" s="239">
        <f t="shared" ca="1" si="922"/>
        <v>1.1105065379841477E-3</v>
      </c>
      <c r="AE1308" s="240">
        <f ca="1">IFERROR(IF(OR(Z1308="",Z1308=0),"",IF(AF1308="","",IF(AF1308="R$/mês",Z1308/OBRA!$D$12,IF(AF1308="R$/m²",Z1308/OBRA!$D$10,IF(AF1308="R$/apto",Orçamento!Z1308/OBRA!$D$11,""))))),"")</f>
        <v>3.9835361177009414</v>
      </c>
      <c r="AF1308" s="241" t="s">
        <v>154</v>
      </c>
    </row>
    <row r="1309" spans="1:32" s="10" customFormat="1" ht="13.15" hidden="1" customHeight="1" outlineLevel="4" x14ac:dyDescent="0.2">
      <c r="A1309" s="227"/>
      <c r="B1309" s="228" t="s">
        <v>4</v>
      </c>
      <c r="C1309" s="229">
        <f t="shared" si="920"/>
        <v>6</v>
      </c>
      <c r="D1309" s="227" t="str">
        <f t="shared" ca="1" si="923"/>
        <v>13.004.001.001</v>
      </c>
      <c r="E1309" s="228" t="str">
        <f t="shared" ca="1" si="924"/>
        <v>13.004.001.001</v>
      </c>
      <c r="F1309" s="230">
        <f ca="1">IF($B1309="UNIDADE CONSTRUTIVA",OFFSET(F1309,-1,0)+1,LARGE(F$10:F1308,1))</f>
        <v>2</v>
      </c>
      <c r="G1309" s="228" t="str">
        <f t="shared" ca="1" si="930"/>
        <v xml:space="preserve">   GERENCIAMENTO EXECUTIVO</v>
      </c>
      <c r="H1309" s="230">
        <f t="shared" ca="1" si="925"/>
        <v>13</v>
      </c>
      <c r="I1309" s="228" t="str">
        <f t="shared" ca="1" si="931"/>
        <v xml:space="preserve">   REVESTIMENTOS INTERNOS DE PAREDE</v>
      </c>
      <c r="J1309" s="230">
        <f t="shared" ca="1" si="926"/>
        <v>4</v>
      </c>
      <c r="K1309" s="228" t="str">
        <f t="shared" ca="1" si="932"/>
        <v xml:space="preserve">   REVESTIMENTOS INTERNOS DE PAREDE - 8º PAVIMENTO - COBERTURA</v>
      </c>
      <c r="L1309" s="231">
        <f t="shared" ca="1" si="927"/>
        <v>1</v>
      </c>
      <c r="M1309" s="228" t="str">
        <f t="shared" ca="1" si="933"/>
        <v xml:space="preserve">   Reboco</v>
      </c>
      <c r="N1309" s="231">
        <f t="shared" ca="1" si="928"/>
        <v>1</v>
      </c>
      <c r="O1309" s="228" t="str">
        <f t="shared" ca="1" si="934"/>
        <v>Chapisco aplicado em estruturas de concreto, com desempenadeira dentada, de argamassa industrializada</v>
      </c>
      <c r="P1309" s="232" t="str">
        <f>IF(S1309="","",IF(Orçamento!$B1309="INSUMO",S1309,""))</f>
        <v/>
      </c>
      <c r="Q1309" s="244" t="str">
        <f t="shared" si="929"/>
        <v>Chapisco aplicado em estruturas de concreto, com desempenadeira dentada, de argamassa industrializada</v>
      </c>
      <c r="R1309" s="234">
        <f t="shared" ca="1" si="935"/>
        <v>108.03100000000001</v>
      </c>
      <c r="S1309" s="233" t="s">
        <v>479</v>
      </c>
      <c r="T1309" s="242" t="s">
        <v>140</v>
      </c>
      <c r="U1309" s="235">
        <v>108.03100000000001</v>
      </c>
      <c r="V1309" s="320" t="s">
        <v>35</v>
      </c>
      <c r="W1309" s="236" t="str">
        <f>IFERROR(IF(B1309="INSUMO",_xlfn.XLOOKUP(S1309,Insumos!A:A,Insumos!C:C),""),"Inserir Preço")</f>
        <v/>
      </c>
      <c r="X1309" s="235">
        <f t="shared" ca="1" si="936"/>
        <v>108.03100000000001</v>
      </c>
      <c r="Y1309" s="236">
        <f t="shared" ca="1" si="905"/>
        <v>5.5020000000000007</v>
      </c>
      <c r="Z1309" s="237">
        <f t="shared" ca="1" si="921"/>
        <v>594.38656200000014</v>
      </c>
      <c r="AA1309" s="238"/>
      <c r="AB1309" s="233" t="str">
        <f>IF(B1309="insumo",_xlfn.XLOOKUP(S1309,Insumos!A:A,Insumos!D:D),"")</f>
        <v/>
      </c>
      <c r="AC1309" s="239">
        <f t="shared" ca="1" si="922"/>
        <v>8.5270171462751022E-5</v>
      </c>
      <c r="AE1309" s="240">
        <f ca="1">IFERROR(IF(OR(Z1309="",Z1309=0),"",IF(AF1309="","",IF(AF1309="R$/mês",Z1309/OBRA!$D$12,IF(AF1309="R$/m²",Z1309/OBRA!$D$10,IF(AF1309="R$/apto",Orçamento!Z1309/OBRA!$D$11,""))))),"")</f>
        <v>0.30587555873468408</v>
      </c>
      <c r="AF1309" s="241" t="s">
        <v>154</v>
      </c>
    </row>
    <row r="1310" spans="1:32" s="10" customFormat="1" ht="13.15" hidden="1" customHeight="1" outlineLevel="4" x14ac:dyDescent="0.2">
      <c r="A1310" s="227"/>
      <c r="B1310" s="228" t="s">
        <v>19</v>
      </c>
      <c r="C1310" s="229">
        <f t="shared" si="920"/>
        <v>11</v>
      </c>
      <c r="D1310" s="227" t="str">
        <f t="shared" si="923"/>
        <v/>
      </c>
      <c r="E1310" s="228" t="str">
        <f t="shared" ca="1" si="924"/>
        <v>13.004.001.001</v>
      </c>
      <c r="F1310" s="230">
        <f ca="1">IF($B1310="UNIDADE CONSTRUTIVA",OFFSET(F1310,-1,0)+1,LARGE(F$10:F1309,1))</f>
        <v>2</v>
      </c>
      <c r="G1310" s="228" t="str">
        <f t="shared" ca="1" si="930"/>
        <v xml:space="preserve">   GERENCIAMENTO EXECUTIVO</v>
      </c>
      <c r="H1310" s="230">
        <f t="shared" ca="1" si="925"/>
        <v>13</v>
      </c>
      <c r="I1310" s="228" t="str">
        <f t="shared" ca="1" si="931"/>
        <v xml:space="preserve">   REVESTIMENTOS INTERNOS DE PAREDE</v>
      </c>
      <c r="J1310" s="230">
        <f t="shared" ca="1" si="926"/>
        <v>4</v>
      </c>
      <c r="K1310" s="228" t="str">
        <f t="shared" ca="1" si="932"/>
        <v xml:space="preserve">   REVESTIMENTOS INTERNOS DE PAREDE - 8º PAVIMENTO - COBERTURA</v>
      </c>
      <c r="L1310" s="231">
        <f t="shared" ca="1" si="927"/>
        <v>1</v>
      </c>
      <c r="M1310" s="228" t="str">
        <f t="shared" ca="1" si="933"/>
        <v xml:space="preserve">   Reboco</v>
      </c>
      <c r="N1310" s="231">
        <f t="shared" ca="1" si="928"/>
        <v>1</v>
      </c>
      <c r="O1310" s="228" t="str">
        <f t="shared" ca="1" si="934"/>
        <v>Chapisco aplicado em estruturas de concreto, com desempenadeira dentada, de argamassa industrializada</v>
      </c>
      <c r="P1310" s="232" t="str">
        <f>IF(S1310="","",IF(Orçamento!$B1310="INSUMO",S1310,""))</f>
        <v>CHAPISCO COLANTE 20KG</v>
      </c>
      <c r="Q1310" s="244" t="str">
        <f t="shared" si="929"/>
        <v/>
      </c>
      <c r="R1310" s="234">
        <f t="shared" ca="1" si="935"/>
        <v>108.03100000000001</v>
      </c>
      <c r="S1310" s="233" t="s">
        <v>1027</v>
      </c>
      <c r="T1310" s="242" t="str">
        <f>_xlfn.XLOOKUP(S1310,Insumos!$A$3:$A$371,Insumos!$B$3:$B$371)</f>
        <v>KG</v>
      </c>
      <c r="U1310" s="235">
        <f ca="1">IF($B1310="insumo",R1310,"")</f>
        <v>108.03100000000001</v>
      </c>
      <c r="V1310" s="320">
        <v>4.2</v>
      </c>
      <c r="W1310" s="236">
        <f>IFERROR(IF(B1310="INSUMO",_xlfn.XLOOKUP(S1310,Insumos!A:A,Insumos!C:C),""),"Inserir Preço")</f>
        <v>1.31</v>
      </c>
      <c r="X1310" s="235">
        <f t="shared" ca="1" si="936"/>
        <v>453.73020000000002</v>
      </c>
      <c r="Y1310" s="236">
        <f t="shared" si="905"/>
        <v>5.5020000000000007</v>
      </c>
      <c r="Z1310" s="237">
        <f t="shared" ca="1" si="921"/>
        <v>594.38656200000003</v>
      </c>
      <c r="AA1310" s="238"/>
      <c r="AB1310" s="233" t="str">
        <f>IF(B1310="insumo",_xlfn.XLOOKUP(S1310,Insumos!A:A,Insumos!D:D),"")</f>
        <v xml:space="preserve"> </v>
      </c>
      <c r="AC1310" s="239">
        <f t="shared" ca="1" si="922"/>
        <v>8.5270171462751009E-5</v>
      </c>
      <c r="AE1310" s="240">
        <f ca="1">IFERROR(IF(OR(Z1310="",Z1310=0),"",IF(AF1310="","",IF(AF1310="R$/mês",Z1310/OBRA!$D$12,IF(AF1310="R$/m²",Z1310/OBRA!$D$10,IF(AF1310="R$/apto",Orçamento!Z1310/OBRA!$D$11,""))))),"")</f>
        <v>0.30587555873468403</v>
      </c>
      <c r="AF1310" s="241" t="s">
        <v>154</v>
      </c>
    </row>
    <row r="1311" spans="1:32" s="10" customFormat="1" ht="13.15" hidden="1" customHeight="1" outlineLevel="4" x14ac:dyDescent="0.2">
      <c r="A1311" s="227"/>
      <c r="B1311" s="228" t="s">
        <v>4</v>
      </c>
      <c r="C1311" s="229">
        <f t="shared" si="920"/>
        <v>5</v>
      </c>
      <c r="D1311" s="227" t="str">
        <f t="shared" ca="1" si="923"/>
        <v>13.004.001.002</v>
      </c>
      <c r="E1311" s="228" t="str">
        <f t="shared" ca="1" si="924"/>
        <v>13.004.001.002</v>
      </c>
      <c r="F1311" s="230">
        <f ca="1">IF($B1311="UNIDADE CONSTRUTIVA",OFFSET(F1311,-1,0)+1,LARGE(F$10:F1310,1))</f>
        <v>2</v>
      </c>
      <c r="G1311" s="228" t="str">
        <f t="shared" ca="1" si="930"/>
        <v xml:space="preserve">   GERENCIAMENTO EXECUTIVO</v>
      </c>
      <c r="H1311" s="230">
        <f t="shared" ca="1" si="925"/>
        <v>13</v>
      </c>
      <c r="I1311" s="228" t="str">
        <f t="shared" ca="1" si="931"/>
        <v xml:space="preserve">   REVESTIMENTOS INTERNOS DE PAREDE</v>
      </c>
      <c r="J1311" s="230">
        <f t="shared" ca="1" si="926"/>
        <v>4</v>
      </c>
      <c r="K1311" s="228" t="str">
        <f t="shared" ca="1" si="932"/>
        <v xml:space="preserve">   REVESTIMENTOS INTERNOS DE PAREDE - 8º PAVIMENTO - COBERTURA</v>
      </c>
      <c r="L1311" s="231">
        <f t="shared" ca="1" si="927"/>
        <v>1</v>
      </c>
      <c r="M1311" s="228" t="str">
        <f t="shared" ca="1" si="933"/>
        <v xml:space="preserve">   Reboco</v>
      </c>
      <c r="N1311" s="231">
        <f t="shared" ca="1" si="928"/>
        <v>2</v>
      </c>
      <c r="O1311" s="228" t="str">
        <f t="shared" ca="1" si="934"/>
        <v>Chapisco aplicado em alvenarias internas, com colher de pedreiro, de argamassa estabilizada</v>
      </c>
      <c r="P1311" s="232" t="str">
        <f>IF(S1311="","",IF(Orçamento!$B1311="INSUMO",S1311,""))</f>
        <v/>
      </c>
      <c r="Q1311" s="244" t="str">
        <f t="shared" si="929"/>
        <v>Chapisco aplicado em alvenarias internas, com colher de pedreiro, de argamassa estabilizada</v>
      </c>
      <c r="R1311" s="234">
        <f t="shared" ca="1" si="935"/>
        <v>203.57</v>
      </c>
      <c r="S1311" s="233" t="s">
        <v>480</v>
      </c>
      <c r="T1311" s="242" t="s">
        <v>140</v>
      </c>
      <c r="U1311" s="235">
        <v>203.57</v>
      </c>
      <c r="V1311" s="320" t="s">
        <v>35</v>
      </c>
      <c r="W1311" s="236" t="str">
        <f>IFERROR(IF(B1311="INSUMO",_xlfn.XLOOKUP(S1311,Insumos!A:A,Insumos!C:C),""),"Inserir Preço")</f>
        <v/>
      </c>
      <c r="X1311" s="235">
        <f t="shared" ca="1" si="936"/>
        <v>203.57</v>
      </c>
      <c r="Y1311" s="236">
        <f t="shared" ca="1" si="905"/>
        <v>7.93</v>
      </c>
      <c r="Z1311" s="237">
        <f t="shared" ca="1" si="921"/>
        <v>1614.3100999999999</v>
      </c>
      <c r="AA1311" s="238"/>
      <c r="AB1311" s="233" t="str">
        <f>IF(B1311="insumo",_xlfn.XLOOKUP(S1311,Insumos!A:A,Insumos!D:D),"")</f>
        <v/>
      </c>
      <c r="AC1311" s="239">
        <f t="shared" ca="1" si="922"/>
        <v>2.3158750184034397E-4</v>
      </c>
      <c r="AE1311" s="240">
        <f ca="1">IFERROR(IF(OR(Z1311="",Z1311=0),"",IF(AF1311="","",IF(AF1311="R$/mês",Z1311/OBRA!$D$12,IF(AF1311="R$/m²",Z1311/OBRA!$D$10,IF(AF1311="R$/apto",Orçamento!Z1311/OBRA!$D$11,""))))),"")</f>
        <v>0.83073547650046564</v>
      </c>
      <c r="AF1311" s="241" t="s">
        <v>154</v>
      </c>
    </row>
    <row r="1312" spans="1:32" s="10" customFormat="1" ht="13.15" hidden="1" customHeight="1" outlineLevel="4" x14ac:dyDescent="0.2">
      <c r="A1312" s="227"/>
      <c r="B1312" s="228" t="s">
        <v>19</v>
      </c>
      <c r="C1312" s="229">
        <f t="shared" si="920"/>
        <v>6</v>
      </c>
      <c r="D1312" s="227" t="str">
        <f t="shared" si="923"/>
        <v/>
      </c>
      <c r="E1312" s="228" t="str">
        <f t="shared" ca="1" si="924"/>
        <v>13.004.001.002</v>
      </c>
      <c r="F1312" s="230">
        <f ca="1">IF($B1312="UNIDADE CONSTRUTIVA",OFFSET(F1312,-1,0)+1,LARGE(F$10:F1311,1))</f>
        <v>2</v>
      </c>
      <c r="G1312" s="228" t="str">
        <f t="shared" ca="1" si="930"/>
        <v xml:space="preserve">   GERENCIAMENTO EXECUTIVO</v>
      </c>
      <c r="H1312" s="230">
        <f t="shared" ca="1" si="925"/>
        <v>13</v>
      </c>
      <c r="I1312" s="228" t="str">
        <f t="shared" ca="1" si="931"/>
        <v xml:space="preserve">   REVESTIMENTOS INTERNOS DE PAREDE</v>
      </c>
      <c r="J1312" s="230">
        <f t="shared" ca="1" si="926"/>
        <v>4</v>
      </c>
      <c r="K1312" s="228" t="str">
        <f t="shared" ca="1" si="932"/>
        <v xml:space="preserve">   REVESTIMENTOS INTERNOS DE PAREDE - 8º PAVIMENTO - COBERTURA</v>
      </c>
      <c r="L1312" s="231">
        <f t="shared" ca="1" si="927"/>
        <v>1</v>
      </c>
      <c r="M1312" s="228" t="str">
        <f t="shared" ca="1" si="933"/>
        <v xml:space="preserve">   Reboco</v>
      </c>
      <c r="N1312" s="231">
        <f t="shared" ca="1" si="928"/>
        <v>2</v>
      </c>
      <c r="O1312" s="228" t="str">
        <f t="shared" ca="1" si="934"/>
        <v>Chapisco aplicado em alvenarias internas, com colher de pedreiro, de argamassa estabilizada</v>
      </c>
      <c r="P1312" s="232" t="str">
        <f>IF(S1312="","",IF(Orçamento!$B1312="INSUMO",S1312,""))</f>
        <v>ARGAMASSA ESTABILIZADA PARA CHAPISCO</v>
      </c>
      <c r="Q1312" s="244" t="str">
        <f t="shared" si="929"/>
        <v/>
      </c>
      <c r="R1312" s="234">
        <f t="shared" ca="1" si="935"/>
        <v>203.57</v>
      </c>
      <c r="S1312" s="233" t="s">
        <v>328</v>
      </c>
      <c r="T1312" s="242" t="str">
        <f>_xlfn.XLOOKUP(S1312,Insumos!$A$3:$A$371,Insumos!$B$3:$B$371)</f>
        <v>M3</v>
      </c>
      <c r="U1312" s="235">
        <f ca="1">IF($B1312="insumo",R1312,"")</f>
        <v>203.57</v>
      </c>
      <c r="V1312" s="320">
        <v>1.888095238095238E-2</v>
      </c>
      <c r="W1312" s="236">
        <f>IFERROR(IF(B1312="INSUMO",_xlfn.XLOOKUP(S1312,Insumos!A:A,Insumos!C:C),""),"Inserir Preço")</f>
        <v>420</v>
      </c>
      <c r="X1312" s="235">
        <f t="shared" ca="1" si="936"/>
        <v>3.843595476190476</v>
      </c>
      <c r="Y1312" s="236">
        <f t="shared" si="905"/>
        <v>7.93</v>
      </c>
      <c r="Z1312" s="237">
        <f t="shared" ca="1" si="921"/>
        <v>1614.3100999999999</v>
      </c>
      <c r="AA1312" s="238"/>
      <c r="AB1312" s="233" t="str">
        <f>IF(B1312="insumo",_xlfn.XLOOKUP(S1312,Insumos!A:A,Insumos!D:D),"")</f>
        <v xml:space="preserve"> </v>
      </c>
      <c r="AC1312" s="239">
        <f t="shared" ca="1" si="922"/>
        <v>2.3158750184034397E-4</v>
      </c>
      <c r="AE1312" s="240">
        <f ca="1">IFERROR(IF(OR(Z1312="",Z1312=0),"",IF(AF1312="","",IF(AF1312="R$/mês",Z1312/OBRA!$D$12,IF(AF1312="R$/m²",Z1312/OBRA!$D$10,IF(AF1312="R$/apto",Orçamento!Z1312/OBRA!$D$11,""))))),"")</f>
        <v>0.83073547650046564</v>
      </c>
      <c r="AF1312" s="241" t="s">
        <v>154</v>
      </c>
    </row>
    <row r="1313" spans="1:32" s="10" customFormat="1" ht="13.15" hidden="1" customHeight="1" outlineLevel="4" x14ac:dyDescent="0.2">
      <c r="A1313" s="227"/>
      <c r="B1313" s="228" t="s">
        <v>4</v>
      </c>
      <c r="C1313" s="229">
        <f t="shared" si="920"/>
        <v>5</v>
      </c>
      <c r="D1313" s="227" t="str">
        <f t="shared" ca="1" si="923"/>
        <v>13.004.001.003</v>
      </c>
      <c r="E1313" s="228" t="str">
        <f t="shared" ca="1" si="924"/>
        <v>13.004.001.003</v>
      </c>
      <c r="F1313" s="230">
        <f ca="1">IF($B1313="UNIDADE CONSTRUTIVA",OFFSET(F1313,-1,0)+1,LARGE(F$10:F1312,1))</f>
        <v>2</v>
      </c>
      <c r="G1313" s="228" t="str">
        <f t="shared" ca="1" si="930"/>
        <v xml:space="preserve">   GERENCIAMENTO EXECUTIVO</v>
      </c>
      <c r="H1313" s="230">
        <f t="shared" ca="1" si="925"/>
        <v>13</v>
      </c>
      <c r="I1313" s="228" t="str">
        <f t="shared" ca="1" si="931"/>
        <v xml:space="preserve">   REVESTIMENTOS INTERNOS DE PAREDE</v>
      </c>
      <c r="J1313" s="230">
        <f t="shared" ca="1" si="926"/>
        <v>4</v>
      </c>
      <c r="K1313" s="228" t="str">
        <f t="shared" ca="1" si="932"/>
        <v xml:space="preserve">   REVESTIMENTOS INTERNOS DE PAREDE - 8º PAVIMENTO - COBERTURA</v>
      </c>
      <c r="L1313" s="231">
        <f t="shared" ca="1" si="927"/>
        <v>1</v>
      </c>
      <c r="M1313" s="228" t="str">
        <f t="shared" ca="1" si="933"/>
        <v xml:space="preserve">   Reboco</v>
      </c>
      <c r="N1313" s="231">
        <f t="shared" ca="1" si="928"/>
        <v>3</v>
      </c>
      <c r="O1313" s="228" t="str">
        <f t="shared" ca="1" si="934"/>
        <v>Massa unica para reboco interno em argamassa estabilizada, espessura de 20mm, com execucao de taliscas</v>
      </c>
      <c r="P1313" s="232" t="str">
        <f>IF(S1313="","",IF(Orçamento!$B1313="INSUMO",S1313,""))</f>
        <v/>
      </c>
      <c r="Q1313" s="244" t="str">
        <f t="shared" si="929"/>
        <v>Massa unica para reboco interno em argamassa estabilizada, espessura de 20mm, com execucao de taliscas</v>
      </c>
      <c r="R1313" s="234">
        <f t="shared" ca="1" si="935"/>
        <v>283.59100000000001</v>
      </c>
      <c r="S1313" s="233" t="s">
        <v>481</v>
      </c>
      <c r="T1313" s="242" t="s">
        <v>140</v>
      </c>
      <c r="U1313" s="235">
        <v>283.59100000000001</v>
      </c>
      <c r="V1313" s="320" t="s">
        <v>35</v>
      </c>
      <c r="W1313" s="236" t="str">
        <f>IFERROR(IF(B1313="INSUMO",_xlfn.XLOOKUP(S1313,Insumos!A:A,Insumos!C:C),""),"Inserir Preço")</f>
        <v/>
      </c>
      <c r="X1313" s="235">
        <f t="shared" ca="1" si="936"/>
        <v>283.59100000000001</v>
      </c>
      <c r="Y1313" s="236">
        <f t="shared" ca="1" si="905"/>
        <v>19.008000000000003</v>
      </c>
      <c r="Z1313" s="237">
        <f t="shared" ca="1" si="921"/>
        <v>5390.4977280000012</v>
      </c>
      <c r="AA1313" s="238"/>
      <c r="AB1313" s="233" t="str">
        <f>IF(B1313="insumo",_xlfn.XLOOKUP(S1313,Insumos!A:A,Insumos!D:D),"")</f>
        <v/>
      </c>
      <c r="AC1313" s="239">
        <f t="shared" ca="1" si="922"/>
        <v>7.733160453518628E-4</v>
      </c>
      <c r="AE1313" s="240">
        <f ca="1">IFERROR(IF(OR(Z1313="",Z1313=0),"",IF(AF1313="","",IF(AF1313="R$/mês",Z1313/OBRA!$D$12,IF(AF1313="R$/m²",Z1313/OBRA!$D$10,IF(AF1313="R$/apto",Orçamento!Z1313/OBRA!$D$11,""))))),"")</f>
        <v>2.7739885283780104</v>
      </c>
      <c r="AF1313" s="241" t="s">
        <v>154</v>
      </c>
    </row>
    <row r="1314" spans="1:32" s="10" customFormat="1" ht="13.15" hidden="1" customHeight="1" outlineLevel="4" x14ac:dyDescent="0.2">
      <c r="A1314" s="227"/>
      <c r="B1314" s="228" t="s">
        <v>19</v>
      </c>
      <c r="C1314" s="229">
        <f t="shared" si="920"/>
        <v>11</v>
      </c>
      <c r="D1314" s="227" t="str">
        <f t="shared" si="923"/>
        <v/>
      </c>
      <c r="E1314" s="228" t="str">
        <f t="shared" ca="1" si="924"/>
        <v>13.004.001.003</v>
      </c>
      <c r="F1314" s="230">
        <f ca="1">IF($B1314="UNIDADE CONSTRUTIVA",OFFSET(F1314,-1,0)+1,LARGE(F$10:F1313,1))</f>
        <v>2</v>
      </c>
      <c r="G1314" s="228" t="str">
        <f t="shared" ca="1" si="930"/>
        <v xml:space="preserve">   GERENCIAMENTO EXECUTIVO</v>
      </c>
      <c r="H1314" s="230">
        <f t="shared" ca="1" si="925"/>
        <v>13</v>
      </c>
      <c r="I1314" s="228" t="str">
        <f t="shared" ca="1" si="931"/>
        <v xml:space="preserve">   REVESTIMENTOS INTERNOS DE PAREDE</v>
      </c>
      <c r="J1314" s="230">
        <f t="shared" ca="1" si="926"/>
        <v>4</v>
      </c>
      <c r="K1314" s="228" t="str">
        <f t="shared" ca="1" si="932"/>
        <v xml:space="preserve">   REVESTIMENTOS INTERNOS DE PAREDE - 8º PAVIMENTO - COBERTURA</v>
      </c>
      <c r="L1314" s="231">
        <f t="shared" ca="1" si="927"/>
        <v>1</v>
      </c>
      <c r="M1314" s="228" t="str">
        <f t="shared" ca="1" si="933"/>
        <v xml:space="preserve">   Reboco</v>
      </c>
      <c r="N1314" s="231">
        <f t="shared" ca="1" si="928"/>
        <v>3</v>
      </c>
      <c r="O1314" s="228" t="str">
        <f t="shared" ca="1" si="934"/>
        <v>Massa unica para reboco interno em argamassa estabilizada, espessura de 20mm, com execucao de taliscas</v>
      </c>
      <c r="P1314" s="232" t="str">
        <f>IF(S1314="","",IF(Orçamento!$B1314="INSUMO",S1314,""))</f>
        <v>ARGAMASSA ESTABILIZADA PARA REBOCO</v>
      </c>
      <c r="Q1314" s="244" t="str">
        <f t="shared" si="929"/>
        <v/>
      </c>
      <c r="R1314" s="234">
        <f t="shared" ca="1" si="935"/>
        <v>283.59100000000001</v>
      </c>
      <c r="S1314" s="233" t="s">
        <v>256</v>
      </c>
      <c r="T1314" s="242" t="str">
        <f>_xlfn.XLOOKUP(S1314,Insumos!$A$3:$A$371,Insumos!$B$3:$B$371)</f>
        <v>M3</v>
      </c>
      <c r="U1314" s="235">
        <f ca="1">IF($B1314="insumo",R1314,"")</f>
        <v>283.59100000000001</v>
      </c>
      <c r="V1314" s="320">
        <v>3.9600000000000003E-2</v>
      </c>
      <c r="W1314" s="236">
        <f>IFERROR(IF(B1314="INSUMO",_xlfn.XLOOKUP(S1314,Insumos!A:A,Insumos!C:C),""),"Inserir Preço")</f>
        <v>480</v>
      </c>
      <c r="X1314" s="235">
        <f t="shared" ca="1" si="936"/>
        <v>11.230203600000001</v>
      </c>
      <c r="Y1314" s="236">
        <f t="shared" si="905"/>
        <v>19.008000000000003</v>
      </c>
      <c r="Z1314" s="237">
        <f t="shared" ca="1" si="921"/>
        <v>5390.4977280000003</v>
      </c>
      <c r="AA1314" s="238"/>
      <c r="AB1314" s="233" t="str">
        <f>IF(B1314="insumo",_xlfn.XLOOKUP(S1314,Insumos!A:A,Insumos!D:D),"")</f>
        <v xml:space="preserve"> </v>
      </c>
      <c r="AC1314" s="239">
        <f t="shared" ca="1" si="922"/>
        <v>7.7331604535186269E-4</v>
      </c>
      <c r="AE1314" s="240">
        <f ca="1">IFERROR(IF(OR(Z1314="",Z1314=0),"",IF(AF1314="","",IF(AF1314="R$/mês",Z1314/OBRA!$D$12,IF(AF1314="R$/m²",Z1314/OBRA!$D$10,IF(AF1314="R$/apto",Orçamento!Z1314/OBRA!$D$11,""))))),"")</f>
        <v>2.7739885283780099</v>
      </c>
      <c r="AF1314" s="241" t="s">
        <v>154</v>
      </c>
    </row>
    <row r="1315" spans="1:32" s="10" customFormat="1" ht="13.15" hidden="1" customHeight="1" outlineLevel="4" x14ac:dyDescent="0.2">
      <c r="A1315" s="227"/>
      <c r="B1315" s="228" t="s">
        <v>4</v>
      </c>
      <c r="C1315" s="229">
        <f t="shared" si="920"/>
        <v>5</v>
      </c>
      <c r="D1315" s="227" t="str">
        <f t="shared" ca="1" si="923"/>
        <v>13.004.001.004</v>
      </c>
      <c r="E1315" s="228" t="str">
        <f t="shared" ca="1" si="924"/>
        <v>13.004.001.004</v>
      </c>
      <c r="F1315" s="230">
        <f ca="1">IF($B1315="UNIDADE CONSTRUTIVA",OFFSET(F1315,-1,0)+1,LARGE(F$10:F1314,1))</f>
        <v>2</v>
      </c>
      <c r="G1315" s="228" t="str">
        <f t="shared" ca="1" si="930"/>
        <v xml:space="preserve">   GERENCIAMENTO EXECUTIVO</v>
      </c>
      <c r="H1315" s="230">
        <f t="shared" ca="1" si="925"/>
        <v>13</v>
      </c>
      <c r="I1315" s="228" t="str">
        <f t="shared" ca="1" si="931"/>
        <v xml:space="preserve">   REVESTIMENTOS INTERNOS DE PAREDE</v>
      </c>
      <c r="J1315" s="230">
        <f t="shared" ca="1" si="926"/>
        <v>4</v>
      </c>
      <c r="K1315" s="228" t="str">
        <f t="shared" ca="1" si="932"/>
        <v xml:space="preserve">   REVESTIMENTOS INTERNOS DE PAREDE - 8º PAVIMENTO - COBERTURA</v>
      </c>
      <c r="L1315" s="231">
        <f t="shared" ca="1" si="927"/>
        <v>1</v>
      </c>
      <c r="M1315" s="228" t="str">
        <f t="shared" ca="1" si="933"/>
        <v xml:space="preserve">   Reboco</v>
      </c>
      <c r="N1315" s="231">
        <f t="shared" ca="1" si="928"/>
        <v>4</v>
      </c>
      <c r="O1315" s="228" t="str">
        <f t="shared" ca="1" si="934"/>
        <v>Estucamento de estrutura de concreto em pilares e vigas</v>
      </c>
      <c r="P1315" s="232" t="str">
        <f>IF(S1315="","",IF(Orçamento!$B1315="INSUMO",S1315,""))</f>
        <v/>
      </c>
      <c r="Q1315" s="244" t="str">
        <f t="shared" si="929"/>
        <v>Estucamento de estrutura de concreto em pilares e vigas</v>
      </c>
      <c r="R1315" s="234">
        <f t="shared" ca="1" si="935"/>
        <v>35</v>
      </c>
      <c r="S1315" s="233" t="s">
        <v>482</v>
      </c>
      <c r="T1315" s="242" t="s">
        <v>140</v>
      </c>
      <c r="U1315" s="235">
        <v>35</v>
      </c>
      <c r="V1315" s="320" t="s">
        <v>35</v>
      </c>
      <c r="W1315" s="236" t="str">
        <f>IFERROR(IF(B1315="INSUMO",_xlfn.XLOOKUP(S1315,Insumos!A:A,Insumos!C:C),""),"Inserir Preço")</f>
        <v/>
      </c>
      <c r="X1315" s="235">
        <f t="shared" ca="1" si="936"/>
        <v>35</v>
      </c>
      <c r="Y1315" s="236">
        <f t="shared" ca="1" si="905"/>
        <v>4.0495000000000001</v>
      </c>
      <c r="Z1315" s="237">
        <f t="shared" ca="1" si="921"/>
        <v>141.73250000000002</v>
      </c>
      <c r="AA1315" s="238"/>
      <c r="AB1315" s="233" t="str">
        <f>IF(B1315="insumo",_xlfn.XLOOKUP(S1315,Insumos!A:A,Insumos!D:D),"")</f>
        <v/>
      </c>
      <c r="AC1315" s="239">
        <f t="shared" ca="1" si="922"/>
        <v>2.0332819329189948E-5</v>
      </c>
      <c r="AE1315" s="240">
        <f ca="1">IFERROR(IF(OR(Z1315="",Z1315=0),"",IF(AF1315="","",IF(AF1315="R$/mês",Z1315/OBRA!$D$12,IF(AF1315="R$/m²",Z1315/OBRA!$D$10,IF(AF1315="R$/apto",Orçamento!Z1315/OBRA!$D$11,""))))),"")</f>
        <v>7.2936554087781685E-2</v>
      </c>
      <c r="AF1315" s="241" t="s">
        <v>154</v>
      </c>
    </row>
    <row r="1316" spans="1:32" s="10" customFormat="1" ht="13.15" hidden="1" customHeight="1" outlineLevel="4" x14ac:dyDescent="0.2">
      <c r="A1316" s="227"/>
      <c r="B1316" s="228" t="s">
        <v>19</v>
      </c>
      <c r="C1316" s="229">
        <f t="shared" si="920"/>
        <v>13</v>
      </c>
      <c r="D1316" s="227" t="str">
        <f t="shared" si="923"/>
        <v/>
      </c>
      <c r="E1316" s="228" t="str">
        <f t="shared" ca="1" si="924"/>
        <v>13.004.001.004</v>
      </c>
      <c r="F1316" s="230">
        <f ca="1">IF($B1316="UNIDADE CONSTRUTIVA",OFFSET(F1316,-1,0)+1,LARGE(F$10:F1315,1))</f>
        <v>2</v>
      </c>
      <c r="G1316" s="228" t="str">
        <f t="shared" ca="1" si="930"/>
        <v xml:space="preserve">   GERENCIAMENTO EXECUTIVO</v>
      </c>
      <c r="H1316" s="230">
        <f t="shared" ca="1" si="925"/>
        <v>13</v>
      </c>
      <c r="I1316" s="228" t="str">
        <f t="shared" ca="1" si="931"/>
        <v xml:space="preserve">   REVESTIMENTOS INTERNOS DE PAREDE</v>
      </c>
      <c r="J1316" s="230">
        <f t="shared" ca="1" si="926"/>
        <v>4</v>
      </c>
      <c r="K1316" s="228" t="str">
        <f t="shared" ca="1" si="932"/>
        <v xml:space="preserve">   REVESTIMENTOS INTERNOS DE PAREDE - 8º PAVIMENTO - COBERTURA</v>
      </c>
      <c r="L1316" s="231">
        <f t="shared" ca="1" si="927"/>
        <v>1</v>
      </c>
      <c r="M1316" s="228" t="str">
        <f t="shared" ca="1" si="933"/>
        <v xml:space="preserve">   Reboco</v>
      </c>
      <c r="N1316" s="231">
        <f t="shared" ca="1" si="928"/>
        <v>4</v>
      </c>
      <c r="O1316" s="228" t="str">
        <f t="shared" ca="1" si="934"/>
        <v>Estucamento de estrutura de concreto em pilares e vigas</v>
      </c>
      <c r="P1316" s="232" t="str">
        <f>IF(S1316="","",IF(Orçamento!$B1316="INSUMO",S1316,""))</f>
        <v>CIMENTO PORTLAND CP II 32 - Z</v>
      </c>
      <c r="Q1316" s="244" t="str">
        <f t="shared" si="929"/>
        <v/>
      </c>
      <c r="R1316" s="234">
        <f t="shared" ca="1" si="935"/>
        <v>35</v>
      </c>
      <c r="S1316" s="233" t="s">
        <v>343</v>
      </c>
      <c r="T1316" s="242" t="str">
        <f>_xlfn.XLOOKUP(S1316,Insumos!$A$3:$A$371,Insumos!$B$3:$B$371)</f>
        <v>KG</v>
      </c>
      <c r="U1316" s="235">
        <f ca="1">IF($B1316="insumo",R1316,"")</f>
        <v>35</v>
      </c>
      <c r="V1316" s="320">
        <v>0.6</v>
      </c>
      <c r="W1316" s="236">
        <f>IFERROR(IF(B1316="INSUMO",_xlfn.XLOOKUP(S1316,Insumos!A:A,Insumos!C:C),""),"Inserir Preço")</f>
        <v>0.74</v>
      </c>
      <c r="X1316" s="235">
        <f t="shared" ca="1" si="936"/>
        <v>21</v>
      </c>
      <c r="Y1316" s="236">
        <f t="shared" si="905"/>
        <v>0.44400000000000001</v>
      </c>
      <c r="Z1316" s="237">
        <f t="shared" ca="1" si="921"/>
        <v>15.54</v>
      </c>
      <c r="AA1316" s="238"/>
      <c r="AB1316" s="233" t="str">
        <f>IF(B1316="insumo",_xlfn.XLOOKUP(S1316,Insumos!A:A,Insumos!D:D),"")</f>
        <v xml:space="preserve"> </v>
      </c>
      <c r="AC1316" s="239">
        <f t="shared" ca="1" si="922"/>
        <v>2.2293546813582751E-6</v>
      </c>
      <c r="AE1316" s="240">
        <f ca="1">IFERROR(IF(OR(Z1316="",Z1316=0),"",IF(AF1316="","",IF(AF1316="R$/mês",Z1316/OBRA!$D$12,IF(AF1316="R$/m²",Z1316/OBRA!$D$10,IF(AF1316="R$/apto",Orçamento!Z1316/OBRA!$D$11,""))))),"")</f>
        <v>7.9969946944005599E-3</v>
      </c>
      <c r="AF1316" s="241" t="s">
        <v>154</v>
      </c>
    </row>
    <row r="1317" spans="1:32" s="10" customFormat="1" ht="13.15" hidden="1" customHeight="1" outlineLevel="4" x14ac:dyDescent="0.2">
      <c r="A1317" s="227"/>
      <c r="B1317" s="228" t="s">
        <v>19</v>
      </c>
      <c r="C1317" s="229">
        <f t="shared" si="920"/>
        <v>7</v>
      </c>
      <c r="D1317" s="227" t="str">
        <f t="shared" si="923"/>
        <v/>
      </c>
      <c r="E1317" s="228" t="str">
        <f t="shared" ca="1" si="924"/>
        <v>13.004.001.004</v>
      </c>
      <c r="F1317" s="230">
        <f ca="1">IF($B1317="UNIDADE CONSTRUTIVA",OFFSET(F1317,-1,0)+1,LARGE(F$10:F1316,1))</f>
        <v>2</v>
      </c>
      <c r="G1317" s="228" t="str">
        <f t="shared" ca="1" si="930"/>
        <v xml:space="preserve">   GERENCIAMENTO EXECUTIVO</v>
      </c>
      <c r="H1317" s="230">
        <f t="shared" ca="1" si="925"/>
        <v>13</v>
      </c>
      <c r="I1317" s="228" t="str">
        <f t="shared" ca="1" si="931"/>
        <v xml:space="preserve">   REVESTIMENTOS INTERNOS DE PAREDE</v>
      </c>
      <c r="J1317" s="230">
        <f t="shared" ca="1" si="926"/>
        <v>4</v>
      </c>
      <c r="K1317" s="228" t="str">
        <f t="shared" ca="1" si="932"/>
        <v xml:space="preserve">   REVESTIMENTOS INTERNOS DE PAREDE - 8º PAVIMENTO - COBERTURA</v>
      </c>
      <c r="L1317" s="231">
        <f t="shared" ca="1" si="927"/>
        <v>1</v>
      </c>
      <c r="M1317" s="228" t="str">
        <f t="shared" ca="1" si="933"/>
        <v xml:space="preserve">   Reboco</v>
      </c>
      <c r="N1317" s="231">
        <f t="shared" ca="1" si="928"/>
        <v>4</v>
      </c>
      <c r="O1317" s="228" t="str">
        <f t="shared" ca="1" si="934"/>
        <v>Estucamento de estrutura de concreto em pilares e vigas</v>
      </c>
      <c r="P1317" s="232" t="str">
        <f>IF(S1317="","",IF(Orçamento!$B1317="INSUMO",S1317,""))</f>
        <v>CIMENTO BRANCO</v>
      </c>
      <c r="Q1317" s="244" t="str">
        <f t="shared" si="929"/>
        <v/>
      </c>
      <c r="R1317" s="234">
        <f t="shared" ca="1" si="935"/>
        <v>35</v>
      </c>
      <c r="S1317" s="233" t="s">
        <v>379</v>
      </c>
      <c r="T1317" s="242" t="str">
        <f>_xlfn.XLOOKUP(S1317,Insumos!$A$3:$A$371,Insumos!$B$3:$B$371)</f>
        <v>KG</v>
      </c>
      <c r="U1317" s="235">
        <f ca="1">IF($B1317="insumo",R1317,"")</f>
        <v>35</v>
      </c>
      <c r="V1317" s="320">
        <v>0.3</v>
      </c>
      <c r="W1317" s="236">
        <f>IFERROR(IF(B1317="INSUMO",_xlfn.XLOOKUP(S1317,Insumos!A:A,Insumos!C:C),""),"Inserir Preço")</f>
        <v>2.64</v>
      </c>
      <c r="X1317" s="235">
        <f t="shared" ca="1" si="936"/>
        <v>10.5</v>
      </c>
      <c r="Y1317" s="236">
        <f t="shared" si="905"/>
        <v>0.79200000000000004</v>
      </c>
      <c r="Z1317" s="237">
        <f t="shared" ca="1" si="921"/>
        <v>27.720000000000002</v>
      </c>
      <c r="AA1317" s="238"/>
      <c r="AB1317" s="233" t="str">
        <f>IF(B1317="insumo",_xlfn.XLOOKUP(S1317,Insumos!A:A,Insumos!D:D),"")</f>
        <v xml:space="preserve"> </v>
      </c>
      <c r="AC1317" s="239">
        <f t="shared" ca="1" si="922"/>
        <v>3.9766867289093556E-6</v>
      </c>
      <c r="AE1317" s="240">
        <f ca="1">IFERROR(IF(OR(Z1317="",Z1317=0),"",IF(AF1317="","",IF(AF1317="R$/mês",Z1317/OBRA!$D$12,IF(AF1317="R$/m²",Z1317/OBRA!$D$10,IF(AF1317="R$/apto",Orçamento!Z1317/OBRA!$D$11,""))))),"")</f>
        <v>1.4264909454876675E-2</v>
      </c>
      <c r="AF1317" s="241" t="s">
        <v>154</v>
      </c>
    </row>
    <row r="1318" spans="1:32" s="10" customFormat="1" ht="13.15" hidden="1" customHeight="1" outlineLevel="4" x14ac:dyDescent="0.2">
      <c r="A1318" s="227"/>
      <c r="B1318" s="228" t="s">
        <v>19</v>
      </c>
      <c r="C1318" s="229">
        <f t="shared" si="920"/>
        <v>19</v>
      </c>
      <c r="D1318" s="227" t="str">
        <f t="shared" si="923"/>
        <v/>
      </c>
      <c r="E1318" s="228" t="str">
        <f t="shared" ca="1" si="924"/>
        <v>13.004.001.004</v>
      </c>
      <c r="F1318" s="230">
        <f ca="1">IF($B1318="UNIDADE CONSTRUTIVA",OFFSET(F1318,-1,0)+1,LARGE(F$10:F1317,1))</f>
        <v>2</v>
      </c>
      <c r="G1318" s="228" t="str">
        <f t="shared" ca="1" si="930"/>
        <v xml:space="preserve">   GERENCIAMENTO EXECUTIVO</v>
      </c>
      <c r="H1318" s="230">
        <f t="shared" ca="1" si="925"/>
        <v>13</v>
      </c>
      <c r="I1318" s="228" t="str">
        <f t="shared" ca="1" si="931"/>
        <v xml:space="preserve">   REVESTIMENTOS INTERNOS DE PAREDE</v>
      </c>
      <c r="J1318" s="230">
        <f t="shared" ca="1" si="926"/>
        <v>4</v>
      </c>
      <c r="K1318" s="228" t="str">
        <f t="shared" ca="1" si="932"/>
        <v xml:space="preserve">   REVESTIMENTOS INTERNOS DE PAREDE - 8º PAVIMENTO - COBERTURA</v>
      </c>
      <c r="L1318" s="231">
        <f t="shared" ca="1" si="927"/>
        <v>1</v>
      </c>
      <c r="M1318" s="228" t="str">
        <f t="shared" ca="1" si="933"/>
        <v xml:space="preserve">   Reboco</v>
      </c>
      <c r="N1318" s="231">
        <f t="shared" ca="1" si="928"/>
        <v>4</v>
      </c>
      <c r="O1318" s="228" t="str">
        <f t="shared" ca="1" si="934"/>
        <v>Estucamento de estrutura de concreto em pilares e vigas</v>
      </c>
      <c r="P1318" s="232" t="str">
        <f>IF(S1318="","",IF(Orçamento!$B1318="INSUMO",S1318,""))</f>
        <v>LIXA EM FOLHA PARA PAREDE OU MADEIRA N° 120</v>
      </c>
      <c r="Q1318" s="244" t="str">
        <f t="shared" si="929"/>
        <v/>
      </c>
      <c r="R1318" s="234">
        <f t="shared" ca="1" si="935"/>
        <v>35</v>
      </c>
      <c r="S1318" s="233" t="s">
        <v>922</v>
      </c>
      <c r="T1318" s="242" t="str">
        <f>_xlfn.XLOOKUP(S1318,Insumos!$A$3:$A$371,Insumos!$B$3:$B$371)</f>
        <v>UN</v>
      </c>
      <c r="U1318" s="235">
        <f ca="1">IF($B1318="insumo",R1318,"")</f>
        <v>35</v>
      </c>
      <c r="V1318" s="320">
        <v>0.05</v>
      </c>
      <c r="W1318" s="236">
        <f>IFERROR(IF(B1318="INSUMO",_xlfn.XLOOKUP(S1318,Insumos!A:A,Insumos!C:C),""),"Inserir Preço")</f>
        <v>2.2999999999999998</v>
      </c>
      <c r="X1318" s="235">
        <f t="shared" ca="1" si="936"/>
        <v>1.75</v>
      </c>
      <c r="Y1318" s="236">
        <f t="shared" si="905"/>
        <v>0.11499999999999999</v>
      </c>
      <c r="Z1318" s="237">
        <f t="shared" ca="1" si="921"/>
        <v>4.0249999999999995</v>
      </c>
      <c r="AA1318" s="238"/>
      <c r="AB1318" s="233" t="str">
        <f>IF(B1318="insumo",_xlfn.XLOOKUP(S1318,Insumos!A:A,Insumos!D:D),"")</f>
        <v xml:space="preserve"> </v>
      </c>
      <c r="AC1318" s="239">
        <f t="shared" ca="1" si="922"/>
        <v>5.7742294674820187E-7</v>
      </c>
      <c r="AE1318" s="240">
        <f ca="1">IFERROR(IF(OR(Z1318="",Z1318=0),"",IF(AF1318="","",IF(AF1318="R$/mês",Z1318/OBRA!$D$12,IF(AF1318="R$/m²",Z1318/OBRA!$D$10,IF(AF1318="R$/apto",Orçamento!Z1318/OBRA!$D$11,""))))),"")</f>
        <v>2.0712936708469918E-3</v>
      </c>
      <c r="AF1318" s="241" t="s">
        <v>154</v>
      </c>
    </row>
    <row r="1319" spans="1:32" s="10" customFormat="1" ht="13.15" hidden="1" customHeight="1" outlineLevel="4" x14ac:dyDescent="0.2">
      <c r="A1319" s="227"/>
      <c r="B1319" s="228" t="s">
        <v>19</v>
      </c>
      <c r="C1319" s="229">
        <f t="shared" si="920"/>
        <v>7</v>
      </c>
      <c r="D1319" s="227" t="str">
        <f t="shared" si="923"/>
        <v/>
      </c>
      <c r="E1319" s="228" t="str">
        <f t="shared" ca="1" si="924"/>
        <v>13.004.001.004</v>
      </c>
      <c r="F1319" s="230">
        <f ca="1">IF($B1319="UNIDADE CONSTRUTIVA",OFFSET(F1319,-1,0)+1,LARGE(F$10:F1318,1))</f>
        <v>2</v>
      </c>
      <c r="G1319" s="228" t="str">
        <f t="shared" ca="1" si="930"/>
        <v xml:space="preserve">   GERENCIAMENTO EXECUTIVO</v>
      </c>
      <c r="H1319" s="230">
        <f t="shared" ca="1" si="925"/>
        <v>13</v>
      </c>
      <c r="I1319" s="228" t="str">
        <f t="shared" ca="1" si="931"/>
        <v xml:space="preserve">   REVESTIMENTOS INTERNOS DE PAREDE</v>
      </c>
      <c r="J1319" s="230">
        <f t="shared" ca="1" si="926"/>
        <v>4</v>
      </c>
      <c r="K1319" s="228" t="str">
        <f t="shared" ca="1" si="932"/>
        <v xml:space="preserve">   REVESTIMENTOS INTERNOS DE PAREDE - 8º PAVIMENTO - COBERTURA</v>
      </c>
      <c r="L1319" s="231">
        <f t="shared" ca="1" si="927"/>
        <v>1</v>
      </c>
      <c r="M1319" s="228" t="str">
        <f t="shared" ca="1" si="933"/>
        <v xml:space="preserve">   Reboco</v>
      </c>
      <c r="N1319" s="231">
        <f t="shared" ca="1" si="928"/>
        <v>4</v>
      </c>
      <c r="O1319" s="228" t="str">
        <f t="shared" ca="1" si="934"/>
        <v>Estucamento de estrutura de concreto em pilares e vigas</v>
      </c>
      <c r="P1319" s="232" t="str">
        <f>IF(S1319="","",IF(Orçamento!$B1319="INSUMO",S1319,""))</f>
        <v>ADESIVO DE BASE ACRILICA COMPATIVEL COM CIMENTO</v>
      </c>
      <c r="Q1319" s="244" t="str">
        <f t="shared" si="929"/>
        <v/>
      </c>
      <c r="R1319" s="234">
        <f t="shared" ca="1" si="935"/>
        <v>35</v>
      </c>
      <c r="S1319" s="233" t="s">
        <v>355</v>
      </c>
      <c r="T1319" s="242" t="str">
        <f>_xlfn.XLOOKUP(S1319,Insumos!$A$3:$A$371,Insumos!$B$3:$B$371)</f>
        <v>KG</v>
      </c>
      <c r="U1319" s="235">
        <f ca="1">IF($B1319="insumo",R1319,"")</f>
        <v>35</v>
      </c>
      <c r="V1319" s="320">
        <v>0.15</v>
      </c>
      <c r="W1319" s="236">
        <f>IFERROR(IF(B1319="INSUMO",_xlfn.XLOOKUP(S1319,Insumos!A:A,Insumos!C:C),""),"Inserir Preço")</f>
        <v>17.990000000000002</v>
      </c>
      <c r="X1319" s="235">
        <f t="shared" ca="1" si="936"/>
        <v>5.25</v>
      </c>
      <c r="Y1319" s="236">
        <f t="shared" si="905"/>
        <v>2.6985000000000001</v>
      </c>
      <c r="Z1319" s="237">
        <f t="shared" ca="1" si="921"/>
        <v>94.447500000000005</v>
      </c>
      <c r="AA1319" s="238"/>
      <c r="AB1319" s="233" t="str">
        <f>IF(B1319="insumo",_xlfn.XLOOKUP(S1319,Insumos!A:A,Insumos!D:D),"")</f>
        <v xml:space="preserve"> </v>
      </c>
      <c r="AC1319" s="239">
        <f t="shared" ca="1" si="922"/>
        <v>1.3549354972174112E-5</v>
      </c>
      <c r="AE1319" s="240">
        <f ca="1">IFERROR(IF(OR(Z1319="",Z1319=0),"",IF(AF1319="","",IF(AF1319="R$/mês",Z1319/OBRA!$D$12,IF(AF1319="R$/m²",Z1319/OBRA!$D$10,IF(AF1319="R$/apto",Orçamento!Z1319/OBRA!$D$11,""))))),"")</f>
        <v>4.8603356267657459E-2</v>
      </c>
      <c r="AF1319" s="241" t="s">
        <v>154</v>
      </c>
    </row>
    <row r="1320" spans="1:32" s="10" customFormat="1" ht="13.15" hidden="1" customHeight="1" outlineLevel="3" collapsed="1" x14ac:dyDescent="0.2">
      <c r="A1320" s="227"/>
      <c r="B1320" s="228" t="s">
        <v>3</v>
      </c>
      <c r="C1320" s="229" t="str">
        <f t="shared" si="920"/>
        <v/>
      </c>
      <c r="D1320" s="227" t="str">
        <f t="shared" ca="1" si="923"/>
        <v>13.004.002</v>
      </c>
      <c r="E1320" s="228" t="str">
        <f t="shared" ca="1" si="924"/>
        <v>13.004.001.004</v>
      </c>
      <c r="F1320" s="230">
        <f ca="1">IF($B1320="UNIDADE CONSTRUTIVA",OFFSET(F1320,-1,0)+1,LARGE(F$10:F1319,1))</f>
        <v>2</v>
      </c>
      <c r="G1320" s="228" t="str">
        <f t="shared" ca="1" si="930"/>
        <v xml:space="preserve">   GERENCIAMENTO EXECUTIVO</v>
      </c>
      <c r="H1320" s="230">
        <f t="shared" ca="1" si="925"/>
        <v>13</v>
      </c>
      <c r="I1320" s="228" t="str">
        <f t="shared" ca="1" si="931"/>
        <v xml:space="preserve">   REVESTIMENTOS INTERNOS DE PAREDE</v>
      </c>
      <c r="J1320" s="230">
        <f t="shared" ca="1" si="926"/>
        <v>4</v>
      </c>
      <c r="K1320" s="228" t="str">
        <f t="shared" ca="1" si="932"/>
        <v xml:space="preserve">   REVESTIMENTOS INTERNOS DE PAREDE - 8º PAVIMENTO - COBERTURA</v>
      </c>
      <c r="L1320" s="231">
        <f t="shared" ca="1" si="927"/>
        <v>2</v>
      </c>
      <c r="M1320" s="228" t="str">
        <f t="shared" ca="1" si="933"/>
        <v xml:space="preserve">   Acabamentos Cerâmicos e Porcelanatos</v>
      </c>
      <c r="N1320" s="231">
        <f t="shared" ca="1" si="928"/>
        <v>0</v>
      </c>
      <c r="O1320" s="228" t="str">
        <f t="shared" ca="1" si="934"/>
        <v>Estucamento de estrutura de concreto em pilares e vigas</v>
      </c>
      <c r="P1320" s="232" t="str">
        <f>IF(S1320="","",IF(Orçamento!$B1320="INSUMO",S1320,""))</f>
        <v/>
      </c>
      <c r="Q1320" s="244" t="str">
        <f t="shared" si="929"/>
        <v/>
      </c>
      <c r="R1320" s="234">
        <f t="shared" ca="1" si="935"/>
        <v>35</v>
      </c>
      <c r="S1320" s="233" t="s">
        <v>731</v>
      </c>
      <c r="T1320" s="242" t="s">
        <v>35</v>
      </c>
      <c r="U1320" s="235" t="str">
        <f>IF($B1320="insumo",R1320,"")</f>
        <v/>
      </c>
      <c r="V1320" s="320" t="s">
        <v>35</v>
      </c>
      <c r="W1320" s="236" t="str">
        <f>IFERROR(IF(B1320="INSUMO",_xlfn.XLOOKUP(S1320,Insumos!A:A,Insumos!C:C),""),"Inserir Preço")</f>
        <v/>
      </c>
      <c r="X1320" s="235" t="str">
        <f t="shared" ca="1" si="936"/>
        <v/>
      </c>
      <c r="Y1320" s="236" t="str">
        <f t="shared" ref="Y1320:Y1383" si="937">IF(B1320="insumo",W1320*V1320,IF(B1320="serviço",SUMIFS(Y:Y,B:B,"insumo",E:E,E1320,I:I,I1320),""))</f>
        <v/>
      </c>
      <c r="Z1320" s="237">
        <f t="shared" ca="1" si="921"/>
        <v>7271.5741649999991</v>
      </c>
      <c r="AA1320" s="238"/>
      <c r="AB1320" s="233" t="str">
        <f>IF(B1320="insumo",_xlfn.XLOOKUP(S1320,Insumos!A:A,Insumos!D:D),"")</f>
        <v/>
      </c>
      <c r="AC1320" s="239">
        <f t="shared" ca="1" si="922"/>
        <v>1.0431736103981106E-3</v>
      </c>
      <c r="AE1320" s="240">
        <f ca="1">IFERROR(IF(OR(Z1320="",Z1320=0),"",IF(AF1320="","",IF(AF1320="R$/mês",Z1320/OBRA!$D$12,IF(AF1320="R$/m²",Z1320/OBRA!$D$10,IF(AF1320="R$/apto",Orçamento!Z1320/OBRA!$D$11,""))))),"")</f>
        <v>3.7420038621264591</v>
      </c>
      <c r="AF1320" s="241" t="s">
        <v>154</v>
      </c>
    </row>
    <row r="1321" spans="1:32" s="10" customFormat="1" ht="13.15" hidden="1" customHeight="1" outlineLevel="4" x14ac:dyDescent="0.2">
      <c r="A1321" s="227"/>
      <c r="B1321" s="228" t="s">
        <v>4</v>
      </c>
      <c r="C1321" s="229">
        <f t="shared" si="920"/>
        <v>1</v>
      </c>
      <c r="D1321" s="227" t="str">
        <f t="shared" ref="D1321:D1326" ca="1" si="938">IF(B1321="Unidade Construtiva",TEXT(F1321,"00"),IF(B1321="Célula Construtiva",TEXT(H1321,"00"),IF(B1321="Etapa",CONCATENATE(TEXT(H1321,"00"),".",TEXT(J1321,"000")),IF(B1321="Subetapa",CONCATENATE(TEXT(H1321,"00"),".",TEXT(J1321,"000"),".",TEXT(L1321,"000")),IF(B1321="Serviço",CONCATENATE(TEXT(H1321,"00"),".",TEXT(J1321,"000"),".",TEXT(L1321,"000"),".",TEXT(N1321,"000")),"")))))</f>
        <v>13.004.002.001</v>
      </c>
      <c r="E1321" s="228" t="str">
        <f t="shared" ref="E1321:E1326" ca="1" si="939">IF(B1321="*","",IFERROR(IF(B1321="SERVIÇO",D1321,OFFSET(E1321,-1,0)),""))</f>
        <v>13.004.002.001</v>
      </c>
      <c r="F1321" s="230">
        <f ca="1">IF($B1321="UNIDADE CONSTRUTIVA",OFFSET(F1321,-1,0)+1,LARGE(F$10:F1320,1))</f>
        <v>2</v>
      </c>
      <c r="G1321" s="228" t="str">
        <f t="shared" ref="G1321:G1326" ca="1" si="940">IF(B1321="*","",IF(B1321="UNIDADE CONSTRUTIVA",S1321,OFFSET(G1321,-1,0)))</f>
        <v xml:space="preserve">   GERENCIAMENTO EXECUTIVO</v>
      </c>
      <c r="H1321" s="230">
        <f t="shared" ref="H1321:H1326" ca="1" si="941">IF(B1321="UNIDADE CONSTRUTIVA",0,IF(B1321="CÉLULA CONSTRUTIVA",OFFSET(H1321,-1,0)+1,OFFSET(H1321,-1,0)))</f>
        <v>13</v>
      </c>
      <c r="I1321" s="228" t="str">
        <f t="shared" ref="I1321:I1326" ca="1" si="942">IF(B1321="*","",IF(B1321="CÉLULA CONSTRUTIVA",S1321,OFFSET(I1321,-1,0)))</f>
        <v xml:space="preserve">   REVESTIMENTOS INTERNOS DE PAREDE</v>
      </c>
      <c r="J1321" s="230">
        <f t="shared" ref="J1321:J1326" ca="1" si="943">IF(B1321="CÉLULA CONSTRUTIVA",0,IF(B1321="ETAPA",OFFSET(J1321,-1,0)+1,OFFSET(J1321,-1,0)))</f>
        <v>4</v>
      </c>
      <c r="K1321" s="228" t="str">
        <f t="shared" ref="K1321:K1326" ca="1" si="944">IF(B1321="*","",IF(B1321="ETAPA",S1321,OFFSET(K1321,-1,0)))</f>
        <v xml:space="preserve">   REVESTIMENTOS INTERNOS DE PAREDE - 8º PAVIMENTO - COBERTURA</v>
      </c>
      <c r="L1321" s="231">
        <f t="shared" ref="L1321:L1326" ca="1" si="945">IF(B1321="ETAPA",0,IF(B1321="SUBETAPA",OFFSET(L1321,-1,0)+1,OFFSET(L1321,-1,0)))</f>
        <v>2</v>
      </c>
      <c r="M1321" s="228" t="str">
        <f t="shared" ref="M1321:M1326" ca="1" si="946">IF(B1321="*","",IF(B1321="SUBETAPA",S1321,OFFSET(M1321,-1,0)))</f>
        <v xml:space="preserve">   Acabamentos Cerâmicos e Porcelanatos</v>
      </c>
      <c r="N1321" s="231">
        <f t="shared" ref="N1321:N1326" ca="1" si="947">IF(B1321="Subetapa",0,IF(B1321="serviço",OFFSET(N1321,-1,0)+1,OFFSET(N1321,-1,0)))</f>
        <v>1</v>
      </c>
      <c r="O1321" s="228" t="str">
        <f t="shared" ref="O1321:O1326" ca="1" si="948">IF(B1321="*","",IF(B1321="SERVIÇO",S1321,OFFSET(O1321,-1,0)))</f>
        <v>Revestimento em Pastilhas para Piscina</v>
      </c>
      <c r="P1321" s="232" t="str">
        <f>IF(S1321="","",IF(Orçamento!$B1321="INSUMO",S1321,""))</f>
        <v/>
      </c>
      <c r="Q1321" s="244" t="str">
        <f t="shared" ref="Q1321:Q1326" si="949">IF(B1321="","",IF(B1321="Serviço",S1321,""))</f>
        <v>Revestimento em Pastilhas para Piscina</v>
      </c>
      <c r="R1321" s="234">
        <f t="shared" ref="R1321:R1326" ca="1" si="950">IF(B1321="serviço",U1321,OFFSET(R1321,-1,0))</f>
        <v>45.99</v>
      </c>
      <c r="S1321" s="233" t="s">
        <v>736</v>
      </c>
      <c r="T1321" s="242" t="s">
        <v>140</v>
      </c>
      <c r="U1321" s="235">
        <v>45.99</v>
      </c>
      <c r="V1321" s="320" t="s">
        <v>35</v>
      </c>
      <c r="W1321" s="236" t="str">
        <f>IFERROR(IF(B1321="INSUMO",_xlfn.XLOOKUP(S1321,Insumos!A:A,Insumos!C:C),""),"Inserir Preço")</f>
        <v/>
      </c>
      <c r="X1321" s="235">
        <f t="shared" ref="X1321:X1326" ca="1" si="951">IF(B1321="Complemento do insumo",V1321,IF(R1321="","",IF(B1321="serviço",R1321,IF(OR(B1321="insumo"),V1321*R1321,""))))</f>
        <v>45.99</v>
      </c>
      <c r="Y1321" s="236">
        <f t="shared" ca="1" si="937"/>
        <v>134.14749999999998</v>
      </c>
      <c r="Z1321" s="237">
        <f t="shared" ca="1" si="921"/>
        <v>6169.4435249999997</v>
      </c>
      <c r="AA1321" s="238"/>
      <c r="AB1321" s="233" t="str">
        <f>IF(B1321="insumo",_xlfn.XLOOKUP(S1321,Insumos!A:A,Insumos!D:D),"")</f>
        <v/>
      </c>
      <c r="AC1321" s="239">
        <f t="shared" ca="1" si="922"/>
        <v>8.8506292173965557E-4</v>
      </c>
      <c r="AE1321" s="240">
        <f ca="1">IFERROR(IF(OR(Z1321="",Z1321=0),"",IF(AF1321="","",IF(AF1321="R$/mês",Z1321/OBRA!$D$12,IF(AF1321="R$/m²",Z1321/OBRA!$D$10,IF(AF1321="R$/apto",Orçamento!Z1321/OBRA!$D$11,""))))),"")</f>
        <v>3.1748395840945229</v>
      </c>
      <c r="AF1321" s="241" t="s">
        <v>154</v>
      </c>
    </row>
    <row r="1322" spans="1:32" s="10" customFormat="1" ht="13.15" hidden="1" customHeight="1" outlineLevel="4" x14ac:dyDescent="0.2">
      <c r="A1322" s="227"/>
      <c r="B1322" s="228" t="s">
        <v>19</v>
      </c>
      <c r="C1322" s="229">
        <f t="shared" si="920"/>
        <v>2</v>
      </c>
      <c r="D1322" s="227" t="str">
        <f t="shared" si="938"/>
        <v/>
      </c>
      <c r="E1322" s="228" t="str">
        <f t="shared" ca="1" si="939"/>
        <v>13.004.002.001</v>
      </c>
      <c r="F1322" s="230">
        <f ca="1">IF($B1322="UNIDADE CONSTRUTIVA",OFFSET(F1322,-1,0)+1,LARGE(F$10:F1321,1))</f>
        <v>2</v>
      </c>
      <c r="G1322" s="228" t="str">
        <f t="shared" ca="1" si="940"/>
        <v xml:space="preserve">   GERENCIAMENTO EXECUTIVO</v>
      </c>
      <c r="H1322" s="230">
        <f t="shared" ca="1" si="941"/>
        <v>13</v>
      </c>
      <c r="I1322" s="228" t="str">
        <f t="shared" ca="1" si="942"/>
        <v xml:space="preserve">   REVESTIMENTOS INTERNOS DE PAREDE</v>
      </c>
      <c r="J1322" s="230">
        <f t="shared" ca="1" si="943"/>
        <v>4</v>
      </c>
      <c r="K1322" s="228" t="str">
        <f t="shared" ca="1" si="944"/>
        <v xml:space="preserve">   REVESTIMENTOS INTERNOS DE PAREDE - 8º PAVIMENTO - COBERTURA</v>
      </c>
      <c r="L1322" s="231">
        <f t="shared" ca="1" si="945"/>
        <v>2</v>
      </c>
      <c r="M1322" s="228" t="str">
        <f t="shared" ca="1" si="946"/>
        <v xml:space="preserve">   Acabamentos Cerâmicos e Porcelanatos</v>
      </c>
      <c r="N1322" s="231">
        <f t="shared" ca="1" si="947"/>
        <v>1</v>
      </c>
      <c r="O1322" s="228" t="str">
        <f t="shared" ca="1" si="948"/>
        <v>Revestimento em Pastilhas para Piscina</v>
      </c>
      <c r="P1322" s="232" t="str">
        <f>IF(S1322="","",IF(Orçamento!$B1322="INSUMO",S1322,""))</f>
        <v>REVESTIMENTO - PASTILHA CERAMICA 5 X 5CM</v>
      </c>
      <c r="Q1322" s="244" t="str">
        <f t="shared" si="949"/>
        <v/>
      </c>
      <c r="R1322" s="234">
        <f t="shared" ca="1" si="950"/>
        <v>45.99</v>
      </c>
      <c r="S1322" s="233" t="s">
        <v>1130</v>
      </c>
      <c r="T1322" s="242" t="str">
        <f>_xlfn.XLOOKUP(S1322,Insumos!$A$3:$A$371,Insumos!$B$3:$B$371)</f>
        <v>M2</v>
      </c>
      <c r="U1322" s="235">
        <f ca="1">IF($B1322="insumo",R1322,"")</f>
        <v>45.99</v>
      </c>
      <c r="V1322" s="320">
        <v>1.1499999999999999</v>
      </c>
      <c r="W1322" s="236">
        <f>IFERROR(IF(B1322="INSUMO",_xlfn.XLOOKUP(S1322,Insumos!A:A,Insumos!C:C),""),"Inserir Preço")</f>
        <v>102.4</v>
      </c>
      <c r="X1322" s="235">
        <f t="shared" ca="1" si="951"/>
        <v>52.888500000000001</v>
      </c>
      <c r="Y1322" s="236">
        <f t="shared" si="937"/>
        <v>117.75999999999999</v>
      </c>
      <c r="Z1322" s="237">
        <f t="shared" ca="1" si="921"/>
        <v>5415.7824000000001</v>
      </c>
      <c r="AA1322" s="238"/>
      <c r="AB1322" s="233" t="str">
        <f>IF(B1322="insumo",_xlfn.XLOOKUP(S1322,Insumos!A:A,Insumos!D:D),"")</f>
        <v>Base de Dados</v>
      </c>
      <c r="AC1322" s="239">
        <f t="shared" ca="1" si="922"/>
        <v>7.7694336207578861E-4</v>
      </c>
      <c r="AE1322" s="240">
        <f ca="1">IFERROR(IF(OR(Z1322="",Z1322=0),"",IF(AF1322="","",IF(AF1322="R$/mês",Z1322/OBRA!$D$12,IF(AF1322="R$/m²",Z1322/OBRA!$D$10,IF(AF1322="R$/apto",Orçamento!Z1322/OBRA!$D$11,""))))),"")</f>
        <v>2.7870002006967782</v>
      </c>
      <c r="AF1322" s="241" t="s">
        <v>154</v>
      </c>
    </row>
    <row r="1323" spans="1:32" s="10" customFormat="1" ht="13.15" hidden="1" customHeight="1" outlineLevel="4" x14ac:dyDescent="0.2">
      <c r="A1323" s="227"/>
      <c r="B1323" s="228" t="s">
        <v>19</v>
      </c>
      <c r="C1323" s="229">
        <f t="shared" si="920"/>
        <v>16</v>
      </c>
      <c r="D1323" s="227" t="str">
        <f t="shared" si="938"/>
        <v/>
      </c>
      <c r="E1323" s="228" t="str">
        <f t="shared" ca="1" si="939"/>
        <v>13.004.002.001</v>
      </c>
      <c r="F1323" s="230">
        <f ca="1">IF($B1323="UNIDADE CONSTRUTIVA",OFFSET(F1323,-1,0)+1,LARGE(F$10:F1322,1))</f>
        <v>2</v>
      </c>
      <c r="G1323" s="228" t="str">
        <f t="shared" ca="1" si="940"/>
        <v xml:space="preserve">   GERENCIAMENTO EXECUTIVO</v>
      </c>
      <c r="H1323" s="230">
        <f t="shared" ca="1" si="941"/>
        <v>13</v>
      </c>
      <c r="I1323" s="228" t="str">
        <f t="shared" ca="1" si="942"/>
        <v xml:space="preserve">   REVESTIMENTOS INTERNOS DE PAREDE</v>
      </c>
      <c r="J1323" s="230">
        <f t="shared" ca="1" si="943"/>
        <v>4</v>
      </c>
      <c r="K1323" s="228" t="str">
        <f t="shared" ca="1" si="944"/>
        <v xml:space="preserve">   REVESTIMENTOS INTERNOS DE PAREDE - 8º PAVIMENTO - COBERTURA</v>
      </c>
      <c r="L1323" s="231">
        <f t="shared" ca="1" si="945"/>
        <v>2</v>
      </c>
      <c r="M1323" s="228" t="str">
        <f t="shared" ca="1" si="946"/>
        <v xml:space="preserve">   Acabamentos Cerâmicos e Porcelanatos</v>
      </c>
      <c r="N1323" s="231">
        <f t="shared" ca="1" si="947"/>
        <v>1</v>
      </c>
      <c r="O1323" s="228" t="str">
        <f t="shared" ca="1" si="948"/>
        <v>Revestimento em Pastilhas para Piscina</v>
      </c>
      <c r="P1323" s="232" t="str">
        <f>IF(S1323="","",IF(Orçamento!$B1323="INSUMO",S1323,""))</f>
        <v>ARGAMASSA COLANTE AC III</v>
      </c>
      <c r="Q1323" s="244" t="str">
        <f t="shared" si="949"/>
        <v/>
      </c>
      <c r="R1323" s="234">
        <f t="shared" ca="1" si="950"/>
        <v>45.99</v>
      </c>
      <c r="S1323" s="233" t="s">
        <v>357</v>
      </c>
      <c r="T1323" s="242" t="str">
        <f>_xlfn.XLOOKUP(S1323,Insumos!$A$3:$A$371,Insumos!$B$3:$B$371)</f>
        <v>KG</v>
      </c>
      <c r="U1323" s="235">
        <f ca="1">IF($B1323="insumo",R1323,"")</f>
        <v>45.99</v>
      </c>
      <c r="V1323" s="320">
        <v>12.5</v>
      </c>
      <c r="W1323" s="236">
        <f>IFERROR(IF(B1323="INSUMO",_xlfn.XLOOKUP(S1323,Insumos!A:A,Insumos!C:C),""),"Inserir Preço")</f>
        <v>0.92500000000000004</v>
      </c>
      <c r="X1323" s="235">
        <f t="shared" ca="1" si="951"/>
        <v>574.875</v>
      </c>
      <c r="Y1323" s="236">
        <f t="shared" si="937"/>
        <v>11.5625</v>
      </c>
      <c r="Z1323" s="237">
        <f t="shared" ca="1" si="921"/>
        <v>531.75937499999998</v>
      </c>
      <c r="AA1323" s="238"/>
      <c r="AB1323" s="233" t="str">
        <f>IF(B1323="insumo",_xlfn.XLOOKUP(S1323,Insumos!A:A,Insumos!D:D),"")</f>
        <v>Argabrus</v>
      </c>
      <c r="AC1323" s="239">
        <f t="shared" ca="1" si="922"/>
        <v>7.6285730502728477E-5</v>
      </c>
      <c r="AE1323" s="240">
        <f ca="1">IFERROR(IF(OR(Z1323="",Z1323=0),"",IF(AF1323="","",IF(AF1323="R$/mês",Z1323/OBRA!$D$12,IF(AF1323="R$/m²",Z1323/OBRA!$D$10,IF(AF1323="R$/apto",Orçamento!Z1323/OBRA!$D$11,""))))),"")</f>
        <v>0.27364716219901913</v>
      </c>
      <c r="AF1323" s="241" t="s">
        <v>154</v>
      </c>
    </row>
    <row r="1324" spans="1:32" s="10" customFormat="1" ht="13.15" hidden="1" customHeight="1" outlineLevel="4" x14ac:dyDescent="0.2">
      <c r="A1324" s="227"/>
      <c r="B1324" s="228" t="s">
        <v>19</v>
      </c>
      <c r="C1324" s="229">
        <f t="shared" si="920"/>
        <v>2</v>
      </c>
      <c r="D1324" s="227" t="str">
        <f t="shared" si="938"/>
        <v/>
      </c>
      <c r="E1324" s="228" t="str">
        <f t="shared" ca="1" si="939"/>
        <v>13.004.002.001</v>
      </c>
      <c r="F1324" s="230">
        <f ca="1">IF($B1324="UNIDADE CONSTRUTIVA",OFFSET(F1324,-1,0)+1,LARGE(F$10:F1323,1))</f>
        <v>2</v>
      </c>
      <c r="G1324" s="228" t="str">
        <f t="shared" ca="1" si="940"/>
        <v xml:space="preserve">   GERENCIAMENTO EXECUTIVO</v>
      </c>
      <c r="H1324" s="230">
        <f t="shared" ca="1" si="941"/>
        <v>13</v>
      </c>
      <c r="I1324" s="228" t="str">
        <f t="shared" ca="1" si="942"/>
        <v xml:space="preserve">   REVESTIMENTOS INTERNOS DE PAREDE</v>
      </c>
      <c r="J1324" s="230">
        <f t="shared" ca="1" si="943"/>
        <v>4</v>
      </c>
      <c r="K1324" s="228" t="str">
        <f t="shared" ca="1" si="944"/>
        <v xml:space="preserve">   REVESTIMENTOS INTERNOS DE PAREDE - 8º PAVIMENTO - COBERTURA</v>
      </c>
      <c r="L1324" s="231">
        <f t="shared" ca="1" si="945"/>
        <v>2</v>
      </c>
      <c r="M1324" s="228" t="str">
        <f t="shared" ca="1" si="946"/>
        <v xml:space="preserve">   Acabamentos Cerâmicos e Porcelanatos</v>
      </c>
      <c r="N1324" s="231">
        <f t="shared" ca="1" si="947"/>
        <v>1</v>
      </c>
      <c r="O1324" s="228" t="str">
        <f t="shared" ca="1" si="948"/>
        <v>Revestimento em Pastilhas para Piscina</v>
      </c>
      <c r="P1324" s="232" t="str">
        <f>IF(S1324="","",IF(Orçamento!$B1324="INSUMO",S1324,""))</f>
        <v>REJUNTE FLEXIVEL EPOXI BICOMPONENTE NBR 14992</v>
      </c>
      <c r="Q1324" s="244" t="str">
        <f t="shared" si="949"/>
        <v/>
      </c>
      <c r="R1324" s="234">
        <f t="shared" ca="1" si="950"/>
        <v>45.99</v>
      </c>
      <c r="S1324" s="233" t="s">
        <v>735</v>
      </c>
      <c r="T1324" s="242" t="str">
        <f>_xlfn.XLOOKUP(S1324,Insumos!$A$3:$A$371,Insumos!$B$3:$B$371)</f>
        <v>KG</v>
      </c>
      <c r="U1324" s="235">
        <f ca="1">IF($B1324="insumo",R1324,"")</f>
        <v>45.99</v>
      </c>
      <c r="V1324" s="320">
        <v>0.5</v>
      </c>
      <c r="W1324" s="236">
        <f>IFERROR(IF(B1324="INSUMO",_xlfn.XLOOKUP(S1324,Insumos!A:A,Insumos!C:C),""),"Inserir Preço")</f>
        <v>4.45</v>
      </c>
      <c r="X1324" s="235">
        <f t="shared" ca="1" si="951"/>
        <v>22.995000000000001</v>
      </c>
      <c r="Y1324" s="236">
        <f t="shared" si="937"/>
        <v>2.2250000000000001</v>
      </c>
      <c r="Z1324" s="237">
        <f t="shared" ca="1" si="921"/>
        <v>102.32775000000001</v>
      </c>
      <c r="AA1324" s="238"/>
      <c r="AB1324" s="233" t="str">
        <f>IF(B1324="insumo",_xlfn.XLOOKUP(S1324,Insumos!A:A,Insumos!D:D),"")</f>
        <v>Distribuidora Sika</v>
      </c>
      <c r="AC1324" s="239">
        <f t="shared" ca="1" si="922"/>
        <v>1.4679848680525049E-5</v>
      </c>
      <c r="AE1324" s="240">
        <f ca="1">IFERROR(IF(OR(Z1324="",Z1324=0),"",IF(AF1324="","",IF(AF1324="R$/mês",Z1324/OBRA!$D$12,IF(AF1324="R$/m²",Z1324/OBRA!$D$10,IF(AF1324="R$/apto",Orçamento!Z1324/OBRA!$D$11,""))))),"")</f>
        <v>5.2658589050189636E-2</v>
      </c>
      <c r="AF1324" s="241" t="s">
        <v>154</v>
      </c>
    </row>
    <row r="1325" spans="1:32" s="10" customFormat="1" ht="13.15" hidden="1" customHeight="1" outlineLevel="4" x14ac:dyDescent="0.2">
      <c r="A1325" s="227"/>
      <c r="B1325" s="228" t="s">
        <v>19</v>
      </c>
      <c r="C1325" s="229">
        <f t="shared" si="920"/>
        <v>14</v>
      </c>
      <c r="D1325" s="227" t="str">
        <f>IF(B1325="Unidade Construtiva",TEXT(F1325,"00"),IF(B1325="Célula Construtiva",TEXT(H1325,"00"),IF(B1325="Etapa",CONCATENATE(TEXT(H1325,"00"),".",TEXT(J1325,"000")),IF(B1325="Subetapa",CONCATENATE(TEXT(H1325,"00"),".",TEXT(J1325,"000"),".",TEXT(L1325,"000")),IF(B1325="Serviço",CONCATENATE(TEXT(H1325,"00"),".",TEXT(J1325,"000"),".",TEXT(L1325,"000"),".",TEXT(N1325,"000")),"")))))</f>
        <v/>
      </c>
      <c r="E1325" s="228" t="str">
        <f ca="1">IF(B1325="*","",IFERROR(IF(B1325="SERVIÇO",D1325,OFFSET(E1325,-1,0)),""))</f>
        <v>13.004.002.001</v>
      </c>
      <c r="F1325" s="230">
        <f ca="1">IF($B1325="UNIDADE CONSTRUTIVA",OFFSET(F1325,-1,0)+1,LARGE(F$10:F1324,1))</f>
        <v>2</v>
      </c>
      <c r="G1325" s="228" t="str">
        <f ca="1">IF(B1325="*","",IF(B1325="UNIDADE CONSTRUTIVA",S1325,OFFSET(G1325,-1,0)))</f>
        <v xml:space="preserve">   GERENCIAMENTO EXECUTIVO</v>
      </c>
      <c r="H1325" s="230">
        <f ca="1">IF(B1325="UNIDADE CONSTRUTIVA",0,IF(B1325="CÉLULA CONSTRUTIVA",OFFSET(H1325,-1,0)+1,OFFSET(H1325,-1,0)))</f>
        <v>13</v>
      </c>
      <c r="I1325" s="228" t="str">
        <f ca="1">IF(B1325="*","",IF(B1325="CÉLULA CONSTRUTIVA",S1325,OFFSET(I1325,-1,0)))</f>
        <v xml:space="preserve">   REVESTIMENTOS INTERNOS DE PAREDE</v>
      </c>
      <c r="J1325" s="230">
        <f ca="1">IF(B1325="CÉLULA CONSTRUTIVA",0,IF(B1325="ETAPA",OFFSET(J1325,-1,0)+1,OFFSET(J1325,-1,0)))</f>
        <v>4</v>
      </c>
      <c r="K1325" s="228" t="str">
        <f ca="1">IF(B1325="*","",IF(B1325="ETAPA",S1325,OFFSET(K1325,-1,0)))</f>
        <v xml:space="preserve">   REVESTIMENTOS INTERNOS DE PAREDE - 8º PAVIMENTO - COBERTURA</v>
      </c>
      <c r="L1325" s="231">
        <f ca="1">IF(B1325="ETAPA",0,IF(B1325="SUBETAPA",OFFSET(L1325,-1,0)+1,OFFSET(L1325,-1,0)))</f>
        <v>2</v>
      </c>
      <c r="M1325" s="228" t="str">
        <f ca="1">IF(B1325="*","",IF(B1325="SUBETAPA",S1325,OFFSET(M1325,-1,0)))</f>
        <v xml:space="preserve">   Acabamentos Cerâmicos e Porcelanatos</v>
      </c>
      <c r="N1325" s="231">
        <f ca="1">IF(B1325="Subetapa",0,IF(B1325="serviço",OFFSET(N1325,-1,0)+1,OFFSET(N1325,-1,0)))</f>
        <v>1</v>
      </c>
      <c r="O1325" s="228" t="str">
        <f ca="1">IF(B1325="*","",IF(B1325="SERVIÇO",S1325,OFFSET(O1325,-1,0)))</f>
        <v>Revestimento em Pastilhas para Piscina</v>
      </c>
      <c r="P1325" s="232" t="str">
        <f>IF(S1325="","",IF(Orçamento!$B1325="INSUMO",S1325,""))</f>
        <v>ESPACADOR PVC NIVELAMENTO REVESTIMENTO 1,0MM NBR 6118</v>
      </c>
      <c r="Q1325" s="244" t="str">
        <f>IF(B1325="","",IF(B1325="Serviço",S1325,""))</f>
        <v/>
      </c>
      <c r="R1325" s="234">
        <f ca="1">IF(B1325="serviço",U1325,OFFSET(R1325,-1,0))</f>
        <v>45.99</v>
      </c>
      <c r="S1325" s="233" t="s">
        <v>715</v>
      </c>
      <c r="T1325" s="242" t="str">
        <f>_xlfn.XLOOKUP(S1325,Insumos!$A$3:$A$371,Insumos!$B$3:$B$371)</f>
        <v>UN</v>
      </c>
      <c r="U1325" s="235">
        <f ca="1">IF($B1325="insumo",R1325,"")</f>
        <v>45.99</v>
      </c>
      <c r="V1325" s="320">
        <v>10</v>
      </c>
      <c r="W1325" s="236">
        <f>IFERROR(IF(B1325="INSUMO",_xlfn.XLOOKUP(S1325,Insumos!A:A,Insumos!C:C),""),"Inserir Preço")</f>
        <v>0.22</v>
      </c>
      <c r="X1325" s="235">
        <f t="shared" ca="1" si="951"/>
        <v>459.90000000000003</v>
      </c>
      <c r="Y1325" s="236">
        <f t="shared" si="937"/>
        <v>2.2000000000000002</v>
      </c>
      <c r="Z1325" s="237">
        <f t="shared" ca="1" si="921"/>
        <v>101.17800000000001</v>
      </c>
      <c r="AA1325" s="238"/>
      <c r="AB1325" s="233" t="str">
        <f>IF(B1325="insumo",_xlfn.XLOOKUP(S1325,Insumos!A:A,Insumos!D:D),"")</f>
        <v>Base de Dados</v>
      </c>
      <c r="AC1325" s="239">
        <f t="shared" ca="1" si="922"/>
        <v>1.4514906560519151E-5</v>
      </c>
      <c r="AE1325" s="240">
        <f ca="1">IFERROR(IF(OR(Z1325="",Z1325=0),"",IF(AF1325="","",IF(AF1325="R$/mês",Z1325/OBRA!$D$12,IF(AF1325="R$/m²",Z1325/OBRA!$D$10,IF(AF1325="R$/apto",Orçamento!Z1325/OBRA!$D$11,""))))),"")</f>
        <v>5.2066919510299868E-2</v>
      </c>
      <c r="AF1325" s="241" t="s">
        <v>154</v>
      </c>
    </row>
    <row r="1326" spans="1:32" s="10" customFormat="1" ht="13.15" hidden="1" customHeight="1" outlineLevel="4" x14ac:dyDescent="0.2">
      <c r="A1326" s="227"/>
      <c r="B1326" s="228" t="s">
        <v>19</v>
      </c>
      <c r="C1326" s="229">
        <f t="shared" si="920"/>
        <v>14</v>
      </c>
      <c r="D1326" s="227" t="str">
        <f t="shared" si="938"/>
        <v/>
      </c>
      <c r="E1326" s="228" t="str">
        <f t="shared" ca="1" si="939"/>
        <v>13.004.002.001</v>
      </c>
      <c r="F1326" s="230">
        <f ca="1">IF($B1326="UNIDADE CONSTRUTIVA",OFFSET(F1326,-1,0)+1,LARGE(F$10:F1325,1))</f>
        <v>2</v>
      </c>
      <c r="G1326" s="228" t="str">
        <f t="shared" ca="1" si="940"/>
        <v xml:space="preserve">   GERENCIAMENTO EXECUTIVO</v>
      </c>
      <c r="H1326" s="230">
        <f t="shared" ca="1" si="941"/>
        <v>13</v>
      </c>
      <c r="I1326" s="228" t="str">
        <f t="shared" ca="1" si="942"/>
        <v xml:space="preserve">   REVESTIMENTOS INTERNOS DE PAREDE</v>
      </c>
      <c r="J1326" s="230">
        <f t="shared" ca="1" si="943"/>
        <v>4</v>
      </c>
      <c r="K1326" s="228" t="str">
        <f t="shared" ca="1" si="944"/>
        <v xml:space="preserve">   REVESTIMENTOS INTERNOS DE PAREDE - 8º PAVIMENTO - COBERTURA</v>
      </c>
      <c r="L1326" s="231">
        <f t="shared" ca="1" si="945"/>
        <v>2</v>
      </c>
      <c r="M1326" s="228" t="str">
        <f t="shared" ca="1" si="946"/>
        <v xml:space="preserve">   Acabamentos Cerâmicos e Porcelanatos</v>
      </c>
      <c r="N1326" s="231">
        <f t="shared" ca="1" si="947"/>
        <v>1</v>
      </c>
      <c r="O1326" s="228" t="str">
        <f t="shared" ca="1" si="948"/>
        <v>Revestimento em Pastilhas para Piscina</v>
      </c>
      <c r="P1326" s="232" t="str">
        <f>IF(S1326="","",IF(Orçamento!$B1326="INSUMO",S1326,""))</f>
        <v>CUNHA PVC P/NIVELAMENTO PISO NBR 6118</v>
      </c>
      <c r="Q1326" s="244" t="str">
        <f t="shared" si="949"/>
        <v/>
      </c>
      <c r="R1326" s="234">
        <f t="shared" ca="1" si="950"/>
        <v>45.99</v>
      </c>
      <c r="S1326" s="233" t="s">
        <v>717</v>
      </c>
      <c r="T1326" s="242" t="str">
        <f>_xlfn.XLOOKUP(S1326,Insumos!$A$3:$A$371,Insumos!$B$3:$B$371)</f>
        <v>UN</v>
      </c>
      <c r="U1326" s="235">
        <f ca="1">IF($B1326="insumo",R1326,"")</f>
        <v>45.99</v>
      </c>
      <c r="V1326" s="320">
        <v>2</v>
      </c>
      <c r="W1326" s="236">
        <f>IFERROR(IF(B1326="INSUMO",_xlfn.XLOOKUP(S1326,Insumos!A:A,Insumos!C:C),""),"Inserir Preço")</f>
        <v>0.2</v>
      </c>
      <c r="X1326" s="235">
        <f t="shared" ca="1" si="951"/>
        <v>91.98</v>
      </c>
      <c r="Y1326" s="236">
        <f t="shared" si="937"/>
        <v>0.4</v>
      </c>
      <c r="Z1326" s="237">
        <f t="shared" ca="1" si="921"/>
        <v>18.396000000000001</v>
      </c>
      <c r="AA1326" s="238"/>
      <c r="AB1326" s="233" t="str">
        <f>IF(B1326="insumo",_xlfn.XLOOKUP(S1326,Insumos!A:A,Insumos!D:D),"")</f>
        <v>Base de Dados</v>
      </c>
      <c r="AC1326" s="239">
        <f t="shared" ca="1" si="922"/>
        <v>2.6390739200943905E-6</v>
      </c>
      <c r="AE1326" s="240">
        <f ca="1">IFERROR(IF(OR(Z1326="",Z1326=0),"",IF(AF1326="","",IF(AF1326="R$/mês",Z1326/OBRA!$D$12,IF(AF1326="R$/m²",Z1326/OBRA!$D$10,IF(AF1326="R$/apto",Orçamento!Z1326/OBRA!$D$11,""))))),"")</f>
        <v>9.4667126382363392E-3</v>
      </c>
      <c r="AF1326" s="241" t="s">
        <v>154</v>
      </c>
    </row>
    <row r="1327" spans="1:32" s="10" customFormat="1" ht="13.15" hidden="1" customHeight="1" outlineLevel="4" x14ac:dyDescent="0.2">
      <c r="A1327" s="227"/>
      <c r="B1327" s="228" t="s">
        <v>4</v>
      </c>
      <c r="C1327" s="229">
        <f t="shared" si="920"/>
        <v>1</v>
      </c>
      <c r="D1327" s="227" t="str">
        <f t="shared" ca="1" si="923"/>
        <v>13.004.002.002</v>
      </c>
      <c r="E1327" s="228" t="str">
        <f t="shared" ca="1" si="924"/>
        <v>13.004.002.002</v>
      </c>
      <c r="F1327" s="230">
        <f ca="1">IF($B1327="UNIDADE CONSTRUTIVA",OFFSET(F1327,-1,0)+1,LARGE(F$10:F1326,1))</f>
        <v>2</v>
      </c>
      <c r="G1327" s="228" t="str">
        <f t="shared" ca="1" si="930"/>
        <v xml:space="preserve">   GERENCIAMENTO EXECUTIVO</v>
      </c>
      <c r="H1327" s="230">
        <f t="shared" ca="1" si="925"/>
        <v>13</v>
      </c>
      <c r="I1327" s="228" t="str">
        <f t="shared" ca="1" si="931"/>
        <v xml:space="preserve">   REVESTIMENTOS INTERNOS DE PAREDE</v>
      </c>
      <c r="J1327" s="230">
        <f t="shared" ca="1" si="926"/>
        <v>4</v>
      </c>
      <c r="K1327" s="228" t="str">
        <f t="shared" ca="1" si="932"/>
        <v xml:space="preserve">   REVESTIMENTOS INTERNOS DE PAREDE - 8º PAVIMENTO - COBERTURA</v>
      </c>
      <c r="L1327" s="231">
        <f t="shared" ca="1" si="927"/>
        <v>2</v>
      </c>
      <c r="M1327" s="228" t="str">
        <f t="shared" ca="1" si="933"/>
        <v xml:space="preserve">   Acabamentos Cerâmicos e Porcelanatos</v>
      </c>
      <c r="N1327" s="231">
        <f t="shared" ca="1" si="928"/>
        <v>2</v>
      </c>
      <c r="O1327" s="228" t="str">
        <f t="shared" ca="1" si="934"/>
        <v>Revestimento em Porcelanato 80x80cm interno</v>
      </c>
      <c r="P1327" s="232" t="str">
        <f>IF(S1327="","",IF(Orçamento!$B1327="INSUMO",S1327,""))</f>
        <v/>
      </c>
      <c r="Q1327" s="244" t="str">
        <f t="shared" si="929"/>
        <v>Revestimento em Porcelanato 80x80cm interno</v>
      </c>
      <c r="R1327" s="234">
        <f t="shared" ca="1" si="935"/>
        <v>13.14</v>
      </c>
      <c r="S1327" s="233" t="s">
        <v>733</v>
      </c>
      <c r="T1327" s="242" t="s">
        <v>158</v>
      </c>
      <c r="U1327" s="235">
        <v>13.14</v>
      </c>
      <c r="V1327" s="320" t="s">
        <v>35</v>
      </c>
      <c r="W1327" s="236" t="str">
        <f>IFERROR(IF(B1327="INSUMO",_xlfn.XLOOKUP(S1327,Insumos!A:A,Insumos!C:C),""),"Inserir Preço")</f>
        <v/>
      </c>
      <c r="X1327" s="235">
        <f t="shared" ca="1" si="936"/>
        <v>13.14</v>
      </c>
      <c r="Y1327" s="236">
        <f t="shared" ca="1" si="937"/>
        <v>83.875999999999976</v>
      </c>
      <c r="Z1327" s="237">
        <f t="shared" ca="1" si="921"/>
        <v>1102.1306399999996</v>
      </c>
      <c r="AA1327" s="238"/>
      <c r="AB1327" s="233" t="str">
        <f>IF(B1327="insumo",_xlfn.XLOOKUP(S1327,Insumos!A:A,Insumos!D:D),"")</f>
        <v/>
      </c>
      <c r="AC1327" s="239">
        <f t="shared" ca="1" si="922"/>
        <v>1.5811068865845501E-4</v>
      </c>
      <c r="AE1327" s="240">
        <f ca="1">IFERROR(IF(OR(Z1327="",Z1327=0),"",IF(AF1327="","",IF(AF1327="R$/mês",Z1327/OBRA!$D$12,IF(AF1327="R$/m²",Z1327/OBRA!$D$10,IF(AF1327="R$/apto",Orçamento!Z1327/OBRA!$D$11,""))))),"")</f>
        <v>0.56716427803193636</v>
      </c>
      <c r="AF1327" s="241" t="s">
        <v>154</v>
      </c>
    </row>
    <row r="1328" spans="1:32" s="10" customFormat="1" ht="13.15" hidden="1" customHeight="1" outlineLevel="4" x14ac:dyDescent="0.2">
      <c r="A1328" s="227"/>
      <c r="B1328" s="228" t="s">
        <v>19</v>
      </c>
      <c r="C1328" s="229">
        <f t="shared" si="920"/>
        <v>6</v>
      </c>
      <c r="D1328" s="227" t="str">
        <f t="shared" si="923"/>
        <v/>
      </c>
      <c r="E1328" s="228" t="str">
        <f t="shared" ca="1" si="924"/>
        <v>13.004.002.002</v>
      </c>
      <c r="F1328" s="230">
        <f ca="1">IF($B1328="UNIDADE CONSTRUTIVA",OFFSET(F1328,-1,0)+1,LARGE(F$10:F1327,1))</f>
        <v>2</v>
      </c>
      <c r="G1328" s="228" t="str">
        <f t="shared" ca="1" si="930"/>
        <v xml:space="preserve">   GERENCIAMENTO EXECUTIVO</v>
      </c>
      <c r="H1328" s="230">
        <f t="shared" ca="1" si="925"/>
        <v>13</v>
      </c>
      <c r="I1328" s="228" t="str">
        <f t="shared" ca="1" si="931"/>
        <v xml:space="preserve">   REVESTIMENTOS INTERNOS DE PAREDE</v>
      </c>
      <c r="J1328" s="230">
        <f t="shared" ca="1" si="926"/>
        <v>4</v>
      </c>
      <c r="K1328" s="228" t="str">
        <f t="shared" ca="1" si="932"/>
        <v xml:space="preserve">   REVESTIMENTOS INTERNOS DE PAREDE - 8º PAVIMENTO - COBERTURA</v>
      </c>
      <c r="L1328" s="231">
        <f t="shared" ca="1" si="927"/>
        <v>2</v>
      </c>
      <c r="M1328" s="228" t="str">
        <f t="shared" ca="1" si="933"/>
        <v xml:space="preserve">   Acabamentos Cerâmicos e Porcelanatos</v>
      </c>
      <c r="N1328" s="231">
        <f t="shared" ca="1" si="928"/>
        <v>2</v>
      </c>
      <c r="O1328" s="228" t="str">
        <f t="shared" ca="1" si="934"/>
        <v>Revestimento em Porcelanato 80x80cm interno</v>
      </c>
      <c r="P1328" s="232" t="str">
        <f>IF(S1328="","",IF(Orçamento!$B1328="INSUMO",S1328,""))</f>
        <v>REVESTIMENTO - HIT GRIS 80X80 NAT RET</v>
      </c>
      <c r="Q1328" s="244" t="str">
        <f t="shared" si="929"/>
        <v/>
      </c>
      <c r="R1328" s="234">
        <f t="shared" ca="1" si="935"/>
        <v>13.14</v>
      </c>
      <c r="S1328" s="233" t="s">
        <v>911</v>
      </c>
      <c r="T1328" s="242" t="str">
        <f>_xlfn.XLOOKUP(S1328,Insumos!$A$3:$A$371,Insumos!$B$3:$B$371)</f>
        <v>M2</v>
      </c>
      <c r="U1328" s="235">
        <f ca="1">IF($B1328="insumo",R1328,"")</f>
        <v>13.14</v>
      </c>
      <c r="V1328" s="320">
        <v>1.1499999999999999</v>
      </c>
      <c r="W1328" s="236">
        <f>IFERROR(IF(B1328="INSUMO",_xlfn.XLOOKUP(S1328,Insumos!A:A,Insumos!C:C),""),"Inserir Preço")</f>
        <v>60.29</v>
      </c>
      <c r="X1328" s="235">
        <f t="shared" ca="1" si="936"/>
        <v>15.110999999999999</v>
      </c>
      <c r="Y1328" s="236">
        <f t="shared" si="937"/>
        <v>69.333499999999987</v>
      </c>
      <c r="Z1328" s="237">
        <f t="shared" ca="1" si="921"/>
        <v>911.04218999999989</v>
      </c>
      <c r="AA1328" s="238"/>
      <c r="AB1328" s="233" t="str">
        <f>IF(B1328="insumo",_xlfn.XLOOKUP(S1328,Insumos!A:A,Insumos!D:D),"")</f>
        <v>Portobelo</v>
      </c>
      <c r="AC1328" s="239">
        <f t="shared" ca="1" si="922"/>
        <v>1.3069730831347456E-4</v>
      </c>
      <c r="AE1328" s="240">
        <f ca="1">IFERROR(IF(OR(Z1328="",Z1328=0),"",IF(AF1328="","",IF(AF1328="R$/mês",Z1328/OBRA!$D$12,IF(AF1328="R$/m²",Z1328/OBRA!$D$10,IF(AF1328="R$/apto",Orçamento!Z1328/OBRA!$D$11,""))))),"")</f>
        <v>0.4688288005022565</v>
      </c>
      <c r="AF1328" s="241" t="s">
        <v>154</v>
      </c>
    </row>
    <row r="1329" spans="1:32" s="10" customFormat="1" ht="13.15" hidden="1" customHeight="1" outlineLevel="4" x14ac:dyDescent="0.2">
      <c r="A1329" s="227"/>
      <c r="B1329" s="228" t="s">
        <v>19</v>
      </c>
      <c r="C1329" s="229">
        <f t="shared" si="920"/>
        <v>16</v>
      </c>
      <c r="D1329" s="227" t="str">
        <f t="shared" si="923"/>
        <v/>
      </c>
      <c r="E1329" s="228" t="str">
        <f t="shared" ca="1" si="924"/>
        <v>13.004.002.002</v>
      </c>
      <c r="F1329" s="230">
        <f ca="1">IF($B1329="UNIDADE CONSTRUTIVA",OFFSET(F1329,-1,0)+1,LARGE(F$10:F1328,1))</f>
        <v>2</v>
      </c>
      <c r="G1329" s="228" t="str">
        <f t="shared" ca="1" si="930"/>
        <v xml:space="preserve">   GERENCIAMENTO EXECUTIVO</v>
      </c>
      <c r="H1329" s="230">
        <f t="shared" ca="1" si="925"/>
        <v>13</v>
      </c>
      <c r="I1329" s="228" t="str">
        <f t="shared" ca="1" si="931"/>
        <v xml:space="preserve">   REVESTIMENTOS INTERNOS DE PAREDE</v>
      </c>
      <c r="J1329" s="230">
        <f t="shared" ca="1" si="926"/>
        <v>4</v>
      </c>
      <c r="K1329" s="228" t="str">
        <f t="shared" ca="1" si="932"/>
        <v xml:space="preserve">   REVESTIMENTOS INTERNOS DE PAREDE - 8º PAVIMENTO - COBERTURA</v>
      </c>
      <c r="L1329" s="231">
        <f t="shared" ca="1" si="927"/>
        <v>2</v>
      </c>
      <c r="M1329" s="228" t="str">
        <f t="shared" ca="1" si="933"/>
        <v xml:space="preserve">   Acabamentos Cerâmicos e Porcelanatos</v>
      </c>
      <c r="N1329" s="231">
        <f t="shared" ca="1" si="928"/>
        <v>2</v>
      </c>
      <c r="O1329" s="228" t="str">
        <f t="shared" ca="1" si="934"/>
        <v>Revestimento em Porcelanato 80x80cm interno</v>
      </c>
      <c r="P1329" s="232" t="str">
        <f>IF(S1329="","",IF(Orçamento!$B1329="INSUMO",S1329,""))</f>
        <v>ARGAMASSA COLANTE AC III</v>
      </c>
      <c r="Q1329" s="244" t="str">
        <f t="shared" si="929"/>
        <v/>
      </c>
      <c r="R1329" s="234">
        <f t="shared" ca="1" si="935"/>
        <v>13.14</v>
      </c>
      <c r="S1329" s="233" t="s">
        <v>357</v>
      </c>
      <c r="T1329" s="242" t="str">
        <f>_xlfn.XLOOKUP(S1329,Insumos!$A$3:$A$371,Insumos!$B$3:$B$371)</f>
        <v>KG</v>
      </c>
      <c r="U1329" s="235">
        <f ca="1">IF($B1329="insumo",R1329,"")</f>
        <v>13.14</v>
      </c>
      <c r="V1329" s="320">
        <v>12.5</v>
      </c>
      <c r="W1329" s="236">
        <f>IFERROR(IF(B1329="INSUMO",_xlfn.XLOOKUP(S1329,Insumos!A:A,Insumos!C:C),""),"Inserir Preço")</f>
        <v>0.92500000000000004</v>
      </c>
      <c r="X1329" s="235">
        <f t="shared" ca="1" si="936"/>
        <v>164.25</v>
      </c>
      <c r="Y1329" s="236">
        <f t="shared" si="937"/>
        <v>11.5625</v>
      </c>
      <c r="Z1329" s="237">
        <f t="shared" ca="1" si="921"/>
        <v>151.93125000000001</v>
      </c>
      <c r="AA1329" s="238"/>
      <c r="AB1329" s="233" t="str">
        <f>IF(B1329="insumo",_xlfn.XLOOKUP(S1329,Insumos!A:A,Insumos!D:D),"")</f>
        <v>Argabrus</v>
      </c>
      <c r="AC1329" s="239">
        <f t="shared" ca="1" si="922"/>
        <v>2.1795923000779567E-5</v>
      </c>
      <c r="AE1329" s="240">
        <f ca="1">IFERROR(IF(OR(Z1329="",Z1329=0),"",IF(AF1329="","",IF(AF1329="R$/mês",Z1329/OBRA!$D$12,IF(AF1329="R$/m²",Z1329/OBRA!$D$10,IF(AF1329="R$/apto",Orçamento!Z1329/OBRA!$D$11,""))))),"")</f>
        <v>7.8184903485434054E-2</v>
      </c>
      <c r="AF1329" s="241" t="s">
        <v>154</v>
      </c>
    </row>
    <row r="1330" spans="1:32" s="10" customFormat="1" ht="13.15" hidden="1" customHeight="1" outlineLevel="4" x14ac:dyDescent="0.2">
      <c r="A1330" s="227"/>
      <c r="B1330" s="228" t="s">
        <v>19</v>
      </c>
      <c r="C1330" s="229">
        <f t="shared" si="920"/>
        <v>32</v>
      </c>
      <c r="D1330" s="227" t="str">
        <f t="shared" si="923"/>
        <v/>
      </c>
      <c r="E1330" s="228" t="str">
        <f t="shared" ca="1" si="924"/>
        <v>13.004.002.002</v>
      </c>
      <c r="F1330" s="230">
        <f ca="1">IF($B1330="UNIDADE CONSTRUTIVA",OFFSET(F1330,-1,0)+1,LARGE(F$10:F1329,1))</f>
        <v>2</v>
      </c>
      <c r="G1330" s="228" t="str">
        <f t="shared" ca="1" si="930"/>
        <v xml:space="preserve">   GERENCIAMENTO EXECUTIVO</v>
      </c>
      <c r="H1330" s="230">
        <f t="shared" ca="1" si="925"/>
        <v>13</v>
      </c>
      <c r="I1330" s="228" t="str">
        <f t="shared" ca="1" si="931"/>
        <v xml:space="preserve">   REVESTIMENTOS INTERNOS DE PAREDE</v>
      </c>
      <c r="J1330" s="230">
        <f t="shared" ca="1" si="926"/>
        <v>4</v>
      </c>
      <c r="K1330" s="228" t="str">
        <f t="shared" ca="1" si="932"/>
        <v xml:space="preserve">   REVESTIMENTOS INTERNOS DE PAREDE - 8º PAVIMENTO - COBERTURA</v>
      </c>
      <c r="L1330" s="231">
        <f t="shared" ca="1" si="927"/>
        <v>2</v>
      </c>
      <c r="M1330" s="228" t="str">
        <f t="shared" ca="1" si="933"/>
        <v xml:space="preserve">   Acabamentos Cerâmicos e Porcelanatos</v>
      </c>
      <c r="N1330" s="231">
        <f t="shared" ca="1" si="928"/>
        <v>2</v>
      </c>
      <c r="O1330" s="228" t="str">
        <f t="shared" ca="1" si="934"/>
        <v>Revestimento em Porcelanato 80x80cm interno</v>
      </c>
      <c r="P1330" s="232" t="str">
        <f>IF(S1330="","",IF(Orçamento!$B1330="INSUMO",S1330,""))</f>
        <v>REJUNTE FLEXIVEL CIMENTICIO TIPO II NBR 14992</v>
      </c>
      <c r="Q1330" s="244" t="str">
        <f t="shared" si="929"/>
        <v/>
      </c>
      <c r="R1330" s="234">
        <f t="shared" ca="1" si="935"/>
        <v>13.14</v>
      </c>
      <c r="S1330" s="233" t="s">
        <v>734</v>
      </c>
      <c r="T1330" s="242" t="str">
        <f>_xlfn.XLOOKUP(S1330,Insumos!$A$3:$A$371,Insumos!$B$3:$B$371)</f>
        <v>KG</v>
      </c>
      <c r="U1330" s="235">
        <f ca="1">IF($B1330="insumo",R1330,"")</f>
        <v>13.14</v>
      </c>
      <c r="V1330" s="320">
        <v>0.5</v>
      </c>
      <c r="W1330" s="236">
        <f>IFERROR(IF(B1330="INSUMO",_xlfn.XLOOKUP(S1330,Insumos!A:A,Insumos!C:C),""),"Inserir Preço")</f>
        <v>4.2</v>
      </c>
      <c r="X1330" s="235">
        <f t="shared" ca="1" si="936"/>
        <v>6.57</v>
      </c>
      <c r="Y1330" s="236">
        <f t="shared" si="937"/>
        <v>2.1</v>
      </c>
      <c r="Z1330" s="237">
        <f t="shared" ca="1" si="921"/>
        <v>27.594000000000001</v>
      </c>
      <c r="AA1330" s="238"/>
      <c r="AB1330" s="233" t="str">
        <f>IF(B1330="insumo",_xlfn.XLOOKUP(S1330,Insumos!A:A,Insumos!D:D),"")</f>
        <v>Distribuidora Sika</v>
      </c>
      <c r="AC1330" s="239">
        <f t="shared" ca="1" si="922"/>
        <v>3.958610880141586E-6</v>
      </c>
      <c r="AE1330" s="240">
        <f ca="1">IFERROR(IF(OR(Z1330="",Z1330=0),"",IF(AF1330="","",IF(AF1330="R$/mês",Z1330/OBRA!$D$12,IF(AF1330="R$/m²",Z1330/OBRA!$D$10,IF(AF1330="R$/apto",Orçamento!Z1330/OBRA!$D$11,""))))),"")</f>
        <v>1.4200068957354508E-2</v>
      </c>
      <c r="AF1330" s="241" t="s">
        <v>154</v>
      </c>
    </row>
    <row r="1331" spans="1:32" s="10" customFormat="1" ht="13.15" hidden="1" customHeight="1" outlineLevel="4" x14ac:dyDescent="0.2">
      <c r="A1331" s="227"/>
      <c r="B1331" s="228" t="s">
        <v>19</v>
      </c>
      <c r="C1331" s="229">
        <f t="shared" si="920"/>
        <v>15</v>
      </c>
      <c r="D1331" s="227" t="str">
        <f t="shared" si="923"/>
        <v/>
      </c>
      <c r="E1331" s="228" t="str">
        <f t="shared" ca="1" si="924"/>
        <v>13.004.002.002</v>
      </c>
      <c r="F1331" s="230">
        <f ca="1">IF($B1331="UNIDADE CONSTRUTIVA",OFFSET(F1331,-1,0)+1,LARGE(F$10:F1330,1))</f>
        <v>2</v>
      </c>
      <c r="G1331" s="228" t="str">
        <f t="shared" ca="1" si="930"/>
        <v xml:space="preserve">   GERENCIAMENTO EXECUTIVO</v>
      </c>
      <c r="H1331" s="230">
        <f t="shared" ca="1" si="925"/>
        <v>13</v>
      </c>
      <c r="I1331" s="228" t="str">
        <f t="shared" ca="1" si="931"/>
        <v xml:space="preserve">   REVESTIMENTOS INTERNOS DE PAREDE</v>
      </c>
      <c r="J1331" s="230">
        <f t="shared" ca="1" si="926"/>
        <v>4</v>
      </c>
      <c r="K1331" s="228" t="str">
        <f t="shared" ca="1" si="932"/>
        <v xml:space="preserve">   REVESTIMENTOS INTERNOS DE PAREDE - 8º PAVIMENTO - COBERTURA</v>
      </c>
      <c r="L1331" s="231">
        <f t="shared" ca="1" si="927"/>
        <v>2</v>
      </c>
      <c r="M1331" s="228" t="str">
        <f t="shared" ca="1" si="933"/>
        <v xml:space="preserve">   Acabamentos Cerâmicos e Porcelanatos</v>
      </c>
      <c r="N1331" s="231">
        <f t="shared" ca="1" si="928"/>
        <v>2</v>
      </c>
      <c r="O1331" s="228" t="str">
        <f t="shared" ca="1" si="934"/>
        <v>Revestimento em Porcelanato 80x80cm interno</v>
      </c>
      <c r="P1331" s="232" t="str">
        <f>IF(S1331="","",IF(Orçamento!$B1331="INSUMO",S1331,""))</f>
        <v>ESPACADOR PVC JUNTA PISO 3,0MM NBR 6118</v>
      </c>
      <c r="Q1331" s="244" t="str">
        <f t="shared" si="929"/>
        <v/>
      </c>
      <c r="R1331" s="234">
        <f t="shared" ca="1" si="935"/>
        <v>13.14</v>
      </c>
      <c r="S1331" s="233" t="s">
        <v>716</v>
      </c>
      <c r="T1331" s="242" t="str">
        <f>_xlfn.XLOOKUP(S1331,Insumos!$A$3:$A$371,Insumos!$B$3:$B$371)</f>
        <v>UN</v>
      </c>
      <c r="U1331" s="235">
        <f ca="1">IF($B1331="insumo",R1331,"")</f>
        <v>13.14</v>
      </c>
      <c r="V1331" s="320">
        <v>4</v>
      </c>
      <c r="W1331" s="236">
        <f>IFERROR(IF(B1331="INSUMO",_xlfn.XLOOKUP(S1331,Insumos!A:A,Insumos!C:C),""),"Inserir Preço")</f>
        <v>0.22</v>
      </c>
      <c r="X1331" s="235">
        <f t="shared" ca="1" si="936"/>
        <v>52.56</v>
      </c>
      <c r="Y1331" s="236">
        <f t="shared" si="937"/>
        <v>0.88</v>
      </c>
      <c r="Z1331" s="237">
        <f t="shared" ca="1" si="921"/>
        <v>11.5632</v>
      </c>
      <c r="AA1331" s="238"/>
      <c r="AB1331" s="233" t="str">
        <f>IF(B1331="insumo",_xlfn.XLOOKUP(S1331,Insumos!A:A,Insumos!D:D),"")</f>
        <v>Base de Dados</v>
      </c>
      <c r="AC1331" s="239">
        <f t="shared" ca="1" si="922"/>
        <v>1.6588464640593312E-6</v>
      </c>
      <c r="AE1331" s="240">
        <f ca="1">IFERROR(IF(OR(Z1331="",Z1331=0),"",IF(AF1331="","",IF(AF1331="R$/mês",Z1331/OBRA!$D$12,IF(AF1331="R$/m²",Z1331/OBRA!$D$10,IF(AF1331="R$/apto",Orçamento!Z1331/OBRA!$D$11,""))))),"")</f>
        <v>5.9505050868914125E-3</v>
      </c>
      <c r="AF1331" s="241" t="s">
        <v>154</v>
      </c>
    </row>
    <row r="1332" spans="1:32" s="10" customFormat="1" ht="13.15" hidden="1" customHeight="1" outlineLevel="3" collapsed="1" x14ac:dyDescent="0.2">
      <c r="A1332" s="227"/>
      <c r="B1332" s="228" t="s">
        <v>3</v>
      </c>
      <c r="C1332" s="229" t="str">
        <f t="shared" si="920"/>
        <v/>
      </c>
      <c r="D1332" s="227" t="str">
        <f t="shared" ca="1" si="923"/>
        <v>13.004.003</v>
      </c>
      <c r="E1332" s="228" t="str">
        <f t="shared" ca="1" si="924"/>
        <v>13.004.002.002</v>
      </c>
      <c r="F1332" s="230">
        <f ca="1">IF($B1332="UNIDADE CONSTRUTIVA",OFFSET(F1332,-1,0)+1,LARGE(F$10:F1331,1))</f>
        <v>2</v>
      </c>
      <c r="G1332" s="228" t="str">
        <f t="shared" ca="1" si="930"/>
        <v xml:space="preserve">   GERENCIAMENTO EXECUTIVO</v>
      </c>
      <c r="H1332" s="230">
        <f t="shared" ca="1" si="925"/>
        <v>13</v>
      </c>
      <c r="I1332" s="228" t="str">
        <f t="shared" ca="1" si="931"/>
        <v xml:space="preserve">   REVESTIMENTOS INTERNOS DE PAREDE</v>
      </c>
      <c r="J1332" s="230">
        <f t="shared" ca="1" si="926"/>
        <v>4</v>
      </c>
      <c r="K1332" s="228" t="str">
        <f t="shared" ca="1" si="932"/>
        <v xml:space="preserve">   REVESTIMENTOS INTERNOS DE PAREDE - 8º PAVIMENTO - COBERTURA</v>
      </c>
      <c r="L1332" s="231">
        <f t="shared" ca="1" si="927"/>
        <v>3</v>
      </c>
      <c r="M1332" s="228" t="str">
        <f t="shared" ca="1" si="933"/>
        <v xml:space="preserve">   Peitoris</v>
      </c>
      <c r="N1332" s="231">
        <f t="shared" ca="1" si="928"/>
        <v>0</v>
      </c>
      <c r="O1332" s="228" t="str">
        <f t="shared" ca="1" si="934"/>
        <v>Revestimento em Porcelanato 80x80cm interno</v>
      </c>
      <c r="P1332" s="232" t="str">
        <f>IF(S1332="","",IF(Orçamento!$B1332="INSUMO",S1332,""))</f>
        <v/>
      </c>
      <c r="Q1332" s="244" t="str">
        <f t="shared" si="929"/>
        <v/>
      </c>
      <c r="R1332" s="234">
        <f t="shared" ca="1" si="935"/>
        <v>13.14</v>
      </c>
      <c r="S1332" s="233" t="s">
        <v>493</v>
      </c>
      <c r="T1332" s="242" t="s">
        <v>35</v>
      </c>
      <c r="U1332" s="235" t="str">
        <f>IF($B1332="insumo",R1332,"")</f>
        <v/>
      </c>
      <c r="V1332" s="320" t="s">
        <v>35</v>
      </c>
      <c r="W1332" s="236" t="str">
        <f>IFERROR(IF(B1332="INSUMO",_xlfn.XLOOKUP(S1332,Insumos!A:A,Insumos!C:C),""),"Inserir Preço")</f>
        <v/>
      </c>
      <c r="X1332" s="235" t="str">
        <f t="shared" ca="1" si="936"/>
        <v/>
      </c>
      <c r="Y1332" s="236" t="str">
        <f t="shared" si="937"/>
        <v/>
      </c>
      <c r="Z1332" s="237">
        <f t="shared" ca="1" si="921"/>
        <v>1748.9231625</v>
      </c>
      <c r="AA1332" s="238"/>
      <c r="AB1332" s="233" t="str">
        <f>IF(B1332="insumo",_xlfn.XLOOKUP(S1332,Insumos!A:A,Insumos!D:D),"")</f>
        <v/>
      </c>
      <c r="AC1332" s="239">
        <f t="shared" ca="1" si="922"/>
        <v>2.5089897295079116E-4</v>
      </c>
      <c r="AE1332" s="240">
        <f ca="1">IFERROR(IF(OR(Z1332="",Z1332=0),"",IF(AF1332="","",IF(AF1332="R$/mês",Z1332/OBRA!$D$12,IF(AF1332="R$/m²",Z1332/OBRA!$D$10,IF(AF1332="R$/apto",Orçamento!Z1332/OBRA!$D$11,""))))),"")</f>
        <v>0.90000831733762854</v>
      </c>
      <c r="AF1332" s="241" t="s">
        <v>154</v>
      </c>
    </row>
    <row r="1333" spans="1:32" s="10" customFormat="1" ht="13.15" hidden="1" customHeight="1" outlineLevel="4" x14ac:dyDescent="0.2">
      <c r="A1333" s="227"/>
      <c r="B1333" s="228" t="s">
        <v>4</v>
      </c>
      <c r="C1333" s="229">
        <f t="shared" si="920"/>
        <v>5</v>
      </c>
      <c r="D1333" s="227" t="str">
        <f t="shared" ca="1" si="923"/>
        <v>13.004.003.001</v>
      </c>
      <c r="E1333" s="228" t="str">
        <f t="shared" ca="1" si="924"/>
        <v>13.004.003.001</v>
      </c>
      <c r="F1333" s="230">
        <f ca="1">IF($B1333="UNIDADE CONSTRUTIVA",OFFSET(F1333,-1,0)+1,LARGE(F$10:F1332,1))</f>
        <v>2</v>
      </c>
      <c r="G1333" s="228" t="str">
        <f t="shared" ca="1" si="930"/>
        <v xml:space="preserve">   GERENCIAMENTO EXECUTIVO</v>
      </c>
      <c r="H1333" s="230">
        <f t="shared" ca="1" si="925"/>
        <v>13</v>
      </c>
      <c r="I1333" s="228" t="str">
        <f t="shared" ca="1" si="931"/>
        <v xml:space="preserve">   REVESTIMENTOS INTERNOS DE PAREDE</v>
      </c>
      <c r="J1333" s="230">
        <f t="shared" ca="1" si="926"/>
        <v>4</v>
      </c>
      <c r="K1333" s="228" t="str">
        <f t="shared" ca="1" si="932"/>
        <v xml:space="preserve">   REVESTIMENTOS INTERNOS DE PAREDE - 8º PAVIMENTO - COBERTURA</v>
      </c>
      <c r="L1333" s="231">
        <f t="shared" ca="1" si="927"/>
        <v>3</v>
      </c>
      <c r="M1333" s="228" t="str">
        <f t="shared" ca="1" si="933"/>
        <v xml:space="preserve">   Peitoris</v>
      </c>
      <c r="N1333" s="231">
        <f t="shared" ca="1" si="928"/>
        <v>1</v>
      </c>
      <c r="O1333" s="228" t="str">
        <f t="shared" ca="1" si="934"/>
        <v>Peitoril em granito, acabamento polido, espessura 2cm</v>
      </c>
      <c r="P1333" s="232" t="str">
        <f>IF(S1333="","",IF(Orçamento!$B1333="INSUMO",S1333,""))</f>
        <v/>
      </c>
      <c r="Q1333" s="244" t="str">
        <f t="shared" si="929"/>
        <v>Peitoril em granito, acabamento polido, espessura 2cm</v>
      </c>
      <c r="R1333" s="234">
        <f t="shared" ca="1" si="935"/>
        <v>18.05</v>
      </c>
      <c r="S1333" s="233" t="s">
        <v>494</v>
      </c>
      <c r="T1333" s="242" t="s">
        <v>158</v>
      </c>
      <c r="U1333" s="235">
        <v>18.05</v>
      </c>
      <c r="V1333" s="320" t="s">
        <v>35</v>
      </c>
      <c r="W1333" s="236" t="str">
        <f>IFERROR(IF(B1333="INSUMO",_xlfn.XLOOKUP(S1333,Insumos!A:A,Insumos!C:C),""),"Inserir Preço")</f>
        <v/>
      </c>
      <c r="X1333" s="235">
        <f t="shared" ca="1" si="936"/>
        <v>18.05</v>
      </c>
      <c r="Y1333" s="236">
        <f t="shared" ca="1" si="937"/>
        <v>96.893250000000009</v>
      </c>
      <c r="Z1333" s="237">
        <f t="shared" ca="1" si="921"/>
        <v>1748.9231625000002</v>
      </c>
      <c r="AA1333" s="238"/>
      <c r="AB1333" s="233" t="str">
        <f>IF(B1333="insumo",_xlfn.XLOOKUP(S1333,Insumos!A:A,Insumos!D:D),"")</f>
        <v/>
      </c>
      <c r="AC1333" s="239">
        <f t="shared" ca="1" si="922"/>
        <v>2.5089897295079116E-4</v>
      </c>
      <c r="AE1333" s="240">
        <f ca="1">IFERROR(IF(OR(Z1333="",Z1333=0),"",IF(AF1333="","",IF(AF1333="R$/mês",Z1333/OBRA!$D$12,IF(AF1333="R$/m²",Z1333/OBRA!$D$10,IF(AF1333="R$/apto",Orçamento!Z1333/OBRA!$D$11,""))))),"")</f>
        <v>0.90000831733762865</v>
      </c>
      <c r="AF1333" s="241" t="s">
        <v>154</v>
      </c>
    </row>
    <row r="1334" spans="1:32" s="10" customFormat="1" ht="13.15" hidden="1" customHeight="1" outlineLevel="4" x14ac:dyDescent="0.2">
      <c r="A1334" s="227"/>
      <c r="B1334" s="228" t="s">
        <v>19</v>
      </c>
      <c r="C1334" s="229">
        <f t="shared" si="920"/>
        <v>16</v>
      </c>
      <c r="D1334" s="227" t="str">
        <f t="shared" si="923"/>
        <v/>
      </c>
      <c r="E1334" s="228" t="str">
        <f t="shared" ca="1" si="924"/>
        <v>13.004.003.001</v>
      </c>
      <c r="F1334" s="230">
        <f ca="1">IF($B1334="UNIDADE CONSTRUTIVA",OFFSET(F1334,-1,0)+1,LARGE(F$10:F1333,1))</f>
        <v>2</v>
      </c>
      <c r="G1334" s="228" t="str">
        <f t="shared" ca="1" si="930"/>
        <v xml:space="preserve">   GERENCIAMENTO EXECUTIVO</v>
      </c>
      <c r="H1334" s="230">
        <f t="shared" ca="1" si="925"/>
        <v>13</v>
      </c>
      <c r="I1334" s="228" t="str">
        <f t="shared" ca="1" si="931"/>
        <v xml:space="preserve">   REVESTIMENTOS INTERNOS DE PAREDE</v>
      </c>
      <c r="J1334" s="230">
        <f t="shared" ca="1" si="926"/>
        <v>4</v>
      </c>
      <c r="K1334" s="228" t="str">
        <f t="shared" ca="1" si="932"/>
        <v xml:space="preserve">   REVESTIMENTOS INTERNOS DE PAREDE - 8º PAVIMENTO - COBERTURA</v>
      </c>
      <c r="L1334" s="231">
        <f t="shared" ca="1" si="927"/>
        <v>3</v>
      </c>
      <c r="M1334" s="228" t="str">
        <f t="shared" ca="1" si="933"/>
        <v xml:space="preserve">   Peitoris</v>
      </c>
      <c r="N1334" s="231">
        <f t="shared" ca="1" si="928"/>
        <v>1</v>
      </c>
      <c r="O1334" s="228" t="str">
        <f t="shared" ca="1" si="934"/>
        <v>Peitoril em granito, acabamento polido, espessura 2cm</v>
      </c>
      <c r="P1334" s="232" t="str">
        <f>IF(S1334="","",IF(Orçamento!$B1334="INSUMO",S1334,""))</f>
        <v>ARGAMASSA COLANTE AC III</v>
      </c>
      <c r="Q1334" s="244" t="str">
        <f t="shared" si="929"/>
        <v/>
      </c>
      <c r="R1334" s="234">
        <f t="shared" ca="1" si="935"/>
        <v>18.05</v>
      </c>
      <c r="S1334" s="233" t="s">
        <v>357</v>
      </c>
      <c r="T1334" s="242" t="str">
        <f>_xlfn.XLOOKUP(S1334,Insumos!$A$3:$A$371,Insumos!$B$3:$B$371)</f>
        <v>KG</v>
      </c>
      <c r="U1334" s="235">
        <f ca="1">IF($B1334="insumo",R1334,"")</f>
        <v>18.05</v>
      </c>
      <c r="V1334" s="320">
        <v>1.29</v>
      </c>
      <c r="W1334" s="236">
        <f>IFERROR(IF(B1334="INSUMO",_xlfn.XLOOKUP(S1334,Insumos!A:A,Insumos!C:C),""),"Inserir Preço")</f>
        <v>0.92500000000000004</v>
      </c>
      <c r="X1334" s="235">
        <f t="shared" ca="1" si="936"/>
        <v>23.284500000000001</v>
      </c>
      <c r="Y1334" s="236">
        <f t="shared" si="937"/>
        <v>1.1932500000000001</v>
      </c>
      <c r="Z1334" s="237">
        <f t="shared" ca="1" si="921"/>
        <v>21.538162500000002</v>
      </c>
      <c r="AA1334" s="238"/>
      <c r="AB1334" s="233" t="str">
        <f>IF(B1334="insumo",_xlfn.XLOOKUP(S1334,Insumos!A:A,Insumos!D:D),"")</f>
        <v>Argabrus</v>
      </c>
      <c r="AC1334" s="239">
        <f t="shared" ca="1" si="922"/>
        <v>3.0898457784575455E-6</v>
      </c>
      <c r="AE1334" s="240">
        <f ca="1">IFERROR(IF(OR(Z1334="",Z1334=0),"",IF(AF1334="","",IF(AF1334="R$/mês",Z1334/OBRA!$D$12,IF(AF1334="R$/m²",Z1334/OBRA!$D$10,IF(AF1334="R$/apto",Orçamento!Z1334/OBRA!$D$11,""))))),"")</f>
        <v>1.1083691842962491E-2</v>
      </c>
      <c r="AF1334" s="241" t="s">
        <v>154</v>
      </c>
    </row>
    <row r="1335" spans="1:32" s="10" customFormat="1" ht="13.15" hidden="1" customHeight="1" outlineLevel="4" x14ac:dyDescent="0.2">
      <c r="A1335" s="227"/>
      <c r="B1335" s="228" t="s">
        <v>19</v>
      </c>
      <c r="C1335" s="229">
        <f t="shared" si="920"/>
        <v>11</v>
      </c>
      <c r="D1335" s="227" t="str">
        <f t="shared" si="923"/>
        <v/>
      </c>
      <c r="E1335" s="228" t="str">
        <f t="shared" ca="1" si="924"/>
        <v>13.004.003.001</v>
      </c>
      <c r="F1335" s="230">
        <f ca="1">IF($B1335="UNIDADE CONSTRUTIVA",OFFSET(F1335,-1,0)+1,LARGE(F$10:F1334,1))</f>
        <v>2</v>
      </c>
      <c r="G1335" s="228" t="str">
        <f t="shared" ca="1" si="930"/>
        <v xml:space="preserve">   GERENCIAMENTO EXECUTIVO</v>
      </c>
      <c r="H1335" s="230">
        <f t="shared" ca="1" si="925"/>
        <v>13</v>
      </c>
      <c r="I1335" s="228" t="str">
        <f t="shared" ca="1" si="931"/>
        <v xml:space="preserve">   REVESTIMENTOS INTERNOS DE PAREDE</v>
      </c>
      <c r="J1335" s="230">
        <f t="shared" ca="1" si="926"/>
        <v>4</v>
      </c>
      <c r="K1335" s="228" t="str">
        <f t="shared" ca="1" si="932"/>
        <v xml:space="preserve">   REVESTIMENTOS INTERNOS DE PAREDE - 8º PAVIMENTO - COBERTURA</v>
      </c>
      <c r="L1335" s="231">
        <f t="shared" ca="1" si="927"/>
        <v>3</v>
      </c>
      <c r="M1335" s="228" t="str">
        <f t="shared" ca="1" si="933"/>
        <v xml:space="preserve">   Peitoris</v>
      </c>
      <c r="N1335" s="231">
        <f t="shared" ca="1" si="928"/>
        <v>1</v>
      </c>
      <c r="O1335" s="228" t="str">
        <f t="shared" ca="1" si="934"/>
        <v>Peitoril em granito, acabamento polido, espessura 2cm</v>
      </c>
      <c r="P1335" s="232" t="str">
        <f>IF(S1335="","",IF(Orçamento!$B1335="INSUMO",S1335,""))</f>
        <v>GRANITO POLIDO</v>
      </c>
      <c r="Q1335" s="244" t="str">
        <f t="shared" si="929"/>
        <v/>
      </c>
      <c r="R1335" s="234">
        <f t="shared" ca="1" si="935"/>
        <v>18.05</v>
      </c>
      <c r="S1335" s="233" t="s">
        <v>286</v>
      </c>
      <c r="T1335" s="242" t="str">
        <f>_xlfn.XLOOKUP(S1335,Insumos!$A$3:$A$371,Insumos!$B$3:$B$371)</f>
        <v>M2</v>
      </c>
      <c r="U1335" s="235">
        <f ca="1">IF($B1335="insumo",R1335,"")</f>
        <v>18.05</v>
      </c>
      <c r="V1335" s="320">
        <v>0.15</v>
      </c>
      <c r="W1335" s="236">
        <f>IFERROR(IF(B1335="INSUMO",_xlfn.XLOOKUP(S1335,Insumos!A:A,Insumos!C:C),""),"Inserir Preço")</f>
        <v>638</v>
      </c>
      <c r="X1335" s="235">
        <f t="shared" ca="1" si="936"/>
        <v>2.7075</v>
      </c>
      <c r="Y1335" s="236">
        <f t="shared" si="937"/>
        <v>95.7</v>
      </c>
      <c r="Z1335" s="237">
        <f t="shared" ca="1" si="921"/>
        <v>1727.385</v>
      </c>
      <c r="AA1335" s="238"/>
      <c r="AB1335" s="233" t="str">
        <f>IF(B1335="insumo",_xlfn.XLOOKUP(S1335,Insumos!A:A,Insumos!D:D),"")</f>
        <v xml:space="preserve"> </v>
      </c>
      <c r="AC1335" s="239">
        <f t="shared" ca="1" si="922"/>
        <v>2.4780912717233358E-4</v>
      </c>
      <c r="AE1335" s="240">
        <f ca="1">IFERROR(IF(OR(Z1335="",Z1335=0),"",IF(AF1335="","",IF(AF1335="R$/mês",Z1335/OBRA!$D$12,IF(AF1335="R$/m²",Z1335/OBRA!$D$10,IF(AF1335="R$/apto",Orçamento!Z1335/OBRA!$D$11,""))))),"")</f>
        <v>0.88892462549466611</v>
      </c>
      <c r="AF1335" s="241" t="s">
        <v>154</v>
      </c>
    </row>
    <row r="1336" spans="1:32" s="10" customFormat="1" ht="13.15" hidden="1" customHeight="1" outlineLevel="3" collapsed="1" x14ac:dyDescent="0.2">
      <c r="A1336" s="227"/>
      <c r="B1336" s="228" t="s">
        <v>3</v>
      </c>
      <c r="C1336" s="229" t="str">
        <f t="shared" si="920"/>
        <v/>
      </c>
      <c r="D1336" s="227" t="str">
        <f t="shared" ca="1" si="923"/>
        <v>13.004.004</v>
      </c>
      <c r="E1336" s="228" t="str">
        <f t="shared" ca="1" si="924"/>
        <v>13.004.003.001</v>
      </c>
      <c r="F1336" s="230">
        <f ca="1">IF($B1336="UNIDADE CONSTRUTIVA",OFFSET(F1336,-1,0)+1,LARGE(F$10:F1335,1))</f>
        <v>2</v>
      </c>
      <c r="G1336" s="228" t="str">
        <f t="shared" ca="1" si="930"/>
        <v xml:space="preserve">   GERENCIAMENTO EXECUTIVO</v>
      </c>
      <c r="H1336" s="230">
        <f t="shared" ca="1" si="925"/>
        <v>13</v>
      </c>
      <c r="I1336" s="228" t="str">
        <f t="shared" ca="1" si="931"/>
        <v xml:space="preserve">   REVESTIMENTOS INTERNOS DE PAREDE</v>
      </c>
      <c r="J1336" s="230">
        <f t="shared" ca="1" si="926"/>
        <v>4</v>
      </c>
      <c r="K1336" s="228" t="str">
        <f t="shared" ca="1" si="932"/>
        <v xml:space="preserve">   REVESTIMENTOS INTERNOS DE PAREDE - 8º PAVIMENTO - COBERTURA</v>
      </c>
      <c r="L1336" s="231">
        <f t="shared" ca="1" si="927"/>
        <v>4</v>
      </c>
      <c r="M1336" s="228" t="str">
        <f t="shared" ca="1" si="933"/>
        <v xml:space="preserve">   Mão de Obra</v>
      </c>
      <c r="N1336" s="231">
        <f t="shared" ca="1" si="928"/>
        <v>0</v>
      </c>
      <c r="O1336" s="228" t="str">
        <f t="shared" ca="1" si="934"/>
        <v>Peitoril em granito, acabamento polido, espessura 2cm</v>
      </c>
      <c r="P1336" s="232" t="str">
        <f>IF(S1336="","",IF(Orçamento!$B1336="INSUMO",S1336,""))</f>
        <v/>
      </c>
      <c r="Q1336" s="244" t="str">
        <f t="shared" si="929"/>
        <v/>
      </c>
      <c r="R1336" s="234">
        <f t="shared" ca="1" si="935"/>
        <v>18.05</v>
      </c>
      <c r="S1336" s="233" t="s">
        <v>438</v>
      </c>
      <c r="T1336" s="242" t="s">
        <v>35</v>
      </c>
      <c r="U1336" s="235" t="str">
        <f>IF($B1336="insumo",R1336,"")</f>
        <v/>
      </c>
      <c r="V1336" s="320" t="s">
        <v>35</v>
      </c>
      <c r="W1336" s="236" t="str">
        <f>IFERROR(IF(B1336="INSUMO",_xlfn.XLOOKUP(S1336,Insumos!A:A,Insumos!C:C),""),"Inserir Preço")</f>
        <v/>
      </c>
      <c r="X1336" s="235" t="str">
        <f t="shared" ca="1" si="936"/>
        <v/>
      </c>
      <c r="Y1336" s="236" t="str">
        <f t="shared" si="937"/>
        <v/>
      </c>
      <c r="Z1336" s="237">
        <f t="shared" ca="1" si="921"/>
        <v>17841.911689360077</v>
      </c>
      <c r="AA1336" s="238"/>
      <c r="AB1336" s="233" t="str">
        <f>IF(B1336="insumo",_xlfn.XLOOKUP(S1336,Insumos!A:A,Insumos!D:D),"")</f>
        <v/>
      </c>
      <c r="AC1336" s="239">
        <f t="shared" ca="1" si="922"/>
        <v>2.5595849001966422E-3</v>
      </c>
      <c r="AE1336" s="240">
        <f ca="1">IFERROR(IF(OR(Z1336="",Z1336=0),"",IF(AF1336="","",IF(AF1336="R$/mês",Z1336/OBRA!$D$12,IF(AF1336="R$/m²",Z1336/OBRA!$D$10,IF(AF1336="R$/apto",Orçamento!Z1336/OBRA!$D$11,""))))),"")</f>
        <v>9.1815748467037235</v>
      </c>
      <c r="AF1336" s="241" t="s">
        <v>154</v>
      </c>
    </row>
    <row r="1337" spans="1:32" s="10" customFormat="1" ht="13.15" hidden="1" customHeight="1" outlineLevel="4" x14ac:dyDescent="0.2">
      <c r="A1337" s="227"/>
      <c r="B1337" s="228" t="s">
        <v>4</v>
      </c>
      <c r="C1337" s="229">
        <f t="shared" si="920"/>
        <v>5</v>
      </c>
      <c r="D1337" s="227" t="str">
        <f t="shared" ca="1" si="923"/>
        <v>13.004.004.001</v>
      </c>
      <c r="E1337" s="228" t="str">
        <f t="shared" ca="1" si="924"/>
        <v>13.004.004.001</v>
      </c>
      <c r="F1337" s="230">
        <f ca="1">IF($B1337="UNIDADE CONSTRUTIVA",OFFSET(F1337,-1,0)+1,LARGE(F$10:F1336,1))</f>
        <v>2</v>
      </c>
      <c r="G1337" s="228" t="str">
        <f t="shared" ca="1" si="930"/>
        <v xml:space="preserve">   GERENCIAMENTO EXECUTIVO</v>
      </c>
      <c r="H1337" s="230">
        <f t="shared" ca="1" si="925"/>
        <v>13</v>
      </c>
      <c r="I1337" s="228" t="str">
        <f t="shared" ca="1" si="931"/>
        <v xml:space="preserve">   REVESTIMENTOS INTERNOS DE PAREDE</v>
      </c>
      <c r="J1337" s="230">
        <f t="shared" ca="1" si="926"/>
        <v>4</v>
      </c>
      <c r="K1337" s="228" t="str">
        <f t="shared" ca="1" si="932"/>
        <v xml:space="preserve">   REVESTIMENTOS INTERNOS DE PAREDE - 8º PAVIMENTO - COBERTURA</v>
      </c>
      <c r="L1337" s="231">
        <f t="shared" ca="1" si="927"/>
        <v>4</v>
      </c>
      <c r="M1337" s="228" t="str">
        <f t="shared" ca="1" si="933"/>
        <v xml:space="preserve">   Mão de Obra</v>
      </c>
      <c r="N1337" s="231">
        <f t="shared" ca="1" si="928"/>
        <v>1</v>
      </c>
      <c r="O1337" s="228" t="str">
        <f t="shared" ca="1" si="934"/>
        <v>Mao de obra para reboco interno, incluindo chapisco</v>
      </c>
      <c r="P1337" s="232" t="str">
        <f>IF(S1337="","",IF(Orçamento!$B1337="INSUMO",S1337,""))</f>
        <v/>
      </c>
      <c r="Q1337" s="244" t="str">
        <f t="shared" si="929"/>
        <v>Mao de obra para reboco interno, incluindo chapisco</v>
      </c>
      <c r="R1337" s="234">
        <f t="shared" ca="1" si="935"/>
        <v>283.59100000000001</v>
      </c>
      <c r="S1337" s="233" t="s">
        <v>483</v>
      </c>
      <c r="T1337" s="242" t="s">
        <v>140</v>
      </c>
      <c r="U1337" s="235">
        <f>U1313</f>
        <v>283.59100000000001</v>
      </c>
      <c r="V1337" s="320" t="s">
        <v>35</v>
      </c>
      <c r="W1337" s="236" t="str">
        <f>IFERROR(IF(B1337="INSUMO",_xlfn.XLOOKUP(S1337,Insumos!A:A,Insumos!C:C),""),"Inserir Preço")</f>
        <v/>
      </c>
      <c r="X1337" s="235">
        <f t="shared" ca="1" si="936"/>
        <v>283.59100000000001</v>
      </c>
      <c r="Y1337" s="236">
        <f t="shared" ca="1" si="937"/>
        <v>40.637259305842548</v>
      </c>
      <c r="Z1337" s="237">
        <f t="shared" ca="1" si="921"/>
        <v>11524.361003803195</v>
      </c>
      <c r="AA1337" s="238"/>
      <c r="AB1337" s="233" t="str">
        <f>IF(B1337="insumo",_xlfn.XLOOKUP(S1337,Insumos!A:A,Insumos!D:D),"")</f>
        <v/>
      </c>
      <c r="AC1337" s="239">
        <f t="shared" ca="1" si="922"/>
        <v>1.6532746559518277E-3</v>
      </c>
      <c r="AE1337" s="240">
        <f ca="1">IFERROR(IF(OR(Z1337="",Z1337=0),"",IF(AF1337="","",IF(AF1337="R$/mês",Z1337/OBRA!$D$12,IF(AF1337="R$/m²",Z1337/OBRA!$D$10,IF(AF1337="R$/apto",Orçamento!Z1337/OBRA!$D$11,""))))),"")</f>
        <v>5.9305182627909172</v>
      </c>
      <c r="AF1337" s="241" t="s">
        <v>154</v>
      </c>
    </row>
    <row r="1338" spans="1:32" s="10" customFormat="1" ht="13.15" hidden="1" customHeight="1" outlineLevel="4" x14ac:dyDescent="0.2">
      <c r="A1338" s="227"/>
      <c r="B1338" s="228" t="s">
        <v>19</v>
      </c>
      <c r="C1338" s="229">
        <f t="shared" si="920"/>
        <v>5</v>
      </c>
      <c r="D1338" s="227" t="str">
        <f t="shared" si="923"/>
        <v/>
      </c>
      <c r="E1338" s="228" t="str">
        <f t="shared" ca="1" si="924"/>
        <v>13.004.004.001</v>
      </c>
      <c r="F1338" s="230">
        <f ca="1">IF($B1338="UNIDADE CONSTRUTIVA",OFFSET(F1338,-1,0)+1,LARGE(F$10:F1337,1))</f>
        <v>2</v>
      </c>
      <c r="G1338" s="228" t="str">
        <f t="shared" ca="1" si="930"/>
        <v xml:space="preserve">   GERENCIAMENTO EXECUTIVO</v>
      </c>
      <c r="H1338" s="230">
        <f t="shared" ca="1" si="925"/>
        <v>13</v>
      </c>
      <c r="I1338" s="228" t="str">
        <f t="shared" ca="1" si="931"/>
        <v xml:space="preserve">   REVESTIMENTOS INTERNOS DE PAREDE</v>
      </c>
      <c r="J1338" s="230">
        <f t="shared" ca="1" si="926"/>
        <v>4</v>
      </c>
      <c r="K1338" s="228" t="str">
        <f t="shared" ca="1" si="932"/>
        <v xml:space="preserve">   REVESTIMENTOS INTERNOS DE PAREDE - 8º PAVIMENTO - COBERTURA</v>
      </c>
      <c r="L1338" s="231">
        <f t="shared" ca="1" si="927"/>
        <v>4</v>
      </c>
      <c r="M1338" s="228" t="str">
        <f t="shared" ca="1" si="933"/>
        <v xml:space="preserve">   Mão de Obra</v>
      </c>
      <c r="N1338" s="231">
        <f t="shared" ca="1" si="928"/>
        <v>1</v>
      </c>
      <c r="O1338" s="228" t="str">
        <f t="shared" ca="1" si="934"/>
        <v>Mao de obra para reboco interno, incluindo chapisco</v>
      </c>
      <c r="P1338" s="232" t="str">
        <f>IF(S1338="","",IF(Orçamento!$B1338="INSUMO",S1338,""))</f>
        <v>MAO DE OBRA PARA CHAPISCO E REBOCO INTERNOS</v>
      </c>
      <c r="Q1338" s="244" t="str">
        <f t="shared" si="929"/>
        <v/>
      </c>
      <c r="R1338" s="234">
        <f t="shared" ca="1" si="935"/>
        <v>283.59100000000001</v>
      </c>
      <c r="S1338" s="233" t="s">
        <v>253</v>
      </c>
      <c r="T1338" s="242" t="str">
        <f>_xlfn.XLOOKUP(S1338,Insumos!$A$3:$A$371,Insumos!$B$3:$B$371)</f>
        <v>M2</v>
      </c>
      <c r="U1338" s="235">
        <f ca="1">IF($B1338="insumo",R1338,"")</f>
        <v>283.59100000000001</v>
      </c>
      <c r="V1338" s="320">
        <v>1</v>
      </c>
      <c r="W1338" s="236">
        <f>IFERROR(IF(B1338="INSUMO",_xlfn.XLOOKUP(S1338,Insumos!A:A,Insumos!C:C),""),"Inserir Preço")</f>
        <v>40.637259305842548</v>
      </c>
      <c r="X1338" s="235">
        <f t="shared" ca="1" si="936"/>
        <v>283.59100000000001</v>
      </c>
      <c r="Y1338" s="236">
        <f t="shared" si="937"/>
        <v>40.637259305842548</v>
      </c>
      <c r="Z1338" s="237">
        <f t="shared" ca="1" si="921"/>
        <v>11524.361003803195</v>
      </c>
      <c r="AA1338" s="238"/>
      <c r="AB1338" s="233" t="str">
        <f>IF(B1338="insumo",_xlfn.XLOOKUP(S1338,Insumos!A:A,Insumos!D:D),"")</f>
        <v>Aba Custo Serviços</v>
      </c>
      <c r="AC1338" s="239">
        <f t="shared" ca="1" si="922"/>
        <v>1.6532746559518277E-3</v>
      </c>
      <c r="AE1338" s="240">
        <f ca="1">IFERROR(IF(OR(Z1338="",Z1338=0),"",IF(AF1338="","",IF(AF1338="R$/mês",Z1338/OBRA!$D$12,IF(AF1338="R$/m²",Z1338/OBRA!$D$10,IF(AF1338="R$/apto",Orçamento!Z1338/OBRA!$D$11,""))))),"")</f>
        <v>5.9305182627909172</v>
      </c>
      <c r="AF1338" s="241" t="s">
        <v>154</v>
      </c>
    </row>
    <row r="1339" spans="1:32" s="10" customFormat="1" ht="13.15" hidden="1" customHeight="1" outlineLevel="4" x14ac:dyDescent="0.2">
      <c r="A1339" s="227"/>
      <c r="B1339" s="228" t="s">
        <v>4</v>
      </c>
      <c r="C1339" s="229">
        <f t="shared" si="920"/>
        <v>5</v>
      </c>
      <c r="D1339" s="227" t="str">
        <f t="shared" ca="1" si="923"/>
        <v>13.004.004.002</v>
      </c>
      <c r="E1339" s="228" t="str">
        <f t="shared" ca="1" si="924"/>
        <v>13.004.004.002</v>
      </c>
      <c r="F1339" s="230">
        <f ca="1">IF($B1339="UNIDADE CONSTRUTIVA",OFFSET(F1339,-1,0)+1,LARGE(F$10:F1338,1))</f>
        <v>2</v>
      </c>
      <c r="G1339" s="228" t="str">
        <f t="shared" ca="1" si="930"/>
        <v xml:space="preserve">   GERENCIAMENTO EXECUTIVO</v>
      </c>
      <c r="H1339" s="230">
        <f t="shared" ca="1" si="925"/>
        <v>13</v>
      </c>
      <c r="I1339" s="228" t="str">
        <f t="shared" ca="1" si="931"/>
        <v xml:space="preserve">   REVESTIMENTOS INTERNOS DE PAREDE</v>
      </c>
      <c r="J1339" s="230">
        <f t="shared" ca="1" si="926"/>
        <v>4</v>
      </c>
      <c r="K1339" s="228" t="str">
        <f t="shared" ca="1" si="932"/>
        <v xml:space="preserve">   REVESTIMENTOS INTERNOS DE PAREDE - 8º PAVIMENTO - COBERTURA</v>
      </c>
      <c r="L1339" s="231">
        <f t="shared" ca="1" si="927"/>
        <v>4</v>
      </c>
      <c r="M1339" s="228" t="str">
        <f t="shared" ca="1" si="933"/>
        <v xml:space="preserve">   Mão de Obra</v>
      </c>
      <c r="N1339" s="231">
        <f t="shared" ca="1" si="928"/>
        <v>2</v>
      </c>
      <c r="O1339" s="228" t="str">
        <f t="shared" ca="1" si="934"/>
        <v>Mao de obra para estucamento de estrutura em concreto</v>
      </c>
      <c r="P1339" s="232" t="str">
        <f>IF(S1339="","",IF(Orçamento!$B1339="INSUMO",S1339,""))</f>
        <v/>
      </c>
      <c r="Q1339" s="244" t="str">
        <f t="shared" si="929"/>
        <v>Mao de obra para estucamento de estrutura em concreto</v>
      </c>
      <c r="R1339" s="234">
        <f t="shared" ca="1" si="935"/>
        <v>35</v>
      </c>
      <c r="S1339" s="233" t="s">
        <v>1163</v>
      </c>
      <c r="T1339" s="242" t="s">
        <v>140</v>
      </c>
      <c r="U1339" s="235">
        <f>U1315</f>
        <v>35</v>
      </c>
      <c r="V1339" s="320" t="s">
        <v>35</v>
      </c>
      <c r="W1339" s="236" t="str">
        <f>IFERROR(IF(B1339="INSUMO",_xlfn.XLOOKUP(S1339,Insumos!A:A,Insumos!C:C),""),"Inserir Preço")</f>
        <v/>
      </c>
      <c r="X1339" s="235">
        <f t="shared" ca="1" si="936"/>
        <v>35</v>
      </c>
      <c r="Y1339" s="236">
        <f t="shared" ca="1" si="937"/>
        <v>50.894746969405425</v>
      </c>
      <c r="Z1339" s="237">
        <f t="shared" ca="1" si="921"/>
        <v>1781.3161439291898</v>
      </c>
      <c r="AA1339" s="238"/>
      <c r="AB1339" s="233" t="str">
        <f>IF(B1339="insumo",_xlfn.XLOOKUP(S1339,Insumos!A:A,Insumos!D:D),"")</f>
        <v/>
      </c>
      <c r="AC1339" s="239">
        <f t="shared" ca="1" si="922"/>
        <v>2.555460414702452E-4</v>
      </c>
      <c r="AE1339" s="240">
        <f ca="1">IFERROR(IF(OR(Z1339="",Z1339=0),"",IF(AF1339="","",IF(AF1339="R$/mês",Z1339/OBRA!$D$12,IF(AF1339="R$/m²",Z1339/OBRA!$D$10,IF(AF1339="R$/apto",Orçamento!Z1339/OBRA!$D$11,""))))),"")</f>
        <v>0.91667797632250936</v>
      </c>
      <c r="AF1339" s="241" t="s">
        <v>154</v>
      </c>
    </row>
    <row r="1340" spans="1:32" s="10" customFormat="1" ht="13.15" hidden="1" customHeight="1" outlineLevel="4" x14ac:dyDescent="0.2">
      <c r="A1340" s="227"/>
      <c r="B1340" s="228" t="s">
        <v>19</v>
      </c>
      <c r="C1340" s="229">
        <f t="shared" si="920"/>
        <v>5</v>
      </c>
      <c r="D1340" s="227" t="str">
        <f t="shared" si="923"/>
        <v/>
      </c>
      <c r="E1340" s="228" t="str">
        <f t="shared" ca="1" si="924"/>
        <v>13.004.004.002</v>
      </c>
      <c r="F1340" s="230">
        <f ca="1">IF($B1340="UNIDADE CONSTRUTIVA",OFFSET(F1340,-1,0)+1,LARGE(F$10:F1339,1))</f>
        <v>2</v>
      </c>
      <c r="G1340" s="228" t="str">
        <f t="shared" ca="1" si="930"/>
        <v xml:space="preserve">   GERENCIAMENTO EXECUTIVO</v>
      </c>
      <c r="H1340" s="230">
        <f t="shared" ca="1" si="925"/>
        <v>13</v>
      </c>
      <c r="I1340" s="228" t="str">
        <f t="shared" ca="1" si="931"/>
        <v xml:space="preserve">   REVESTIMENTOS INTERNOS DE PAREDE</v>
      </c>
      <c r="J1340" s="230">
        <f t="shared" ca="1" si="926"/>
        <v>4</v>
      </c>
      <c r="K1340" s="228" t="str">
        <f t="shared" ca="1" si="932"/>
        <v xml:space="preserve">   REVESTIMENTOS INTERNOS DE PAREDE - 8º PAVIMENTO - COBERTURA</v>
      </c>
      <c r="L1340" s="231">
        <f t="shared" ca="1" si="927"/>
        <v>4</v>
      </c>
      <c r="M1340" s="228" t="str">
        <f t="shared" ca="1" si="933"/>
        <v xml:space="preserve">   Mão de Obra</v>
      </c>
      <c r="N1340" s="231">
        <f t="shared" ca="1" si="928"/>
        <v>2</v>
      </c>
      <c r="O1340" s="228" t="str">
        <f t="shared" ca="1" si="934"/>
        <v>Mao de obra para estucamento de estrutura em concreto</v>
      </c>
      <c r="P1340" s="232" t="str">
        <f>IF(S1340="","",IF(Orçamento!$B1340="INSUMO",S1340,""))</f>
        <v>MAO DE OBRA PARA ESTUCAMENTO DE ESTRUTURA DE CONCRETO</v>
      </c>
      <c r="Q1340" s="244" t="str">
        <f t="shared" si="929"/>
        <v/>
      </c>
      <c r="R1340" s="234">
        <f t="shared" ca="1" si="935"/>
        <v>35</v>
      </c>
      <c r="S1340" s="233" t="s">
        <v>777</v>
      </c>
      <c r="T1340" s="242" t="str">
        <f>_xlfn.XLOOKUP(S1340,Insumos!$A$3:$A$371,Insumos!$B$3:$B$371)</f>
        <v>M2</v>
      </c>
      <c r="U1340" s="235">
        <f ca="1">IF($B1340="insumo",R1340,"")</f>
        <v>35</v>
      </c>
      <c r="V1340" s="320">
        <v>1</v>
      </c>
      <c r="W1340" s="236">
        <f>IFERROR(IF(B1340="INSUMO",_xlfn.XLOOKUP(S1340,Insumos!A:A,Insumos!C:C),""),"Inserir Preço")</f>
        <v>50.894746969405425</v>
      </c>
      <c r="X1340" s="235">
        <f t="shared" ca="1" si="936"/>
        <v>35</v>
      </c>
      <c r="Y1340" s="236">
        <f t="shared" si="937"/>
        <v>50.894746969405425</v>
      </c>
      <c r="Z1340" s="237">
        <f t="shared" ca="1" si="921"/>
        <v>1781.3161439291898</v>
      </c>
      <c r="AA1340" s="238"/>
      <c r="AB1340" s="233" t="str">
        <f>IF(B1340="insumo",_xlfn.XLOOKUP(S1340,Insumos!A:A,Insumos!D:D),"")</f>
        <v>Aba Custo Serviços</v>
      </c>
      <c r="AC1340" s="239">
        <f t="shared" ca="1" si="922"/>
        <v>2.555460414702452E-4</v>
      </c>
      <c r="AE1340" s="240">
        <f ca="1">IFERROR(IF(OR(Z1340="",Z1340=0),"",IF(AF1340="","",IF(AF1340="R$/mês",Z1340/OBRA!$D$12,IF(AF1340="R$/m²",Z1340/OBRA!$D$10,IF(AF1340="R$/apto",Orçamento!Z1340/OBRA!$D$11,""))))),"")</f>
        <v>0.91667797632250936</v>
      </c>
      <c r="AF1340" s="241" t="s">
        <v>154</v>
      </c>
    </row>
    <row r="1341" spans="1:32" s="10" customFormat="1" ht="13.15" hidden="1" customHeight="1" outlineLevel="4" x14ac:dyDescent="0.2">
      <c r="A1341" s="227"/>
      <c r="B1341" s="228" t="s">
        <v>4</v>
      </c>
      <c r="C1341" s="229">
        <f t="shared" si="920"/>
        <v>1</v>
      </c>
      <c r="D1341" s="227" t="str">
        <f t="shared" ca="1" si="923"/>
        <v>13.004.004.003</v>
      </c>
      <c r="E1341" s="228" t="str">
        <f t="shared" ca="1" si="924"/>
        <v>13.004.004.003</v>
      </c>
      <c r="F1341" s="230">
        <f ca="1">IF($B1341="UNIDADE CONSTRUTIVA",OFFSET(F1341,-1,0)+1,LARGE(F$10:F1340,1))</f>
        <v>2</v>
      </c>
      <c r="G1341" s="228" t="str">
        <f t="shared" ca="1" si="930"/>
        <v xml:space="preserve">   GERENCIAMENTO EXECUTIVO</v>
      </c>
      <c r="H1341" s="230">
        <f t="shared" ca="1" si="925"/>
        <v>13</v>
      </c>
      <c r="I1341" s="228" t="str">
        <f t="shared" ca="1" si="931"/>
        <v xml:space="preserve">   REVESTIMENTOS INTERNOS DE PAREDE</v>
      </c>
      <c r="J1341" s="230">
        <f t="shared" ca="1" si="926"/>
        <v>4</v>
      </c>
      <c r="K1341" s="228" t="str">
        <f t="shared" ca="1" si="932"/>
        <v xml:space="preserve">   REVESTIMENTOS INTERNOS DE PAREDE - 8º PAVIMENTO - COBERTURA</v>
      </c>
      <c r="L1341" s="231">
        <f t="shared" ca="1" si="927"/>
        <v>4</v>
      </c>
      <c r="M1341" s="228" t="str">
        <f t="shared" ca="1" si="933"/>
        <v xml:space="preserve">   Mão de Obra</v>
      </c>
      <c r="N1341" s="231">
        <f t="shared" ca="1" si="928"/>
        <v>3</v>
      </c>
      <c r="O1341" s="228" t="str">
        <f t="shared" ca="1" si="934"/>
        <v>Mao de obra para colocacao e rejuntamento de Azulejo Cerâmico e Porcelanato</v>
      </c>
      <c r="P1341" s="232" t="str">
        <f>IF(S1341="","",IF(Orçamento!$B1341="INSUMO",S1341,""))</f>
        <v/>
      </c>
      <c r="Q1341" s="244" t="str">
        <f t="shared" si="929"/>
        <v>Mao de obra para colocacao e rejuntamento de Azulejo Cerâmico e Porcelanato</v>
      </c>
      <c r="R1341" s="234">
        <f t="shared" ca="1" si="935"/>
        <v>59.13</v>
      </c>
      <c r="S1341" s="233" t="s">
        <v>788</v>
      </c>
      <c r="T1341" s="242" t="s">
        <v>140</v>
      </c>
      <c r="U1341" s="235">
        <f>U1321+U1327</f>
        <v>59.13</v>
      </c>
      <c r="V1341" s="320" t="s">
        <v>35</v>
      </c>
      <c r="W1341" s="236" t="str">
        <f>IFERROR(IF(B1341="INSUMO",_xlfn.XLOOKUP(S1341,Insumos!A:A,Insumos!C:C),""),"Inserir Preço")</f>
        <v/>
      </c>
      <c r="X1341" s="235">
        <f t="shared" ca="1" si="936"/>
        <v>59.13</v>
      </c>
      <c r="Y1341" s="236">
        <f t="shared" ca="1" si="937"/>
        <v>73.511069535391343</v>
      </c>
      <c r="Z1341" s="237">
        <f t="shared" ca="1" si="921"/>
        <v>4346.7095416276907</v>
      </c>
      <c r="AA1341" s="238"/>
      <c r="AB1341" s="233" t="str">
        <f>IF(B1341="insumo",_xlfn.XLOOKUP(S1341,Insumos!A:A,Insumos!D:D),"")</f>
        <v/>
      </c>
      <c r="AC1341" s="239">
        <f t="shared" ca="1" si="922"/>
        <v>6.2357511358638186E-4</v>
      </c>
      <c r="AE1341" s="240">
        <f ca="1">IFERROR(IF(OR(Z1341="",Z1341=0),"",IF(AF1341="","",IF(AF1341="R$/mês",Z1341/OBRA!$D$12,IF(AF1341="R$/m²",Z1341/OBRA!$D$10,IF(AF1341="R$/apto",Orçamento!Z1341/OBRA!$D$11,""))))),"")</f>
        <v>2.2368476925673701</v>
      </c>
      <c r="AF1341" s="241" t="s">
        <v>154</v>
      </c>
    </row>
    <row r="1342" spans="1:32" s="10" customFormat="1" ht="13.15" hidden="1" customHeight="1" outlineLevel="4" x14ac:dyDescent="0.2">
      <c r="A1342" s="227"/>
      <c r="B1342" s="228" t="s">
        <v>19</v>
      </c>
      <c r="C1342" s="229">
        <f t="shared" si="920"/>
        <v>4</v>
      </c>
      <c r="D1342" s="227" t="str">
        <f t="shared" si="923"/>
        <v/>
      </c>
      <c r="E1342" s="228" t="str">
        <f t="shared" ca="1" si="924"/>
        <v>13.004.004.003</v>
      </c>
      <c r="F1342" s="230">
        <f ca="1">IF($B1342="UNIDADE CONSTRUTIVA",OFFSET(F1342,-1,0)+1,LARGE(F$10:F1341,1))</f>
        <v>2</v>
      </c>
      <c r="G1342" s="228" t="str">
        <f t="shared" ca="1" si="930"/>
        <v xml:space="preserve">   GERENCIAMENTO EXECUTIVO</v>
      </c>
      <c r="H1342" s="230">
        <f t="shared" ca="1" si="925"/>
        <v>13</v>
      </c>
      <c r="I1342" s="228" t="str">
        <f t="shared" ca="1" si="931"/>
        <v xml:space="preserve">   REVESTIMENTOS INTERNOS DE PAREDE</v>
      </c>
      <c r="J1342" s="230">
        <f t="shared" ca="1" si="926"/>
        <v>4</v>
      </c>
      <c r="K1342" s="228" t="str">
        <f t="shared" ca="1" si="932"/>
        <v xml:space="preserve">   REVESTIMENTOS INTERNOS DE PAREDE - 8º PAVIMENTO - COBERTURA</v>
      </c>
      <c r="L1342" s="231">
        <f t="shared" ca="1" si="927"/>
        <v>4</v>
      </c>
      <c r="M1342" s="228" t="str">
        <f t="shared" ca="1" si="933"/>
        <v xml:space="preserve">   Mão de Obra</v>
      </c>
      <c r="N1342" s="231">
        <f t="shared" ca="1" si="928"/>
        <v>3</v>
      </c>
      <c r="O1342" s="228" t="str">
        <f t="shared" ca="1" si="934"/>
        <v>Mao de obra para colocacao e rejuntamento de Azulejo Cerâmico e Porcelanato</v>
      </c>
      <c r="P1342" s="232" t="str">
        <f>IF(S1342="","",IF(Orçamento!$B1342="INSUMO",S1342,""))</f>
        <v>MAO DE OBRA PARA COLOCACAO E REJUNTAMENTO DE AZULEJO</v>
      </c>
      <c r="Q1342" s="244" t="str">
        <f t="shared" si="929"/>
        <v/>
      </c>
      <c r="R1342" s="234">
        <f t="shared" ca="1" si="935"/>
        <v>59.13</v>
      </c>
      <c r="S1342" s="233" t="s">
        <v>363</v>
      </c>
      <c r="T1342" s="242" t="str">
        <f>_xlfn.XLOOKUP(S1342,Insumos!$A$3:$A$371,Insumos!$B$3:$B$371)</f>
        <v>M2</v>
      </c>
      <c r="U1342" s="235">
        <f ca="1">IF($B1342="insumo",R1342,"")</f>
        <v>59.13</v>
      </c>
      <c r="V1342" s="320">
        <v>1</v>
      </c>
      <c r="W1342" s="236">
        <f>IFERROR(IF(B1342="INSUMO",_xlfn.XLOOKUP(S1342,Insumos!A:A,Insumos!C:C),""),"Inserir Preço")</f>
        <v>73.511069535391343</v>
      </c>
      <c r="X1342" s="235">
        <f t="shared" ca="1" si="936"/>
        <v>59.13</v>
      </c>
      <c r="Y1342" s="236">
        <f t="shared" si="937"/>
        <v>73.511069535391343</v>
      </c>
      <c r="Z1342" s="237">
        <f t="shared" ca="1" si="921"/>
        <v>4346.7095416276907</v>
      </c>
      <c r="AA1342" s="238"/>
      <c r="AB1342" s="233" t="str">
        <f>IF(B1342="insumo",_xlfn.XLOOKUP(S1342,Insumos!A:A,Insumos!D:D),"")</f>
        <v>Aba Custo Serviços</v>
      </c>
      <c r="AC1342" s="239">
        <f t="shared" ca="1" si="922"/>
        <v>6.2357511358638186E-4</v>
      </c>
      <c r="AE1342" s="240">
        <f ca="1">IFERROR(IF(OR(Z1342="",Z1342=0),"",IF(AF1342="","",IF(AF1342="R$/mês",Z1342/OBRA!$D$12,IF(AF1342="R$/m²",Z1342/OBRA!$D$10,IF(AF1342="R$/apto",Orçamento!Z1342/OBRA!$D$11,""))))),"")</f>
        <v>2.2368476925673701</v>
      </c>
      <c r="AF1342" s="241" t="s">
        <v>154</v>
      </c>
    </row>
    <row r="1343" spans="1:32" s="10" customFormat="1" ht="13.15" hidden="1" customHeight="1" outlineLevel="4" x14ac:dyDescent="0.2">
      <c r="A1343" s="227"/>
      <c r="B1343" s="228" t="s">
        <v>4</v>
      </c>
      <c r="C1343" s="229">
        <f t="shared" si="920"/>
        <v>5</v>
      </c>
      <c r="D1343" s="227" t="str">
        <f t="shared" ca="1" si="923"/>
        <v>13.004.004.004</v>
      </c>
      <c r="E1343" s="228" t="str">
        <f t="shared" ca="1" si="924"/>
        <v>13.004.004.004</v>
      </c>
      <c r="F1343" s="230">
        <f ca="1">IF($B1343="UNIDADE CONSTRUTIVA",OFFSET(F1343,-1,0)+1,LARGE(F$10:F1342,1))</f>
        <v>2</v>
      </c>
      <c r="G1343" s="228" t="str">
        <f t="shared" ca="1" si="930"/>
        <v xml:space="preserve">   GERENCIAMENTO EXECUTIVO</v>
      </c>
      <c r="H1343" s="230">
        <f t="shared" ca="1" si="925"/>
        <v>13</v>
      </c>
      <c r="I1343" s="228" t="str">
        <f t="shared" ca="1" si="931"/>
        <v xml:space="preserve">   REVESTIMENTOS INTERNOS DE PAREDE</v>
      </c>
      <c r="J1343" s="230">
        <f t="shared" ca="1" si="926"/>
        <v>4</v>
      </c>
      <c r="K1343" s="228" t="str">
        <f t="shared" ca="1" si="932"/>
        <v xml:space="preserve">   REVESTIMENTOS INTERNOS DE PAREDE - 8º PAVIMENTO - COBERTURA</v>
      </c>
      <c r="L1343" s="231">
        <f t="shared" ca="1" si="927"/>
        <v>4</v>
      </c>
      <c r="M1343" s="228" t="str">
        <f t="shared" ca="1" si="933"/>
        <v xml:space="preserve">   Mão de Obra</v>
      </c>
      <c r="N1343" s="231">
        <f t="shared" ca="1" si="928"/>
        <v>4</v>
      </c>
      <c r="O1343" s="228" t="str">
        <f t="shared" ca="1" si="934"/>
        <v>Mao de obra para colocacao de peitoril</v>
      </c>
      <c r="P1343" s="232" t="str">
        <f>IF(S1343="","",IF(Orçamento!$B1343="INSUMO",S1343,""))</f>
        <v/>
      </c>
      <c r="Q1343" s="244" t="str">
        <f t="shared" si="929"/>
        <v>Mao de obra para colocacao de peitoril</v>
      </c>
      <c r="R1343" s="234">
        <f t="shared" ca="1" si="935"/>
        <v>18.05</v>
      </c>
      <c r="S1343" s="233" t="s">
        <v>497</v>
      </c>
      <c r="T1343" s="242" t="s">
        <v>158</v>
      </c>
      <c r="U1343" s="235">
        <f>U1333</f>
        <v>18.05</v>
      </c>
      <c r="V1343" s="320" t="s">
        <v>35</v>
      </c>
      <c r="W1343" s="236" t="str">
        <f>IFERROR(IF(B1343="INSUMO",_xlfn.XLOOKUP(S1343,Insumos!A:A,Insumos!C:C),""),"Inserir Preço")</f>
        <v/>
      </c>
      <c r="X1343" s="235">
        <f t="shared" ca="1" si="936"/>
        <v>18.05</v>
      </c>
      <c r="Y1343" s="236">
        <f t="shared" ca="1" si="937"/>
        <v>10.5</v>
      </c>
      <c r="Z1343" s="237">
        <f t="shared" ca="1" si="921"/>
        <v>189.52500000000001</v>
      </c>
      <c r="AA1343" s="238"/>
      <c r="AB1343" s="233" t="str">
        <f>IF(B1343="insumo",_xlfn.XLOOKUP(S1343,Insumos!A:A,Insumos!D:D),"")</f>
        <v/>
      </c>
      <c r="AC1343" s="239">
        <f t="shared" ca="1" si="922"/>
        <v>2.7189089188187072E-5</v>
      </c>
      <c r="AE1343" s="240">
        <f ca="1">IFERROR(IF(OR(Z1343="",Z1343=0),"",IF(AF1343="","",IF(AF1343="R$/mês",Z1343/OBRA!$D$12,IF(AF1343="R$/m²",Z1343/OBRA!$D$10,IF(AF1343="R$/apto",Orçamento!Z1343/OBRA!$D$11,""))))),"")</f>
        <v>9.7530915022925754E-2</v>
      </c>
      <c r="AF1343" s="241" t="s">
        <v>154</v>
      </c>
    </row>
    <row r="1344" spans="1:32" s="10" customFormat="1" ht="13.15" hidden="1" customHeight="1" outlineLevel="4" x14ac:dyDescent="0.2">
      <c r="A1344" s="227"/>
      <c r="B1344" s="228" t="s">
        <v>19</v>
      </c>
      <c r="C1344" s="229">
        <f t="shared" si="920"/>
        <v>5</v>
      </c>
      <c r="D1344" s="227" t="str">
        <f t="shared" si="923"/>
        <v/>
      </c>
      <c r="E1344" s="228" t="str">
        <f t="shared" ca="1" si="924"/>
        <v>13.004.004.004</v>
      </c>
      <c r="F1344" s="230">
        <f ca="1">IF($B1344="UNIDADE CONSTRUTIVA",OFFSET(F1344,-1,0)+1,LARGE(F$10:F1343,1))</f>
        <v>2</v>
      </c>
      <c r="G1344" s="228" t="str">
        <f t="shared" ca="1" si="930"/>
        <v xml:space="preserve">   GERENCIAMENTO EXECUTIVO</v>
      </c>
      <c r="H1344" s="230">
        <f t="shared" ca="1" si="925"/>
        <v>13</v>
      </c>
      <c r="I1344" s="228" t="str">
        <f t="shared" ca="1" si="931"/>
        <v xml:space="preserve">   REVESTIMENTOS INTERNOS DE PAREDE</v>
      </c>
      <c r="J1344" s="230">
        <f t="shared" ca="1" si="926"/>
        <v>4</v>
      </c>
      <c r="K1344" s="228" t="str">
        <f t="shared" ca="1" si="932"/>
        <v xml:space="preserve">   REVESTIMENTOS INTERNOS DE PAREDE - 8º PAVIMENTO - COBERTURA</v>
      </c>
      <c r="L1344" s="231">
        <f t="shared" ca="1" si="927"/>
        <v>4</v>
      </c>
      <c r="M1344" s="228" t="str">
        <f t="shared" ca="1" si="933"/>
        <v xml:space="preserve">   Mão de Obra</v>
      </c>
      <c r="N1344" s="231">
        <f t="shared" ca="1" si="928"/>
        <v>4</v>
      </c>
      <c r="O1344" s="228" t="str">
        <f t="shared" ca="1" si="934"/>
        <v>Mao de obra para colocacao de peitoril</v>
      </c>
      <c r="P1344" s="232" t="str">
        <f>IF(S1344="","",IF(Orçamento!$B1344="INSUMO",S1344,""))</f>
        <v>MAO DE OBRA PARA COLOCACAO DE PEITORIL</v>
      </c>
      <c r="Q1344" s="244" t="str">
        <f t="shared" si="929"/>
        <v/>
      </c>
      <c r="R1344" s="234">
        <f t="shared" ca="1" si="935"/>
        <v>18.05</v>
      </c>
      <c r="S1344" s="233" t="s">
        <v>373</v>
      </c>
      <c r="T1344" s="242" t="str">
        <f>_xlfn.XLOOKUP(S1344,Insumos!$A$3:$A$371,Insumos!$B$3:$B$371)</f>
        <v>M2</v>
      </c>
      <c r="U1344" s="235">
        <f ca="1">IF($B1344="insumo",R1344,"")</f>
        <v>18.05</v>
      </c>
      <c r="V1344" s="320">
        <v>1</v>
      </c>
      <c r="W1344" s="236">
        <f>IFERROR(IF(B1344="INSUMO",_xlfn.XLOOKUP(S1344,Insumos!A:A,Insumos!C:C),""),"Inserir Preço")</f>
        <v>10.5</v>
      </c>
      <c r="X1344" s="235">
        <f t="shared" ca="1" si="936"/>
        <v>18.05</v>
      </c>
      <c r="Y1344" s="236">
        <f t="shared" si="937"/>
        <v>10.5</v>
      </c>
      <c r="Z1344" s="237">
        <f t="shared" ca="1" si="921"/>
        <v>189.52500000000001</v>
      </c>
      <c r="AA1344" s="238"/>
      <c r="AB1344" s="233" t="str">
        <f>IF(B1344="insumo",_xlfn.XLOOKUP(S1344,Insumos!A:A,Insumos!D:D),"")</f>
        <v xml:space="preserve"> </v>
      </c>
      <c r="AC1344" s="239">
        <f t="shared" ca="1" si="922"/>
        <v>2.7189089188187072E-5</v>
      </c>
      <c r="AE1344" s="240">
        <f ca="1">IFERROR(IF(OR(Z1344="",Z1344=0),"",IF(AF1344="","",IF(AF1344="R$/mês",Z1344/OBRA!$D$12,IF(AF1344="R$/m²",Z1344/OBRA!$D$10,IF(AF1344="R$/apto",Orçamento!Z1344/OBRA!$D$11,""))))),"")</f>
        <v>9.7530915022925754E-2</v>
      </c>
      <c r="AF1344" s="241" t="s">
        <v>154</v>
      </c>
    </row>
    <row r="1345" spans="1:32" s="10" customFormat="1" ht="13.15" customHeight="1" outlineLevel="2" collapsed="1" x14ac:dyDescent="0.2">
      <c r="A1345" s="227"/>
      <c r="B1345" s="228" t="s">
        <v>2</v>
      </c>
      <c r="C1345" s="229" t="str">
        <f t="shared" si="920"/>
        <v/>
      </c>
      <c r="D1345" s="227" t="str">
        <f t="shared" ca="1" si="923"/>
        <v>13.005</v>
      </c>
      <c r="E1345" s="228" t="str">
        <f t="shared" ca="1" si="924"/>
        <v>13.004.004.004</v>
      </c>
      <c r="F1345" s="230">
        <f ca="1">IF($B1345="UNIDADE CONSTRUTIVA",OFFSET(F1345,-1,0)+1,LARGE(F$10:F1344,1))</f>
        <v>2</v>
      </c>
      <c r="G1345" s="228" t="str">
        <f t="shared" ref="G1345:G1369" ca="1" si="952">IF(B1345="*","",IF(B1345="UNIDADE CONSTRUTIVA",S1345,OFFSET(G1345,-1,0)))</f>
        <v xml:space="preserve">   GERENCIAMENTO EXECUTIVO</v>
      </c>
      <c r="H1345" s="230">
        <f t="shared" ca="1" si="925"/>
        <v>13</v>
      </c>
      <c r="I1345" s="228" t="str">
        <f t="shared" ref="I1345:I1369" ca="1" si="953">IF(B1345="*","",IF(B1345="CÉLULA CONSTRUTIVA",S1345,OFFSET(I1345,-1,0)))</f>
        <v xml:space="preserve">   REVESTIMENTOS INTERNOS DE PAREDE</v>
      </c>
      <c r="J1345" s="230">
        <f t="shared" ca="1" si="926"/>
        <v>5</v>
      </c>
      <c r="K1345" s="228" t="str">
        <f t="shared" ref="K1345:K1369" ca="1" si="954">IF(B1345="*","",IF(B1345="ETAPA",S1345,OFFSET(K1345,-1,0)))</f>
        <v xml:space="preserve">   REVESTIMENTOS INTERNOS DE PAREDE - BARRILETE / CAIXA DÁGUA / CASA DE MÁQUINAS</v>
      </c>
      <c r="L1345" s="231">
        <f t="shared" ca="1" si="927"/>
        <v>0</v>
      </c>
      <c r="M1345" s="228" t="str">
        <f t="shared" ref="M1345:M1369" ca="1" si="955">IF(B1345="*","",IF(B1345="SUBETAPA",S1345,OFFSET(M1345,-1,0)))</f>
        <v xml:space="preserve">   Mão de Obra</v>
      </c>
      <c r="N1345" s="231">
        <f t="shared" ca="1" si="928"/>
        <v>4</v>
      </c>
      <c r="O1345" s="228" t="str">
        <f t="shared" ref="O1345:O1369" ca="1" si="956">IF(B1345="*","",IF(B1345="SERVIÇO",S1345,OFFSET(O1345,-1,0)))</f>
        <v>Mao de obra para colocacao de peitoril</v>
      </c>
      <c r="P1345" s="232" t="str">
        <f>IF(S1345="","",IF(Orçamento!$B1345="INSUMO",S1345,""))</f>
        <v/>
      </c>
      <c r="Q1345" s="244" t="str">
        <f t="shared" si="929"/>
        <v/>
      </c>
      <c r="R1345" s="234">
        <f t="shared" ref="R1345:R1368" ca="1" si="957">IF(B1345="serviço",U1345,OFFSET(R1345,-1,0))</f>
        <v>18.05</v>
      </c>
      <c r="S1345" s="233" t="s">
        <v>729</v>
      </c>
      <c r="T1345" s="242" t="s">
        <v>35</v>
      </c>
      <c r="U1345" s="235" t="str">
        <f>IF($B1345="insumo",R1345,"")</f>
        <v/>
      </c>
      <c r="V1345" s="320" t="s">
        <v>35</v>
      </c>
      <c r="W1345" s="236" t="str">
        <f>IFERROR(IF(B1345="INSUMO",_xlfn.XLOOKUP(S1345,Insumos!A:A,Insumos!C:C),""),"Inserir Preço")</f>
        <v/>
      </c>
      <c r="X1345" s="235" t="str">
        <f t="shared" ref="X1345:X1370" ca="1" si="958">IF(B1345="Complemento do insumo",V1345,IF(R1345="","",IF(B1345="serviço",R1345,IF(OR(B1345="insumo"),V1345*R1345,""))))</f>
        <v/>
      </c>
      <c r="Y1345" s="236" t="str">
        <f t="shared" si="937"/>
        <v/>
      </c>
      <c r="Z1345" s="237">
        <f t="shared" ca="1" si="921"/>
        <v>20181.501085150438</v>
      </c>
      <c r="AA1345" s="238"/>
      <c r="AB1345" s="233" t="str">
        <f>IF(B1345="insumo",_xlfn.XLOOKUP(S1345,Insumos!A:A,Insumos!D:D),"")</f>
        <v/>
      </c>
      <c r="AC1345" s="239">
        <f t="shared" ca="1" si="922"/>
        <v>2.895220329537789E-3</v>
      </c>
      <c r="AE1345" s="240">
        <f ca="1">IFERROR(IF(OR(Z1345="",Z1345=0),"",IF(AF1345="","",IF(AF1345="R$/mês",Z1345/OBRA!$D$12,IF(AF1345="R$/m²",Z1345/OBRA!$D$10,IF(AF1345="R$/apto",Orçamento!Z1345/OBRA!$D$11,""))))),"")</f>
        <v>10.38554421512144</v>
      </c>
      <c r="AF1345" s="241" t="s">
        <v>154</v>
      </c>
    </row>
    <row r="1346" spans="1:32" s="10" customFormat="1" ht="13.15" hidden="1" customHeight="1" outlineLevel="3" collapsed="1" x14ac:dyDescent="0.2">
      <c r="A1346" s="227"/>
      <c r="B1346" s="228" t="s">
        <v>3</v>
      </c>
      <c r="C1346" s="229" t="str">
        <f t="shared" si="920"/>
        <v/>
      </c>
      <c r="D1346" s="227" t="str">
        <f t="shared" ref="D1346:D1368" ca="1" si="959">IF(B1346="Unidade Construtiva",TEXT(F1346,"00"),IF(B1346="Célula Construtiva",TEXT(H1346,"00"),IF(B1346="Etapa",CONCATENATE(TEXT(H1346,"00"),".",TEXT(J1346,"000")),IF(B1346="Subetapa",CONCATENATE(TEXT(H1346,"00"),".",TEXT(J1346,"000"),".",TEXT(L1346,"000")),IF(B1346="Serviço",CONCATENATE(TEXT(H1346,"00"),".",TEXT(J1346,"000"),".",TEXT(L1346,"000"),".",TEXT(N1346,"000")),"")))))</f>
        <v>13.005.001</v>
      </c>
      <c r="E1346" s="228" t="str">
        <f t="shared" ref="E1346:E1368" ca="1" si="960">IF(B1346="*","",IFERROR(IF(B1346="SERVIÇO",D1346,OFFSET(E1346,-1,0)),""))</f>
        <v>13.004.004.004</v>
      </c>
      <c r="F1346" s="230">
        <f ca="1">IF($B1346="UNIDADE CONSTRUTIVA",OFFSET(F1346,-1,0)+1,LARGE(F$10:F1345,1))</f>
        <v>2</v>
      </c>
      <c r="G1346" s="228" t="str">
        <f t="shared" ca="1" si="952"/>
        <v xml:space="preserve">   GERENCIAMENTO EXECUTIVO</v>
      </c>
      <c r="H1346" s="230">
        <f t="shared" ref="H1346:H1368" ca="1" si="961">IF(B1346="UNIDADE CONSTRUTIVA",0,IF(B1346="CÉLULA CONSTRUTIVA",OFFSET(H1346,-1,0)+1,OFFSET(H1346,-1,0)))</f>
        <v>13</v>
      </c>
      <c r="I1346" s="228" t="str">
        <f t="shared" ca="1" si="953"/>
        <v xml:space="preserve">   REVESTIMENTOS INTERNOS DE PAREDE</v>
      </c>
      <c r="J1346" s="230">
        <f t="shared" ref="J1346:J1368" ca="1" si="962">IF(B1346="CÉLULA CONSTRUTIVA",0,IF(B1346="ETAPA",OFFSET(J1346,-1,0)+1,OFFSET(J1346,-1,0)))</f>
        <v>5</v>
      </c>
      <c r="K1346" s="228" t="str">
        <f t="shared" ca="1" si="954"/>
        <v xml:space="preserve">   REVESTIMENTOS INTERNOS DE PAREDE - BARRILETE / CAIXA DÁGUA / CASA DE MÁQUINAS</v>
      </c>
      <c r="L1346" s="231">
        <f t="shared" ref="L1346:L1368" ca="1" si="963">IF(B1346="ETAPA",0,IF(B1346="SUBETAPA",OFFSET(L1346,-1,0)+1,OFFSET(L1346,-1,0)))</f>
        <v>1</v>
      </c>
      <c r="M1346" s="228" t="str">
        <f t="shared" ca="1" si="955"/>
        <v xml:space="preserve">   Reboco</v>
      </c>
      <c r="N1346" s="231">
        <f t="shared" ref="N1346:N1368" ca="1" si="964">IF(B1346="Subetapa",0,IF(B1346="serviço",OFFSET(N1346,-1,0)+1,OFFSET(N1346,-1,0)))</f>
        <v>0</v>
      </c>
      <c r="O1346" s="228" t="str">
        <f t="shared" ca="1" si="956"/>
        <v>Mao de obra para colocacao de peitoril</v>
      </c>
      <c r="P1346" s="232" t="str">
        <f>IF(S1346="","",IF(Orçamento!$B1346="INSUMO",S1346,""))</f>
        <v/>
      </c>
      <c r="Q1346" s="244" t="str">
        <f t="shared" ref="Q1346:Q1368" si="965">IF(B1346="","",IF(B1346="Serviço",S1346,""))</f>
        <v/>
      </c>
      <c r="R1346" s="234">
        <f t="shared" ca="1" si="957"/>
        <v>18.05</v>
      </c>
      <c r="S1346" s="233" t="s">
        <v>478</v>
      </c>
      <c r="T1346" s="242" t="s">
        <v>35</v>
      </c>
      <c r="U1346" s="235" t="str">
        <f>IF($B1346="insumo",R1346,"")</f>
        <v/>
      </c>
      <c r="V1346" s="320" t="s">
        <v>35</v>
      </c>
      <c r="W1346" s="236" t="str">
        <f>IFERROR(IF(B1346="INSUMO",_xlfn.XLOOKUP(S1346,Insumos!A:A,Insumos!C:C),""),"Inserir Preço")</f>
        <v/>
      </c>
      <c r="X1346" s="235" t="str">
        <f t="shared" ca="1" si="958"/>
        <v/>
      </c>
      <c r="Y1346" s="236" t="str">
        <f t="shared" si="937"/>
        <v/>
      </c>
      <c r="Z1346" s="237">
        <f t="shared" ca="1" si="921"/>
        <v>5657.5292399999998</v>
      </c>
      <c r="AA1346" s="238"/>
      <c r="AB1346" s="233" t="str">
        <f>IF(B1346="insumo",_xlfn.XLOOKUP(S1346,Insumos!A:A,Insumos!D:D),"")</f>
        <v/>
      </c>
      <c r="AC1346" s="239">
        <f t="shared" ca="1" si="922"/>
        <v>8.1162415032917147E-4</v>
      </c>
      <c r="AE1346" s="240">
        <f ca="1">IFERROR(IF(OR(Z1346="",Z1346=0),"",IF(AF1346="","",IF(AF1346="R$/mês",Z1346/OBRA!$D$12,IF(AF1346="R$/m²",Z1346/OBRA!$D$10,IF(AF1346="R$/apto",Orçamento!Z1346/OBRA!$D$11,""))))),"")</f>
        <v>2.9114048465698863</v>
      </c>
      <c r="AF1346" s="241" t="s">
        <v>154</v>
      </c>
    </row>
    <row r="1347" spans="1:32" s="10" customFormat="1" ht="13.15" hidden="1" customHeight="1" outlineLevel="4" x14ac:dyDescent="0.2">
      <c r="A1347" s="227"/>
      <c r="B1347" s="228" t="s">
        <v>4</v>
      </c>
      <c r="C1347" s="229">
        <f t="shared" si="920"/>
        <v>6</v>
      </c>
      <c r="D1347" s="227" t="str">
        <f t="shared" ca="1" si="959"/>
        <v>13.005.001.001</v>
      </c>
      <c r="E1347" s="228" t="str">
        <f t="shared" ca="1" si="960"/>
        <v>13.005.001.001</v>
      </c>
      <c r="F1347" s="230">
        <f ca="1">IF($B1347="UNIDADE CONSTRUTIVA",OFFSET(F1347,-1,0)+1,LARGE(F$10:F1346,1))</f>
        <v>2</v>
      </c>
      <c r="G1347" s="228" t="str">
        <f t="shared" ca="1" si="952"/>
        <v xml:space="preserve">   GERENCIAMENTO EXECUTIVO</v>
      </c>
      <c r="H1347" s="230">
        <f t="shared" ca="1" si="961"/>
        <v>13</v>
      </c>
      <c r="I1347" s="228" t="str">
        <f t="shared" ca="1" si="953"/>
        <v xml:space="preserve">   REVESTIMENTOS INTERNOS DE PAREDE</v>
      </c>
      <c r="J1347" s="230">
        <f t="shared" ca="1" si="962"/>
        <v>5</v>
      </c>
      <c r="K1347" s="228" t="str">
        <f t="shared" ca="1" si="954"/>
        <v xml:space="preserve">   REVESTIMENTOS INTERNOS DE PAREDE - BARRILETE / CAIXA DÁGUA / CASA DE MÁQUINAS</v>
      </c>
      <c r="L1347" s="231">
        <f t="shared" ca="1" si="963"/>
        <v>1</v>
      </c>
      <c r="M1347" s="228" t="str">
        <f t="shared" ca="1" si="955"/>
        <v xml:space="preserve">   Reboco</v>
      </c>
      <c r="N1347" s="231">
        <f t="shared" ca="1" si="964"/>
        <v>1</v>
      </c>
      <c r="O1347" s="228" t="str">
        <f t="shared" ca="1" si="956"/>
        <v>Chapisco aplicado em estruturas de concreto, com desempenadeira dentada, de argamassa industrializada</v>
      </c>
      <c r="P1347" s="232" t="str">
        <f>IF(S1347="","",IF(Orçamento!$B1347="INSUMO",S1347,""))</f>
        <v/>
      </c>
      <c r="Q1347" s="244" t="str">
        <f t="shared" si="965"/>
        <v>Chapisco aplicado em estruturas de concreto, com desempenadeira dentada, de argamassa industrializada</v>
      </c>
      <c r="R1347" s="234">
        <f t="shared" ca="1" si="957"/>
        <v>34.369999999999997</v>
      </c>
      <c r="S1347" s="233" t="s">
        <v>479</v>
      </c>
      <c r="T1347" s="242" t="s">
        <v>140</v>
      </c>
      <c r="U1347" s="235">
        <v>34.369999999999997</v>
      </c>
      <c r="V1347" s="320" t="s">
        <v>35</v>
      </c>
      <c r="W1347" s="236" t="str">
        <f>IFERROR(IF(B1347="INSUMO",_xlfn.XLOOKUP(S1347,Insumos!A:A,Insumos!C:C),""),"Inserir Preço")</f>
        <v/>
      </c>
      <c r="X1347" s="235">
        <f t="shared" ca="1" si="958"/>
        <v>34.369999999999997</v>
      </c>
      <c r="Y1347" s="236">
        <f t="shared" ca="1" si="937"/>
        <v>5.5020000000000007</v>
      </c>
      <c r="Z1347" s="237">
        <f t="shared" ca="1" si="921"/>
        <v>189.10374000000002</v>
      </c>
      <c r="AA1347" s="238"/>
      <c r="AB1347" s="233" t="str">
        <f>IF(B1347="insumo",_xlfn.XLOOKUP(S1347,Insumos!A:A,Insumos!D:D),"")</f>
        <v/>
      </c>
      <c r="AC1347" s="239">
        <f t="shared" ca="1" si="922"/>
        <v>2.7128655600473498E-5</v>
      </c>
      <c r="AE1347" s="240">
        <f ca="1">IFERROR(IF(OR(Z1347="",Z1347=0),"",IF(AF1347="","",IF(AF1347="R$/mês",Z1347/OBRA!$D$12,IF(AF1347="R$/m²",Z1347/OBRA!$D$10,IF(AF1347="R$/apto",Orçamento!Z1347/OBRA!$D$11,""))))),"")</f>
        <v>9.7314131626209971E-2</v>
      </c>
      <c r="AF1347" s="241" t="s">
        <v>154</v>
      </c>
    </row>
    <row r="1348" spans="1:32" s="10" customFormat="1" ht="13.15" hidden="1" customHeight="1" outlineLevel="4" x14ac:dyDescent="0.2">
      <c r="A1348" s="227"/>
      <c r="B1348" s="228" t="s">
        <v>19</v>
      </c>
      <c r="C1348" s="229">
        <f t="shared" si="920"/>
        <v>11</v>
      </c>
      <c r="D1348" s="227" t="str">
        <f t="shared" si="959"/>
        <v/>
      </c>
      <c r="E1348" s="228" t="str">
        <f t="shared" ca="1" si="960"/>
        <v>13.005.001.001</v>
      </c>
      <c r="F1348" s="230">
        <f ca="1">IF($B1348="UNIDADE CONSTRUTIVA",OFFSET(F1348,-1,0)+1,LARGE(F$10:F1347,1))</f>
        <v>2</v>
      </c>
      <c r="G1348" s="228" t="str">
        <f t="shared" ca="1" si="952"/>
        <v xml:space="preserve">   GERENCIAMENTO EXECUTIVO</v>
      </c>
      <c r="H1348" s="230">
        <f t="shared" ca="1" si="961"/>
        <v>13</v>
      </c>
      <c r="I1348" s="228" t="str">
        <f t="shared" ca="1" si="953"/>
        <v xml:space="preserve">   REVESTIMENTOS INTERNOS DE PAREDE</v>
      </c>
      <c r="J1348" s="230">
        <f t="shared" ca="1" si="962"/>
        <v>5</v>
      </c>
      <c r="K1348" s="228" t="str">
        <f t="shared" ca="1" si="954"/>
        <v xml:space="preserve">   REVESTIMENTOS INTERNOS DE PAREDE - BARRILETE / CAIXA DÁGUA / CASA DE MÁQUINAS</v>
      </c>
      <c r="L1348" s="231">
        <f t="shared" ca="1" si="963"/>
        <v>1</v>
      </c>
      <c r="M1348" s="228" t="str">
        <f t="shared" ca="1" si="955"/>
        <v xml:space="preserve">   Reboco</v>
      </c>
      <c r="N1348" s="231">
        <f t="shared" ca="1" si="964"/>
        <v>1</v>
      </c>
      <c r="O1348" s="228" t="str">
        <f t="shared" ca="1" si="956"/>
        <v>Chapisco aplicado em estruturas de concreto, com desempenadeira dentada, de argamassa industrializada</v>
      </c>
      <c r="P1348" s="232" t="str">
        <f>IF(S1348="","",IF(Orçamento!$B1348="INSUMO",S1348,""))</f>
        <v>CHAPISCO COLANTE 20KG</v>
      </c>
      <c r="Q1348" s="244" t="str">
        <f t="shared" si="965"/>
        <v/>
      </c>
      <c r="R1348" s="234">
        <f t="shared" ca="1" si="957"/>
        <v>34.369999999999997</v>
      </c>
      <c r="S1348" s="233" t="s">
        <v>1027</v>
      </c>
      <c r="T1348" s="242" t="str">
        <f>_xlfn.XLOOKUP(S1348,Insumos!$A$3:$A$371,Insumos!$B$3:$B$371)</f>
        <v>KG</v>
      </c>
      <c r="U1348" s="235">
        <f ca="1">IF($B1348="insumo",R1348,"")</f>
        <v>34.369999999999997</v>
      </c>
      <c r="V1348" s="320">
        <v>4.2</v>
      </c>
      <c r="W1348" s="236">
        <f>IFERROR(IF(B1348="INSUMO",_xlfn.XLOOKUP(S1348,Insumos!A:A,Insumos!C:C),""),"Inserir Preço")</f>
        <v>1.31</v>
      </c>
      <c r="X1348" s="235">
        <f t="shared" ca="1" si="958"/>
        <v>144.35399999999998</v>
      </c>
      <c r="Y1348" s="236">
        <f t="shared" si="937"/>
        <v>5.5020000000000007</v>
      </c>
      <c r="Z1348" s="237">
        <f t="shared" ca="1" si="921"/>
        <v>189.10373999999999</v>
      </c>
      <c r="AA1348" s="238"/>
      <c r="AB1348" s="233" t="str">
        <f>IF(B1348="insumo",_xlfn.XLOOKUP(S1348,Insumos!A:A,Insumos!D:D),"")</f>
        <v xml:space="preserve"> </v>
      </c>
      <c r="AC1348" s="239">
        <f t="shared" ca="1" si="922"/>
        <v>2.7128655600473491E-5</v>
      </c>
      <c r="AE1348" s="240">
        <f ca="1">IFERROR(IF(OR(Z1348="",Z1348=0),"",IF(AF1348="","",IF(AF1348="R$/mês",Z1348/OBRA!$D$12,IF(AF1348="R$/m²",Z1348/OBRA!$D$10,IF(AF1348="R$/apto",Orçamento!Z1348/OBRA!$D$11,""))))),"")</f>
        <v>9.7314131626209957E-2</v>
      </c>
      <c r="AF1348" s="241" t="s">
        <v>154</v>
      </c>
    </row>
    <row r="1349" spans="1:32" s="10" customFormat="1" ht="13.15" hidden="1" customHeight="1" outlineLevel="4" x14ac:dyDescent="0.2">
      <c r="A1349" s="227"/>
      <c r="B1349" s="228" t="s">
        <v>4</v>
      </c>
      <c r="C1349" s="229">
        <f t="shared" si="920"/>
        <v>5</v>
      </c>
      <c r="D1349" s="227" t="str">
        <f t="shared" ca="1" si="959"/>
        <v>13.005.001.002</v>
      </c>
      <c r="E1349" s="228" t="str">
        <f t="shared" ca="1" si="960"/>
        <v>13.005.001.002</v>
      </c>
      <c r="F1349" s="230">
        <f ca="1">IF($B1349="UNIDADE CONSTRUTIVA",OFFSET(F1349,-1,0)+1,LARGE(F$10:F1348,1))</f>
        <v>2</v>
      </c>
      <c r="G1349" s="228" t="str">
        <f t="shared" ca="1" si="952"/>
        <v xml:space="preserve">   GERENCIAMENTO EXECUTIVO</v>
      </c>
      <c r="H1349" s="230">
        <f t="shared" ca="1" si="961"/>
        <v>13</v>
      </c>
      <c r="I1349" s="228" t="str">
        <f t="shared" ca="1" si="953"/>
        <v xml:space="preserve">   REVESTIMENTOS INTERNOS DE PAREDE</v>
      </c>
      <c r="J1349" s="230">
        <f t="shared" ca="1" si="962"/>
        <v>5</v>
      </c>
      <c r="K1349" s="228" t="str">
        <f t="shared" ca="1" si="954"/>
        <v xml:space="preserve">   REVESTIMENTOS INTERNOS DE PAREDE - BARRILETE / CAIXA DÁGUA / CASA DE MÁQUINAS</v>
      </c>
      <c r="L1349" s="231">
        <f t="shared" ca="1" si="963"/>
        <v>1</v>
      </c>
      <c r="M1349" s="228" t="str">
        <f t="shared" ca="1" si="955"/>
        <v xml:space="preserve">   Reboco</v>
      </c>
      <c r="N1349" s="231">
        <f t="shared" ca="1" si="964"/>
        <v>2</v>
      </c>
      <c r="O1349" s="228" t="str">
        <f t="shared" ca="1" si="956"/>
        <v>Chapisco aplicado em alvenarias internas, com colher de pedreiro, de argamassa estabilizada</v>
      </c>
      <c r="P1349" s="232" t="str">
        <f>IF(S1349="","",IF(Orçamento!$B1349="INSUMO",S1349,""))</f>
        <v/>
      </c>
      <c r="Q1349" s="244" t="str">
        <f t="shared" si="965"/>
        <v>Chapisco aplicado em alvenarias internas, com colher de pedreiro, de argamassa estabilizada</v>
      </c>
      <c r="R1349" s="234">
        <f t="shared" ca="1" si="957"/>
        <v>203.57</v>
      </c>
      <c r="S1349" s="233" t="s">
        <v>480</v>
      </c>
      <c r="T1349" s="242" t="s">
        <v>140</v>
      </c>
      <c r="U1349" s="235">
        <v>203.57</v>
      </c>
      <c r="V1349" s="320" t="s">
        <v>35</v>
      </c>
      <c r="W1349" s="236" t="str">
        <f>IFERROR(IF(B1349="INSUMO",_xlfn.XLOOKUP(S1349,Insumos!A:A,Insumos!C:C),""),"Inserir Preço")</f>
        <v/>
      </c>
      <c r="X1349" s="235">
        <f t="shared" ca="1" si="958"/>
        <v>203.57</v>
      </c>
      <c r="Y1349" s="236">
        <f t="shared" ca="1" si="937"/>
        <v>7.93</v>
      </c>
      <c r="Z1349" s="237">
        <f t="shared" ca="1" si="921"/>
        <v>1614.3100999999999</v>
      </c>
      <c r="AA1349" s="238"/>
      <c r="AB1349" s="233" t="str">
        <f>IF(B1349="insumo",_xlfn.XLOOKUP(S1349,Insumos!A:A,Insumos!D:D),"")</f>
        <v/>
      </c>
      <c r="AC1349" s="239">
        <f t="shared" ca="1" si="922"/>
        <v>2.3158750184034397E-4</v>
      </c>
      <c r="AE1349" s="240">
        <f ca="1">IFERROR(IF(OR(Z1349="",Z1349=0),"",IF(AF1349="","",IF(AF1349="R$/mês",Z1349/OBRA!$D$12,IF(AF1349="R$/m²",Z1349/OBRA!$D$10,IF(AF1349="R$/apto",Orçamento!Z1349/OBRA!$D$11,""))))),"")</f>
        <v>0.83073547650046564</v>
      </c>
      <c r="AF1349" s="241" t="s">
        <v>154</v>
      </c>
    </row>
    <row r="1350" spans="1:32" s="10" customFormat="1" ht="13.15" hidden="1" customHeight="1" outlineLevel="4" x14ac:dyDescent="0.2">
      <c r="A1350" s="227"/>
      <c r="B1350" s="228" t="s">
        <v>19</v>
      </c>
      <c r="C1350" s="229">
        <f t="shared" si="920"/>
        <v>6</v>
      </c>
      <c r="D1350" s="227" t="str">
        <f t="shared" si="959"/>
        <v/>
      </c>
      <c r="E1350" s="228" t="str">
        <f t="shared" ca="1" si="960"/>
        <v>13.005.001.002</v>
      </c>
      <c r="F1350" s="230">
        <f ca="1">IF($B1350="UNIDADE CONSTRUTIVA",OFFSET(F1350,-1,0)+1,LARGE(F$10:F1349,1))</f>
        <v>2</v>
      </c>
      <c r="G1350" s="228" t="str">
        <f t="shared" ca="1" si="952"/>
        <v xml:space="preserve">   GERENCIAMENTO EXECUTIVO</v>
      </c>
      <c r="H1350" s="230">
        <f t="shared" ca="1" si="961"/>
        <v>13</v>
      </c>
      <c r="I1350" s="228" t="str">
        <f t="shared" ca="1" si="953"/>
        <v xml:space="preserve">   REVESTIMENTOS INTERNOS DE PAREDE</v>
      </c>
      <c r="J1350" s="230">
        <f t="shared" ca="1" si="962"/>
        <v>5</v>
      </c>
      <c r="K1350" s="228" t="str">
        <f t="shared" ca="1" si="954"/>
        <v xml:space="preserve">   REVESTIMENTOS INTERNOS DE PAREDE - BARRILETE / CAIXA DÁGUA / CASA DE MÁQUINAS</v>
      </c>
      <c r="L1350" s="231">
        <f t="shared" ca="1" si="963"/>
        <v>1</v>
      </c>
      <c r="M1350" s="228" t="str">
        <f t="shared" ca="1" si="955"/>
        <v xml:space="preserve">   Reboco</v>
      </c>
      <c r="N1350" s="231">
        <f t="shared" ca="1" si="964"/>
        <v>2</v>
      </c>
      <c r="O1350" s="228" t="str">
        <f t="shared" ca="1" si="956"/>
        <v>Chapisco aplicado em alvenarias internas, com colher de pedreiro, de argamassa estabilizada</v>
      </c>
      <c r="P1350" s="232" t="str">
        <f>IF(S1350="","",IF(Orçamento!$B1350="INSUMO",S1350,""))</f>
        <v>ARGAMASSA ESTABILIZADA PARA CHAPISCO</v>
      </c>
      <c r="Q1350" s="244" t="str">
        <f t="shared" si="965"/>
        <v/>
      </c>
      <c r="R1350" s="234">
        <f t="shared" ca="1" si="957"/>
        <v>203.57</v>
      </c>
      <c r="S1350" s="233" t="s">
        <v>328</v>
      </c>
      <c r="T1350" s="242" t="str">
        <f>_xlfn.XLOOKUP(S1350,Insumos!$A$3:$A$371,Insumos!$B$3:$B$371)</f>
        <v>M3</v>
      </c>
      <c r="U1350" s="235">
        <f ca="1">IF($B1350="insumo",R1350,"")</f>
        <v>203.57</v>
      </c>
      <c r="V1350" s="320">
        <v>1.888095238095238E-2</v>
      </c>
      <c r="W1350" s="236">
        <f>IFERROR(IF(B1350="INSUMO",_xlfn.XLOOKUP(S1350,Insumos!A:A,Insumos!C:C),""),"Inserir Preço")</f>
        <v>420</v>
      </c>
      <c r="X1350" s="235">
        <f t="shared" ca="1" si="958"/>
        <v>3.843595476190476</v>
      </c>
      <c r="Y1350" s="236">
        <f t="shared" si="937"/>
        <v>7.93</v>
      </c>
      <c r="Z1350" s="237">
        <f t="shared" ca="1" si="921"/>
        <v>1614.3100999999999</v>
      </c>
      <c r="AA1350" s="238"/>
      <c r="AB1350" s="233" t="str">
        <f>IF(B1350="insumo",_xlfn.XLOOKUP(S1350,Insumos!A:A,Insumos!D:D),"")</f>
        <v xml:space="preserve"> </v>
      </c>
      <c r="AC1350" s="239">
        <f t="shared" ca="1" si="922"/>
        <v>2.3158750184034397E-4</v>
      </c>
      <c r="AE1350" s="240">
        <f ca="1">IFERROR(IF(OR(Z1350="",Z1350=0),"",IF(AF1350="","",IF(AF1350="R$/mês",Z1350/OBRA!$D$12,IF(AF1350="R$/m²",Z1350/OBRA!$D$10,IF(AF1350="R$/apto",Orçamento!Z1350/OBRA!$D$11,""))))),"")</f>
        <v>0.83073547650046564</v>
      </c>
      <c r="AF1350" s="241" t="s">
        <v>154</v>
      </c>
    </row>
    <row r="1351" spans="1:32" s="10" customFormat="1" ht="13.15" hidden="1" customHeight="1" outlineLevel="4" x14ac:dyDescent="0.2">
      <c r="A1351" s="227"/>
      <c r="B1351" s="228" t="s">
        <v>4</v>
      </c>
      <c r="C1351" s="229">
        <f t="shared" si="920"/>
        <v>5</v>
      </c>
      <c r="D1351" s="227" t="str">
        <f t="shared" ca="1" si="959"/>
        <v>13.005.001.003</v>
      </c>
      <c r="E1351" s="228" t="str">
        <f t="shared" ca="1" si="960"/>
        <v>13.005.001.003</v>
      </c>
      <c r="F1351" s="230">
        <f ca="1">IF($B1351="UNIDADE CONSTRUTIVA",OFFSET(F1351,-1,0)+1,LARGE(F$10:F1350,1))</f>
        <v>2</v>
      </c>
      <c r="G1351" s="228" t="str">
        <f t="shared" ca="1" si="952"/>
        <v xml:space="preserve">   GERENCIAMENTO EXECUTIVO</v>
      </c>
      <c r="H1351" s="230">
        <f t="shared" ca="1" si="961"/>
        <v>13</v>
      </c>
      <c r="I1351" s="228" t="str">
        <f t="shared" ca="1" si="953"/>
        <v xml:space="preserve">   REVESTIMENTOS INTERNOS DE PAREDE</v>
      </c>
      <c r="J1351" s="230">
        <f t="shared" ca="1" si="962"/>
        <v>5</v>
      </c>
      <c r="K1351" s="228" t="str">
        <f t="shared" ca="1" si="954"/>
        <v xml:space="preserve">   REVESTIMENTOS INTERNOS DE PAREDE - BARRILETE / CAIXA DÁGUA / CASA DE MÁQUINAS</v>
      </c>
      <c r="L1351" s="231">
        <f t="shared" ca="1" si="963"/>
        <v>1</v>
      </c>
      <c r="M1351" s="228" t="str">
        <f t="shared" ca="1" si="955"/>
        <v xml:space="preserve">   Reboco</v>
      </c>
      <c r="N1351" s="231">
        <f t="shared" ca="1" si="964"/>
        <v>3</v>
      </c>
      <c r="O1351" s="228" t="str">
        <f t="shared" ca="1" si="956"/>
        <v>Massa unica para reboco interno em argamassa estabilizada, espessura de 20mm, com execucao de taliscas</v>
      </c>
      <c r="P1351" s="232" t="str">
        <f>IF(S1351="","",IF(Orçamento!$B1351="INSUMO",S1351,""))</f>
        <v/>
      </c>
      <c r="Q1351" s="244" t="str">
        <f t="shared" si="965"/>
        <v>Massa unica para reboco interno em argamassa estabilizada, espessura de 20mm, com execucao de taliscas</v>
      </c>
      <c r="R1351" s="234">
        <f t="shared" ca="1" si="957"/>
        <v>194.19</v>
      </c>
      <c r="S1351" s="233" t="s">
        <v>481</v>
      </c>
      <c r="T1351" s="242" t="s">
        <v>140</v>
      </c>
      <c r="U1351" s="235">
        <v>194.19</v>
      </c>
      <c r="V1351" s="320" t="s">
        <v>35</v>
      </c>
      <c r="W1351" s="236" t="str">
        <f>IFERROR(IF(B1351="INSUMO",_xlfn.XLOOKUP(S1351,Insumos!A:A,Insumos!C:C),""),"Inserir Preço")</f>
        <v/>
      </c>
      <c r="X1351" s="235">
        <f t="shared" ca="1" si="958"/>
        <v>194.19</v>
      </c>
      <c r="Y1351" s="236">
        <f t="shared" ca="1" si="937"/>
        <v>19.008000000000003</v>
      </c>
      <c r="Z1351" s="237">
        <f t="shared" ca="1" si="921"/>
        <v>3691.1635200000005</v>
      </c>
      <c r="AA1351" s="238"/>
      <c r="AB1351" s="233" t="str">
        <f>IF(B1351="insumo",_xlfn.XLOOKUP(S1351,Insumos!A:A,Insumos!D:D),"")</f>
        <v/>
      </c>
      <c r="AC1351" s="239">
        <f t="shared" ca="1" si="922"/>
        <v>5.2953106003673684E-4</v>
      </c>
      <c r="AE1351" s="240">
        <f ca="1">IFERROR(IF(OR(Z1351="",Z1351=0),"",IF(AF1351="","",IF(AF1351="R$/mês",Z1351/OBRA!$D$12,IF(AF1351="R$/m²",Z1351/OBRA!$D$10,IF(AF1351="R$/apto",Orçamento!Z1351/OBRA!$D$11,""))))),"")</f>
        <v>1.8994990402577154</v>
      </c>
      <c r="AF1351" s="241" t="s">
        <v>154</v>
      </c>
    </row>
    <row r="1352" spans="1:32" s="10" customFormat="1" ht="13.15" hidden="1" customHeight="1" outlineLevel="4" x14ac:dyDescent="0.2">
      <c r="A1352" s="227"/>
      <c r="B1352" s="228" t="s">
        <v>19</v>
      </c>
      <c r="C1352" s="229">
        <f t="shared" si="920"/>
        <v>11</v>
      </c>
      <c r="D1352" s="227" t="str">
        <f t="shared" si="959"/>
        <v/>
      </c>
      <c r="E1352" s="228" t="str">
        <f t="shared" ca="1" si="960"/>
        <v>13.005.001.003</v>
      </c>
      <c r="F1352" s="230">
        <f ca="1">IF($B1352="UNIDADE CONSTRUTIVA",OFFSET(F1352,-1,0)+1,LARGE(F$10:F1351,1))</f>
        <v>2</v>
      </c>
      <c r="G1352" s="228" t="str">
        <f t="shared" ca="1" si="952"/>
        <v xml:space="preserve">   GERENCIAMENTO EXECUTIVO</v>
      </c>
      <c r="H1352" s="230">
        <f t="shared" ca="1" si="961"/>
        <v>13</v>
      </c>
      <c r="I1352" s="228" t="str">
        <f t="shared" ca="1" si="953"/>
        <v xml:space="preserve">   REVESTIMENTOS INTERNOS DE PAREDE</v>
      </c>
      <c r="J1352" s="230">
        <f t="shared" ca="1" si="962"/>
        <v>5</v>
      </c>
      <c r="K1352" s="228" t="str">
        <f t="shared" ca="1" si="954"/>
        <v xml:space="preserve">   REVESTIMENTOS INTERNOS DE PAREDE - BARRILETE / CAIXA DÁGUA / CASA DE MÁQUINAS</v>
      </c>
      <c r="L1352" s="231">
        <f t="shared" ca="1" si="963"/>
        <v>1</v>
      </c>
      <c r="M1352" s="228" t="str">
        <f t="shared" ca="1" si="955"/>
        <v xml:space="preserve">   Reboco</v>
      </c>
      <c r="N1352" s="231">
        <f t="shared" ca="1" si="964"/>
        <v>3</v>
      </c>
      <c r="O1352" s="228" t="str">
        <f t="shared" ca="1" si="956"/>
        <v>Massa unica para reboco interno em argamassa estabilizada, espessura de 20mm, com execucao de taliscas</v>
      </c>
      <c r="P1352" s="232" t="str">
        <f>IF(S1352="","",IF(Orçamento!$B1352="INSUMO",S1352,""))</f>
        <v>ARGAMASSA ESTABILIZADA PARA REBOCO</v>
      </c>
      <c r="Q1352" s="244" t="str">
        <f t="shared" si="965"/>
        <v/>
      </c>
      <c r="R1352" s="234">
        <f t="shared" ca="1" si="957"/>
        <v>194.19</v>
      </c>
      <c r="S1352" s="233" t="s">
        <v>256</v>
      </c>
      <c r="T1352" s="242" t="str">
        <f>_xlfn.XLOOKUP(S1352,Insumos!$A$3:$A$371,Insumos!$B$3:$B$371)</f>
        <v>M3</v>
      </c>
      <c r="U1352" s="235">
        <f ca="1">IF($B1352="insumo",R1352,"")</f>
        <v>194.19</v>
      </c>
      <c r="V1352" s="320">
        <v>3.9600000000000003E-2</v>
      </c>
      <c r="W1352" s="236">
        <f>IFERROR(IF(B1352="INSUMO",_xlfn.XLOOKUP(S1352,Insumos!A:A,Insumos!C:C),""),"Inserir Preço")</f>
        <v>480</v>
      </c>
      <c r="X1352" s="235">
        <f t="shared" ca="1" si="958"/>
        <v>7.6899240000000004</v>
      </c>
      <c r="Y1352" s="236">
        <f t="shared" si="937"/>
        <v>19.008000000000003</v>
      </c>
      <c r="Z1352" s="237">
        <f t="shared" ca="1" si="921"/>
        <v>3691.1635200000001</v>
      </c>
      <c r="AA1352" s="238"/>
      <c r="AB1352" s="233" t="str">
        <f>IF(B1352="insumo",_xlfn.XLOOKUP(S1352,Insumos!A:A,Insumos!D:D),"")</f>
        <v xml:space="preserve"> </v>
      </c>
      <c r="AC1352" s="239">
        <f t="shared" ca="1" si="922"/>
        <v>5.2953106003673673E-4</v>
      </c>
      <c r="AE1352" s="240">
        <f ca="1">IFERROR(IF(OR(Z1352="",Z1352=0),"",IF(AF1352="","",IF(AF1352="R$/mês",Z1352/OBRA!$D$12,IF(AF1352="R$/m²",Z1352/OBRA!$D$10,IF(AF1352="R$/apto",Orçamento!Z1352/OBRA!$D$11,""))))),"")</f>
        <v>1.8994990402577152</v>
      </c>
      <c r="AF1352" s="241" t="s">
        <v>154</v>
      </c>
    </row>
    <row r="1353" spans="1:32" s="10" customFormat="1" ht="13.15" hidden="1" customHeight="1" outlineLevel="4" x14ac:dyDescent="0.2">
      <c r="A1353" s="227"/>
      <c r="B1353" s="228" t="s">
        <v>4</v>
      </c>
      <c r="C1353" s="229">
        <f t="shared" si="920"/>
        <v>5</v>
      </c>
      <c r="D1353" s="227" t="str">
        <f t="shared" ca="1" si="959"/>
        <v>13.005.001.004</v>
      </c>
      <c r="E1353" s="228" t="str">
        <f t="shared" ca="1" si="960"/>
        <v>13.005.001.004</v>
      </c>
      <c r="F1353" s="230">
        <f ca="1">IF($B1353="UNIDADE CONSTRUTIVA",OFFSET(F1353,-1,0)+1,LARGE(F$10:F1352,1))</f>
        <v>2</v>
      </c>
      <c r="G1353" s="228" t="str">
        <f t="shared" ca="1" si="952"/>
        <v xml:space="preserve">   GERENCIAMENTO EXECUTIVO</v>
      </c>
      <c r="H1353" s="230">
        <f t="shared" ca="1" si="961"/>
        <v>13</v>
      </c>
      <c r="I1353" s="228" t="str">
        <f t="shared" ca="1" si="953"/>
        <v xml:space="preserve">   REVESTIMENTOS INTERNOS DE PAREDE</v>
      </c>
      <c r="J1353" s="230">
        <f t="shared" ca="1" si="962"/>
        <v>5</v>
      </c>
      <c r="K1353" s="228" t="str">
        <f t="shared" ca="1" si="954"/>
        <v xml:space="preserve">   REVESTIMENTOS INTERNOS DE PAREDE - BARRILETE / CAIXA DÁGUA / CASA DE MÁQUINAS</v>
      </c>
      <c r="L1353" s="231">
        <f t="shared" ca="1" si="963"/>
        <v>1</v>
      </c>
      <c r="M1353" s="228" t="str">
        <f t="shared" ca="1" si="955"/>
        <v xml:space="preserve">   Reboco</v>
      </c>
      <c r="N1353" s="231">
        <f t="shared" ca="1" si="964"/>
        <v>4</v>
      </c>
      <c r="O1353" s="228" t="str">
        <f t="shared" ca="1" si="956"/>
        <v>Estucamento de estrutura de concreto em pilares e vigas</v>
      </c>
      <c r="P1353" s="232" t="str">
        <f>IF(S1353="","",IF(Orçamento!$B1353="INSUMO",S1353,""))</f>
        <v/>
      </c>
      <c r="Q1353" s="244" t="str">
        <f t="shared" si="965"/>
        <v>Estucamento de estrutura de concreto em pilares e vigas</v>
      </c>
      <c r="R1353" s="234">
        <f t="shared" ca="1" si="957"/>
        <v>40.24</v>
      </c>
      <c r="S1353" s="233" t="s">
        <v>482</v>
      </c>
      <c r="T1353" s="242" t="s">
        <v>140</v>
      </c>
      <c r="U1353" s="235">
        <v>40.24</v>
      </c>
      <c r="V1353" s="320" t="s">
        <v>35</v>
      </c>
      <c r="W1353" s="236" t="str">
        <f>IFERROR(IF(B1353="INSUMO",_xlfn.XLOOKUP(S1353,Insumos!A:A,Insumos!C:C),""),"Inserir Preço")</f>
        <v/>
      </c>
      <c r="X1353" s="235">
        <f t="shared" ca="1" si="958"/>
        <v>40.24</v>
      </c>
      <c r="Y1353" s="236">
        <f t="shared" ca="1" si="937"/>
        <v>4.0495000000000001</v>
      </c>
      <c r="Z1353" s="237">
        <f t="shared" ca="1" si="921"/>
        <v>162.95188000000002</v>
      </c>
      <c r="AA1353" s="238"/>
      <c r="AB1353" s="233" t="str">
        <f>IF(B1353="insumo",_xlfn.XLOOKUP(S1353,Insumos!A:A,Insumos!D:D),"")</f>
        <v/>
      </c>
      <c r="AC1353" s="239">
        <f t="shared" ca="1" si="922"/>
        <v>2.3376932851617239E-5</v>
      </c>
      <c r="AE1353" s="240">
        <f ca="1">IFERROR(IF(OR(Z1353="",Z1353=0),"",IF(AF1353="","",IF(AF1353="R$/mês",Z1353/OBRA!$D$12,IF(AF1353="R$/m²",Z1353/OBRA!$D$10,IF(AF1353="R$/apto",Orçamento!Z1353/OBRA!$D$11,""))))),"")</f>
        <v>8.3856198185495293E-2</v>
      </c>
      <c r="AF1353" s="241" t="s">
        <v>154</v>
      </c>
    </row>
    <row r="1354" spans="1:32" s="10" customFormat="1" ht="13.15" hidden="1" customHeight="1" outlineLevel="4" x14ac:dyDescent="0.2">
      <c r="A1354" s="227"/>
      <c r="B1354" s="228" t="s">
        <v>19</v>
      </c>
      <c r="C1354" s="229">
        <f t="shared" si="920"/>
        <v>13</v>
      </c>
      <c r="D1354" s="227" t="str">
        <f t="shared" si="959"/>
        <v/>
      </c>
      <c r="E1354" s="228" t="str">
        <f t="shared" ca="1" si="960"/>
        <v>13.005.001.004</v>
      </c>
      <c r="F1354" s="230">
        <f ca="1">IF($B1354="UNIDADE CONSTRUTIVA",OFFSET(F1354,-1,0)+1,LARGE(F$10:F1353,1))</f>
        <v>2</v>
      </c>
      <c r="G1354" s="228" t="str">
        <f t="shared" ca="1" si="952"/>
        <v xml:space="preserve">   GERENCIAMENTO EXECUTIVO</v>
      </c>
      <c r="H1354" s="230">
        <f t="shared" ca="1" si="961"/>
        <v>13</v>
      </c>
      <c r="I1354" s="228" t="str">
        <f t="shared" ca="1" si="953"/>
        <v xml:space="preserve">   REVESTIMENTOS INTERNOS DE PAREDE</v>
      </c>
      <c r="J1354" s="230">
        <f t="shared" ca="1" si="962"/>
        <v>5</v>
      </c>
      <c r="K1354" s="228" t="str">
        <f t="shared" ca="1" si="954"/>
        <v xml:space="preserve">   REVESTIMENTOS INTERNOS DE PAREDE - BARRILETE / CAIXA DÁGUA / CASA DE MÁQUINAS</v>
      </c>
      <c r="L1354" s="231">
        <f t="shared" ca="1" si="963"/>
        <v>1</v>
      </c>
      <c r="M1354" s="228" t="str">
        <f t="shared" ca="1" si="955"/>
        <v xml:space="preserve">   Reboco</v>
      </c>
      <c r="N1354" s="231">
        <f t="shared" ca="1" si="964"/>
        <v>4</v>
      </c>
      <c r="O1354" s="228" t="str">
        <f t="shared" ca="1" si="956"/>
        <v>Estucamento de estrutura de concreto em pilares e vigas</v>
      </c>
      <c r="P1354" s="232" t="str">
        <f>IF(S1354="","",IF(Orçamento!$B1354="INSUMO",S1354,""))</f>
        <v>CIMENTO PORTLAND CP II 32 - Z</v>
      </c>
      <c r="Q1354" s="244" t="str">
        <f t="shared" si="965"/>
        <v/>
      </c>
      <c r="R1354" s="234">
        <f t="shared" ca="1" si="957"/>
        <v>40.24</v>
      </c>
      <c r="S1354" s="233" t="s">
        <v>343</v>
      </c>
      <c r="T1354" s="242" t="str">
        <f>_xlfn.XLOOKUP(S1354,Insumos!$A$3:$A$371,Insumos!$B$3:$B$371)</f>
        <v>KG</v>
      </c>
      <c r="U1354" s="235">
        <f ca="1">IF($B1354="insumo",R1354,"")</f>
        <v>40.24</v>
      </c>
      <c r="V1354" s="320">
        <v>0.6</v>
      </c>
      <c r="W1354" s="236">
        <f>IFERROR(IF(B1354="INSUMO",_xlfn.XLOOKUP(S1354,Insumos!A:A,Insumos!C:C),""),"Inserir Preço")</f>
        <v>0.74</v>
      </c>
      <c r="X1354" s="235">
        <f t="shared" ca="1" si="958"/>
        <v>24.144000000000002</v>
      </c>
      <c r="Y1354" s="236">
        <f t="shared" si="937"/>
        <v>0.44400000000000001</v>
      </c>
      <c r="Z1354" s="237">
        <f t="shared" ca="1" si="921"/>
        <v>17.86656</v>
      </c>
      <c r="AA1354" s="238"/>
      <c r="AB1354" s="233" t="str">
        <f>IF(B1354="insumo",_xlfn.XLOOKUP(S1354,Insumos!A:A,Insumos!D:D),"")</f>
        <v xml:space="preserve"> </v>
      </c>
      <c r="AC1354" s="239">
        <f t="shared" ca="1" si="922"/>
        <v>2.5631209250816282E-6</v>
      </c>
      <c r="AE1354" s="240">
        <f ca="1">IFERROR(IF(OR(Z1354="",Z1354=0),"",IF(AF1354="","",IF(AF1354="R$/mês",Z1354/OBRA!$D$12,IF(AF1354="R$/m²",Z1354/OBRA!$D$10,IF(AF1354="R$/apto",Orçamento!Z1354/OBRA!$D$11,""))))),"")</f>
        <v>9.194259042933672E-3</v>
      </c>
      <c r="AF1354" s="241" t="s">
        <v>154</v>
      </c>
    </row>
    <row r="1355" spans="1:32" s="10" customFormat="1" ht="13.15" hidden="1" customHeight="1" outlineLevel="4" x14ac:dyDescent="0.2">
      <c r="A1355" s="227"/>
      <c r="B1355" s="228" t="s">
        <v>19</v>
      </c>
      <c r="C1355" s="229">
        <f t="shared" si="920"/>
        <v>7</v>
      </c>
      <c r="D1355" s="227" t="str">
        <f t="shared" si="959"/>
        <v/>
      </c>
      <c r="E1355" s="228" t="str">
        <f t="shared" ca="1" si="960"/>
        <v>13.005.001.004</v>
      </c>
      <c r="F1355" s="230">
        <f ca="1">IF($B1355="UNIDADE CONSTRUTIVA",OFFSET(F1355,-1,0)+1,LARGE(F$10:F1354,1))</f>
        <v>2</v>
      </c>
      <c r="G1355" s="228" t="str">
        <f t="shared" ca="1" si="952"/>
        <v xml:space="preserve">   GERENCIAMENTO EXECUTIVO</v>
      </c>
      <c r="H1355" s="230">
        <f t="shared" ca="1" si="961"/>
        <v>13</v>
      </c>
      <c r="I1355" s="228" t="str">
        <f t="shared" ca="1" si="953"/>
        <v xml:space="preserve">   REVESTIMENTOS INTERNOS DE PAREDE</v>
      </c>
      <c r="J1355" s="230">
        <f t="shared" ca="1" si="962"/>
        <v>5</v>
      </c>
      <c r="K1355" s="228" t="str">
        <f t="shared" ca="1" si="954"/>
        <v xml:space="preserve">   REVESTIMENTOS INTERNOS DE PAREDE - BARRILETE / CAIXA DÁGUA / CASA DE MÁQUINAS</v>
      </c>
      <c r="L1355" s="231">
        <f t="shared" ca="1" si="963"/>
        <v>1</v>
      </c>
      <c r="M1355" s="228" t="str">
        <f t="shared" ca="1" si="955"/>
        <v xml:space="preserve">   Reboco</v>
      </c>
      <c r="N1355" s="231">
        <f t="shared" ca="1" si="964"/>
        <v>4</v>
      </c>
      <c r="O1355" s="228" t="str">
        <f t="shared" ca="1" si="956"/>
        <v>Estucamento de estrutura de concreto em pilares e vigas</v>
      </c>
      <c r="P1355" s="232" t="str">
        <f>IF(S1355="","",IF(Orçamento!$B1355="INSUMO",S1355,""))</f>
        <v>CIMENTO BRANCO</v>
      </c>
      <c r="Q1355" s="244" t="str">
        <f t="shared" si="965"/>
        <v/>
      </c>
      <c r="R1355" s="234">
        <f t="shared" ca="1" si="957"/>
        <v>40.24</v>
      </c>
      <c r="S1355" s="233" t="s">
        <v>379</v>
      </c>
      <c r="T1355" s="242" t="str">
        <f>_xlfn.XLOOKUP(S1355,Insumos!$A$3:$A$371,Insumos!$B$3:$B$371)</f>
        <v>KG</v>
      </c>
      <c r="U1355" s="235">
        <f ca="1">IF($B1355="insumo",R1355,"")</f>
        <v>40.24</v>
      </c>
      <c r="V1355" s="320">
        <v>0.3</v>
      </c>
      <c r="W1355" s="236">
        <f>IFERROR(IF(B1355="INSUMO",_xlfn.XLOOKUP(S1355,Insumos!A:A,Insumos!C:C),""),"Inserir Preço")</f>
        <v>2.64</v>
      </c>
      <c r="X1355" s="235">
        <f t="shared" ca="1" si="958"/>
        <v>12.072000000000001</v>
      </c>
      <c r="Y1355" s="236">
        <f t="shared" si="937"/>
        <v>0.79200000000000004</v>
      </c>
      <c r="Z1355" s="237">
        <f t="shared" ca="1" si="921"/>
        <v>31.870080000000005</v>
      </c>
      <c r="AA1355" s="238"/>
      <c r="AB1355" s="233" t="str">
        <f>IF(B1355="insumo",_xlfn.XLOOKUP(S1355,Insumos!A:A,Insumos!D:D),"")</f>
        <v xml:space="preserve"> </v>
      </c>
      <c r="AC1355" s="239">
        <f t="shared" ca="1" si="922"/>
        <v>4.5720535420374999E-6</v>
      </c>
      <c r="AE1355" s="240">
        <f ca="1">IFERROR(IF(OR(Z1355="",Z1355=0),"",IF(AF1355="","",IF(AF1355="R$/mês",Z1355/OBRA!$D$12,IF(AF1355="R$/m²",Z1355/OBRA!$D$10,IF(AF1355="R$/apto",Orçamento!Z1355/OBRA!$D$11,""))))),"")</f>
        <v>1.6400570184692501E-2</v>
      </c>
      <c r="AF1355" s="241" t="s">
        <v>154</v>
      </c>
    </row>
    <row r="1356" spans="1:32" s="10" customFormat="1" ht="13.15" hidden="1" customHeight="1" outlineLevel="4" x14ac:dyDescent="0.2">
      <c r="A1356" s="227"/>
      <c r="B1356" s="228" t="s">
        <v>19</v>
      </c>
      <c r="C1356" s="229">
        <f t="shared" ref="C1356:C1419" si="966">IF(B1356="INSUMO",COUNTIFS(B:B,"INSUMO",S:S,S1356),IF(B1356="SERVIÇO",COUNTIFS(B:B,"SERVIÇO",S:S,S1356),""))</f>
        <v>19</v>
      </c>
      <c r="D1356" s="227" t="str">
        <f t="shared" si="959"/>
        <v/>
      </c>
      <c r="E1356" s="228" t="str">
        <f t="shared" ca="1" si="960"/>
        <v>13.005.001.004</v>
      </c>
      <c r="F1356" s="230">
        <f ca="1">IF($B1356="UNIDADE CONSTRUTIVA",OFFSET(F1356,-1,0)+1,LARGE(F$10:F1355,1))</f>
        <v>2</v>
      </c>
      <c r="G1356" s="228" t="str">
        <f t="shared" ca="1" si="952"/>
        <v xml:space="preserve">   GERENCIAMENTO EXECUTIVO</v>
      </c>
      <c r="H1356" s="230">
        <f t="shared" ca="1" si="961"/>
        <v>13</v>
      </c>
      <c r="I1356" s="228" t="str">
        <f t="shared" ca="1" si="953"/>
        <v xml:space="preserve">   REVESTIMENTOS INTERNOS DE PAREDE</v>
      </c>
      <c r="J1356" s="230">
        <f t="shared" ca="1" si="962"/>
        <v>5</v>
      </c>
      <c r="K1356" s="228" t="str">
        <f t="shared" ca="1" si="954"/>
        <v xml:space="preserve">   REVESTIMENTOS INTERNOS DE PAREDE - BARRILETE / CAIXA DÁGUA / CASA DE MÁQUINAS</v>
      </c>
      <c r="L1356" s="231">
        <f t="shared" ca="1" si="963"/>
        <v>1</v>
      </c>
      <c r="M1356" s="228" t="str">
        <f t="shared" ca="1" si="955"/>
        <v xml:space="preserve">   Reboco</v>
      </c>
      <c r="N1356" s="231">
        <f t="shared" ca="1" si="964"/>
        <v>4</v>
      </c>
      <c r="O1356" s="228" t="str">
        <f t="shared" ca="1" si="956"/>
        <v>Estucamento de estrutura de concreto em pilares e vigas</v>
      </c>
      <c r="P1356" s="232" t="str">
        <f>IF(S1356="","",IF(Orçamento!$B1356="INSUMO",S1356,""))</f>
        <v>LIXA EM FOLHA PARA PAREDE OU MADEIRA N° 120</v>
      </c>
      <c r="Q1356" s="244" t="str">
        <f t="shared" si="965"/>
        <v/>
      </c>
      <c r="R1356" s="234">
        <f t="shared" ca="1" si="957"/>
        <v>40.24</v>
      </c>
      <c r="S1356" s="233" t="s">
        <v>922</v>
      </c>
      <c r="T1356" s="242" t="str">
        <f>_xlfn.XLOOKUP(S1356,Insumos!$A$3:$A$371,Insumos!$B$3:$B$371)</f>
        <v>UN</v>
      </c>
      <c r="U1356" s="235">
        <f ca="1">IF($B1356="insumo",R1356,"")</f>
        <v>40.24</v>
      </c>
      <c r="V1356" s="320">
        <v>0.05</v>
      </c>
      <c r="W1356" s="236">
        <f>IFERROR(IF(B1356="INSUMO",_xlfn.XLOOKUP(S1356,Insumos!A:A,Insumos!C:C),""),"Inserir Preço")</f>
        <v>2.2999999999999998</v>
      </c>
      <c r="X1356" s="235">
        <f t="shared" ca="1" si="958"/>
        <v>2.012</v>
      </c>
      <c r="Y1356" s="236">
        <f t="shared" si="937"/>
        <v>0.11499999999999999</v>
      </c>
      <c r="Z1356" s="237">
        <f t="shared" ref="Z1356:Z1419" ca="1" si="967">IFERROR(IF(B1356="Unidade Construtiva",SUMIFS(Z:Z,B:B,"Célula Construtiva",G:G,G1356),IF(B1356="célula construtiva",SUMIFS(Z:Z,B:B,"Insumo",I:I,I1356,G:G,G1356),IF(B1356="ETAPA",SUMIFS(Z:Z,B:B,"Insumo",K:K,K1356,I:I,I1356,G:G,G1356),IF(B1356="subetapa",SUMIFS(Z:Z,M:M,M1356,B:B,"insumo",K:K,K1356,I:I,I1356,G:G,G1356),IF(B1356="complemento do insumo",V1356*W1356,IF(B1356="INSUMO",R1356*V1356*W1356,X1356*Y1356)))))),"")</f>
        <v>4.6275999999999993</v>
      </c>
      <c r="AA1356" s="238"/>
      <c r="AB1356" s="233" t="str">
        <f>IF(B1356="insumo",_xlfn.XLOOKUP(S1356,Insumos!A:A,Insumos!D:D),"")</f>
        <v xml:space="preserve"> </v>
      </c>
      <c r="AC1356" s="239">
        <f t="shared" ref="AC1356:AC1419" ca="1" si="968">IFERROR(IF(B1356="","",Z1356/SUMIF(B:B,"INSUMO",Z:Z)),0)</f>
        <v>6.6387141077564687E-7</v>
      </c>
      <c r="AE1356" s="240">
        <f ca="1">IFERROR(IF(OR(Z1356="",Z1356=0),"",IF(AF1356="","",IF(AF1356="R$/mês",Z1356/OBRA!$D$12,IF(AF1356="R$/m²",Z1356/OBRA!$D$10,IF(AF1356="R$/apto",Orçamento!Z1356/OBRA!$D$11,""))))),"")</f>
        <v>2.3813959232823695E-3</v>
      </c>
      <c r="AF1356" s="241" t="s">
        <v>154</v>
      </c>
    </row>
    <row r="1357" spans="1:32" s="10" customFormat="1" ht="13.15" hidden="1" customHeight="1" outlineLevel="4" x14ac:dyDescent="0.2">
      <c r="A1357" s="227"/>
      <c r="B1357" s="228" t="s">
        <v>19</v>
      </c>
      <c r="C1357" s="229">
        <f t="shared" si="966"/>
        <v>7</v>
      </c>
      <c r="D1357" s="227" t="str">
        <f t="shared" si="959"/>
        <v/>
      </c>
      <c r="E1357" s="228" t="str">
        <f t="shared" ca="1" si="960"/>
        <v>13.005.001.004</v>
      </c>
      <c r="F1357" s="230">
        <f ca="1">IF($B1357="UNIDADE CONSTRUTIVA",OFFSET(F1357,-1,0)+1,LARGE(F$10:F1356,1))</f>
        <v>2</v>
      </c>
      <c r="G1357" s="228" t="str">
        <f t="shared" ca="1" si="952"/>
        <v xml:space="preserve">   GERENCIAMENTO EXECUTIVO</v>
      </c>
      <c r="H1357" s="230">
        <f t="shared" ca="1" si="961"/>
        <v>13</v>
      </c>
      <c r="I1357" s="228" t="str">
        <f t="shared" ca="1" si="953"/>
        <v xml:space="preserve">   REVESTIMENTOS INTERNOS DE PAREDE</v>
      </c>
      <c r="J1357" s="230">
        <f t="shared" ca="1" si="962"/>
        <v>5</v>
      </c>
      <c r="K1357" s="228" t="str">
        <f t="shared" ca="1" si="954"/>
        <v xml:space="preserve">   REVESTIMENTOS INTERNOS DE PAREDE - BARRILETE / CAIXA DÁGUA / CASA DE MÁQUINAS</v>
      </c>
      <c r="L1357" s="231">
        <f t="shared" ca="1" si="963"/>
        <v>1</v>
      </c>
      <c r="M1357" s="228" t="str">
        <f t="shared" ca="1" si="955"/>
        <v xml:space="preserve">   Reboco</v>
      </c>
      <c r="N1357" s="231">
        <f t="shared" ca="1" si="964"/>
        <v>4</v>
      </c>
      <c r="O1357" s="228" t="str">
        <f t="shared" ca="1" si="956"/>
        <v>Estucamento de estrutura de concreto em pilares e vigas</v>
      </c>
      <c r="P1357" s="232" t="str">
        <f>IF(S1357="","",IF(Orçamento!$B1357="INSUMO",S1357,""))</f>
        <v>ADESIVO DE BASE ACRILICA COMPATIVEL COM CIMENTO</v>
      </c>
      <c r="Q1357" s="244" t="str">
        <f t="shared" si="965"/>
        <v/>
      </c>
      <c r="R1357" s="234">
        <f t="shared" ca="1" si="957"/>
        <v>40.24</v>
      </c>
      <c r="S1357" s="233" t="s">
        <v>355</v>
      </c>
      <c r="T1357" s="242" t="str">
        <f>_xlfn.XLOOKUP(S1357,Insumos!$A$3:$A$371,Insumos!$B$3:$B$371)</f>
        <v>KG</v>
      </c>
      <c r="U1357" s="235">
        <f ca="1">IF($B1357="insumo",R1357,"")</f>
        <v>40.24</v>
      </c>
      <c r="V1357" s="320">
        <v>0.15</v>
      </c>
      <c r="W1357" s="236">
        <f>IFERROR(IF(B1357="INSUMO",_xlfn.XLOOKUP(S1357,Insumos!A:A,Insumos!C:C),""),"Inserir Preço")</f>
        <v>17.990000000000002</v>
      </c>
      <c r="X1357" s="235">
        <f t="shared" ca="1" si="958"/>
        <v>6.0360000000000005</v>
      </c>
      <c r="Y1357" s="236">
        <f t="shared" si="937"/>
        <v>2.6985000000000001</v>
      </c>
      <c r="Z1357" s="237">
        <f t="shared" ca="1" si="967"/>
        <v>108.58764000000002</v>
      </c>
      <c r="AA1357" s="238"/>
      <c r="AB1357" s="233" t="str">
        <f>IF(B1357="insumo",_xlfn.XLOOKUP(S1357,Insumos!A:A,Insumos!D:D),"")</f>
        <v xml:space="preserve"> </v>
      </c>
      <c r="AC1357" s="239">
        <f t="shared" ca="1" si="968"/>
        <v>1.5577886973722466E-5</v>
      </c>
      <c r="AE1357" s="240">
        <f ca="1">IFERROR(IF(OR(Z1357="",Z1357=0),"",IF(AF1357="","",IF(AF1357="R$/mês",Z1357/OBRA!$D$12,IF(AF1357="R$/m²",Z1357/OBRA!$D$10,IF(AF1357="R$/apto",Orçamento!Z1357/OBRA!$D$11,""))))),"")</f>
        <v>5.5879973034586757E-2</v>
      </c>
      <c r="AF1357" s="241" t="s">
        <v>154</v>
      </c>
    </row>
    <row r="1358" spans="1:32" s="10" customFormat="1" ht="13.15" hidden="1" customHeight="1" outlineLevel="3" collapsed="1" x14ac:dyDescent="0.2">
      <c r="A1358" s="227"/>
      <c r="B1358" s="228" t="s">
        <v>3</v>
      </c>
      <c r="C1358" s="229" t="str">
        <f t="shared" si="966"/>
        <v/>
      </c>
      <c r="D1358" s="227" t="str">
        <f t="shared" ca="1" si="959"/>
        <v>13.005.002</v>
      </c>
      <c r="E1358" s="228" t="str">
        <f t="shared" ca="1" si="960"/>
        <v>13.005.001.004</v>
      </c>
      <c r="F1358" s="230">
        <f ca="1">IF($B1358="UNIDADE CONSTRUTIVA",OFFSET(F1358,-1,0)+1,LARGE(F$10:F1357,1))</f>
        <v>2</v>
      </c>
      <c r="G1358" s="228" t="str">
        <f t="shared" ca="1" si="952"/>
        <v xml:space="preserve">   GERENCIAMENTO EXECUTIVO</v>
      </c>
      <c r="H1358" s="230">
        <f t="shared" ca="1" si="961"/>
        <v>13</v>
      </c>
      <c r="I1358" s="228" t="str">
        <f t="shared" ca="1" si="953"/>
        <v xml:space="preserve">   REVESTIMENTOS INTERNOS DE PAREDE</v>
      </c>
      <c r="J1358" s="230">
        <f t="shared" ca="1" si="962"/>
        <v>5</v>
      </c>
      <c r="K1358" s="228" t="str">
        <f t="shared" ca="1" si="954"/>
        <v xml:space="preserve">   REVESTIMENTOS INTERNOS DE PAREDE - BARRILETE / CAIXA DÁGUA / CASA DE MÁQUINAS</v>
      </c>
      <c r="L1358" s="231">
        <f t="shared" ca="1" si="963"/>
        <v>2</v>
      </c>
      <c r="M1358" s="228" t="str">
        <f t="shared" ca="1" si="955"/>
        <v xml:space="preserve">   Peitoris</v>
      </c>
      <c r="N1358" s="231">
        <f t="shared" ca="1" si="964"/>
        <v>0</v>
      </c>
      <c r="O1358" s="228" t="str">
        <f t="shared" ca="1" si="956"/>
        <v>Estucamento de estrutura de concreto em pilares e vigas</v>
      </c>
      <c r="P1358" s="232" t="str">
        <f>IF(S1358="","",IF(Orçamento!$B1358="INSUMO",S1358,""))</f>
        <v/>
      </c>
      <c r="Q1358" s="244" t="str">
        <f t="shared" si="965"/>
        <v/>
      </c>
      <c r="R1358" s="234">
        <f t="shared" ca="1" si="957"/>
        <v>40.24</v>
      </c>
      <c r="S1358" s="233" t="s">
        <v>493</v>
      </c>
      <c r="T1358" s="242" t="s">
        <v>35</v>
      </c>
      <c r="U1358" s="235" t="str">
        <f>IF($B1358="insumo",R1358,"")</f>
        <v/>
      </c>
      <c r="V1358" s="320" t="s">
        <v>35</v>
      </c>
      <c r="W1358" s="236" t="str">
        <f>IFERROR(IF(B1358="INSUMO",_xlfn.XLOOKUP(S1358,Insumos!A:A,Insumos!C:C),""),"Inserir Preço")</f>
        <v/>
      </c>
      <c r="X1358" s="235" t="str">
        <f t="shared" ca="1" si="958"/>
        <v/>
      </c>
      <c r="Y1358" s="236" t="str">
        <f t="shared" si="937"/>
        <v/>
      </c>
      <c r="Z1358" s="237">
        <f t="shared" ca="1" si="967"/>
        <v>4136.3728424999999</v>
      </c>
      <c r="AA1358" s="238"/>
      <c r="AB1358" s="233" t="str">
        <f>IF(B1358="insumo",_xlfn.XLOOKUP(S1358,Insumos!A:A,Insumos!D:D),"")</f>
        <v/>
      </c>
      <c r="AC1358" s="239">
        <f t="shared" ca="1" si="968"/>
        <v>5.934003964138102E-4</v>
      </c>
      <c r="AE1358" s="240">
        <f ca="1">IFERROR(IF(OR(Z1358="",Z1358=0),"",IF(AF1358="","",IF(AF1358="R$/mês",Z1358/OBRA!$D$12,IF(AF1358="R$/m²",Z1358/OBRA!$D$10,IF(AF1358="R$/apto",Orçamento!Z1358/OBRA!$D$11,""))))),"")</f>
        <v>2.1286069289276099</v>
      </c>
      <c r="AF1358" s="241" t="s">
        <v>154</v>
      </c>
    </row>
    <row r="1359" spans="1:32" s="10" customFormat="1" ht="13.15" hidden="1" customHeight="1" outlineLevel="4" x14ac:dyDescent="0.2">
      <c r="A1359" s="227"/>
      <c r="B1359" s="228" t="s">
        <v>4</v>
      </c>
      <c r="C1359" s="229">
        <f t="shared" si="966"/>
        <v>5</v>
      </c>
      <c r="D1359" s="227" t="str">
        <f t="shared" ca="1" si="959"/>
        <v>13.005.002.001</v>
      </c>
      <c r="E1359" s="228" t="str">
        <f t="shared" ca="1" si="960"/>
        <v>13.005.002.001</v>
      </c>
      <c r="F1359" s="230">
        <f ca="1">IF($B1359="UNIDADE CONSTRUTIVA",OFFSET(F1359,-1,0)+1,LARGE(F$10:F1358,1))</f>
        <v>2</v>
      </c>
      <c r="G1359" s="228" t="str">
        <f t="shared" ca="1" si="952"/>
        <v xml:space="preserve">   GERENCIAMENTO EXECUTIVO</v>
      </c>
      <c r="H1359" s="230">
        <f t="shared" ca="1" si="961"/>
        <v>13</v>
      </c>
      <c r="I1359" s="228" t="str">
        <f t="shared" ca="1" si="953"/>
        <v xml:space="preserve">   REVESTIMENTOS INTERNOS DE PAREDE</v>
      </c>
      <c r="J1359" s="230">
        <f t="shared" ca="1" si="962"/>
        <v>5</v>
      </c>
      <c r="K1359" s="228" t="str">
        <f t="shared" ca="1" si="954"/>
        <v xml:space="preserve">   REVESTIMENTOS INTERNOS DE PAREDE - BARRILETE / CAIXA DÁGUA / CASA DE MÁQUINAS</v>
      </c>
      <c r="L1359" s="231">
        <f t="shared" ca="1" si="963"/>
        <v>2</v>
      </c>
      <c r="M1359" s="228" t="str">
        <f t="shared" ca="1" si="955"/>
        <v xml:space="preserve">   Peitoris</v>
      </c>
      <c r="N1359" s="231">
        <f t="shared" ca="1" si="964"/>
        <v>1</v>
      </c>
      <c r="O1359" s="228" t="str">
        <f t="shared" ca="1" si="956"/>
        <v>Peitoril em granito, acabamento polido, espessura 2cm</v>
      </c>
      <c r="P1359" s="232" t="str">
        <f>IF(S1359="","",IF(Orçamento!$B1359="INSUMO",S1359,""))</f>
        <v/>
      </c>
      <c r="Q1359" s="244" t="str">
        <f t="shared" si="965"/>
        <v>Peitoril em granito, acabamento polido, espessura 2cm</v>
      </c>
      <c r="R1359" s="234">
        <f t="shared" ca="1" si="957"/>
        <v>42.69</v>
      </c>
      <c r="S1359" s="233" t="s">
        <v>494</v>
      </c>
      <c r="T1359" s="242" t="s">
        <v>158</v>
      </c>
      <c r="U1359" s="235">
        <v>42.69</v>
      </c>
      <c r="V1359" s="320" t="s">
        <v>35</v>
      </c>
      <c r="W1359" s="236" t="str">
        <f>IFERROR(IF(B1359="INSUMO",_xlfn.XLOOKUP(S1359,Insumos!A:A,Insumos!C:C),""),"Inserir Preço")</f>
        <v/>
      </c>
      <c r="X1359" s="235">
        <f t="shared" ca="1" si="958"/>
        <v>42.69</v>
      </c>
      <c r="Y1359" s="236">
        <f t="shared" ca="1" si="937"/>
        <v>96.893250000000009</v>
      </c>
      <c r="Z1359" s="237">
        <f t="shared" ca="1" si="967"/>
        <v>4136.3728424999999</v>
      </c>
      <c r="AA1359" s="238"/>
      <c r="AB1359" s="233" t="str">
        <f>IF(B1359="insumo",_xlfn.XLOOKUP(S1359,Insumos!A:A,Insumos!D:D),"")</f>
        <v/>
      </c>
      <c r="AC1359" s="239">
        <f t="shared" ca="1" si="968"/>
        <v>5.934003964138102E-4</v>
      </c>
      <c r="AE1359" s="240">
        <f ca="1">IFERROR(IF(OR(Z1359="",Z1359=0),"",IF(AF1359="","",IF(AF1359="R$/mês",Z1359/OBRA!$D$12,IF(AF1359="R$/m²",Z1359/OBRA!$D$10,IF(AF1359="R$/apto",Orçamento!Z1359/OBRA!$D$11,""))))),"")</f>
        <v>2.1286069289276099</v>
      </c>
      <c r="AF1359" s="241" t="s">
        <v>154</v>
      </c>
    </row>
    <row r="1360" spans="1:32" s="10" customFormat="1" ht="13.15" hidden="1" customHeight="1" outlineLevel="4" x14ac:dyDescent="0.2">
      <c r="A1360" s="227"/>
      <c r="B1360" s="228" t="s">
        <v>19</v>
      </c>
      <c r="C1360" s="229">
        <f t="shared" si="966"/>
        <v>16</v>
      </c>
      <c r="D1360" s="227" t="str">
        <f t="shared" si="959"/>
        <v/>
      </c>
      <c r="E1360" s="228" t="str">
        <f t="shared" ca="1" si="960"/>
        <v>13.005.002.001</v>
      </c>
      <c r="F1360" s="230">
        <f ca="1">IF($B1360="UNIDADE CONSTRUTIVA",OFFSET(F1360,-1,0)+1,LARGE(F$10:F1359,1))</f>
        <v>2</v>
      </c>
      <c r="G1360" s="228" t="str">
        <f t="shared" ca="1" si="952"/>
        <v xml:space="preserve">   GERENCIAMENTO EXECUTIVO</v>
      </c>
      <c r="H1360" s="230">
        <f t="shared" ca="1" si="961"/>
        <v>13</v>
      </c>
      <c r="I1360" s="228" t="str">
        <f t="shared" ca="1" si="953"/>
        <v xml:space="preserve">   REVESTIMENTOS INTERNOS DE PAREDE</v>
      </c>
      <c r="J1360" s="230">
        <f t="shared" ca="1" si="962"/>
        <v>5</v>
      </c>
      <c r="K1360" s="228" t="str">
        <f t="shared" ca="1" si="954"/>
        <v xml:space="preserve">   REVESTIMENTOS INTERNOS DE PAREDE - BARRILETE / CAIXA DÁGUA / CASA DE MÁQUINAS</v>
      </c>
      <c r="L1360" s="231">
        <f t="shared" ca="1" si="963"/>
        <v>2</v>
      </c>
      <c r="M1360" s="228" t="str">
        <f t="shared" ca="1" si="955"/>
        <v xml:space="preserve">   Peitoris</v>
      </c>
      <c r="N1360" s="231">
        <f t="shared" ca="1" si="964"/>
        <v>1</v>
      </c>
      <c r="O1360" s="228" t="str">
        <f t="shared" ca="1" si="956"/>
        <v>Peitoril em granito, acabamento polido, espessura 2cm</v>
      </c>
      <c r="P1360" s="232" t="str">
        <f>IF(S1360="","",IF(Orçamento!$B1360="INSUMO",S1360,""))</f>
        <v>ARGAMASSA COLANTE AC III</v>
      </c>
      <c r="Q1360" s="244" t="str">
        <f t="shared" si="965"/>
        <v/>
      </c>
      <c r="R1360" s="234">
        <f t="shared" ca="1" si="957"/>
        <v>42.69</v>
      </c>
      <c r="S1360" s="233" t="s">
        <v>357</v>
      </c>
      <c r="T1360" s="242" t="str">
        <f>_xlfn.XLOOKUP(S1360,Insumos!$A$3:$A$371,Insumos!$B$3:$B$371)</f>
        <v>KG</v>
      </c>
      <c r="U1360" s="235">
        <f ca="1">IF($B1360="insumo",R1360,"")</f>
        <v>42.69</v>
      </c>
      <c r="V1360" s="320">
        <v>1.29</v>
      </c>
      <c r="W1360" s="236">
        <f>IFERROR(IF(B1360="INSUMO",_xlfn.XLOOKUP(S1360,Insumos!A:A,Insumos!C:C),""),"Inserir Preço")</f>
        <v>0.92500000000000004</v>
      </c>
      <c r="X1360" s="235">
        <f t="shared" ca="1" si="958"/>
        <v>55.070099999999996</v>
      </c>
      <c r="Y1360" s="236">
        <f t="shared" si="937"/>
        <v>1.1932500000000001</v>
      </c>
      <c r="Z1360" s="237">
        <f t="shared" ca="1" si="967"/>
        <v>50.939842499999997</v>
      </c>
      <c r="AA1360" s="238"/>
      <c r="AB1360" s="233" t="str">
        <f>IF(B1360="insumo",_xlfn.XLOOKUP(S1360,Insumos!A:A,Insumos!D:D),"")</f>
        <v>Argabrus</v>
      </c>
      <c r="AC1360" s="239">
        <f t="shared" ca="1" si="968"/>
        <v>7.3077848355874011E-6</v>
      </c>
      <c r="AE1360" s="240">
        <f ca="1">IFERROR(IF(OR(Z1360="",Z1360=0),"",IF(AF1360="","",IF(AF1360="R$/mês",Z1360/OBRA!$D$12,IF(AF1360="R$/m²",Z1360/OBRA!$D$10,IF(AF1360="R$/apto",Orçamento!Z1360/OBRA!$D$11,""))))),"")</f>
        <v>2.6214005804768348E-2</v>
      </c>
      <c r="AF1360" s="241" t="s">
        <v>154</v>
      </c>
    </row>
    <row r="1361" spans="1:32" s="10" customFormat="1" ht="13.15" hidden="1" customHeight="1" outlineLevel="4" x14ac:dyDescent="0.2">
      <c r="A1361" s="227"/>
      <c r="B1361" s="228" t="s">
        <v>19</v>
      </c>
      <c r="C1361" s="229">
        <f t="shared" si="966"/>
        <v>11</v>
      </c>
      <c r="D1361" s="227" t="str">
        <f t="shared" si="959"/>
        <v/>
      </c>
      <c r="E1361" s="228" t="str">
        <f t="shared" ca="1" si="960"/>
        <v>13.005.002.001</v>
      </c>
      <c r="F1361" s="230">
        <f ca="1">IF($B1361="UNIDADE CONSTRUTIVA",OFFSET(F1361,-1,0)+1,LARGE(F$10:F1360,1))</f>
        <v>2</v>
      </c>
      <c r="G1361" s="228" t="str">
        <f t="shared" ca="1" si="952"/>
        <v xml:space="preserve">   GERENCIAMENTO EXECUTIVO</v>
      </c>
      <c r="H1361" s="230">
        <f t="shared" ca="1" si="961"/>
        <v>13</v>
      </c>
      <c r="I1361" s="228" t="str">
        <f t="shared" ca="1" si="953"/>
        <v xml:space="preserve">   REVESTIMENTOS INTERNOS DE PAREDE</v>
      </c>
      <c r="J1361" s="230">
        <f t="shared" ca="1" si="962"/>
        <v>5</v>
      </c>
      <c r="K1361" s="228" t="str">
        <f t="shared" ca="1" si="954"/>
        <v xml:space="preserve">   REVESTIMENTOS INTERNOS DE PAREDE - BARRILETE / CAIXA DÁGUA / CASA DE MÁQUINAS</v>
      </c>
      <c r="L1361" s="231">
        <f t="shared" ca="1" si="963"/>
        <v>2</v>
      </c>
      <c r="M1361" s="228" t="str">
        <f t="shared" ca="1" si="955"/>
        <v xml:space="preserve">   Peitoris</v>
      </c>
      <c r="N1361" s="231">
        <f t="shared" ca="1" si="964"/>
        <v>1</v>
      </c>
      <c r="O1361" s="228" t="str">
        <f t="shared" ca="1" si="956"/>
        <v>Peitoril em granito, acabamento polido, espessura 2cm</v>
      </c>
      <c r="P1361" s="232" t="str">
        <f>IF(S1361="","",IF(Orçamento!$B1361="INSUMO",S1361,""))</f>
        <v>GRANITO POLIDO</v>
      </c>
      <c r="Q1361" s="244" t="str">
        <f t="shared" si="965"/>
        <v/>
      </c>
      <c r="R1361" s="234">
        <f t="shared" ca="1" si="957"/>
        <v>42.69</v>
      </c>
      <c r="S1361" s="233" t="s">
        <v>286</v>
      </c>
      <c r="T1361" s="242" t="str">
        <f>_xlfn.XLOOKUP(S1361,Insumos!$A$3:$A$371,Insumos!$B$3:$B$371)</f>
        <v>M2</v>
      </c>
      <c r="U1361" s="235">
        <f ca="1">IF($B1361="insumo",R1361,"")</f>
        <v>42.69</v>
      </c>
      <c r="V1361" s="320">
        <v>0.15</v>
      </c>
      <c r="W1361" s="236">
        <f>IFERROR(IF(B1361="INSUMO",_xlfn.XLOOKUP(S1361,Insumos!A:A,Insumos!C:C),""),"Inserir Preço")</f>
        <v>638</v>
      </c>
      <c r="X1361" s="235">
        <f t="shared" ca="1" si="958"/>
        <v>6.4034999999999993</v>
      </c>
      <c r="Y1361" s="236">
        <f t="shared" si="937"/>
        <v>95.7</v>
      </c>
      <c r="Z1361" s="237">
        <f t="shared" ca="1" si="967"/>
        <v>4085.4329999999995</v>
      </c>
      <c r="AA1361" s="238"/>
      <c r="AB1361" s="233" t="str">
        <f>IF(B1361="insumo",_xlfn.XLOOKUP(S1361,Insumos!A:A,Insumos!D:D),"")</f>
        <v xml:space="preserve"> </v>
      </c>
      <c r="AC1361" s="239">
        <f t="shared" ca="1" si="968"/>
        <v>5.8609261157822271E-4</v>
      </c>
      <c r="AE1361" s="240">
        <f ca="1">IFERROR(IF(OR(Z1361="",Z1361=0),"",IF(AF1361="","",IF(AF1361="R$/mês",Z1361/OBRA!$D$12,IF(AF1361="R$/m²",Z1361/OBRA!$D$10,IF(AF1361="R$/apto",Orçamento!Z1361/OBRA!$D$11,""))))),"")</f>
        <v>2.1023929231228418</v>
      </c>
      <c r="AF1361" s="241" t="s">
        <v>154</v>
      </c>
    </row>
    <row r="1362" spans="1:32" s="10" customFormat="1" ht="13.15" hidden="1" customHeight="1" outlineLevel="3" collapsed="1" x14ac:dyDescent="0.2">
      <c r="A1362" s="227"/>
      <c r="B1362" s="228" t="s">
        <v>3</v>
      </c>
      <c r="C1362" s="229" t="str">
        <f t="shared" si="966"/>
        <v/>
      </c>
      <c r="D1362" s="227" t="str">
        <f t="shared" ca="1" si="959"/>
        <v>13.005.003</v>
      </c>
      <c r="E1362" s="228" t="str">
        <f t="shared" ca="1" si="960"/>
        <v>13.005.002.001</v>
      </c>
      <c r="F1362" s="230">
        <f ca="1">IF($B1362="UNIDADE CONSTRUTIVA",OFFSET(F1362,-1,0)+1,LARGE(F$10:F1361,1))</f>
        <v>2</v>
      </c>
      <c r="G1362" s="228" t="str">
        <f t="shared" ca="1" si="952"/>
        <v xml:space="preserve">   GERENCIAMENTO EXECUTIVO</v>
      </c>
      <c r="H1362" s="230">
        <f t="shared" ca="1" si="961"/>
        <v>13</v>
      </c>
      <c r="I1362" s="228" t="str">
        <f t="shared" ca="1" si="953"/>
        <v xml:space="preserve">   REVESTIMENTOS INTERNOS DE PAREDE</v>
      </c>
      <c r="J1362" s="230">
        <f t="shared" ca="1" si="962"/>
        <v>5</v>
      </c>
      <c r="K1362" s="228" t="str">
        <f t="shared" ca="1" si="954"/>
        <v xml:space="preserve">   REVESTIMENTOS INTERNOS DE PAREDE - BARRILETE / CAIXA DÁGUA / CASA DE MÁQUINAS</v>
      </c>
      <c r="L1362" s="231">
        <f t="shared" ca="1" si="963"/>
        <v>3</v>
      </c>
      <c r="M1362" s="228" t="str">
        <f t="shared" ca="1" si="955"/>
        <v xml:space="preserve">   Mão de Obra</v>
      </c>
      <c r="N1362" s="231">
        <f t="shared" ca="1" si="964"/>
        <v>0</v>
      </c>
      <c r="O1362" s="228" t="str">
        <f t="shared" ca="1" si="956"/>
        <v>Peitoril em granito, acabamento polido, espessura 2cm</v>
      </c>
      <c r="P1362" s="232" t="str">
        <f>IF(S1362="","",IF(Orçamento!$B1362="INSUMO",S1362,""))</f>
        <v/>
      </c>
      <c r="Q1362" s="244" t="str">
        <f t="shared" si="965"/>
        <v/>
      </c>
      <c r="R1362" s="234">
        <f t="shared" ca="1" si="957"/>
        <v>42.69</v>
      </c>
      <c r="S1362" s="233" t="s">
        <v>438</v>
      </c>
      <c r="T1362" s="242" t="s">
        <v>35</v>
      </c>
      <c r="U1362" s="235" t="str">
        <f>IF($B1362="insumo",R1362,"")</f>
        <v/>
      </c>
      <c r="V1362" s="320" t="s">
        <v>35</v>
      </c>
      <c r="W1362" s="236" t="str">
        <f>IFERROR(IF(B1362="INSUMO",_xlfn.XLOOKUP(S1362,Insumos!A:A,Insumos!C:C),""),"Inserir Preço")</f>
        <v/>
      </c>
      <c r="X1362" s="235" t="str">
        <f t="shared" ca="1" si="958"/>
        <v/>
      </c>
      <c r="Y1362" s="236" t="str">
        <f t="shared" si="937"/>
        <v/>
      </c>
      <c r="Z1362" s="237">
        <f t="shared" ca="1" si="967"/>
        <v>10387.599002650439</v>
      </c>
      <c r="AA1362" s="238"/>
      <c r="AB1362" s="233" t="str">
        <f>IF(B1362="insumo",_xlfn.XLOOKUP(S1362,Insumos!A:A,Insumos!D:D),"")</f>
        <v/>
      </c>
      <c r="AC1362" s="239">
        <f t="shared" ca="1" si="968"/>
        <v>1.4901957827948072E-3</v>
      </c>
      <c r="AE1362" s="240">
        <f ca="1">IFERROR(IF(OR(Z1362="",Z1362=0),"",IF(AF1362="","",IF(AF1362="R$/mês",Z1362/OBRA!$D$12,IF(AF1362="R$/m²",Z1362/OBRA!$D$10,IF(AF1362="R$/apto",Orçamento!Z1362/OBRA!$D$11,""))))),"")</f>
        <v>5.3455324396239448</v>
      </c>
      <c r="AF1362" s="241" t="s">
        <v>154</v>
      </c>
    </row>
    <row r="1363" spans="1:32" s="10" customFormat="1" ht="13.15" hidden="1" customHeight="1" outlineLevel="4" x14ac:dyDescent="0.2">
      <c r="A1363" s="227"/>
      <c r="B1363" s="228" t="s">
        <v>4</v>
      </c>
      <c r="C1363" s="229">
        <f t="shared" si="966"/>
        <v>5</v>
      </c>
      <c r="D1363" s="227" t="str">
        <f t="shared" ca="1" si="959"/>
        <v>13.005.003.001</v>
      </c>
      <c r="E1363" s="228" t="str">
        <f t="shared" ca="1" si="960"/>
        <v>13.005.003.001</v>
      </c>
      <c r="F1363" s="230">
        <f ca="1">IF($B1363="UNIDADE CONSTRUTIVA",OFFSET(F1363,-1,0)+1,LARGE(F$10:F1362,1))</f>
        <v>2</v>
      </c>
      <c r="G1363" s="228" t="str">
        <f t="shared" ca="1" si="952"/>
        <v xml:space="preserve">   GERENCIAMENTO EXECUTIVO</v>
      </c>
      <c r="H1363" s="230">
        <f t="shared" ca="1" si="961"/>
        <v>13</v>
      </c>
      <c r="I1363" s="228" t="str">
        <f t="shared" ca="1" si="953"/>
        <v xml:space="preserve">   REVESTIMENTOS INTERNOS DE PAREDE</v>
      </c>
      <c r="J1363" s="230">
        <f t="shared" ca="1" si="962"/>
        <v>5</v>
      </c>
      <c r="K1363" s="228" t="str">
        <f t="shared" ca="1" si="954"/>
        <v xml:space="preserve">   REVESTIMENTOS INTERNOS DE PAREDE - BARRILETE / CAIXA DÁGUA / CASA DE MÁQUINAS</v>
      </c>
      <c r="L1363" s="231">
        <f t="shared" ca="1" si="963"/>
        <v>3</v>
      </c>
      <c r="M1363" s="228" t="str">
        <f t="shared" ca="1" si="955"/>
        <v xml:space="preserve">   Mão de Obra</v>
      </c>
      <c r="N1363" s="231">
        <f t="shared" ca="1" si="964"/>
        <v>1</v>
      </c>
      <c r="O1363" s="228" t="str">
        <f t="shared" ca="1" si="956"/>
        <v>Mao de obra para reboco interno, incluindo chapisco</v>
      </c>
      <c r="P1363" s="232" t="str">
        <f>IF(S1363="","",IF(Orçamento!$B1363="INSUMO",S1363,""))</f>
        <v/>
      </c>
      <c r="Q1363" s="244" t="str">
        <f t="shared" si="965"/>
        <v>Mao de obra para reboco interno, incluindo chapisco</v>
      </c>
      <c r="R1363" s="234">
        <f t="shared" ca="1" si="957"/>
        <v>194.19</v>
      </c>
      <c r="S1363" s="233" t="s">
        <v>483</v>
      </c>
      <c r="T1363" s="242" t="s">
        <v>140</v>
      </c>
      <c r="U1363" s="235">
        <f>U1351</f>
        <v>194.19</v>
      </c>
      <c r="V1363" s="320" t="s">
        <v>35</v>
      </c>
      <c r="W1363" s="236" t="str">
        <f>IFERROR(IF(B1363="INSUMO",_xlfn.XLOOKUP(S1363,Insumos!A:A,Insumos!C:C),""),"Inserir Preço")</f>
        <v/>
      </c>
      <c r="X1363" s="235">
        <f t="shared" ca="1" si="958"/>
        <v>194.19</v>
      </c>
      <c r="Y1363" s="236">
        <f t="shared" ca="1" si="937"/>
        <v>40.637259305842548</v>
      </c>
      <c r="Z1363" s="237">
        <f t="shared" ca="1" si="967"/>
        <v>7891.3493846015645</v>
      </c>
      <c r="AA1363" s="238"/>
      <c r="AB1363" s="233" t="str">
        <f>IF(B1363="insumo",_xlfn.XLOOKUP(S1363,Insumos!A:A,Insumos!D:D),"")</f>
        <v/>
      </c>
      <c r="AC1363" s="239">
        <f t="shared" ca="1" si="968"/>
        <v>1.13208601626739E-3</v>
      </c>
      <c r="AE1363" s="240">
        <f ca="1">IFERROR(IF(OR(Z1363="",Z1363=0),"",IF(AF1363="","",IF(AF1363="R$/mês",Z1363/OBRA!$D$12,IF(AF1363="R$/m²",Z1363/OBRA!$D$10,IF(AF1363="R$/apto",Orçamento!Z1363/OBRA!$D$11,""))))),"")</f>
        <v>4.0609446049111861</v>
      </c>
      <c r="AF1363" s="241" t="s">
        <v>154</v>
      </c>
    </row>
    <row r="1364" spans="1:32" s="10" customFormat="1" ht="13.15" hidden="1" customHeight="1" outlineLevel="4" x14ac:dyDescent="0.2">
      <c r="A1364" s="227"/>
      <c r="B1364" s="228" t="s">
        <v>19</v>
      </c>
      <c r="C1364" s="229">
        <f t="shared" si="966"/>
        <v>5</v>
      </c>
      <c r="D1364" s="227" t="str">
        <f t="shared" si="959"/>
        <v/>
      </c>
      <c r="E1364" s="228" t="str">
        <f t="shared" ca="1" si="960"/>
        <v>13.005.003.001</v>
      </c>
      <c r="F1364" s="230">
        <f ca="1">IF($B1364="UNIDADE CONSTRUTIVA",OFFSET(F1364,-1,0)+1,LARGE(F$10:F1363,1))</f>
        <v>2</v>
      </c>
      <c r="G1364" s="228" t="str">
        <f t="shared" ca="1" si="952"/>
        <v xml:space="preserve">   GERENCIAMENTO EXECUTIVO</v>
      </c>
      <c r="H1364" s="230">
        <f t="shared" ca="1" si="961"/>
        <v>13</v>
      </c>
      <c r="I1364" s="228" t="str">
        <f t="shared" ca="1" si="953"/>
        <v xml:space="preserve">   REVESTIMENTOS INTERNOS DE PAREDE</v>
      </c>
      <c r="J1364" s="230">
        <f t="shared" ca="1" si="962"/>
        <v>5</v>
      </c>
      <c r="K1364" s="228" t="str">
        <f t="shared" ca="1" si="954"/>
        <v xml:space="preserve">   REVESTIMENTOS INTERNOS DE PAREDE - BARRILETE / CAIXA DÁGUA / CASA DE MÁQUINAS</v>
      </c>
      <c r="L1364" s="231">
        <f t="shared" ca="1" si="963"/>
        <v>3</v>
      </c>
      <c r="M1364" s="228" t="str">
        <f t="shared" ca="1" si="955"/>
        <v xml:space="preserve">   Mão de Obra</v>
      </c>
      <c r="N1364" s="231">
        <f t="shared" ca="1" si="964"/>
        <v>1</v>
      </c>
      <c r="O1364" s="228" t="str">
        <f t="shared" ca="1" si="956"/>
        <v>Mao de obra para reboco interno, incluindo chapisco</v>
      </c>
      <c r="P1364" s="232" t="str">
        <f>IF(S1364="","",IF(Orçamento!$B1364="INSUMO",S1364,""))</f>
        <v>MAO DE OBRA PARA CHAPISCO E REBOCO INTERNOS</v>
      </c>
      <c r="Q1364" s="244" t="str">
        <f t="shared" si="965"/>
        <v/>
      </c>
      <c r="R1364" s="234">
        <f t="shared" ca="1" si="957"/>
        <v>194.19</v>
      </c>
      <c r="S1364" s="233" t="s">
        <v>253</v>
      </c>
      <c r="T1364" s="242" t="str">
        <f>_xlfn.XLOOKUP(S1364,Insumos!$A$3:$A$371,Insumos!$B$3:$B$371)</f>
        <v>M2</v>
      </c>
      <c r="U1364" s="235">
        <f ca="1">IF($B1364="insumo",R1364,"")</f>
        <v>194.19</v>
      </c>
      <c r="V1364" s="320">
        <v>1</v>
      </c>
      <c r="W1364" s="236">
        <f>IFERROR(IF(B1364="INSUMO",_xlfn.XLOOKUP(S1364,Insumos!A:A,Insumos!C:C),""),"Inserir Preço")</f>
        <v>40.637259305842548</v>
      </c>
      <c r="X1364" s="235">
        <f t="shared" ca="1" si="958"/>
        <v>194.19</v>
      </c>
      <c r="Y1364" s="236">
        <f t="shared" si="937"/>
        <v>40.637259305842548</v>
      </c>
      <c r="Z1364" s="237">
        <f t="shared" ca="1" si="967"/>
        <v>7891.3493846015645</v>
      </c>
      <c r="AA1364" s="238"/>
      <c r="AB1364" s="233" t="str">
        <f>IF(B1364="insumo",_xlfn.XLOOKUP(S1364,Insumos!A:A,Insumos!D:D),"")</f>
        <v>Aba Custo Serviços</v>
      </c>
      <c r="AC1364" s="239">
        <f t="shared" ca="1" si="968"/>
        <v>1.13208601626739E-3</v>
      </c>
      <c r="AE1364" s="240">
        <f ca="1">IFERROR(IF(OR(Z1364="",Z1364=0),"",IF(AF1364="","",IF(AF1364="R$/mês",Z1364/OBRA!$D$12,IF(AF1364="R$/m²",Z1364/OBRA!$D$10,IF(AF1364="R$/apto",Orçamento!Z1364/OBRA!$D$11,""))))),"")</f>
        <v>4.0609446049111861</v>
      </c>
      <c r="AF1364" s="241" t="s">
        <v>154</v>
      </c>
    </row>
    <row r="1365" spans="1:32" s="10" customFormat="1" ht="13.15" hidden="1" customHeight="1" outlineLevel="4" x14ac:dyDescent="0.2">
      <c r="A1365" s="227"/>
      <c r="B1365" s="228" t="s">
        <v>4</v>
      </c>
      <c r="C1365" s="229">
        <f t="shared" si="966"/>
        <v>5</v>
      </c>
      <c r="D1365" s="227" t="str">
        <f t="shared" ca="1" si="959"/>
        <v>13.005.003.002</v>
      </c>
      <c r="E1365" s="228" t="str">
        <f t="shared" ca="1" si="960"/>
        <v>13.005.003.002</v>
      </c>
      <c r="F1365" s="230">
        <f ca="1">IF($B1365="UNIDADE CONSTRUTIVA",OFFSET(F1365,-1,0)+1,LARGE(F$10:F1364,1))</f>
        <v>2</v>
      </c>
      <c r="G1365" s="228" t="str">
        <f t="shared" ca="1" si="952"/>
        <v xml:space="preserve">   GERENCIAMENTO EXECUTIVO</v>
      </c>
      <c r="H1365" s="230">
        <f t="shared" ca="1" si="961"/>
        <v>13</v>
      </c>
      <c r="I1365" s="228" t="str">
        <f t="shared" ca="1" si="953"/>
        <v xml:space="preserve">   REVESTIMENTOS INTERNOS DE PAREDE</v>
      </c>
      <c r="J1365" s="230">
        <f t="shared" ca="1" si="962"/>
        <v>5</v>
      </c>
      <c r="K1365" s="228" t="str">
        <f t="shared" ca="1" si="954"/>
        <v xml:space="preserve">   REVESTIMENTOS INTERNOS DE PAREDE - BARRILETE / CAIXA DÁGUA / CASA DE MÁQUINAS</v>
      </c>
      <c r="L1365" s="231">
        <f t="shared" ca="1" si="963"/>
        <v>3</v>
      </c>
      <c r="M1365" s="228" t="str">
        <f t="shared" ca="1" si="955"/>
        <v xml:space="preserve">   Mão de Obra</v>
      </c>
      <c r="N1365" s="231">
        <f t="shared" ca="1" si="964"/>
        <v>2</v>
      </c>
      <c r="O1365" s="228" t="str">
        <f t="shared" ca="1" si="956"/>
        <v>Mao de obra para estucamento de estrutura em concreto</v>
      </c>
      <c r="P1365" s="232" t="str">
        <f>IF(S1365="","",IF(Orçamento!$B1365="INSUMO",S1365,""))</f>
        <v/>
      </c>
      <c r="Q1365" s="244" t="str">
        <f t="shared" si="965"/>
        <v>Mao de obra para estucamento de estrutura em concreto</v>
      </c>
      <c r="R1365" s="234">
        <f t="shared" ca="1" si="957"/>
        <v>40.24</v>
      </c>
      <c r="S1365" s="233" t="s">
        <v>1163</v>
      </c>
      <c r="T1365" s="242" t="s">
        <v>140</v>
      </c>
      <c r="U1365" s="235">
        <f>U1353</f>
        <v>40.24</v>
      </c>
      <c r="V1365" s="320" t="s">
        <v>35</v>
      </c>
      <c r="W1365" s="236" t="str">
        <f>IFERROR(IF(B1365="INSUMO",_xlfn.XLOOKUP(S1365,Insumos!A:A,Insumos!C:C),""),"Inserir Preço")</f>
        <v/>
      </c>
      <c r="X1365" s="235">
        <f t="shared" ca="1" si="958"/>
        <v>40.24</v>
      </c>
      <c r="Y1365" s="236">
        <f t="shared" ca="1" si="937"/>
        <v>50.894746969405425</v>
      </c>
      <c r="Z1365" s="237">
        <f t="shared" ca="1" si="967"/>
        <v>2048.0046180488744</v>
      </c>
      <c r="AA1365" s="238"/>
      <c r="AB1365" s="233" t="str">
        <f>IF(B1365="insumo",_xlfn.XLOOKUP(S1365,Insumos!A:A,Insumos!D:D),"")</f>
        <v/>
      </c>
      <c r="AC1365" s="239">
        <f t="shared" ca="1" si="968"/>
        <v>2.9380493453607623E-4</v>
      </c>
      <c r="AE1365" s="240">
        <f ca="1">IFERROR(IF(OR(Z1365="",Z1365=0),"",IF(AF1365="","",IF(AF1365="R$/mês",Z1365/OBRA!$D$12,IF(AF1365="R$/m²",Z1365/OBRA!$D$10,IF(AF1365="R$/apto",Orçamento!Z1365/OBRA!$D$11,""))))),"")</f>
        <v>1.0539177647776508</v>
      </c>
      <c r="AF1365" s="241" t="s">
        <v>154</v>
      </c>
    </row>
    <row r="1366" spans="1:32" s="10" customFormat="1" ht="13.15" hidden="1" customHeight="1" outlineLevel="4" x14ac:dyDescent="0.2">
      <c r="A1366" s="227"/>
      <c r="B1366" s="228" t="s">
        <v>19</v>
      </c>
      <c r="C1366" s="229">
        <f t="shared" si="966"/>
        <v>5</v>
      </c>
      <c r="D1366" s="227" t="str">
        <f t="shared" si="959"/>
        <v/>
      </c>
      <c r="E1366" s="228" t="str">
        <f t="shared" ca="1" si="960"/>
        <v>13.005.003.002</v>
      </c>
      <c r="F1366" s="230">
        <f ca="1">IF($B1366="UNIDADE CONSTRUTIVA",OFFSET(F1366,-1,0)+1,LARGE(F$10:F1365,1))</f>
        <v>2</v>
      </c>
      <c r="G1366" s="228" t="str">
        <f t="shared" ca="1" si="952"/>
        <v xml:space="preserve">   GERENCIAMENTO EXECUTIVO</v>
      </c>
      <c r="H1366" s="230">
        <f t="shared" ca="1" si="961"/>
        <v>13</v>
      </c>
      <c r="I1366" s="228" t="str">
        <f t="shared" ca="1" si="953"/>
        <v xml:space="preserve">   REVESTIMENTOS INTERNOS DE PAREDE</v>
      </c>
      <c r="J1366" s="230">
        <f t="shared" ca="1" si="962"/>
        <v>5</v>
      </c>
      <c r="K1366" s="228" t="str">
        <f t="shared" ca="1" si="954"/>
        <v xml:space="preserve">   REVESTIMENTOS INTERNOS DE PAREDE - BARRILETE / CAIXA DÁGUA / CASA DE MÁQUINAS</v>
      </c>
      <c r="L1366" s="231">
        <f t="shared" ca="1" si="963"/>
        <v>3</v>
      </c>
      <c r="M1366" s="228" t="str">
        <f t="shared" ca="1" si="955"/>
        <v xml:space="preserve">   Mão de Obra</v>
      </c>
      <c r="N1366" s="231">
        <f t="shared" ca="1" si="964"/>
        <v>2</v>
      </c>
      <c r="O1366" s="228" t="str">
        <f t="shared" ca="1" si="956"/>
        <v>Mao de obra para estucamento de estrutura em concreto</v>
      </c>
      <c r="P1366" s="232" t="str">
        <f>IF(S1366="","",IF(Orçamento!$B1366="INSUMO",S1366,""))</f>
        <v>MAO DE OBRA PARA ESTUCAMENTO DE ESTRUTURA DE CONCRETO</v>
      </c>
      <c r="Q1366" s="244" t="str">
        <f t="shared" si="965"/>
        <v/>
      </c>
      <c r="R1366" s="234">
        <f t="shared" ca="1" si="957"/>
        <v>40.24</v>
      </c>
      <c r="S1366" s="233" t="s">
        <v>777</v>
      </c>
      <c r="T1366" s="242" t="str">
        <f>_xlfn.XLOOKUP(S1366,Insumos!$A$3:$A$371,Insumos!$B$3:$B$371)</f>
        <v>M2</v>
      </c>
      <c r="U1366" s="235">
        <f ca="1">IF($B1366="insumo",R1366,"")</f>
        <v>40.24</v>
      </c>
      <c r="V1366" s="320">
        <v>1</v>
      </c>
      <c r="W1366" s="236">
        <f>IFERROR(IF(B1366="INSUMO",_xlfn.XLOOKUP(S1366,Insumos!A:A,Insumos!C:C),""),"Inserir Preço")</f>
        <v>50.894746969405425</v>
      </c>
      <c r="X1366" s="235">
        <f t="shared" ca="1" si="958"/>
        <v>40.24</v>
      </c>
      <c r="Y1366" s="236">
        <f t="shared" si="937"/>
        <v>50.894746969405425</v>
      </c>
      <c r="Z1366" s="237">
        <f t="shared" ca="1" si="967"/>
        <v>2048.0046180488744</v>
      </c>
      <c r="AA1366" s="238"/>
      <c r="AB1366" s="233" t="str">
        <f>IF(B1366="insumo",_xlfn.XLOOKUP(S1366,Insumos!A:A,Insumos!D:D),"")</f>
        <v>Aba Custo Serviços</v>
      </c>
      <c r="AC1366" s="239">
        <f t="shared" ca="1" si="968"/>
        <v>2.9380493453607623E-4</v>
      </c>
      <c r="AE1366" s="240">
        <f ca="1">IFERROR(IF(OR(Z1366="",Z1366=0),"",IF(AF1366="","",IF(AF1366="R$/mês",Z1366/OBRA!$D$12,IF(AF1366="R$/m²",Z1366/OBRA!$D$10,IF(AF1366="R$/apto",Orçamento!Z1366/OBRA!$D$11,""))))),"")</f>
        <v>1.0539177647776508</v>
      </c>
      <c r="AF1366" s="241" t="s">
        <v>154</v>
      </c>
    </row>
    <row r="1367" spans="1:32" s="10" customFormat="1" ht="13.15" hidden="1" customHeight="1" outlineLevel="4" x14ac:dyDescent="0.2">
      <c r="A1367" s="227"/>
      <c r="B1367" s="228" t="s">
        <v>4</v>
      </c>
      <c r="C1367" s="229">
        <f t="shared" si="966"/>
        <v>5</v>
      </c>
      <c r="D1367" s="227" t="str">
        <f t="shared" ca="1" si="959"/>
        <v>13.005.003.003</v>
      </c>
      <c r="E1367" s="228" t="str">
        <f t="shared" ca="1" si="960"/>
        <v>13.005.003.003</v>
      </c>
      <c r="F1367" s="230">
        <f ca="1">IF($B1367="UNIDADE CONSTRUTIVA",OFFSET(F1367,-1,0)+1,LARGE(F$10:F1366,1))</f>
        <v>2</v>
      </c>
      <c r="G1367" s="228" t="str">
        <f t="shared" ca="1" si="952"/>
        <v xml:space="preserve">   GERENCIAMENTO EXECUTIVO</v>
      </c>
      <c r="H1367" s="230">
        <f t="shared" ca="1" si="961"/>
        <v>13</v>
      </c>
      <c r="I1367" s="228" t="str">
        <f t="shared" ca="1" si="953"/>
        <v xml:space="preserve">   REVESTIMENTOS INTERNOS DE PAREDE</v>
      </c>
      <c r="J1367" s="230">
        <f t="shared" ca="1" si="962"/>
        <v>5</v>
      </c>
      <c r="K1367" s="228" t="str">
        <f t="shared" ca="1" si="954"/>
        <v xml:space="preserve">   REVESTIMENTOS INTERNOS DE PAREDE - BARRILETE / CAIXA DÁGUA / CASA DE MÁQUINAS</v>
      </c>
      <c r="L1367" s="231">
        <f t="shared" ca="1" si="963"/>
        <v>3</v>
      </c>
      <c r="M1367" s="228" t="str">
        <f t="shared" ca="1" si="955"/>
        <v xml:space="preserve">   Mão de Obra</v>
      </c>
      <c r="N1367" s="231">
        <f t="shared" ca="1" si="964"/>
        <v>3</v>
      </c>
      <c r="O1367" s="228" t="str">
        <f t="shared" ca="1" si="956"/>
        <v>Mao de obra para colocacao de peitoril</v>
      </c>
      <c r="P1367" s="232" t="str">
        <f>IF(S1367="","",IF(Orçamento!$B1367="INSUMO",S1367,""))</f>
        <v/>
      </c>
      <c r="Q1367" s="244" t="str">
        <f t="shared" si="965"/>
        <v>Mao de obra para colocacao de peitoril</v>
      </c>
      <c r="R1367" s="234">
        <f t="shared" ca="1" si="957"/>
        <v>42.69</v>
      </c>
      <c r="S1367" s="233" t="s">
        <v>497</v>
      </c>
      <c r="T1367" s="242" t="s">
        <v>158</v>
      </c>
      <c r="U1367" s="235">
        <f>U1359</f>
        <v>42.69</v>
      </c>
      <c r="V1367" s="320" t="s">
        <v>35</v>
      </c>
      <c r="W1367" s="236" t="str">
        <f>IFERROR(IF(B1367="INSUMO",_xlfn.XLOOKUP(S1367,Insumos!A:A,Insumos!C:C),""),"Inserir Preço")</f>
        <v/>
      </c>
      <c r="X1367" s="235">
        <f t="shared" ca="1" si="958"/>
        <v>42.69</v>
      </c>
      <c r="Y1367" s="236">
        <f t="shared" ca="1" si="937"/>
        <v>10.5</v>
      </c>
      <c r="Z1367" s="237">
        <f t="shared" ca="1" si="967"/>
        <v>448.245</v>
      </c>
      <c r="AA1367" s="238"/>
      <c r="AB1367" s="233" t="str">
        <f>IF(B1367="insumo",_xlfn.XLOOKUP(S1367,Insumos!A:A,Insumos!D:D),"")</f>
        <v/>
      </c>
      <c r="AC1367" s="239">
        <f t="shared" ca="1" si="968"/>
        <v>6.4304831991341055E-5</v>
      </c>
      <c r="AE1367" s="240">
        <f ca="1">IFERROR(IF(OR(Z1367="",Z1367=0),"",IF(AF1367="","",IF(AF1367="R$/mês",Z1367/OBRA!$D$12,IF(AF1367="R$/m²",Z1367/OBRA!$D$10,IF(AF1367="R$/apto",Orçamento!Z1367/OBRA!$D$11,""))))),"")</f>
        <v>0.23067006993510805</v>
      </c>
      <c r="AF1367" s="241" t="s">
        <v>154</v>
      </c>
    </row>
    <row r="1368" spans="1:32" s="10" customFormat="1" ht="13.15" hidden="1" customHeight="1" outlineLevel="4" x14ac:dyDescent="0.2">
      <c r="A1368" s="227"/>
      <c r="B1368" s="228" t="s">
        <v>19</v>
      </c>
      <c r="C1368" s="229">
        <f t="shared" si="966"/>
        <v>5</v>
      </c>
      <c r="D1368" s="227" t="str">
        <f t="shared" si="959"/>
        <v/>
      </c>
      <c r="E1368" s="228" t="str">
        <f t="shared" ca="1" si="960"/>
        <v>13.005.003.003</v>
      </c>
      <c r="F1368" s="230">
        <f ca="1">IF($B1368="UNIDADE CONSTRUTIVA",OFFSET(F1368,-1,0)+1,LARGE(F$10:F1367,1))</f>
        <v>2</v>
      </c>
      <c r="G1368" s="228" t="str">
        <f t="shared" ca="1" si="952"/>
        <v xml:space="preserve">   GERENCIAMENTO EXECUTIVO</v>
      </c>
      <c r="H1368" s="230">
        <f t="shared" ca="1" si="961"/>
        <v>13</v>
      </c>
      <c r="I1368" s="228" t="str">
        <f t="shared" ca="1" si="953"/>
        <v xml:space="preserve">   REVESTIMENTOS INTERNOS DE PAREDE</v>
      </c>
      <c r="J1368" s="230">
        <f t="shared" ca="1" si="962"/>
        <v>5</v>
      </c>
      <c r="K1368" s="228" t="str">
        <f t="shared" ca="1" si="954"/>
        <v xml:space="preserve">   REVESTIMENTOS INTERNOS DE PAREDE - BARRILETE / CAIXA DÁGUA / CASA DE MÁQUINAS</v>
      </c>
      <c r="L1368" s="231">
        <f t="shared" ca="1" si="963"/>
        <v>3</v>
      </c>
      <c r="M1368" s="228" t="str">
        <f t="shared" ca="1" si="955"/>
        <v xml:space="preserve">   Mão de Obra</v>
      </c>
      <c r="N1368" s="231">
        <f t="shared" ca="1" si="964"/>
        <v>3</v>
      </c>
      <c r="O1368" s="228" t="str">
        <f t="shared" ca="1" si="956"/>
        <v>Mao de obra para colocacao de peitoril</v>
      </c>
      <c r="P1368" s="232" t="str">
        <f>IF(S1368="","",IF(Orçamento!$B1368="INSUMO",S1368,""))</f>
        <v>MAO DE OBRA PARA COLOCACAO DE PEITORIL</v>
      </c>
      <c r="Q1368" s="244" t="str">
        <f t="shared" si="965"/>
        <v/>
      </c>
      <c r="R1368" s="234">
        <f t="shared" ca="1" si="957"/>
        <v>42.69</v>
      </c>
      <c r="S1368" s="233" t="s">
        <v>373</v>
      </c>
      <c r="T1368" s="242" t="str">
        <f>_xlfn.XLOOKUP(S1368,Insumos!$A$3:$A$371,Insumos!$B$3:$B$371)</f>
        <v>M2</v>
      </c>
      <c r="U1368" s="235">
        <f ca="1">IF($B1368="insumo",R1368,"")</f>
        <v>42.69</v>
      </c>
      <c r="V1368" s="320">
        <v>1</v>
      </c>
      <c r="W1368" s="236">
        <f>IFERROR(IF(B1368="INSUMO",_xlfn.XLOOKUP(S1368,Insumos!A:A,Insumos!C:C),""),"Inserir Preço")</f>
        <v>10.5</v>
      </c>
      <c r="X1368" s="235">
        <f t="shared" ca="1" si="958"/>
        <v>42.69</v>
      </c>
      <c r="Y1368" s="236">
        <f t="shared" si="937"/>
        <v>10.5</v>
      </c>
      <c r="Z1368" s="237">
        <f t="shared" ca="1" si="967"/>
        <v>448.245</v>
      </c>
      <c r="AA1368" s="238"/>
      <c r="AB1368" s="233" t="str">
        <f>IF(B1368="insumo",_xlfn.XLOOKUP(S1368,Insumos!A:A,Insumos!D:D),"")</f>
        <v xml:space="preserve"> </v>
      </c>
      <c r="AC1368" s="239">
        <f t="shared" ca="1" si="968"/>
        <v>6.4304831991341055E-5</v>
      </c>
      <c r="AE1368" s="240">
        <f ca="1">IFERROR(IF(OR(Z1368="",Z1368=0),"",IF(AF1368="","",IF(AF1368="R$/mês",Z1368/OBRA!$D$12,IF(AF1368="R$/m²",Z1368/OBRA!$D$10,IF(AF1368="R$/apto",Orçamento!Z1368/OBRA!$D$11,""))))),"")</f>
        <v>0.23067006993510805</v>
      </c>
      <c r="AF1368" s="241" t="s">
        <v>154</v>
      </c>
    </row>
    <row r="1369" spans="1:32" s="10" customFormat="1" ht="13.15" customHeight="1" outlineLevel="1" x14ac:dyDescent="0.2">
      <c r="A1369" s="227"/>
      <c r="B1369" s="228" t="s">
        <v>1</v>
      </c>
      <c r="C1369" s="229" t="str">
        <f t="shared" si="966"/>
        <v/>
      </c>
      <c r="D1369" s="227" t="str">
        <f t="shared" ref="D1369:D1429" ca="1" si="969">IF(B1369="Unidade Construtiva",TEXT(F1369,"00"),IF(B1369="Célula Construtiva",TEXT(H1369,"00"),IF(B1369="Etapa",CONCATENATE(TEXT(H1369,"00"),".",TEXT(J1369,"000")),IF(B1369="Subetapa",CONCATENATE(TEXT(H1369,"00"),".",TEXT(J1369,"000"),".",TEXT(L1369,"000")),IF(B1369="Serviço",CONCATENATE(TEXT(H1369,"00"),".",TEXT(J1369,"000"),".",TEXT(L1369,"000"),".",TEXT(N1369,"000")),"")))))</f>
        <v>14</v>
      </c>
      <c r="E1369" s="228" t="str">
        <f ca="1">IF(B1369="*","",IFERROR(IF(B1369="SERVIÇO",D1369,OFFSET(E1369,-1,0)),""))</f>
        <v>13.005.003.003</v>
      </c>
      <c r="F1369" s="230">
        <f ca="1">IF($B1369="UNIDADE CONSTRUTIVA",OFFSET(F1369,-1,0)+1,LARGE(F$10:F1368,1))</f>
        <v>2</v>
      </c>
      <c r="G1369" s="228" t="str">
        <f t="shared" ca="1" si="952"/>
        <v xml:space="preserve">   GERENCIAMENTO EXECUTIVO</v>
      </c>
      <c r="H1369" s="230">
        <f ca="1">IF(B1369="UNIDADE CONSTRUTIVA",0,IF(B1369="CÉLULA CONSTRUTIVA",OFFSET(H1369,-1,0)+1,OFFSET(H1369,-1,0)))</f>
        <v>14</v>
      </c>
      <c r="I1369" s="228" t="str">
        <f t="shared" ca="1" si="953"/>
        <v xml:space="preserve">   REVESTIMENTOS E ACABAMENTOS INTERNOS EM TETO</v>
      </c>
      <c r="J1369" s="230">
        <f ca="1">IF(B1369="CÉLULA CONSTRUTIVA",0,IF(B1369="ETAPA",OFFSET(J1369,-1,0)+1,OFFSET(J1369,-1,0)))</f>
        <v>0</v>
      </c>
      <c r="K1369" s="228" t="str">
        <f t="shared" ca="1" si="954"/>
        <v xml:space="preserve">   REVESTIMENTOS INTERNOS DE PAREDE - BARRILETE / CAIXA DÁGUA / CASA DE MÁQUINAS</v>
      </c>
      <c r="L1369" s="231">
        <f ca="1">IF(B1369="ETAPA",0,IF(B1369="SUBETAPA",OFFSET(L1369,-1,0)+1,OFFSET(L1369,-1,0)))</f>
        <v>3</v>
      </c>
      <c r="M1369" s="228" t="str">
        <f t="shared" ca="1" si="955"/>
        <v xml:space="preserve">   Mão de Obra</v>
      </c>
      <c r="N1369" s="231">
        <f ca="1">IF(B1369="Subetapa",0,IF(B1369="serviço",OFFSET(N1369,-1,0)+1,OFFSET(N1369,-1,0)))</f>
        <v>3</v>
      </c>
      <c r="O1369" s="228" t="str">
        <f t="shared" ca="1" si="956"/>
        <v>Mao de obra para colocacao de peitoril</v>
      </c>
      <c r="P1369" s="232" t="str">
        <f>IF(S1369="","",IF(Orçamento!$B1369="INSUMO",S1369,""))</f>
        <v/>
      </c>
      <c r="Q1369" s="244" t="str">
        <f t="shared" ref="Q1369:Q1428" si="970">IF(B1369="","",IF(B1369="Serviço",S1369,""))</f>
        <v/>
      </c>
      <c r="R1369" s="234">
        <f t="shared" ref="R1369:R1428" ca="1" si="971">IF(B1369="serviço",U1369,OFFSET(R1369,-1,0))</f>
        <v>42.69</v>
      </c>
      <c r="S1369" s="233" t="s">
        <v>549</v>
      </c>
      <c r="T1369" s="242" t="s">
        <v>35</v>
      </c>
      <c r="U1369" s="235" t="str">
        <f>IF($B1369="insumo",R1369,"")</f>
        <v/>
      </c>
      <c r="V1369" s="320" t="s">
        <v>35</v>
      </c>
      <c r="W1369" s="236" t="str">
        <f>IFERROR(IF(B1369="INSUMO",_xlfn.XLOOKUP(S1369,Insumos!A:A,Insumos!C:C),""),"Inserir Preço")</f>
        <v/>
      </c>
      <c r="X1369" s="235" t="str">
        <f t="shared" ca="1" si="958"/>
        <v/>
      </c>
      <c r="Y1369" s="236" t="str">
        <f t="shared" si="937"/>
        <v/>
      </c>
      <c r="Z1369" s="237">
        <f t="shared" ca="1" si="967"/>
        <v>128940.65852424</v>
      </c>
      <c r="AA1369" s="238"/>
      <c r="AB1369" s="233" t="str">
        <f>IF(B1369="insumo",_xlfn.XLOOKUP(S1369,Insumos!A:A,Insumos!D:D),"")</f>
        <v/>
      </c>
      <c r="AC1369" s="239">
        <f t="shared" ca="1" si="968"/>
        <v>1.8497713043657223E-2</v>
      </c>
      <c r="AE1369" s="240">
        <f ca="1">IFERROR(IF(OR(Z1369="",Z1369=0),"",IF(AF1369="","",IF(AF1369="R$/mês",Z1369/OBRA!$D$12,IF(AF1369="R$/m²",Z1369/OBRA!$D$10,IF(AF1369="R$/apto",Orçamento!Z1369/OBRA!$D$11,""))))),"")</f>
        <v>66.353781345615289</v>
      </c>
      <c r="AF1369" s="241" t="s">
        <v>154</v>
      </c>
    </row>
    <row r="1370" spans="1:32" s="10" customFormat="1" ht="13.15" customHeight="1" outlineLevel="2" collapsed="1" x14ac:dyDescent="0.2">
      <c r="A1370" s="227"/>
      <c r="B1370" s="228" t="s">
        <v>2</v>
      </c>
      <c r="C1370" s="229" t="str">
        <f t="shared" si="966"/>
        <v/>
      </c>
      <c r="D1370" s="227" t="str">
        <f t="shared" ca="1" si="969"/>
        <v>14.001</v>
      </c>
      <c r="E1370" s="228" t="str">
        <f t="shared" ref="E1370:E1429" ca="1" si="972">IF(B1370="*","",IFERROR(IF(B1370="SERVIÇO",D1370,OFFSET(E1370,-1,0)),""))</f>
        <v>13.005.003.003</v>
      </c>
      <c r="F1370" s="230">
        <f ca="1">IF($B1370="UNIDADE CONSTRUTIVA",OFFSET(F1370,-1,0)+1,LARGE(F$10:F1369,1))</f>
        <v>2</v>
      </c>
      <c r="G1370" s="228" t="str">
        <f t="shared" ref="G1370:G1428" ca="1" si="973">IF(B1370="*","",IF(B1370="UNIDADE CONSTRUTIVA",S1370,OFFSET(G1370,-1,0)))</f>
        <v xml:space="preserve">   GERENCIAMENTO EXECUTIVO</v>
      </c>
      <c r="H1370" s="230">
        <f t="shared" ref="H1370:H1429" ca="1" si="974">IF(B1370="UNIDADE CONSTRUTIVA",0,IF(B1370="CÉLULA CONSTRUTIVA",OFFSET(H1370,-1,0)+1,OFFSET(H1370,-1,0)))</f>
        <v>14</v>
      </c>
      <c r="I1370" s="228" t="str">
        <f t="shared" ref="I1370:I1428" ca="1" si="975">IF(B1370="*","",IF(B1370="CÉLULA CONSTRUTIVA",S1370,OFFSET(I1370,-1,0)))</f>
        <v xml:space="preserve">   REVESTIMENTOS E ACABAMENTOS INTERNOS EM TETO</v>
      </c>
      <c r="J1370" s="230">
        <f t="shared" ref="J1370:J1429" ca="1" si="976">IF(B1370="CÉLULA CONSTRUTIVA",0,IF(B1370="ETAPA",OFFSET(J1370,-1,0)+1,OFFSET(J1370,-1,0)))</f>
        <v>1</v>
      </c>
      <c r="K1370" s="228" t="str">
        <f t="shared" ref="K1370:K1428" ca="1" si="977">IF(B1370="*","",IF(B1370="ETAPA",S1370,OFFSET(K1370,-1,0)))</f>
        <v xml:space="preserve">   REVESTIMENTOS E ACABAMENTOS INTERNOS EM TETO - 1º PAVIMENTO - SUBSOLO</v>
      </c>
      <c r="L1370" s="231">
        <f t="shared" ref="L1370:L1429" ca="1" si="978">IF(B1370="ETAPA",0,IF(B1370="SUBETAPA",OFFSET(L1370,-1,0)+1,OFFSET(L1370,-1,0)))</f>
        <v>0</v>
      </c>
      <c r="M1370" s="228" t="str">
        <f t="shared" ref="M1370:M1428" ca="1" si="979">IF(B1370="*","",IF(B1370="SUBETAPA",S1370,OFFSET(M1370,-1,0)))</f>
        <v xml:space="preserve">   Mão de Obra</v>
      </c>
      <c r="N1370" s="231">
        <f t="shared" ref="N1370:N1429" ca="1" si="980">IF(B1370="Subetapa",0,IF(B1370="serviço",OFFSET(N1370,-1,0)+1,OFFSET(N1370,-1,0)))</f>
        <v>3</v>
      </c>
      <c r="O1370" s="228" t="str">
        <f t="shared" ref="O1370:O1428" ca="1" si="981">IF(B1370="*","",IF(B1370="SERVIÇO",S1370,OFFSET(O1370,-1,0)))</f>
        <v>Mao de obra para colocacao de peitoril</v>
      </c>
      <c r="P1370" s="232" t="str">
        <f>IF(S1370="","",IF(Orçamento!$B1370="INSUMO",S1370,""))</f>
        <v/>
      </c>
      <c r="Q1370" s="244" t="str">
        <f t="shared" si="970"/>
        <v/>
      </c>
      <c r="R1370" s="234">
        <f t="shared" ca="1" si="971"/>
        <v>42.69</v>
      </c>
      <c r="S1370" s="233" t="s">
        <v>641</v>
      </c>
      <c r="T1370" s="242" t="s">
        <v>35</v>
      </c>
      <c r="U1370" s="235" t="str">
        <f>IF($B1370="insumo",R1370,"")</f>
        <v/>
      </c>
      <c r="V1370" s="320" t="s">
        <v>35</v>
      </c>
      <c r="W1370" s="236" t="str">
        <f>IFERROR(IF(B1370="INSUMO",_xlfn.XLOOKUP(S1370,Insumos!A:A,Insumos!C:C),""),"Inserir Preço")</f>
        <v/>
      </c>
      <c r="X1370" s="235" t="str">
        <f t="shared" ca="1" si="958"/>
        <v/>
      </c>
      <c r="Y1370" s="236" t="str">
        <f t="shared" si="937"/>
        <v/>
      </c>
      <c r="Z1370" s="237">
        <f t="shared" ca="1" si="967"/>
        <v>18007.320859942352</v>
      </c>
      <c r="AA1370" s="238"/>
      <c r="AB1370" s="233" t="str">
        <f>IF(B1370="insumo",_xlfn.XLOOKUP(S1370,Insumos!A:A,Insumos!D:D),"")</f>
        <v/>
      </c>
      <c r="AC1370" s="239">
        <f t="shared" ca="1" si="968"/>
        <v>2.5833143537859074E-3</v>
      </c>
      <c r="AE1370" s="240">
        <f ca="1">IFERROR(IF(OR(Z1370="",Z1370=0),"",IF(AF1370="","",IF(AF1370="R$/mês",Z1370/OBRA!$D$12,IF(AF1370="R$/m²",Z1370/OBRA!$D$10,IF(AF1370="R$/apto",Orçamento!Z1370/OBRA!$D$11,""))))),"")</f>
        <v>9.2666955841266105</v>
      </c>
      <c r="AF1370" s="241" t="s">
        <v>154</v>
      </c>
    </row>
    <row r="1371" spans="1:32" s="10" customFormat="1" ht="13.15" hidden="1" customHeight="1" outlineLevel="3" collapsed="1" x14ac:dyDescent="0.2">
      <c r="A1371" s="227"/>
      <c r="B1371" s="228" t="s">
        <v>3</v>
      </c>
      <c r="C1371" s="229" t="str">
        <f t="shared" si="966"/>
        <v/>
      </c>
      <c r="D1371" s="227" t="str">
        <f t="shared" ca="1" si="969"/>
        <v>14.001.001</v>
      </c>
      <c r="E1371" s="228" t="str">
        <f t="shared" ca="1" si="972"/>
        <v>13.005.003.003</v>
      </c>
      <c r="F1371" s="230">
        <f ca="1">IF($B1371="UNIDADE CONSTRUTIVA",OFFSET(F1371,-1,0)+1,LARGE(F$10:F1370,1))</f>
        <v>2</v>
      </c>
      <c r="G1371" s="228" t="str">
        <f t="shared" ca="1" si="973"/>
        <v xml:space="preserve">   GERENCIAMENTO EXECUTIVO</v>
      </c>
      <c r="H1371" s="230">
        <f t="shared" ca="1" si="974"/>
        <v>14</v>
      </c>
      <c r="I1371" s="228" t="str">
        <f t="shared" ca="1" si="975"/>
        <v xml:space="preserve">   REVESTIMENTOS E ACABAMENTOS INTERNOS EM TETO</v>
      </c>
      <c r="J1371" s="230">
        <f t="shared" ca="1" si="976"/>
        <v>1</v>
      </c>
      <c r="K1371" s="228" t="str">
        <f t="shared" ca="1" si="977"/>
        <v xml:space="preserve">   REVESTIMENTOS E ACABAMENTOS INTERNOS EM TETO - 1º PAVIMENTO - SUBSOLO</v>
      </c>
      <c r="L1371" s="231">
        <f t="shared" ca="1" si="978"/>
        <v>1</v>
      </c>
      <c r="M1371" s="228" t="str">
        <f t="shared" ca="1" si="979"/>
        <v xml:space="preserve">   Revestimento Interno Argamassado em Teto</v>
      </c>
      <c r="N1371" s="231">
        <f t="shared" ca="1" si="980"/>
        <v>0</v>
      </c>
      <c r="O1371" s="228" t="str">
        <f t="shared" ca="1" si="981"/>
        <v>Mao de obra para colocacao de peitoril</v>
      </c>
      <c r="P1371" s="232" t="str">
        <f>IF(S1371="","",IF(Orçamento!$B1371="INSUMO",S1371,""))</f>
        <v/>
      </c>
      <c r="Q1371" s="244" t="str">
        <f t="shared" si="970"/>
        <v/>
      </c>
      <c r="R1371" s="234">
        <f t="shared" ca="1" si="971"/>
        <v>42.69</v>
      </c>
      <c r="S1371" s="233" t="s">
        <v>485</v>
      </c>
      <c r="T1371" s="242" t="s">
        <v>35</v>
      </c>
      <c r="U1371" s="235" t="str">
        <f>IF($B1371="insumo",R1371,"")</f>
        <v/>
      </c>
      <c r="V1371" s="320" t="s">
        <v>35</v>
      </c>
      <c r="W1371" s="236" t="str">
        <f>IFERROR(IF(B1371="INSUMO",_xlfn.XLOOKUP(S1371,Insumos!A:A,Insumos!C:C),""),"Inserir Preço")</f>
        <v/>
      </c>
      <c r="X1371" s="235" t="str">
        <f t="shared" ref="X1371:X1380" ca="1" si="982">IF(B1371="Complemento do insumo",V1371,IF(R1371="","",IF(B1371="serviço",R1371,IF(OR(B1371="insumo"),V1371*R1371,""))))</f>
        <v/>
      </c>
      <c r="Y1371" s="236" t="str">
        <f t="shared" si="937"/>
        <v/>
      </c>
      <c r="Z1371" s="237">
        <f t="shared" ca="1" si="967"/>
        <v>1349.43138</v>
      </c>
      <c r="AA1371" s="238"/>
      <c r="AB1371" s="233" t="str">
        <f>IF(B1371="insumo",_xlfn.XLOOKUP(S1371,Insumos!A:A,Insumos!D:D),"")</f>
        <v/>
      </c>
      <c r="AC1371" s="239">
        <f t="shared" ca="1" si="968"/>
        <v>1.9358823450288016E-4</v>
      </c>
      <c r="AE1371" s="240">
        <f ca="1">IFERROR(IF(OR(Z1371="",Z1371=0),"",IF(AF1371="","",IF(AF1371="R$/mês",Z1371/OBRA!$D$12,IF(AF1371="R$/m²",Z1371/OBRA!$D$10,IF(AF1371="R$/apto",Orçamento!Z1371/OBRA!$D$11,""))))),"")</f>
        <v>0.6944270004065396</v>
      </c>
      <c r="AF1371" s="241" t="s">
        <v>154</v>
      </c>
    </row>
    <row r="1372" spans="1:32" s="10" customFormat="1" ht="13.15" hidden="1" customHeight="1" outlineLevel="4" x14ac:dyDescent="0.2">
      <c r="A1372" s="227"/>
      <c r="B1372" s="228" t="s">
        <v>4</v>
      </c>
      <c r="C1372" s="229">
        <f t="shared" si="966"/>
        <v>5</v>
      </c>
      <c r="D1372" s="227" t="str">
        <f t="shared" ca="1" si="969"/>
        <v>14.001.001.001</v>
      </c>
      <c r="E1372" s="228" t="str">
        <f t="shared" ca="1" si="972"/>
        <v>14.001.001.001</v>
      </c>
      <c r="F1372" s="230">
        <f ca="1">IF($B1372="UNIDADE CONSTRUTIVA",OFFSET(F1372,-1,0)+1,LARGE(F$10:F1371,1))</f>
        <v>2</v>
      </c>
      <c r="G1372" s="228" t="str">
        <f t="shared" ca="1" si="973"/>
        <v xml:space="preserve">   GERENCIAMENTO EXECUTIVO</v>
      </c>
      <c r="H1372" s="230">
        <f t="shared" ca="1" si="974"/>
        <v>14</v>
      </c>
      <c r="I1372" s="228" t="str">
        <f t="shared" ca="1" si="975"/>
        <v xml:space="preserve">   REVESTIMENTOS E ACABAMENTOS INTERNOS EM TETO</v>
      </c>
      <c r="J1372" s="230">
        <f t="shared" ca="1" si="976"/>
        <v>1</v>
      </c>
      <c r="K1372" s="228" t="str">
        <f t="shared" ca="1" si="977"/>
        <v xml:space="preserve">   REVESTIMENTOS E ACABAMENTOS INTERNOS EM TETO - 1º PAVIMENTO - SUBSOLO</v>
      </c>
      <c r="L1372" s="231">
        <f t="shared" ca="1" si="978"/>
        <v>1</v>
      </c>
      <c r="M1372" s="228" t="str">
        <f t="shared" ca="1" si="979"/>
        <v xml:space="preserve">   Revestimento Interno Argamassado em Teto</v>
      </c>
      <c r="N1372" s="231">
        <f t="shared" ca="1" si="980"/>
        <v>1</v>
      </c>
      <c r="O1372" s="228" t="str">
        <f t="shared" ca="1" si="981"/>
        <v>Chapisco de estrutura de concreto em teto</v>
      </c>
      <c r="P1372" s="232" t="str">
        <f>IF(S1372="","",IF(Orçamento!$B1372="INSUMO",S1372,""))</f>
        <v/>
      </c>
      <c r="Q1372" s="244" t="str">
        <f t="shared" si="970"/>
        <v>Chapisco de estrutura de concreto em teto</v>
      </c>
      <c r="R1372" s="234">
        <f t="shared" ca="1" si="971"/>
        <v>14.53</v>
      </c>
      <c r="S1372" s="233" t="s">
        <v>743</v>
      </c>
      <c r="T1372" s="242" t="s">
        <v>140</v>
      </c>
      <c r="U1372" s="235">
        <v>14.53</v>
      </c>
      <c r="V1372" s="320" t="s">
        <v>35</v>
      </c>
      <c r="W1372" s="236" t="str">
        <f>IFERROR(IF(B1372="INSUMO",_xlfn.XLOOKUP(S1372,Insumos!A:A,Insumos!C:C),""),"Inserir Preço")</f>
        <v/>
      </c>
      <c r="X1372" s="235">
        <f t="shared" ca="1" si="982"/>
        <v>14.53</v>
      </c>
      <c r="Y1372" s="236">
        <f t="shared" ca="1" si="937"/>
        <v>5.5020000000000007</v>
      </c>
      <c r="Z1372" s="237">
        <f t="shared" ca="1" si="967"/>
        <v>79.944060000000007</v>
      </c>
      <c r="AA1372" s="238"/>
      <c r="AB1372" s="233" t="str">
        <f>IF(B1372="insumo",_xlfn.XLOOKUP(S1372,Insumos!A:A,Insumos!D:D),"")</f>
        <v/>
      </c>
      <c r="AC1372" s="239">
        <f t="shared" ca="1" si="968"/>
        <v>1.1468704273345357E-5</v>
      </c>
      <c r="AE1372" s="240">
        <f ca="1">IFERROR(IF(OR(Z1372="",Z1372=0),"",IF(AF1372="","",IF(AF1372="R$/mês",Z1372/OBRA!$D$12,IF(AF1372="R$/m²",Z1372/OBRA!$D$10,IF(AF1372="R$/apto",Orçamento!Z1372/OBRA!$D$11,""))))),"")</f>
        <v>4.1139782732872589E-2</v>
      </c>
      <c r="AF1372" s="241" t="s">
        <v>154</v>
      </c>
    </row>
    <row r="1373" spans="1:32" s="10" customFormat="1" ht="13.15" hidden="1" customHeight="1" outlineLevel="4" x14ac:dyDescent="0.2">
      <c r="A1373" s="227"/>
      <c r="B1373" s="228" t="s">
        <v>19</v>
      </c>
      <c r="C1373" s="229">
        <f t="shared" si="966"/>
        <v>11</v>
      </c>
      <c r="D1373" s="227" t="str">
        <f t="shared" si="969"/>
        <v/>
      </c>
      <c r="E1373" s="228" t="str">
        <f t="shared" ca="1" si="972"/>
        <v>14.001.001.001</v>
      </c>
      <c r="F1373" s="230">
        <f ca="1">IF($B1373="UNIDADE CONSTRUTIVA",OFFSET(F1373,-1,0)+1,LARGE(F$10:F1372,1))</f>
        <v>2</v>
      </c>
      <c r="G1373" s="228" t="str">
        <f t="shared" ca="1" si="973"/>
        <v xml:space="preserve">   GERENCIAMENTO EXECUTIVO</v>
      </c>
      <c r="H1373" s="230">
        <f t="shared" ca="1" si="974"/>
        <v>14</v>
      </c>
      <c r="I1373" s="228" t="str">
        <f t="shared" ca="1" si="975"/>
        <v xml:space="preserve">   REVESTIMENTOS E ACABAMENTOS INTERNOS EM TETO</v>
      </c>
      <c r="J1373" s="230">
        <f t="shared" ca="1" si="976"/>
        <v>1</v>
      </c>
      <c r="K1373" s="228" t="str">
        <f t="shared" ca="1" si="977"/>
        <v xml:space="preserve">   REVESTIMENTOS E ACABAMENTOS INTERNOS EM TETO - 1º PAVIMENTO - SUBSOLO</v>
      </c>
      <c r="L1373" s="231">
        <f t="shared" ca="1" si="978"/>
        <v>1</v>
      </c>
      <c r="M1373" s="228" t="str">
        <f t="shared" ca="1" si="979"/>
        <v xml:space="preserve">   Revestimento Interno Argamassado em Teto</v>
      </c>
      <c r="N1373" s="231">
        <f t="shared" ca="1" si="980"/>
        <v>1</v>
      </c>
      <c r="O1373" s="228" t="str">
        <f t="shared" ca="1" si="981"/>
        <v>Chapisco de estrutura de concreto em teto</v>
      </c>
      <c r="P1373" s="232" t="str">
        <f>IF(S1373="","",IF(Orçamento!$B1373="INSUMO",S1373,""))</f>
        <v>CHAPISCO COLANTE 20KG</v>
      </c>
      <c r="Q1373" s="244" t="str">
        <f t="shared" si="970"/>
        <v/>
      </c>
      <c r="R1373" s="234">
        <f t="shared" ca="1" si="971"/>
        <v>14.53</v>
      </c>
      <c r="S1373" s="233" t="s">
        <v>1027</v>
      </c>
      <c r="T1373" s="242" t="s">
        <v>159</v>
      </c>
      <c r="U1373" s="235">
        <f ca="1">IF($B1373="insumo",R1373,"")</f>
        <v>14.53</v>
      </c>
      <c r="V1373" s="320">
        <v>4.2</v>
      </c>
      <c r="W1373" s="236">
        <f>IFERROR(IF(B1373="INSUMO",_xlfn.XLOOKUP(S1373,Insumos!A:A,Insumos!C:C),""),"Inserir Preço")</f>
        <v>1.31</v>
      </c>
      <c r="X1373" s="235">
        <f t="shared" ca="1" si="982"/>
        <v>61.026000000000003</v>
      </c>
      <c r="Y1373" s="236">
        <f t="shared" si="937"/>
        <v>5.5020000000000007</v>
      </c>
      <c r="Z1373" s="237">
        <f t="shared" ca="1" si="967"/>
        <v>79.944060000000007</v>
      </c>
      <c r="AA1373" s="238"/>
      <c r="AB1373" s="233" t="str">
        <f>IF(B1373="insumo",_xlfn.XLOOKUP(S1373,Insumos!A:A,Insumos!D:D),"")</f>
        <v xml:space="preserve"> </v>
      </c>
      <c r="AC1373" s="239">
        <f t="shared" ca="1" si="968"/>
        <v>1.1468704273345357E-5</v>
      </c>
      <c r="AD1373" s="324"/>
      <c r="AE1373" s="240">
        <f ca="1">IFERROR(IF(OR(Z1373="",Z1373=0),"",IF(AF1373="","",IF(AF1373="R$/mês",Z1373/OBRA!$D$12,IF(AF1373="R$/m²",Z1373/OBRA!$D$10,IF(AF1373="R$/apto",Orçamento!Z1373/OBRA!$D$11,""))))),"")</f>
        <v>4.1139782732872589E-2</v>
      </c>
      <c r="AF1373" s="241" t="s">
        <v>154</v>
      </c>
    </row>
    <row r="1374" spans="1:32" s="10" customFormat="1" ht="13.15" hidden="1" customHeight="1" outlineLevel="4" x14ac:dyDescent="0.2">
      <c r="A1374" s="227"/>
      <c r="B1374" s="228" t="s">
        <v>4</v>
      </c>
      <c r="C1374" s="229">
        <f t="shared" si="966"/>
        <v>5</v>
      </c>
      <c r="D1374" s="227" t="str">
        <f ca="1">IF(B1374="Unidade Construtiva",TEXT(F1374,"00"),IF(B1374="Célula Construtiva",TEXT(H1374,"00"),IF(B1374="Etapa",CONCATENATE(TEXT(H1374,"00"),".",TEXT(J1374,"000")),IF(B1374="Subetapa",CONCATENATE(TEXT(H1374,"00"),".",TEXT(J1374,"000"),".",TEXT(L1374,"000")),IF(B1374="Serviço",CONCATENATE(TEXT(H1374,"00"),".",TEXT(J1374,"000"),".",TEXT(L1374,"000"),".",TEXT(N1374,"000")),"")))))</f>
        <v>14.001.001.002</v>
      </c>
      <c r="E1374" s="228" t="str">
        <f ca="1">IF(B1374="*","",IFERROR(IF(B1374="SERVIÇO",D1374,OFFSET(E1374,-1,0)),""))</f>
        <v>14.001.001.002</v>
      </c>
      <c r="F1374" s="230">
        <f ca="1">IF($B1374="UNIDADE CONSTRUTIVA",OFFSET(F1374,-1,0)+1,LARGE(F$10:F1373,1))</f>
        <v>2</v>
      </c>
      <c r="G1374" s="228" t="str">
        <f ca="1">IF(B1374="*","",IF(B1374="UNIDADE CONSTRUTIVA",S1374,OFFSET(G1374,-1,0)))</f>
        <v xml:space="preserve">   GERENCIAMENTO EXECUTIVO</v>
      </c>
      <c r="H1374" s="230">
        <f ca="1">IF(B1374="UNIDADE CONSTRUTIVA",0,IF(B1374="CÉLULA CONSTRUTIVA",OFFSET(H1374,-1,0)+1,OFFSET(H1374,-1,0)))</f>
        <v>14</v>
      </c>
      <c r="I1374" s="228" t="str">
        <f ca="1">IF(B1374="*","",IF(B1374="CÉLULA CONSTRUTIVA",S1374,OFFSET(I1374,-1,0)))</f>
        <v xml:space="preserve">   REVESTIMENTOS E ACABAMENTOS INTERNOS EM TETO</v>
      </c>
      <c r="J1374" s="230">
        <f ca="1">IF(B1374="CÉLULA CONSTRUTIVA",0,IF(B1374="ETAPA",OFFSET(J1374,-1,0)+1,OFFSET(J1374,-1,0)))</f>
        <v>1</v>
      </c>
      <c r="K1374" s="228" t="str">
        <f ca="1">IF(B1374="*","",IF(B1374="ETAPA",S1374,OFFSET(K1374,-1,0)))</f>
        <v xml:space="preserve">   REVESTIMENTOS E ACABAMENTOS INTERNOS EM TETO - 1º PAVIMENTO - SUBSOLO</v>
      </c>
      <c r="L1374" s="231">
        <f ca="1">IF(B1374="ETAPA",0,IF(B1374="SUBETAPA",OFFSET(L1374,-1,0)+1,OFFSET(L1374,-1,0)))</f>
        <v>1</v>
      </c>
      <c r="M1374" s="228" t="str">
        <f ca="1">IF(B1374="*","",IF(B1374="SUBETAPA",S1374,OFFSET(M1374,-1,0)))</f>
        <v xml:space="preserve">   Revestimento Interno Argamassado em Teto</v>
      </c>
      <c r="N1374" s="231">
        <f ca="1">IF(B1374="Subetapa",0,IF(B1374="serviço",OFFSET(N1374,-1,0)+1,OFFSET(N1374,-1,0)))</f>
        <v>2</v>
      </c>
      <c r="O1374" s="228" t="str">
        <f ca="1">IF(B1374="*","",IF(B1374="SERVIÇO",S1374,OFFSET(O1374,-1,0)))</f>
        <v>Massa unica para reboco interno em argamassa estabilizada, de estrutura de concreto em teto</v>
      </c>
      <c r="P1374" s="232" t="str">
        <f>IF(S1374="","",IF(Orçamento!$B1374="INSUMO",S1374,""))</f>
        <v/>
      </c>
      <c r="Q1374" s="244" t="str">
        <f>IF(B1374="","",IF(B1374="Serviço",S1374,""))</f>
        <v>Massa unica para reboco interno em argamassa estabilizada, de estrutura de concreto em teto</v>
      </c>
      <c r="R1374" s="234">
        <f ca="1">IF(B1374="serviço",U1374,OFFSET(R1374,-1,0))</f>
        <v>14.53</v>
      </c>
      <c r="S1374" s="233" t="s">
        <v>744</v>
      </c>
      <c r="T1374" s="242" t="s">
        <v>140</v>
      </c>
      <c r="U1374" s="235">
        <v>14.53</v>
      </c>
      <c r="V1374" s="320" t="s">
        <v>35</v>
      </c>
      <c r="W1374" s="236" t="str">
        <f>IFERROR(IF(B1374="INSUMO",_xlfn.XLOOKUP(S1374,Insumos!A:A,Insumos!C:C),""),"Inserir Preço")</f>
        <v/>
      </c>
      <c r="X1374" s="235">
        <f t="shared" ca="1" si="982"/>
        <v>14.53</v>
      </c>
      <c r="Y1374" s="236">
        <f t="shared" ca="1" si="937"/>
        <v>9.3120000000000012</v>
      </c>
      <c r="Z1374" s="237">
        <f t="shared" ca="1" si="967"/>
        <v>135.30336</v>
      </c>
      <c r="AA1374" s="238"/>
      <c r="AB1374" s="233" t="str">
        <f>IF(B1374="insumo",_xlfn.XLOOKUP(S1374,Insumos!A:A,Insumos!D:D),"")</f>
        <v/>
      </c>
      <c r="AC1374" s="239">
        <f t="shared" ca="1" si="968"/>
        <v>1.9410500580405661E-5</v>
      </c>
      <c r="AE1374" s="240">
        <f ca="1">IFERROR(IF(OR(Z1374="",Z1374=0),"",IF(AF1374="","",IF(AF1374="R$/mês",Z1374/OBRA!$D$12,IF(AF1374="R$/m²",Z1374/OBRA!$D$10,IF(AF1374="R$/apto",Orçamento!Z1374/OBRA!$D$11,""))))),"")</f>
        <v>6.9628072847784356E-2</v>
      </c>
      <c r="AF1374" s="241" t="s">
        <v>154</v>
      </c>
    </row>
    <row r="1375" spans="1:32" s="10" customFormat="1" ht="13.15" hidden="1" customHeight="1" outlineLevel="4" x14ac:dyDescent="0.2">
      <c r="A1375" s="227"/>
      <c r="B1375" s="228" t="s">
        <v>19</v>
      </c>
      <c r="C1375" s="229">
        <f t="shared" si="966"/>
        <v>11</v>
      </c>
      <c r="D1375" s="227" t="str">
        <f>IF(B1375="Unidade Construtiva",TEXT(F1375,"00"),IF(B1375="Célula Construtiva",TEXT(H1375,"00"),IF(B1375="Etapa",CONCATENATE(TEXT(H1375,"00"),".",TEXT(J1375,"000")),IF(B1375="Subetapa",CONCATENATE(TEXT(H1375,"00"),".",TEXT(J1375,"000"),".",TEXT(L1375,"000")),IF(B1375="Serviço",CONCATENATE(TEXT(H1375,"00"),".",TEXT(J1375,"000"),".",TEXT(L1375,"000"),".",TEXT(N1375,"000")),"")))))</f>
        <v/>
      </c>
      <c r="E1375" s="228" t="str">
        <f ca="1">IF(B1375="*","",IFERROR(IF(B1375="SERVIÇO",D1375,OFFSET(E1375,-1,0)),""))</f>
        <v>14.001.001.002</v>
      </c>
      <c r="F1375" s="230">
        <f ca="1">IF($B1375="UNIDADE CONSTRUTIVA",OFFSET(F1375,-1,0)+1,LARGE(F$10:F1374,1))</f>
        <v>2</v>
      </c>
      <c r="G1375" s="228" t="str">
        <f ca="1">IF(B1375="*","",IF(B1375="UNIDADE CONSTRUTIVA",S1375,OFFSET(G1375,-1,0)))</f>
        <v xml:space="preserve">   GERENCIAMENTO EXECUTIVO</v>
      </c>
      <c r="H1375" s="230">
        <f ca="1">IF(B1375="UNIDADE CONSTRUTIVA",0,IF(B1375="CÉLULA CONSTRUTIVA",OFFSET(H1375,-1,0)+1,OFFSET(H1375,-1,0)))</f>
        <v>14</v>
      </c>
      <c r="I1375" s="228" t="str">
        <f ca="1">IF(B1375="*","",IF(B1375="CÉLULA CONSTRUTIVA",S1375,OFFSET(I1375,-1,0)))</f>
        <v xml:space="preserve">   REVESTIMENTOS E ACABAMENTOS INTERNOS EM TETO</v>
      </c>
      <c r="J1375" s="230">
        <f ca="1">IF(B1375="CÉLULA CONSTRUTIVA",0,IF(B1375="ETAPA",OFFSET(J1375,-1,0)+1,OFFSET(J1375,-1,0)))</f>
        <v>1</v>
      </c>
      <c r="K1375" s="228" t="str">
        <f ca="1">IF(B1375="*","",IF(B1375="ETAPA",S1375,OFFSET(K1375,-1,0)))</f>
        <v xml:space="preserve">   REVESTIMENTOS E ACABAMENTOS INTERNOS EM TETO - 1º PAVIMENTO - SUBSOLO</v>
      </c>
      <c r="L1375" s="231">
        <f ca="1">IF(B1375="ETAPA",0,IF(B1375="SUBETAPA",OFFSET(L1375,-1,0)+1,OFFSET(L1375,-1,0)))</f>
        <v>1</v>
      </c>
      <c r="M1375" s="228" t="str">
        <f ca="1">IF(B1375="*","",IF(B1375="SUBETAPA",S1375,OFFSET(M1375,-1,0)))</f>
        <v xml:space="preserve">   Revestimento Interno Argamassado em Teto</v>
      </c>
      <c r="N1375" s="231">
        <f ca="1">IF(B1375="Subetapa",0,IF(B1375="serviço",OFFSET(N1375,-1,0)+1,OFFSET(N1375,-1,0)))</f>
        <v>2</v>
      </c>
      <c r="O1375" s="228" t="str">
        <f ca="1">IF(B1375="*","",IF(B1375="SERVIÇO",S1375,OFFSET(O1375,-1,0)))</f>
        <v>Massa unica para reboco interno em argamassa estabilizada, de estrutura de concreto em teto</v>
      </c>
      <c r="P1375" s="232" t="str">
        <f>IF(S1375="","",IF(Orçamento!$B1375="INSUMO",S1375,""))</f>
        <v>ARGAMASSA ESTABILIZADA PARA REBOCO</v>
      </c>
      <c r="Q1375" s="244" t="str">
        <f>IF(B1375="","",IF(B1375="Serviço",S1375,""))</f>
        <v/>
      </c>
      <c r="R1375" s="234">
        <f ca="1">IF(B1375="serviço",U1375,OFFSET(R1375,-1,0))</f>
        <v>14.53</v>
      </c>
      <c r="S1375" s="233" t="s">
        <v>256</v>
      </c>
      <c r="T1375" s="242" t="str">
        <f>_xlfn.XLOOKUP(S1375,Insumos!$A$3:$A$371,Insumos!$B$3:$B$371)</f>
        <v>M3</v>
      </c>
      <c r="U1375" s="235">
        <f ca="1">IF($B1375="insumo",R1375,"")</f>
        <v>14.53</v>
      </c>
      <c r="V1375" s="320">
        <v>1.9400000000000001E-2</v>
      </c>
      <c r="W1375" s="236">
        <f>IFERROR(IF(B1375="INSUMO",_xlfn.XLOOKUP(S1375,Insumos!A:A,Insumos!C:C),""),"Inserir Preço")</f>
        <v>480</v>
      </c>
      <c r="X1375" s="235">
        <f t="shared" ca="1" si="982"/>
        <v>0.28188200000000002</v>
      </c>
      <c r="Y1375" s="236">
        <f t="shared" si="937"/>
        <v>9.3120000000000012</v>
      </c>
      <c r="Z1375" s="237">
        <f t="shared" ca="1" si="967"/>
        <v>135.30336</v>
      </c>
      <c r="AA1375" s="238"/>
      <c r="AB1375" s="233" t="str">
        <f>IF(B1375="insumo",_xlfn.XLOOKUP(S1375,Insumos!A:A,Insumos!D:D),"")</f>
        <v xml:space="preserve"> </v>
      </c>
      <c r="AC1375" s="239">
        <f t="shared" ca="1" si="968"/>
        <v>1.9410500580405661E-5</v>
      </c>
      <c r="AE1375" s="240">
        <f ca="1">IFERROR(IF(OR(Z1375="",Z1375=0),"",IF(AF1375="","",IF(AF1375="R$/mês",Z1375/OBRA!$D$12,IF(AF1375="R$/m²",Z1375/OBRA!$D$10,IF(AF1375="R$/apto",Orçamento!Z1375/OBRA!$D$11,""))))),"")</f>
        <v>6.9628072847784356E-2</v>
      </c>
      <c r="AF1375" s="241" t="s">
        <v>154</v>
      </c>
    </row>
    <row r="1376" spans="1:32" s="10" customFormat="1" ht="13.15" hidden="1" customHeight="1" outlineLevel="4" x14ac:dyDescent="0.2">
      <c r="A1376" s="227"/>
      <c r="B1376" s="228" t="s">
        <v>4</v>
      </c>
      <c r="C1376" s="229">
        <f t="shared" si="966"/>
        <v>2</v>
      </c>
      <c r="D1376" s="227" t="str">
        <f t="shared" ca="1" si="969"/>
        <v>14.001.001.003</v>
      </c>
      <c r="E1376" s="228" t="str">
        <f t="shared" ca="1" si="972"/>
        <v>14.001.001.003</v>
      </c>
      <c r="F1376" s="230">
        <f ca="1">IF($B1376="UNIDADE CONSTRUTIVA",OFFSET(F1376,-1,0)+1,LARGE(F$10:F1375,1))</f>
        <v>2</v>
      </c>
      <c r="G1376" s="228" t="str">
        <f t="shared" ca="1" si="973"/>
        <v xml:space="preserve">   GERENCIAMENTO EXECUTIVO</v>
      </c>
      <c r="H1376" s="230">
        <f t="shared" ca="1" si="974"/>
        <v>14</v>
      </c>
      <c r="I1376" s="228" t="str">
        <f t="shared" ca="1" si="975"/>
        <v xml:space="preserve">   REVESTIMENTOS E ACABAMENTOS INTERNOS EM TETO</v>
      </c>
      <c r="J1376" s="230">
        <f t="shared" ca="1" si="976"/>
        <v>1</v>
      </c>
      <c r="K1376" s="228" t="str">
        <f t="shared" ca="1" si="977"/>
        <v xml:space="preserve">   REVESTIMENTOS E ACABAMENTOS INTERNOS EM TETO - 1º PAVIMENTO - SUBSOLO</v>
      </c>
      <c r="L1376" s="231">
        <f t="shared" ca="1" si="978"/>
        <v>1</v>
      </c>
      <c r="M1376" s="228" t="str">
        <f t="shared" ca="1" si="979"/>
        <v xml:space="preserve">   Revestimento Interno Argamassado em Teto</v>
      </c>
      <c r="N1376" s="231">
        <f t="shared" ca="1" si="980"/>
        <v>3</v>
      </c>
      <c r="O1376" s="228" t="str">
        <f t="shared" ca="1" si="981"/>
        <v>Estucamento de estrutura de concreto em teto</v>
      </c>
      <c r="P1376" s="232" t="str">
        <f>IF(S1376="","",IF(Orçamento!$B1376="INSUMO",S1376,""))</f>
        <v/>
      </c>
      <c r="Q1376" s="244" t="str">
        <f t="shared" si="970"/>
        <v>Estucamento de estrutura de concreto em teto</v>
      </c>
      <c r="R1376" s="234">
        <f t="shared" ca="1" si="971"/>
        <v>280.08</v>
      </c>
      <c r="S1376" s="233" t="s">
        <v>486</v>
      </c>
      <c r="T1376" s="242" t="s">
        <v>140</v>
      </c>
      <c r="U1376" s="235">
        <v>280.08</v>
      </c>
      <c r="V1376" s="320" t="s">
        <v>35</v>
      </c>
      <c r="W1376" s="236" t="str">
        <f>IFERROR(IF(B1376="INSUMO",_xlfn.XLOOKUP(S1376,Insumos!A:A,Insumos!C:C),""),"Inserir Preço")</f>
        <v/>
      </c>
      <c r="X1376" s="235">
        <f t="shared" ca="1" si="982"/>
        <v>280.08</v>
      </c>
      <c r="Y1376" s="236">
        <f t="shared" ca="1" si="937"/>
        <v>4.0495000000000001</v>
      </c>
      <c r="Z1376" s="237">
        <f t="shared" ca="1" si="967"/>
        <v>1134.1839600000001</v>
      </c>
      <c r="AA1376" s="238"/>
      <c r="AB1376" s="233" t="str">
        <f>IF(B1376="insumo",_xlfn.XLOOKUP(S1376,Insumos!A:A,Insumos!D:D),"")</f>
        <v/>
      </c>
      <c r="AC1376" s="239">
        <f t="shared" ca="1" si="968"/>
        <v>1.6270902964912913E-4</v>
      </c>
      <c r="AE1376" s="240">
        <f ca="1">IFERROR(IF(OR(Z1376="",Z1376=0),"",IF(AF1376="","",IF(AF1376="R$/mês",Z1376/OBRA!$D$12,IF(AF1376="R$/m²",Z1376/OBRA!$D$10,IF(AF1376="R$/apto",Orçamento!Z1376/OBRA!$D$11,""))))),"")</f>
        <v>0.58365914482588266</v>
      </c>
      <c r="AF1376" s="241" t="s">
        <v>154</v>
      </c>
    </row>
    <row r="1377" spans="1:32" s="10" customFormat="1" ht="13.15" hidden="1" customHeight="1" outlineLevel="4" x14ac:dyDescent="0.2">
      <c r="A1377" s="227"/>
      <c r="B1377" s="228" t="s">
        <v>19</v>
      </c>
      <c r="C1377" s="229">
        <f t="shared" si="966"/>
        <v>13</v>
      </c>
      <c r="D1377" s="227" t="str">
        <f t="shared" si="969"/>
        <v/>
      </c>
      <c r="E1377" s="228" t="str">
        <f t="shared" ca="1" si="972"/>
        <v>14.001.001.003</v>
      </c>
      <c r="F1377" s="230">
        <f ca="1">IF($B1377="UNIDADE CONSTRUTIVA",OFFSET(F1377,-1,0)+1,LARGE(F$10:F1376,1))</f>
        <v>2</v>
      </c>
      <c r="G1377" s="228" t="str">
        <f t="shared" ca="1" si="973"/>
        <v xml:space="preserve">   GERENCIAMENTO EXECUTIVO</v>
      </c>
      <c r="H1377" s="230">
        <f t="shared" ca="1" si="974"/>
        <v>14</v>
      </c>
      <c r="I1377" s="228" t="str">
        <f t="shared" ca="1" si="975"/>
        <v xml:space="preserve">   REVESTIMENTOS E ACABAMENTOS INTERNOS EM TETO</v>
      </c>
      <c r="J1377" s="230">
        <f t="shared" ca="1" si="976"/>
        <v>1</v>
      </c>
      <c r="K1377" s="228" t="str">
        <f t="shared" ca="1" si="977"/>
        <v xml:space="preserve">   REVESTIMENTOS E ACABAMENTOS INTERNOS EM TETO - 1º PAVIMENTO - SUBSOLO</v>
      </c>
      <c r="L1377" s="231">
        <f t="shared" ca="1" si="978"/>
        <v>1</v>
      </c>
      <c r="M1377" s="228" t="str">
        <f t="shared" ca="1" si="979"/>
        <v xml:space="preserve">   Revestimento Interno Argamassado em Teto</v>
      </c>
      <c r="N1377" s="231">
        <f t="shared" ca="1" si="980"/>
        <v>3</v>
      </c>
      <c r="O1377" s="228" t="str">
        <f t="shared" ca="1" si="981"/>
        <v>Estucamento de estrutura de concreto em teto</v>
      </c>
      <c r="P1377" s="232" t="str">
        <f>IF(S1377="","",IF(Orçamento!$B1377="INSUMO",S1377,""))</f>
        <v>CIMENTO PORTLAND CP II 32 - Z</v>
      </c>
      <c r="Q1377" s="244" t="str">
        <f t="shared" si="970"/>
        <v/>
      </c>
      <c r="R1377" s="234">
        <f t="shared" ca="1" si="971"/>
        <v>280.08</v>
      </c>
      <c r="S1377" s="233" t="s">
        <v>343</v>
      </c>
      <c r="T1377" s="242" t="str">
        <f>_xlfn.XLOOKUP(S1377,Insumos!$A$3:$A$371,Insumos!$B$3:$B$371)</f>
        <v>KG</v>
      </c>
      <c r="U1377" s="235">
        <f ca="1">IF($B1377="insumo",R1377,"")</f>
        <v>280.08</v>
      </c>
      <c r="V1377" s="320">
        <v>0.6</v>
      </c>
      <c r="W1377" s="236">
        <f>IFERROR(IF(B1377="INSUMO",_xlfn.XLOOKUP(S1377,Insumos!A:A,Insumos!C:C),""),"Inserir Preço")</f>
        <v>0.74</v>
      </c>
      <c r="X1377" s="235">
        <f t="shared" ca="1" si="982"/>
        <v>168.04799999999997</v>
      </c>
      <c r="Y1377" s="236">
        <f t="shared" si="937"/>
        <v>0.44400000000000001</v>
      </c>
      <c r="Z1377" s="237">
        <f t="shared" ca="1" si="967"/>
        <v>124.35551999999998</v>
      </c>
      <c r="AA1377" s="238"/>
      <c r="AB1377" s="233" t="str">
        <f>IF(B1377="insumo",_xlfn.XLOOKUP(S1377,Insumos!A:A,Insumos!D:D),"")</f>
        <v xml:space="preserve"> </v>
      </c>
      <c r="AC1377" s="239">
        <f t="shared" ca="1" si="968"/>
        <v>1.7839933118709305E-5</v>
      </c>
      <c r="AE1377" s="240">
        <f ca="1">IFERROR(IF(OR(Z1377="",Z1377=0),"",IF(AF1377="","",IF(AF1377="R$/mês",Z1377/OBRA!$D$12,IF(AF1377="R$/m²",Z1377/OBRA!$D$10,IF(AF1377="R$/apto",Orçamento!Z1377/OBRA!$D$11,""))))),"")</f>
        <v>6.3994236400220242E-2</v>
      </c>
      <c r="AF1377" s="241" t="s">
        <v>154</v>
      </c>
    </row>
    <row r="1378" spans="1:32" s="10" customFormat="1" ht="13.15" hidden="1" customHeight="1" outlineLevel="4" x14ac:dyDescent="0.2">
      <c r="A1378" s="227"/>
      <c r="B1378" s="228" t="s">
        <v>19</v>
      </c>
      <c r="C1378" s="229">
        <f t="shared" si="966"/>
        <v>7</v>
      </c>
      <c r="D1378" s="227" t="str">
        <f t="shared" si="969"/>
        <v/>
      </c>
      <c r="E1378" s="228" t="str">
        <f t="shared" ca="1" si="972"/>
        <v>14.001.001.003</v>
      </c>
      <c r="F1378" s="230">
        <f ca="1">IF($B1378="UNIDADE CONSTRUTIVA",OFFSET(F1378,-1,0)+1,LARGE(F$10:F1377,1))</f>
        <v>2</v>
      </c>
      <c r="G1378" s="228" t="str">
        <f t="shared" ca="1" si="973"/>
        <v xml:space="preserve">   GERENCIAMENTO EXECUTIVO</v>
      </c>
      <c r="H1378" s="230">
        <f t="shared" ca="1" si="974"/>
        <v>14</v>
      </c>
      <c r="I1378" s="228" t="str">
        <f t="shared" ca="1" si="975"/>
        <v xml:space="preserve">   REVESTIMENTOS E ACABAMENTOS INTERNOS EM TETO</v>
      </c>
      <c r="J1378" s="230">
        <f t="shared" ca="1" si="976"/>
        <v>1</v>
      </c>
      <c r="K1378" s="228" t="str">
        <f t="shared" ca="1" si="977"/>
        <v xml:space="preserve">   REVESTIMENTOS E ACABAMENTOS INTERNOS EM TETO - 1º PAVIMENTO - SUBSOLO</v>
      </c>
      <c r="L1378" s="231">
        <f t="shared" ca="1" si="978"/>
        <v>1</v>
      </c>
      <c r="M1378" s="228" t="str">
        <f t="shared" ca="1" si="979"/>
        <v xml:space="preserve">   Revestimento Interno Argamassado em Teto</v>
      </c>
      <c r="N1378" s="231">
        <f t="shared" ca="1" si="980"/>
        <v>3</v>
      </c>
      <c r="O1378" s="228" t="str">
        <f t="shared" ca="1" si="981"/>
        <v>Estucamento de estrutura de concreto em teto</v>
      </c>
      <c r="P1378" s="232" t="str">
        <f>IF(S1378="","",IF(Orçamento!$B1378="INSUMO",S1378,""))</f>
        <v>CIMENTO BRANCO</v>
      </c>
      <c r="Q1378" s="244" t="str">
        <f t="shared" si="970"/>
        <v/>
      </c>
      <c r="R1378" s="234">
        <f t="shared" ca="1" si="971"/>
        <v>280.08</v>
      </c>
      <c r="S1378" s="233" t="s">
        <v>379</v>
      </c>
      <c r="T1378" s="242" t="str">
        <f>_xlfn.XLOOKUP(S1378,Insumos!$A$3:$A$371,Insumos!$B$3:$B$371)</f>
        <v>KG</v>
      </c>
      <c r="U1378" s="235">
        <f ca="1">IF($B1378="insumo",R1378,"")</f>
        <v>280.08</v>
      </c>
      <c r="V1378" s="320">
        <v>0.3</v>
      </c>
      <c r="W1378" s="236">
        <f>IFERROR(IF(B1378="INSUMO",_xlfn.XLOOKUP(S1378,Insumos!A:A,Insumos!C:C),""),"Inserir Preço")</f>
        <v>2.64</v>
      </c>
      <c r="X1378" s="235">
        <f t="shared" ca="1" si="982"/>
        <v>84.023999999999987</v>
      </c>
      <c r="Y1378" s="236">
        <f t="shared" si="937"/>
        <v>0.79200000000000004</v>
      </c>
      <c r="Z1378" s="237">
        <f t="shared" ca="1" si="967"/>
        <v>221.82335999999998</v>
      </c>
      <c r="AA1378" s="238"/>
      <c r="AB1378" s="233" t="str">
        <f>IF(B1378="insumo",_xlfn.XLOOKUP(S1378,Insumos!A:A,Insumos!D:D),"")</f>
        <v xml:space="preserve"> </v>
      </c>
      <c r="AC1378" s="239">
        <f t="shared" ca="1" si="968"/>
        <v>3.1822583400940921E-5</v>
      </c>
      <c r="AE1378" s="240">
        <f ca="1">IFERROR(IF(OR(Z1378="",Z1378=0),"",IF(AF1378="","",IF(AF1378="R$/mês",Z1378/OBRA!$D$12,IF(AF1378="R$/m²",Z1378/OBRA!$D$10,IF(AF1378="R$/apto",Orçamento!Z1378/OBRA!$D$11,""))))),"")</f>
        <v>0.11415188114633881</v>
      </c>
      <c r="AF1378" s="241" t="s">
        <v>154</v>
      </c>
    </row>
    <row r="1379" spans="1:32" s="10" customFormat="1" ht="13.15" hidden="1" customHeight="1" outlineLevel="4" x14ac:dyDescent="0.2">
      <c r="A1379" s="227"/>
      <c r="B1379" s="228" t="s">
        <v>19</v>
      </c>
      <c r="C1379" s="229">
        <f t="shared" si="966"/>
        <v>19</v>
      </c>
      <c r="D1379" s="227" t="str">
        <f t="shared" si="969"/>
        <v/>
      </c>
      <c r="E1379" s="228" t="str">
        <f t="shared" ca="1" si="972"/>
        <v>14.001.001.003</v>
      </c>
      <c r="F1379" s="230">
        <f ca="1">IF($B1379="UNIDADE CONSTRUTIVA",OFFSET(F1379,-1,0)+1,LARGE(F$10:F1378,1))</f>
        <v>2</v>
      </c>
      <c r="G1379" s="228" t="str">
        <f t="shared" ca="1" si="973"/>
        <v xml:space="preserve">   GERENCIAMENTO EXECUTIVO</v>
      </c>
      <c r="H1379" s="230">
        <f t="shared" ca="1" si="974"/>
        <v>14</v>
      </c>
      <c r="I1379" s="228" t="str">
        <f t="shared" ca="1" si="975"/>
        <v xml:space="preserve">   REVESTIMENTOS E ACABAMENTOS INTERNOS EM TETO</v>
      </c>
      <c r="J1379" s="230">
        <f t="shared" ca="1" si="976"/>
        <v>1</v>
      </c>
      <c r="K1379" s="228" t="str">
        <f t="shared" ca="1" si="977"/>
        <v xml:space="preserve">   REVESTIMENTOS E ACABAMENTOS INTERNOS EM TETO - 1º PAVIMENTO - SUBSOLO</v>
      </c>
      <c r="L1379" s="231">
        <f t="shared" ca="1" si="978"/>
        <v>1</v>
      </c>
      <c r="M1379" s="228" t="str">
        <f t="shared" ca="1" si="979"/>
        <v xml:space="preserve">   Revestimento Interno Argamassado em Teto</v>
      </c>
      <c r="N1379" s="231">
        <f t="shared" ca="1" si="980"/>
        <v>3</v>
      </c>
      <c r="O1379" s="228" t="str">
        <f t="shared" ca="1" si="981"/>
        <v>Estucamento de estrutura de concreto em teto</v>
      </c>
      <c r="P1379" s="232" t="str">
        <f>IF(S1379="","",IF(Orçamento!$B1379="INSUMO",S1379,""))</f>
        <v>LIXA EM FOLHA PARA PAREDE OU MADEIRA N° 120</v>
      </c>
      <c r="Q1379" s="244" t="str">
        <f t="shared" si="970"/>
        <v/>
      </c>
      <c r="R1379" s="234">
        <f t="shared" ca="1" si="971"/>
        <v>280.08</v>
      </c>
      <c r="S1379" s="233" t="s">
        <v>922</v>
      </c>
      <c r="T1379" s="242" t="str">
        <f>_xlfn.XLOOKUP(S1379,Insumos!$A$3:$A$371,Insumos!$B$3:$B$371)</f>
        <v>UN</v>
      </c>
      <c r="U1379" s="235">
        <f ca="1">IF($B1379="insumo",R1379,"")</f>
        <v>280.08</v>
      </c>
      <c r="V1379" s="320">
        <v>0.05</v>
      </c>
      <c r="W1379" s="236">
        <f>IFERROR(IF(B1379="INSUMO",_xlfn.XLOOKUP(S1379,Insumos!A:A,Insumos!C:C),""),"Inserir Preço")</f>
        <v>2.2999999999999998</v>
      </c>
      <c r="X1379" s="235">
        <f t="shared" ca="1" si="982"/>
        <v>14.004</v>
      </c>
      <c r="Y1379" s="236">
        <f t="shared" si="937"/>
        <v>0.11499999999999999</v>
      </c>
      <c r="Z1379" s="237">
        <f t="shared" ca="1" si="967"/>
        <v>32.209199999999996</v>
      </c>
      <c r="AA1379" s="238"/>
      <c r="AB1379" s="233" t="str">
        <f>IF(B1379="insumo",_xlfn.XLOOKUP(S1379,Insumos!A:A,Insumos!D:D),"")</f>
        <v xml:space="preserve"> </v>
      </c>
      <c r="AC1379" s="239">
        <f t="shared" ca="1" si="968"/>
        <v>4.6207033978638957E-6</v>
      </c>
      <c r="AE1379" s="240">
        <f ca="1">IFERROR(IF(OR(Z1379="",Z1379=0),"",IF(AF1379="","",IF(AF1379="R$/mês",Z1379/OBRA!$D$12,IF(AF1379="R$/m²",Z1379/OBRA!$D$10,IF(AF1379="R$/apto",Orçamento!Z1379/OBRA!$D$11,""))))),"")</f>
        <v>1.6575083752309296E-2</v>
      </c>
      <c r="AF1379" s="241" t="s">
        <v>154</v>
      </c>
    </row>
    <row r="1380" spans="1:32" s="10" customFormat="1" ht="13.15" hidden="1" customHeight="1" outlineLevel="4" x14ac:dyDescent="0.2">
      <c r="A1380" s="227"/>
      <c r="B1380" s="228" t="s">
        <v>19</v>
      </c>
      <c r="C1380" s="229">
        <f t="shared" si="966"/>
        <v>7</v>
      </c>
      <c r="D1380" s="227" t="str">
        <f t="shared" si="969"/>
        <v/>
      </c>
      <c r="E1380" s="228" t="str">
        <f t="shared" ca="1" si="972"/>
        <v>14.001.001.003</v>
      </c>
      <c r="F1380" s="230">
        <f ca="1">IF($B1380="UNIDADE CONSTRUTIVA",OFFSET(F1380,-1,0)+1,LARGE(F$10:F1379,1))</f>
        <v>2</v>
      </c>
      <c r="G1380" s="228" t="str">
        <f t="shared" ca="1" si="973"/>
        <v xml:space="preserve">   GERENCIAMENTO EXECUTIVO</v>
      </c>
      <c r="H1380" s="230">
        <f t="shared" ca="1" si="974"/>
        <v>14</v>
      </c>
      <c r="I1380" s="228" t="str">
        <f t="shared" ca="1" si="975"/>
        <v xml:space="preserve">   REVESTIMENTOS E ACABAMENTOS INTERNOS EM TETO</v>
      </c>
      <c r="J1380" s="230">
        <f t="shared" ca="1" si="976"/>
        <v>1</v>
      </c>
      <c r="K1380" s="228" t="str">
        <f t="shared" ca="1" si="977"/>
        <v xml:space="preserve">   REVESTIMENTOS E ACABAMENTOS INTERNOS EM TETO - 1º PAVIMENTO - SUBSOLO</v>
      </c>
      <c r="L1380" s="231">
        <f t="shared" ca="1" si="978"/>
        <v>1</v>
      </c>
      <c r="M1380" s="228" t="str">
        <f t="shared" ca="1" si="979"/>
        <v xml:space="preserve">   Revestimento Interno Argamassado em Teto</v>
      </c>
      <c r="N1380" s="231">
        <f t="shared" ca="1" si="980"/>
        <v>3</v>
      </c>
      <c r="O1380" s="228" t="str">
        <f t="shared" ca="1" si="981"/>
        <v>Estucamento de estrutura de concreto em teto</v>
      </c>
      <c r="P1380" s="232" t="str">
        <f>IF(S1380="","",IF(Orçamento!$B1380="INSUMO",S1380,""))</f>
        <v>ADESIVO DE BASE ACRILICA COMPATIVEL COM CIMENTO</v>
      </c>
      <c r="Q1380" s="244" t="str">
        <f t="shared" si="970"/>
        <v/>
      </c>
      <c r="R1380" s="234">
        <f t="shared" ca="1" si="971"/>
        <v>280.08</v>
      </c>
      <c r="S1380" s="233" t="s">
        <v>355</v>
      </c>
      <c r="T1380" s="242" t="str">
        <f>_xlfn.XLOOKUP(S1380,Insumos!$A$3:$A$371,Insumos!$B$3:$B$371)</f>
        <v>KG</v>
      </c>
      <c r="U1380" s="235">
        <f ca="1">IF($B1380="insumo",R1380,"")</f>
        <v>280.08</v>
      </c>
      <c r="V1380" s="320">
        <v>0.15</v>
      </c>
      <c r="W1380" s="236">
        <f>IFERROR(IF(B1380="INSUMO",_xlfn.XLOOKUP(S1380,Insumos!A:A,Insumos!C:C),""),"Inserir Preço")</f>
        <v>17.990000000000002</v>
      </c>
      <c r="X1380" s="235">
        <f t="shared" ca="1" si="982"/>
        <v>42.011999999999993</v>
      </c>
      <c r="Y1380" s="236">
        <f t="shared" si="937"/>
        <v>2.6985000000000001</v>
      </c>
      <c r="Z1380" s="237">
        <f t="shared" ca="1" si="967"/>
        <v>755.79588000000001</v>
      </c>
      <c r="AA1380" s="238"/>
      <c r="AB1380" s="233" t="str">
        <f>IF(B1380="insumo",_xlfn.XLOOKUP(S1380,Insumos!A:A,Insumos!D:D),"")</f>
        <v xml:space="preserve"> </v>
      </c>
      <c r="AC1380" s="239">
        <f t="shared" ca="1" si="968"/>
        <v>1.08425809731615E-4</v>
      </c>
      <c r="AE1380" s="240">
        <f ca="1">IFERROR(IF(OR(Z1380="",Z1380=0),"",IF(AF1380="","",IF(AF1380="R$/mês",Z1380/OBRA!$D$12,IF(AF1380="R$/m²",Z1380/OBRA!$D$10,IF(AF1380="R$/apto",Orçamento!Z1380/OBRA!$D$11,""))))),"")</f>
        <v>0.38893794352701433</v>
      </c>
      <c r="AF1380" s="241" t="s">
        <v>154</v>
      </c>
    </row>
    <row r="1381" spans="1:32" s="10" customFormat="1" ht="13.15" hidden="1" customHeight="1" outlineLevel="3" collapsed="1" x14ac:dyDescent="0.2">
      <c r="A1381" s="227"/>
      <c r="B1381" s="228" t="s">
        <v>3</v>
      </c>
      <c r="C1381" s="229" t="str">
        <f t="shared" si="966"/>
        <v/>
      </c>
      <c r="D1381" s="227" t="str">
        <f t="shared" ca="1" si="969"/>
        <v>14.001.002</v>
      </c>
      <c r="E1381" s="228" t="str">
        <f t="shared" ca="1" si="972"/>
        <v>14.001.001.003</v>
      </c>
      <c r="F1381" s="230">
        <f ca="1">IF($B1381="UNIDADE CONSTRUTIVA",OFFSET(F1381,-1,0)+1,LARGE(F$10:F1380,1))</f>
        <v>2</v>
      </c>
      <c r="G1381" s="228" t="str">
        <f t="shared" ca="1" si="973"/>
        <v xml:space="preserve">   GERENCIAMENTO EXECUTIVO</v>
      </c>
      <c r="H1381" s="230">
        <f t="shared" ca="1" si="974"/>
        <v>14</v>
      </c>
      <c r="I1381" s="228" t="str">
        <f t="shared" ca="1" si="975"/>
        <v xml:space="preserve">   REVESTIMENTOS E ACABAMENTOS INTERNOS EM TETO</v>
      </c>
      <c r="J1381" s="230">
        <f t="shared" ca="1" si="976"/>
        <v>1</v>
      </c>
      <c r="K1381" s="228" t="str">
        <f t="shared" ca="1" si="977"/>
        <v xml:space="preserve">   REVESTIMENTOS E ACABAMENTOS INTERNOS EM TETO - 1º PAVIMENTO - SUBSOLO</v>
      </c>
      <c r="L1381" s="231">
        <f t="shared" ca="1" si="978"/>
        <v>2</v>
      </c>
      <c r="M1381" s="228" t="str">
        <f t="shared" ca="1" si="979"/>
        <v xml:space="preserve">   Mão de Obra</v>
      </c>
      <c r="N1381" s="231">
        <f t="shared" ca="1" si="980"/>
        <v>0</v>
      </c>
      <c r="O1381" s="228" t="str">
        <f t="shared" ca="1" si="981"/>
        <v>Estucamento de estrutura de concreto em teto</v>
      </c>
      <c r="P1381" s="232" t="str">
        <f>IF(S1381="","",IF(Orçamento!$B1381="INSUMO",S1381,""))</f>
        <v/>
      </c>
      <c r="Q1381" s="244" t="str">
        <f t="shared" si="970"/>
        <v/>
      </c>
      <c r="R1381" s="234">
        <f t="shared" ca="1" si="971"/>
        <v>280.08</v>
      </c>
      <c r="S1381" s="233" t="s">
        <v>438</v>
      </c>
      <c r="T1381" s="242" t="s">
        <v>35</v>
      </c>
      <c r="U1381" s="235" t="str">
        <f>IF($B1381="insumo",R1381,"")</f>
        <v/>
      </c>
      <c r="V1381" s="320" t="s">
        <v>35</v>
      </c>
      <c r="W1381" s="236" t="str">
        <f>IFERROR(IF(B1381="INSUMO",_xlfn.XLOOKUP(S1381,Insumos!A:A,Insumos!C:C),""),"Inserir Preço")</f>
        <v/>
      </c>
      <c r="X1381" s="235" t="str">
        <f t="shared" ref="X1381:X1389" ca="1" si="983">IF(B1381="Complemento do insumo",V1381,IF(R1381="","",IF(B1381="serviço",R1381,IF(OR(B1381="insumo"),V1381*R1381,""))))</f>
        <v/>
      </c>
      <c r="Y1381" s="236" t="str">
        <f t="shared" si="937"/>
        <v/>
      </c>
      <c r="Z1381" s="237">
        <f t="shared" ca="1" si="967"/>
        <v>16657.889479942351</v>
      </c>
      <c r="AA1381" s="238"/>
      <c r="AB1381" s="233" t="str">
        <f>IF(B1381="insumo",_xlfn.XLOOKUP(S1381,Insumos!A:A,Insumos!D:D),"")</f>
        <v/>
      </c>
      <c r="AC1381" s="239">
        <f t="shared" ca="1" si="968"/>
        <v>2.389726119283027E-3</v>
      </c>
      <c r="AE1381" s="240">
        <f ca="1">IFERROR(IF(OR(Z1381="",Z1381=0),"",IF(AF1381="","",IF(AF1381="R$/mês",Z1381/OBRA!$D$12,IF(AF1381="R$/m²",Z1381/OBRA!$D$10,IF(AF1381="R$/apto",Orçamento!Z1381/OBRA!$D$11,""))))),"")</f>
        <v>8.5722685837200689</v>
      </c>
      <c r="AF1381" s="241" t="s">
        <v>154</v>
      </c>
    </row>
    <row r="1382" spans="1:32" s="10" customFormat="1" ht="13.15" hidden="1" customHeight="1" outlineLevel="4" x14ac:dyDescent="0.2">
      <c r="A1382" s="227"/>
      <c r="B1382" s="228" t="s">
        <v>4</v>
      </c>
      <c r="C1382" s="229">
        <f t="shared" si="966"/>
        <v>5</v>
      </c>
      <c r="D1382" s="227" t="str">
        <f t="shared" ca="1" si="969"/>
        <v>14.001.002.001</v>
      </c>
      <c r="E1382" s="228" t="str">
        <f t="shared" ca="1" si="972"/>
        <v>14.001.002.001</v>
      </c>
      <c r="F1382" s="230">
        <f ca="1">IF($B1382="UNIDADE CONSTRUTIVA",OFFSET(F1382,-1,0)+1,LARGE(F$10:F1381,1))</f>
        <v>2</v>
      </c>
      <c r="G1382" s="228" t="str">
        <f t="shared" ca="1" si="973"/>
        <v xml:space="preserve">   GERENCIAMENTO EXECUTIVO</v>
      </c>
      <c r="H1382" s="230">
        <f t="shared" ca="1" si="974"/>
        <v>14</v>
      </c>
      <c r="I1382" s="228" t="str">
        <f t="shared" ca="1" si="975"/>
        <v xml:space="preserve">   REVESTIMENTOS E ACABAMENTOS INTERNOS EM TETO</v>
      </c>
      <c r="J1382" s="230">
        <f t="shared" ca="1" si="976"/>
        <v>1</v>
      </c>
      <c r="K1382" s="228" t="str">
        <f t="shared" ca="1" si="977"/>
        <v xml:space="preserve">   REVESTIMENTOS E ACABAMENTOS INTERNOS EM TETO - 1º PAVIMENTO - SUBSOLO</v>
      </c>
      <c r="L1382" s="231">
        <f t="shared" ca="1" si="978"/>
        <v>2</v>
      </c>
      <c r="M1382" s="228" t="str">
        <f t="shared" ca="1" si="979"/>
        <v xml:space="preserve">   Mão de Obra</v>
      </c>
      <c r="N1382" s="231">
        <f t="shared" ca="1" si="980"/>
        <v>1</v>
      </c>
      <c r="O1382" s="228" t="str">
        <f t="shared" ca="1" si="981"/>
        <v>Mao De Obra Acabamento Em Massa Teto</v>
      </c>
      <c r="P1382" s="232" t="str">
        <f>IF(S1382="","",IF(Orçamento!$B1382="INSUMO",S1382,""))</f>
        <v/>
      </c>
      <c r="Q1382" s="244" t="str">
        <f t="shared" si="970"/>
        <v>Mao De Obra Acabamento Em Massa Teto</v>
      </c>
      <c r="R1382" s="234">
        <f t="shared" ca="1" si="971"/>
        <v>14.53</v>
      </c>
      <c r="S1382" s="233" t="s">
        <v>1044</v>
      </c>
      <c r="T1382" s="242" t="s">
        <v>140</v>
      </c>
      <c r="U1382" s="235">
        <f>U1374</f>
        <v>14.53</v>
      </c>
      <c r="V1382" s="320" t="s">
        <v>35</v>
      </c>
      <c r="W1382" s="236" t="str">
        <f>IFERROR(IF(B1382="INSUMO",_xlfn.XLOOKUP(S1382,Insumos!A:A,Insumos!C:C),""),"Inserir Preço")</f>
        <v/>
      </c>
      <c r="X1382" s="235">
        <f t="shared" ca="1" si="983"/>
        <v>14.53</v>
      </c>
      <c r="Y1382" s="236">
        <f t="shared" ca="1" si="937"/>
        <v>170.47233219777189</v>
      </c>
      <c r="Z1382" s="237">
        <f t="shared" ca="1" si="967"/>
        <v>2476.9629868336256</v>
      </c>
      <c r="AA1382" s="238"/>
      <c r="AB1382" s="233" t="str">
        <f>IF(B1382="insumo",_xlfn.XLOOKUP(S1382,Insumos!A:A,Insumos!D:D),"")</f>
        <v/>
      </c>
      <c r="AC1382" s="239">
        <f t="shared" ca="1" si="968"/>
        <v>3.5534292343942847E-4</v>
      </c>
      <c r="AE1382" s="240">
        <f ca="1">IFERROR(IF(OR(Z1382="",Z1382=0),"",IF(AF1382="","",IF(AF1382="R$/mês",Z1382/OBRA!$D$12,IF(AF1382="R$/m²",Z1382/OBRA!$D$10,IF(AF1382="R$/apto",Orçamento!Z1382/OBRA!$D$11,""))))),"")</f>
        <v>1.2746627969070186</v>
      </c>
      <c r="AF1382" s="241" t="s">
        <v>154</v>
      </c>
    </row>
    <row r="1383" spans="1:32" s="10" customFormat="1" ht="13.15" hidden="1" customHeight="1" outlineLevel="4" x14ac:dyDescent="0.2">
      <c r="A1383" s="227"/>
      <c r="B1383" s="228" t="s">
        <v>19</v>
      </c>
      <c r="C1383" s="229">
        <f t="shared" si="966"/>
        <v>5</v>
      </c>
      <c r="D1383" s="227" t="str">
        <f t="shared" si="969"/>
        <v/>
      </c>
      <c r="E1383" s="228" t="str">
        <f t="shared" ca="1" si="972"/>
        <v>14.001.002.001</v>
      </c>
      <c r="F1383" s="230">
        <f ca="1">IF($B1383="UNIDADE CONSTRUTIVA",OFFSET(F1383,-1,0)+1,LARGE(F$10:F1382,1))</f>
        <v>2</v>
      </c>
      <c r="G1383" s="228" t="str">
        <f t="shared" ca="1" si="973"/>
        <v xml:space="preserve">   GERENCIAMENTO EXECUTIVO</v>
      </c>
      <c r="H1383" s="230">
        <f t="shared" ca="1" si="974"/>
        <v>14</v>
      </c>
      <c r="I1383" s="228" t="str">
        <f t="shared" ca="1" si="975"/>
        <v xml:space="preserve">   REVESTIMENTOS E ACABAMENTOS INTERNOS EM TETO</v>
      </c>
      <c r="J1383" s="230">
        <f t="shared" ca="1" si="976"/>
        <v>1</v>
      </c>
      <c r="K1383" s="228" t="str">
        <f t="shared" ca="1" si="977"/>
        <v xml:space="preserve">   REVESTIMENTOS E ACABAMENTOS INTERNOS EM TETO - 1º PAVIMENTO - SUBSOLO</v>
      </c>
      <c r="L1383" s="231">
        <f t="shared" ca="1" si="978"/>
        <v>2</v>
      </c>
      <c r="M1383" s="228" t="str">
        <f t="shared" ca="1" si="979"/>
        <v xml:space="preserve">   Mão de Obra</v>
      </c>
      <c r="N1383" s="231">
        <f t="shared" ca="1" si="980"/>
        <v>1</v>
      </c>
      <c r="O1383" s="228" t="str">
        <f t="shared" ca="1" si="981"/>
        <v>Mao De Obra Acabamento Em Massa Teto</v>
      </c>
      <c r="P1383" s="232" t="str">
        <f>IF(S1383="","",IF(Orçamento!$B1383="INSUMO",S1383,""))</f>
        <v>MAO DE OBRA PARA EMASSAMENTO EM TETO</v>
      </c>
      <c r="Q1383" s="244" t="str">
        <f t="shared" si="970"/>
        <v/>
      </c>
      <c r="R1383" s="234">
        <f t="shared" ca="1" si="971"/>
        <v>14.53</v>
      </c>
      <c r="S1383" s="233" t="s">
        <v>874</v>
      </c>
      <c r="T1383" s="242" t="str">
        <f>_xlfn.XLOOKUP(S1383,Insumos!$A$3:$A$371,Insumos!$B$3:$B$371)</f>
        <v>M2</v>
      </c>
      <c r="U1383" s="235">
        <f ca="1">IF($B1383="insumo",R1383,"")</f>
        <v>14.53</v>
      </c>
      <c r="V1383" s="320">
        <v>1</v>
      </c>
      <c r="W1383" s="236">
        <f>IFERROR(IF(B1383="INSUMO",_xlfn.XLOOKUP(S1383,Insumos!A:A,Insumos!C:C),""),"Inserir Preço")</f>
        <v>170.47233219777189</v>
      </c>
      <c r="X1383" s="235">
        <f t="shared" ca="1" si="983"/>
        <v>14.53</v>
      </c>
      <c r="Y1383" s="236">
        <f t="shared" si="937"/>
        <v>170.47233219777189</v>
      </c>
      <c r="Z1383" s="237">
        <f t="shared" ca="1" si="967"/>
        <v>2476.9629868336256</v>
      </c>
      <c r="AA1383" s="238"/>
      <c r="AB1383" s="233" t="str">
        <f>IF(B1383="insumo",_xlfn.XLOOKUP(S1383,Insumos!A:A,Insumos!D:D),"")</f>
        <v>Aba Custo Serviços</v>
      </c>
      <c r="AC1383" s="239">
        <f t="shared" ca="1" si="968"/>
        <v>3.5534292343942847E-4</v>
      </c>
      <c r="AE1383" s="240">
        <f ca="1">IFERROR(IF(OR(Z1383="",Z1383=0),"",IF(AF1383="","",IF(AF1383="R$/mês",Z1383/OBRA!$D$12,IF(AF1383="R$/m²",Z1383/OBRA!$D$10,IF(AF1383="R$/apto",Orçamento!Z1383/OBRA!$D$11,""))))),"")</f>
        <v>1.2746627969070186</v>
      </c>
      <c r="AF1383" s="241" t="s">
        <v>154</v>
      </c>
    </row>
    <row r="1384" spans="1:32" s="10" customFormat="1" ht="13.15" hidden="1" customHeight="1" outlineLevel="4" x14ac:dyDescent="0.2">
      <c r="A1384" s="227"/>
      <c r="B1384" s="228" t="s">
        <v>4</v>
      </c>
      <c r="C1384" s="229">
        <f t="shared" si="966"/>
        <v>2</v>
      </c>
      <c r="D1384" s="227" t="str">
        <f ca="1">IF(B1384="Unidade Construtiva",TEXT(F1384,"00"),IF(B1384="Célula Construtiva",TEXT(H1384,"00"),IF(B1384="Etapa",CONCATENATE(TEXT(H1384,"00"),".",TEXT(J1384,"000")),IF(B1384="Subetapa",CONCATENATE(TEXT(H1384,"00"),".",TEXT(J1384,"000"),".",TEXT(L1384,"000")),IF(B1384="Serviço",CONCATENATE(TEXT(H1384,"00"),".",TEXT(J1384,"000"),".",TEXT(L1384,"000"),".",TEXT(N1384,"000")),"")))))</f>
        <v>14.001.002.002</v>
      </c>
      <c r="E1384" s="228" t="str">
        <f ca="1">IF(B1384="*","",IFERROR(IF(B1384="SERVIÇO",D1384,OFFSET(E1384,-1,0)),""))</f>
        <v>14.001.002.002</v>
      </c>
      <c r="F1384" s="230">
        <f ca="1">IF($B1384="UNIDADE CONSTRUTIVA",OFFSET(F1384,-1,0)+1,LARGE(F$10:F1383,1))</f>
        <v>2</v>
      </c>
      <c r="G1384" s="228" t="str">
        <f ca="1">IF(B1384="*","",IF(B1384="UNIDADE CONSTRUTIVA",S1384,OFFSET(G1384,-1,0)))</f>
        <v xml:space="preserve">   GERENCIAMENTO EXECUTIVO</v>
      </c>
      <c r="H1384" s="230">
        <f ca="1">IF(B1384="UNIDADE CONSTRUTIVA",0,IF(B1384="CÉLULA CONSTRUTIVA",OFFSET(H1384,-1,0)+1,OFFSET(H1384,-1,0)))</f>
        <v>14</v>
      </c>
      <c r="I1384" s="228" t="str">
        <f ca="1">IF(B1384="*","",IF(B1384="CÉLULA CONSTRUTIVA",S1384,OFFSET(I1384,-1,0)))</f>
        <v xml:space="preserve">   REVESTIMENTOS E ACABAMENTOS INTERNOS EM TETO</v>
      </c>
      <c r="J1384" s="230">
        <f ca="1">IF(B1384="CÉLULA CONSTRUTIVA",0,IF(B1384="ETAPA",OFFSET(J1384,-1,0)+1,OFFSET(J1384,-1,0)))</f>
        <v>1</v>
      </c>
      <c r="K1384" s="228" t="str">
        <f ca="1">IF(B1384="*","",IF(B1384="ETAPA",S1384,OFFSET(K1384,-1,0)))</f>
        <v xml:space="preserve">   REVESTIMENTOS E ACABAMENTOS INTERNOS EM TETO - 1º PAVIMENTO - SUBSOLO</v>
      </c>
      <c r="L1384" s="231">
        <f ca="1">IF(B1384="ETAPA",0,IF(B1384="SUBETAPA",OFFSET(L1384,-1,0)+1,OFFSET(L1384,-1,0)))</f>
        <v>2</v>
      </c>
      <c r="M1384" s="228" t="str">
        <f ca="1">IF(B1384="*","",IF(B1384="SUBETAPA",S1384,OFFSET(M1384,-1,0)))</f>
        <v xml:space="preserve">   Mão de Obra</v>
      </c>
      <c r="N1384" s="231">
        <f ca="1">IF(B1384="Subetapa",0,IF(B1384="serviço",OFFSET(N1384,-1,0)+1,OFFSET(N1384,-1,0)))</f>
        <v>2</v>
      </c>
      <c r="O1384" s="228" t="str">
        <f ca="1">IF(B1384="*","",IF(B1384="SERVIÇO",S1384,OFFSET(O1384,-1,0)))</f>
        <v>Mao De Obra Estucamento Em Massa Teto</v>
      </c>
      <c r="P1384" s="232" t="str">
        <f>IF(S1384="","",IF(Orçamento!$B1384="INSUMO",S1384,""))</f>
        <v/>
      </c>
      <c r="Q1384" s="244" t="str">
        <f>IF(B1384="","",IF(B1384="Serviço",S1384,""))</f>
        <v>Mao De Obra Estucamento Em Massa Teto</v>
      </c>
      <c r="R1384" s="234">
        <f ca="1">IF(B1384="serviço",U1384,OFFSET(R1384,-1,0))</f>
        <v>280.08</v>
      </c>
      <c r="S1384" s="233" t="s">
        <v>1045</v>
      </c>
      <c r="T1384" s="242" t="s">
        <v>140</v>
      </c>
      <c r="U1384" s="235">
        <f>U1376</f>
        <v>280.08</v>
      </c>
      <c r="V1384" s="320" t="s">
        <v>35</v>
      </c>
      <c r="W1384" s="236" t="str">
        <f>IFERROR(IF(B1384="INSUMO",_xlfn.XLOOKUP(S1384,Insumos!A:A,Insumos!C:C),""),"Inserir Preço")</f>
        <v/>
      </c>
      <c r="X1384" s="235">
        <f ca="1">IF(B1384="Complemento do insumo",V1384,IF(R1384="","",IF(B1384="serviço",R1384,IF(OR(B1384="insumo"),V1384*R1384,""))))</f>
        <v>280.08</v>
      </c>
      <c r="Y1384" s="236">
        <f t="shared" ref="Y1384:Y1447" ca="1" si="984">IF(B1384="insumo",W1384*V1384,IF(B1384="serviço",SUMIFS(Y:Y,B:B,"insumo",E:E,E1384,I:I,I1384),""))</f>
        <v>50.631699846860634</v>
      </c>
      <c r="Z1384" s="237">
        <f t="shared" ca="1" si="967"/>
        <v>14180.926493108725</v>
      </c>
      <c r="AA1384" s="238"/>
      <c r="AB1384" s="233" t="str">
        <f>IF(B1384="insumo",_xlfn.XLOOKUP(S1384,Insumos!A:A,Insumos!D:D),"")</f>
        <v/>
      </c>
      <c r="AC1384" s="239">
        <f t="shared" ca="1" si="968"/>
        <v>2.0343831958435986E-3</v>
      </c>
      <c r="AE1384" s="240">
        <f ca="1">IFERROR(IF(OR(Z1384="",Z1384=0),"",IF(AF1384="","",IF(AF1384="R$/mês",Z1384/OBRA!$D$12,IF(AF1384="R$/m²",Z1384/OBRA!$D$10,IF(AF1384="R$/apto",Orçamento!Z1384/OBRA!$D$11,""))))),"")</f>
        <v>7.2976057868130511</v>
      </c>
      <c r="AF1384" s="241" t="s">
        <v>154</v>
      </c>
    </row>
    <row r="1385" spans="1:32" s="10" customFormat="1" ht="13.15" hidden="1" customHeight="1" outlineLevel="4" x14ac:dyDescent="0.2">
      <c r="A1385" s="227"/>
      <c r="B1385" s="228" t="s">
        <v>19</v>
      </c>
      <c r="C1385" s="229">
        <f t="shared" si="966"/>
        <v>2</v>
      </c>
      <c r="D1385" s="227" t="str">
        <f>IF(B1385="Unidade Construtiva",TEXT(F1385,"00"),IF(B1385="Célula Construtiva",TEXT(H1385,"00"),IF(B1385="Etapa",CONCATENATE(TEXT(H1385,"00"),".",TEXT(J1385,"000")),IF(B1385="Subetapa",CONCATENATE(TEXT(H1385,"00"),".",TEXT(J1385,"000"),".",TEXT(L1385,"000")),IF(B1385="Serviço",CONCATENATE(TEXT(H1385,"00"),".",TEXT(J1385,"000"),".",TEXT(L1385,"000"),".",TEXT(N1385,"000")),"")))))</f>
        <v/>
      </c>
      <c r="E1385" s="228" t="str">
        <f ca="1">IF(B1385="*","",IFERROR(IF(B1385="SERVIÇO",D1385,OFFSET(E1385,-1,0)),""))</f>
        <v>14.001.002.002</v>
      </c>
      <c r="F1385" s="230">
        <f ca="1">IF($B1385="UNIDADE CONSTRUTIVA",OFFSET(F1385,-1,0)+1,LARGE(F$10:F1384,1))</f>
        <v>2</v>
      </c>
      <c r="G1385" s="228" t="str">
        <f ca="1">IF(B1385="*","",IF(B1385="UNIDADE CONSTRUTIVA",S1385,OFFSET(G1385,-1,0)))</f>
        <v xml:space="preserve">   GERENCIAMENTO EXECUTIVO</v>
      </c>
      <c r="H1385" s="230">
        <f ca="1">IF(B1385="UNIDADE CONSTRUTIVA",0,IF(B1385="CÉLULA CONSTRUTIVA",OFFSET(H1385,-1,0)+1,OFFSET(H1385,-1,0)))</f>
        <v>14</v>
      </c>
      <c r="I1385" s="228" t="str">
        <f ca="1">IF(B1385="*","",IF(B1385="CÉLULA CONSTRUTIVA",S1385,OFFSET(I1385,-1,0)))</f>
        <v xml:space="preserve">   REVESTIMENTOS E ACABAMENTOS INTERNOS EM TETO</v>
      </c>
      <c r="J1385" s="230">
        <f ca="1">IF(B1385="CÉLULA CONSTRUTIVA",0,IF(B1385="ETAPA",OFFSET(J1385,-1,0)+1,OFFSET(J1385,-1,0)))</f>
        <v>1</v>
      </c>
      <c r="K1385" s="228" t="str">
        <f ca="1">IF(B1385="*","",IF(B1385="ETAPA",S1385,OFFSET(K1385,-1,0)))</f>
        <v xml:space="preserve">   REVESTIMENTOS E ACABAMENTOS INTERNOS EM TETO - 1º PAVIMENTO - SUBSOLO</v>
      </c>
      <c r="L1385" s="231">
        <f ca="1">IF(B1385="ETAPA",0,IF(B1385="SUBETAPA",OFFSET(L1385,-1,0)+1,OFFSET(L1385,-1,0)))</f>
        <v>2</v>
      </c>
      <c r="M1385" s="228" t="str">
        <f ca="1">IF(B1385="*","",IF(B1385="SUBETAPA",S1385,OFFSET(M1385,-1,0)))</f>
        <v xml:space="preserve">   Mão de Obra</v>
      </c>
      <c r="N1385" s="231">
        <f ca="1">IF(B1385="Subetapa",0,IF(B1385="serviço",OFFSET(N1385,-1,0)+1,OFFSET(N1385,-1,0)))</f>
        <v>2</v>
      </c>
      <c r="O1385" s="228" t="str">
        <f ca="1">IF(B1385="*","",IF(B1385="SERVIÇO",S1385,OFFSET(O1385,-1,0)))</f>
        <v>Mao De Obra Estucamento Em Massa Teto</v>
      </c>
      <c r="P1385" s="232" t="str">
        <f>IF(S1385="","",IF(Orçamento!$B1385="INSUMO",S1385,""))</f>
        <v>MAO DE OBRA PARA ESTUCAMENTO DE ESTRUTURA DE CONCRETO EM TETO</v>
      </c>
      <c r="Q1385" s="244" t="str">
        <f>IF(B1385="","",IF(B1385="Serviço",S1385,""))</f>
        <v/>
      </c>
      <c r="R1385" s="234">
        <f ca="1">IF(B1385="serviço",U1385,OFFSET(R1385,-1,0))</f>
        <v>280.08</v>
      </c>
      <c r="S1385" s="233" t="s">
        <v>1051</v>
      </c>
      <c r="T1385" s="242" t="str">
        <f>_xlfn.XLOOKUP(S1385,Insumos!$A$3:$A$371,Insumos!$B$3:$B$371)</f>
        <v>M2</v>
      </c>
      <c r="U1385" s="235">
        <f ca="1">IF($B1385="insumo",R1385,"")</f>
        <v>280.08</v>
      </c>
      <c r="V1385" s="320">
        <v>1</v>
      </c>
      <c r="W1385" s="236">
        <f>IFERROR(IF(B1385="INSUMO",_xlfn.XLOOKUP(S1385,Insumos!A:A,Insumos!C:C),""),"Inserir Preço")</f>
        <v>50.631699846860634</v>
      </c>
      <c r="X1385" s="235">
        <f ca="1">IF(B1385="Complemento do insumo",V1385,IF(R1385="","",IF(B1385="serviço",R1385,IF(OR(B1385="insumo"),V1385*R1385,""))))</f>
        <v>280.08</v>
      </c>
      <c r="Y1385" s="236">
        <f t="shared" si="984"/>
        <v>50.631699846860634</v>
      </c>
      <c r="Z1385" s="237">
        <f t="shared" ca="1" si="967"/>
        <v>14180.926493108725</v>
      </c>
      <c r="AA1385" s="238"/>
      <c r="AB1385" s="233" t="str">
        <f>IF(B1385="insumo",_xlfn.XLOOKUP(S1385,Insumos!A:A,Insumos!D:D),"")</f>
        <v>Aba Custo Serviços</v>
      </c>
      <c r="AC1385" s="239">
        <f t="shared" ca="1" si="968"/>
        <v>2.0343831958435986E-3</v>
      </c>
      <c r="AE1385" s="240">
        <f ca="1">IFERROR(IF(OR(Z1385="",Z1385=0),"",IF(AF1385="","",IF(AF1385="R$/mês",Z1385/OBRA!$D$12,IF(AF1385="R$/m²",Z1385/OBRA!$D$10,IF(AF1385="R$/apto",Orçamento!Z1385/OBRA!$D$11,""))))),"")</f>
        <v>7.2976057868130511</v>
      </c>
      <c r="AF1385" s="241" t="s">
        <v>154</v>
      </c>
    </row>
    <row r="1386" spans="1:32" s="10" customFormat="1" ht="13.15" customHeight="1" outlineLevel="2" collapsed="1" x14ac:dyDescent="0.2">
      <c r="A1386" s="227"/>
      <c r="B1386" s="228" t="s">
        <v>2</v>
      </c>
      <c r="C1386" s="229" t="str">
        <f t="shared" si="966"/>
        <v/>
      </c>
      <c r="D1386" s="227" t="str">
        <f t="shared" ca="1" si="969"/>
        <v>14.002</v>
      </c>
      <c r="E1386" s="228" t="str">
        <f t="shared" ca="1" si="972"/>
        <v>14.001.002.002</v>
      </c>
      <c r="F1386" s="230">
        <f ca="1">IF($B1386="UNIDADE CONSTRUTIVA",OFFSET(F1386,-1,0)+1,LARGE(F$10:F1385,1))</f>
        <v>2</v>
      </c>
      <c r="G1386" s="228" t="str">
        <f t="shared" ca="1" si="973"/>
        <v xml:space="preserve">   GERENCIAMENTO EXECUTIVO</v>
      </c>
      <c r="H1386" s="230">
        <f t="shared" ca="1" si="974"/>
        <v>14</v>
      </c>
      <c r="I1386" s="228" t="str">
        <f t="shared" ca="1" si="975"/>
        <v xml:space="preserve">   REVESTIMENTOS E ACABAMENTOS INTERNOS EM TETO</v>
      </c>
      <c r="J1386" s="230">
        <f t="shared" ca="1" si="976"/>
        <v>2</v>
      </c>
      <c r="K1386" s="228" t="str">
        <f t="shared" ca="1" si="977"/>
        <v xml:space="preserve">   REVESTIMENTOS E ACABAMENTOS INTERNOS EM TETO - 2º PAVIMENTO - TÉRREO</v>
      </c>
      <c r="L1386" s="231">
        <f t="shared" ca="1" si="978"/>
        <v>0</v>
      </c>
      <c r="M1386" s="228" t="str">
        <f t="shared" ca="1" si="979"/>
        <v xml:space="preserve">   Mão de Obra</v>
      </c>
      <c r="N1386" s="231">
        <f t="shared" ca="1" si="980"/>
        <v>2</v>
      </c>
      <c r="O1386" s="228" t="str">
        <f t="shared" ca="1" si="981"/>
        <v>Mao De Obra Estucamento Em Massa Teto</v>
      </c>
      <c r="P1386" s="232" t="str">
        <f>IF(S1386="","",IF(Orçamento!$B1386="INSUMO",S1386,""))</f>
        <v/>
      </c>
      <c r="Q1386" s="244" t="str">
        <f t="shared" si="970"/>
        <v/>
      </c>
      <c r="R1386" s="234">
        <f t="shared" ca="1" si="971"/>
        <v>280.08</v>
      </c>
      <c r="S1386" s="233" t="s">
        <v>648</v>
      </c>
      <c r="T1386" s="242" t="s">
        <v>35</v>
      </c>
      <c r="U1386" s="235" t="str">
        <f>IF($B1386="insumo",R1386,"")</f>
        <v/>
      </c>
      <c r="V1386" s="320" t="s">
        <v>35</v>
      </c>
      <c r="W1386" s="236" t="str">
        <f>IFERROR(IF(B1386="INSUMO",_xlfn.XLOOKUP(S1386,Insumos!A:A,Insumos!C:C),""),"Inserir Preço")</f>
        <v/>
      </c>
      <c r="X1386" s="235" t="str">
        <f t="shared" ca="1" si="983"/>
        <v/>
      </c>
      <c r="Y1386" s="236" t="str">
        <f t="shared" si="984"/>
        <v/>
      </c>
      <c r="Z1386" s="237">
        <f t="shared" ca="1" si="967"/>
        <v>19380.777331258221</v>
      </c>
      <c r="AA1386" s="238"/>
      <c r="AB1386" s="233" t="str">
        <f>IF(B1386="insumo",_xlfn.XLOOKUP(S1386,Insumos!A:A,Insumos!D:D),"")</f>
        <v/>
      </c>
      <c r="AC1386" s="239">
        <f t="shared" ca="1" si="968"/>
        <v>2.7803492066797203E-3</v>
      </c>
      <c r="AE1386" s="240">
        <f ca="1">IFERROR(IF(OR(Z1386="",Z1386=0),"",IF(AF1386="","",IF(AF1386="R$/mês",Z1386/OBRA!$D$12,IF(AF1386="R$/m²",Z1386/OBRA!$D$10,IF(AF1386="R$/apto",Orçamento!Z1386/OBRA!$D$11,""))))),"")</f>
        <v>9.9734860676596284</v>
      </c>
      <c r="AF1386" s="241" t="s">
        <v>154</v>
      </c>
    </row>
    <row r="1387" spans="1:32" s="10" customFormat="1" ht="13.15" hidden="1" customHeight="1" outlineLevel="3" collapsed="1" x14ac:dyDescent="0.2">
      <c r="A1387" s="227"/>
      <c r="B1387" s="228" t="s">
        <v>3</v>
      </c>
      <c r="C1387" s="229" t="str">
        <f t="shared" si="966"/>
        <v/>
      </c>
      <c r="D1387" s="227" t="str">
        <f t="shared" ref="D1387:D1408" ca="1" si="985">IF(B1387="Unidade Construtiva",TEXT(F1387,"00"),IF(B1387="Célula Construtiva",TEXT(H1387,"00"),IF(B1387="Etapa",CONCATENATE(TEXT(H1387,"00"),".",TEXT(J1387,"000")),IF(B1387="Subetapa",CONCATENATE(TEXT(H1387,"00"),".",TEXT(J1387,"000"),".",TEXT(L1387,"000")),IF(B1387="Serviço",CONCATENATE(TEXT(H1387,"00"),".",TEXT(J1387,"000"),".",TEXT(L1387,"000"),".",TEXT(N1387,"000")),"")))))</f>
        <v>14.002.001</v>
      </c>
      <c r="E1387" s="228" t="str">
        <f t="shared" ref="E1387:E1408" ca="1" si="986">IF(B1387="*","",IFERROR(IF(B1387="SERVIÇO",D1387,OFFSET(E1387,-1,0)),""))</f>
        <v>14.001.002.002</v>
      </c>
      <c r="F1387" s="230">
        <f ca="1">IF($B1387="UNIDADE CONSTRUTIVA",OFFSET(F1387,-1,0)+1,LARGE(F$10:F1386,1))</f>
        <v>2</v>
      </c>
      <c r="G1387" s="228" t="str">
        <f t="shared" ref="G1387:G1408" ca="1" si="987">IF(B1387="*","",IF(B1387="UNIDADE CONSTRUTIVA",S1387,OFFSET(G1387,-1,0)))</f>
        <v xml:space="preserve">   GERENCIAMENTO EXECUTIVO</v>
      </c>
      <c r="H1387" s="230">
        <f t="shared" ref="H1387:H1408" ca="1" si="988">IF(B1387="UNIDADE CONSTRUTIVA",0,IF(B1387="CÉLULA CONSTRUTIVA",OFFSET(H1387,-1,0)+1,OFFSET(H1387,-1,0)))</f>
        <v>14</v>
      </c>
      <c r="I1387" s="228" t="str">
        <f t="shared" ref="I1387:I1408" ca="1" si="989">IF(B1387="*","",IF(B1387="CÉLULA CONSTRUTIVA",S1387,OFFSET(I1387,-1,0)))</f>
        <v xml:space="preserve">   REVESTIMENTOS E ACABAMENTOS INTERNOS EM TETO</v>
      </c>
      <c r="J1387" s="230">
        <f t="shared" ref="J1387:J1408" ca="1" si="990">IF(B1387="CÉLULA CONSTRUTIVA",0,IF(B1387="ETAPA",OFFSET(J1387,-1,0)+1,OFFSET(J1387,-1,0)))</f>
        <v>2</v>
      </c>
      <c r="K1387" s="228" t="str">
        <f t="shared" ref="K1387:K1408" ca="1" si="991">IF(B1387="*","",IF(B1387="ETAPA",S1387,OFFSET(K1387,-1,0)))</f>
        <v xml:space="preserve">   REVESTIMENTOS E ACABAMENTOS INTERNOS EM TETO - 2º PAVIMENTO - TÉRREO</v>
      </c>
      <c r="L1387" s="231">
        <f t="shared" ref="L1387:L1408" ca="1" si="992">IF(B1387="ETAPA",0,IF(B1387="SUBETAPA",OFFSET(L1387,-1,0)+1,OFFSET(L1387,-1,0)))</f>
        <v>1</v>
      </c>
      <c r="M1387" s="228" t="str">
        <f t="shared" ref="M1387:M1408" ca="1" si="993">IF(B1387="*","",IF(B1387="SUBETAPA",S1387,OFFSET(M1387,-1,0)))</f>
        <v xml:space="preserve">   Revestimento Interno Argamassado em Teto</v>
      </c>
      <c r="N1387" s="231">
        <f t="shared" ref="N1387:N1408" ca="1" si="994">IF(B1387="Subetapa",0,IF(B1387="serviço",OFFSET(N1387,-1,0)+1,OFFSET(N1387,-1,0)))</f>
        <v>0</v>
      </c>
      <c r="O1387" s="228" t="str">
        <f t="shared" ref="O1387:O1408" ca="1" si="995">IF(B1387="*","",IF(B1387="SERVIÇO",S1387,OFFSET(O1387,-1,0)))</f>
        <v>Mao De Obra Estucamento Em Massa Teto</v>
      </c>
      <c r="P1387" s="232" t="str">
        <f>IF(S1387="","",IF(Orçamento!$B1387="INSUMO",S1387,""))</f>
        <v/>
      </c>
      <c r="Q1387" s="244" t="str">
        <f t="shared" ref="Q1387:Q1408" si="996">IF(B1387="","",IF(B1387="Serviço",S1387,""))</f>
        <v/>
      </c>
      <c r="R1387" s="234">
        <f t="shared" ref="R1387:R1408" ca="1" si="997">IF(B1387="serviço",U1387,OFFSET(R1387,-1,0))</f>
        <v>280.08</v>
      </c>
      <c r="S1387" s="233" t="s">
        <v>485</v>
      </c>
      <c r="T1387" s="242" t="s">
        <v>35</v>
      </c>
      <c r="U1387" s="235" t="str">
        <f>IF($B1387="insumo",R1387,"")</f>
        <v/>
      </c>
      <c r="V1387" s="320" t="s">
        <v>35</v>
      </c>
      <c r="W1387" s="236" t="str">
        <f>IFERROR(IF(B1387="INSUMO",_xlfn.XLOOKUP(S1387,Insumos!A:A,Insumos!C:C),""),"Inserir Preço")</f>
        <v/>
      </c>
      <c r="X1387" s="235" t="str">
        <f t="shared" ca="1" si="983"/>
        <v/>
      </c>
      <c r="Y1387" s="236" t="str">
        <f t="shared" si="984"/>
        <v/>
      </c>
      <c r="Z1387" s="237">
        <f t="shared" ca="1" si="967"/>
        <v>926.60334</v>
      </c>
      <c r="AA1387" s="238"/>
      <c r="AB1387" s="233" t="str">
        <f>IF(B1387="insumo",_xlfn.XLOOKUP(S1387,Insumos!A:A,Insumos!D:D),"")</f>
        <v/>
      </c>
      <c r="AC1387" s="239">
        <f t="shared" ca="1" si="968"/>
        <v>1.3292969715516175E-4</v>
      </c>
      <c r="AE1387" s="240">
        <f ca="1">IFERROR(IF(OR(Z1387="",Z1387=0),"",IF(AF1387="","",IF(AF1387="R$/mês",Z1387/OBRA!$D$12,IF(AF1387="R$/m²",Z1387/OBRA!$D$10,IF(AF1387="R$/apto",Orçamento!Z1387/OBRA!$D$11,""))))),"")</f>
        <v>0.47683667913731259</v>
      </c>
      <c r="AF1387" s="241" t="s">
        <v>154</v>
      </c>
    </row>
    <row r="1388" spans="1:32" s="10" customFormat="1" ht="13.15" hidden="1" customHeight="1" outlineLevel="4" x14ac:dyDescent="0.2">
      <c r="A1388" s="227"/>
      <c r="B1388" s="228" t="s">
        <v>4</v>
      </c>
      <c r="C1388" s="229">
        <f t="shared" si="966"/>
        <v>5</v>
      </c>
      <c r="D1388" s="227" t="str">
        <f t="shared" ca="1" si="985"/>
        <v>14.002.001.001</v>
      </c>
      <c r="E1388" s="228" t="str">
        <f t="shared" ca="1" si="986"/>
        <v>14.002.001.001</v>
      </c>
      <c r="F1388" s="230">
        <f ca="1">IF($B1388="UNIDADE CONSTRUTIVA",OFFSET(F1388,-1,0)+1,LARGE(F$10:F1387,1))</f>
        <v>2</v>
      </c>
      <c r="G1388" s="228" t="str">
        <f t="shared" ca="1" si="987"/>
        <v xml:space="preserve">   GERENCIAMENTO EXECUTIVO</v>
      </c>
      <c r="H1388" s="230">
        <f t="shared" ca="1" si="988"/>
        <v>14</v>
      </c>
      <c r="I1388" s="228" t="str">
        <f t="shared" ca="1" si="989"/>
        <v xml:space="preserve">   REVESTIMENTOS E ACABAMENTOS INTERNOS EM TETO</v>
      </c>
      <c r="J1388" s="230">
        <f t="shared" ca="1" si="990"/>
        <v>2</v>
      </c>
      <c r="K1388" s="228" t="str">
        <f t="shared" ca="1" si="991"/>
        <v xml:space="preserve">   REVESTIMENTOS E ACABAMENTOS INTERNOS EM TETO - 2º PAVIMENTO - TÉRREO</v>
      </c>
      <c r="L1388" s="231">
        <f t="shared" ca="1" si="992"/>
        <v>1</v>
      </c>
      <c r="M1388" s="228" t="str">
        <f t="shared" ca="1" si="993"/>
        <v xml:space="preserve">   Revestimento Interno Argamassado em Teto</v>
      </c>
      <c r="N1388" s="231">
        <f t="shared" ca="1" si="994"/>
        <v>1</v>
      </c>
      <c r="O1388" s="228" t="str">
        <f t="shared" ca="1" si="995"/>
        <v>Chapisco de estrutura de concreto em teto</v>
      </c>
      <c r="P1388" s="232" t="str">
        <f>IF(S1388="","",IF(Orçamento!$B1388="INSUMO",S1388,""))</f>
        <v/>
      </c>
      <c r="Q1388" s="244" t="str">
        <f t="shared" si="996"/>
        <v>Chapisco de estrutura de concreto em teto</v>
      </c>
      <c r="R1388" s="234">
        <f t="shared" ca="1" si="997"/>
        <v>53.43</v>
      </c>
      <c r="S1388" s="233" t="s">
        <v>743</v>
      </c>
      <c r="T1388" s="242" t="s">
        <v>140</v>
      </c>
      <c r="U1388" s="235">
        <v>53.43</v>
      </c>
      <c r="V1388" s="320" t="s">
        <v>35</v>
      </c>
      <c r="W1388" s="236" t="str">
        <f>IFERROR(IF(B1388="INSUMO",_xlfn.XLOOKUP(S1388,Insumos!A:A,Insumos!C:C),""),"Inserir Preço")</f>
        <v/>
      </c>
      <c r="X1388" s="235">
        <f t="shared" ca="1" si="983"/>
        <v>53.43</v>
      </c>
      <c r="Y1388" s="236">
        <f t="shared" ca="1" si="984"/>
        <v>5.5020000000000007</v>
      </c>
      <c r="Z1388" s="237">
        <f t="shared" ca="1" si="967"/>
        <v>293.97186000000005</v>
      </c>
      <c r="AA1388" s="238"/>
      <c r="AB1388" s="233" t="str">
        <f>IF(B1388="insumo",_xlfn.XLOOKUP(S1388,Insumos!A:A,Insumos!D:D),"")</f>
        <v/>
      </c>
      <c r="AC1388" s="239">
        <f t="shared" ca="1" si="968"/>
        <v>4.21729435185714E-5</v>
      </c>
      <c r="AE1388" s="240">
        <f ca="1">IFERROR(IF(OR(Z1388="",Z1388=0),"",IF(AF1388="","",IF(AF1388="R$/mês",Z1388/OBRA!$D$12,IF(AF1388="R$/m²",Z1388/OBRA!$D$10,IF(AF1388="R$/apto",Orçamento!Z1388/OBRA!$D$11,""))))),"")</f>
        <v>0.15128001317394238</v>
      </c>
      <c r="AF1388" s="241" t="s">
        <v>154</v>
      </c>
    </row>
    <row r="1389" spans="1:32" s="10" customFormat="1" ht="13.15" hidden="1" customHeight="1" outlineLevel="4" x14ac:dyDescent="0.2">
      <c r="A1389" s="227"/>
      <c r="B1389" s="228" t="s">
        <v>19</v>
      </c>
      <c r="C1389" s="229">
        <f t="shared" si="966"/>
        <v>11</v>
      </c>
      <c r="D1389" s="227" t="str">
        <f t="shared" si="985"/>
        <v/>
      </c>
      <c r="E1389" s="228" t="str">
        <f t="shared" ca="1" si="986"/>
        <v>14.002.001.001</v>
      </c>
      <c r="F1389" s="230">
        <f ca="1">IF($B1389="UNIDADE CONSTRUTIVA",OFFSET(F1389,-1,0)+1,LARGE(F$10:F1388,1))</f>
        <v>2</v>
      </c>
      <c r="G1389" s="228" t="str">
        <f t="shared" ca="1" si="987"/>
        <v xml:space="preserve">   GERENCIAMENTO EXECUTIVO</v>
      </c>
      <c r="H1389" s="230">
        <f t="shared" ca="1" si="988"/>
        <v>14</v>
      </c>
      <c r="I1389" s="228" t="str">
        <f t="shared" ca="1" si="989"/>
        <v xml:space="preserve">   REVESTIMENTOS E ACABAMENTOS INTERNOS EM TETO</v>
      </c>
      <c r="J1389" s="230">
        <f t="shared" ca="1" si="990"/>
        <v>2</v>
      </c>
      <c r="K1389" s="228" t="str">
        <f t="shared" ca="1" si="991"/>
        <v xml:space="preserve">   REVESTIMENTOS E ACABAMENTOS INTERNOS EM TETO - 2º PAVIMENTO - TÉRREO</v>
      </c>
      <c r="L1389" s="231">
        <f t="shared" ca="1" si="992"/>
        <v>1</v>
      </c>
      <c r="M1389" s="228" t="str">
        <f t="shared" ca="1" si="993"/>
        <v xml:space="preserve">   Revestimento Interno Argamassado em Teto</v>
      </c>
      <c r="N1389" s="231">
        <f t="shared" ca="1" si="994"/>
        <v>1</v>
      </c>
      <c r="O1389" s="228" t="str">
        <f t="shared" ca="1" si="995"/>
        <v>Chapisco de estrutura de concreto em teto</v>
      </c>
      <c r="P1389" s="232" t="str">
        <f>IF(S1389="","",IF(Orçamento!$B1389="INSUMO",S1389,""))</f>
        <v>CHAPISCO COLANTE 20KG</v>
      </c>
      <c r="Q1389" s="244" t="str">
        <f t="shared" si="996"/>
        <v/>
      </c>
      <c r="R1389" s="234">
        <f t="shared" ca="1" si="997"/>
        <v>53.43</v>
      </c>
      <c r="S1389" s="233" t="s">
        <v>1027</v>
      </c>
      <c r="T1389" s="242" t="s">
        <v>159</v>
      </c>
      <c r="U1389" s="235">
        <f ca="1">IF($B1389="insumo",R1389,"")</f>
        <v>53.43</v>
      </c>
      <c r="V1389" s="320">
        <v>4.2</v>
      </c>
      <c r="W1389" s="236">
        <f>IFERROR(IF(B1389="INSUMO",_xlfn.XLOOKUP(S1389,Insumos!A:A,Insumos!C:C),""),"Inserir Preço")</f>
        <v>1.31</v>
      </c>
      <c r="X1389" s="235">
        <f t="shared" ca="1" si="983"/>
        <v>224.40600000000001</v>
      </c>
      <c r="Y1389" s="236">
        <f t="shared" si="984"/>
        <v>5.5020000000000007</v>
      </c>
      <c r="Z1389" s="237">
        <f t="shared" ca="1" si="967"/>
        <v>293.97185999999999</v>
      </c>
      <c r="AA1389" s="238"/>
      <c r="AB1389" s="233" t="str">
        <f>IF(B1389="insumo",_xlfn.XLOOKUP(S1389,Insumos!A:A,Insumos!D:D),"")</f>
        <v xml:space="preserve"> </v>
      </c>
      <c r="AC1389" s="239">
        <f t="shared" ca="1" si="968"/>
        <v>4.2172943518571394E-5</v>
      </c>
      <c r="AD1389" s="324"/>
      <c r="AE1389" s="240">
        <f ca="1">IFERROR(IF(OR(Z1389="",Z1389=0),"",IF(AF1389="","",IF(AF1389="R$/mês",Z1389/OBRA!$D$12,IF(AF1389="R$/m²",Z1389/OBRA!$D$10,IF(AF1389="R$/apto",Orçamento!Z1389/OBRA!$D$11,""))))),"")</f>
        <v>0.15128001317394235</v>
      </c>
      <c r="AF1389" s="241" t="s">
        <v>154</v>
      </c>
    </row>
    <row r="1390" spans="1:32" s="10" customFormat="1" ht="13.15" hidden="1" customHeight="1" outlineLevel="4" x14ac:dyDescent="0.2">
      <c r="A1390" s="227"/>
      <c r="B1390" s="228" t="s">
        <v>4</v>
      </c>
      <c r="C1390" s="229">
        <f t="shared" si="966"/>
        <v>5</v>
      </c>
      <c r="D1390" s="227" t="str">
        <f t="shared" ca="1" si="985"/>
        <v>14.002.001.002</v>
      </c>
      <c r="E1390" s="228" t="str">
        <f t="shared" ca="1" si="986"/>
        <v>14.002.001.002</v>
      </c>
      <c r="F1390" s="230">
        <f ca="1">IF($B1390="UNIDADE CONSTRUTIVA",OFFSET(F1390,-1,0)+1,LARGE(F$10:F1389,1))</f>
        <v>2</v>
      </c>
      <c r="G1390" s="228" t="str">
        <f t="shared" ca="1" si="987"/>
        <v xml:space="preserve">   GERENCIAMENTO EXECUTIVO</v>
      </c>
      <c r="H1390" s="230">
        <f t="shared" ca="1" si="988"/>
        <v>14</v>
      </c>
      <c r="I1390" s="228" t="str">
        <f t="shared" ca="1" si="989"/>
        <v xml:space="preserve">   REVESTIMENTOS E ACABAMENTOS INTERNOS EM TETO</v>
      </c>
      <c r="J1390" s="230">
        <f t="shared" ca="1" si="990"/>
        <v>2</v>
      </c>
      <c r="K1390" s="228" t="str">
        <f t="shared" ca="1" si="991"/>
        <v xml:space="preserve">   REVESTIMENTOS E ACABAMENTOS INTERNOS EM TETO - 2º PAVIMENTO - TÉRREO</v>
      </c>
      <c r="L1390" s="231">
        <f t="shared" ca="1" si="992"/>
        <v>1</v>
      </c>
      <c r="M1390" s="228" t="str">
        <f t="shared" ca="1" si="993"/>
        <v xml:space="preserve">   Revestimento Interno Argamassado em Teto</v>
      </c>
      <c r="N1390" s="231">
        <f t="shared" ca="1" si="994"/>
        <v>2</v>
      </c>
      <c r="O1390" s="228" t="str">
        <f t="shared" ca="1" si="995"/>
        <v>Massa unica para reboco interno em argamassa estabilizada, de estrutura de concreto em teto</v>
      </c>
      <c r="P1390" s="232" t="str">
        <f>IF(S1390="","",IF(Orçamento!$B1390="INSUMO",S1390,""))</f>
        <v/>
      </c>
      <c r="Q1390" s="244" t="str">
        <f t="shared" si="996"/>
        <v>Massa unica para reboco interno em argamassa estabilizada, de estrutura de concreto em teto</v>
      </c>
      <c r="R1390" s="234">
        <f t="shared" ca="1" si="997"/>
        <v>53.43</v>
      </c>
      <c r="S1390" s="233" t="s">
        <v>744</v>
      </c>
      <c r="T1390" s="242" t="s">
        <v>140</v>
      </c>
      <c r="U1390" s="235">
        <v>53.43</v>
      </c>
      <c r="V1390" s="320" t="s">
        <v>35</v>
      </c>
      <c r="W1390" s="236" t="str">
        <f>IFERROR(IF(B1390="INSUMO",_xlfn.XLOOKUP(S1390,Insumos!A:A,Insumos!C:C),""),"Inserir Preço")</f>
        <v/>
      </c>
      <c r="X1390" s="235">
        <f t="shared" ref="X1390:X1408" ca="1" si="998">IF(B1390="Complemento do insumo",V1390,IF(R1390="","",IF(B1390="serviço",R1390,IF(OR(B1390="insumo"),V1390*R1390,""))))</f>
        <v>53.43</v>
      </c>
      <c r="Y1390" s="236">
        <f t="shared" ca="1" si="984"/>
        <v>9.3120000000000012</v>
      </c>
      <c r="Z1390" s="237">
        <f t="shared" ca="1" si="967"/>
        <v>497.54016000000007</v>
      </c>
      <c r="AA1390" s="238"/>
      <c r="AB1390" s="233" t="str">
        <f>IF(B1390="insumo",_xlfn.XLOOKUP(S1390,Insumos!A:A,Insumos!D:D),"")</f>
        <v/>
      </c>
      <c r="AC1390" s="239">
        <f t="shared" ca="1" si="968"/>
        <v>7.1376672127396737E-5</v>
      </c>
      <c r="AE1390" s="240">
        <f ca="1">IFERROR(IF(OR(Z1390="",Z1390=0),"",IF(AF1390="","",IF(AF1390="R$/mês",Z1390/OBRA!$D$12,IF(AF1390="R$/m²",Z1390/OBRA!$D$10,IF(AF1390="R$/apto",Orçamento!Z1390/OBRA!$D$11,""))))),"")</f>
        <v>0.25603771040998752</v>
      </c>
      <c r="AF1390" s="241" t="s">
        <v>154</v>
      </c>
    </row>
    <row r="1391" spans="1:32" s="10" customFormat="1" ht="13.15" hidden="1" customHeight="1" outlineLevel="4" x14ac:dyDescent="0.2">
      <c r="A1391" s="227"/>
      <c r="B1391" s="228" t="s">
        <v>19</v>
      </c>
      <c r="C1391" s="229">
        <f t="shared" si="966"/>
        <v>11</v>
      </c>
      <c r="D1391" s="227" t="str">
        <f t="shared" si="985"/>
        <v/>
      </c>
      <c r="E1391" s="228" t="str">
        <f t="shared" ca="1" si="986"/>
        <v>14.002.001.002</v>
      </c>
      <c r="F1391" s="230">
        <f ca="1">IF($B1391="UNIDADE CONSTRUTIVA",OFFSET(F1391,-1,0)+1,LARGE(F$10:F1390,1))</f>
        <v>2</v>
      </c>
      <c r="G1391" s="228" t="str">
        <f t="shared" ca="1" si="987"/>
        <v xml:space="preserve">   GERENCIAMENTO EXECUTIVO</v>
      </c>
      <c r="H1391" s="230">
        <f t="shared" ca="1" si="988"/>
        <v>14</v>
      </c>
      <c r="I1391" s="228" t="str">
        <f t="shared" ca="1" si="989"/>
        <v xml:space="preserve">   REVESTIMENTOS E ACABAMENTOS INTERNOS EM TETO</v>
      </c>
      <c r="J1391" s="230">
        <f t="shared" ca="1" si="990"/>
        <v>2</v>
      </c>
      <c r="K1391" s="228" t="str">
        <f t="shared" ca="1" si="991"/>
        <v xml:space="preserve">   REVESTIMENTOS E ACABAMENTOS INTERNOS EM TETO - 2º PAVIMENTO - TÉRREO</v>
      </c>
      <c r="L1391" s="231">
        <f t="shared" ca="1" si="992"/>
        <v>1</v>
      </c>
      <c r="M1391" s="228" t="str">
        <f t="shared" ca="1" si="993"/>
        <v xml:space="preserve">   Revestimento Interno Argamassado em Teto</v>
      </c>
      <c r="N1391" s="231">
        <f t="shared" ca="1" si="994"/>
        <v>2</v>
      </c>
      <c r="O1391" s="228" t="str">
        <f t="shared" ca="1" si="995"/>
        <v>Massa unica para reboco interno em argamassa estabilizada, de estrutura de concreto em teto</v>
      </c>
      <c r="P1391" s="232" t="str">
        <f>IF(S1391="","",IF(Orçamento!$B1391="INSUMO",S1391,""))</f>
        <v>ARGAMASSA ESTABILIZADA PARA REBOCO</v>
      </c>
      <c r="Q1391" s="244" t="str">
        <f t="shared" si="996"/>
        <v/>
      </c>
      <c r="R1391" s="234">
        <f t="shared" ca="1" si="997"/>
        <v>53.43</v>
      </c>
      <c r="S1391" s="233" t="s">
        <v>256</v>
      </c>
      <c r="T1391" s="242" t="str">
        <f>_xlfn.XLOOKUP(S1391,Insumos!$A$3:$A$371,Insumos!$B$3:$B$371)</f>
        <v>M3</v>
      </c>
      <c r="U1391" s="235">
        <f ca="1">IF($B1391="insumo",R1391,"")</f>
        <v>53.43</v>
      </c>
      <c r="V1391" s="320">
        <v>1.9400000000000001E-2</v>
      </c>
      <c r="W1391" s="236">
        <f>IFERROR(IF(B1391="INSUMO",_xlfn.XLOOKUP(S1391,Insumos!A:A,Insumos!C:C),""),"Inserir Preço")</f>
        <v>480</v>
      </c>
      <c r="X1391" s="235">
        <f t="shared" ca="1" si="998"/>
        <v>1.0365420000000001</v>
      </c>
      <c r="Y1391" s="236">
        <f t="shared" si="984"/>
        <v>9.3120000000000012</v>
      </c>
      <c r="Z1391" s="237">
        <f t="shared" ca="1" si="967"/>
        <v>497.54016000000001</v>
      </c>
      <c r="AA1391" s="238"/>
      <c r="AB1391" s="233" t="str">
        <f>IF(B1391="insumo",_xlfn.XLOOKUP(S1391,Insumos!A:A,Insumos!D:D),"")</f>
        <v xml:space="preserve"> </v>
      </c>
      <c r="AC1391" s="239">
        <f t="shared" ca="1" si="968"/>
        <v>7.1376672127396737E-5</v>
      </c>
      <c r="AE1391" s="240">
        <f ca="1">IFERROR(IF(OR(Z1391="",Z1391=0),"",IF(AF1391="","",IF(AF1391="R$/mês",Z1391/OBRA!$D$12,IF(AF1391="R$/m²",Z1391/OBRA!$D$10,IF(AF1391="R$/apto",Orçamento!Z1391/OBRA!$D$11,""))))),"")</f>
        <v>0.25603771040998752</v>
      </c>
      <c r="AF1391" s="241" t="s">
        <v>154</v>
      </c>
    </row>
    <row r="1392" spans="1:32" s="10" customFormat="1" ht="13.15" hidden="1" customHeight="1" outlineLevel="4" x14ac:dyDescent="0.2">
      <c r="A1392" s="227"/>
      <c r="B1392" s="228" t="s">
        <v>4</v>
      </c>
      <c r="C1392" s="229">
        <f t="shared" si="966"/>
        <v>2</v>
      </c>
      <c r="D1392" s="227" t="str">
        <f t="shared" ca="1" si="985"/>
        <v>14.002.001.003</v>
      </c>
      <c r="E1392" s="228" t="str">
        <f t="shared" ca="1" si="986"/>
        <v>14.002.001.003</v>
      </c>
      <c r="F1392" s="230">
        <f ca="1">IF($B1392="UNIDADE CONSTRUTIVA",OFFSET(F1392,-1,0)+1,LARGE(F$10:F1391,1))</f>
        <v>2</v>
      </c>
      <c r="G1392" s="228" t="str">
        <f t="shared" ca="1" si="987"/>
        <v xml:space="preserve">   GERENCIAMENTO EXECUTIVO</v>
      </c>
      <c r="H1392" s="230">
        <f t="shared" ca="1" si="988"/>
        <v>14</v>
      </c>
      <c r="I1392" s="228" t="str">
        <f t="shared" ca="1" si="989"/>
        <v xml:space="preserve">   REVESTIMENTOS E ACABAMENTOS INTERNOS EM TETO</v>
      </c>
      <c r="J1392" s="230">
        <f t="shared" ca="1" si="990"/>
        <v>2</v>
      </c>
      <c r="K1392" s="228" t="str">
        <f t="shared" ca="1" si="991"/>
        <v xml:space="preserve">   REVESTIMENTOS E ACABAMENTOS INTERNOS EM TETO - 2º PAVIMENTO - TÉRREO</v>
      </c>
      <c r="L1392" s="231">
        <f t="shared" ca="1" si="992"/>
        <v>1</v>
      </c>
      <c r="M1392" s="228" t="str">
        <f t="shared" ca="1" si="993"/>
        <v xml:space="preserve">   Revestimento Interno Argamassado em Teto</v>
      </c>
      <c r="N1392" s="231">
        <f t="shared" ca="1" si="994"/>
        <v>3</v>
      </c>
      <c r="O1392" s="228" t="str">
        <f t="shared" ca="1" si="995"/>
        <v>Estucamento de estrutura de concreto em teto</v>
      </c>
      <c r="P1392" s="232" t="str">
        <f>IF(S1392="","",IF(Orçamento!$B1392="INSUMO",S1392,""))</f>
        <v/>
      </c>
      <c r="Q1392" s="244" t="str">
        <f t="shared" si="996"/>
        <v>Estucamento de estrutura de concreto em teto</v>
      </c>
      <c r="R1392" s="234">
        <f t="shared" ca="1" si="997"/>
        <v>33.36</v>
      </c>
      <c r="S1392" s="233" t="s">
        <v>486</v>
      </c>
      <c r="T1392" s="242" t="s">
        <v>140</v>
      </c>
      <c r="U1392" s="235">
        <v>33.36</v>
      </c>
      <c r="V1392" s="320" t="s">
        <v>35</v>
      </c>
      <c r="W1392" s="236" t="str">
        <f>IFERROR(IF(B1392="INSUMO",_xlfn.XLOOKUP(S1392,Insumos!A:A,Insumos!C:C),""),"Inserir Preço")</f>
        <v/>
      </c>
      <c r="X1392" s="235">
        <f t="shared" ca="1" si="998"/>
        <v>33.36</v>
      </c>
      <c r="Y1392" s="236">
        <f t="shared" ca="1" si="984"/>
        <v>4.0495000000000001</v>
      </c>
      <c r="Z1392" s="237">
        <f t="shared" ca="1" si="967"/>
        <v>135.09132</v>
      </c>
      <c r="AA1392" s="238"/>
      <c r="AB1392" s="233" t="str">
        <f>IF(B1392="insumo",_xlfn.XLOOKUP(S1392,Insumos!A:A,Insumos!D:D),"")</f>
        <v/>
      </c>
      <c r="AC1392" s="239">
        <f t="shared" ca="1" si="968"/>
        <v>1.9380081509193615E-5</v>
      </c>
      <c r="AE1392" s="240">
        <f ca="1">IFERROR(IF(OR(Z1392="",Z1392=0),"",IF(AF1392="","",IF(AF1392="R$/mês",Z1392/OBRA!$D$12,IF(AF1392="R$/m²",Z1392/OBRA!$D$10,IF(AF1392="R$/apto",Orçamento!Z1392/OBRA!$D$11,""))))),"")</f>
        <v>6.9518955553382764E-2</v>
      </c>
      <c r="AF1392" s="241" t="s">
        <v>154</v>
      </c>
    </row>
    <row r="1393" spans="1:32" s="10" customFormat="1" ht="13.15" hidden="1" customHeight="1" outlineLevel="4" x14ac:dyDescent="0.2">
      <c r="A1393" s="227"/>
      <c r="B1393" s="228" t="s">
        <v>19</v>
      </c>
      <c r="C1393" s="229">
        <f t="shared" si="966"/>
        <v>13</v>
      </c>
      <c r="D1393" s="227" t="str">
        <f t="shared" si="985"/>
        <v/>
      </c>
      <c r="E1393" s="228" t="str">
        <f t="shared" ca="1" si="986"/>
        <v>14.002.001.003</v>
      </c>
      <c r="F1393" s="230">
        <f ca="1">IF($B1393="UNIDADE CONSTRUTIVA",OFFSET(F1393,-1,0)+1,LARGE(F$10:F1392,1))</f>
        <v>2</v>
      </c>
      <c r="G1393" s="228" t="str">
        <f t="shared" ca="1" si="987"/>
        <v xml:space="preserve">   GERENCIAMENTO EXECUTIVO</v>
      </c>
      <c r="H1393" s="230">
        <f t="shared" ca="1" si="988"/>
        <v>14</v>
      </c>
      <c r="I1393" s="228" t="str">
        <f t="shared" ca="1" si="989"/>
        <v xml:space="preserve">   REVESTIMENTOS E ACABAMENTOS INTERNOS EM TETO</v>
      </c>
      <c r="J1393" s="230">
        <f t="shared" ca="1" si="990"/>
        <v>2</v>
      </c>
      <c r="K1393" s="228" t="str">
        <f t="shared" ca="1" si="991"/>
        <v xml:space="preserve">   REVESTIMENTOS E ACABAMENTOS INTERNOS EM TETO - 2º PAVIMENTO - TÉRREO</v>
      </c>
      <c r="L1393" s="231">
        <f t="shared" ca="1" si="992"/>
        <v>1</v>
      </c>
      <c r="M1393" s="228" t="str">
        <f t="shared" ca="1" si="993"/>
        <v xml:space="preserve">   Revestimento Interno Argamassado em Teto</v>
      </c>
      <c r="N1393" s="231">
        <f t="shared" ca="1" si="994"/>
        <v>3</v>
      </c>
      <c r="O1393" s="228" t="str">
        <f t="shared" ca="1" si="995"/>
        <v>Estucamento de estrutura de concreto em teto</v>
      </c>
      <c r="P1393" s="232" t="str">
        <f>IF(S1393="","",IF(Orçamento!$B1393="INSUMO",S1393,""))</f>
        <v>CIMENTO PORTLAND CP II 32 - Z</v>
      </c>
      <c r="Q1393" s="244" t="str">
        <f t="shared" si="996"/>
        <v/>
      </c>
      <c r="R1393" s="234">
        <f t="shared" ca="1" si="997"/>
        <v>33.36</v>
      </c>
      <c r="S1393" s="233" t="s">
        <v>343</v>
      </c>
      <c r="T1393" s="242" t="str">
        <f>_xlfn.XLOOKUP(S1393,Insumos!$A$3:$A$371,Insumos!$B$3:$B$371)</f>
        <v>KG</v>
      </c>
      <c r="U1393" s="235">
        <f ca="1">IF($B1393="insumo",R1393,"")</f>
        <v>33.36</v>
      </c>
      <c r="V1393" s="320">
        <v>0.6</v>
      </c>
      <c r="W1393" s="236">
        <f>IFERROR(IF(B1393="INSUMO",_xlfn.XLOOKUP(S1393,Insumos!A:A,Insumos!C:C),""),"Inserir Preço")</f>
        <v>0.74</v>
      </c>
      <c r="X1393" s="235">
        <f t="shared" ca="1" si="998"/>
        <v>20.015999999999998</v>
      </c>
      <c r="Y1393" s="236">
        <f t="shared" si="984"/>
        <v>0.44400000000000001</v>
      </c>
      <c r="Z1393" s="237">
        <f t="shared" ca="1" si="967"/>
        <v>14.811839999999998</v>
      </c>
      <c r="AA1393" s="238"/>
      <c r="AB1393" s="233" t="str">
        <f>IF(B1393="insumo",_xlfn.XLOOKUP(S1393,Insumos!A:A,Insumos!D:D),"")</f>
        <v xml:space="preserve"> </v>
      </c>
      <c r="AC1393" s="239">
        <f t="shared" ca="1" si="968"/>
        <v>2.1248934905746302E-6</v>
      </c>
      <c r="AE1393" s="240">
        <f ca="1">IFERROR(IF(OR(Z1393="",Z1393=0),"",IF(AF1393="","",IF(AF1393="R$/mês",Z1393/OBRA!$D$12,IF(AF1393="R$/m²",Z1393/OBRA!$D$10,IF(AF1393="R$/apto",Orçamento!Z1393/OBRA!$D$11,""))))),"")</f>
        <v>7.6222783715772183E-3</v>
      </c>
      <c r="AF1393" s="241" t="s">
        <v>154</v>
      </c>
    </row>
    <row r="1394" spans="1:32" s="10" customFormat="1" ht="13.15" hidden="1" customHeight="1" outlineLevel="4" x14ac:dyDescent="0.2">
      <c r="A1394" s="227"/>
      <c r="B1394" s="228" t="s">
        <v>19</v>
      </c>
      <c r="C1394" s="229">
        <f t="shared" si="966"/>
        <v>7</v>
      </c>
      <c r="D1394" s="227" t="str">
        <f t="shared" si="985"/>
        <v/>
      </c>
      <c r="E1394" s="228" t="str">
        <f t="shared" ca="1" si="986"/>
        <v>14.002.001.003</v>
      </c>
      <c r="F1394" s="230">
        <f ca="1">IF($B1394="UNIDADE CONSTRUTIVA",OFFSET(F1394,-1,0)+1,LARGE(F$10:F1393,1))</f>
        <v>2</v>
      </c>
      <c r="G1394" s="228" t="str">
        <f t="shared" ca="1" si="987"/>
        <v xml:space="preserve">   GERENCIAMENTO EXECUTIVO</v>
      </c>
      <c r="H1394" s="230">
        <f t="shared" ca="1" si="988"/>
        <v>14</v>
      </c>
      <c r="I1394" s="228" t="str">
        <f t="shared" ca="1" si="989"/>
        <v xml:space="preserve">   REVESTIMENTOS E ACABAMENTOS INTERNOS EM TETO</v>
      </c>
      <c r="J1394" s="230">
        <f t="shared" ca="1" si="990"/>
        <v>2</v>
      </c>
      <c r="K1394" s="228" t="str">
        <f t="shared" ca="1" si="991"/>
        <v xml:space="preserve">   REVESTIMENTOS E ACABAMENTOS INTERNOS EM TETO - 2º PAVIMENTO - TÉRREO</v>
      </c>
      <c r="L1394" s="231">
        <f t="shared" ca="1" si="992"/>
        <v>1</v>
      </c>
      <c r="M1394" s="228" t="str">
        <f t="shared" ca="1" si="993"/>
        <v xml:space="preserve">   Revestimento Interno Argamassado em Teto</v>
      </c>
      <c r="N1394" s="231">
        <f t="shared" ca="1" si="994"/>
        <v>3</v>
      </c>
      <c r="O1394" s="228" t="str">
        <f t="shared" ca="1" si="995"/>
        <v>Estucamento de estrutura de concreto em teto</v>
      </c>
      <c r="P1394" s="232" t="str">
        <f>IF(S1394="","",IF(Orçamento!$B1394="INSUMO",S1394,""))</f>
        <v>CIMENTO BRANCO</v>
      </c>
      <c r="Q1394" s="244" t="str">
        <f t="shared" si="996"/>
        <v/>
      </c>
      <c r="R1394" s="234">
        <f t="shared" ca="1" si="997"/>
        <v>33.36</v>
      </c>
      <c r="S1394" s="233" t="s">
        <v>379</v>
      </c>
      <c r="T1394" s="242" t="str">
        <f>_xlfn.XLOOKUP(S1394,Insumos!$A$3:$A$371,Insumos!$B$3:$B$371)</f>
        <v>KG</v>
      </c>
      <c r="U1394" s="235">
        <f ca="1">IF($B1394="insumo",R1394,"")</f>
        <v>33.36</v>
      </c>
      <c r="V1394" s="320">
        <v>0.3</v>
      </c>
      <c r="W1394" s="236">
        <f>IFERROR(IF(B1394="INSUMO",_xlfn.XLOOKUP(S1394,Insumos!A:A,Insumos!C:C),""),"Inserir Preço")</f>
        <v>2.64</v>
      </c>
      <c r="X1394" s="235">
        <f t="shared" ca="1" si="998"/>
        <v>10.007999999999999</v>
      </c>
      <c r="Y1394" s="236">
        <f t="shared" si="984"/>
        <v>0.79200000000000004</v>
      </c>
      <c r="Z1394" s="237">
        <f t="shared" ca="1" si="967"/>
        <v>26.421119999999998</v>
      </c>
      <c r="AA1394" s="238"/>
      <c r="AB1394" s="233" t="str">
        <f>IF(B1394="insumo",_xlfn.XLOOKUP(S1394,Insumos!A:A,Insumos!D:D),"")</f>
        <v xml:space="preserve"> </v>
      </c>
      <c r="AC1394" s="239">
        <f t="shared" ca="1" si="968"/>
        <v>3.7903505507547455E-6</v>
      </c>
      <c r="AE1394" s="240">
        <f ca="1">IFERROR(IF(OR(Z1394="",Z1394=0),"",IF(AF1394="","",IF(AF1394="R$/mês",Z1394/OBRA!$D$12,IF(AF1394="R$/m²",Z1394/OBRA!$D$10,IF(AF1394="R$/apto",Orçamento!Z1394/OBRA!$D$11,""))))),"")</f>
        <v>1.3596496554705309E-2</v>
      </c>
      <c r="AF1394" s="241" t="s">
        <v>154</v>
      </c>
    </row>
    <row r="1395" spans="1:32" s="10" customFormat="1" ht="13.15" hidden="1" customHeight="1" outlineLevel="4" x14ac:dyDescent="0.2">
      <c r="A1395" s="227"/>
      <c r="B1395" s="228" t="s">
        <v>19</v>
      </c>
      <c r="C1395" s="229">
        <f t="shared" si="966"/>
        <v>19</v>
      </c>
      <c r="D1395" s="227" t="str">
        <f t="shared" si="985"/>
        <v/>
      </c>
      <c r="E1395" s="228" t="str">
        <f t="shared" ca="1" si="986"/>
        <v>14.002.001.003</v>
      </c>
      <c r="F1395" s="230">
        <f ca="1">IF($B1395="UNIDADE CONSTRUTIVA",OFFSET(F1395,-1,0)+1,LARGE(F$10:F1394,1))</f>
        <v>2</v>
      </c>
      <c r="G1395" s="228" t="str">
        <f t="shared" ca="1" si="987"/>
        <v xml:space="preserve">   GERENCIAMENTO EXECUTIVO</v>
      </c>
      <c r="H1395" s="230">
        <f t="shared" ca="1" si="988"/>
        <v>14</v>
      </c>
      <c r="I1395" s="228" t="str">
        <f t="shared" ca="1" si="989"/>
        <v xml:space="preserve">   REVESTIMENTOS E ACABAMENTOS INTERNOS EM TETO</v>
      </c>
      <c r="J1395" s="230">
        <f t="shared" ca="1" si="990"/>
        <v>2</v>
      </c>
      <c r="K1395" s="228" t="str">
        <f t="shared" ca="1" si="991"/>
        <v xml:space="preserve">   REVESTIMENTOS E ACABAMENTOS INTERNOS EM TETO - 2º PAVIMENTO - TÉRREO</v>
      </c>
      <c r="L1395" s="231">
        <f t="shared" ca="1" si="992"/>
        <v>1</v>
      </c>
      <c r="M1395" s="228" t="str">
        <f t="shared" ca="1" si="993"/>
        <v xml:space="preserve">   Revestimento Interno Argamassado em Teto</v>
      </c>
      <c r="N1395" s="231">
        <f t="shared" ca="1" si="994"/>
        <v>3</v>
      </c>
      <c r="O1395" s="228" t="str">
        <f t="shared" ca="1" si="995"/>
        <v>Estucamento de estrutura de concreto em teto</v>
      </c>
      <c r="P1395" s="232" t="str">
        <f>IF(S1395="","",IF(Orçamento!$B1395="INSUMO",S1395,""))</f>
        <v>LIXA EM FOLHA PARA PAREDE OU MADEIRA N° 120</v>
      </c>
      <c r="Q1395" s="244" t="str">
        <f t="shared" si="996"/>
        <v/>
      </c>
      <c r="R1395" s="234">
        <f t="shared" ca="1" si="997"/>
        <v>33.36</v>
      </c>
      <c r="S1395" s="233" t="s">
        <v>922</v>
      </c>
      <c r="T1395" s="242" t="str">
        <f>_xlfn.XLOOKUP(S1395,Insumos!$A$3:$A$371,Insumos!$B$3:$B$371)</f>
        <v>UN</v>
      </c>
      <c r="U1395" s="235">
        <f ca="1">IF($B1395="insumo",R1395,"")</f>
        <v>33.36</v>
      </c>
      <c r="V1395" s="320">
        <v>0.05</v>
      </c>
      <c r="W1395" s="236">
        <f>IFERROR(IF(B1395="INSUMO",_xlfn.XLOOKUP(S1395,Insumos!A:A,Insumos!C:C),""),"Inserir Preço")</f>
        <v>2.2999999999999998</v>
      </c>
      <c r="X1395" s="235">
        <f t="shared" ca="1" si="998"/>
        <v>1.6680000000000001</v>
      </c>
      <c r="Y1395" s="236">
        <f t="shared" si="984"/>
        <v>0.11499999999999999</v>
      </c>
      <c r="Z1395" s="237">
        <f t="shared" ca="1" si="967"/>
        <v>3.8364000000000003</v>
      </c>
      <c r="AA1395" s="238"/>
      <c r="AB1395" s="233" t="str">
        <f>IF(B1395="insumo",_xlfn.XLOOKUP(S1395,Insumos!A:A,Insumos!D:D),"")</f>
        <v xml:space="preserve"> </v>
      </c>
      <c r="AC1395" s="239">
        <f t="shared" ca="1" si="968"/>
        <v>5.5036655724342909E-7</v>
      </c>
      <c r="AE1395" s="240">
        <f ca="1">IFERROR(IF(OR(Z1395="",Z1395=0),"",IF(AF1395="","",IF(AF1395="R$/mês",Z1395/OBRA!$D$12,IF(AF1395="R$/m²",Z1395/OBRA!$D$10,IF(AF1395="R$/apto",Orçamento!Z1395/OBRA!$D$11,""))))),"")</f>
        <v>1.9742387674130187E-3</v>
      </c>
      <c r="AF1395" s="241" t="s">
        <v>154</v>
      </c>
    </row>
    <row r="1396" spans="1:32" s="10" customFormat="1" ht="13.15" hidden="1" customHeight="1" outlineLevel="4" x14ac:dyDescent="0.2">
      <c r="A1396" s="227"/>
      <c r="B1396" s="228" t="s">
        <v>19</v>
      </c>
      <c r="C1396" s="229">
        <f t="shared" si="966"/>
        <v>7</v>
      </c>
      <c r="D1396" s="227" t="str">
        <f t="shared" si="985"/>
        <v/>
      </c>
      <c r="E1396" s="228" t="str">
        <f t="shared" ca="1" si="986"/>
        <v>14.002.001.003</v>
      </c>
      <c r="F1396" s="230">
        <f ca="1">IF($B1396="UNIDADE CONSTRUTIVA",OFFSET(F1396,-1,0)+1,LARGE(F$10:F1395,1))</f>
        <v>2</v>
      </c>
      <c r="G1396" s="228" t="str">
        <f t="shared" ca="1" si="987"/>
        <v xml:space="preserve">   GERENCIAMENTO EXECUTIVO</v>
      </c>
      <c r="H1396" s="230">
        <f t="shared" ca="1" si="988"/>
        <v>14</v>
      </c>
      <c r="I1396" s="228" t="str">
        <f t="shared" ca="1" si="989"/>
        <v xml:space="preserve">   REVESTIMENTOS E ACABAMENTOS INTERNOS EM TETO</v>
      </c>
      <c r="J1396" s="230">
        <f t="shared" ca="1" si="990"/>
        <v>2</v>
      </c>
      <c r="K1396" s="228" t="str">
        <f t="shared" ca="1" si="991"/>
        <v xml:space="preserve">   REVESTIMENTOS E ACABAMENTOS INTERNOS EM TETO - 2º PAVIMENTO - TÉRREO</v>
      </c>
      <c r="L1396" s="231">
        <f t="shared" ca="1" si="992"/>
        <v>1</v>
      </c>
      <c r="M1396" s="228" t="str">
        <f t="shared" ca="1" si="993"/>
        <v xml:space="preserve">   Revestimento Interno Argamassado em Teto</v>
      </c>
      <c r="N1396" s="231">
        <f t="shared" ca="1" si="994"/>
        <v>3</v>
      </c>
      <c r="O1396" s="228" t="str">
        <f t="shared" ca="1" si="995"/>
        <v>Estucamento de estrutura de concreto em teto</v>
      </c>
      <c r="P1396" s="232" t="str">
        <f>IF(S1396="","",IF(Orçamento!$B1396="INSUMO",S1396,""))</f>
        <v>ADESIVO DE BASE ACRILICA COMPATIVEL COM CIMENTO</v>
      </c>
      <c r="Q1396" s="244" t="str">
        <f t="shared" si="996"/>
        <v/>
      </c>
      <c r="R1396" s="234">
        <f t="shared" ca="1" si="997"/>
        <v>33.36</v>
      </c>
      <c r="S1396" s="233" t="s">
        <v>355</v>
      </c>
      <c r="T1396" s="242" t="str">
        <f>_xlfn.XLOOKUP(S1396,Insumos!$A$3:$A$371,Insumos!$B$3:$B$371)</f>
        <v>KG</v>
      </c>
      <c r="U1396" s="235">
        <f ca="1">IF($B1396="insumo",R1396,"")</f>
        <v>33.36</v>
      </c>
      <c r="V1396" s="320">
        <v>0.15</v>
      </c>
      <c r="W1396" s="236">
        <f>IFERROR(IF(B1396="INSUMO",_xlfn.XLOOKUP(S1396,Insumos!A:A,Insumos!C:C),""),"Inserir Preço")</f>
        <v>17.990000000000002</v>
      </c>
      <c r="X1396" s="235">
        <f t="shared" ca="1" si="998"/>
        <v>5.0039999999999996</v>
      </c>
      <c r="Y1396" s="236">
        <f t="shared" si="984"/>
        <v>2.6985000000000001</v>
      </c>
      <c r="Z1396" s="237">
        <f t="shared" ca="1" si="967"/>
        <v>90.021960000000007</v>
      </c>
      <c r="AA1396" s="238"/>
      <c r="AB1396" s="233" t="str">
        <f>IF(B1396="insumo",_xlfn.XLOOKUP(S1396,Insumos!A:A,Insumos!D:D),"")</f>
        <v xml:space="preserve"> </v>
      </c>
      <c r="AC1396" s="239">
        <f t="shared" ca="1" si="968"/>
        <v>1.2914470910620811E-5</v>
      </c>
      <c r="AE1396" s="240">
        <f ca="1">IFERROR(IF(OR(Z1396="",Z1396=0),"",IF(AF1396="","",IF(AF1396="R$/mês",Z1396/OBRA!$D$12,IF(AF1396="R$/m²",Z1396/OBRA!$D$10,IF(AF1396="R$/apto",Orçamento!Z1396/OBRA!$D$11,""))))),"")</f>
        <v>4.6325941859687227E-2</v>
      </c>
      <c r="AF1396" s="241" t="s">
        <v>154</v>
      </c>
    </row>
    <row r="1397" spans="1:32" s="10" customFormat="1" ht="13.15" hidden="1" customHeight="1" outlineLevel="3" collapsed="1" x14ac:dyDescent="0.2">
      <c r="A1397" s="227"/>
      <c r="B1397" s="228" t="s">
        <v>3</v>
      </c>
      <c r="C1397" s="229" t="str">
        <f t="shared" si="966"/>
        <v/>
      </c>
      <c r="D1397" s="227" t="str">
        <f t="shared" ca="1" si="985"/>
        <v>14.002.002</v>
      </c>
      <c r="E1397" s="228" t="str">
        <f t="shared" ca="1" si="986"/>
        <v>14.002.001.003</v>
      </c>
      <c r="F1397" s="230">
        <f ca="1">IF($B1397="UNIDADE CONSTRUTIVA",OFFSET(F1397,-1,0)+1,LARGE(F$10:F1396,1))</f>
        <v>2</v>
      </c>
      <c r="G1397" s="228" t="str">
        <f t="shared" ca="1" si="987"/>
        <v xml:space="preserve">   GERENCIAMENTO EXECUTIVO</v>
      </c>
      <c r="H1397" s="230">
        <f t="shared" ca="1" si="988"/>
        <v>14</v>
      </c>
      <c r="I1397" s="228" t="str">
        <f t="shared" ca="1" si="989"/>
        <v xml:space="preserve">   REVESTIMENTOS E ACABAMENTOS INTERNOS EM TETO</v>
      </c>
      <c r="J1397" s="230">
        <f t="shared" ca="1" si="990"/>
        <v>2</v>
      </c>
      <c r="K1397" s="228" t="str">
        <f t="shared" ca="1" si="991"/>
        <v xml:space="preserve">   REVESTIMENTOS E ACABAMENTOS INTERNOS EM TETO - 2º PAVIMENTO - TÉRREO</v>
      </c>
      <c r="L1397" s="231">
        <f t="shared" ca="1" si="992"/>
        <v>2</v>
      </c>
      <c r="M1397" s="228" t="str">
        <f t="shared" ca="1" si="993"/>
        <v xml:space="preserve">   Acabamento em Gesso</v>
      </c>
      <c r="N1397" s="231">
        <f t="shared" ca="1" si="994"/>
        <v>0</v>
      </c>
      <c r="O1397" s="228" t="str">
        <f t="shared" ca="1" si="995"/>
        <v>Estucamento de estrutura de concreto em teto</v>
      </c>
      <c r="P1397" s="232" t="str">
        <f>IF(S1397="","",IF(Orçamento!$B1397="INSUMO",S1397,""))</f>
        <v/>
      </c>
      <c r="Q1397" s="244" t="str">
        <f t="shared" si="996"/>
        <v/>
      </c>
      <c r="R1397" s="234">
        <f t="shared" ca="1" si="997"/>
        <v>33.36</v>
      </c>
      <c r="S1397" s="233" t="s">
        <v>487</v>
      </c>
      <c r="T1397" s="242" t="s">
        <v>35</v>
      </c>
      <c r="U1397" s="235" t="str">
        <f>IF($B1397="insumo",R1397,"")</f>
        <v/>
      </c>
      <c r="V1397" s="320" t="s">
        <v>35</v>
      </c>
      <c r="W1397" s="236" t="str">
        <f>IFERROR(IF(B1397="INSUMO",_xlfn.XLOOKUP(S1397,Insumos!A:A,Insumos!C:C),""),"Inserir Preço")</f>
        <v/>
      </c>
      <c r="X1397" s="235" t="str">
        <f t="shared" ca="1" si="998"/>
        <v/>
      </c>
      <c r="Y1397" s="236" t="str">
        <f t="shared" si="984"/>
        <v/>
      </c>
      <c r="Z1397" s="237">
        <f t="shared" ca="1" si="967"/>
        <v>7656.7637750400008</v>
      </c>
      <c r="AA1397" s="238"/>
      <c r="AB1397" s="233" t="str">
        <f>IF(B1397="insumo",_xlfn.XLOOKUP(S1397,Insumos!A:A,Insumos!D:D),"")</f>
        <v/>
      </c>
      <c r="AC1397" s="239">
        <f t="shared" ca="1" si="968"/>
        <v>1.0984325718108034E-3</v>
      </c>
      <c r="AE1397" s="240">
        <f ca="1">IFERROR(IF(OR(Z1397="",Z1397=0),"",IF(AF1397="","",IF(AF1397="R$/mês",Z1397/OBRA!$D$12,IF(AF1397="R$/m²",Z1397/OBRA!$D$10,IF(AF1397="R$/apto",Orçamento!Z1397/OBRA!$D$11,""))))),"")</f>
        <v>3.9402251792325154</v>
      </c>
      <c r="AF1397" s="241" t="s">
        <v>154</v>
      </c>
    </row>
    <row r="1398" spans="1:32" s="10" customFormat="1" ht="13.15" hidden="1" customHeight="1" outlineLevel="4" x14ac:dyDescent="0.2">
      <c r="A1398" s="227"/>
      <c r="B1398" s="228" t="s">
        <v>4</v>
      </c>
      <c r="C1398" s="229">
        <f t="shared" si="966"/>
        <v>3</v>
      </c>
      <c r="D1398" s="227" t="str">
        <f t="shared" ca="1" si="985"/>
        <v>14.002.002.001</v>
      </c>
      <c r="E1398" s="228" t="str">
        <f t="shared" ca="1" si="986"/>
        <v>14.002.002.001</v>
      </c>
      <c r="F1398" s="230">
        <f ca="1">IF($B1398="UNIDADE CONSTRUTIVA",OFFSET(F1398,-1,0)+1,LARGE(F$10:F1397,1))</f>
        <v>2</v>
      </c>
      <c r="G1398" s="228" t="str">
        <f t="shared" ca="1" si="987"/>
        <v xml:space="preserve">   GERENCIAMENTO EXECUTIVO</v>
      </c>
      <c r="H1398" s="230">
        <f t="shared" ca="1" si="988"/>
        <v>14</v>
      </c>
      <c r="I1398" s="228" t="str">
        <f t="shared" ca="1" si="989"/>
        <v xml:space="preserve">   REVESTIMENTOS E ACABAMENTOS INTERNOS EM TETO</v>
      </c>
      <c r="J1398" s="230">
        <f t="shared" ca="1" si="990"/>
        <v>2</v>
      </c>
      <c r="K1398" s="228" t="str">
        <f t="shared" ca="1" si="991"/>
        <v xml:space="preserve">   REVESTIMENTOS E ACABAMENTOS INTERNOS EM TETO - 2º PAVIMENTO - TÉRREO</v>
      </c>
      <c r="L1398" s="231">
        <f t="shared" ca="1" si="992"/>
        <v>2</v>
      </c>
      <c r="M1398" s="228" t="str">
        <f t="shared" ca="1" si="993"/>
        <v xml:space="preserve">   Acabamento em Gesso</v>
      </c>
      <c r="N1398" s="231">
        <f t="shared" ca="1" si="994"/>
        <v>1</v>
      </c>
      <c r="O1398" s="228" t="str">
        <f t="shared" ca="1" si="995"/>
        <v>Forro de Gesso em Placa - material e mao de obra</v>
      </c>
      <c r="P1398" s="232" t="str">
        <f>IF(S1398="","",IF(Orçamento!$B1398="INSUMO",S1398,""))</f>
        <v/>
      </c>
      <c r="Q1398" s="244" t="str">
        <f t="shared" si="996"/>
        <v>Forro de Gesso em Placa - material e mao de obra</v>
      </c>
      <c r="R1398" s="234">
        <f t="shared" ca="1" si="997"/>
        <v>110.16</v>
      </c>
      <c r="S1398" s="233" t="s">
        <v>1148</v>
      </c>
      <c r="T1398" s="242" t="s">
        <v>140</v>
      </c>
      <c r="U1398" s="235">
        <v>110.16</v>
      </c>
      <c r="V1398" s="320" t="s">
        <v>35</v>
      </c>
      <c r="W1398" s="236" t="str">
        <f>IFERROR(IF(B1398="INSUMO",_xlfn.XLOOKUP(S1398,Insumos!A:A,Insumos!C:C),""),"Inserir Preço")</f>
        <v/>
      </c>
      <c r="X1398" s="235">
        <f t="shared" ca="1" si="998"/>
        <v>110.16</v>
      </c>
      <c r="Y1398" s="236">
        <f t="shared" ca="1" si="984"/>
        <v>69.505843999999996</v>
      </c>
      <c r="Z1398" s="237">
        <f t="shared" ca="1" si="967"/>
        <v>7656.763775039999</v>
      </c>
      <c r="AA1398" s="238"/>
      <c r="AB1398" s="233" t="str">
        <f>IF(B1398="insumo",_xlfn.XLOOKUP(S1398,Insumos!A:A,Insumos!D:D),"")</f>
        <v/>
      </c>
      <c r="AC1398" s="239">
        <f t="shared" ca="1" si="968"/>
        <v>1.0984325718108032E-3</v>
      </c>
      <c r="AE1398" s="240">
        <f ca="1">IFERROR(IF(OR(Z1398="",Z1398=0),"",IF(AF1398="","",IF(AF1398="R$/mês",Z1398/OBRA!$D$12,IF(AF1398="R$/m²",Z1398/OBRA!$D$10,IF(AF1398="R$/apto",Orçamento!Z1398/OBRA!$D$11,""))))),"")</f>
        <v>3.9402251792325145</v>
      </c>
      <c r="AF1398" s="241" t="s">
        <v>154</v>
      </c>
    </row>
    <row r="1399" spans="1:32" s="10" customFormat="1" ht="13.15" hidden="1" customHeight="1" outlineLevel="4" x14ac:dyDescent="0.2">
      <c r="A1399" s="227"/>
      <c r="B1399" s="228" t="s">
        <v>19</v>
      </c>
      <c r="C1399" s="229">
        <f t="shared" si="966"/>
        <v>3</v>
      </c>
      <c r="D1399" s="227" t="str">
        <f>IF(B1399="Unidade Construtiva",TEXT(F1399,"00"),IF(B1399="Célula Construtiva",TEXT(H1399,"00"),IF(B1399="Etapa",CONCATENATE(TEXT(H1399,"00"),".",TEXT(J1399,"000")),IF(B1399="Subetapa",CONCATENATE(TEXT(H1399,"00"),".",TEXT(J1399,"000"),".",TEXT(L1399,"000")),IF(B1399="Serviço",CONCATENATE(TEXT(H1399,"00"),".",TEXT(J1399,"000"),".",TEXT(L1399,"000"),".",TEXT(N1399,"000")),"")))))</f>
        <v/>
      </c>
      <c r="E1399" s="228" t="str">
        <f ca="1">IF(B1399="*","",IFERROR(IF(B1399="SERVIÇO",D1399,OFFSET(E1399,-1,0)),""))</f>
        <v>14.002.002.001</v>
      </c>
      <c r="F1399" s="230">
        <f ca="1">IF($B1399="UNIDADE CONSTRUTIVA",OFFSET(F1399,-1,0)+1,LARGE(F$10:F1398,1))</f>
        <v>2</v>
      </c>
      <c r="G1399" s="228" t="str">
        <f ca="1">IF(B1399="*","",IF(B1399="UNIDADE CONSTRUTIVA",S1399,OFFSET(G1399,-1,0)))</f>
        <v xml:space="preserve">   GERENCIAMENTO EXECUTIVO</v>
      </c>
      <c r="H1399" s="230">
        <f ca="1">IF(B1399="UNIDADE CONSTRUTIVA",0,IF(B1399="CÉLULA CONSTRUTIVA",OFFSET(H1399,-1,0)+1,OFFSET(H1399,-1,0)))</f>
        <v>14</v>
      </c>
      <c r="I1399" s="228" t="str">
        <f ca="1">IF(B1399="*","",IF(B1399="CÉLULA CONSTRUTIVA",S1399,OFFSET(I1399,-1,0)))</f>
        <v xml:space="preserve">   REVESTIMENTOS E ACABAMENTOS INTERNOS EM TETO</v>
      </c>
      <c r="J1399" s="230">
        <f ca="1">IF(B1399="CÉLULA CONSTRUTIVA",0,IF(B1399="ETAPA",OFFSET(J1399,-1,0)+1,OFFSET(J1399,-1,0)))</f>
        <v>2</v>
      </c>
      <c r="K1399" s="228" t="str">
        <f ca="1">IF(B1399="*","",IF(B1399="ETAPA",S1399,OFFSET(K1399,-1,0)))</f>
        <v xml:space="preserve">   REVESTIMENTOS E ACABAMENTOS INTERNOS EM TETO - 2º PAVIMENTO - TÉRREO</v>
      </c>
      <c r="L1399" s="231">
        <f ca="1">IF(B1399="ETAPA",0,IF(B1399="SUBETAPA",OFFSET(L1399,-1,0)+1,OFFSET(L1399,-1,0)))</f>
        <v>2</v>
      </c>
      <c r="M1399" s="228" t="str">
        <f ca="1">IF(B1399="*","",IF(B1399="SUBETAPA",S1399,OFFSET(M1399,-1,0)))</f>
        <v xml:space="preserve">   Acabamento em Gesso</v>
      </c>
      <c r="N1399" s="231">
        <f ca="1">IF(B1399="Subetapa",0,IF(B1399="serviço",OFFSET(N1399,-1,0)+1,OFFSET(N1399,-1,0)))</f>
        <v>1</v>
      </c>
      <c r="O1399" s="228" t="str">
        <f ca="1">IF(B1399="*","",IF(B1399="SERVIÇO",S1399,OFFSET(O1399,-1,0)))</f>
        <v>Forro de Gesso em Placa - material e mao de obra</v>
      </c>
      <c r="P1399" s="232" t="str">
        <f>IF(S1399="","",IF(Orçamento!$B1399="INSUMO",S1399,""))</f>
        <v>GESSO PLACA 600X600X12MM NBR 13207/13867</v>
      </c>
      <c r="Q1399" s="244" t="str">
        <f>IF(B1399="","",IF(B1399="Serviço",S1399,""))</f>
        <v/>
      </c>
      <c r="R1399" s="234">
        <f ca="1">IF(B1399="serviço",U1399,OFFSET(R1399,-1,0))</f>
        <v>110.16</v>
      </c>
      <c r="S1399" s="233" t="s">
        <v>1141</v>
      </c>
      <c r="T1399" s="242" t="str">
        <f>_xlfn.XLOOKUP(S1399,Insumos!$A$3:$A$371,Insumos!$B$3:$B$371)</f>
        <v>UN</v>
      </c>
      <c r="U1399" s="235">
        <f t="shared" ref="U1399:U1406" ca="1" si="999">IF($B1399="insumo",R1399,"")</f>
        <v>110.16</v>
      </c>
      <c r="V1399" s="320">
        <f>ROUNDUP(1/(0.6*0.6),4)</f>
        <v>2.7778</v>
      </c>
      <c r="W1399" s="236">
        <f>IFERROR(IF(B1399="INSUMO",_xlfn.XLOOKUP(S1399,Insumos!A:A,Insumos!C:C),""),"Inserir Preço")</f>
        <v>8.3800000000000008</v>
      </c>
      <c r="X1399" s="235">
        <f ca="1">IF(B1399="Complemento do insumo",V1399,IF(R1399="","",IF(B1399="serviço",R1399,IF(OR(B1399="insumo"),V1399*R1399,""))))</f>
        <v>306.00244800000002</v>
      </c>
      <c r="Y1399" s="236">
        <f t="shared" si="984"/>
        <v>23.277964000000004</v>
      </c>
      <c r="Z1399" s="237">
        <f t="shared" ca="1" si="967"/>
        <v>2564.3005142400002</v>
      </c>
      <c r="AA1399" s="238"/>
      <c r="AB1399" s="233">
        <f>IF(B1399="insumo",_xlfn.XLOOKUP(S1399,Insumos!A:A,Insumos!D:D),"")</f>
        <v>0</v>
      </c>
      <c r="AC1399" s="239">
        <f t="shared" ca="1" si="968"/>
        <v>3.6787228801997277E-4</v>
      </c>
      <c r="AE1399" s="240">
        <f ca="1">IFERROR(IF(OR(Z1399="",Z1399=0),"",IF(AF1399="","",IF(AF1399="R$/mês",Z1399/OBRA!$D$12,IF(AF1399="R$/m²",Z1399/OBRA!$D$10,IF(AF1399="R$/apto",Orçamento!Z1399/OBRA!$D$11,""))))),"")</f>
        <v>1.3196073106322979</v>
      </c>
      <c r="AF1399" s="241" t="s">
        <v>154</v>
      </c>
    </row>
    <row r="1400" spans="1:32" s="10" customFormat="1" ht="13.15" hidden="1" customHeight="1" outlineLevel="4" x14ac:dyDescent="0.2">
      <c r="A1400" s="227"/>
      <c r="B1400" s="228" t="s">
        <v>19</v>
      </c>
      <c r="C1400" s="229">
        <f t="shared" si="966"/>
        <v>3</v>
      </c>
      <c r="D1400" s="227" t="str">
        <f>IF(B1400="Unidade Construtiva",TEXT(F1400,"00"),IF(B1400="Célula Construtiva",TEXT(H1400,"00"),IF(B1400="Etapa",CONCATENATE(TEXT(H1400,"00"),".",TEXT(J1400,"000")),IF(B1400="Subetapa",CONCATENATE(TEXT(H1400,"00"),".",TEXT(J1400,"000"),".",TEXT(L1400,"000")),IF(B1400="Serviço",CONCATENATE(TEXT(H1400,"00"),".",TEXT(J1400,"000"),".",TEXT(L1400,"000"),".",TEXT(N1400,"000")),"")))))</f>
        <v/>
      </c>
      <c r="E1400" s="228" t="str">
        <f ca="1">IF(B1400="*","",IFERROR(IF(B1400="SERVIÇO",D1400,OFFSET(E1400,-1,0)),""))</f>
        <v>14.002.002.001</v>
      </c>
      <c r="F1400" s="230">
        <f ca="1">IF($B1400="UNIDADE CONSTRUTIVA",OFFSET(F1400,-1,0)+1,LARGE(F$10:F1399,1))</f>
        <v>2</v>
      </c>
      <c r="G1400" s="228" t="str">
        <f ca="1">IF(B1400="*","",IF(B1400="UNIDADE CONSTRUTIVA",S1400,OFFSET(G1400,-1,0)))</f>
        <v xml:space="preserve">   GERENCIAMENTO EXECUTIVO</v>
      </c>
      <c r="H1400" s="230">
        <f ca="1">IF(B1400="UNIDADE CONSTRUTIVA",0,IF(B1400="CÉLULA CONSTRUTIVA",OFFSET(H1400,-1,0)+1,OFFSET(H1400,-1,0)))</f>
        <v>14</v>
      </c>
      <c r="I1400" s="228" t="str">
        <f ca="1">IF(B1400="*","",IF(B1400="CÉLULA CONSTRUTIVA",S1400,OFFSET(I1400,-1,0)))</f>
        <v xml:space="preserve">   REVESTIMENTOS E ACABAMENTOS INTERNOS EM TETO</v>
      </c>
      <c r="J1400" s="230">
        <f ca="1">IF(B1400="CÉLULA CONSTRUTIVA",0,IF(B1400="ETAPA",OFFSET(J1400,-1,0)+1,OFFSET(J1400,-1,0)))</f>
        <v>2</v>
      </c>
      <c r="K1400" s="228" t="str">
        <f ca="1">IF(B1400="*","",IF(B1400="ETAPA",S1400,OFFSET(K1400,-1,0)))</f>
        <v xml:space="preserve">   REVESTIMENTOS E ACABAMENTOS INTERNOS EM TETO - 2º PAVIMENTO - TÉRREO</v>
      </c>
      <c r="L1400" s="231">
        <f ca="1">IF(B1400="ETAPA",0,IF(B1400="SUBETAPA",OFFSET(L1400,-1,0)+1,OFFSET(L1400,-1,0)))</f>
        <v>2</v>
      </c>
      <c r="M1400" s="228" t="str">
        <f ca="1">IF(B1400="*","",IF(B1400="SUBETAPA",S1400,OFFSET(M1400,-1,0)))</f>
        <v xml:space="preserve">   Acabamento em Gesso</v>
      </c>
      <c r="N1400" s="231">
        <f ca="1">IF(B1400="Subetapa",0,IF(B1400="serviço",OFFSET(N1400,-1,0)+1,OFFSET(N1400,-1,0)))</f>
        <v>1</v>
      </c>
      <c r="O1400" s="228" t="str">
        <f ca="1">IF(B1400="*","",IF(B1400="SERVIÇO",S1400,OFFSET(O1400,-1,0)))</f>
        <v>Forro de Gesso em Placa - material e mao de obra</v>
      </c>
      <c r="P1400" s="232" t="str">
        <f>IF(S1400="","",IF(Orçamento!$B1400="INSUMO",S1400,""))</f>
        <v>GESSO PO SECAGEM LENTA KG NBR 13207/13867</v>
      </c>
      <c r="Q1400" s="244" t="str">
        <f>IF(B1400="","",IF(B1400="Serviço",S1400,""))</f>
        <v/>
      </c>
      <c r="R1400" s="234">
        <f ca="1">IF(B1400="serviço",U1400,OFFSET(R1400,-1,0))</f>
        <v>110.16</v>
      </c>
      <c r="S1400" s="233" t="s">
        <v>1142</v>
      </c>
      <c r="T1400" s="242" t="str">
        <f>_xlfn.XLOOKUP(S1400,Insumos!$A$3:$A$371,Insumos!$B$3:$B$371)</f>
        <v>kg</v>
      </c>
      <c r="U1400" s="235">
        <f t="shared" ca="1" si="999"/>
        <v>110.16</v>
      </c>
      <c r="V1400" s="320">
        <v>0.9</v>
      </c>
      <c r="W1400" s="236">
        <f>IFERROR(IF(B1400="INSUMO",_xlfn.XLOOKUP(S1400,Insumos!A:A,Insumos!C:C),""),"Inserir Preço")</f>
        <v>2.99</v>
      </c>
      <c r="X1400" s="235">
        <f ca="1">IF(B1400="Complemento do insumo",V1400,IF(R1400="","",IF(B1400="serviço",R1400,IF(OR(B1400="insumo"),V1400*R1400,""))))</f>
        <v>99.144000000000005</v>
      </c>
      <c r="Y1400" s="236">
        <f t="shared" si="984"/>
        <v>2.6910000000000003</v>
      </c>
      <c r="Z1400" s="237">
        <f t="shared" ca="1" si="967"/>
        <v>296.44056000000006</v>
      </c>
      <c r="AA1400" s="238"/>
      <c r="AB1400" s="233">
        <f>IF(B1400="insumo",_xlfn.XLOOKUP(S1400,Insumos!A:A,Insumos!D:D),"")</f>
        <v>0</v>
      </c>
      <c r="AC1400" s="239">
        <f t="shared" ca="1" si="968"/>
        <v>4.2527101041214208E-5</v>
      </c>
      <c r="AE1400" s="240">
        <f ca="1">IFERROR(IF(OR(Z1400="",Z1400=0),"",IF(AF1400="","",IF(AF1400="R$/mês",Z1400/OBRA!$D$12,IF(AF1400="R$/m²",Z1400/OBRA!$D$10,IF(AF1400="R$/apto",Orçamento!Z1400/OBRA!$D$11,""))))),"")</f>
        <v>0.15255042377896597</v>
      </c>
      <c r="AF1400" s="241" t="s">
        <v>154</v>
      </c>
    </row>
    <row r="1401" spans="1:32" s="10" customFormat="1" ht="13.15" hidden="1" customHeight="1" outlineLevel="4" x14ac:dyDescent="0.2">
      <c r="A1401" s="227"/>
      <c r="B1401" s="228" t="s">
        <v>19</v>
      </c>
      <c r="C1401" s="229">
        <f t="shared" si="966"/>
        <v>3</v>
      </c>
      <c r="D1401" s="227" t="str">
        <f>IF(B1401="Unidade Construtiva",TEXT(F1401,"00"),IF(B1401="Célula Construtiva",TEXT(H1401,"00"),IF(B1401="Etapa",CONCATENATE(TEXT(H1401,"00"),".",TEXT(J1401,"000")),IF(B1401="Subetapa",CONCATENATE(TEXT(H1401,"00"),".",TEXT(J1401,"000"),".",TEXT(L1401,"000")),IF(B1401="Serviço",CONCATENATE(TEXT(H1401,"00"),".",TEXT(J1401,"000"),".",TEXT(L1401,"000"),".",TEXT(N1401,"000")),"")))))</f>
        <v/>
      </c>
      <c r="E1401" s="228" t="str">
        <f ca="1">IF(B1401="*","",IFERROR(IF(B1401="SERVIÇO",D1401,OFFSET(E1401,-1,0)),""))</f>
        <v>14.002.002.001</v>
      </c>
      <c r="F1401" s="230">
        <f ca="1">IF($B1401="UNIDADE CONSTRUTIVA",OFFSET(F1401,-1,0)+1,LARGE(F$10:F1400,1))</f>
        <v>2</v>
      </c>
      <c r="G1401" s="228" t="str">
        <f ca="1">IF(B1401="*","",IF(B1401="UNIDADE CONSTRUTIVA",S1401,OFFSET(G1401,-1,0)))</f>
        <v xml:space="preserve">   GERENCIAMENTO EXECUTIVO</v>
      </c>
      <c r="H1401" s="230">
        <f ca="1">IF(B1401="UNIDADE CONSTRUTIVA",0,IF(B1401="CÉLULA CONSTRUTIVA",OFFSET(H1401,-1,0)+1,OFFSET(H1401,-1,0)))</f>
        <v>14</v>
      </c>
      <c r="I1401" s="228" t="str">
        <f ca="1">IF(B1401="*","",IF(B1401="CÉLULA CONSTRUTIVA",S1401,OFFSET(I1401,-1,0)))</f>
        <v xml:space="preserve">   REVESTIMENTOS E ACABAMENTOS INTERNOS EM TETO</v>
      </c>
      <c r="J1401" s="230">
        <f ca="1">IF(B1401="CÉLULA CONSTRUTIVA",0,IF(B1401="ETAPA",OFFSET(J1401,-1,0)+1,OFFSET(J1401,-1,0)))</f>
        <v>2</v>
      </c>
      <c r="K1401" s="228" t="str">
        <f ca="1">IF(B1401="*","",IF(B1401="ETAPA",S1401,OFFSET(K1401,-1,0)))</f>
        <v xml:space="preserve">   REVESTIMENTOS E ACABAMENTOS INTERNOS EM TETO - 2º PAVIMENTO - TÉRREO</v>
      </c>
      <c r="L1401" s="231">
        <f ca="1">IF(B1401="ETAPA",0,IF(B1401="SUBETAPA",OFFSET(L1401,-1,0)+1,OFFSET(L1401,-1,0)))</f>
        <v>2</v>
      </c>
      <c r="M1401" s="228" t="str">
        <f ca="1">IF(B1401="*","",IF(B1401="SUBETAPA",S1401,OFFSET(M1401,-1,0)))</f>
        <v xml:space="preserve">   Acabamento em Gesso</v>
      </c>
      <c r="N1401" s="231">
        <f ca="1">IF(B1401="Subetapa",0,IF(B1401="serviço",OFFSET(N1401,-1,0)+1,OFFSET(N1401,-1,0)))</f>
        <v>1</v>
      </c>
      <c r="O1401" s="228" t="str">
        <f ca="1">IF(B1401="*","",IF(B1401="SERVIÇO",S1401,OFFSET(O1401,-1,0)))</f>
        <v>Forro de Gesso em Placa - material e mao de obra</v>
      </c>
      <c r="P1401" s="232" t="str">
        <f>IF(S1401="","",IF(Orçamento!$B1401="INSUMO",S1401,""))</f>
        <v>SISAL P/ESTUQUE GESSO NBR 13207/13867</v>
      </c>
      <c r="Q1401" s="244" t="str">
        <f>IF(B1401="","",IF(B1401="Serviço",S1401,""))</f>
        <v/>
      </c>
      <c r="R1401" s="234">
        <f ca="1">IF(B1401="serviço",U1401,OFFSET(R1401,-1,0))</f>
        <v>110.16</v>
      </c>
      <c r="S1401" s="233" t="s">
        <v>1143</v>
      </c>
      <c r="T1401" s="242" t="str">
        <f>_xlfn.XLOOKUP(S1401,Insumos!$A$3:$A$371,Insumos!$B$3:$B$371)</f>
        <v>KG</v>
      </c>
      <c r="U1401" s="235">
        <f t="shared" ca="1" si="999"/>
        <v>110.16</v>
      </c>
      <c r="V1401" s="320">
        <v>8.0000000000000002E-3</v>
      </c>
      <c r="W1401" s="236">
        <f>IFERROR(IF(B1401="INSUMO",_xlfn.XLOOKUP(S1401,Insumos!A:A,Insumos!C:C),""),"Inserir Preço")</f>
        <v>29.26</v>
      </c>
      <c r="X1401" s="235">
        <f ca="1">IF(B1401="Complemento do insumo",V1401,IF(R1401="","",IF(B1401="serviço",R1401,IF(OR(B1401="insumo"),V1401*R1401,""))))</f>
        <v>0.88127999999999995</v>
      </c>
      <c r="Y1401" s="236">
        <f t="shared" si="984"/>
        <v>0.23408000000000001</v>
      </c>
      <c r="Z1401" s="237">
        <f t="shared" ca="1" si="967"/>
        <v>25.7862528</v>
      </c>
      <c r="AA1401" s="238"/>
      <c r="AB1401" s="233">
        <f>IF(B1401="insumo",_xlfn.XLOOKUP(S1401,Insumos!A:A,Insumos!D:D),"")</f>
        <v>0</v>
      </c>
      <c r="AC1401" s="239">
        <f t="shared" ca="1" si="968"/>
        <v>3.6992730627006388E-6</v>
      </c>
      <c r="AE1401" s="240">
        <f ca="1">IFERROR(IF(OR(Z1401="",Z1401=0),"",IF(AF1401="","",IF(AF1401="R$/mês",Z1401/OBRA!$D$12,IF(AF1401="R$/m²",Z1401/OBRA!$D$10,IF(AF1401="R$/apto",Orçamento!Z1401/OBRA!$D$11,""))))),"")</f>
        <v>1.3269789371304477E-2</v>
      </c>
      <c r="AF1401" s="241" t="s">
        <v>154</v>
      </c>
    </row>
    <row r="1402" spans="1:32" s="10" customFormat="1" ht="13.15" hidden="1" customHeight="1" outlineLevel="4" x14ac:dyDescent="0.2">
      <c r="A1402" s="227"/>
      <c r="B1402" s="228" t="s">
        <v>19</v>
      </c>
      <c r="C1402" s="229">
        <f t="shared" si="966"/>
        <v>3</v>
      </c>
      <c r="D1402" s="227" t="str">
        <f>IF(B1402="Unidade Construtiva",TEXT(F1402,"00"),IF(B1402="Célula Construtiva",TEXT(H1402,"00"),IF(B1402="Etapa",CONCATENATE(TEXT(H1402,"00"),".",TEXT(J1402,"000")),IF(B1402="Subetapa",CONCATENATE(TEXT(H1402,"00"),".",TEXT(J1402,"000"),".",TEXT(L1402,"000")),IF(B1402="Serviço",CONCATENATE(TEXT(H1402,"00"),".",TEXT(J1402,"000"),".",TEXT(L1402,"000"),".",TEXT(N1402,"000")),"")))))</f>
        <v/>
      </c>
      <c r="E1402" s="228" t="str">
        <f ca="1">IF(B1402="*","",IFERROR(IF(B1402="SERVIÇO",D1402,OFFSET(E1402,-1,0)),""))</f>
        <v>14.002.002.001</v>
      </c>
      <c r="F1402" s="230">
        <f ca="1">IF($B1402="UNIDADE CONSTRUTIVA",OFFSET(F1402,-1,0)+1,LARGE(F$10:F1401,1))</f>
        <v>2</v>
      </c>
      <c r="G1402" s="228" t="str">
        <f ca="1">IF(B1402="*","",IF(B1402="UNIDADE CONSTRUTIVA",S1402,OFFSET(G1402,-1,0)))</f>
        <v xml:space="preserve">   GERENCIAMENTO EXECUTIVO</v>
      </c>
      <c r="H1402" s="230">
        <f ca="1">IF(B1402="UNIDADE CONSTRUTIVA",0,IF(B1402="CÉLULA CONSTRUTIVA",OFFSET(H1402,-1,0)+1,OFFSET(H1402,-1,0)))</f>
        <v>14</v>
      </c>
      <c r="I1402" s="228" t="str">
        <f ca="1">IF(B1402="*","",IF(B1402="CÉLULA CONSTRUTIVA",S1402,OFFSET(I1402,-1,0)))</f>
        <v xml:space="preserve">   REVESTIMENTOS E ACABAMENTOS INTERNOS EM TETO</v>
      </c>
      <c r="J1402" s="230">
        <f ca="1">IF(B1402="CÉLULA CONSTRUTIVA",0,IF(B1402="ETAPA",OFFSET(J1402,-1,0)+1,OFFSET(J1402,-1,0)))</f>
        <v>2</v>
      </c>
      <c r="K1402" s="228" t="str">
        <f ca="1">IF(B1402="*","",IF(B1402="ETAPA",S1402,OFFSET(K1402,-1,0)))</f>
        <v xml:space="preserve">   REVESTIMENTOS E ACABAMENTOS INTERNOS EM TETO - 2º PAVIMENTO - TÉRREO</v>
      </c>
      <c r="L1402" s="231">
        <f ca="1">IF(B1402="ETAPA",0,IF(B1402="SUBETAPA",OFFSET(L1402,-1,0)+1,OFFSET(L1402,-1,0)))</f>
        <v>2</v>
      </c>
      <c r="M1402" s="228" t="str">
        <f ca="1">IF(B1402="*","",IF(B1402="SUBETAPA",S1402,OFFSET(M1402,-1,0)))</f>
        <v xml:space="preserve">   Acabamento em Gesso</v>
      </c>
      <c r="N1402" s="231">
        <f ca="1">IF(B1402="Subetapa",0,IF(B1402="serviço",OFFSET(N1402,-1,0)+1,OFFSET(N1402,-1,0)))</f>
        <v>1</v>
      </c>
      <c r="O1402" s="228" t="str">
        <f ca="1">IF(B1402="*","",IF(B1402="SERVIÇO",S1402,OFFSET(O1402,-1,0)))</f>
        <v>Forro de Gesso em Placa - material e mao de obra</v>
      </c>
      <c r="P1402" s="232" t="str">
        <f>IF(S1402="","",IF(Orçamento!$B1402="INSUMO",S1402,""))</f>
        <v>PINO LISO P/FIXACAO DIRETA C/ARRUELA 23MM CONICA 1/4"X28MM</v>
      </c>
      <c r="Q1402" s="244" t="str">
        <f>IF(B1402="","",IF(B1402="Serviço",S1402,""))</f>
        <v/>
      </c>
      <c r="R1402" s="234">
        <f ca="1">IF(B1402="serviço",U1402,OFFSET(R1402,-1,0))</f>
        <v>110.16</v>
      </c>
      <c r="S1402" s="233" t="s">
        <v>1144</v>
      </c>
      <c r="T1402" s="242" t="str">
        <f>_xlfn.XLOOKUP(S1402,Insumos!$A$3:$A$371,Insumos!$B$3:$B$371)</f>
        <v>UN</v>
      </c>
      <c r="U1402" s="235">
        <f t="shared" ca="1" si="999"/>
        <v>110.16</v>
      </c>
      <c r="V1402" s="320">
        <v>3</v>
      </c>
      <c r="W1402" s="236">
        <f>IFERROR(IF(B1402="INSUMO",_xlfn.XLOOKUP(S1402,Insumos!A:A,Insumos!C:C),""),"Inserir Preço")</f>
        <v>0.3</v>
      </c>
      <c r="X1402" s="235">
        <f ca="1">IF(B1402="Complemento do insumo",V1402,IF(R1402="","",IF(B1402="serviço",R1402,IF(OR(B1402="insumo"),V1402*R1402,""))))</f>
        <v>330.48</v>
      </c>
      <c r="Y1402" s="236">
        <f t="shared" si="984"/>
        <v>0.89999999999999991</v>
      </c>
      <c r="Z1402" s="237">
        <f t="shared" ca="1" si="967"/>
        <v>99.144000000000005</v>
      </c>
      <c r="AA1402" s="238"/>
      <c r="AB1402" s="233" t="str">
        <f>IF(B1402="insumo",_xlfn.XLOOKUP(S1402,Insumos!A:A,Insumos!D:D),"")</f>
        <v xml:space="preserve"> </v>
      </c>
      <c r="AC1402" s="239">
        <f t="shared" ca="1" si="968"/>
        <v>1.4223110716125151E-5</v>
      </c>
      <c r="AE1402" s="240">
        <f ca="1">IFERROR(IF(OR(Z1402="",Z1402=0),"",IF(AF1402="","",IF(AF1402="R$/mês",Z1402/OBRA!$D$12,IF(AF1402="R$/m²",Z1402/OBRA!$D$10,IF(AF1402="R$/apto",Orçamento!Z1402/OBRA!$D$11,""))))),"")</f>
        <v>5.1020208621727743E-2</v>
      </c>
      <c r="AF1402" s="241" t="s">
        <v>154</v>
      </c>
    </row>
    <row r="1403" spans="1:32" s="10" customFormat="1" ht="13.15" hidden="1" customHeight="1" outlineLevel="4" x14ac:dyDescent="0.2">
      <c r="A1403" s="227"/>
      <c r="B1403" s="228" t="s">
        <v>19</v>
      </c>
      <c r="C1403" s="229">
        <f t="shared" si="966"/>
        <v>3</v>
      </c>
      <c r="D1403" s="227" t="str">
        <f t="shared" si="985"/>
        <v/>
      </c>
      <c r="E1403" s="228" t="str">
        <f t="shared" ca="1" si="986"/>
        <v>14.002.002.001</v>
      </c>
      <c r="F1403" s="230">
        <f ca="1">IF($B1403="UNIDADE CONSTRUTIVA",OFFSET(F1403,-1,0)+1,LARGE(F$10:F1402,1))</f>
        <v>2</v>
      </c>
      <c r="G1403" s="228" t="str">
        <f t="shared" ca="1" si="987"/>
        <v xml:space="preserve">   GERENCIAMENTO EXECUTIVO</v>
      </c>
      <c r="H1403" s="230">
        <f t="shared" ca="1" si="988"/>
        <v>14</v>
      </c>
      <c r="I1403" s="228" t="str">
        <f t="shared" ca="1" si="989"/>
        <v xml:space="preserve">   REVESTIMENTOS E ACABAMENTOS INTERNOS EM TETO</v>
      </c>
      <c r="J1403" s="230">
        <f t="shared" ca="1" si="990"/>
        <v>2</v>
      </c>
      <c r="K1403" s="228" t="str">
        <f t="shared" ca="1" si="991"/>
        <v xml:space="preserve">   REVESTIMENTOS E ACABAMENTOS INTERNOS EM TETO - 2º PAVIMENTO - TÉRREO</v>
      </c>
      <c r="L1403" s="231">
        <f t="shared" ca="1" si="992"/>
        <v>2</v>
      </c>
      <c r="M1403" s="228" t="str">
        <f t="shared" ca="1" si="993"/>
        <v xml:space="preserve">   Acabamento em Gesso</v>
      </c>
      <c r="N1403" s="231">
        <f t="shared" ca="1" si="994"/>
        <v>1</v>
      </c>
      <c r="O1403" s="228" t="str">
        <f t="shared" ca="1" si="995"/>
        <v>Forro de Gesso em Placa - material e mao de obra</v>
      </c>
      <c r="P1403" s="232" t="str">
        <f>IF(S1403="","",IF(Orçamento!$B1403="INSUMO",S1403,""))</f>
        <v>ARAME ACO CARBONO GALVANIZADO LISO BWG 16 FIO 1,65MM NBR 6207</v>
      </c>
      <c r="Q1403" s="244" t="str">
        <f t="shared" si="996"/>
        <v/>
      </c>
      <c r="R1403" s="234">
        <f t="shared" ca="1" si="997"/>
        <v>110.16</v>
      </c>
      <c r="S1403" s="233" t="s">
        <v>1145</v>
      </c>
      <c r="T1403" s="242" t="str">
        <f>_xlfn.XLOOKUP(S1403,Insumos!$A$3:$A$371,Insumos!$B$3:$B$371)</f>
        <v>KG</v>
      </c>
      <c r="U1403" s="235">
        <f t="shared" ca="1" si="999"/>
        <v>110.16</v>
      </c>
      <c r="V1403" s="320">
        <v>0.02</v>
      </c>
      <c r="W1403" s="236">
        <f>IFERROR(IF(B1403="INSUMO",_xlfn.XLOOKUP(S1403,Insumos!A:A,Insumos!C:C),""),"Inserir Preço")</f>
        <v>10.14</v>
      </c>
      <c r="X1403" s="235">
        <f t="shared" ca="1" si="998"/>
        <v>2.2031999999999998</v>
      </c>
      <c r="Y1403" s="236">
        <f t="shared" si="984"/>
        <v>0.20280000000000001</v>
      </c>
      <c r="Z1403" s="237">
        <f t="shared" ca="1" si="967"/>
        <v>22.340447999999999</v>
      </c>
      <c r="AA1403" s="238"/>
      <c r="AB1403" s="233">
        <f>IF(B1403="insumo",_xlfn.XLOOKUP(S1403,Insumos!A:A,Insumos!D:D),"")</f>
        <v>0</v>
      </c>
      <c r="AC1403" s="239">
        <f t="shared" ca="1" si="968"/>
        <v>3.2049409480335335E-6</v>
      </c>
      <c r="AE1403" s="240">
        <f ca="1">IFERROR(IF(OR(Z1403="",Z1403=0),"",IF(AF1403="","",IF(AF1403="R$/mês",Z1403/OBRA!$D$12,IF(AF1403="R$/m²",Z1403/OBRA!$D$10,IF(AF1403="R$/apto",Orçamento!Z1403/OBRA!$D$11,""))))),"")</f>
        <v>1.1496553676095984E-2</v>
      </c>
      <c r="AF1403" s="241" t="s">
        <v>154</v>
      </c>
    </row>
    <row r="1404" spans="1:32" s="10" customFormat="1" ht="13.15" hidden="1" customHeight="1" outlineLevel="4" x14ac:dyDescent="0.2">
      <c r="A1404" s="227"/>
      <c r="B1404" s="228" t="s">
        <v>19</v>
      </c>
      <c r="C1404" s="229">
        <f t="shared" si="966"/>
        <v>3</v>
      </c>
      <c r="D1404" s="227" t="str">
        <f>IF(B1404="Unidade Construtiva",TEXT(F1404,"00"),IF(B1404="Célula Construtiva",TEXT(H1404,"00"),IF(B1404="Etapa",CONCATENATE(TEXT(H1404,"00"),".",TEXT(J1404,"000")),IF(B1404="Subetapa",CONCATENATE(TEXT(H1404,"00"),".",TEXT(J1404,"000"),".",TEXT(L1404,"000")),IF(B1404="Serviço",CONCATENATE(TEXT(H1404,"00"),".",TEXT(J1404,"000"),".",TEXT(L1404,"000"),".",TEXT(N1404,"000")),"")))))</f>
        <v/>
      </c>
      <c r="E1404" s="228" t="str">
        <f ca="1">IF(B1404="*","",IFERROR(IF(B1404="SERVIÇO",D1404,OFFSET(E1404,-1,0)),""))</f>
        <v>14.002.002.001</v>
      </c>
      <c r="F1404" s="230">
        <f ca="1">IF($B1404="UNIDADE CONSTRUTIVA",OFFSET(F1404,-1,0)+1,LARGE(F$10:F1403,1))</f>
        <v>2</v>
      </c>
      <c r="G1404" s="228" t="str">
        <f ca="1">IF(B1404="*","",IF(B1404="UNIDADE CONSTRUTIVA",S1404,OFFSET(G1404,-1,0)))</f>
        <v xml:space="preserve">   GERENCIAMENTO EXECUTIVO</v>
      </c>
      <c r="H1404" s="230">
        <f ca="1">IF(B1404="UNIDADE CONSTRUTIVA",0,IF(B1404="CÉLULA CONSTRUTIVA",OFFSET(H1404,-1,0)+1,OFFSET(H1404,-1,0)))</f>
        <v>14</v>
      </c>
      <c r="I1404" s="228" t="str">
        <f ca="1">IF(B1404="*","",IF(B1404="CÉLULA CONSTRUTIVA",S1404,OFFSET(I1404,-1,0)))</f>
        <v xml:space="preserve">   REVESTIMENTOS E ACABAMENTOS INTERNOS EM TETO</v>
      </c>
      <c r="J1404" s="230">
        <f ca="1">IF(B1404="CÉLULA CONSTRUTIVA",0,IF(B1404="ETAPA",OFFSET(J1404,-1,0)+1,OFFSET(J1404,-1,0)))</f>
        <v>2</v>
      </c>
      <c r="K1404" s="228" t="str">
        <f ca="1">IF(B1404="*","",IF(B1404="ETAPA",S1404,OFFSET(K1404,-1,0)))</f>
        <v xml:space="preserve">   REVESTIMENTOS E ACABAMENTOS INTERNOS EM TETO - 2º PAVIMENTO - TÉRREO</v>
      </c>
      <c r="L1404" s="231">
        <f ca="1">IF(B1404="ETAPA",0,IF(B1404="SUBETAPA",OFFSET(L1404,-1,0)+1,OFFSET(L1404,-1,0)))</f>
        <v>2</v>
      </c>
      <c r="M1404" s="228" t="str">
        <f ca="1">IF(B1404="*","",IF(B1404="SUBETAPA",S1404,OFFSET(M1404,-1,0)))</f>
        <v xml:space="preserve">   Acabamento em Gesso</v>
      </c>
      <c r="N1404" s="231">
        <f ca="1">IF(B1404="Subetapa",0,IF(B1404="serviço",OFFSET(N1404,-1,0)+1,OFFSET(N1404,-1,0)))</f>
        <v>1</v>
      </c>
      <c r="O1404" s="228" t="str">
        <f ca="1">IF(B1404="*","",IF(B1404="SERVIÇO",S1404,OFFSET(O1404,-1,0)))</f>
        <v>Forro de Gesso em Placa - material e mao de obra</v>
      </c>
      <c r="P1404" s="232" t="str">
        <f>IF(S1404="","",IF(Orçamento!$B1404="INSUMO",S1404,""))</f>
        <v>SERVICO EMP. - INST. FORRO GESSO</v>
      </c>
      <c r="Q1404" s="244" t="str">
        <f>IF(B1404="","",IF(B1404="Serviço",S1404,""))</f>
        <v/>
      </c>
      <c r="R1404" s="234">
        <f ca="1">IF(B1404="serviço",U1404,OFFSET(R1404,-1,0))</f>
        <v>110.16</v>
      </c>
      <c r="S1404" s="233" t="s">
        <v>1146</v>
      </c>
      <c r="T1404" s="242" t="str">
        <f>_xlfn.XLOOKUP(S1404,Insumos!$A$3:$A$371,Insumos!$B$3:$B$371)</f>
        <v>M2</v>
      </c>
      <c r="U1404" s="235">
        <f t="shared" ca="1" si="999"/>
        <v>110.16</v>
      </c>
      <c r="V1404" s="320">
        <v>1</v>
      </c>
      <c r="W1404" s="236">
        <f>IFERROR(IF(B1404="INSUMO",_xlfn.XLOOKUP(S1404,Insumos!A:A,Insumos!C:C),""),"Inserir Preço")</f>
        <v>23</v>
      </c>
      <c r="X1404" s="235">
        <f ca="1">IF(B1404="Complemento do insumo",V1404,IF(R1404="","",IF(B1404="serviço",R1404,IF(OR(B1404="insumo"),V1404*R1404,""))))</f>
        <v>110.16</v>
      </c>
      <c r="Y1404" s="236">
        <f t="shared" si="984"/>
        <v>23</v>
      </c>
      <c r="Z1404" s="237">
        <f t="shared" ca="1" si="967"/>
        <v>2533.6799999999998</v>
      </c>
      <c r="AA1404" s="238"/>
      <c r="AB1404" s="233" t="str">
        <f>IF(B1404="insumo",_xlfn.XLOOKUP(S1404,Insumos!A:A,Insumos!D:D),"")</f>
        <v>Empreitada</v>
      </c>
      <c r="AC1404" s="239">
        <f t="shared" ca="1" si="968"/>
        <v>3.6347949607875381E-4</v>
      </c>
      <c r="AE1404" s="240">
        <f ca="1">IFERROR(IF(OR(Z1404="",Z1404=0),"",IF(AF1404="","",IF(AF1404="R$/mês",Z1404/OBRA!$D$12,IF(AF1404="R$/m²",Z1404/OBRA!$D$10,IF(AF1404="R$/apto",Orçamento!Z1404/OBRA!$D$11,""))))),"")</f>
        <v>1.3038497758885979</v>
      </c>
      <c r="AF1404" s="241" t="s">
        <v>154</v>
      </c>
    </row>
    <row r="1405" spans="1:32" s="10" customFormat="1" ht="13.15" hidden="1" customHeight="1" outlineLevel="4" x14ac:dyDescent="0.2">
      <c r="A1405" s="227"/>
      <c r="B1405" s="228" t="s">
        <v>19</v>
      </c>
      <c r="C1405" s="229">
        <f t="shared" si="966"/>
        <v>3</v>
      </c>
      <c r="D1405" s="227" t="str">
        <f t="shared" si="985"/>
        <v/>
      </c>
      <c r="E1405" s="228" t="str">
        <f t="shared" ca="1" si="986"/>
        <v>14.002.002.001</v>
      </c>
      <c r="F1405" s="230">
        <f ca="1">IF($B1405="UNIDADE CONSTRUTIVA",OFFSET(F1405,-1,0)+1,LARGE(F$10:F1404,1))</f>
        <v>2</v>
      </c>
      <c r="G1405" s="228" t="str">
        <f t="shared" ca="1" si="987"/>
        <v xml:space="preserve">   GERENCIAMENTO EXECUTIVO</v>
      </c>
      <c r="H1405" s="230">
        <f t="shared" ca="1" si="988"/>
        <v>14</v>
      </c>
      <c r="I1405" s="228" t="str">
        <f t="shared" ca="1" si="989"/>
        <v xml:space="preserve">   REVESTIMENTOS E ACABAMENTOS INTERNOS EM TETO</v>
      </c>
      <c r="J1405" s="230">
        <f t="shared" ca="1" si="990"/>
        <v>2</v>
      </c>
      <c r="K1405" s="228" t="str">
        <f t="shared" ca="1" si="991"/>
        <v xml:space="preserve">   REVESTIMENTOS E ACABAMENTOS INTERNOS EM TETO - 2º PAVIMENTO - TÉRREO</v>
      </c>
      <c r="L1405" s="231">
        <f t="shared" ca="1" si="992"/>
        <v>2</v>
      </c>
      <c r="M1405" s="228" t="str">
        <f t="shared" ca="1" si="993"/>
        <v xml:space="preserve">   Acabamento em Gesso</v>
      </c>
      <c r="N1405" s="231">
        <f t="shared" ca="1" si="994"/>
        <v>1</v>
      </c>
      <c r="O1405" s="228" t="str">
        <f t="shared" ca="1" si="995"/>
        <v>Forro de Gesso em Placa - material e mao de obra</v>
      </c>
      <c r="P1405" s="232" t="str">
        <f>IF(S1405="","",IF(Orçamento!$B1405="INSUMO",S1405,""))</f>
        <v>SERVICO EMP. - INST. FORRO GESSO NEGATIVO</v>
      </c>
      <c r="Q1405" s="244" t="str">
        <f t="shared" si="996"/>
        <v/>
      </c>
      <c r="R1405" s="234">
        <f t="shared" ca="1" si="997"/>
        <v>110.16</v>
      </c>
      <c r="S1405" s="233" t="s">
        <v>1147</v>
      </c>
      <c r="T1405" s="242" t="str">
        <f>_xlfn.XLOOKUP(S1405,Insumos!$A$3:$A$371,Insumos!$B$3:$B$371)</f>
        <v>M</v>
      </c>
      <c r="U1405" s="235">
        <f t="shared" ca="1" si="999"/>
        <v>110.16</v>
      </c>
      <c r="V1405" s="320">
        <v>1.2</v>
      </c>
      <c r="W1405" s="236">
        <f>IFERROR(IF(B1405="INSUMO",_xlfn.XLOOKUP(S1405,Insumos!A:A,Insumos!C:C),""),"Inserir Preço")</f>
        <v>16</v>
      </c>
      <c r="X1405" s="235">
        <f t="shared" ca="1" si="998"/>
        <v>132.19199999999998</v>
      </c>
      <c r="Y1405" s="236">
        <f t="shared" si="984"/>
        <v>19.2</v>
      </c>
      <c r="Z1405" s="237">
        <f t="shared" ca="1" si="967"/>
        <v>2115.0719999999997</v>
      </c>
      <c r="AA1405" s="238"/>
      <c r="AB1405" s="233" t="str">
        <f>IF(B1405="insumo",_xlfn.XLOOKUP(S1405,Insumos!A:A,Insumos!D:D),"")</f>
        <v>Empreitada</v>
      </c>
      <c r="AC1405" s="239">
        <f t="shared" ca="1" si="968"/>
        <v>3.0342636194400318E-4</v>
      </c>
      <c r="AE1405" s="240">
        <f ca="1">IFERROR(IF(OR(Z1405="",Z1405=0),"",IF(AF1405="","",IF(AF1405="R$/mês",Z1405/OBRA!$D$12,IF(AF1405="R$/m²",Z1405/OBRA!$D$10,IF(AF1405="R$/apto",Orçamento!Z1405/OBRA!$D$11,""))))),"")</f>
        <v>1.088431117263525</v>
      </c>
      <c r="AF1405" s="241" t="s">
        <v>154</v>
      </c>
    </row>
    <row r="1406" spans="1:32" s="10" customFormat="1" ht="13.15" hidden="1" customHeight="1" outlineLevel="3" collapsed="1" x14ac:dyDescent="0.2">
      <c r="A1406" s="227"/>
      <c r="B1406" s="228" t="s">
        <v>3</v>
      </c>
      <c r="C1406" s="229" t="str">
        <f t="shared" si="966"/>
        <v/>
      </c>
      <c r="D1406" s="227" t="str">
        <f t="shared" ca="1" si="985"/>
        <v>14.002.003</v>
      </c>
      <c r="E1406" s="228" t="str">
        <f t="shared" ca="1" si="986"/>
        <v>14.002.002.001</v>
      </c>
      <c r="F1406" s="230">
        <f ca="1">IF($B1406="UNIDADE CONSTRUTIVA",OFFSET(F1406,-1,0)+1,LARGE(F$10:F1405,1))</f>
        <v>2</v>
      </c>
      <c r="G1406" s="228" t="str">
        <f t="shared" ca="1" si="987"/>
        <v xml:space="preserve">   GERENCIAMENTO EXECUTIVO</v>
      </c>
      <c r="H1406" s="230">
        <f t="shared" ca="1" si="988"/>
        <v>14</v>
      </c>
      <c r="I1406" s="228" t="str">
        <f t="shared" ca="1" si="989"/>
        <v xml:space="preserve">   REVESTIMENTOS E ACABAMENTOS INTERNOS EM TETO</v>
      </c>
      <c r="J1406" s="230">
        <f t="shared" ca="1" si="990"/>
        <v>2</v>
      </c>
      <c r="K1406" s="228" t="str">
        <f t="shared" ca="1" si="991"/>
        <v xml:space="preserve">   REVESTIMENTOS E ACABAMENTOS INTERNOS EM TETO - 2º PAVIMENTO - TÉRREO</v>
      </c>
      <c r="L1406" s="231">
        <f t="shared" ca="1" si="992"/>
        <v>3</v>
      </c>
      <c r="M1406" s="228" t="str">
        <f t="shared" ca="1" si="993"/>
        <v xml:space="preserve">   Mão de Obra</v>
      </c>
      <c r="N1406" s="231">
        <f t="shared" ca="1" si="994"/>
        <v>0</v>
      </c>
      <c r="O1406" s="228" t="str">
        <f t="shared" ca="1" si="995"/>
        <v>Forro de Gesso em Placa - material e mao de obra</v>
      </c>
      <c r="P1406" s="232" t="str">
        <f>IF(S1406="","",IF(Orçamento!$B1406="INSUMO",S1406,""))</f>
        <v/>
      </c>
      <c r="Q1406" s="244" t="str">
        <f t="shared" si="996"/>
        <v/>
      </c>
      <c r="R1406" s="234">
        <f t="shared" ca="1" si="997"/>
        <v>110.16</v>
      </c>
      <c r="S1406" s="233" t="s">
        <v>438</v>
      </c>
      <c r="T1406" s="242" t="s">
        <v>35</v>
      </c>
      <c r="U1406" s="235" t="str">
        <f t="shared" si="999"/>
        <v/>
      </c>
      <c r="V1406" s="320" t="s">
        <v>35</v>
      </c>
      <c r="W1406" s="236" t="str">
        <f>IFERROR(IF(B1406="INSUMO",_xlfn.XLOOKUP(S1406,Insumos!A:A,Insumos!C:C),""),"Inserir Preço")</f>
        <v/>
      </c>
      <c r="X1406" s="235" t="str">
        <f t="shared" ca="1" si="998"/>
        <v/>
      </c>
      <c r="Y1406" s="236" t="str">
        <f t="shared" si="984"/>
        <v/>
      </c>
      <c r="Z1406" s="237">
        <f t="shared" ca="1" si="967"/>
        <v>10797.410216218223</v>
      </c>
      <c r="AA1406" s="238"/>
      <c r="AB1406" s="233" t="str">
        <f>IF(B1406="insumo",_xlfn.XLOOKUP(S1406,Insumos!A:A,Insumos!D:D),"")</f>
        <v/>
      </c>
      <c r="AC1406" s="239">
        <f t="shared" ca="1" si="968"/>
        <v>1.5489869377137554E-3</v>
      </c>
      <c r="AE1406" s="240">
        <f ca="1">IFERROR(IF(OR(Z1406="",Z1406=0),"",IF(AF1406="","",IF(AF1406="R$/mês",Z1406/OBRA!$D$12,IF(AF1406="R$/m²",Z1406/OBRA!$D$10,IF(AF1406="R$/apto",Orçamento!Z1406/OBRA!$D$11,""))))),"")</f>
        <v>5.5564242092898022</v>
      </c>
      <c r="AF1406" s="241" t="s">
        <v>154</v>
      </c>
    </row>
    <row r="1407" spans="1:32" s="10" customFormat="1" ht="13.15" hidden="1" customHeight="1" outlineLevel="4" x14ac:dyDescent="0.2">
      <c r="A1407" s="227"/>
      <c r="B1407" s="228" t="s">
        <v>4</v>
      </c>
      <c r="C1407" s="229">
        <f t="shared" si="966"/>
        <v>5</v>
      </c>
      <c r="D1407" s="227" t="str">
        <f t="shared" ca="1" si="985"/>
        <v>14.002.003.001</v>
      </c>
      <c r="E1407" s="228" t="str">
        <f t="shared" ca="1" si="986"/>
        <v>14.002.003.001</v>
      </c>
      <c r="F1407" s="230">
        <f ca="1">IF($B1407="UNIDADE CONSTRUTIVA",OFFSET(F1407,-1,0)+1,LARGE(F$10:F1406,1))</f>
        <v>2</v>
      </c>
      <c r="G1407" s="228" t="str">
        <f t="shared" ca="1" si="987"/>
        <v xml:space="preserve">   GERENCIAMENTO EXECUTIVO</v>
      </c>
      <c r="H1407" s="230">
        <f t="shared" ca="1" si="988"/>
        <v>14</v>
      </c>
      <c r="I1407" s="228" t="str">
        <f t="shared" ca="1" si="989"/>
        <v xml:space="preserve">   REVESTIMENTOS E ACABAMENTOS INTERNOS EM TETO</v>
      </c>
      <c r="J1407" s="230">
        <f t="shared" ca="1" si="990"/>
        <v>2</v>
      </c>
      <c r="K1407" s="228" t="str">
        <f t="shared" ca="1" si="991"/>
        <v xml:space="preserve">   REVESTIMENTOS E ACABAMENTOS INTERNOS EM TETO - 2º PAVIMENTO - TÉRREO</v>
      </c>
      <c r="L1407" s="231">
        <f t="shared" ca="1" si="992"/>
        <v>3</v>
      </c>
      <c r="M1407" s="228" t="str">
        <f t="shared" ca="1" si="993"/>
        <v xml:space="preserve">   Mão de Obra</v>
      </c>
      <c r="N1407" s="231">
        <f t="shared" ca="1" si="994"/>
        <v>1</v>
      </c>
      <c r="O1407" s="228" t="str">
        <f t="shared" ca="1" si="995"/>
        <v>Mao De Obra Acabamento Em Massa Teto</v>
      </c>
      <c r="P1407" s="232" t="str">
        <f>IF(S1407="","",IF(Orçamento!$B1407="INSUMO",S1407,""))</f>
        <v/>
      </c>
      <c r="Q1407" s="244" t="str">
        <f t="shared" si="996"/>
        <v>Mao De Obra Acabamento Em Massa Teto</v>
      </c>
      <c r="R1407" s="234">
        <f t="shared" ca="1" si="997"/>
        <v>53.43</v>
      </c>
      <c r="S1407" s="233" t="s">
        <v>1044</v>
      </c>
      <c r="T1407" s="242" t="s">
        <v>140</v>
      </c>
      <c r="U1407" s="235">
        <f>U1388</f>
        <v>53.43</v>
      </c>
      <c r="V1407" s="320" t="s">
        <v>35</v>
      </c>
      <c r="W1407" s="236" t="str">
        <f>IFERROR(IF(B1407="INSUMO",_xlfn.XLOOKUP(S1407,Insumos!A:A,Insumos!C:C),""),"Inserir Preço")</f>
        <v/>
      </c>
      <c r="X1407" s="235">
        <f t="shared" ca="1" si="998"/>
        <v>53.43</v>
      </c>
      <c r="Y1407" s="236">
        <f t="shared" ca="1" si="984"/>
        <v>170.47233219777189</v>
      </c>
      <c r="Z1407" s="237">
        <f t="shared" ca="1" si="967"/>
        <v>9108.3367093269517</v>
      </c>
      <c r="AA1407" s="238"/>
      <c r="AB1407" s="233" t="str">
        <f>IF(B1407="insumo",_xlfn.XLOOKUP(S1407,Insumos!A:A,Insumos!D:D),"")</f>
        <v/>
      </c>
      <c r="AC1407" s="239">
        <f t="shared" ca="1" si="968"/>
        <v>1.3066739435215872E-3</v>
      </c>
      <c r="AE1407" s="240">
        <f ca="1">IFERROR(IF(OR(Z1407="",Z1407=0),"",IF(AF1407="","",IF(AF1407="R$/mês",Z1407/OBRA!$D$12,IF(AF1407="R$/m²",Z1407/OBRA!$D$10,IF(AF1407="R$/apto",Orçamento!Z1407/OBRA!$D$11,""))))),"")</f>
        <v>4.6872149510490013</v>
      </c>
      <c r="AF1407" s="241" t="s">
        <v>154</v>
      </c>
    </row>
    <row r="1408" spans="1:32" s="10" customFormat="1" ht="13.15" hidden="1" customHeight="1" outlineLevel="4" x14ac:dyDescent="0.2">
      <c r="A1408" s="227"/>
      <c r="B1408" s="228" t="s">
        <v>19</v>
      </c>
      <c r="C1408" s="229">
        <f t="shared" si="966"/>
        <v>5</v>
      </c>
      <c r="D1408" s="227" t="str">
        <f t="shared" si="985"/>
        <v/>
      </c>
      <c r="E1408" s="228" t="str">
        <f t="shared" ca="1" si="986"/>
        <v>14.002.003.001</v>
      </c>
      <c r="F1408" s="230">
        <f ca="1">IF($B1408="UNIDADE CONSTRUTIVA",OFFSET(F1408,-1,0)+1,LARGE(F$10:F1407,1))</f>
        <v>2</v>
      </c>
      <c r="G1408" s="228" t="str">
        <f t="shared" ca="1" si="987"/>
        <v xml:space="preserve">   GERENCIAMENTO EXECUTIVO</v>
      </c>
      <c r="H1408" s="230">
        <f t="shared" ca="1" si="988"/>
        <v>14</v>
      </c>
      <c r="I1408" s="228" t="str">
        <f t="shared" ca="1" si="989"/>
        <v xml:space="preserve">   REVESTIMENTOS E ACABAMENTOS INTERNOS EM TETO</v>
      </c>
      <c r="J1408" s="230">
        <f t="shared" ca="1" si="990"/>
        <v>2</v>
      </c>
      <c r="K1408" s="228" t="str">
        <f t="shared" ca="1" si="991"/>
        <v xml:space="preserve">   REVESTIMENTOS E ACABAMENTOS INTERNOS EM TETO - 2º PAVIMENTO - TÉRREO</v>
      </c>
      <c r="L1408" s="231">
        <f t="shared" ca="1" si="992"/>
        <v>3</v>
      </c>
      <c r="M1408" s="228" t="str">
        <f t="shared" ca="1" si="993"/>
        <v xml:space="preserve">   Mão de Obra</v>
      </c>
      <c r="N1408" s="231">
        <f t="shared" ca="1" si="994"/>
        <v>1</v>
      </c>
      <c r="O1408" s="228" t="str">
        <f t="shared" ca="1" si="995"/>
        <v>Mao De Obra Acabamento Em Massa Teto</v>
      </c>
      <c r="P1408" s="232" t="str">
        <f>IF(S1408="","",IF(Orçamento!$B1408="INSUMO",S1408,""))</f>
        <v>MAO DE OBRA PARA EMASSAMENTO EM TETO</v>
      </c>
      <c r="Q1408" s="244" t="str">
        <f t="shared" si="996"/>
        <v/>
      </c>
      <c r="R1408" s="234">
        <f t="shared" ca="1" si="997"/>
        <v>53.43</v>
      </c>
      <c r="S1408" s="233" t="s">
        <v>874</v>
      </c>
      <c r="T1408" s="242" t="str">
        <f>_xlfn.XLOOKUP(S1408,Insumos!$A$3:$A$371,Insumos!$B$3:$B$371)</f>
        <v>M2</v>
      </c>
      <c r="U1408" s="235">
        <f ca="1">IF($B1408="insumo",R1408,"")</f>
        <v>53.43</v>
      </c>
      <c r="V1408" s="320">
        <v>1</v>
      </c>
      <c r="W1408" s="236">
        <f>IFERROR(IF(B1408="INSUMO",_xlfn.XLOOKUP(S1408,Insumos!A:A,Insumos!C:C),""),"Inserir Preço")</f>
        <v>170.47233219777189</v>
      </c>
      <c r="X1408" s="235">
        <f t="shared" ca="1" si="998"/>
        <v>53.43</v>
      </c>
      <c r="Y1408" s="236">
        <f t="shared" si="984"/>
        <v>170.47233219777189</v>
      </c>
      <c r="Z1408" s="237">
        <f t="shared" ca="1" si="967"/>
        <v>9108.3367093269517</v>
      </c>
      <c r="AA1408" s="238"/>
      <c r="AB1408" s="233" t="str">
        <f>IF(B1408="insumo",_xlfn.XLOOKUP(S1408,Insumos!A:A,Insumos!D:D),"")</f>
        <v>Aba Custo Serviços</v>
      </c>
      <c r="AC1408" s="239">
        <f t="shared" ca="1" si="968"/>
        <v>1.3066739435215872E-3</v>
      </c>
      <c r="AE1408" s="240">
        <f ca="1">IFERROR(IF(OR(Z1408="",Z1408=0),"",IF(AF1408="","",IF(AF1408="R$/mês",Z1408/OBRA!$D$12,IF(AF1408="R$/m²",Z1408/OBRA!$D$10,IF(AF1408="R$/apto",Orçamento!Z1408/OBRA!$D$11,""))))),"")</f>
        <v>4.6872149510490013</v>
      </c>
      <c r="AF1408" s="241" t="s">
        <v>154</v>
      </c>
    </row>
    <row r="1409" spans="1:32" s="10" customFormat="1" ht="13.15" hidden="1" customHeight="1" outlineLevel="4" x14ac:dyDescent="0.2">
      <c r="A1409" s="227"/>
      <c r="B1409" s="228" t="s">
        <v>4</v>
      </c>
      <c r="C1409" s="229">
        <f t="shared" si="966"/>
        <v>2</v>
      </c>
      <c r="D1409" s="227" t="str">
        <f ca="1">IF(B1409="Unidade Construtiva",TEXT(F1409,"00"),IF(B1409="Célula Construtiva",TEXT(H1409,"00"),IF(B1409="Etapa",CONCATENATE(TEXT(H1409,"00"),".",TEXT(J1409,"000")),IF(B1409="Subetapa",CONCATENATE(TEXT(H1409,"00"),".",TEXT(J1409,"000"),".",TEXT(L1409,"000")),IF(B1409="Serviço",CONCATENATE(TEXT(H1409,"00"),".",TEXT(J1409,"000"),".",TEXT(L1409,"000"),".",TEXT(N1409,"000")),"")))))</f>
        <v>14.002.003.002</v>
      </c>
      <c r="E1409" s="228" t="str">
        <f ca="1">IF(B1409="*","",IFERROR(IF(B1409="SERVIÇO",D1409,OFFSET(E1409,-1,0)),""))</f>
        <v>14.002.003.002</v>
      </c>
      <c r="F1409" s="230">
        <f ca="1">IF($B1409="UNIDADE CONSTRUTIVA",OFFSET(F1409,-1,0)+1,LARGE(F$10:F1408,1))</f>
        <v>2</v>
      </c>
      <c r="G1409" s="228" t="str">
        <f ca="1">IF(B1409="*","",IF(B1409="UNIDADE CONSTRUTIVA",S1409,OFFSET(G1409,-1,0)))</f>
        <v xml:space="preserve">   GERENCIAMENTO EXECUTIVO</v>
      </c>
      <c r="H1409" s="230">
        <f ca="1">IF(B1409="UNIDADE CONSTRUTIVA",0,IF(B1409="CÉLULA CONSTRUTIVA",OFFSET(H1409,-1,0)+1,OFFSET(H1409,-1,0)))</f>
        <v>14</v>
      </c>
      <c r="I1409" s="228" t="str">
        <f ca="1">IF(B1409="*","",IF(B1409="CÉLULA CONSTRUTIVA",S1409,OFFSET(I1409,-1,0)))</f>
        <v xml:space="preserve">   REVESTIMENTOS E ACABAMENTOS INTERNOS EM TETO</v>
      </c>
      <c r="J1409" s="230">
        <f ca="1">IF(B1409="CÉLULA CONSTRUTIVA",0,IF(B1409="ETAPA",OFFSET(J1409,-1,0)+1,OFFSET(J1409,-1,0)))</f>
        <v>2</v>
      </c>
      <c r="K1409" s="228" t="str">
        <f ca="1">IF(B1409="*","",IF(B1409="ETAPA",S1409,OFFSET(K1409,-1,0)))</f>
        <v xml:space="preserve">   REVESTIMENTOS E ACABAMENTOS INTERNOS EM TETO - 2º PAVIMENTO - TÉRREO</v>
      </c>
      <c r="L1409" s="231">
        <f ca="1">IF(B1409="ETAPA",0,IF(B1409="SUBETAPA",OFFSET(L1409,-1,0)+1,OFFSET(L1409,-1,0)))</f>
        <v>3</v>
      </c>
      <c r="M1409" s="228" t="str">
        <f ca="1">IF(B1409="*","",IF(B1409="SUBETAPA",S1409,OFFSET(M1409,-1,0)))</f>
        <v xml:space="preserve">   Mão de Obra</v>
      </c>
      <c r="N1409" s="231">
        <f ca="1">IF(B1409="Subetapa",0,IF(B1409="serviço",OFFSET(N1409,-1,0)+1,OFFSET(N1409,-1,0)))</f>
        <v>2</v>
      </c>
      <c r="O1409" s="228" t="str">
        <f ca="1">IF(B1409="*","",IF(B1409="SERVIÇO",S1409,OFFSET(O1409,-1,0)))</f>
        <v>Mao De Obra Estucamento Em Massa Teto</v>
      </c>
      <c r="P1409" s="232" t="str">
        <f>IF(S1409="","",IF(Orçamento!$B1409="INSUMO",S1409,""))</f>
        <v/>
      </c>
      <c r="Q1409" s="244" t="str">
        <f>IF(B1409="","",IF(B1409="Serviço",S1409,""))</f>
        <v>Mao De Obra Estucamento Em Massa Teto</v>
      </c>
      <c r="R1409" s="234">
        <f ca="1">IF(B1409="serviço",U1409,OFFSET(R1409,-1,0))</f>
        <v>33.36</v>
      </c>
      <c r="S1409" s="233" t="s">
        <v>1045</v>
      </c>
      <c r="T1409" s="242" t="s">
        <v>140</v>
      </c>
      <c r="U1409" s="235">
        <f>U1392</f>
        <v>33.36</v>
      </c>
      <c r="V1409" s="320" t="s">
        <v>35</v>
      </c>
      <c r="W1409" s="236" t="str">
        <f>IFERROR(IF(B1409="INSUMO",_xlfn.XLOOKUP(S1409,Insumos!A:A,Insumos!C:C),""),"Inserir Preço")</f>
        <v/>
      </c>
      <c r="X1409" s="235">
        <f t="shared" ref="X1409:X1414" ca="1" si="1000">IF(B1409="Complemento do insumo",V1409,IF(R1409="","",IF(B1409="serviço",R1409,IF(OR(B1409="insumo"),V1409*R1409,""))))</f>
        <v>33.36</v>
      </c>
      <c r="Y1409" s="236">
        <f t="shared" ca="1" si="984"/>
        <v>50.631699846860634</v>
      </c>
      <c r="Z1409" s="237">
        <f t="shared" ca="1" si="967"/>
        <v>1689.0735068912707</v>
      </c>
      <c r="AA1409" s="238"/>
      <c r="AB1409" s="233" t="str">
        <f>IF(B1409="insumo",_xlfn.XLOOKUP(S1409,Insumos!A:A,Insumos!D:D),"")</f>
        <v/>
      </c>
      <c r="AC1409" s="239">
        <f t="shared" ca="1" si="968"/>
        <v>2.4231299419216816E-4</v>
      </c>
      <c r="AE1409" s="240">
        <f ca="1">IFERROR(IF(OR(Z1409="",Z1409=0),"",IF(AF1409="","",IF(AF1409="R$/mês",Z1409/OBRA!$D$12,IF(AF1409="R$/m²",Z1409/OBRA!$D$10,IF(AF1409="R$/apto",Orçamento!Z1409/OBRA!$D$11,""))))),"")</f>
        <v>0.86920925824080042</v>
      </c>
      <c r="AF1409" s="241" t="s">
        <v>154</v>
      </c>
    </row>
    <row r="1410" spans="1:32" s="10" customFormat="1" ht="13.15" hidden="1" customHeight="1" outlineLevel="4" x14ac:dyDescent="0.2">
      <c r="A1410" s="227"/>
      <c r="B1410" s="228" t="s">
        <v>19</v>
      </c>
      <c r="C1410" s="229">
        <f t="shared" si="966"/>
        <v>2</v>
      </c>
      <c r="D1410" s="227" t="str">
        <f>IF(B1410="Unidade Construtiva",TEXT(F1410,"00"),IF(B1410="Célula Construtiva",TEXT(H1410,"00"),IF(B1410="Etapa",CONCATENATE(TEXT(H1410,"00"),".",TEXT(J1410,"000")),IF(B1410="Subetapa",CONCATENATE(TEXT(H1410,"00"),".",TEXT(J1410,"000"),".",TEXT(L1410,"000")),IF(B1410="Serviço",CONCATENATE(TEXT(H1410,"00"),".",TEXT(J1410,"000"),".",TEXT(L1410,"000"),".",TEXT(N1410,"000")),"")))))</f>
        <v/>
      </c>
      <c r="E1410" s="228" t="str">
        <f ca="1">IF(B1410="*","",IFERROR(IF(B1410="SERVIÇO",D1410,OFFSET(E1410,-1,0)),""))</f>
        <v>14.002.003.002</v>
      </c>
      <c r="F1410" s="230">
        <f ca="1">IF($B1410="UNIDADE CONSTRUTIVA",OFFSET(F1410,-1,0)+1,LARGE(F$10:F1409,1))</f>
        <v>2</v>
      </c>
      <c r="G1410" s="228" t="str">
        <f ca="1">IF(B1410="*","",IF(B1410="UNIDADE CONSTRUTIVA",S1410,OFFSET(G1410,-1,0)))</f>
        <v xml:space="preserve">   GERENCIAMENTO EXECUTIVO</v>
      </c>
      <c r="H1410" s="230">
        <f ca="1">IF(B1410="UNIDADE CONSTRUTIVA",0,IF(B1410="CÉLULA CONSTRUTIVA",OFFSET(H1410,-1,0)+1,OFFSET(H1410,-1,0)))</f>
        <v>14</v>
      </c>
      <c r="I1410" s="228" t="str">
        <f ca="1">IF(B1410="*","",IF(B1410="CÉLULA CONSTRUTIVA",S1410,OFFSET(I1410,-1,0)))</f>
        <v xml:space="preserve">   REVESTIMENTOS E ACABAMENTOS INTERNOS EM TETO</v>
      </c>
      <c r="J1410" s="230">
        <f ca="1">IF(B1410="CÉLULA CONSTRUTIVA",0,IF(B1410="ETAPA",OFFSET(J1410,-1,0)+1,OFFSET(J1410,-1,0)))</f>
        <v>2</v>
      </c>
      <c r="K1410" s="228" t="str">
        <f ca="1">IF(B1410="*","",IF(B1410="ETAPA",S1410,OFFSET(K1410,-1,0)))</f>
        <v xml:space="preserve">   REVESTIMENTOS E ACABAMENTOS INTERNOS EM TETO - 2º PAVIMENTO - TÉRREO</v>
      </c>
      <c r="L1410" s="231">
        <f ca="1">IF(B1410="ETAPA",0,IF(B1410="SUBETAPA",OFFSET(L1410,-1,0)+1,OFFSET(L1410,-1,0)))</f>
        <v>3</v>
      </c>
      <c r="M1410" s="228" t="str">
        <f ca="1">IF(B1410="*","",IF(B1410="SUBETAPA",S1410,OFFSET(M1410,-1,0)))</f>
        <v xml:space="preserve">   Mão de Obra</v>
      </c>
      <c r="N1410" s="231">
        <f ca="1">IF(B1410="Subetapa",0,IF(B1410="serviço",OFFSET(N1410,-1,0)+1,OFFSET(N1410,-1,0)))</f>
        <v>2</v>
      </c>
      <c r="O1410" s="228" t="str">
        <f ca="1">IF(B1410="*","",IF(B1410="SERVIÇO",S1410,OFFSET(O1410,-1,0)))</f>
        <v>Mao De Obra Estucamento Em Massa Teto</v>
      </c>
      <c r="P1410" s="232" t="str">
        <f>IF(S1410="","",IF(Orçamento!$B1410="INSUMO",S1410,""))</f>
        <v>MAO DE OBRA PARA ESTUCAMENTO DE ESTRUTURA DE CONCRETO EM TETO</v>
      </c>
      <c r="Q1410" s="244" t="str">
        <f>IF(B1410="","",IF(B1410="Serviço",S1410,""))</f>
        <v/>
      </c>
      <c r="R1410" s="234">
        <f ca="1">IF(B1410="serviço",U1410,OFFSET(R1410,-1,0))</f>
        <v>33.36</v>
      </c>
      <c r="S1410" s="233" t="s">
        <v>1051</v>
      </c>
      <c r="T1410" s="242" t="str">
        <f>_xlfn.XLOOKUP(S1410,Insumos!$A$3:$A$371,Insumos!$B$3:$B$371)</f>
        <v>M2</v>
      </c>
      <c r="U1410" s="235">
        <f ca="1">IF($B1410="insumo",R1410,"")</f>
        <v>33.36</v>
      </c>
      <c r="V1410" s="320">
        <v>1</v>
      </c>
      <c r="W1410" s="236">
        <f>IFERROR(IF(B1410="INSUMO",_xlfn.XLOOKUP(S1410,Insumos!A:A,Insumos!C:C),""),"Inserir Preço")</f>
        <v>50.631699846860634</v>
      </c>
      <c r="X1410" s="235">
        <f t="shared" ca="1" si="1000"/>
        <v>33.36</v>
      </c>
      <c r="Y1410" s="236">
        <f t="shared" si="984"/>
        <v>50.631699846860634</v>
      </c>
      <c r="Z1410" s="237">
        <f t="shared" ca="1" si="967"/>
        <v>1689.0735068912707</v>
      </c>
      <c r="AA1410" s="238"/>
      <c r="AB1410" s="233" t="str">
        <f>IF(B1410="insumo",_xlfn.XLOOKUP(S1410,Insumos!A:A,Insumos!D:D),"")</f>
        <v>Aba Custo Serviços</v>
      </c>
      <c r="AC1410" s="239">
        <f t="shared" ca="1" si="968"/>
        <v>2.4231299419216816E-4</v>
      </c>
      <c r="AE1410" s="240">
        <f ca="1">IFERROR(IF(OR(Z1410="",Z1410=0),"",IF(AF1410="","",IF(AF1410="R$/mês",Z1410/OBRA!$D$12,IF(AF1410="R$/m²",Z1410/OBRA!$D$10,IF(AF1410="R$/apto",Orçamento!Z1410/OBRA!$D$11,""))))),"")</f>
        <v>0.86920925824080042</v>
      </c>
      <c r="AF1410" s="241" t="s">
        <v>154</v>
      </c>
    </row>
    <row r="1411" spans="1:32" s="10" customFormat="1" ht="13.15" customHeight="1" outlineLevel="2" collapsed="1" x14ac:dyDescent="0.2">
      <c r="A1411" s="227"/>
      <c r="B1411" s="228" t="s">
        <v>2</v>
      </c>
      <c r="C1411" s="229" t="str">
        <f t="shared" si="966"/>
        <v/>
      </c>
      <c r="D1411" s="227" t="str">
        <f t="shared" ca="1" si="969"/>
        <v>14.003</v>
      </c>
      <c r="E1411" s="228" t="str">
        <f t="shared" ca="1" si="972"/>
        <v>14.002.003.002</v>
      </c>
      <c r="F1411" s="230">
        <f ca="1">IF($B1411="UNIDADE CONSTRUTIVA",OFFSET(F1411,-1,0)+1,LARGE(F$10:F1410,1))</f>
        <v>2</v>
      </c>
      <c r="G1411" s="228" t="str">
        <f t="shared" ca="1" si="973"/>
        <v xml:space="preserve">   GERENCIAMENTO EXECUTIVO</v>
      </c>
      <c r="H1411" s="230">
        <f t="shared" ca="1" si="974"/>
        <v>14</v>
      </c>
      <c r="I1411" s="228" t="str">
        <f t="shared" ca="1" si="975"/>
        <v xml:space="preserve">   REVESTIMENTOS E ACABAMENTOS INTERNOS EM TETO</v>
      </c>
      <c r="J1411" s="230">
        <f t="shared" ca="1" si="976"/>
        <v>3</v>
      </c>
      <c r="K1411" s="228" t="str">
        <f t="shared" ca="1" si="977"/>
        <v xml:space="preserve">   REVESTIMENTOS E ACABAMENTOS INTERNOS EM TETO - 3º  ao 7º PAVIMENTO - TIPO</v>
      </c>
      <c r="L1411" s="231">
        <f t="shared" ca="1" si="978"/>
        <v>0</v>
      </c>
      <c r="M1411" s="228" t="str">
        <f t="shared" ca="1" si="979"/>
        <v xml:space="preserve">   Mão de Obra</v>
      </c>
      <c r="N1411" s="231">
        <f t="shared" ca="1" si="980"/>
        <v>2</v>
      </c>
      <c r="O1411" s="228" t="str">
        <f t="shared" ca="1" si="981"/>
        <v>Mao De Obra Estucamento Em Massa Teto</v>
      </c>
      <c r="P1411" s="232" t="str">
        <f>IF(S1411="","",IF(Orçamento!$B1411="INSUMO",S1411,""))</f>
        <v/>
      </c>
      <c r="Q1411" s="244" t="str">
        <f t="shared" si="970"/>
        <v/>
      </c>
      <c r="R1411" s="234">
        <f t="shared" ca="1" si="971"/>
        <v>33.36</v>
      </c>
      <c r="S1411" s="233" t="s">
        <v>674</v>
      </c>
      <c r="T1411" s="242" t="s">
        <v>35</v>
      </c>
      <c r="U1411" s="235" t="str">
        <f>IF($B1411="insumo",R1411,"")</f>
        <v/>
      </c>
      <c r="V1411" s="320" t="s">
        <v>35</v>
      </c>
      <c r="W1411" s="236" t="str">
        <f>IFERROR(IF(B1411="INSUMO",_xlfn.XLOOKUP(S1411,Insumos!A:A,Insumos!C:C),""),"Inserir Preço")</f>
        <v/>
      </c>
      <c r="X1411" s="235" t="str">
        <f t="shared" ca="1" si="1000"/>
        <v/>
      </c>
      <c r="Y1411" s="236" t="str">
        <f t="shared" si="984"/>
        <v/>
      </c>
      <c r="Z1411" s="237">
        <f t="shared" ca="1" si="967"/>
        <v>78738.69704185825</v>
      </c>
      <c r="AA1411" s="238"/>
      <c r="AB1411" s="233" t="str">
        <f>IF(B1411="insumo",_xlfn.XLOOKUP(S1411,Insumos!A:A,Insumos!D:D),"")</f>
        <v/>
      </c>
      <c r="AC1411" s="239">
        <f t="shared" ca="1" si="968"/>
        <v>1.1295783967459309E-2</v>
      </c>
      <c r="AE1411" s="240">
        <f ca="1">IFERROR(IF(OR(Z1411="",Z1411=0),"",IF(AF1411="","",IF(AF1411="R$/mês",Z1411/OBRA!$D$12,IF(AF1411="R$/m²",Z1411/OBRA!$D$10,IF(AF1411="R$/apto",Orçamento!Z1411/OBRA!$D$11,""))))),"")</f>
        <v>40.519494368581306</v>
      </c>
      <c r="AF1411" s="241" t="s">
        <v>154</v>
      </c>
    </row>
    <row r="1412" spans="1:32" s="10" customFormat="1" ht="13.15" hidden="1" customHeight="1" outlineLevel="3" collapsed="1" x14ac:dyDescent="0.2">
      <c r="A1412" s="227"/>
      <c r="B1412" s="228" t="s">
        <v>3</v>
      </c>
      <c r="C1412" s="229" t="str">
        <f t="shared" si="966"/>
        <v/>
      </c>
      <c r="D1412" s="227" t="str">
        <f t="shared" ca="1" si="969"/>
        <v>14.003.001</v>
      </c>
      <c r="E1412" s="228" t="str">
        <f t="shared" ca="1" si="972"/>
        <v>14.002.003.002</v>
      </c>
      <c r="F1412" s="230">
        <f ca="1">IF($B1412="UNIDADE CONSTRUTIVA",OFFSET(F1412,-1,0)+1,LARGE(F$10:F1411,1))</f>
        <v>2</v>
      </c>
      <c r="G1412" s="228" t="str">
        <f t="shared" ca="1" si="973"/>
        <v xml:space="preserve">   GERENCIAMENTO EXECUTIVO</v>
      </c>
      <c r="H1412" s="230">
        <f t="shared" ca="1" si="974"/>
        <v>14</v>
      </c>
      <c r="I1412" s="228" t="str">
        <f t="shared" ca="1" si="975"/>
        <v xml:space="preserve">   REVESTIMENTOS E ACABAMENTOS INTERNOS EM TETO</v>
      </c>
      <c r="J1412" s="230">
        <f t="shared" ca="1" si="976"/>
        <v>3</v>
      </c>
      <c r="K1412" s="228" t="str">
        <f t="shared" ca="1" si="977"/>
        <v xml:space="preserve">   REVESTIMENTOS E ACABAMENTOS INTERNOS EM TETO - 3º  ao 7º PAVIMENTO - TIPO</v>
      </c>
      <c r="L1412" s="231">
        <f t="shared" ca="1" si="978"/>
        <v>1</v>
      </c>
      <c r="M1412" s="228" t="str">
        <f t="shared" ca="1" si="979"/>
        <v xml:space="preserve">   Revestimento Interno Argamassado em Teto</v>
      </c>
      <c r="N1412" s="231">
        <f t="shared" ca="1" si="980"/>
        <v>0</v>
      </c>
      <c r="O1412" s="228" t="str">
        <f t="shared" ca="1" si="981"/>
        <v>Mao De Obra Estucamento Em Massa Teto</v>
      </c>
      <c r="P1412" s="232" t="str">
        <f>IF(S1412="","",IF(Orçamento!$B1412="INSUMO",S1412,""))</f>
        <v/>
      </c>
      <c r="Q1412" s="244" t="str">
        <f t="shared" si="970"/>
        <v/>
      </c>
      <c r="R1412" s="234">
        <f t="shared" ca="1" si="971"/>
        <v>33.36</v>
      </c>
      <c r="S1412" s="233" t="s">
        <v>485</v>
      </c>
      <c r="T1412" s="242" t="s">
        <v>35</v>
      </c>
      <c r="U1412" s="235" t="str">
        <f>IF($B1412="insumo",R1412,"")</f>
        <v/>
      </c>
      <c r="V1412" s="320" t="s">
        <v>35</v>
      </c>
      <c r="W1412" s="236" t="str">
        <f>IFERROR(IF(B1412="INSUMO",_xlfn.XLOOKUP(S1412,Insumos!A:A,Insumos!C:C),""),"Inserir Preço")</f>
        <v/>
      </c>
      <c r="X1412" s="235" t="str">
        <f t="shared" ca="1" si="1000"/>
        <v/>
      </c>
      <c r="Y1412" s="236" t="str">
        <f t="shared" si="984"/>
        <v/>
      </c>
      <c r="Z1412" s="237">
        <f t="shared" ca="1" si="967"/>
        <v>1607.3190000000002</v>
      </c>
      <c r="AA1412" s="238"/>
      <c r="AB1412" s="233" t="str">
        <f>IF(B1412="insumo",_xlfn.XLOOKUP(S1412,Insumos!A:A,Insumos!D:D),"")</f>
        <v/>
      </c>
      <c r="AC1412" s="239">
        <f t="shared" ca="1" si="968"/>
        <v>2.3058456480605545E-4</v>
      </c>
      <c r="AE1412" s="240">
        <f ca="1">IFERROR(IF(OR(Z1412="",Z1412=0),"",IF(AF1412="","",IF(AF1412="R$/mês",Z1412/OBRA!$D$12,IF(AF1412="R$/m²",Z1412/OBRA!$D$10,IF(AF1412="R$/apto",Orçamento!Z1412/OBRA!$D$11,""))))),"")</f>
        <v>0.82713780664151959</v>
      </c>
      <c r="AF1412" s="241" t="s">
        <v>154</v>
      </c>
    </row>
    <row r="1413" spans="1:32" s="10" customFormat="1" ht="13.15" hidden="1" customHeight="1" outlineLevel="4" x14ac:dyDescent="0.2">
      <c r="A1413" s="227"/>
      <c r="B1413" s="228" t="s">
        <v>4</v>
      </c>
      <c r="C1413" s="229">
        <f t="shared" si="966"/>
        <v>5</v>
      </c>
      <c r="D1413" s="227" t="str">
        <f t="shared" ca="1" si="969"/>
        <v>14.003.001.001</v>
      </c>
      <c r="E1413" s="228" t="str">
        <f t="shared" ca="1" si="972"/>
        <v>14.003.001.001</v>
      </c>
      <c r="F1413" s="230">
        <f ca="1">IF($B1413="UNIDADE CONSTRUTIVA",OFFSET(F1413,-1,0)+1,LARGE(F$10:F1412,1))</f>
        <v>2</v>
      </c>
      <c r="G1413" s="228" t="str">
        <f t="shared" ca="1" si="973"/>
        <v xml:space="preserve">   GERENCIAMENTO EXECUTIVO</v>
      </c>
      <c r="H1413" s="230">
        <f t="shared" ca="1" si="974"/>
        <v>14</v>
      </c>
      <c r="I1413" s="228" t="str">
        <f t="shared" ca="1" si="975"/>
        <v xml:space="preserve">   REVESTIMENTOS E ACABAMENTOS INTERNOS EM TETO</v>
      </c>
      <c r="J1413" s="230">
        <f t="shared" ca="1" si="976"/>
        <v>3</v>
      </c>
      <c r="K1413" s="228" t="str">
        <f t="shared" ca="1" si="977"/>
        <v xml:space="preserve">   REVESTIMENTOS E ACABAMENTOS INTERNOS EM TETO - 3º  ao 7º PAVIMENTO - TIPO</v>
      </c>
      <c r="L1413" s="231">
        <f t="shared" ca="1" si="978"/>
        <v>1</v>
      </c>
      <c r="M1413" s="228" t="str">
        <f t="shared" ca="1" si="979"/>
        <v xml:space="preserve">   Revestimento Interno Argamassado em Teto</v>
      </c>
      <c r="N1413" s="231">
        <f t="shared" ca="1" si="980"/>
        <v>1</v>
      </c>
      <c r="O1413" s="228" t="str">
        <f t="shared" ca="1" si="981"/>
        <v>Chapisco de estrutura de concreto em teto</v>
      </c>
      <c r="P1413" s="232" t="str">
        <f>IF(S1413="","",IF(Orçamento!$B1413="INSUMO",S1413,""))</f>
        <v/>
      </c>
      <c r="Q1413" s="244" t="str">
        <f t="shared" si="970"/>
        <v>Chapisco de estrutura de concreto em teto</v>
      </c>
      <c r="R1413" s="234">
        <f t="shared" ca="1" si="971"/>
        <v>108.5</v>
      </c>
      <c r="S1413" s="233" t="s">
        <v>743</v>
      </c>
      <c r="T1413" s="242" t="s">
        <v>140</v>
      </c>
      <c r="U1413" s="235">
        <v>108.5</v>
      </c>
      <c r="V1413" s="320" t="s">
        <v>35</v>
      </c>
      <c r="W1413" s="236" t="str">
        <f>IFERROR(IF(B1413="INSUMO",_xlfn.XLOOKUP(S1413,Insumos!A:A,Insumos!C:C),""),"Inserir Preço")</f>
        <v/>
      </c>
      <c r="X1413" s="235">
        <f t="shared" ca="1" si="1000"/>
        <v>108.5</v>
      </c>
      <c r="Y1413" s="236">
        <f t="shared" ca="1" si="984"/>
        <v>5.5020000000000007</v>
      </c>
      <c r="Z1413" s="237">
        <f t="shared" ca="1" si="967"/>
        <v>596.9670000000001</v>
      </c>
      <c r="AA1413" s="238"/>
      <c r="AB1413" s="233" t="str">
        <f>IF(B1413="insumo",_xlfn.XLOOKUP(S1413,Insumos!A:A,Insumos!D:D),"")</f>
        <v/>
      </c>
      <c r="AC1413" s="239">
        <f t="shared" ca="1" si="968"/>
        <v>8.5640358820232018E-5</v>
      </c>
      <c r="AE1413" s="240">
        <f ca="1">IFERROR(IF(OR(Z1413="",Z1413=0),"",IF(AF1413="","",IF(AF1413="R$/mês",Z1413/OBRA!$D$12,IF(AF1413="R$/m²",Z1413/OBRA!$D$10,IF(AF1413="R$/apto",Orçamento!Z1413/OBRA!$D$11,""))))),"")</f>
        <v>0.30720347051043884</v>
      </c>
      <c r="AF1413" s="241" t="s">
        <v>154</v>
      </c>
    </row>
    <row r="1414" spans="1:32" s="10" customFormat="1" ht="13.15" hidden="1" customHeight="1" outlineLevel="4" x14ac:dyDescent="0.2">
      <c r="A1414" s="227"/>
      <c r="B1414" s="228" t="s">
        <v>19</v>
      </c>
      <c r="C1414" s="229">
        <f t="shared" si="966"/>
        <v>11</v>
      </c>
      <c r="D1414" s="227" t="str">
        <f t="shared" si="969"/>
        <v/>
      </c>
      <c r="E1414" s="228" t="str">
        <f t="shared" ca="1" si="972"/>
        <v>14.003.001.001</v>
      </c>
      <c r="F1414" s="230">
        <f ca="1">IF($B1414="UNIDADE CONSTRUTIVA",OFFSET(F1414,-1,0)+1,LARGE(F$10:F1413,1))</f>
        <v>2</v>
      </c>
      <c r="G1414" s="228" t="str">
        <f t="shared" ca="1" si="973"/>
        <v xml:space="preserve">   GERENCIAMENTO EXECUTIVO</v>
      </c>
      <c r="H1414" s="230">
        <f t="shared" ca="1" si="974"/>
        <v>14</v>
      </c>
      <c r="I1414" s="228" t="str">
        <f t="shared" ca="1" si="975"/>
        <v xml:space="preserve">   REVESTIMENTOS E ACABAMENTOS INTERNOS EM TETO</v>
      </c>
      <c r="J1414" s="230">
        <f t="shared" ca="1" si="976"/>
        <v>3</v>
      </c>
      <c r="K1414" s="228" t="str">
        <f t="shared" ca="1" si="977"/>
        <v xml:space="preserve">   REVESTIMENTOS E ACABAMENTOS INTERNOS EM TETO - 3º  ao 7º PAVIMENTO - TIPO</v>
      </c>
      <c r="L1414" s="231">
        <f t="shared" ca="1" si="978"/>
        <v>1</v>
      </c>
      <c r="M1414" s="228" t="str">
        <f t="shared" ca="1" si="979"/>
        <v xml:space="preserve">   Revestimento Interno Argamassado em Teto</v>
      </c>
      <c r="N1414" s="231">
        <f t="shared" ca="1" si="980"/>
        <v>1</v>
      </c>
      <c r="O1414" s="228" t="str">
        <f t="shared" ca="1" si="981"/>
        <v>Chapisco de estrutura de concreto em teto</v>
      </c>
      <c r="P1414" s="232" t="str">
        <f>IF(S1414="","",IF(Orçamento!$B1414="INSUMO",S1414,""))</f>
        <v>CHAPISCO COLANTE 20KG</v>
      </c>
      <c r="Q1414" s="244" t="str">
        <f t="shared" si="970"/>
        <v/>
      </c>
      <c r="R1414" s="234">
        <f t="shared" ca="1" si="971"/>
        <v>108.5</v>
      </c>
      <c r="S1414" s="233" t="s">
        <v>1027</v>
      </c>
      <c r="T1414" s="242" t="s">
        <v>159</v>
      </c>
      <c r="U1414" s="235">
        <f ca="1">IF($B1414="insumo",R1414,"")</f>
        <v>108.5</v>
      </c>
      <c r="V1414" s="320">
        <v>4.2</v>
      </c>
      <c r="W1414" s="236">
        <f>IFERROR(IF(B1414="INSUMO",_xlfn.XLOOKUP(S1414,Insumos!A:A,Insumos!C:C),""),"Inserir Preço")</f>
        <v>1.31</v>
      </c>
      <c r="X1414" s="235">
        <f t="shared" ca="1" si="1000"/>
        <v>455.70000000000005</v>
      </c>
      <c r="Y1414" s="236">
        <f t="shared" si="984"/>
        <v>5.5020000000000007</v>
      </c>
      <c r="Z1414" s="237">
        <f t="shared" ca="1" si="967"/>
        <v>596.9670000000001</v>
      </c>
      <c r="AA1414" s="238"/>
      <c r="AB1414" s="233" t="str">
        <f>IF(B1414="insumo",_xlfn.XLOOKUP(S1414,Insumos!A:A,Insumos!D:D),"")</f>
        <v xml:space="preserve"> </v>
      </c>
      <c r="AC1414" s="239">
        <f t="shared" ca="1" si="968"/>
        <v>8.5640358820232018E-5</v>
      </c>
      <c r="AD1414" s="324"/>
      <c r="AE1414" s="240">
        <f ca="1">IFERROR(IF(OR(Z1414="",Z1414=0),"",IF(AF1414="","",IF(AF1414="R$/mês",Z1414/OBRA!$D$12,IF(AF1414="R$/m²",Z1414/OBRA!$D$10,IF(AF1414="R$/apto",Orçamento!Z1414/OBRA!$D$11,""))))),"")</f>
        <v>0.30720347051043884</v>
      </c>
      <c r="AF1414" s="241" t="s">
        <v>154</v>
      </c>
    </row>
    <row r="1415" spans="1:32" s="10" customFormat="1" ht="13.15" hidden="1" customHeight="1" outlineLevel="4" x14ac:dyDescent="0.2">
      <c r="A1415" s="227"/>
      <c r="B1415" s="228" t="s">
        <v>4</v>
      </c>
      <c r="C1415" s="229">
        <f t="shared" si="966"/>
        <v>5</v>
      </c>
      <c r="D1415" s="227" t="str">
        <f t="shared" ca="1" si="969"/>
        <v>14.003.001.002</v>
      </c>
      <c r="E1415" s="228" t="str">
        <f t="shared" ca="1" si="972"/>
        <v>14.003.001.002</v>
      </c>
      <c r="F1415" s="230">
        <f ca="1">IF($B1415="UNIDADE CONSTRUTIVA",OFFSET(F1415,-1,0)+1,LARGE(F$10:F1414,1))</f>
        <v>2</v>
      </c>
      <c r="G1415" s="228" t="str">
        <f t="shared" ca="1" si="973"/>
        <v xml:space="preserve">   GERENCIAMENTO EXECUTIVO</v>
      </c>
      <c r="H1415" s="230">
        <f t="shared" ca="1" si="974"/>
        <v>14</v>
      </c>
      <c r="I1415" s="228" t="str">
        <f t="shared" ca="1" si="975"/>
        <v xml:space="preserve">   REVESTIMENTOS E ACABAMENTOS INTERNOS EM TETO</v>
      </c>
      <c r="J1415" s="230">
        <f t="shared" ca="1" si="976"/>
        <v>3</v>
      </c>
      <c r="K1415" s="228" t="str">
        <f t="shared" ca="1" si="977"/>
        <v xml:space="preserve">   REVESTIMENTOS E ACABAMENTOS INTERNOS EM TETO - 3º  ao 7º PAVIMENTO - TIPO</v>
      </c>
      <c r="L1415" s="231">
        <f t="shared" ca="1" si="978"/>
        <v>1</v>
      </c>
      <c r="M1415" s="228" t="str">
        <f t="shared" ca="1" si="979"/>
        <v xml:space="preserve">   Revestimento Interno Argamassado em Teto</v>
      </c>
      <c r="N1415" s="231">
        <f t="shared" ca="1" si="980"/>
        <v>2</v>
      </c>
      <c r="O1415" s="228" t="str">
        <f t="shared" ca="1" si="981"/>
        <v>Massa unica para reboco interno em argamassa estabilizada, de estrutura de concreto em teto</v>
      </c>
      <c r="P1415" s="232" t="str">
        <f>IF(S1415="","",IF(Orçamento!$B1415="INSUMO",S1415,""))</f>
        <v/>
      </c>
      <c r="Q1415" s="244" t="str">
        <f t="shared" si="970"/>
        <v>Massa unica para reboco interno em argamassa estabilizada, de estrutura de concreto em teto</v>
      </c>
      <c r="R1415" s="234">
        <f t="shared" ca="1" si="971"/>
        <v>108.5</v>
      </c>
      <c r="S1415" s="233" t="s">
        <v>744</v>
      </c>
      <c r="T1415" s="242" t="s">
        <v>140</v>
      </c>
      <c r="U1415" s="235">
        <v>108.5</v>
      </c>
      <c r="V1415" s="320" t="s">
        <v>35</v>
      </c>
      <c r="W1415" s="236" t="str">
        <f>IFERROR(IF(B1415="INSUMO",_xlfn.XLOOKUP(S1415,Insumos!A:A,Insumos!C:C),""),"Inserir Preço")</f>
        <v/>
      </c>
      <c r="X1415" s="235">
        <f t="shared" ref="X1415:X1428" ca="1" si="1001">IF(B1415="Complemento do insumo",V1415,IF(R1415="","",IF(B1415="serviço",R1415,IF(OR(B1415="insumo"),V1415*R1415,""))))</f>
        <v>108.5</v>
      </c>
      <c r="Y1415" s="236">
        <f t="shared" ca="1" si="984"/>
        <v>9.3120000000000012</v>
      </c>
      <c r="Z1415" s="237">
        <f t="shared" ca="1" si="967"/>
        <v>1010.3520000000001</v>
      </c>
      <c r="AA1415" s="238"/>
      <c r="AB1415" s="233" t="str">
        <f>IF(B1415="insumo",_xlfn.XLOOKUP(S1415,Insumos!A:A,Insumos!D:D),"")</f>
        <v/>
      </c>
      <c r="AC1415" s="239">
        <f t="shared" ca="1" si="968"/>
        <v>1.4494420598582344E-4</v>
      </c>
      <c r="AE1415" s="240">
        <f ca="1">IFERROR(IF(OR(Z1415="",Z1415=0),"",IF(AF1415="","",IF(AF1415="R$/mês",Z1415/OBRA!$D$12,IF(AF1415="R$/m²",Z1415/OBRA!$D$10,IF(AF1415="R$/apto",Orçamento!Z1415/OBRA!$D$11,""))))),"")</f>
        <v>0.51993433613108075</v>
      </c>
      <c r="AF1415" s="241" t="s">
        <v>154</v>
      </c>
    </row>
    <row r="1416" spans="1:32" s="10" customFormat="1" ht="13.15" hidden="1" customHeight="1" outlineLevel="4" x14ac:dyDescent="0.2">
      <c r="A1416" s="227"/>
      <c r="B1416" s="228" t="s">
        <v>19</v>
      </c>
      <c r="C1416" s="229">
        <f t="shared" si="966"/>
        <v>11</v>
      </c>
      <c r="D1416" s="227" t="str">
        <f t="shared" si="969"/>
        <v/>
      </c>
      <c r="E1416" s="228" t="str">
        <f t="shared" ca="1" si="972"/>
        <v>14.003.001.002</v>
      </c>
      <c r="F1416" s="230">
        <f ca="1">IF($B1416="UNIDADE CONSTRUTIVA",OFFSET(F1416,-1,0)+1,LARGE(F$10:F1415,1))</f>
        <v>2</v>
      </c>
      <c r="G1416" s="228" t="str">
        <f t="shared" ca="1" si="973"/>
        <v xml:space="preserve">   GERENCIAMENTO EXECUTIVO</v>
      </c>
      <c r="H1416" s="230">
        <f t="shared" ca="1" si="974"/>
        <v>14</v>
      </c>
      <c r="I1416" s="228" t="str">
        <f t="shared" ca="1" si="975"/>
        <v xml:space="preserve">   REVESTIMENTOS E ACABAMENTOS INTERNOS EM TETO</v>
      </c>
      <c r="J1416" s="230">
        <f t="shared" ca="1" si="976"/>
        <v>3</v>
      </c>
      <c r="K1416" s="228" t="str">
        <f t="shared" ca="1" si="977"/>
        <v xml:space="preserve">   REVESTIMENTOS E ACABAMENTOS INTERNOS EM TETO - 3º  ao 7º PAVIMENTO - TIPO</v>
      </c>
      <c r="L1416" s="231">
        <f t="shared" ca="1" si="978"/>
        <v>1</v>
      </c>
      <c r="M1416" s="228" t="str">
        <f t="shared" ca="1" si="979"/>
        <v xml:space="preserve">   Revestimento Interno Argamassado em Teto</v>
      </c>
      <c r="N1416" s="231">
        <f t="shared" ca="1" si="980"/>
        <v>2</v>
      </c>
      <c r="O1416" s="228" t="str">
        <f t="shared" ca="1" si="981"/>
        <v>Massa unica para reboco interno em argamassa estabilizada, de estrutura de concreto em teto</v>
      </c>
      <c r="P1416" s="232" t="str">
        <f>IF(S1416="","",IF(Orçamento!$B1416="INSUMO",S1416,""))</f>
        <v>ARGAMASSA ESTABILIZADA PARA REBOCO</v>
      </c>
      <c r="Q1416" s="244" t="str">
        <f t="shared" si="970"/>
        <v/>
      </c>
      <c r="R1416" s="234">
        <f t="shared" ca="1" si="971"/>
        <v>108.5</v>
      </c>
      <c r="S1416" s="233" t="s">
        <v>256</v>
      </c>
      <c r="T1416" s="242" t="str">
        <f>_xlfn.XLOOKUP(S1416,Insumos!$A$3:$A$371,Insumos!$B$3:$B$371)</f>
        <v>M3</v>
      </c>
      <c r="U1416" s="235">
        <f ca="1">IF($B1416="insumo",R1416,"")</f>
        <v>108.5</v>
      </c>
      <c r="V1416" s="320">
        <v>1.9400000000000001E-2</v>
      </c>
      <c r="W1416" s="236">
        <f>IFERROR(IF(B1416="INSUMO",_xlfn.XLOOKUP(S1416,Insumos!A:A,Insumos!C:C),""),"Inserir Preço")</f>
        <v>480</v>
      </c>
      <c r="X1416" s="235">
        <f t="shared" ca="1" si="1001"/>
        <v>2.1049000000000002</v>
      </c>
      <c r="Y1416" s="236">
        <f t="shared" si="984"/>
        <v>9.3120000000000012</v>
      </c>
      <c r="Z1416" s="237">
        <f t="shared" ca="1" si="967"/>
        <v>1010.3520000000001</v>
      </c>
      <c r="AA1416" s="238"/>
      <c r="AB1416" s="233" t="str">
        <f>IF(B1416="insumo",_xlfn.XLOOKUP(S1416,Insumos!A:A,Insumos!D:D),"")</f>
        <v xml:space="preserve"> </v>
      </c>
      <c r="AC1416" s="239">
        <f t="shared" ca="1" si="968"/>
        <v>1.4494420598582344E-4</v>
      </c>
      <c r="AE1416" s="240">
        <f ca="1">IFERROR(IF(OR(Z1416="",Z1416=0),"",IF(AF1416="","",IF(AF1416="R$/mês",Z1416/OBRA!$D$12,IF(AF1416="R$/m²",Z1416/OBRA!$D$10,IF(AF1416="R$/apto",Orçamento!Z1416/OBRA!$D$11,""))))),"")</f>
        <v>0.51993433613108075</v>
      </c>
      <c r="AF1416" s="241" t="s">
        <v>154</v>
      </c>
    </row>
    <row r="1417" spans="1:32" s="10" customFormat="1" ht="13.15" hidden="1" customHeight="1" outlineLevel="3" collapsed="1" x14ac:dyDescent="0.2">
      <c r="A1417" s="227"/>
      <c r="B1417" s="228" t="s">
        <v>3</v>
      </c>
      <c r="C1417" s="229" t="str">
        <f t="shared" si="966"/>
        <v/>
      </c>
      <c r="D1417" s="227" t="str">
        <f t="shared" ca="1" si="969"/>
        <v>14.003.002</v>
      </c>
      <c r="E1417" s="228" t="str">
        <f t="shared" ca="1" si="972"/>
        <v>14.003.001.002</v>
      </c>
      <c r="F1417" s="230">
        <f ca="1">IF($B1417="UNIDADE CONSTRUTIVA",OFFSET(F1417,-1,0)+1,LARGE(F$10:F1416,1))</f>
        <v>2</v>
      </c>
      <c r="G1417" s="228" t="str">
        <f t="shared" ca="1" si="973"/>
        <v xml:space="preserve">   GERENCIAMENTO EXECUTIVO</v>
      </c>
      <c r="H1417" s="230">
        <f t="shared" ca="1" si="974"/>
        <v>14</v>
      </c>
      <c r="I1417" s="228" t="str">
        <f t="shared" ca="1" si="975"/>
        <v xml:space="preserve">   REVESTIMENTOS E ACABAMENTOS INTERNOS EM TETO</v>
      </c>
      <c r="J1417" s="230">
        <f t="shared" ca="1" si="976"/>
        <v>3</v>
      </c>
      <c r="K1417" s="228" t="str">
        <f t="shared" ca="1" si="977"/>
        <v xml:space="preserve">   REVESTIMENTOS E ACABAMENTOS INTERNOS EM TETO - 3º  ao 7º PAVIMENTO - TIPO</v>
      </c>
      <c r="L1417" s="231">
        <f t="shared" ca="1" si="978"/>
        <v>2</v>
      </c>
      <c r="M1417" s="228" t="str">
        <f t="shared" ca="1" si="979"/>
        <v xml:space="preserve">   Acabamento em Gesso</v>
      </c>
      <c r="N1417" s="231">
        <f t="shared" ca="1" si="980"/>
        <v>0</v>
      </c>
      <c r="O1417" s="228" t="str">
        <f t="shared" ca="1" si="981"/>
        <v>Massa unica para reboco interno em argamassa estabilizada, de estrutura de concreto em teto</v>
      </c>
      <c r="P1417" s="232" t="str">
        <f>IF(S1417="","",IF(Orçamento!$B1417="INSUMO",S1417,""))</f>
        <v/>
      </c>
      <c r="Q1417" s="244" t="str">
        <f t="shared" si="970"/>
        <v/>
      </c>
      <c r="R1417" s="234">
        <f t="shared" ca="1" si="971"/>
        <v>108.5</v>
      </c>
      <c r="S1417" s="233" t="s">
        <v>487</v>
      </c>
      <c r="T1417" s="242" t="s">
        <v>35</v>
      </c>
      <c r="U1417" s="235" t="str">
        <f>IF($B1417="insumo",R1417,"")</f>
        <v/>
      </c>
      <c r="V1417" s="320" t="s">
        <v>35</v>
      </c>
      <c r="W1417" s="236" t="str">
        <f>IFERROR(IF(B1417="INSUMO",_xlfn.XLOOKUP(S1417,Insumos!A:A,Insumos!C:C),""),"Inserir Preço")</f>
        <v/>
      </c>
      <c r="X1417" s="235" t="str">
        <f t="shared" ca="1" si="1001"/>
        <v/>
      </c>
      <c r="Y1417" s="236" t="str">
        <f t="shared" si="984"/>
        <v/>
      </c>
      <c r="Z1417" s="237">
        <f t="shared" ca="1" si="967"/>
        <v>58635.129998400007</v>
      </c>
      <c r="AA1417" s="238"/>
      <c r="AB1417" s="233" t="str">
        <f>IF(B1417="insumo",_xlfn.XLOOKUP(S1417,Insumos!A:A,Insumos!D:D),"")</f>
        <v/>
      </c>
      <c r="AC1417" s="239">
        <f t="shared" ca="1" si="968"/>
        <v>8.4117439867428621E-3</v>
      </c>
      <c r="AE1417" s="240">
        <f ca="1">IFERROR(IF(OR(Z1417="",Z1417=0),"",IF(AF1417="","",IF(AF1417="R$/mês",Z1417/OBRA!$D$12,IF(AF1417="R$/m²",Z1417/OBRA!$D$10,IF(AF1417="R$/apto",Orçamento!Z1417/OBRA!$D$11,""))))),"")</f>
        <v>30.174055566453795</v>
      </c>
      <c r="AF1417" s="241" t="s">
        <v>154</v>
      </c>
    </row>
    <row r="1418" spans="1:32" s="10" customFormat="1" ht="13.15" hidden="1" customHeight="1" outlineLevel="4" x14ac:dyDescent="0.2">
      <c r="A1418" s="227"/>
      <c r="B1418" s="228" t="s">
        <v>4</v>
      </c>
      <c r="C1418" s="229">
        <f t="shared" si="966"/>
        <v>3</v>
      </c>
      <c r="D1418" s="227" t="str">
        <f t="shared" ca="1" si="969"/>
        <v>14.003.002.001</v>
      </c>
      <c r="E1418" s="228" t="str">
        <f t="shared" ca="1" si="972"/>
        <v>14.003.002.001</v>
      </c>
      <c r="F1418" s="230">
        <f ca="1">IF($B1418="UNIDADE CONSTRUTIVA",OFFSET(F1418,-1,0)+1,LARGE(F$10:F1417,1))</f>
        <v>2</v>
      </c>
      <c r="G1418" s="228" t="str">
        <f t="shared" ca="1" si="973"/>
        <v xml:space="preserve">   GERENCIAMENTO EXECUTIVO</v>
      </c>
      <c r="H1418" s="230">
        <f t="shared" ca="1" si="974"/>
        <v>14</v>
      </c>
      <c r="I1418" s="228" t="str">
        <f t="shared" ca="1" si="975"/>
        <v xml:space="preserve">   REVESTIMENTOS E ACABAMENTOS INTERNOS EM TETO</v>
      </c>
      <c r="J1418" s="230">
        <f t="shared" ca="1" si="976"/>
        <v>3</v>
      </c>
      <c r="K1418" s="228" t="str">
        <f t="shared" ca="1" si="977"/>
        <v xml:space="preserve">   REVESTIMENTOS E ACABAMENTOS INTERNOS EM TETO - 3º  ao 7º PAVIMENTO - TIPO</v>
      </c>
      <c r="L1418" s="231">
        <f t="shared" ca="1" si="978"/>
        <v>2</v>
      </c>
      <c r="M1418" s="228" t="str">
        <f t="shared" ca="1" si="979"/>
        <v xml:space="preserve">   Acabamento em Gesso</v>
      </c>
      <c r="N1418" s="231">
        <f t="shared" ca="1" si="980"/>
        <v>1</v>
      </c>
      <c r="O1418" s="228" t="str">
        <f t="shared" ca="1" si="981"/>
        <v>Forro de Gesso em Placa - material e mao de obra</v>
      </c>
      <c r="P1418" s="232" t="str">
        <f>IF(S1418="","",IF(Orçamento!$B1418="INSUMO",S1418,""))</f>
        <v/>
      </c>
      <c r="Q1418" s="244" t="str">
        <f t="shared" si="970"/>
        <v>Forro de Gesso em Placa - material e mao de obra</v>
      </c>
      <c r="R1418" s="234">
        <f t="shared" ca="1" si="971"/>
        <v>843.6</v>
      </c>
      <c r="S1418" s="233" t="s">
        <v>1148</v>
      </c>
      <c r="T1418" s="242" t="s">
        <v>140</v>
      </c>
      <c r="U1418" s="235">
        <v>843.6</v>
      </c>
      <c r="V1418" s="320" t="s">
        <v>35</v>
      </c>
      <c r="W1418" s="236" t="str">
        <f>IFERROR(IF(B1418="INSUMO",_xlfn.XLOOKUP(S1418,Insumos!A:A,Insumos!C:C),""),"Inserir Preço")</f>
        <v/>
      </c>
      <c r="X1418" s="235">
        <f t="shared" ca="1" si="1001"/>
        <v>843.6</v>
      </c>
      <c r="Y1418" s="236">
        <f t="shared" ca="1" si="984"/>
        <v>69.505843999999996</v>
      </c>
      <c r="Z1418" s="237">
        <f t="shared" ca="1" si="967"/>
        <v>58635.1299984</v>
      </c>
      <c r="AA1418" s="238"/>
      <c r="AB1418" s="233" t="str">
        <f>IF(B1418="insumo",_xlfn.XLOOKUP(S1418,Insumos!A:A,Insumos!D:D),"")</f>
        <v/>
      </c>
      <c r="AC1418" s="239">
        <f t="shared" ca="1" si="968"/>
        <v>8.4117439867428621E-3</v>
      </c>
      <c r="AE1418" s="240">
        <f ca="1">IFERROR(IF(OR(Z1418="",Z1418=0),"",IF(AF1418="","",IF(AF1418="R$/mês",Z1418/OBRA!$D$12,IF(AF1418="R$/m²",Z1418/OBRA!$D$10,IF(AF1418="R$/apto",Orçamento!Z1418/OBRA!$D$11,""))))),"")</f>
        <v>30.174055566453791</v>
      </c>
      <c r="AF1418" s="241" t="s">
        <v>154</v>
      </c>
    </row>
    <row r="1419" spans="1:32" s="10" customFormat="1" ht="13.15" hidden="1" customHeight="1" outlineLevel="4" x14ac:dyDescent="0.2">
      <c r="A1419" s="227"/>
      <c r="B1419" s="228" t="s">
        <v>19</v>
      </c>
      <c r="C1419" s="229">
        <f t="shared" si="966"/>
        <v>3</v>
      </c>
      <c r="D1419" s="227" t="str">
        <f t="shared" si="969"/>
        <v/>
      </c>
      <c r="E1419" s="228" t="str">
        <f t="shared" ca="1" si="972"/>
        <v>14.003.002.001</v>
      </c>
      <c r="F1419" s="230">
        <f ca="1">IF($B1419="UNIDADE CONSTRUTIVA",OFFSET(F1419,-1,0)+1,LARGE(F$10:F1418,1))</f>
        <v>2</v>
      </c>
      <c r="G1419" s="228" t="str">
        <f t="shared" ca="1" si="973"/>
        <v xml:space="preserve">   GERENCIAMENTO EXECUTIVO</v>
      </c>
      <c r="H1419" s="230">
        <f t="shared" ca="1" si="974"/>
        <v>14</v>
      </c>
      <c r="I1419" s="228" t="str">
        <f t="shared" ca="1" si="975"/>
        <v xml:space="preserve">   REVESTIMENTOS E ACABAMENTOS INTERNOS EM TETO</v>
      </c>
      <c r="J1419" s="230">
        <f t="shared" ca="1" si="976"/>
        <v>3</v>
      </c>
      <c r="K1419" s="228" t="str">
        <f t="shared" ca="1" si="977"/>
        <v xml:space="preserve">   REVESTIMENTOS E ACABAMENTOS INTERNOS EM TETO - 3º  ao 7º PAVIMENTO - TIPO</v>
      </c>
      <c r="L1419" s="231">
        <f t="shared" ca="1" si="978"/>
        <v>2</v>
      </c>
      <c r="M1419" s="228" t="str">
        <f t="shared" ca="1" si="979"/>
        <v xml:space="preserve">   Acabamento em Gesso</v>
      </c>
      <c r="N1419" s="231">
        <f t="shared" ca="1" si="980"/>
        <v>1</v>
      </c>
      <c r="O1419" s="228" t="str">
        <f t="shared" ca="1" si="981"/>
        <v>Forro de Gesso em Placa - material e mao de obra</v>
      </c>
      <c r="P1419" s="232" t="str">
        <f>IF(S1419="","",IF(Orçamento!$B1419="INSUMO",S1419,""))</f>
        <v>GESSO PLACA 600X600X12MM NBR 13207/13867</v>
      </c>
      <c r="Q1419" s="244" t="str">
        <f t="shared" si="970"/>
        <v/>
      </c>
      <c r="R1419" s="234">
        <f t="shared" ca="1" si="971"/>
        <v>843.6</v>
      </c>
      <c r="S1419" s="233" t="s">
        <v>1141</v>
      </c>
      <c r="T1419" s="242" t="str">
        <f>_xlfn.XLOOKUP(S1419,Insumos!$A$3:$A$371,Insumos!$B$3:$B$371)</f>
        <v>UN</v>
      </c>
      <c r="U1419" s="235">
        <f t="shared" ref="U1419:U1426" ca="1" si="1002">IF($B1419="insumo",R1419,"")</f>
        <v>843.6</v>
      </c>
      <c r="V1419" s="320">
        <f>ROUNDUP(1/(0.6*0.6),4)</f>
        <v>2.7778</v>
      </c>
      <c r="W1419" s="236">
        <f>IFERROR(IF(B1419="INSUMO",_xlfn.XLOOKUP(S1419,Insumos!A:A,Insumos!C:C),""),"Inserir Preço")</f>
        <v>8.3800000000000008</v>
      </c>
      <c r="X1419" s="235">
        <f t="shared" ca="1" si="1001"/>
        <v>2343.3520800000001</v>
      </c>
      <c r="Y1419" s="236">
        <f t="shared" si="984"/>
        <v>23.277964000000004</v>
      </c>
      <c r="Z1419" s="237">
        <f t="shared" ca="1" si="967"/>
        <v>19637.290430400004</v>
      </c>
      <c r="AA1419" s="238"/>
      <c r="AB1419" s="233">
        <f>IF(B1419="insumo",_xlfn.XLOOKUP(S1419,Insumos!A:A,Insumos!D:D),"")</f>
        <v>0</v>
      </c>
      <c r="AC1419" s="239">
        <f t="shared" ca="1" si="968"/>
        <v>2.8171483494339967E-3</v>
      </c>
      <c r="AE1419" s="240">
        <f ca="1">IFERROR(IF(OR(Z1419="",Z1419=0),"",IF(AF1419="","",IF(AF1419="R$/mês",Z1419/OBRA!$D$12,IF(AF1419="R$/m²",Z1419/OBRA!$D$10,IF(AF1419="R$/apto",Orçamento!Z1419/OBRA!$D$11,""))))),"")</f>
        <v>10.105489535669994</v>
      </c>
      <c r="AF1419" s="241" t="s">
        <v>154</v>
      </c>
    </row>
    <row r="1420" spans="1:32" s="10" customFormat="1" ht="13.15" hidden="1" customHeight="1" outlineLevel="4" x14ac:dyDescent="0.2">
      <c r="A1420" s="227"/>
      <c r="B1420" s="228" t="s">
        <v>19</v>
      </c>
      <c r="C1420" s="229">
        <f t="shared" ref="C1420:C1483" si="1003">IF(B1420="INSUMO",COUNTIFS(B:B,"INSUMO",S:S,S1420),IF(B1420="SERVIÇO",COUNTIFS(B:B,"SERVIÇO",S:S,S1420),""))</f>
        <v>3</v>
      </c>
      <c r="D1420" s="227" t="str">
        <f t="shared" si="969"/>
        <v/>
      </c>
      <c r="E1420" s="228" t="str">
        <f t="shared" ca="1" si="972"/>
        <v>14.003.002.001</v>
      </c>
      <c r="F1420" s="230">
        <f ca="1">IF($B1420="UNIDADE CONSTRUTIVA",OFFSET(F1420,-1,0)+1,LARGE(F$10:F1419,1))</f>
        <v>2</v>
      </c>
      <c r="G1420" s="228" t="str">
        <f t="shared" ca="1" si="973"/>
        <v xml:space="preserve">   GERENCIAMENTO EXECUTIVO</v>
      </c>
      <c r="H1420" s="230">
        <f t="shared" ca="1" si="974"/>
        <v>14</v>
      </c>
      <c r="I1420" s="228" t="str">
        <f t="shared" ca="1" si="975"/>
        <v xml:space="preserve">   REVESTIMENTOS E ACABAMENTOS INTERNOS EM TETO</v>
      </c>
      <c r="J1420" s="230">
        <f t="shared" ca="1" si="976"/>
        <v>3</v>
      </c>
      <c r="K1420" s="228" t="str">
        <f t="shared" ca="1" si="977"/>
        <v xml:space="preserve">   REVESTIMENTOS E ACABAMENTOS INTERNOS EM TETO - 3º  ao 7º PAVIMENTO - TIPO</v>
      </c>
      <c r="L1420" s="231">
        <f t="shared" ca="1" si="978"/>
        <v>2</v>
      </c>
      <c r="M1420" s="228" t="str">
        <f t="shared" ca="1" si="979"/>
        <v xml:space="preserve">   Acabamento em Gesso</v>
      </c>
      <c r="N1420" s="231">
        <f t="shared" ca="1" si="980"/>
        <v>1</v>
      </c>
      <c r="O1420" s="228" t="str">
        <f t="shared" ca="1" si="981"/>
        <v>Forro de Gesso em Placa - material e mao de obra</v>
      </c>
      <c r="P1420" s="232" t="str">
        <f>IF(S1420="","",IF(Orçamento!$B1420="INSUMO",S1420,""))</f>
        <v>GESSO PO SECAGEM LENTA KG NBR 13207/13867</v>
      </c>
      <c r="Q1420" s="244" t="str">
        <f t="shared" si="970"/>
        <v/>
      </c>
      <c r="R1420" s="234">
        <f t="shared" ca="1" si="971"/>
        <v>843.6</v>
      </c>
      <c r="S1420" s="233" t="s">
        <v>1142</v>
      </c>
      <c r="T1420" s="242" t="str">
        <f>_xlfn.XLOOKUP(S1420,Insumos!$A$3:$A$371,Insumos!$B$3:$B$371)</f>
        <v>kg</v>
      </c>
      <c r="U1420" s="235">
        <f t="shared" ca="1" si="1002"/>
        <v>843.6</v>
      </c>
      <c r="V1420" s="320">
        <v>0.9</v>
      </c>
      <c r="W1420" s="236">
        <f>IFERROR(IF(B1420="INSUMO",_xlfn.XLOOKUP(S1420,Insumos!A:A,Insumos!C:C),""),"Inserir Preço")</f>
        <v>2.99</v>
      </c>
      <c r="X1420" s="235">
        <f t="shared" ca="1" si="1001"/>
        <v>759.24</v>
      </c>
      <c r="Y1420" s="236">
        <f t="shared" si="984"/>
        <v>2.6910000000000003</v>
      </c>
      <c r="Z1420" s="237">
        <f t="shared" ref="Z1420:Z1483" ca="1" si="1004">IFERROR(IF(B1420="Unidade Construtiva",SUMIFS(Z:Z,B:B,"Célula Construtiva",G:G,G1420),IF(B1420="célula construtiva",SUMIFS(Z:Z,B:B,"Insumo",I:I,I1420,G:G,G1420),IF(B1420="ETAPA",SUMIFS(Z:Z,B:B,"Insumo",K:K,K1420,I:I,I1420,G:G,G1420),IF(B1420="subetapa",SUMIFS(Z:Z,M:M,M1420,B:B,"insumo",K:K,K1420,I:I,I1420,G:G,G1420),IF(B1420="complemento do insumo",V1420*W1420,IF(B1420="INSUMO",R1420*V1420*W1420,X1420*Y1420)))))),"")</f>
        <v>2270.1276000000003</v>
      </c>
      <c r="AA1420" s="238"/>
      <c r="AB1420" s="233">
        <f>IF(B1420="insumo",_xlfn.XLOOKUP(S1420,Insumos!A:A,Insumos!D:D),"")</f>
        <v>0</v>
      </c>
      <c r="AC1420" s="239">
        <f t="shared" ref="AC1420:AC1483" ca="1" si="1005">IFERROR(IF(B1420="","",Z1420/SUMIF(B:B,"INSUMO",Z:Z)),0)</f>
        <v>3.2567050143762077E-4</v>
      </c>
      <c r="AE1420" s="240">
        <f ca="1">IFERROR(IF(OR(Z1420="",Z1420=0),"",IF(AF1420="","",IF(AF1420="R$/mês",Z1420/OBRA!$D$12,IF(AF1420="R$/m²",Z1420/OBRA!$D$10,IF(AF1420="R$/apto",Orçamento!Z1420/OBRA!$D$11,""))))),"")</f>
        <v>1.1682238335143036</v>
      </c>
      <c r="AF1420" s="241" t="s">
        <v>154</v>
      </c>
    </row>
    <row r="1421" spans="1:32" s="10" customFormat="1" ht="13.15" hidden="1" customHeight="1" outlineLevel="4" x14ac:dyDescent="0.2">
      <c r="A1421" s="227"/>
      <c r="B1421" s="228" t="s">
        <v>19</v>
      </c>
      <c r="C1421" s="229">
        <f t="shared" si="1003"/>
        <v>3</v>
      </c>
      <c r="D1421" s="227" t="str">
        <f t="shared" si="969"/>
        <v/>
      </c>
      <c r="E1421" s="228" t="str">
        <f t="shared" ca="1" si="972"/>
        <v>14.003.002.001</v>
      </c>
      <c r="F1421" s="230">
        <f ca="1">IF($B1421="UNIDADE CONSTRUTIVA",OFFSET(F1421,-1,0)+1,LARGE(F$10:F1420,1))</f>
        <v>2</v>
      </c>
      <c r="G1421" s="228" t="str">
        <f t="shared" ca="1" si="973"/>
        <v xml:space="preserve">   GERENCIAMENTO EXECUTIVO</v>
      </c>
      <c r="H1421" s="230">
        <f t="shared" ca="1" si="974"/>
        <v>14</v>
      </c>
      <c r="I1421" s="228" t="str">
        <f t="shared" ca="1" si="975"/>
        <v xml:space="preserve">   REVESTIMENTOS E ACABAMENTOS INTERNOS EM TETO</v>
      </c>
      <c r="J1421" s="230">
        <f t="shared" ca="1" si="976"/>
        <v>3</v>
      </c>
      <c r="K1421" s="228" t="str">
        <f t="shared" ca="1" si="977"/>
        <v xml:space="preserve">   REVESTIMENTOS E ACABAMENTOS INTERNOS EM TETO - 3º  ao 7º PAVIMENTO - TIPO</v>
      </c>
      <c r="L1421" s="231">
        <f t="shared" ca="1" si="978"/>
        <v>2</v>
      </c>
      <c r="M1421" s="228" t="str">
        <f t="shared" ca="1" si="979"/>
        <v xml:space="preserve">   Acabamento em Gesso</v>
      </c>
      <c r="N1421" s="231">
        <f t="shared" ca="1" si="980"/>
        <v>1</v>
      </c>
      <c r="O1421" s="228" t="str">
        <f t="shared" ca="1" si="981"/>
        <v>Forro de Gesso em Placa - material e mao de obra</v>
      </c>
      <c r="P1421" s="232" t="str">
        <f>IF(S1421="","",IF(Orçamento!$B1421="INSUMO",S1421,""))</f>
        <v>SISAL P/ESTUQUE GESSO NBR 13207/13867</v>
      </c>
      <c r="Q1421" s="244" t="str">
        <f t="shared" si="970"/>
        <v/>
      </c>
      <c r="R1421" s="234">
        <f t="shared" ca="1" si="971"/>
        <v>843.6</v>
      </c>
      <c r="S1421" s="233" t="s">
        <v>1143</v>
      </c>
      <c r="T1421" s="242" t="str">
        <f>_xlfn.XLOOKUP(S1421,Insumos!$A$3:$A$371,Insumos!$B$3:$B$371)</f>
        <v>KG</v>
      </c>
      <c r="U1421" s="235">
        <f t="shared" ca="1" si="1002"/>
        <v>843.6</v>
      </c>
      <c r="V1421" s="320">
        <v>8.0000000000000002E-3</v>
      </c>
      <c r="W1421" s="236">
        <f>IFERROR(IF(B1421="INSUMO",_xlfn.XLOOKUP(S1421,Insumos!A:A,Insumos!C:C),""),"Inserir Preço")</f>
        <v>29.26</v>
      </c>
      <c r="X1421" s="235">
        <f t="shared" ca="1" si="1001"/>
        <v>6.7488000000000001</v>
      </c>
      <c r="Y1421" s="236">
        <f t="shared" si="984"/>
        <v>0.23408000000000001</v>
      </c>
      <c r="Z1421" s="237">
        <f t="shared" ca="1" si="1004"/>
        <v>197.46988800000003</v>
      </c>
      <c r="AA1421" s="238"/>
      <c r="AB1421" s="233">
        <f>IF(B1421="insumo",_xlfn.XLOOKUP(S1421,Insumos!A:A,Insumos!D:D),"")</f>
        <v>0</v>
      </c>
      <c r="AC1421" s="239">
        <f t="shared" ca="1" si="1005"/>
        <v>2.8328855806955877E-5</v>
      </c>
      <c r="AE1421" s="240">
        <f ca="1">IFERROR(IF(OR(Z1421="",Z1421=0),"",IF(AF1421="","",IF(AF1421="R$/mês",Z1421/OBRA!$D$12,IF(AF1421="R$/m²",Z1421/OBRA!$D$10,IF(AF1421="R$/apto",Orçamento!Z1421/OBRA!$D$11,""))))),"")</f>
        <v>0.1016194109806868</v>
      </c>
      <c r="AF1421" s="241" t="s">
        <v>154</v>
      </c>
    </row>
    <row r="1422" spans="1:32" s="10" customFormat="1" ht="13.15" hidden="1" customHeight="1" outlineLevel="4" x14ac:dyDescent="0.2">
      <c r="A1422" s="227"/>
      <c r="B1422" s="228" t="s">
        <v>19</v>
      </c>
      <c r="C1422" s="229">
        <f t="shared" si="1003"/>
        <v>3</v>
      </c>
      <c r="D1422" s="227" t="str">
        <f t="shared" si="969"/>
        <v/>
      </c>
      <c r="E1422" s="228" t="str">
        <f t="shared" ca="1" si="972"/>
        <v>14.003.002.001</v>
      </c>
      <c r="F1422" s="230">
        <f ca="1">IF($B1422="UNIDADE CONSTRUTIVA",OFFSET(F1422,-1,0)+1,LARGE(F$10:F1421,1))</f>
        <v>2</v>
      </c>
      <c r="G1422" s="228" t="str">
        <f t="shared" ca="1" si="973"/>
        <v xml:space="preserve">   GERENCIAMENTO EXECUTIVO</v>
      </c>
      <c r="H1422" s="230">
        <f t="shared" ca="1" si="974"/>
        <v>14</v>
      </c>
      <c r="I1422" s="228" t="str">
        <f t="shared" ca="1" si="975"/>
        <v xml:space="preserve">   REVESTIMENTOS E ACABAMENTOS INTERNOS EM TETO</v>
      </c>
      <c r="J1422" s="230">
        <f t="shared" ca="1" si="976"/>
        <v>3</v>
      </c>
      <c r="K1422" s="228" t="str">
        <f t="shared" ca="1" si="977"/>
        <v xml:space="preserve">   REVESTIMENTOS E ACABAMENTOS INTERNOS EM TETO - 3º  ao 7º PAVIMENTO - TIPO</v>
      </c>
      <c r="L1422" s="231">
        <f t="shared" ca="1" si="978"/>
        <v>2</v>
      </c>
      <c r="M1422" s="228" t="str">
        <f t="shared" ca="1" si="979"/>
        <v xml:space="preserve">   Acabamento em Gesso</v>
      </c>
      <c r="N1422" s="231">
        <f t="shared" ca="1" si="980"/>
        <v>1</v>
      </c>
      <c r="O1422" s="228" t="str">
        <f t="shared" ca="1" si="981"/>
        <v>Forro de Gesso em Placa - material e mao de obra</v>
      </c>
      <c r="P1422" s="232" t="str">
        <f>IF(S1422="","",IF(Orçamento!$B1422="INSUMO",S1422,""))</f>
        <v>PINO LISO P/FIXACAO DIRETA C/ARRUELA 23MM CONICA 1/4"X28MM</v>
      </c>
      <c r="Q1422" s="244" t="str">
        <f t="shared" si="970"/>
        <v/>
      </c>
      <c r="R1422" s="234">
        <f t="shared" ca="1" si="971"/>
        <v>843.6</v>
      </c>
      <c r="S1422" s="233" t="s">
        <v>1144</v>
      </c>
      <c r="T1422" s="242" t="str">
        <f>_xlfn.XLOOKUP(S1422,Insumos!$A$3:$A$371,Insumos!$B$3:$B$371)</f>
        <v>UN</v>
      </c>
      <c r="U1422" s="235">
        <f t="shared" ca="1" si="1002"/>
        <v>843.6</v>
      </c>
      <c r="V1422" s="320">
        <v>3</v>
      </c>
      <c r="W1422" s="236">
        <f>IFERROR(IF(B1422="INSUMO",_xlfn.XLOOKUP(S1422,Insumos!A:A,Insumos!C:C),""),"Inserir Preço")</f>
        <v>0.3</v>
      </c>
      <c r="X1422" s="235">
        <f t="shared" ca="1" si="1001"/>
        <v>2530.8000000000002</v>
      </c>
      <c r="Y1422" s="236">
        <f t="shared" si="984"/>
        <v>0.89999999999999991</v>
      </c>
      <c r="Z1422" s="237">
        <f t="shared" ca="1" si="1004"/>
        <v>759.24</v>
      </c>
      <c r="AA1422" s="238"/>
      <c r="AB1422" s="233" t="str">
        <f>IF(B1422="insumo",_xlfn.XLOOKUP(S1422,Insumos!A:A,Insumos!D:D),"")</f>
        <v xml:space="preserve"> </v>
      </c>
      <c r="AC1422" s="239">
        <f t="shared" ca="1" si="1005"/>
        <v>1.0891990014636144E-4</v>
      </c>
      <c r="AE1422" s="240">
        <f ca="1">IFERROR(IF(OR(Z1422="",Z1422=0),"",IF(AF1422="","",IF(AF1422="R$/mês",Z1422/OBRA!$D$12,IF(AF1422="R$/m²",Z1422/OBRA!$D$10,IF(AF1422="R$/apto",Orçamento!Z1422/OBRA!$D$11,""))))),"")</f>
        <v>0.39071031221214164</v>
      </c>
      <c r="AF1422" s="241" t="s">
        <v>154</v>
      </c>
    </row>
    <row r="1423" spans="1:32" s="10" customFormat="1" ht="13.15" hidden="1" customHeight="1" outlineLevel="4" x14ac:dyDescent="0.2">
      <c r="A1423" s="227"/>
      <c r="B1423" s="228" t="s">
        <v>19</v>
      </c>
      <c r="C1423" s="229">
        <f t="shared" si="1003"/>
        <v>3</v>
      </c>
      <c r="D1423" s="227" t="str">
        <f t="shared" si="969"/>
        <v/>
      </c>
      <c r="E1423" s="228" t="str">
        <f t="shared" ca="1" si="972"/>
        <v>14.003.002.001</v>
      </c>
      <c r="F1423" s="230">
        <f ca="1">IF($B1423="UNIDADE CONSTRUTIVA",OFFSET(F1423,-1,0)+1,LARGE(F$10:F1422,1))</f>
        <v>2</v>
      </c>
      <c r="G1423" s="228" t="str">
        <f t="shared" ca="1" si="973"/>
        <v xml:space="preserve">   GERENCIAMENTO EXECUTIVO</v>
      </c>
      <c r="H1423" s="230">
        <f t="shared" ca="1" si="974"/>
        <v>14</v>
      </c>
      <c r="I1423" s="228" t="str">
        <f t="shared" ca="1" si="975"/>
        <v xml:space="preserve">   REVESTIMENTOS E ACABAMENTOS INTERNOS EM TETO</v>
      </c>
      <c r="J1423" s="230">
        <f t="shared" ca="1" si="976"/>
        <v>3</v>
      </c>
      <c r="K1423" s="228" t="str">
        <f t="shared" ca="1" si="977"/>
        <v xml:space="preserve">   REVESTIMENTOS E ACABAMENTOS INTERNOS EM TETO - 3º  ao 7º PAVIMENTO - TIPO</v>
      </c>
      <c r="L1423" s="231">
        <f t="shared" ca="1" si="978"/>
        <v>2</v>
      </c>
      <c r="M1423" s="228" t="str">
        <f t="shared" ca="1" si="979"/>
        <v xml:space="preserve">   Acabamento em Gesso</v>
      </c>
      <c r="N1423" s="231">
        <f t="shared" ca="1" si="980"/>
        <v>1</v>
      </c>
      <c r="O1423" s="228" t="str">
        <f t="shared" ca="1" si="981"/>
        <v>Forro de Gesso em Placa - material e mao de obra</v>
      </c>
      <c r="P1423" s="232" t="str">
        <f>IF(S1423="","",IF(Orçamento!$B1423="INSUMO",S1423,""))</f>
        <v>ARAME ACO CARBONO GALVANIZADO LISO BWG 16 FIO 1,65MM NBR 6207</v>
      </c>
      <c r="Q1423" s="244" t="str">
        <f t="shared" si="970"/>
        <v/>
      </c>
      <c r="R1423" s="234">
        <f t="shared" ca="1" si="971"/>
        <v>843.6</v>
      </c>
      <c r="S1423" s="233" t="s">
        <v>1145</v>
      </c>
      <c r="T1423" s="242" t="str">
        <f>_xlfn.XLOOKUP(S1423,Insumos!$A$3:$A$371,Insumos!$B$3:$B$371)</f>
        <v>KG</v>
      </c>
      <c r="U1423" s="235">
        <f t="shared" ca="1" si="1002"/>
        <v>843.6</v>
      </c>
      <c r="V1423" s="320">
        <v>0.02</v>
      </c>
      <c r="W1423" s="236">
        <f>IFERROR(IF(B1423="INSUMO",_xlfn.XLOOKUP(S1423,Insumos!A:A,Insumos!C:C),""),"Inserir Preço")</f>
        <v>10.14</v>
      </c>
      <c r="X1423" s="235">
        <f t="shared" ca="1" si="1001"/>
        <v>16.872</v>
      </c>
      <c r="Y1423" s="236">
        <f t="shared" si="984"/>
        <v>0.20280000000000001</v>
      </c>
      <c r="Z1423" s="237">
        <f t="shared" ca="1" si="1004"/>
        <v>171.08208000000002</v>
      </c>
      <c r="AA1423" s="238"/>
      <c r="AB1423" s="233">
        <f>IF(B1423="insumo",_xlfn.XLOOKUP(S1423,Insumos!A:A,Insumos!D:D),"")</f>
        <v>0</v>
      </c>
      <c r="AC1423" s="239">
        <f t="shared" ca="1" si="1005"/>
        <v>2.4543284166313448E-5</v>
      </c>
      <c r="AE1423" s="240">
        <f ca="1">IFERROR(IF(OR(Z1423="",Z1423=0),"",IF(AF1423="","",IF(AF1423="R$/mês",Z1423/OBRA!$D$12,IF(AF1423="R$/m²",Z1423/OBRA!$D$10,IF(AF1423="R$/apto",Orçamento!Z1423/OBRA!$D$11,""))))),"")</f>
        <v>8.8040057018469259E-2</v>
      </c>
      <c r="AF1423" s="241" t="s">
        <v>154</v>
      </c>
    </row>
    <row r="1424" spans="1:32" s="10" customFormat="1" ht="13.15" hidden="1" customHeight="1" outlineLevel="4" x14ac:dyDescent="0.2">
      <c r="A1424" s="227"/>
      <c r="B1424" s="228" t="s">
        <v>19</v>
      </c>
      <c r="C1424" s="229">
        <f t="shared" si="1003"/>
        <v>3</v>
      </c>
      <c r="D1424" s="227" t="str">
        <f t="shared" si="969"/>
        <v/>
      </c>
      <c r="E1424" s="228" t="str">
        <f t="shared" ca="1" si="972"/>
        <v>14.003.002.001</v>
      </c>
      <c r="F1424" s="230">
        <f ca="1">IF($B1424="UNIDADE CONSTRUTIVA",OFFSET(F1424,-1,0)+1,LARGE(F$10:F1423,1))</f>
        <v>2</v>
      </c>
      <c r="G1424" s="228" t="str">
        <f t="shared" ca="1" si="973"/>
        <v xml:space="preserve">   GERENCIAMENTO EXECUTIVO</v>
      </c>
      <c r="H1424" s="230">
        <f t="shared" ca="1" si="974"/>
        <v>14</v>
      </c>
      <c r="I1424" s="228" t="str">
        <f t="shared" ca="1" si="975"/>
        <v xml:space="preserve">   REVESTIMENTOS E ACABAMENTOS INTERNOS EM TETO</v>
      </c>
      <c r="J1424" s="230">
        <f t="shared" ca="1" si="976"/>
        <v>3</v>
      </c>
      <c r="K1424" s="228" t="str">
        <f t="shared" ca="1" si="977"/>
        <v xml:space="preserve">   REVESTIMENTOS E ACABAMENTOS INTERNOS EM TETO - 3º  ao 7º PAVIMENTO - TIPO</v>
      </c>
      <c r="L1424" s="231">
        <f t="shared" ca="1" si="978"/>
        <v>2</v>
      </c>
      <c r="M1424" s="228" t="str">
        <f t="shared" ca="1" si="979"/>
        <v xml:space="preserve">   Acabamento em Gesso</v>
      </c>
      <c r="N1424" s="231">
        <f t="shared" ca="1" si="980"/>
        <v>1</v>
      </c>
      <c r="O1424" s="228" t="str">
        <f t="shared" ca="1" si="981"/>
        <v>Forro de Gesso em Placa - material e mao de obra</v>
      </c>
      <c r="P1424" s="232" t="str">
        <f>IF(S1424="","",IF(Orçamento!$B1424="INSUMO",S1424,""))</f>
        <v>SERVICO EMP. - INST. FORRO GESSO</v>
      </c>
      <c r="Q1424" s="244" t="str">
        <f t="shared" si="970"/>
        <v/>
      </c>
      <c r="R1424" s="234">
        <f t="shared" ca="1" si="971"/>
        <v>843.6</v>
      </c>
      <c r="S1424" s="233" t="s">
        <v>1146</v>
      </c>
      <c r="T1424" s="242" t="str">
        <f>_xlfn.XLOOKUP(S1424,Insumos!$A$3:$A$371,Insumos!$B$3:$B$371)</f>
        <v>M2</v>
      </c>
      <c r="U1424" s="235">
        <f t="shared" ca="1" si="1002"/>
        <v>843.6</v>
      </c>
      <c r="V1424" s="320">
        <v>1</v>
      </c>
      <c r="W1424" s="236">
        <f>IFERROR(IF(B1424="INSUMO",_xlfn.XLOOKUP(S1424,Insumos!A:A,Insumos!C:C),""),"Inserir Preço")</f>
        <v>23</v>
      </c>
      <c r="X1424" s="235">
        <f t="shared" ca="1" si="1001"/>
        <v>843.6</v>
      </c>
      <c r="Y1424" s="236">
        <f t="shared" si="984"/>
        <v>23</v>
      </c>
      <c r="Z1424" s="237">
        <f t="shared" ca="1" si="1004"/>
        <v>19402.8</v>
      </c>
      <c r="AA1424" s="238"/>
      <c r="AB1424" s="233" t="str">
        <f>IF(B1424="insumo",_xlfn.XLOOKUP(S1424,Insumos!A:A,Insumos!D:D),"")</f>
        <v>Empreitada</v>
      </c>
      <c r="AC1424" s="239">
        <f t="shared" ca="1" si="1005"/>
        <v>2.7835085592959035E-3</v>
      </c>
      <c r="AE1424" s="240">
        <f ca="1">IFERROR(IF(OR(Z1424="",Z1424=0),"",IF(AF1424="","",IF(AF1424="R$/mês",Z1424/OBRA!$D$12,IF(AF1424="R$/m²",Z1424/OBRA!$D$10,IF(AF1424="R$/apto",Orçamento!Z1424/OBRA!$D$11,""))))),"")</f>
        <v>9.9848190898658409</v>
      </c>
      <c r="AF1424" s="241" t="s">
        <v>154</v>
      </c>
    </row>
    <row r="1425" spans="1:32" s="10" customFormat="1" ht="13.15" hidden="1" customHeight="1" outlineLevel="4" x14ac:dyDescent="0.2">
      <c r="A1425" s="227"/>
      <c r="B1425" s="228" t="s">
        <v>19</v>
      </c>
      <c r="C1425" s="229">
        <f t="shared" si="1003"/>
        <v>3</v>
      </c>
      <c r="D1425" s="227" t="str">
        <f t="shared" si="969"/>
        <v/>
      </c>
      <c r="E1425" s="228" t="str">
        <f t="shared" ca="1" si="972"/>
        <v>14.003.002.001</v>
      </c>
      <c r="F1425" s="230">
        <f ca="1">IF($B1425="UNIDADE CONSTRUTIVA",OFFSET(F1425,-1,0)+1,LARGE(F$10:F1424,1))</f>
        <v>2</v>
      </c>
      <c r="G1425" s="228" t="str">
        <f t="shared" ca="1" si="973"/>
        <v xml:space="preserve">   GERENCIAMENTO EXECUTIVO</v>
      </c>
      <c r="H1425" s="230">
        <f t="shared" ca="1" si="974"/>
        <v>14</v>
      </c>
      <c r="I1425" s="228" t="str">
        <f t="shared" ca="1" si="975"/>
        <v xml:space="preserve">   REVESTIMENTOS E ACABAMENTOS INTERNOS EM TETO</v>
      </c>
      <c r="J1425" s="230">
        <f t="shared" ca="1" si="976"/>
        <v>3</v>
      </c>
      <c r="K1425" s="228" t="str">
        <f t="shared" ca="1" si="977"/>
        <v xml:space="preserve">   REVESTIMENTOS E ACABAMENTOS INTERNOS EM TETO - 3º  ao 7º PAVIMENTO - TIPO</v>
      </c>
      <c r="L1425" s="231">
        <f t="shared" ca="1" si="978"/>
        <v>2</v>
      </c>
      <c r="M1425" s="228" t="str">
        <f t="shared" ca="1" si="979"/>
        <v xml:space="preserve">   Acabamento em Gesso</v>
      </c>
      <c r="N1425" s="231">
        <f t="shared" ca="1" si="980"/>
        <v>1</v>
      </c>
      <c r="O1425" s="228" t="str">
        <f t="shared" ca="1" si="981"/>
        <v>Forro de Gesso em Placa - material e mao de obra</v>
      </c>
      <c r="P1425" s="232" t="str">
        <f>IF(S1425="","",IF(Orçamento!$B1425="INSUMO",S1425,""))</f>
        <v>SERVICO EMP. - INST. FORRO GESSO NEGATIVO</v>
      </c>
      <c r="Q1425" s="244" t="str">
        <f t="shared" si="970"/>
        <v/>
      </c>
      <c r="R1425" s="234">
        <f t="shared" ca="1" si="971"/>
        <v>843.6</v>
      </c>
      <c r="S1425" s="233" t="s">
        <v>1147</v>
      </c>
      <c r="T1425" s="242" t="str">
        <f>_xlfn.XLOOKUP(S1425,Insumos!$A$3:$A$371,Insumos!$B$3:$B$371)</f>
        <v>M</v>
      </c>
      <c r="U1425" s="235">
        <f t="shared" ca="1" si="1002"/>
        <v>843.6</v>
      </c>
      <c r="V1425" s="320">
        <v>1.2</v>
      </c>
      <c r="W1425" s="236">
        <f>IFERROR(IF(B1425="INSUMO",_xlfn.XLOOKUP(S1425,Insumos!A:A,Insumos!C:C),""),"Inserir Preço")</f>
        <v>16</v>
      </c>
      <c r="X1425" s="235">
        <f t="shared" ca="1" si="1001"/>
        <v>1012.3199999999999</v>
      </c>
      <c r="Y1425" s="236">
        <f t="shared" si="984"/>
        <v>19.2</v>
      </c>
      <c r="Z1425" s="237">
        <f t="shared" ca="1" si="1004"/>
        <v>16197.119999999999</v>
      </c>
      <c r="AA1425" s="238"/>
      <c r="AB1425" s="233" t="str">
        <f>IF(B1425="insumo",_xlfn.XLOOKUP(S1425,Insumos!A:A,Insumos!D:D),"")</f>
        <v>Empreitada</v>
      </c>
      <c r="AC1425" s="239">
        <f t="shared" ca="1" si="1005"/>
        <v>2.3236245364557104E-3</v>
      </c>
      <c r="AE1425" s="240">
        <f ca="1">IFERROR(IF(OR(Z1425="",Z1425=0),"",IF(AF1425="","",IF(AF1425="R$/mês",Z1425/OBRA!$D$12,IF(AF1425="R$/m²",Z1425/OBRA!$D$10,IF(AF1425="R$/apto",Orçamento!Z1425/OBRA!$D$11,""))))),"")</f>
        <v>8.335153327192355</v>
      </c>
      <c r="AF1425" s="241" t="s">
        <v>154</v>
      </c>
    </row>
    <row r="1426" spans="1:32" s="10" customFormat="1" ht="13.15" hidden="1" customHeight="1" outlineLevel="3" collapsed="1" x14ac:dyDescent="0.2">
      <c r="A1426" s="227"/>
      <c r="B1426" s="228" t="s">
        <v>3</v>
      </c>
      <c r="C1426" s="229" t="str">
        <f t="shared" si="1003"/>
        <v/>
      </c>
      <c r="D1426" s="227" t="str">
        <f t="shared" ca="1" si="969"/>
        <v>14.003.003</v>
      </c>
      <c r="E1426" s="228" t="str">
        <f t="shared" ca="1" si="972"/>
        <v>14.003.002.001</v>
      </c>
      <c r="F1426" s="230">
        <f ca="1">IF($B1426="UNIDADE CONSTRUTIVA",OFFSET(F1426,-1,0)+1,LARGE(F$10:F1425,1))</f>
        <v>2</v>
      </c>
      <c r="G1426" s="228" t="str">
        <f t="shared" ca="1" si="973"/>
        <v xml:space="preserve">   GERENCIAMENTO EXECUTIVO</v>
      </c>
      <c r="H1426" s="230">
        <f t="shared" ca="1" si="974"/>
        <v>14</v>
      </c>
      <c r="I1426" s="228" t="str">
        <f t="shared" ca="1" si="975"/>
        <v xml:space="preserve">   REVESTIMENTOS E ACABAMENTOS INTERNOS EM TETO</v>
      </c>
      <c r="J1426" s="230">
        <f t="shared" ca="1" si="976"/>
        <v>3</v>
      </c>
      <c r="K1426" s="228" t="str">
        <f t="shared" ca="1" si="977"/>
        <v xml:space="preserve">   REVESTIMENTOS E ACABAMENTOS INTERNOS EM TETO - 3º  ao 7º PAVIMENTO - TIPO</v>
      </c>
      <c r="L1426" s="231">
        <f t="shared" ca="1" si="978"/>
        <v>3</v>
      </c>
      <c r="M1426" s="228" t="str">
        <f t="shared" ca="1" si="979"/>
        <v xml:space="preserve">   Mão de Obra</v>
      </c>
      <c r="N1426" s="231">
        <f t="shared" ca="1" si="980"/>
        <v>0</v>
      </c>
      <c r="O1426" s="228" t="str">
        <f t="shared" ca="1" si="981"/>
        <v>Forro de Gesso em Placa - material e mao de obra</v>
      </c>
      <c r="P1426" s="232" t="str">
        <f>IF(S1426="","",IF(Orçamento!$B1426="INSUMO",S1426,""))</f>
        <v/>
      </c>
      <c r="Q1426" s="244" t="str">
        <f t="shared" si="970"/>
        <v/>
      </c>
      <c r="R1426" s="234">
        <f t="shared" ca="1" si="971"/>
        <v>843.6</v>
      </c>
      <c r="S1426" s="233" t="s">
        <v>438</v>
      </c>
      <c r="T1426" s="242" t="s">
        <v>35</v>
      </c>
      <c r="U1426" s="235" t="str">
        <f t="shared" si="1002"/>
        <v/>
      </c>
      <c r="V1426" s="320" t="s">
        <v>35</v>
      </c>
      <c r="W1426" s="236" t="str">
        <f>IFERROR(IF(B1426="INSUMO",_xlfn.XLOOKUP(S1426,Insumos!A:A,Insumos!C:C),""),"Inserir Preço")</f>
        <v/>
      </c>
      <c r="X1426" s="235" t="str">
        <f t="shared" ca="1" si="1001"/>
        <v/>
      </c>
      <c r="Y1426" s="236" t="str">
        <f t="shared" si="984"/>
        <v/>
      </c>
      <c r="Z1426" s="237">
        <f t="shared" ca="1" si="1004"/>
        <v>18496.24804345825</v>
      </c>
      <c r="AA1426" s="238"/>
      <c r="AB1426" s="233" t="str">
        <f>IF(B1426="insumo",_xlfn.XLOOKUP(S1426,Insumos!A:A,Insumos!D:D),"")</f>
        <v/>
      </c>
      <c r="AC1426" s="239">
        <f t="shared" ca="1" si="1005"/>
        <v>2.6534554159103919E-3</v>
      </c>
      <c r="AE1426" s="240">
        <f ca="1">IFERROR(IF(OR(Z1426="",Z1426=0),"",IF(AF1426="","",IF(AF1426="R$/mês",Z1426/OBRA!$D$12,IF(AF1426="R$/m²",Z1426/OBRA!$D$10,IF(AF1426="R$/apto",Orçamento!Z1426/OBRA!$D$11,""))))),"")</f>
        <v>9.5183009954859958</v>
      </c>
      <c r="AF1426" s="241" t="s">
        <v>154</v>
      </c>
    </row>
    <row r="1427" spans="1:32" s="10" customFormat="1" ht="13.15" hidden="1" customHeight="1" outlineLevel="4" x14ac:dyDescent="0.2">
      <c r="A1427" s="227"/>
      <c r="B1427" s="228" t="s">
        <v>4</v>
      </c>
      <c r="C1427" s="229">
        <f t="shared" si="1003"/>
        <v>5</v>
      </c>
      <c r="D1427" s="227" t="str">
        <f t="shared" ca="1" si="969"/>
        <v>14.003.003.001</v>
      </c>
      <c r="E1427" s="228" t="str">
        <f t="shared" ca="1" si="972"/>
        <v>14.003.003.001</v>
      </c>
      <c r="F1427" s="230">
        <f ca="1">IF($B1427="UNIDADE CONSTRUTIVA",OFFSET(F1427,-1,0)+1,LARGE(F$10:F1426,1))</f>
        <v>2</v>
      </c>
      <c r="G1427" s="228" t="str">
        <f t="shared" ca="1" si="973"/>
        <v xml:space="preserve">   GERENCIAMENTO EXECUTIVO</v>
      </c>
      <c r="H1427" s="230">
        <f t="shared" ca="1" si="974"/>
        <v>14</v>
      </c>
      <c r="I1427" s="228" t="str">
        <f t="shared" ca="1" si="975"/>
        <v xml:space="preserve">   REVESTIMENTOS E ACABAMENTOS INTERNOS EM TETO</v>
      </c>
      <c r="J1427" s="230">
        <f t="shared" ca="1" si="976"/>
        <v>3</v>
      </c>
      <c r="K1427" s="228" t="str">
        <f t="shared" ca="1" si="977"/>
        <v xml:space="preserve">   REVESTIMENTOS E ACABAMENTOS INTERNOS EM TETO - 3º  ao 7º PAVIMENTO - TIPO</v>
      </c>
      <c r="L1427" s="231">
        <f t="shared" ca="1" si="978"/>
        <v>3</v>
      </c>
      <c r="M1427" s="228" t="str">
        <f t="shared" ca="1" si="979"/>
        <v xml:space="preserve">   Mão de Obra</v>
      </c>
      <c r="N1427" s="231">
        <f t="shared" ca="1" si="980"/>
        <v>1</v>
      </c>
      <c r="O1427" s="228" t="str">
        <f t="shared" ca="1" si="981"/>
        <v>Mao De Obra Acabamento Em Massa Teto</v>
      </c>
      <c r="P1427" s="232" t="str">
        <f>IF(S1427="","",IF(Orçamento!$B1427="INSUMO",S1427,""))</f>
        <v/>
      </c>
      <c r="Q1427" s="244" t="str">
        <f t="shared" si="970"/>
        <v>Mao De Obra Acabamento Em Massa Teto</v>
      </c>
      <c r="R1427" s="234">
        <f t="shared" ca="1" si="971"/>
        <v>108.5</v>
      </c>
      <c r="S1427" s="233" t="s">
        <v>1044</v>
      </c>
      <c r="T1427" s="242" t="s">
        <v>140</v>
      </c>
      <c r="U1427" s="235">
        <f>U1415</f>
        <v>108.5</v>
      </c>
      <c r="V1427" s="320" t="s">
        <v>35</v>
      </c>
      <c r="W1427" s="236" t="str">
        <f>IFERROR(IF(B1427="INSUMO",_xlfn.XLOOKUP(S1427,Insumos!A:A,Insumos!C:C),""),"Inserir Preço")</f>
        <v/>
      </c>
      <c r="X1427" s="235">
        <f t="shared" ca="1" si="1001"/>
        <v>108.5</v>
      </c>
      <c r="Y1427" s="236">
        <f t="shared" ca="1" si="984"/>
        <v>170.47233219777189</v>
      </c>
      <c r="Z1427" s="237">
        <f t="shared" ca="1" si="1004"/>
        <v>18496.24804345825</v>
      </c>
      <c r="AA1427" s="238"/>
      <c r="AB1427" s="233" t="str">
        <f>IF(B1427="insumo",_xlfn.XLOOKUP(S1427,Insumos!A:A,Insumos!D:D),"")</f>
        <v/>
      </c>
      <c r="AC1427" s="239">
        <f t="shared" ca="1" si="1005"/>
        <v>2.6534554159103919E-3</v>
      </c>
      <c r="AE1427" s="240">
        <f ca="1">IFERROR(IF(OR(Z1427="",Z1427=0),"",IF(AF1427="","",IF(AF1427="R$/mês",Z1427/OBRA!$D$12,IF(AF1427="R$/m²",Z1427/OBRA!$D$10,IF(AF1427="R$/apto",Orçamento!Z1427/OBRA!$D$11,""))))),"")</f>
        <v>9.5183009954859958</v>
      </c>
      <c r="AF1427" s="241" t="s">
        <v>154</v>
      </c>
    </row>
    <row r="1428" spans="1:32" s="10" customFormat="1" ht="13.15" hidden="1" customHeight="1" outlineLevel="4" x14ac:dyDescent="0.2">
      <c r="A1428" s="227"/>
      <c r="B1428" s="228" t="s">
        <v>19</v>
      </c>
      <c r="C1428" s="229">
        <f t="shared" si="1003"/>
        <v>5</v>
      </c>
      <c r="D1428" s="227" t="str">
        <f t="shared" si="969"/>
        <v/>
      </c>
      <c r="E1428" s="228" t="str">
        <f t="shared" ca="1" si="972"/>
        <v>14.003.003.001</v>
      </c>
      <c r="F1428" s="230">
        <f ca="1">IF($B1428="UNIDADE CONSTRUTIVA",OFFSET(F1428,-1,0)+1,LARGE(F$10:F1427,1))</f>
        <v>2</v>
      </c>
      <c r="G1428" s="228" t="str">
        <f t="shared" ca="1" si="973"/>
        <v xml:space="preserve">   GERENCIAMENTO EXECUTIVO</v>
      </c>
      <c r="H1428" s="230">
        <f t="shared" ca="1" si="974"/>
        <v>14</v>
      </c>
      <c r="I1428" s="228" t="str">
        <f t="shared" ca="1" si="975"/>
        <v xml:space="preserve">   REVESTIMENTOS E ACABAMENTOS INTERNOS EM TETO</v>
      </c>
      <c r="J1428" s="230">
        <f t="shared" ca="1" si="976"/>
        <v>3</v>
      </c>
      <c r="K1428" s="228" t="str">
        <f t="shared" ca="1" si="977"/>
        <v xml:space="preserve">   REVESTIMENTOS E ACABAMENTOS INTERNOS EM TETO - 3º  ao 7º PAVIMENTO - TIPO</v>
      </c>
      <c r="L1428" s="231">
        <f t="shared" ca="1" si="978"/>
        <v>3</v>
      </c>
      <c r="M1428" s="228" t="str">
        <f t="shared" ca="1" si="979"/>
        <v xml:space="preserve">   Mão de Obra</v>
      </c>
      <c r="N1428" s="231">
        <f t="shared" ca="1" si="980"/>
        <v>1</v>
      </c>
      <c r="O1428" s="228" t="str">
        <f t="shared" ca="1" si="981"/>
        <v>Mao De Obra Acabamento Em Massa Teto</v>
      </c>
      <c r="P1428" s="232" t="str">
        <f>IF(S1428="","",IF(Orçamento!$B1428="INSUMO",S1428,""))</f>
        <v>MAO DE OBRA PARA EMASSAMENTO EM TETO</v>
      </c>
      <c r="Q1428" s="244" t="str">
        <f t="shared" si="970"/>
        <v/>
      </c>
      <c r="R1428" s="234">
        <f t="shared" ca="1" si="971"/>
        <v>108.5</v>
      </c>
      <c r="S1428" s="233" t="s">
        <v>874</v>
      </c>
      <c r="T1428" s="242" t="str">
        <f>_xlfn.XLOOKUP(S1428,Insumos!$A$3:$A$371,Insumos!$B$3:$B$371)</f>
        <v>M2</v>
      </c>
      <c r="U1428" s="235">
        <f ca="1">IF($B1428="insumo",R1428,"")</f>
        <v>108.5</v>
      </c>
      <c r="V1428" s="320">
        <v>1</v>
      </c>
      <c r="W1428" s="236">
        <f>IFERROR(IF(B1428="INSUMO",_xlfn.XLOOKUP(S1428,Insumos!A:A,Insumos!C:C),""),"Inserir Preço")</f>
        <v>170.47233219777189</v>
      </c>
      <c r="X1428" s="235">
        <f t="shared" ca="1" si="1001"/>
        <v>108.5</v>
      </c>
      <c r="Y1428" s="236">
        <f t="shared" si="984"/>
        <v>170.47233219777189</v>
      </c>
      <c r="Z1428" s="237">
        <f t="shared" ca="1" si="1004"/>
        <v>18496.24804345825</v>
      </c>
      <c r="AA1428" s="238"/>
      <c r="AB1428" s="233" t="str">
        <f>IF(B1428="insumo",_xlfn.XLOOKUP(S1428,Insumos!A:A,Insumos!D:D),"")</f>
        <v>Aba Custo Serviços</v>
      </c>
      <c r="AC1428" s="239">
        <f t="shared" ca="1" si="1005"/>
        <v>2.6534554159103919E-3</v>
      </c>
      <c r="AE1428" s="240">
        <f ca="1">IFERROR(IF(OR(Z1428="",Z1428=0),"",IF(AF1428="","",IF(AF1428="R$/mês",Z1428/OBRA!$D$12,IF(AF1428="R$/m²",Z1428/OBRA!$D$10,IF(AF1428="R$/apto",Orçamento!Z1428/OBRA!$D$11,""))))),"")</f>
        <v>9.5183009954859958</v>
      </c>
      <c r="AF1428" s="241" t="s">
        <v>154</v>
      </c>
    </row>
    <row r="1429" spans="1:32" s="10" customFormat="1" ht="13.15" customHeight="1" outlineLevel="2" collapsed="1" x14ac:dyDescent="0.2">
      <c r="A1429" s="227"/>
      <c r="B1429" s="228" t="s">
        <v>2</v>
      </c>
      <c r="C1429" s="229" t="str">
        <f t="shared" si="1003"/>
        <v/>
      </c>
      <c r="D1429" s="227" t="str">
        <f t="shared" ca="1" si="969"/>
        <v>14.004</v>
      </c>
      <c r="E1429" s="228" t="str">
        <f t="shared" ca="1" si="972"/>
        <v>14.003.003.001</v>
      </c>
      <c r="F1429" s="230">
        <f ca="1">IF($B1429="UNIDADE CONSTRUTIVA",OFFSET(F1429,-1,0)+1,LARGE(F$10:F1428,1))</f>
        <v>2</v>
      </c>
      <c r="G1429" s="228" t="str">
        <f t="shared" ref="G1429:G1447" ca="1" si="1006">IF(B1429="*","",IF(B1429="UNIDADE CONSTRUTIVA",S1429,OFFSET(G1429,-1,0)))</f>
        <v xml:space="preserve">   GERENCIAMENTO EXECUTIVO</v>
      </c>
      <c r="H1429" s="230">
        <f t="shared" ca="1" si="974"/>
        <v>14</v>
      </c>
      <c r="I1429" s="228" t="str">
        <f t="shared" ref="I1429:I1447" ca="1" si="1007">IF(B1429="*","",IF(B1429="CÉLULA CONSTRUTIVA",S1429,OFFSET(I1429,-1,0)))</f>
        <v xml:space="preserve">   REVESTIMENTOS E ACABAMENTOS INTERNOS EM TETO</v>
      </c>
      <c r="J1429" s="230">
        <f t="shared" ca="1" si="976"/>
        <v>4</v>
      </c>
      <c r="K1429" s="228" t="str">
        <f t="shared" ref="K1429:K1447" ca="1" si="1008">IF(B1429="*","",IF(B1429="ETAPA",S1429,OFFSET(K1429,-1,0)))</f>
        <v xml:space="preserve">   REVESTIMENTOS E ACABAMENTOS INTERNOS EM TETO - 8º PAVIMENTO - COBERTURA</v>
      </c>
      <c r="L1429" s="231">
        <f t="shared" ca="1" si="978"/>
        <v>0</v>
      </c>
      <c r="M1429" s="228" t="str">
        <f t="shared" ref="M1429:M1447" ca="1" si="1009">IF(B1429="*","",IF(B1429="SUBETAPA",S1429,OFFSET(M1429,-1,0)))</f>
        <v xml:space="preserve">   Mão de Obra</v>
      </c>
      <c r="N1429" s="231">
        <f t="shared" ca="1" si="980"/>
        <v>1</v>
      </c>
      <c r="O1429" s="228" t="str">
        <f t="shared" ref="O1429:O1447" ca="1" si="1010">IF(B1429="*","",IF(B1429="SERVIÇO",S1429,OFFSET(O1429,-1,0)))</f>
        <v>Mao De Obra Acabamento Em Massa Teto</v>
      </c>
      <c r="P1429" s="232" t="str">
        <f>IF(S1429="","",IF(Orçamento!$B1429="INSUMO",S1429,""))</f>
        <v/>
      </c>
      <c r="Q1429" s="244" t="str">
        <f t="shared" ref="Q1429:Q1476" si="1011">IF(B1429="","",IF(B1429="Serviço",S1429,""))</f>
        <v/>
      </c>
      <c r="R1429" s="234">
        <f t="shared" ref="R1429:R1447" ca="1" si="1012">IF(B1429="serviço",U1429,OFFSET(R1429,-1,0))</f>
        <v>108.5</v>
      </c>
      <c r="S1429" s="233" t="s">
        <v>656</v>
      </c>
      <c r="T1429" s="242" t="s">
        <v>35</v>
      </c>
      <c r="U1429" s="235" t="str">
        <f>IF($B1429="insumo",R1429,"")</f>
        <v/>
      </c>
      <c r="V1429" s="320" t="s">
        <v>35</v>
      </c>
      <c r="W1429" s="236" t="str">
        <f>IFERROR(IF(B1429="INSUMO",_xlfn.XLOOKUP(S1429,Insumos!A:A,Insumos!C:C),""),"Inserir Preço")</f>
        <v/>
      </c>
      <c r="X1429" s="235" t="str">
        <f ca="1">IF(B1429="Complemento do insumo",V1429,IF(R1429="","",IF(B1429="serviço",R1429,IF(OR(B1429="insumo"),V1429*R1429,""))))</f>
        <v/>
      </c>
      <c r="Y1429" s="236" t="str">
        <f t="shared" si="984"/>
        <v/>
      </c>
      <c r="Z1429" s="237">
        <f t="shared" ca="1" si="1004"/>
        <v>8333.6397786390589</v>
      </c>
      <c r="AA1429" s="238"/>
      <c r="AB1429" s="233" t="str">
        <f>IF(B1429="insumo",_xlfn.XLOOKUP(S1429,Insumos!A:A,Insumos!D:D),"")</f>
        <v/>
      </c>
      <c r="AC1429" s="239">
        <f t="shared" ca="1" si="1005"/>
        <v>1.1955366057440492E-3</v>
      </c>
      <c r="AE1429" s="240">
        <f ca="1">IFERROR(IF(OR(Z1429="",Z1429=0),"",IF(AF1429="","",IF(AF1429="R$/mês",Z1429/OBRA!$D$12,IF(AF1429="R$/m²",Z1429/OBRA!$D$10,IF(AF1429="R$/apto",Orçamento!Z1429/OBRA!$D$11,""))))),"")</f>
        <v>4.2885503922021888</v>
      </c>
      <c r="AF1429" s="241" t="s">
        <v>154</v>
      </c>
    </row>
    <row r="1430" spans="1:32" s="10" customFormat="1" ht="13.15" hidden="1" customHeight="1" outlineLevel="3" collapsed="1" x14ac:dyDescent="0.2">
      <c r="A1430" s="227"/>
      <c r="B1430" s="228" t="s">
        <v>3</v>
      </c>
      <c r="C1430" s="229" t="str">
        <f t="shared" si="1003"/>
        <v/>
      </c>
      <c r="D1430" s="227" t="str">
        <f t="shared" ref="D1430:D1446" ca="1" si="1013">IF(B1430="Unidade Construtiva",TEXT(F1430,"00"),IF(B1430="Célula Construtiva",TEXT(H1430,"00"),IF(B1430="Etapa",CONCATENATE(TEXT(H1430,"00"),".",TEXT(J1430,"000")),IF(B1430="Subetapa",CONCATENATE(TEXT(H1430,"00"),".",TEXT(J1430,"000"),".",TEXT(L1430,"000")),IF(B1430="Serviço",CONCATENATE(TEXT(H1430,"00"),".",TEXT(J1430,"000"),".",TEXT(L1430,"000"),".",TEXT(N1430,"000")),"")))))</f>
        <v>14.004.001</v>
      </c>
      <c r="E1430" s="228" t="str">
        <f t="shared" ref="E1430:E1446" ca="1" si="1014">IF(B1430="*","",IFERROR(IF(B1430="SERVIÇO",D1430,OFFSET(E1430,-1,0)),""))</f>
        <v>14.003.003.001</v>
      </c>
      <c r="F1430" s="230">
        <f ca="1">IF($B1430="UNIDADE CONSTRUTIVA",OFFSET(F1430,-1,0)+1,LARGE(F$10:F1429,1))</f>
        <v>2</v>
      </c>
      <c r="G1430" s="228" t="str">
        <f t="shared" ca="1" si="1006"/>
        <v xml:space="preserve">   GERENCIAMENTO EXECUTIVO</v>
      </c>
      <c r="H1430" s="230">
        <f t="shared" ref="H1430:H1446" ca="1" si="1015">IF(B1430="UNIDADE CONSTRUTIVA",0,IF(B1430="CÉLULA CONSTRUTIVA",OFFSET(H1430,-1,0)+1,OFFSET(H1430,-1,0)))</f>
        <v>14</v>
      </c>
      <c r="I1430" s="228" t="str">
        <f t="shared" ca="1" si="1007"/>
        <v xml:space="preserve">   REVESTIMENTOS E ACABAMENTOS INTERNOS EM TETO</v>
      </c>
      <c r="J1430" s="230">
        <f t="shared" ref="J1430:J1446" ca="1" si="1016">IF(B1430="CÉLULA CONSTRUTIVA",0,IF(B1430="ETAPA",OFFSET(J1430,-1,0)+1,OFFSET(J1430,-1,0)))</f>
        <v>4</v>
      </c>
      <c r="K1430" s="228" t="str">
        <f t="shared" ca="1" si="1008"/>
        <v xml:space="preserve">   REVESTIMENTOS E ACABAMENTOS INTERNOS EM TETO - 8º PAVIMENTO - COBERTURA</v>
      </c>
      <c r="L1430" s="231">
        <f t="shared" ref="L1430:L1446" ca="1" si="1017">IF(B1430="ETAPA",0,IF(B1430="SUBETAPA",OFFSET(L1430,-1,0)+1,OFFSET(L1430,-1,0)))</f>
        <v>1</v>
      </c>
      <c r="M1430" s="228" t="str">
        <f t="shared" ca="1" si="1009"/>
        <v xml:space="preserve">   Revestimento Interno Argamassado em Teto</v>
      </c>
      <c r="N1430" s="231">
        <f t="shared" ref="N1430:N1446" ca="1" si="1018">IF(B1430="Subetapa",0,IF(B1430="serviço",OFFSET(N1430,-1,0)+1,OFFSET(N1430,-1,0)))</f>
        <v>0</v>
      </c>
      <c r="O1430" s="228" t="str">
        <f t="shared" ca="1" si="1010"/>
        <v>Mao De Obra Acabamento Em Massa Teto</v>
      </c>
      <c r="P1430" s="232" t="str">
        <f>IF(S1430="","",IF(Orçamento!$B1430="INSUMO",S1430,""))</f>
        <v/>
      </c>
      <c r="Q1430" s="244" t="str">
        <f t="shared" si="1011"/>
        <v/>
      </c>
      <c r="R1430" s="234">
        <f t="shared" ca="1" si="1012"/>
        <v>108.5</v>
      </c>
      <c r="S1430" s="233" t="s">
        <v>485</v>
      </c>
      <c r="T1430" s="242" t="s">
        <v>35</v>
      </c>
      <c r="U1430" s="235" t="str">
        <f>IF($B1430="insumo",R1430,"")</f>
        <v/>
      </c>
      <c r="V1430" s="320" t="s">
        <v>35</v>
      </c>
      <c r="W1430" s="236" t="str">
        <f>IFERROR(IF(B1430="INSUMO",_xlfn.XLOOKUP(S1430,Insumos!A:A,Insumos!C:C),""),"Inserir Preço")</f>
        <v/>
      </c>
      <c r="X1430" s="235" t="str">
        <f ca="1">IF(B1430="Complemento do insumo",V1430,IF(R1430="","",IF(B1430="serviço",R1430,IF(OR(B1430="insumo"),V1430*R1430,""))))</f>
        <v/>
      </c>
      <c r="Y1430" s="236" t="str">
        <f t="shared" si="984"/>
        <v/>
      </c>
      <c r="Z1430" s="237">
        <f t="shared" ca="1" si="1004"/>
        <v>245.61611999999997</v>
      </c>
      <c r="AA1430" s="238"/>
      <c r="AB1430" s="233" t="str">
        <f>IF(B1430="insumo",_xlfn.XLOOKUP(S1430,Insumos!A:A,Insumos!D:D),"")</f>
        <v/>
      </c>
      <c r="AC1430" s="239">
        <f t="shared" ca="1" si="1005"/>
        <v>3.5235871746399985E-5</v>
      </c>
      <c r="AE1430" s="240">
        <f ca="1">IFERROR(IF(OR(Z1430="",Z1430=0),"",IF(AF1430="","",IF(AF1430="R$/mês",Z1430/OBRA!$D$12,IF(AF1430="R$/m²",Z1430/OBRA!$D$10,IF(AF1430="R$/apto",Orçamento!Z1430/OBRA!$D$11,""))))),"")</f>
        <v>0.12639580492273172</v>
      </c>
      <c r="AF1430" s="241" t="s">
        <v>154</v>
      </c>
    </row>
    <row r="1431" spans="1:32" s="10" customFormat="1" ht="13.15" hidden="1" customHeight="1" outlineLevel="4" x14ac:dyDescent="0.2">
      <c r="A1431" s="227"/>
      <c r="B1431" s="228" t="s">
        <v>4</v>
      </c>
      <c r="C1431" s="229">
        <f t="shared" si="1003"/>
        <v>5</v>
      </c>
      <c r="D1431" s="227" t="str">
        <f t="shared" ca="1" si="1013"/>
        <v>14.004.001.001</v>
      </c>
      <c r="E1431" s="228" t="str">
        <f t="shared" ca="1" si="1014"/>
        <v>14.004.001.001</v>
      </c>
      <c r="F1431" s="230">
        <f ca="1">IF($B1431="UNIDADE CONSTRUTIVA",OFFSET(F1431,-1,0)+1,LARGE(F$10:F1430,1))</f>
        <v>2</v>
      </c>
      <c r="G1431" s="228" t="str">
        <f t="shared" ca="1" si="1006"/>
        <v xml:space="preserve">   GERENCIAMENTO EXECUTIVO</v>
      </c>
      <c r="H1431" s="230">
        <f t="shared" ca="1" si="1015"/>
        <v>14</v>
      </c>
      <c r="I1431" s="228" t="str">
        <f t="shared" ca="1" si="1007"/>
        <v xml:space="preserve">   REVESTIMENTOS E ACABAMENTOS INTERNOS EM TETO</v>
      </c>
      <c r="J1431" s="230">
        <f t="shared" ca="1" si="1016"/>
        <v>4</v>
      </c>
      <c r="K1431" s="228" t="str">
        <f t="shared" ca="1" si="1008"/>
        <v xml:space="preserve">   REVESTIMENTOS E ACABAMENTOS INTERNOS EM TETO - 8º PAVIMENTO - COBERTURA</v>
      </c>
      <c r="L1431" s="231">
        <f t="shared" ca="1" si="1017"/>
        <v>1</v>
      </c>
      <c r="M1431" s="228" t="str">
        <f t="shared" ca="1" si="1009"/>
        <v xml:space="preserve">   Revestimento Interno Argamassado em Teto</v>
      </c>
      <c r="N1431" s="231">
        <f t="shared" ca="1" si="1018"/>
        <v>1</v>
      </c>
      <c r="O1431" s="228" t="str">
        <f t="shared" ca="1" si="1010"/>
        <v>Chapisco de estrutura de concreto em teto</v>
      </c>
      <c r="P1431" s="232" t="str">
        <f>IF(S1431="","",IF(Orçamento!$B1431="INSUMO",S1431,""))</f>
        <v/>
      </c>
      <c r="Q1431" s="244" t="str">
        <f t="shared" si="1011"/>
        <v>Chapisco de estrutura de concreto em teto</v>
      </c>
      <c r="R1431" s="234">
        <f t="shared" ca="1" si="1012"/>
        <v>16.579999999999998</v>
      </c>
      <c r="S1431" s="233" t="s">
        <v>743</v>
      </c>
      <c r="T1431" s="242" t="s">
        <v>140</v>
      </c>
      <c r="U1431" s="235">
        <v>16.579999999999998</v>
      </c>
      <c r="V1431" s="320" t="s">
        <v>35</v>
      </c>
      <c r="W1431" s="236" t="str">
        <f>IFERROR(IF(B1431="INSUMO",_xlfn.XLOOKUP(S1431,Insumos!A:A,Insumos!C:C),""),"Inserir Preço")</f>
        <v/>
      </c>
      <c r="X1431" s="235">
        <f ca="1">IF(B1431="Complemento do insumo",V1431,IF(R1431="","",IF(B1431="serviço",R1431,IF(OR(B1431="insumo"),V1431*R1431,""))))</f>
        <v>16.579999999999998</v>
      </c>
      <c r="Y1431" s="236">
        <f t="shared" ca="1" si="984"/>
        <v>5.5020000000000007</v>
      </c>
      <c r="Z1431" s="237">
        <f t="shared" ca="1" si="1004"/>
        <v>91.223160000000007</v>
      </c>
      <c r="AA1431" s="238"/>
      <c r="AB1431" s="233" t="str">
        <f>IF(B1431="insumo",_xlfn.XLOOKUP(S1431,Insumos!A:A,Insumos!D:D),"")</f>
        <v/>
      </c>
      <c r="AC1431" s="239">
        <f t="shared" ca="1" si="1005"/>
        <v>1.3086794002206883E-5</v>
      </c>
      <c r="AE1431" s="240">
        <f ca="1">IFERROR(IF(OR(Z1431="",Z1431=0),"",IF(AF1431="","",IF(AF1431="R$/mês",Z1431/OBRA!$D$12,IF(AF1431="R$/m²",Z1431/OBRA!$D$10,IF(AF1431="R$/apto",Orçamento!Z1431/OBRA!$D$11,""))))),"")</f>
        <v>4.6944087936065214E-2</v>
      </c>
      <c r="AF1431" s="241" t="s">
        <v>154</v>
      </c>
    </row>
    <row r="1432" spans="1:32" s="10" customFormat="1" ht="13.15" hidden="1" customHeight="1" outlineLevel="4" x14ac:dyDescent="0.2">
      <c r="A1432" s="227"/>
      <c r="B1432" s="228" t="s">
        <v>19</v>
      </c>
      <c r="C1432" s="229">
        <f t="shared" si="1003"/>
        <v>11</v>
      </c>
      <c r="D1432" s="227" t="str">
        <f t="shared" si="1013"/>
        <v/>
      </c>
      <c r="E1432" s="228" t="str">
        <f t="shared" ca="1" si="1014"/>
        <v>14.004.001.001</v>
      </c>
      <c r="F1432" s="230">
        <f ca="1">IF($B1432="UNIDADE CONSTRUTIVA",OFFSET(F1432,-1,0)+1,LARGE(F$10:F1431,1))</f>
        <v>2</v>
      </c>
      <c r="G1432" s="228" t="str">
        <f t="shared" ca="1" si="1006"/>
        <v xml:space="preserve">   GERENCIAMENTO EXECUTIVO</v>
      </c>
      <c r="H1432" s="230">
        <f t="shared" ca="1" si="1015"/>
        <v>14</v>
      </c>
      <c r="I1432" s="228" t="str">
        <f t="shared" ca="1" si="1007"/>
        <v xml:space="preserve">   REVESTIMENTOS E ACABAMENTOS INTERNOS EM TETO</v>
      </c>
      <c r="J1432" s="230">
        <f t="shared" ca="1" si="1016"/>
        <v>4</v>
      </c>
      <c r="K1432" s="228" t="str">
        <f t="shared" ca="1" si="1008"/>
        <v xml:space="preserve">   REVESTIMENTOS E ACABAMENTOS INTERNOS EM TETO - 8º PAVIMENTO - COBERTURA</v>
      </c>
      <c r="L1432" s="231">
        <f t="shared" ca="1" si="1017"/>
        <v>1</v>
      </c>
      <c r="M1432" s="228" t="str">
        <f t="shared" ca="1" si="1009"/>
        <v xml:space="preserve">   Revestimento Interno Argamassado em Teto</v>
      </c>
      <c r="N1432" s="231">
        <f t="shared" ca="1" si="1018"/>
        <v>1</v>
      </c>
      <c r="O1432" s="228" t="str">
        <f t="shared" ca="1" si="1010"/>
        <v>Chapisco de estrutura de concreto em teto</v>
      </c>
      <c r="P1432" s="232" t="str">
        <f>IF(S1432="","",IF(Orçamento!$B1432="INSUMO",S1432,""))</f>
        <v>CHAPISCO COLANTE 20KG</v>
      </c>
      <c r="Q1432" s="244" t="str">
        <f t="shared" si="1011"/>
        <v/>
      </c>
      <c r="R1432" s="234">
        <f t="shared" ca="1" si="1012"/>
        <v>16.579999999999998</v>
      </c>
      <c r="S1432" s="233" t="s">
        <v>1027</v>
      </c>
      <c r="T1432" s="242" t="s">
        <v>159</v>
      </c>
      <c r="U1432" s="235">
        <f ca="1">IF($B1432="insumo",R1432,"")</f>
        <v>16.579999999999998</v>
      </c>
      <c r="V1432" s="320">
        <v>4.2</v>
      </c>
      <c r="W1432" s="236">
        <f>IFERROR(IF(B1432="INSUMO",_xlfn.XLOOKUP(S1432,Insumos!A:A,Insumos!C:C),""),"Inserir Preço")</f>
        <v>1.31</v>
      </c>
      <c r="X1432" s="235">
        <f ca="1">IF(B1432="Complemento do insumo",V1432,IF(R1432="","",IF(B1432="serviço",R1432,IF(OR(B1432="insumo"),V1432*R1432,""))))</f>
        <v>69.635999999999996</v>
      </c>
      <c r="Y1432" s="236">
        <f t="shared" si="984"/>
        <v>5.5020000000000007</v>
      </c>
      <c r="Z1432" s="237">
        <f t="shared" ca="1" si="1004"/>
        <v>91.223159999999993</v>
      </c>
      <c r="AA1432" s="238"/>
      <c r="AB1432" s="233" t="str">
        <f>IF(B1432="insumo",_xlfn.XLOOKUP(S1432,Insumos!A:A,Insumos!D:D),"")</f>
        <v xml:space="preserve"> </v>
      </c>
      <c r="AC1432" s="239">
        <f t="shared" ca="1" si="1005"/>
        <v>1.3086794002206882E-5</v>
      </c>
      <c r="AD1432" s="324"/>
      <c r="AE1432" s="240">
        <f ca="1">IFERROR(IF(OR(Z1432="",Z1432=0),"",IF(AF1432="","",IF(AF1432="R$/mês",Z1432/OBRA!$D$12,IF(AF1432="R$/m²",Z1432/OBRA!$D$10,IF(AF1432="R$/apto",Orçamento!Z1432/OBRA!$D$11,""))))),"")</f>
        <v>4.6944087936065207E-2</v>
      </c>
      <c r="AF1432" s="241" t="s">
        <v>154</v>
      </c>
    </row>
    <row r="1433" spans="1:32" s="10" customFormat="1" ht="13.15" hidden="1" customHeight="1" outlineLevel="4" x14ac:dyDescent="0.2">
      <c r="A1433" s="227"/>
      <c r="B1433" s="228" t="s">
        <v>4</v>
      </c>
      <c r="C1433" s="229">
        <f t="shared" si="1003"/>
        <v>5</v>
      </c>
      <c r="D1433" s="227" t="str">
        <f t="shared" ca="1" si="1013"/>
        <v>14.004.001.002</v>
      </c>
      <c r="E1433" s="228" t="str">
        <f t="shared" ca="1" si="1014"/>
        <v>14.004.001.002</v>
      </c>
      <c r="F1433" s="230">
        <f ca="1">IF($B1433="UNIDADE CONSTRUTIVA",OFFSET(F1433,-1,0)+1,LARGE(F$10:F1432,1))</f>
        <v>2</v>
      </c>
      <c r="G1433" s="228" t="str">
        <f t="shared" ca="1" si="1006"/>
        <v xml:space="preserve">   GERENCIAMENTO EXECUTIVO</v>
      </c>
      <c r="H1433" s="230">
        <f t="shared" ca="1" si="1015"/>
        <v>14</v>
      </c>
      <c r="I1433" s="228" t="str">
        <f t="shared" ca="1" si="1007"/>
        <v xml:space="preserve">   REVESTIMENTOS E ACABAMENTOS INTERNOS EM TETO</v>
      </c>
      <c r="J1433" s="230">
        <f t="shared" ca="1" si="1016"/>
        <v>4</v>
      </c>
      <c r="K1433" s="228" t="str">
        <f t="shared" ca="1" si="1008"/>
        <v xml:space="preserve">   REVESTIMENTOS E ACABAMENTOS INTERNOS EM TETO - 8º PAVIMENTO - COBERTURA</v>
      </c>
      <c r="L1433" s="231">
        <f t="shared" ca="1" si="1017"/>
        <v>1</v>
      </c>
      <c r="M1433" s="228" t="str">
        <f t="shared" ca="1" si="1009"/>
        <v xml:space="preserve">   Revestimento Interno Argamassado em Teto</v>
      </c>
      <c r="N1433" s="231">
        <f t="shared" ca="1" si="1018"/>
        <v>2</v>
      </c>
      <c r="O1433" s="228" t="str">
        <f t="shared" ca="1" si="1010"/>
        <v>Massa unica para reboco interno em argamassa estabilizada, de estrutura de concreto em teto</v>
      </c>
      <c r="P1433" s="232" t="str">
        <f>IF(S1433="","",IF(Orçamento!$B1433="INSUMO",S1433,""))</f>
        <v/>
      </c>
      <c r="Q1433" s="244" t="str">
        <f t="shared" si="1011"/>
        <v>Massa unica para reboco interno em argamassa estabilizada, de estrutura de concreto em teto</v>
      </c>
      <c r="R1433" s="234">
        <f t="shared" ca="1" si="1012"/>
        <v>16.579999999999998</v>
      </c>
      <c r="S1433" s="233" t="s">
        <v>744</v>
      </c>
      <c r="T1433" s="242" t="s">
        <v>140</v>
      </c>
      <c r="U1433" s="235">
        <v>16.579999999999998</v>
      </c>
      <c r="V1433" s="320" t="s">
        <v>35</v>
      </c>
      <c r="W1433" s="236" t="str">
        <f>IFERROR(IF(B1433="INSUMO",_xlfn.XLOOKUP(S1433,Insumos!A:A,Insumos!C:C),""),"Inserir Preço")</f>
        <v/>
      </c>
      <c r="X1433" s="235">
        <f t="shared" ref="X1433:X1446" ca="1" si="1019">IF(B1433="Complemento do insumo",V1433,IF(R1433="","",IF(B1433="serviço",R1433,IF(OR(B1433="insumo"),V1433*R1433,""))))</f>
        <v>16.579999999999998</v>
      </c>
      <c r="Y1433" s="236">
        <f t="shared" ca="1" si="984"/>
        <v>9.3120000000000012</v>
      </c>
      <c r="Z1433" s="237">
        <f t="shared" ca="1" si="1004"/>
        <v>154.39296000000002</v>
      </c>
      <c r="AA1433" s="238"/>
      <c r="AB1433" s="233" t="str">
        <f>IF(B1433="insumo",_xlfn.XLOOKUP(S1433,Insumos!A:A,Insumos!D:D),"")</f>
        <v/>
      </c>
      <c r="AC1433" s="239">
        <f t="shared" ca="1" si="1005"/>
        <v>2.214907774419311E-5</v>
      </c>
      <c r="AE1433" s="240">
        <f ca="1">IFERROR(IF(OR(Z1433="",Z1433=0),"",IF(AF1433="","",IF(AF1433="R$/mês",Z1433/OBRA!$D$12,IF(AF1433="R$/m²",Z1433/OBRA!$D$10,IF(AF1433="R$/apto",Orçamento!Z1433/OBRA!$D$11,""))))),"")</f>
        <v>7.9451716986666532E-2</v>
      </c>
      <c r="AF1433" s="241" t="s">
        <v>154</v>
      </c>
    </row>
    <row r="1434" spans="1:32" s="10" customFormat="1" ht="13.15" hidden="1" customHeight="1" outlineLevel="4" x14ac:dyDescent="0.2">
      <c r="A1434" s="227"/>
      <c r="B1434" s="228" t="s">
        <v>19</v>
      </c>
      <c r="C1434" s="229">
        <f t="shared" si="1003"/>
        <v>11</v>
      </c>
      <c r="D1434" s="227" t="str">
        <f t="shared" si="1013"/>
        <v/>
      </c>
      <c r="E1434" s="228" t="str">
        <f t="shared" ca="1" si="1014"/>
        <v>14.004.001.002</v>
      </c>
      <c r="F1434" s="230">
        <f ca="1">IF($B1434="UNIDADE CONSTRUTIVA",OFFSET(F1434,-1,0)+1,LARGE(F$10:F1433,1))</f>
        <v>2</v>
      </c>
      <c r="G1434" s="228" t="str">
        <f t="shared" ca="1" si="1006"/>
        <v xml:space="preserve">   GERENCIAMENTO EXECUTIVO</v>
      </c>
      <c r="H1434" s="230">
        <f t="shared" ca="1" si="1015"/>
        <v>14</v>
      </c>
      <c r="I1434" s="228" t="str">
        <f t="shared" ca="1" si="1007"/>
        <v xml:space="preserve">   REVESTIMENTOS E ACABAMENTOS INTERNOS EM TETO</v>
      </c>
      <c r="J1434" s="230">
        <f t="shared" ca="1" si="1016"/>
        <v>4</v>
      </c>
      <c r="K1434" s="228" t="str">
        <f t="shared" ca="1" si="1008"/>
        <v xml:space="preserve">   REVESTIMENTOS E ACABAMENTOS INTERNOS EM TETO - 8º PAVIMENTO - COBERTURA</v>
      </c>
      <c r="L1434" s="231">
        <f t="shared" ca="1" si="1017"/>
        <v>1</v>
      </c>
      <c r="M1434" s="228" t="str">
        <f t="shared" ca="1" si="1009"/>
        <v xml:space="preserve">   Revestimento Interno Argamassado em Teto</v>
      </c>
      <c r="N1434" s="231">
        <f t="shared" ca="1" si="1018"/>
        <v>2</v>
      </c>
      <c r="O1434" s="228" t="str">
        <f t="shared" ca="1" si="1010"/>
        <v>Massa unica para reboco interno em argamassa estabilizada, de estrutura de concreto em teto</v>
      </c>
      <c r="P1434" s="232" t="str">
        <f>IF(S1434="","",IF(Orçamento!$B1434="INSUMO",S1434,""))</f>
        <v>ARGAMASSA ESTABILIZADA PARA REBOCO</v>
      </c>
      <c r="Q1434" s="244" t="str">
        <f t="shared" si="1011"/>
        <v/>
      </c>
      <c r="R1434" s="234">
        <f t="shared" ca="1" si="1012"/>
        <v>16.579999999999998</v>
      </c>
      <c r="S1434" s="233" t="s">
        <v>256</v>
      </c>
      <c r="T1434" s="242" t="str">
        <f>_xlfn.XLOOKUP(S1434,Insumos!$A$3:$A$371,Insumos!$B$3:$B$371)</f>
        <v>M3</v>
      </c>
      <c r="U1434" s="235">
        <f ca="1">IF($B1434="insumo",R1434,"")</f>
        <v>16.579999999999998</v>
      </c>
      <c r="V1434" s="320">
        <v>1.9400000000000001E-2</v>
      </c>
      <c r="W1434" s="236">
        <f>IFERROR(IF(B1434="INSUMO",_xlfn.XLOOKUP(S1434,Insumos!A:A,Insumos!C:C),""),"Inserir Preço")</f>
        <v>480</v>
      </c>
      <c r="X1434" s="235">
        <f t="shared" ca="1" si="1019"/>
        <v>0.32165199999999999</v>
      </c>
      <c r="Y1434" s="236">
        <f t="shared" si="984"/>
        <v>9.3120000000000012</v>
      </c>
      <c r="Z1434" s="237">
        <f t="shared" ca="1" si="1004"/>
        <v>154.39295999999999</v>
      </c>
      <c r="AA1434" s="238"/>
      <c r="AB1434" s="233" t="str">
        <f>IF(B1434="insumo",_xlfn.XLOOKUP(S1434,Insumos!A:A,Insumos!D:D),"")</f>
        <v xml:space="preserve"> </v>
      </c>
      <c r="AC1434" s="239">
        <f t="shared" ca="1" si="1005"/>
        <v>2.2149077744193107E-5</v>
      </c>
      <c r="AE1434" s="240">
        <f ca="1">IFERROR(IF(OR(Z1434="",Z1434=0),"",IF(AF1434="","",IF(AF1434="R$/mês",Z1434/OBRA!$D$12,IF(AF1434="R$/m²",Z1434/OBRA!$D$10,IF(AF1434="R$/apto",Orçamento!Z1434/OBRA!$D$11,""))))),"")</f>
        <v>7.9451716986666518E-2</v>
      </c>
      <c r="AF1434" s="241" t="s">
        <v>154</v>
      </c>
    </row>
    <row r="1435" spans="1:32" s="10" customFormat="1" ht="13.15" hidden="1" customHeight="1" outlineLevel="3" collapsed="1" x14ac:dyDescent="0.2">
      <c r="A1435" s="227"/>
      <c r="B1435" s="228" t="s">
        <v>3</v>
      </c>
      <c r="C1435" s="229" t="str">
        <f t="shared" si="1003"/>
        <v/>
      </c>
      <c r="D1435" s="227" t="str">
        <f t="shared" ca="1" si="1013"/>
        <v>14.004.002</v>
      </c>
      <c r="E1435" s="228" t="str">
        <f t="shared" ca="1" si="1014"/>
        <v>14.004.001.002</v>
      </c>
      <c r="F1435" s="230">
        <f ca="1">IF($B1435="UNIDADE CONSTRUTIVA",OFFSET(F1435,-1,0)+1,LARGE(F$10:F1434,1))</f>
        <v>2</v>
      </c>
      <c r="G1435" s="228" t="str">
        <f t="shared" ca="1" si="1006"/>
        <v xml:space="preserve">   GERENCIAMENTO EXECUTIVO</v>
      </c>
      <c r="H1435" s="230">
        <f t="shared" ca="1" si="1015"/>
        <v>14</v>
      </c>
      <c r="I1435" s="228" t="str">
        <f t="shared" ca="1" si="1007"/>
        <v xml:space="preserve">   REVESTIMENTOS E ACABAMENTOS INTERNOS EM TETO</v>
      </c>
      <c r="J1435" s="230">
        <f t="shared" ca="1" si="1016"/>
        <v>4</v>
      </c>
      <c r="K1435" s="228" t="str">
        <f t="shared" ca="1" si="1008"/>
        <v xml:space="preserve">   REVESTIMENTOS E ACABAMENTOS INTERNOS EM TETO - 8º PAVIMENTO - COBERTURA</v>
      </c>
      <c r="L1435" s="231">
        <f t="shared" ca="1" si="1017"/>
        <v>2</v>
      </c>
      <c r="M1435" s="228" t="str">
        <f t="shared" ca="1" si="1009"/>
        <v xml:space="preserve">   Acabamento em Gesso</v>
      </c>
      <c r="N1435" s="231">
        <f t="shared" ca="1" si="1018"/>
        <v>0</v>
      </c>
      <c r="O1435" s="228" t="str">
        <f t="shared" ca="1" si="1010"/>
        <v>Massa unica para reboco interno em argamassa estabilizada, de estrutura de concreto em teto</v>
      </c>
      <c r="P1435" s="232" t="str">
        <f>IF(S1435="","",IF(Orçamento!$B1435="INSUMO",S1435,""))</f>
        <v/>
      </c>
      <c r="Q1435" s="244" t="str">
        <f t="shared" si="1011"/>
        <v/>
      </c>
      <c r="R1435" s="234">
        <f t="shared" ca="1" si="1012"/>
        <v>16.579999999999998</v>
      </c>
      <c r="S1435" s="233" t="s">
        <v>487</v>
      </c>
      <c r="T1435" s="242" t="s">
        <v>35</v>
      </c>
      <c r="U1435" s="235" t="str">
        <f>IF($B1435="insumo",R1435,"")</f>
        <v/>
      </c>
      <c r="V1435" s="320" t="s">
        <v>35</v>
      </c>
      <c r="W1435" s="236" t="str">
        <f>IFERROR(IF(B1435="INSUMO",_xlfn.XLOOKUP(S1435,Insumos!A:A,Insumos!C:C),""),"Inserir Preço")</f>
        <v/>
      </c>
      <c r="X1435" s="235" t="str">
        <f t="shared" ca="1" si="1019"/>
        <v/>
      </c>
      <c r="Y1435" s="236" t="str">
        <f t="shared" si="984"/>
        <v/>
      </c>
      <c r="Z1435" s="237">
        <f t="shared" ca="1" si="1004"/>
        <v>5261.5923908000004</v>
      </c>
      <c r="AA1435" s="238"/>
      <c r="AB1435" s="233" t="str">
        <f>IF(B1435="insumo",_xlfn.XLOOKUP(S1435,Insumos!A:A,Insumos!D:D),"")</f>
        <v/>
      </c>
      <c r="AC1435" s="239">
        <f t="shared" ca="1" si="1005"/>
        <v>7.5482339947419944E-4</v>
      </c>
      <c r="AE1435" s="240">
        <f ca="1">IFERROR(IF(OR(Z1435="",Z1435=0),"",IF(AF1435="","",IF(AF1435="R$/mês",Z1435/OBRA!$D$12,IF(AF1435="R$/m²",Z1435/OBRA!$D$10,IF(AF1435="R$/apto",Orçamento!Z1435/OBRA!$D$11,""))))),"")</f>
        <v>2.7076529236374491</v>
      </c>
      <c r="AF1435" s="241" t="s">
        <v>154</v>
      </c>
    </row>
    <row r="1436" spans="1:32" s="10" customFormat="1" ht="13.15" hidden="1" customHeight="1" outlineLevel="4" x14ac:dyDescent="0.2">
      <c r="A1436" s="227"/>
      <c r="B1436" s="228" t="s">
        <v>4</v>
      </c>
      <c r="C1436" s="229">
        <f t="shared" si="1003"/>
        <v>3</v>
      </c>
      <c r="D1436" s="227" t="str">
        <f t="shared" ca="1" si="1013"/>
        <v>14.004.002.001</v>
      </c>
      <c r="E1436" s="228" t="str">
        <f t="shared" ca="1" si="1014"/>
        <v>14.004.002.001</v>
      </c>
      <c r="F1436" s="230">
        <f ca="1">IF($B1436="UNIDADE CONSTRUTIVA",OFFSET(F1436,-1,0)+1,LARGE(F$10:F1435,1))</f>
        <v>2</v>
      </c>
      <c r="G1436" s="228" t="str">
        <f t="shared" ca="1" si="1006"/>
        <v xml:space="preserve">   GERENCIAMENTO EXECUTIVO</v>
      </c>
      <c r="H1436" s="230">
        <f t="shared" ca="1" si="1015"/>
        <v>14</v>
      </c>
      <c r="I1436" s="228" t="str">
        <f t="shared" ca="1" si="1007"/>
        <v xml:space="preserve">   REVESTIMENTOS E ACABAMENTOS INTERNOS EM TETO</v>
      </c>
      <c r="J1436" s="230">
        <f t="shared" ca="1" si="1016"/>
        <v>4</v>
      </c>
      <c r="K1436" s="228" t="str">
        <f t="shared" ca="1" si="1008"/>
        <v xml:space="preserve">   REVESTIMENTOS E ACABAMENTOS INTERNOS EM TETO - 8º PAVIMENTO - COBERTURA</v>
      </c>
      <c r="L1436" s="231">
        <f t="shared" ca="1" si="1017"/>
        <v>2</v>
      </c>
      <c r="M1436" s="228" t="str">
        <f t="shared" ca="1" si="1009"/>
        <v xml:space="preserve">   Acabamento em Gesso</v>
      </c>
      <c r="N1436" s="231">
        <f t="shared" ca="1" si="1018"/>
        <v>1</v>
      </c>
      <c r="O1436" s="228" t="str">
        <f t="shared" ca="1" si="1010"/>
        <v>Forro de Gesso em Placa - material e mao de obra</v>
      </c>
      <c r="P1436" s="232" t="str">
        <f>IF(S1436="","",IF(Orçamento!$B1436="INSUMO",S1436,""))</f>
        <v/>
      </c>
      <c r="Q1436" s="244" t="str">
        <f t="shared" si="1011"/>
        <v>Forro de Gesso em Placa - material e mao de obra</v>
      </c>
      <c r="R1436" s="234">
        <f t="shared" ca="1" si="1012"/>
        <v>75.7</v>
      </c>
      <c r="S1436" s="233" t="s">
        <v>1148</v>
      </c>
      <c r="T1436" s="242" t="s">
        <v>140</v>
      </c>
      <c r="U1436" s="235">
        <v>75.7</v>
      </c>
      <c r="V1436" s="320" t="s">
        <v>35</v>
      </c>
      <c r="W1436" s="236" t="str">
        <f>IFERROR(IF(B1436="INSUMO",_xlfn.XLOOKUP(S1436,Insumos!A:A,Insumos!C:C),""),"Inserir Preço")</f>
        <v/>
      </c>
      <c r="X1436" s="235">
        <f t="shared" ca="1" si="1019"/>
        <v>75.7</v>
      </c>
      <c r="Y1436" s="236">
        <f t="shared" ca="1" si="984"/>
        <v>69.505843999999996</v>
      </c>
      <c r="Z1436" s="237">
        <f t="shared" ca="1" si="1004"/>
        <v>5261.5923907999995</v>
      </c>
      <c r="AA1436" s="238"/>
      <c r="AB1436" s="233" t="str">
        <f>IF(B1436="insumo",_xlfn.XLOOKUP(S1436,Insumos!A:A,Insumos!D:D),"")</f>
        <v/>
      </c>
      <c r="AC1436" s="239">
        <f t="shared" ca="1" si="1005"/>
        <v>7.5482339947419933E-4</v>
      </c>
      <c r="AE1436" s="240">
        <f ca="1">IFERROR(IF(OR(Z1436="",Z1436=0),"",IF(AF1436="","",IF(AF1436="R$/mês",Z1436/OBRA!$D$12,IF(AF1436="R$/m²",Z1436/OBRA!$D$10,IF(AF1436="R$/apto",Orçamento!Z1436/OBRA!$D$11,""))))),"")</f>
        <v>2.7076529236374487</v>
      </c>
      <c r="AF1436" s="241" t="s">
        <v>154</v>
      </c>
    </row>
    <row r="1437" spans="1:32" s="10" customFormat="1" ht="13.15" hidden="1" customHeight="1" outlineLevel="4" x14ac:dyDescent="0.2">
      <c r="A1437" s="227"/>
      <c r="B1437" s="228" t="s">
        <v>19</v>
      </c>
      <c r="C1437" s="229">
        <f t="shared" si="1003"/>
        <v>3</v>
      </c>
      <c r="D1437" s="227" t="str">
        <f t="shared" si="1013"/>
        <v/>
      </c>
      <c r="E1437" s="228" t="str">
        <f t="shared" ca="1" si="1014"/>
        <v>14.004.002.001</v>
      </c>
      <c r="F1437" s="230">
        <f ca="1">IF($B1437="UNIDADE CONSTRUTIVA",OFFSET(F1437,-1,0)+1,LARGE(F$10:F1436,1))</f>
        <v>2</v>
      </c>
      <c r="G1437" s="228" t="str">
        <f t="shared" ca="1" si="1006"/>
        <v xml:space="preserve">   GERENCIAMENTO EXECUTIVO</v>
      </c>
      <c r="H1437" s="230">
        <f t="shared" ca="1" si="1015"/>
        <v>14</v>
      </c>
      <c r="I1437" s="228" t="str">
        <f t="shared" ca="1" si="1007"/>
        <v xml:space="preserve">   REVESTIMENTOS E ACABAMENTOS INTERNOS EM TETO</v>
      </c>
      <c r="J1437" s="230">
        <f t="shared" ca="1" si="1016"/>
        <v>4</v>
      </c>
      <c r="K1437" s="228" t="str">
        <f t="shared" ca="1" si="1008"/>
        <v xml:space="preserve">   REVESTIMENTOS E ACABAMENTOS INTERNOS EM TETO - 8º PAVIMENTO - COBERTURA</v>
      </c>
      <c r="L1437" s="231">
        <f t="shared" ca="1" si="1017"/>
        <v>2</v>
      </c>
      <c r="M1437" s="228" t="str">
        <f t="shared" ca="1" si="1009"/>
        <v xml:space="preserve">   Acabamento em Gesso</v>
      </c>
      <c r="N1437" s="231">
        <f t="shared" ca="1" si="1018"/>
        <v>1</v>
      </c>
      <c r="O1437" s="228" t="str">
        <f t="shared" ca="1" si="1010"/>
        <v>Forro de Gesso em Placa - material e mao de obra</v>
      </c>
      <c r="P1437" s="232" t="str">
        <f>IF(S1437="","",IF(Orçamento!$B1437="INSUMO",S1437,""))</f>
        <v>GESSO PLACA 600X600X12MM NBR 13207/13867</v>
      </c>
      <c r="Q1437" s="244" t="str">
        <f t="shared" si="1011"/>
        <v/>
      </c>
      <c r="R1437" s="234">
        <f t="shared" ca="1" si="1012"/>
        <v>75.7</v>
      </c>
      <c r="S1437" s="233" t="s">
        <v>1141</v>
      </c>
      <c r="T1437" s="242" t="str">
        <f>_xlfn.XLOOKUP(S1437,Insumos!$A$3:$A$371,Insumos!$B$3:$B$371)</f>
        <v>UN</v>
      </c>
      <c r="U1437" s="235">
        <f t="shared" ref="U1437:U1444" ca="1" si="1020">IF($B1437="insumo",R1437,"")</f>
        <v>75.7</v>
      </c>
      <c r="V1437" s="320">
        <f>ROUNDUP(1/(0.6*0.6),4)</f>
        <v>2.7778</v>
      </c>
      <c r="W1437" s="236">
        <f>IFERROR(IF(B1437="INSUMO",_xlfn.XLOOKUP(S1437,Insumos!A:A,Insumos!C:C),""),"Inserir Preço")</f>
        <v>8.3800000000000008</v>
      </c>
      <c r="X1437" s="235">
        <f t="shared" ca="1" si="1019"/>
        <v>210.27946</v>
      </c>
      <c r="Y1437" s="236">
        <f t="shared" si="984"/>
        <v>23.277964000000004</v>
      </c>
      <c r="Z1437" s="237">
        <f t="shared" ca="1" si="1004"/>
        <v>1762.1418748000001</v>
      </c>
      <c r="AA1437" s="238"/>
      <c r="AB1437" s="233">
        <f>IF(B1437="insumo",_xlfn.XLOOKUP(S1437,Insumos!A:A,Insumos!D:D),"")</f>
        <v>0</v>
      </c>
      <c r="AC1437" s="239">
        <f t="shared" ca="1" si="1005"/>
        <v>2.5279531774792969E-4</v>
      </c>
      <c r="AE1437" s="240">
        <f ca="1">IFERROR(IF(OR(Z1437="",Z1437=0),"",IF(AF1437="","",IF(AF1437="R$/mês",Z1437/OBRA!$D$12,IF(AF1437="R$/m²",Z1437/OBRA!$D$10,IF(AF1437="R$/apto",Orçamento!Z1437/OBRA!$D$11,""))))),"")</f>
        <v>0.9068107608466317</v>
      </c>
      <c r="AF1437" s="241" t="s">
        <v>154</v>
      </c>
    </row>
    <row r="1438" spans="1:32" s="10" customFormat="1" ht="13.15" hidden="1" customHeight="1" outlineLevel="4" x14ac:dyDescent="0.2">
      <c r="A1438" s="227"/>
      <c r="B1438" s="228" t="s">
        <v>19</v>
      </c>
      <c r="C1438" s="229">
        <f t="shared" si="1003"/>
        <v>3</v>
      </c>
      <c r="D1438" s="227" t="str">
        <f t="shared" si="1013"/>
        <v/>
      </c>
      <c r="E1438" s="228" t="str">
        <f t="shared" ca="1" si="1014"/>
        <v>14.004.002.001</v>
      </c>
      <c r="F1438" s="230">
        <f ca="1">IF($B1438="UNIDADE CONSTRUTIVA",OFFSET(F1438,-1,0)+1,LARGE(F$10:F1437,1))</f>
        <v>2</v>
      </c>
      <c r="G1438" s="228" t="str">
        <f t="shared" ca="1" si="1006"/>
        <v xml:space="preserve">   GERENCIAMENTO EXECUTIVO</v>
      </c>
      <c r="H1438" s="230">
        <f t="shared" ca="1" si="1015"/>
        <v>14</v>
      </c>
      <c r="I1438" s="228" t="str">
        <f t="shared" ca="1" si="1007"/>
        <v xml:space="preserve">   REVESTIMENTOS E ACABAMENTOS INTERNOS EM TETO</v>
      </c>
      <c r="J1438" s="230">
        <f t="shared" ca="1" si="1016"/>
        <v>4</v>
      </c>
      <c r="K1438" s="228" t="str">
        <f t="shared" ca="1" si="1008"/>
        <v xml:space="preserve">   REVESTIMENTOS E ACABAMENTOS INTERNOS EM TETO - 8º PAVIMENTO - COBERTURA</v>
      </c>
      <c r="L1438" s="231">
        <f t="shared" ca="1" si="1017"/>
        <v>2</v>
      </c>
      <c r="M1438" s="228" t="str">
        <f t="shared" ca="1" si="1009"/>
        <v xml:space="preserve">   Acabamento em Gesso</v>
      </c>
      <c r="N1438" s="231">
        <f t="shared" ca="1" si="1018"/>
        <v>1</v>
      </c>
      <c r="O1438" s="228" t="str">
        <f t="shared" ca="1" si="1010"/>
        <v>Forro de Gesso em Placa - material e mao de obra</v>
      </c>
      <c r="P1438" s="232" t="str">
        <f>IF(S1438="","",IF(Orçamento!$B1438="INSUMO",S1438,""))</f>
        <v>GESSO PO SECAGEM LENTA KG NBR 13207/13867</v>
      </c>
      <c r="Q1438" s="244" t="str">
        <f t="shared" si="1011"/>
        <v/>
      </c>
      <c r="R1438" s="234">
        <f t="shared" ca="1" si="1012"/>
        <v>75.7</v>
      </c>
      <c r="S1438" s="233" t="s">
        <v>1142</v>
      </c>
      <c r="T1438" s="242" t="str">
        <f>_xlfn.XLOOKUP(S1438,Insumos!$A$3:$A$371,Insumos!$B$3:$B$371)</f>
        <v>kg</v>
      </c>
      <c r="U1438" s="235">
        <f t="shared" ca="1" si="1020"/>
        <v>75.7</v>
      </c>
      <c r="V1438" s="320">
        <v>0.9</v>
      </c>
      <c r="W1438" s="236">
        <f>IFERROR(IF(B1438="INSUMO",_xlfn.XLOOKUP(S1438,Insumos!A:A,Insumos!C:C),""),"Inserir Preço")</f>
        <v>2.99</v>
      </c>
      <c r="X1438" s="235">
        <f t="shared" ca="1" si="1019"/>
        <v>68.13000000000001</v>
      </c>
      <c r="Y1438" s="236">
        <f t="shared" si="984"/>
        <v>2.6910000000000003</v>
      </c>
      <c r="Z1438" s="237">
        <f t="shared" ca="1" si="1004"/>
        <v>203.70870000000005</v>
      </c>
      <c r="AA1438" s="238"/>
      <c r="AB1438" s="233">
        <f>IF(B1438="insumo",_xlfn.XLOOKUP(S1438,Insumos!A:A,Insumos!D:D),"")</f>
        <v>0</v>
      </c>
      <c r="AC1438" s="239">
        <f t="shared" ca="1" si="1005"/>
        <v>2.9223870268880859E-5</v>
      </c>
      <c r="AE1438" s="240">
        <f ca="1">IFERROR(IF(OR(Z1438="",Z1438=0),"",IF(AF1438="","",IF(AF1438="R$/mês",Z1438/OBRA!$D$12,IF(AF1438="R$/m²",Z1438/OBRA!$D$10,IF(AF1438="R$/apto",Orçamento!Z1438/OBRA!$D$11,""))))),"")</f>
        <v>0.10482994807614129</v>
      </c>
      <c r="AF1438" s="241" t="s">
        <v>154</v>
      </c>
    </row>
    <row r="1439" spans="1:32" s="10" customFormat="1" ht="13.15" hidden="1" customHeight="1" outlineLevel="4" x14ac:dyDescent="0.2">
      <c r="A1439" s="227"/>
      <c r="B1439" s="228" t="s">
        <v>19</v>
      </c>
      <c r="C1439" s="229">
        <f t="shared" si="1003"/>
        <v>3</v>
      </c>
      <c r="D1439" s="227" t="str">
        <f t="shared" si="1013"/>
        <v/>
      </c>
      <c r="E1439" s="228" t="str">
        <f t="shared" ca="1" si="1014"/>
        <v>14.004.002.001</v>
      </c>
      <c r="F1439" s="230">
        <f ca="1">IF($B1439="UNIDADE CONSTRUTIVA",OFFSET(F1439,-1,0)+1,LARGE(F$10:F1438,1))</f>
        <v>2</v>
      </c>
      <c r="G1439" s="228" t="str">
        <f t="shared" ca="1" si="1006"/>
        <v xml:space="preserve">   GERENCIAMENTO EXECUTIVO</v>
      </c>
      <c r="H1439" s="230">
        <f t="shared" ca="1" si="1015"/>
        <v>14</v>
      </c>
      <c r="I1439" s="228" t="str">
        <f t="shared" ca="1" si="1007"/>
        <v xml:space="preserve">   REVESTIMENTOS E ACABAMENTOS INTERNOS EM TETO</v>
      </c>
      <c r="J1439" s="230">
        <f t="shared" ca="1" si="1016"/>
        <v>4</v>
      </c>
      <c r="K1439" s="228" t="str">
        <f t="shared" ca="1" si="1008"/>
        <v xml:space="preserve">   REVESTIMENTOS E ACABAMENTOS INTERNOS EM TETO - 8º PAVIMENTO - COBERTURA</v>
      </c>
      <c r="L1439" s="231">
        <f t="shared" ca="1" si="1017"/>
        <v>2</v>
      </c>
      <c r="M1439" s="228" t="str">
        <f t="shared" ca="1" si="1009"/>
        <v xml:space="preserve">   Acabamento em Gesso</v>
      </c>
      <c r="N1439" s="231">
        <f t="shared" ca="1" si="1018"/>
        <v>1</v>
      </c>
      <c r="O1439" s="228" t="str">
        <f t="shared" ca="1" si="1010"/>
        <v>Forro de Gesso em Placa - material e mao de obra</v>
      </c>
      <c r="P1439" s="232" t="str">
        <f>IF(S1439="","",IF(Orçamento!$B1439="INSUMO",S1439,""))</f>
        <v>SISAL P/ESTUQUE GESSO NBR 13207/13867</v>
      </c>
      <c r="Q1439" s="244" t="str">
        <f t="shared" si="1011"/>
        <v/>
      </c>
      <c r="R1439" s="234">
        <f t="shared" ca="1" si="1012"/>
        <v>75.7</v>
      </c>
      <c r="S1439" s="233" t="s">
        <v>1143</v>
      </c>
      <c r="T1439" s="242" t="str">
        <f>_xlfn.XLOOKUP(S1439,Insumos!$A$3:$A$371,Insumos!$B$3:$B$371)</f>
        <v>KG</v>
      </c>
      <c r="U1439" s="235">
        <f t="shared" ca="1" si="1020"/>
        <v>75.7</v>
      </c>
      <c r="V1439" s="320">
        <v>8.0000000000000002E-3</v>
      </c>
      <c r="W1439" s="236">
        <f>IFERROR(IF(B1439="INSUMO",_xlfn.XLOOKUP(S1439,Insumos!A:A,Insumos!C:C),""),"Inserir Preço")</f>
        <v>29.26</v>
      </c>
      <c r="X1439" s="235">
        <f t="shared" ca="1" si="1019"/>
        <v>0.60560000000000003</v>
      </c>
      <c r="Y1439" s="236">
        <f t="shared" si="984"/>
        <v>0.23408000000000001</v>
      </c>
      <c r="Z1439" s="237">
        <f t="shared" ca="1" si="1004"/>
        <v>17.719856</v>
      </c>
      <c r="AA1439" s="238"/>
      <c r="AB1439" s="233">
        <f>IF(B1439="insumo",_xlfn.XLOOKUP(S1439,Insumos!A:A,Insumos!D:D),"")</f>
        <v>0</v>
      </c>
      <c r="AC1439" s="239">
        <f t="shared" ca="1" si="1005"/>
        <v>2.5420748987512559E-6</v>
      </c>
      <c r="AE1439" s="240">
        <f ca="1">IFERROR(IF(OR(Z1439="",Z1439=0),"",IF(AF1439="","",IF(AF1439="R$/mês",Z1439/OBRA!$D$12,IF(AF1439="R$/m²",Z1439/OBRA!$D$10,IF(AF1439="R$/apto",Orçamento!Z1439/OBRA!$D$11,""))))),"")</f>
        <v>9.1187641195329423E-3</v>
      </c>
      <c r="AF1439" s="241" t="s">
        <v>154</v>
      </c>
    </row>
    <row r="1440" spans="1:32" s="10" customFormat="1" ht="13.15" hidden="1" customHeight="1" outlineLevel="4" x14ac:dyDescent="0.2">
      <c r="A1440" s="227"/>
      <c r="B1440" s="228" t="s">
        <v>19</v>
      </c>
      <c r="C1440" s="229">
        <f t="shared" si="1003"/>
        <v>3</v>
      </c>
      <c r="D1440" s="227" t="str">
        <f t="shared" si="1013"/>
        <v/>
      </c>
      <c r="E1440" s="228" t="str">
        <f t="shared" ca="1" si="1014"/>
        <v>14.004.002.001</v>
      </c>
      <c r="F1440" s="230">
        <f ca="1">IF($B1440="UNIDADE CONSTRUTIVA",OFFSET(F1440,-1,0)+1,LARGE(F$10:F1439,1))</f>
        <v>2</v>
      </c>
      <c r="G1440" s="228" t="str">
        <f t="shared" ca="1" si="1006"/>
        <v xml:space="preserve">   GERENCIAMENTO EXECUTIVO</v>
      </c>
      <c r="H1440" s="230">
        <f t="shared" ca="1" si="1015"/>
        <v>14</v>
      </c>
      <c r="I1440" s="228" t="str">
        <f t="shared" ca="1" si="1007"/>
        <v xml:space="preserve">   REVESTIMENTOS E ACABAMENTOS INTERNOS EM TETO</v>
      </c>
      <c r="J1440" s="230">
        <f t="shared" ca="1" si="1016"/>
        <v>4</v>
      </c>
      <c r="K1440" s="228" t="str">
        <f t="shared" ca="1" si="1008"/>
        <v xml:space="preserve">   REVESTIMENTOS E ACABAMENTOS INTERNOS EM TETO - 8º PAVIMENTO - COBERTURA</v>
      </c>
      <c r="L1440" s="231">
        <f t="shared" ca="1" si="1017"/>
        <v>2</v>
      </c>
      <c r="M1440" s="228" t="str">
        <f t="shared" ca="1" si="1009"/>
        <v xml:space="preserve">   Acabamento em Gesso</v>
      </c>
      <c r="N1440" s="231">
        <f t="shared" ca="1" si="1018"/>
        <v>1</v>
      </c>
      <c r="O1440" s="228" t="str">
        <f t="shared" ca="1" si="1010"/>
        <v>Forro de Gesso em Placa - material e mao de obra</v>
      </c>
      <c r="P1440" s="232" t="str">
        <f>IF(S1440="","",IF(Orçamento!$B1440="INSUMO",S1440,""))</f>
        <v>PINO LISO P/FIXACAO DIRETA C/ARRUELA 23MM CONICA 1/4"X28MM</v>
      </c>
      <c r="Q1440" s="244" t="str">
        <f t="shared" si="1011"/>
        <v/>
      </c>
      <c r="R1440" s="234">
        <f t="shared" ca="1" si="1012"/>
        <v>75.7</v>
      </c>
      <c r="S1440" s="233" t="s">
        <v>1144</v>
      </c>
      <c r="T1440" s="242" t="str">
        <f>_xlfn.XLOOKUP(S1440,Insumos!$A$3:$A$371,Insumos!$B$3:$B$371)</f>
        <v>UN</v>
      </c>
      <c r="U1440" s="235">
        <f t="shared" ca="1" si="1020"/>
        <v>75.7</v>
      </c>
      <c r="V1440" s="320">
        <v>3</v>
      </c>
      <c r="W1440" s="236">
        <f>IFERROR(IF(B1440="INSUMO",_xlfn.XLOOKUP(S1440,Insumos!A:A,Insumos!C:C),""),"Inserir Preço")</f>
        <v>0.3</v>
      </c>
      <c r="X1440" s="235">
        <f t="shared" ca="1" si="1019"/>
        <v>227.10000000000002</v>
      </c>
      <c r="Y1440" s="236">
        <f t="shared" si="984"/>
        <v>0.89999999999999991</v>
      </c>
      <c r="Z1440" s="237">
        <f t="shared" ca="1" si="1004"/>
        <v>68.13000000000001</v>
      </c>
      <c r="AA1440" s="238"/>
      <c r="AB1440" s="233" t="str">
        <f>IF(B1440="insumo",_xlfn.XLOOKUP(S1440,Insumos!A:A,Insumos!D:D),"")</f>
        <v xml:space="preserve"> </v>
      </c>
      <c r="AC1440" s="239">
        <f t="shared" ca="1" si="1005"/>
        <v>9.7738696551440992E-6</v>
      </c>
      <c r="AE1440" s="240">
        <f ca="1">IFERROR(IF(OR(Z1440="",Z1440=0),"",IF(AF1440="","",IF(AF1440="R$/mês",Z1440/OBRA!$D$12,IF(AF1440="R$/m²",Z1440/OBRA!$D$10,IF(AF1440="R$/apto",Orçamento!Z1440/OBRA!$D$11,""))))),"")</f>
        <v>3.5060183303057282E-2</v>
      </c>
      <c r="AF1440" s="241" t="s">
        <v>154</v>
      </c>
    </row>
    <row r="1441" spans="1:32" s="10" customFormat="1" ht="13.15" hidden="1" customHeight="1" outlineLevel="4" x14ac:dyDescent="0.2">
      <c r="A1441" s="227"/>
      <c r="B1441" s="228" t="s">
        <v>19</v>
      </c>
      <c r="C1441" s="229">
        <f t="shared" si="1003"/>
        <v>3</v>
      </c>
      <c r="D1441" s="227" t="str">
        <f t="shared" si="1013"/>
        <v/>
      </c>
      <c r="E1441" s="228" t="str">
        <f t="shared" ca="1" si="1014"/>
        <v>14.004.002.001</v>
      </c>
      <c r="F1441" s="230">
        <f ca="1">IF($B1441="UNIDADE CONSTRUTIVA",OFFSET(F1441,-1,0)+1,LARGE(F$10:F1440,1))</f>
        <v>2</v>
      </c>
      <c r="G1441" s="228" t="str">
        <f t="shared" ca="1" si="1006"/>
        <v xml:space="preserve">   GERENCIAMENTO EXECUTIVO</v>
      </c>
      <c r="H1441" s="230">
        <f t="shared" ca="1" si="1015"/>
        <v>14</v>
      </c>
      <c r="I1441" s="228" t="str">
        <f t="shared" ca="1" si="1007"/>
        <v xml:space="preserve">   REVESTIMENTOS E ACABAMENTOS INTERNOS EM TETO</v>
      </c>
      <c r="J1441" s="230">
        <f t="shared" ca="1" si="1016"/>
        <v>4</v>
      </c>
      <c r="K1441" s="228" t="str">
        <f t="shared" ca="1" si="1008"/>
        <v xml:space="preserve">   REVESTIMENTOS E ACABAMENTOS INTERNOS EM TETO - 8º PAVIMENTO - COBERTURA</v>
      </c>
      <c r="L1441" s="231">
        <f t="shared" ca="1" si="1017"/>
        <v>2</v>
      </c>
      <c r="M1441" s="228" t="str">
        <f t="shared" ca="1" si="1009"/>
        <v xml:space="preserve">   Acabamento em Gesso</v>
      </c>
      <c r="N1441" s="231">
        <f t="shared" ca="1" si="1018"/>
        <v>1</v>
      </c>
      <c r="O1441" s="228" t="str">
        <f t="shared" ca="1" si="1010"/>
        <v>Forro de Gesso em Placa - material e mao de obra</v>
      </c>
      <c r="P1441" s="232" t="str">
        <f>IF(S1441="","",IF(Orçamento!$B1441="INSUMO",S1441,""))</f>
        <v>ARAME ACO CARBONO GALVANIZADO LISO BWG 16 FIO 1,65MM NBR 6207</v>
      </c>
      <c r="Q1441" s="244" t="str">
        <f t="shared" si="1011"/>
        <v/>
      </c>
      <c r="R1441" s="234">
        <f t="shared" ca="1" si="1012"/>
        <v>75.7</v>
      </c>
      <c r="S1441" s="233" t="s">
        <v>1145</v>
      </c>
      <c r="T1441" s="242" t="str">
        <f>_xlfn.XLOOKUP(S1441,Insumos!$A$3:$A$371,Insumos!$B$3:$B$371)</f>
        <v>KG</v>
      </c>
      <c r="U1441" s="235">
        <f t="shared" ca="1" si="1020"/>
        <v>75.7</v>
      </c>
      <c r="V1441" s="320">
        <v>0.02</v>
      </c>
      <c r="W1441" s="236">
        <f>IFERROR(IF(B1441="INSUMO",_xlfn.XLOOKUP(S1441,Insumos!A:A,Insumos!C:C),""),"Inserir Preço")</f>
        <v>10.14</v>
      </c>
      <c r="X1441" s="235">
        <f t="shared" ca="1" si="1019"/>
        <v>1.514</v>
      </c>
      <c r="Y1441" s="236">
        <f t="shared" si="984"/>
        <v>0.20280000000000001</v>
      </c>
      <c r="Z1441" s="237">
        <f t="shared" ca="1" si="1004"/>
        <v>15.351960000000002</v>
      </c>
      <c r="AA1441" s="238"/>
      <c r="AB1441" s="233">
        <f>IF(B1441="insumo",_xlfn.XLOOKUP(S1441,Insumos!A:A,Insumos!D:D),"")</f>
        <v>0</v>
      </c>
      <c r="AC1441" s="239">
        <f t="shared" ca="1" si="1005"/>
        <v>2.2023786289591372E-6</v>
      </c>
      <c r="AE1441" s="240">
        <f ca="1">IFERROR(IF(OR(Z1441="",Z1441=0),"",IF(AF1441="","",IF(AF1441="R$/mês",Z1441/OBRA!$D$12,IF(AF1441="R$/m²",Z1441/OBRA!$D$10,IF(AF1441="R$/apto",Orçamento!Z1441/OBRA!$D$11,""))))),"")</f>
        <v>7.9002279709555756E-3</v>
      </c>
      <c r="AF1441" s="241" t="s">
        <v>154</v>
      </c>
    </row>
    <row r="1442" spans="1:32" s="10" customFormat="1" ht="13.15" hidden="1" customHeight="1" outlineLevel="4" x14ac:dyDescent="0.2">
      <c r="A1442" s="227"/>
      <c r="B1442" s="228" t="s">
        <v>19</v>
      </c>
      <c r="C1442" s="229">
        <f t="shared" si="1003"/>
        <v>3</v>
      </c>
      <c r="D1442" s="227" t="str">
        <f t="shared" si="1013"/>
        <v/>
      </c>
      <c r="E1442" s="228" t="str">
        <f t="shared" ca="1" si="1014"/>
        <v>14.004.002.001</v>
      </c>
      <c r="F1442" s="230">
        <f ca="1">IF($B1442="UNIDADE CONSTRUTIVA",OFFSET(F1442,-1,0)+1,LARGE(F$10:F1441,1))</f>
        <v>2</v>
      </c>
      <c r="G1442" s="228" t="str">
        <f t="shared" ca="1" si="1006"/>
        <v xml:space="preserve">   GERENCIAMENTO EXECUTIVO</v>
      </c>
      <c r="H1442" s="230">
        <f t="shared" ca="1" si="1015"/>
        <v>14</v>
      </c>
      <c r="I1442" s="228" t="str">
        <f t="shared" ca="1" si="1007"/>
        <v xml:space="preserve">   REVESTIMENTOS E ACABAMENTOS INTERNOS EM TETO</v>
      </c>
      <c r="J1442" s="230">
        <f t="shared" ca="1" si="1016"/>
        <v>4</v>
      </c>
      <c r="K1442" s="228" t="str">
        <f t="shared" ca="1" si="1008"/>
        <v xml:space="preserve">   REVESTIMENTOS E ACABAMENTOS INTERNOS EM TETO - 8º PAVIMENTO - COBERTURA</v>
      </c>
      <c r="L1442" s="231">
        <f t="shared" ca="1" si="1017"/>
        <v>2</v>
      </c>
      <c r="M1442" s="228" t="str">
        <f t="shared" ca="1" si="1009"/>
        <v xml:space="preserve">   Acabamento em Gesso</v>
      </c>
      <c r="N1442" s="231">
        <f t="shared" ca="1" si="1018"/>
        <v>1</v>
      </c>
      <c r="O1442" s="228" t="str">
        <f t="shared" ca="1" si="1010"/>
        <v>Forro de Gesso em Placa - material e mao de obra</v>
      </c>
      <c r="P1442" s="232" t="str">
        <f>IF(S1442="","",IF(Orçamento!$B1442="INSUMO",S1442,""))</f>
        <v>SERVICO EMP. - INST. FORRO GESSO</v>
      </c>
      <c r="Q1442" s="244" t="str">
        <f t="shared" si="1011"/>
        <v/>
      </c>
      <c r="R1442" s="234">
        <f t="shared" ca="1" si="1012"/>
        <v>75.7</v>
      </c>
      <c r="S1442" s="233" t="s">
        <v>1146</v>
      </c>
      <c r="T1442" s="242" t="str">
        <f>_xlfn.XLOOKUP(S1442,Insumos!$A$3:$A$371,Insumos!$B$3:$B$371)</f>
        <v>M2</v>
      </c>
      <c r="U1442" s="235">
        <f t="shared" ca="1" si="1020"/>
        <v>75.7</v>
      </c>
      <c r="V1442" s="320">
        <v>1</v>
      </c>
      <c r="W1442" s="236">
        <f>IFERROR(IF(B1442="INSUMO",_xlfn.XLOOKUP(S1442,Insumos!A:A,Insumos!C:C),""),"Inserir Preço")</f>
        <v>23</v>
      </c>
      <c r="X1442" s="235">
        <f t="shared" ca="1" si="1019"/>
        <v>75.7</v>
      </c>
      <c r="Y1442" s="236">
        <f t="shared" si="984"/>
        <v>23</v>
      </c>
      <c r="Z1442" s="237">
        <f t="shared" ca="1" si="1004"/>
        <v>1741.1000000000001</v>
      </c>
      <c r="AA1442" s="238"/>
      <c r="AB1442" s="233" t="str">
        <f>IF(B1442="insumo",_xlfn.XLOOKUP(S1442,Insumos!A:A,Insumos!D:D),"")</f>
        <v>Empreitada</v>
      </c>
      <c r="AC1442" s="239">
        <f t="shared" ca="1" si="1005"/>
        <v>2.4977666896479366E-4</v>
      </c>
      <c r="AE1442" s="240">
        <f ca="1">IFERROR(IF(OR(Z1442="",Z1442=0),"",IF(AF1442="","",IF(AF1442="R$/mês",Z1442/OBRA!$D$12,IF(AF1442="R$/m²",Z1442/OBRA!$D$10,IF(AF1442="R$/apto",Orçamento!Z1442/OBRA!$D$11,""))))),"")</f>
        <v>0.89598246218924171</v>
      </c>
      <c r="AF1442" s="241" t="s">
        <v>154</v>
      </c>
    </row>
    <row r="1443" spans="1:32" s="10" customFormat="1" ht="13.15" hidden="1" customHeight="1" outlineLevel="4" x14ac:dyDescent="0.2">
      <c r="A1443" s="227"/>
      <c r="B1443" s="228" t="s">
        <v>19</v>
      </c>
      <c r="C1443" s="229">
        <f t="shared" si="1003"/>
        <v>3</v>
      </c>
      <c r="D1443" s="227" t="str">
        <f t="shared" si="1013"/>
        <v/>
      </c>
      <c r="E1443" s="228" t="str">
        <f t="shared" ca="1" si="1014"/>
        <v>14.004.002.001</v>
      </c>
      <c r="F1443" s="230">
        <f ca="1">IF($B1443="UNIDADE CONSTRUTIVA",OFFSET(F1443,-1,0)+1,LARGE(F$10:F1442,1))</f>
        <v>2</v>
      </c>
      <c r="G1443" s="228" t="str">
        <f t="shared" ca="1" si="1006"/>
        <v xml:space="preserve">   GERENCIAMENTO EXECUTIVO</v>
      </c>
      <c r="H1443" s="230">
        <f t="shared" ca="1" si="1015"/>
        <v>14</v>
      </c>
      <c r="I1443" s="228" t="str">
        <f t="shared" ca="1" si="1007"/>
        <v xml:space="preserve">   REVESTIMENTOS E ACABAMENTOS INTERNOS EM TETO</v>
      </c>
      <c r="J1443" s="230">
        <f t="shared" ca="1" si="1016"/>
        <v>4</v>
      </c>
      <c r="K1443" s="228" t="str">
        <f t="shared" ca="1" si="1008"/>
        <v xml:space="preserve">   REVESTIMENTOS E ACABAMENTOS INTERNOS EM TETO - 8º PAVIMENTO - COBERTURA</v>
      </c>
      <c r="L1443" s="231">
        <f t="shared" ca="1" si="1017"/>
        <v>2</v>
      </c>
      <c r="M1443" s="228" t="str">
        <f t="shared" ca="1" si="1009"/>
        <v xml:space="preserve">   Acabamento em Gesso</v>
      </c>
      <c r="N1443" s="231">
        <f t="shared" ca="1" si="1018"/>
        <v>1</v>
      </c>
      <c r="O1443" s="228" t="str">
        <f t="shared" ca="1" si="1010"/>
        <v>Forro de Gesso em Placa - material e mao de obra</v>
      </c>
      <c r="P1443" s="232" t="str">
        <f>IF(S1443="","",IF(Orçamento!$B1443="INSUMO",S1443,""))</f>
        <v>SERVICO EMP. - INST. FORRO GESSO NEGATIVO</v>
      </c>
      <c r="Q1443" s="244" t="str">
        <f t="shared" si="1011"/>
        <v/>
      </c>
      <c r="R1443" s="234">
        <f t="shared" ca="1" si="1012"/>
        <v>75.7</v>
      </c>
      <c r="S1443" s="233" t="s">
        <v>1147</v>
      </c>
      <c r="T1443" s="242" t="str">
        <f>_xlfn.XLOOKUP(S1443,Insumos!$A$3:$A$371,Insumos!$B$3:$B$371)</f>
        <v>M</v>
      </c>
      <c r="U1443" s="235">
        <f t="shared" ca="1" si="1020"/>
        <v>75.7</v>
      </c>
      <c r="V1443" s="320">
        <v>1.2</v>
      </c>
      <c r="W1443" s="236">
        <f>IFERROR(IF(B1443="INSUMO",_xlfn.XLOOKUP(S1443,Insumos!A:A,Insumos!C:C),""),"Inserir Preço")</f>
        <v>16</v>
      </c>
      <c r="X1443" s="235">
        <f t="shared" ca="1" si="1019"/>
        <v>90.84</v>
      </c>
      <c r="Y1443" s="236">
        <f t="shared" si="984"/>
        <v>19.2</v>
      </c>
      <c r="Z1443" s="237">
        <f t="shared" ca="1" si="1004"/>
        <v>1453.44</v>
      </c>
      <c r="AA1443" s="238"/>
      <c r="AB1443" s="233" t="str">
        <f>IF(B1443="insumo",_xlfn.XLOOKUP(S1443,Insumos!A:A,Insumos!D:D),"")</f>
        <v>Empreitada</v>
      </c>
      <c r="AC1443" s="239">
        <f t="shared" ca="1" si="1005"/>
        <v>2.0850921930974076E-4</v>
      </c>
      <c r="AE1443" s="240">
        <f ca="1">IFERROR(IF(OR(Z1443="",Z1443=0),"",IF(AF1443="","",IF(AF1443="R$/mês",Z1443/OBRA!$D$12,IF(AF1443="R$/m²",Z1443/OBRA!$D$10,IF(AF1443="R$/apto",Orçamento!Z1443/OBRA!$D$11,""))))),"")</f>
        <v>0.74795057713188873</v>
      </c>
      <c r="AF1443" s="241" t="s">
        <v>154</v>
      </c>
    </row>
    <row r="1444" spans="1:32" s="10" customFormat="1" ht="13.15" hidden="1" customHeight="1" outlineLevel="3" collapsed="1" x14ac:dyDescent="0.2">
      <c r="A1444" s="227"/>
      <c r="B1444" s="228" t="s">
        <v>3</v>
      </c>
      <c r="C1444" s="229" t="str">
        <f t="shared" si="1003"/>
        <v/>
      </c>
      <c r="D1444" s="227" t="str">
        <f t="shared" ca="1" si="1013"/>
        <v>14.004.003</v>
      </c>
      <c r="E1444" s="228" t="str">
        <f t="shared" ca="1" si="1014"/>
        <v>14.004.002.001</v>
      </c>
      <c r="F1444" s="230">
        <f ca="1">IF($B1444="UNIDADE CONSTRUTIVA",OFFSET(F1444,-1,0)+1,LARGE(F$10:F1443,1))</f>
        <v>2</v>
      </c>
      <c r="G1444" s="228" t="str">
        <f t="shared" ca="1" si="1006"/>
        <v xml:space="preserve">   GERENCIAMENTO EXECUTIVO</v>
      </c>
      <c r="H1444" s="230">
        <f t="shared" ca="1" si="1015"/>
        <v>14</v>
      </c>
      <c r="I1444" s="228" t="str">
        <f t="shared" ca="1" si="1007"/>
        <v xml:space="preserve">   REVESTIMENTOS E ACABAMENTOS INTERNOS EM TETO</v>
      </c>
      <c r="J1444" s="230">
        <f t="shared" ca="1" si="1016"/>
        <v>4</v>
      </c>
      <c r="K1444" s="228" t="str">
        <f t="shared" ca="1" si="1008"/>
        <v xml:space="preserve">   REVESTIMENTOS E ACABAMENTOS INTERNOS EM TETO - 8º PAVIMENTO - COBERTURA</v>
      </c>
      <c r="L1444" s="231">
        <f t="shared" ca="1" si="1017"/>
        <v>3</v>
      </c>
      <c r="M1444" s="228" t="str">
        <f t="shared" ca="1" si="1009"/>
        <v xml:space="preserve">   Mão de Obra</v>
      </c>
      <c r="N1444" s="231">
        <f t="shared" ca="1" si="1018"/>
        <v>0</v>
      </c>
      <c r="O1444" s="228" t="str">
        <f t="shared" ca="1" si="1010"/>
        <v>Forro de Gesso em Placa - material e mao de obra</v>
      </c>
      <c r="P1444" s="232" t="str">
        <f>IF(S1444="","",IF(Orçamento!$B1444="INSUMO",S1444,""))</f>
        <v/>
      </c>
      <c r="Q1444" s="244" t="str">
        <f t="shared" si="1011"/>
        <v/>
      </c>
      <c r="R1444" s="234">
        <f t="shared" ca="1" si="1012"/>
        <v>75.7</v>
      </c>
      <c r="S1444" s="233" t="s">
        <v>438</v>
      </c>
      <c r="T1444" s="242" t="s">
        <v>35</v>
      </c>
      <c r="U1444" s="235" t="str">
        <f t="shared" si="1020"/>
        <v/>
      </c>
      <c r="V1444" s="320" t="s">
        <v>35</v>
      </c>
      <c r="W1444" s="236" t="str">
        <f>IFERROR(IF(B1444="INSUMO",_xlfn.XLOOKUP(S1444,Insumos!A:A,Insumos!C:C),""),"Inserir Preço")</f>
        <v/>
      </c>
      <c r="X1444" s="235" t="str">
        <f t="shared" ca="1" si="1019"/>
        <v/>
      </c>
      <c r="Y1444" s="236" t="str">
        <f t="shared" si="984"/>
        <v/>
      </c>
      <c r="Z1444" s="237">
        <f t="shared" ca="1" si="1004"/>
        <v>2826.4312678390575</v>
      </c>
      <c r="AA1444" s="238"/>
      <c r="AB1444" s="233" t="str">
        <f>IF(B1444="insumo",_xlfn.XLOOKUP(S1444,Insumos!A:A,Insumos!D:D),"")</f>
        <v/>
      </c>
      <c r="AC1444" s="239">
        <f t="shared" ca="1" si="1005"/>
        <v>4.0547733452344964E-4</v>
      </c>
      <c r="AE1444" s="240">
        <f ca="1">IFERROR(IF(OR(Z1444="",Z1444=0),"",IF(AF1444="","",IF(AF1444="R$/mês",Z1444/OBRA!$D$12,IF(AF1444="R$/m²",Z1444/OBRA!$D$10,IF(AF1444="R$/apto",Orçamento!Z1444/OBRA!$D$11,""))))),"")</f>
        <v>1.4545016636420072</v>
      </c>
      <c r="AF1444" s="241" t="s">
        <v>154</v>
      </c>
    </row>
    <row r="1445" spans="1:32" s="10" customFormat="1" ht="13.15" hidden="1" customHeight="1" outlineLevel="4" x14ac:dyDescent="0.2">
      <c r="A1445" s="227"/>
      <c r="B1445" s="228" t="s">
        <v>4</v>
      </c>
      <c r="C1445" s="229">
        <f t="shared" si="1003"/>
        <v>5</v>
      </c>
      <c r="D1445" s="227" t="str">
        <f t="shared" ca="1" si="1013"/>
        <v>14.004.003.001</v>
      </c>
      <c r="E1445" s="228" t="str">
        <f t="shared" ca="1" si="1014"/>
        <v>14.004.003.001</v>
      </c>
      <c r="F1445" s="230">
        <f ca="1">IF($B1445="UNIDADE CONSTRUTIVA",OFFSET(F1445,-1,0)+1,LARGE(F$10:F1444,1))</f>
        <v>2</v>
      </c>
      <c r="G1445" s="228" t="str">
        <f t="shared" ca="1" si="1006"/>
        <v xml:space="preserve">   GERENCIAMENTO EXECUTIVO</v>
      </c>
      <c r="H1445" s="230">
        <f t="shared" ca="1" si="1015"/>
        <v>14</v>
      </c>
      <c r="I1445" s="228" t="str">
        <f t="shared" ca="1" si="1007"/>
        <v xml:space="preserve">   REVESTIMENTOS E ACABAMENTOS INTERNOS EM TETO</v>
      </c>
      <c r="J1445" s="230">
        <f t="shared" ca="1" si="1016"/>
        <v>4</v>
      </c>
      <c r="K1445" s="228" t="str">
        <f t="shared" ca="1" si="1008"/>
        <v xml:space="preserve">   REVESTIMENTOS E ACABAMENTOS INTERNOS EM TETO - 8º PAVIMENTO - COBERTURA</v>
      </c>
      <c r="L1445" s="231">
        <f t="shared" ca="1" si="1017"/>
        <v>3</v>
      </c>
      <c r="M1445" s="228" t="str">
        <f t="shared" ca="1" si="1009"/>
        <v xml:space="preserve">   Mão de Obra</v>
      </c>
      <c r="N1445" s="231">
        <f t="shared" ca="1" si="1018"/>
        <v>1</v>
      </c>
      <c r="O1445" s="228" t="str">
        <f t="shared" ca="1" si="1010"/>
        <v>Mao De Obra Acabamento Em Massa Teto</v>
      </c>
      <c r="P1445" s="232" t="str">
        <f>IF(S1445="","",IF(Orçamento!$B1445="INSUMO",S1445,""))</f>
        <v/>
      </c>
      <c r="Q1445" s="244" t="str">
        <f t="shared" si="1011"/>
        <v>Mao De Obra Acabamento Em Massa Teto</v>
      </c>
      <c r="R1445" s="234">
        <f t="shared" ca="1" si="1012"/>
        <v>16.579999999999998</v>
      </c>
      <c r="S1445" s="233" t="s">
        <v>1044</v>
      </c>
      <c r="T1445" s="242" t="s">
        <v>140</v>
      </c>
      <c r="U1445" s="235">
        <f>U1433</f>
        <v>16.579999999999998</v>
      </c>
      <c r="V1445" s="320" t="s">
        <v>35</v>
      </c>
      <c r="W1445" s="236" t="str">
        <f>IFERROR(IF(B1445="INSUMO",_xlfn.XLOOKUP(S1445,Insumos!A:A,Insumos!C:C),""),"Inserir Preço")</f>
        <v/>
      </c>
      <c r="X1445" s="235">
        <f t="shared" ca="1" si="1019"/>
        <v>16.579999999999998</v>
      </c>
      <c r="Y1445" s="236">
        <f t="shared" ca="1" si="984"/>
        <v>170.47233219777189</v>
      </c>
      <c r="Z1445" s="237">
        <f t="shared" ca="1" si="1004"/>
        <v>2826.4312678390575</v>
      </c>
      <c r="AA1445" s="238"/>
      <c r="AB1445" s="233" t="str">
        <f>IF(B1445="insumo",_xlfn.XLOOKUP(S1445,Insumos!A:A,Insumos!D:D),"")</f>
        <v/>
      </c>
      <c r="AC1445" s="239">
        <f t="shared" ca="1" si="1005"/>
        <v>4.0547733452344964E-4</v>
      </c>
      <c r="AE1445" s="240">
        <f ca="1">IFERROR(IF(OR(Z1445="",Z1445=0),"",IF(AF1445="","",IF(AF1445="R$/mês",Z1445/OBRA!$D$12,IF(AF1445="R$/m²",Z1445/OBRA!$D$10,IF(AF1445="R$/apto",Orçamento!Z1445/OBRA!$D$11,""))))),"")</f>
        <v>1.4545016636420072</v>
      </c>
      <c r="AF1445" s="241" t="s">
        <v>154</v>
      </c>
    </row>
    <row r="1446" spans="1:32" s="10" customFormat="1" ht="13.15" hidden="1" customHeight="1" outlineLevel="4" x14ac:dyDescent="0.2">
      <c r="A1446" s="227"/>
      <c r="B1446" s="228" t="s">
        <v>19</v>
      </c>
      <c r="C1446" s="229">
        <f t="shared" si="1003"/>
        <v>5</v>
      </c>
      <c r="D1446" s="227" t="str">
        <f t="shared" si="1013"/>
        <v/>
      </c>
      <c r="E1446" s="228" t="str">
        <f t="shared" ca="1" si="1014"/>
        <v>14.004.003.001</v>
      </c>
      <c r="F1446" s="230">
        <f ca="1">IF($B1446="UNIDADE CONSTRUTIVA",OFFSET(F1446,-1,0)+1,LARGE(F$10:F1445,1))</f>
        <v>2</v>
      </c>
      <c r="G1446" s="228" t="str">
        <f t="shared" ca="1" si="1006"/>
        <v xml:space="preserve">   GERENCIAMENTO EXECUTIVO</v>
      </c>
      <c r="H1446" s="230">
        <f t="shared" ca="1" si="1015"/>
        <v>14</v>
      </c>
      <c r="I1446" s="228" t="str">
        <f t="shared" ca="1" si="1007"/>
        <v xml:space="preserve">   REVESTIMENTOS E ACABAMENTOS INTERNOS EM TETO</v>
      </c>
      <c r="J1446" s="230">
        <f t="shared" ca="1" si="1016"/>
        <v>4</v>
      </c>
      <c r="K1446" s="228" t="str">
        <f t="shared" ca="1" si="1008"/>
        <v xml:space="preserve">   REVESTIMENTOS E ACABAMENTOS INTERNOS EM TETO - 8º PAVIMENTO - COBERTURA</v>
      </c>
      <c r="L1446" s="231">
        <f t="shared" ca="1" si="1017"/>
        <v>3</v>
      </c>
      <c r="M1446" s="228" t="str">
        <f t="shared" ca="1" si="1009"/>
        <v xml:space="preserve">   Mão de Obra</v>
      </c>
      <c r="N1446" s="231">
        <f t="shared" ca="1" si="1018"/>
        <v>1</v>
      </c>
      <c r="O1446" s="228" t="str">
        <f t="shared" ca="1" si="1010"/>
        <v>Mao De Obra Acabamento Em Massa Teto</v>
      </c>
      <c r="P1446" s="232" t="str">
        <f>IF(S1446="","",IF(Orçamento!$B1446="INSUMO",S1446,""))</f>
        <v>MAO DE OBRA PARA EMASSAMENTO EM TETO</v>
      </c>
      <c r="Q1446" s="244" t="str">
        <f t="shared" si="1011"/>
        <v/>
      </c>
      <c r="R1446" s="234">
        <f t="shared" ca="1" si="1012"/>
        <v>16.579999999999998</v>
      </c>
      <c r="S1446" s="233" t="s">
        <v>874</v>
      </c>
      <c r="T1446" s="242" t="str">
        <f>_xlfn.XLOOKUP(S1446,Insumos!$A$3:$A$371,Insumos!$B$3:$B$371)</f>
        <v>M2</v>
      </c>
      <c r="U1446" s="235">
        <f ca="1">IF($B1446="insumo",R1446,"")</f>
        <v>16.579999999999998</v>
      </c>
      <c r="V1446" s="320">
        <v>1</v>
      </c>
      <c r="W1446" s="236">
        <f>IFERROR(IF(B1446="INSUMO",_xlfn.XLOOKUP(S1446,Insumos!A:A,Insumos!C:C),""),"Inserir Preço")</f>
        <v>170.47233219777189</v>
      </c>
      <c r="X1446" s="235">
        <f t="shared" ca="1" si="1019"/>
        <v>16.579999999999998</v>
      </c>
      <c r="Y1446" s="236">
        <f t="shared" si="984"/>
        <v>170.47233219777189</v>
      </c>
      <c r="Z1446" s="237">
        <f t="shared" ca="1" si="1004"/>
        <v>2826.4312678390575</v>
      </c>
      <c r="AA1446" s="238"/>
      <c r="AB1446" s="233" t="str">
        <f>IF(B1446="insumo",_xlfn.XLOOKUP(S1446,Insumos!A:A,Insumos!D:D),"")</f>
        <v>Aba Custo Serviços</v>
      </c>
      <c r="AC1446" s="239">
        <f t="shared" ca="1" si="1005"/>
        <v>4.0547733452344964E-4</v>
      </c>
      <c r="AE1446" s="240">
        <f ca="1">IFERROR(IF(OR(Z1446="",Z1446=0),"",IF(AF1446="","",IF(AF1446="R$/mês",Z1446/OBRA!$D$12,IF(AF1446="R$/m²",Z1446/OBRA!$D$10,IF(AF1446="R$/apto",Orçamento!Z1446/OBRA!$D$11,""))))),"")</f>
        <v>1.4545016636420072</v>
      </c>
      <c r="AF1446" s="241" t="s">
        <v>154</v>
      </c>
    </row>
    <row r="1447" spans="1:32" s="10" customFormat="1" ht="13.15" customHeight="1" outlineLevel="2" collapsed="1" x14ac:dyDescent="0.2">
      <c r="A1447" s="227"/>
      <c r="B1447" s="228" t="s">
        <v>2</v>
      </c>
      <c r="C1447" s="229" t="str">
        <f t="shared" si="1003"/>
        <v/>
      </c>
      <c r="D1447" s="227" t="str">
        <f t="shared" ref="D1447:D1457" ca="1" si="1021">IF(B1447="Unidade Construtiva",TEXT(F1447,"00"),IF(B1447="Célula Construtiva",TEXT(H1447,"00"),IF(B1447="Etapa",CONCATENATE(TEXT(H1447,"00"),".",TEXT(J1447,"000")),IF(B1447="Subetapa",CONCATENATE(TEXT(H1447,"00"),".",TEXT(J1447,"000"),".",TEXT(L1447,"000")),IF(B1447="Serviço",CONCATENATE(TEXT(H1447,"00"),".",TEXT(J1447,"000"),".",TEXT(L1447,"000"),".",TEXT(N1447,"000")),"")))))</f>
        <v>14.005</v>
      </c>
      <c r="E1447" s="228" t="str">
        <f t="shared" ref="E1447:E1457" ca="1" si="1022">IF(B1447="*","",IFERROR(IF(B1447="SERVIÇO",D1447,OFFSET(E1447,-1,0)),""))</f>
        <v>14.004.003.001</v>
      </c>
      <c r="F1447" s="230">
        <f ca="1">IF($B1447="UNIDADE CONSTRUTIVA",OFFSET(F1447,-1,0)+1,LARGE(F$10:F1446,1))</f>
        <v>2</v>
      </c>
      <c r="G1447" s="228" t="str">
        <f t="shared" ca="1" si="1006"/>
        <v xml:space="preserve">   GERENCIAMENTO EXECUTIVO</v>
      </c>
      <c r="H1447" s="230">
        <f t="shared" ref="H1447:H1457" ca="1" si="1023">IF(B1447="UNIDADE CONSTRUTIVA",0,IF(B1447="CÉLULA CONSTRUTIVA",OFFSET(H1447,-1,0)+1,OFFSET(H1447,-1,0)))</f>
        <v>14</v>
      </c>
      <c r="I1447" s="228" t="str">
        <f t="shared" ca="1" si="1007"/>
        <v xml:space="preserve">   REVESTIMENTOS E ACABAMENTOS INTERNOS EM TETO</v>
      </c>
      <c r="J1447" s="230">
        <f t="shared" ref="J1447:J1457" ca="1" si="1024">IF(B1447="CÉLULA CONSTRUTIVA",0,IF(B1447="ETAPA",OFFSET(J1447,-1,0)+1,OFFSET(J1447,-1,0)))</f>
        <v>5</v>
      </c>
      <c r="K1447" s="228" t="str">
        <f t="shared" ca="1" si="1008"/>
        <v xml:space="preserve">   REVESTIMENTOS E ACABAMENTOS INTERNOS EM TETO - BARRILETE / CAIXA DÁGUA / CASA DE MÁQUINAS</v>
      </c>
      <c r="L1447" s="231">
        <f t="shared" ref="L1447:L1457" ca="1" si="1025">IF(B1447="ETAPA",0,IF(B1447="SUBETAPA",OFFSET(L1447,-1,0)+1,OFFSET(L1447,-1,0)))</f>
        <v>0</v>
      </c>
      <c r="M1447" s="228" t="str">
        <f t="shared" ca="1" si="1009"/>
        <v xml:space="preserve">   Mão de Obra</v>
      </c>
      <c r="N1447" s="231">
        <f t="shared" ref="N1447:N1457" ca="1" si="1026">IF(B1447="Subetapa",0,IF(B1447="serviço",OFFSET(N1447,-1,0)+1,OFFSET(N1447,-1,0)))</f>
        <v>1</v>
      </c>
      <c r="O1447" s="228" t="str">
        <f t="shared" ca="1" si="1010"/>
        <v>Mao De Obra Acabamento Em Massa Teto</v>
      </c>
      <c r="P1447" s="232" t="str">
        <f>IF(S1447="","",IF(Orçamento!$B1447="INSUMO",S1447,""))</f>
        <v/>
      </c>
      <c r="Q1447" s="244" t="str">
        <f t="shared" si="1011"/>
        <v/>
      </c>
      <c r="R1447" s="234">
        <f t="shared" ca="1" si="1012"/>
        <v>16.579999999999998</v>
      </c>
      <c r="S1447" s="233" t="s">
        <v>664</v>
      </c>
      <c r="T1447" s="242" t="s">
        <v>35</v>
      </c>
      <c r="U1447" s="235" t="str">
        <f>IF($B1447="insumo",R1447,"")</f>
        <v/>
      </c>
      <c r="V1447" s="320" t="s">
        <v>35</v>
      </c>
      <c r="W1447" s="236" t="str">
        <f>IFERROR(IF(B1447="INSUMO",_xlfn.XLOOKUP(S1447,Insumos!A:A,Insumos!C:C),""),"Inserir Preço")</f>
        <v/>
      </c>
      <c r="X1447" s="235" t="str">
        <f ca="1">IF(B1447="Complemento do insumo",V1447,IF(R1447="","",IF(B1447="serviço",R1447,IF(OR(B1447="insumo"),V1447*R1447,""))))</f>
        <v/>
      </c>
      <c r="Y1447" s="236" t="str">
        <f t="shared" si="984"/>
        <v/>
      </c>
      <c r="Z1447" s="237">
        <f t="shared" ca="1" si="1004"/>
        <v>4480.2235125421239</v>
      </c>
      <c r="AA1447" s="238"/>
      <c r="AB1447" s="233" t="str">
        <f>IF(B1447="insumo",_xlfn.XLOOKUP(S1447,Insumos!A:A,Insumos!D:D),"")</f>
        <v/>
      </c>
      <c r="AC1447" s="239">
        <f t="shared" ca="1" si="1005"/>
        <v>6.4272890998823674E-4</v>
      </c>
      <c r="AE1447" s="240">
        <f ca="1">IFERROR(IF(OR(Z1447="",Z1447=0),"",IF(AF1447="","",IF(AF1447="R$/mês",Z1447/OBRA!$D$12,IF(AF1447="R$/m²",Z1447/OBRA!$D$10,IF(AF1447="R$/apto",Orçamento!Z1447/OBRA!$D$11,""))))),"")</f>
        <v>2.3055549330455603</v>
      </c>
      <c r="AF1447" s="241" t="s">
        <v>154</v>
      </c>
    </row>
    <row r="1448" spans="1:32" s="10" customFormat="1" ht="13.15" hidden="1" customHeight="1" outlineLevel="3" collapsed="1" x14ac:dyDescent="0.2">
      <c r="A1448" s="227"/>
      <c r="B1448" s="228" t="s">
        <v>3</v>
      </c>
      <c r="C1448" s="229" t="str">
        <f t="shared" si="1003"/>
        <v/>
      </c>
      <c r="D1448" s="227" t="str">
        <f t="shared" ca="1" si="1021"/>
        <v>14.005.001</v>
      </c>
      <c r="E1448" s="228" t="str">
        <f t="shared" ca="1" si="1022"/>
        <v>14.004.003.001</v>
      </c>
      <c r="F1448" s="230">
        <f ca="1">IF($B1448="UNIDADE CONSTRUTIVA",OFFSET(F1448,-1,0)+1,LARGE(F$10:F1447,1))</f>
        <v>2</v>
      </c>
      <c r="G1448" s="228" t="str">
        <f t="shared" ref="G1448:G1456" ca="1" si="1027">IF(B1448="*","",IF(B1448="UNIDADE CONSTRUTIVA",S1448,OFFSET(G1448,-1,0)))</f>
        <v xml:space="preserve">   GERENCIAMENTO EXECUTIVO</v>
      </c>
      <c r="H1448" s="230">
        <f t="shared" ca="1" si="1023"/>
        <v>14</v>
      </c>
      <c r="I1448" s="228" t="str">
        <f t="shared" ref="I1448:I1456" ca="1" si="1028">IF(B1448="*","",IF(B1448="CÉLULA CONSTRUTIVA",S1448,OFFSET(I1448,-1,0)))</f>
        <v xml:space="preserve">   REVESTIMENTOS E ACABAMENTOS INTERNOS EM TETO</v>
      </c>
      <c r="J1448" s="230">
        <f t="shared" ca="1" si="1024"/>
        <v>5</v>
      </c>
      <c r="K1448" s="228" t="str">
        <f t="shared" ref="K1448:K1456" ca="1" si="1029">IF(B1448="*","",IF(B1448="ETAPA",S1448,OFFSET(K1448,-1,0)))</f>
        <v xml:space="preserve">   REVESTIMENTOS E ACABAMENTOS INTERNOS EM TETO - BARRILETE / CAIXA DÁGUA / CASA DE MÁQUINAS</v>
      </c>
      <c r="L1448" s="231">
        <f t="shared" ca="1" si="1025"/>
        <v>1</v>
      </c>
      <c r="M1448" s="228" t="str">
        <f t="shared" ref="M1448:M1456" ca="1" si="1030">IF(B1448="*","",IF(B1448="SUBETAPA",S1448,OFFSET(M1448,-1,0)))</f>
        <v xml:space="preserve">   Revestimento Interno Argamassado em Teto</v>
      </c>
      <c r="N1448" s="231">
        <f t="shared" ca="1" si="1026"/>
        <v>0</v>
      </c>
      <c r="O1448" s="228" t="str">
        <f t="shared" ref="O1448:O1456" ca="1" si="1031">IF(B1448="*","",IF(B1448="SERVIÇO",S1448,OFFSET(O1448,-1,0)))</f>
        <v>Mao De Obra Acabamento Em Massa Teto</v>
      </c>
      <c r="P1448" s="232" t="str">
        <f>IF(S1448="","",IF(Orçamento!$B1448="INSUMO",S1448,""))</f>
        <v/>
      </c>
      <c r="Q1448" s="244" t="str">
        <f t="shared" ref="Q1448:Q1455" si="1032">IF(B1448="","",IF(B1448="Serviço",S1448,""))</f>
        <v/>
      </c>
      <c r="R1448" s="234">
        <f t="shared" ref="R1448:R1455" ca="1" si="1033">IF(B1448="serviço",U1448,OFFSET(R1448,-1,0))</f>
        <v>16.579999999999998</v>
      </c>
      <c r="S1448" s="233" t="s">
        <v>485</v>
      </c>
      <c r="T1448" s="242" t="s">
        <v>35</v>
      </c>
      <c r="U1448" s="235" t="str">
        <f>IF($B1448="insumo",R1448,"")</f>
        <v/>
      </c>
      <c r="V1448" s="320" t="s">
        <v>35</v>
      </c>
      <c r="W1448" s="236" t="str">
        <f>IFERROR(IF(B1448="INSUMO",_xlfn.XLOOKUP(S1448,Insumos!A:A,Insumos!C:C),""),"Inserir Preço")</f>
        <v/>
      </c>
      <c r="X1448" s="235" t="str">
        <f ca="1">IF(B1448="Complemento do insumo",V1448,IF(R1448="","",IF(B1448="serviço",R1448,IF(OR(B1448="insumo"),V1448*R1448,""))))</f>
        <v/>
      </c>
      <c r="Y1448" s="236" t="str">
        <f t="shared" ref="Y1448:Y1511" si="1034">IF(B1448="insumo",W1448*V1448,IF(B1448="serviço",SUMIFS(Y:Y,B:B,"insumo",E:E,E1448,I:I,I1448),""))</f>
        <v/>
      </c>
      <c r="Z1448" s="237">
        <f t="shared" ca="1" si="1004"/>
        <v>358.20252000000005</v>
      </c>
      <c r="AA1448" s="238"/>
      <c r="AB1448" s="233" t="str">
        <f>IF(B1448="insumo",_xlfn.XLOOKUP(S1448,Insumos!A:A,Insumos!D:D),"")</f>
        <v/>
      </c>
      <c r="AC1448" s="239">
        <f t="shared" ca="1" si="1005"/>
        <v>5.1387417299635217E-5</v>
      </c>
      <c r="AE1448" s="240">
        <f ca="1">IFERROR(IF(OR(Z1448="",Z1448=0),"",IF(AF1448="","",IF(AF1448="R$/mês",Z1448/OBRA!$D$12,IF(AF1448="R$/m²",Z1448/OBRA!$D$10,IF(AF1448="R$/apto",Orçamento!Z1448/OBRA!$D$11,""))))),"")</f>
        <v>0.18433356833725295</v>
      </c>
      <c r="AF1448" s="241" t="s">
        <v>154</v>
      </c>
    </row>
    <row r="1449" spans="1:32" s="10" customFormat="1" ht="13.15" hidden="1" customHeight="1" outlineLevel="4" x14ac:dyDescent="0.2">
      <c r="A1449" s="227"/>
      <c r="B1449" s="228" t="s">
        <v>4</v>
      </c>
      <c r="C1449" s="229">
        <f t="shared" si="1003"/>
        <v>5</v>
      </c>
      <c r="D1449" s="227" t="str">
        <f t="shared" ca="1" si="1021"/>
        <v>14.005.001.001</v>
      </c>
      <c r="E1449" s="228" t="str">
        <f t="shared" ca="1" si="1022"/>
        <v>14.005.001.001</v>
      </c>
      <c r="F1449" s="230">
        <f ca="1">IF($B1449="UNIDADE CONSTRUTIVA",OFFSET(F1449,-1,0)+1,LARGE(F$10:F1448,1))</f>
        <v>2</v>
      </c>
      <c r="G1449" s="228" t="str">
        <f t="shared" ca="1" si="1027"/>
        <v xml:space="preserve">   GERENCIAMENTO EXECUTIVO</v>
      </c>
      <c r="H1449" s="230">
        <f t="shared" ca="1" si="1023"/>
        <v>14</v>
      </c>
      <c r="I1449" s="228" t="str">
        <f t="shared" ca="1" si="1028"/>
        <v xml:space="preserve">   REVESTIMENTOS E ACABAMENTOS INTERNOS EM TETO</v>
      </c>
      <c r="J1449" s="230">
        <f t="shared" ca="1" si="1024"/>
        <v>5</v>
      </c>
      <c r="K1449" s="228" t="str">
        <f t="shared" ca="1" si="1029"/>
        <v xml:space="preserve">   REVESTIMENTOS E ACABAMENTOS INTERNOS EM TETO - BARRILETE / CAIXA DÁGUA / CASA DE MÁQUINAS</v>
      </c>
      <c r="L1449" s="231">
        <f t="shared" ca="1" si="1025"/>
        <v>1</v>
      </c>
      <c r="M1449" s="228" t="str">
        <f t="shared" ca="1" si="1030"/>
        <v xml:space="preserve">   Revestimento Interno Argamassado em Teto</v>
      </c>
      <c r="N1449" s="231">
        <f t="shared" ca="1" si="1026"/>
        <v>1</v>
      </c>
      <c r="O1449" s="228" t="str">
        <f t="shared" ca="1" si="1031"/>
        <v>Chapisco de estrutura de concreto em teto</v>
      </c>
      <c r="P1449" s="232" t="str">
        <f>IF(S1449="","",IF(Orçamento!$B1449="INSUMO",S1449,""))</f>
        <v/>
      </c>
      <c r="Q1449" s="244" t="str">
        <f t="shared" si="1032"/>
        <v>Chapisco de estrutura de concreto em teto</v>
      </c>
      <c r="R1449" s="234">
        <f t="shared" ca="1" si="1033"/>
        <v>24.18</v>
      </c>
      <c r="S1449" s="233" t="s">
        <v>743</v>
      </c>
      <c r="T1449" s="242" t="s">
        <v>140</v>
      </c>
      <c r="U1449" s="235">
        <v>24.18</v>
      </c>
      <c r="V1449" s="320" t="s">
        <v>35</v>
      </c>
      <c r="W1449" s="236" t="str">
        <f>IFERROR(IF(B1449="INSUMO",_xlfn.XLOOKUP(S1449,Insumos!A:A,Insumos!C:C),""),"Inserir Preço")</f>
        <v/>
      </c>
      <c r="X1449" s="235">
        <f ca="1">IF(B1449="Complemento do insumo",V1449,IF(R1449="","",IF(B1449="serviço",R1449,IF(OR(B1449="insumo"),V1449*R1449,""))))</f>
        <v>24.18</v>
      </c>
      <c r="Y1449" s="236">
        <f t="shared" ca="1" si="1034"/>
        <v>5.5020000000000007</v>
      </c>
      <c r="Z1449" s="237">
        <f t="shared" ca="1" si="1004"/>
        <v>133.03836000000001</v>
      </c>
      <c r="AA1449" s="238"/>
      <c r="AB1449" s="233" t="str">
        <f>IF(B1449="insumo",_xlfn.XLOOKUP(S1449,Insumos!A:A,Insumos!D:D),"")</f>
        <v/>
      </c>
      <c r="AC1449" s="239">
        <f t="shared" ca="1" si="1005"/>
        <v>1.9085565679937419E-5</v>
      </c>
      <c r="AE1449" s="240">
        <f ca="1">IFERROR(IF(OR(Z1449="",Z1449=0),"",IF(AF1449="","",IF(AF1449="R$/mês",Z1449/OBRA!$D$12,IF(AF1449="R$/m²",Z1449/OBRA!$D$10,IF(AF1449="R$/apto",Orçamento!Z1449/OBRA!$D$11,""))))),"")</f>
        <v>6.8462487713754933E-2</v>
      </c>
      <c r="AF1449" s="241" t="s">
        <v>154</v>
      </c>
    </row>
    <row r="1450" spans="1:32" s="10" customFormat="1" ht="13.15" hidden="1" customHeight="1" outlineLevel="4" x14ac:dyDescent="0.2">
      <c r="A1450" s="227"/>
      <c r="B1450" s="228" t="s">
        <v>19</v>
      </c>
      <c r="C1450" s="229">
        <f t="shared" si="1003"/>
        <v>11</v>
      </c>
      <c r="D1450" s="227" t="str">
        <f t="shared" si="1021"/>
        <v/>
      </c>
      <c r="E1450" s="228" t="str">
        <f t="shared" ca="1" si="1022"/>
        <v>14.005.001.001</v>
      </c>
      <c r="F1450" s="230">
        <f ca="1">IF($B1450="UNIDADE CONSTRUTIVA",OFFSET(F1450,-1,0)+1,LARGE(F$10:F1449,1))</f>
        <v>2</v>
      </c>
      <c r="G1450" s="228" t="str">
        <f t="shared" ca="1" si="1027"/>
        <v xml:space="preserve">   GERENCIAMENTO EXECUTIVO</v>
      </c>
      <c r="H1450" s="230">
        <f t="shared" ca="1" si="1023"/>
        <v>14</v>
      </c>
      <c r="I1450" s="228" t="str">
        <f t="shared" ca="1" si="1028"/>
        <v xml:space="preserve">   REVESTIMENTOS E ACABAMENTOS INTERNOS EM TETO</v>
      </c>
      <c r="J1450" s="230">
        <f t="shared" ca="1" si="1024"/>
        <v>5</v>
      </c>
      <c r="K1450" s="228" t="str">
        <f t="shared" ca="1" si="1029"/>
        <v xml:space="preserve">   REVESTIMENTOS E ACABAMENTOS INTERNOS EM TETO - BARRILETE / CAIXA DÁGUA / CASA DE MÁQUINAS</v>
      </c>
      <c r="L1450" s="231">
        <f t="shared" ca="1" si="1025"/>
        <v>1</v>
      </c>
      <c r="M1450" s="228" t="str">
        <f t="shared" ca="1" si="1030"/>
        <v xml:space="preserve">   Revestimento Interno Argamassado em Teto</v>
      </c>
      <c r="N1450" s="231">
        <f t="shared" ca="1" si="1026"/>
        <v>1</v>
      </c>
      <c r="O1450" s="228" t="str">
        <f t="shared" ca="1" si="1031"/>
        <v>Chapisco de estrutura de concreto em teto</v>
      </c>
      <c r="P1450" s="232" t="str">
        <f>IF(S1450="","",IF(Orçamento!$B1450="INSUMO",S1450,""))</f>
        <v>CHAPISCO COLANTE 20KG</v>
      </c>
      <c r="Q1450" s="244" t="str">
        <f t="shared" si="1032"/>
        <v/>
      </c>
      <c r="R1450" s="234">
        <f t="shared" ca="1" si="1033"/>
        <v>24.18</v>
      </c>
      <c r="S1450" s="233" t="s">
        <v>1027</v>
      </c>
      <c r="T1450" s="242" t="s">
        <v>159</v>
      </c>
      <c r="U1450" s="235">
        <f ca="1">IF($B1450="insumo",R1450,"")</f>
        <v>24.18</v>
      </c>
      <c r="V1450" s="320">
        <v>4.2</v>
      </c>
      <c r="W1450" s="236">
        <f>IFERROR(IF(B1450="INSUMO",_xlfn.XLOOKUP(S1450,Insumos!A:A,Insumos!C:C),""),"Inserir Preço")</f>
        <v>1.31</v>
      </c>
      <c r="X1450" s="235">
        <f ca="1">IF(B1450="Complemento do insumo",V1450,IF(R1450="","",IF(B1450="serviço",R1450,IF(OR(B1450="insumo"),V1450*R1450,""))))</f>
        <v>101.556</v>
      </c>
      <c r="Y1450" s="236">
        <f t="shared" si="1034"/>
        <v>5.5020000000000007</v>
      </c>
      <c r="Z1450" s="237">
        <f t="shared" ca="1" si="1004"/>
        <v>133.03836000000001</v>
      </c>
      <c r="AA1450" s="238"/>
      <c r="AB1450" s="233" t="str">
        <f>IF(B1450="insumo",_xlfn.XLOOKUP(S1450,Insumos!A:A,Insumos!D:D),"")</f>
        <v xml:space="preserve"> </v>
      </c>
      <c r="AC1450" s="239">
        <f t="shared" ca="1" si="1005"/>
        <v>1.9085565679937419E-5</v>
      </c>
      <c r="AD1450" s="324"/>
      <c r="AE1450" s="240">
        <f ca="1">IFERROR(IF(OR(Z1450="",Z1450=0),"",IF(AF1450="","",IF(AF1450="R$/mês",Z1450/OBRA!$D$12,IF(AF1450="R$/m²",Z1450/OBRA!$D$10,IF(AF1450="R$/apto",Orçamento!Z1450/OBRA!$D$11,""))))),"")</f>
        <v>6.8462487713754933E-2</v>
      </c>
      <c r="AF1450" s="241" t="s">
        <v>154</v>
      </c>
    </row>
    <row r="1451" spans="1:32" s="10" customFormat="1" ht="13.15" hidden="1" customHeight="1" outlineLevel="4" x14ac:dyDescent="0.2">
      <c r="A1451" s="227"/>
      <c r="B1451" s="228" t="s">
        <v>4</v>
      </c>
      <c r="C1451" s="229">
        <f t="shared" si="1003"/>
        <v>5</v>
      </c>
      <c r="D1451" s="227" t="str">
        <f t="shared" ca="1" si="1021"/>
        <v>14.005.001.002</v>
      </c>
      <c r="E1451" s="228" t="str">
        <f t="shared" ca="1" si="1022"/>
        <v>14.005.001.002</v>
      </c>
      <c r="F1451" s="230">
        <f ca="1">IF($B1451="UNIDADE CONSTRUTIVA",OFFSET(F1451,-1,0)+1,LARGE(F$10:F1450,1))</f>
        <v>2</v>
      </c>
      <c r="G1451" s="228" t="str">
        <f t="shared" ca="1" si="1027"/>
        <v xml:space="preserve">   GERENCIAMENTO EXECUTIVO</v>
      </c>
      <c r="H1451" s="230">
        <f t="shared" ca="1" si="1023"/>
        <v>14</v>
      </c>
      <c r="I1451" s="228" t="str">
        <f t="shared" ca="1" si="1028"/>
        <v xml:space="preserve">   REVESTIMENTOS E ACABAMENTOS INTERNOS EM TETO</v>
      </c>
      <c r="J1451" s="230">
        <f t="shared" ca="1" si="1024"/>
        <v>5</v>
      </c>
      <c r="K1451" s="228" t="str">
        <f t="shared" ca="1" si="1029"/>
        <v xml:space="preserve">   REVESTIMENTOS E ACABAMENTOS INTERNOS EM TETO - BARRILETE / CAIXA DÁGUA / CASA DE MÁQUINAS</v>
      </c>
      <c r="L1451" s="231">
        <f t="shared" ca="1" si="1025"/>
        <v>1</v>
      </c>
      <c r="M1451" s="228" t="str">
        <f t="shared" ca="1" si="1030"/>
        <v xml:space="preserve">   Revestimento Interno Argamassado em Teto</v>
      </c>
      <c r="N1451" s="231">
        <f t="shared" ca="1" si="1026"/>
        <v>2</v>
      </c>
      <c r="O1451" s="228" t="str">
        <f t="shared" ca="1" si="1031"/>
        <v>Massa unica para reboco interno em argamassa estabilizada, de estrutura de concreto em teto</v>
      </c>
      <c r="P1451" s="232" t="str">
        <f>IF(S1451="","",IF(Orçamento!$B1451="INSUMO",S1451,""))</f>
        <v/>
      </c>
      <c r="Q1451" s="244" t="str">
        <f t="shared" si="1032"/>
        <v>Massa unica para reboco interno em argamassa estabilizada, de estrutura de concreto em teto</v>
      </c>
      <c r="R1451" s="234">
        <f t="shared" ca="1" si="1033"/>
        <v>24.18</v>
      </c>
      <c r="S1451" s="233" t="s">
        <v>744</v>
      </c>
      <c r="T1451" s="242" t="s">
        <v>140</v>
      </c>
      <c r="U1451" s="235">
        <v>24.18</v>
      </c>
      <c r="V1451" s="320" t="s">
        <v>35</v>
      </c>
      <c r="W1451" s="236" t="str">
        <f>IFERROR(IF(B1451="INSUMO",_xlfn.XLOOKUP(S1451,Insumos!A:A,Insumos!C:C),""),"Inserir Preço")</f>
        <v/>
      </c>
      <c r="X1451" s="235">
        <f t="shared" ref="X1451:X1457" ca="1" si="1035">IF(B1451="Complemento do insumo",V1451,IF(R1451="","",IF(B1451="serviço",R1451,IF(OR(B1451="insumo"),V1451*R1451,""))))</f>
        <v>24.18</v>
      </c>
      <c r="Y1451" s="236">
        <f t="shared" ca="1" si="1034"/>
        <v>9.3120000000000012</v>
      </c>
      <c r="Z1451" s="237">
        <f t="shared" ca="1" si="1004"/>
        <v>225.16416000000004</v>
      </c>
      <c r="AA1451" s="238"/>
      <c r="AB1451" s="233" t="str">
        <f>IF(B1451="insumo",_xlfn.XLOOKUP(S1451,Insumos!A:A,Insumos!D:D),"")</f>
        <v/>
      </c>
      <c r="AC1451" s="239">
        <f t="shared" ca="1" si="1005"/>
        <v>3.2301851619697797E-5</v>
      </c>
      <c r="AE1451" s="240">
        <f ca="1">IFERROR(IF(OR(Z1451="",Z1451=0),"",IF(AF1451="","",IF(AF1451="R$/mês",Z1451/OBRA!$D$12,IF(AF1451="R$/m²",Z1451/OBRA!$D$10,IF(AF1451="R$/apto",Orçamento!Z1451/OBRA!$D$11,""))))),"")</f>
        <v>0.115871080623498</v>
      </c>
      <c r="AF1451" s="241" t="s">
        <v>154</v>
      </c>
    </row>
    <row r="1452" spans="1:32" s="10" customFormat="1" ht="13.15" hidden="1" customHeight="1" outlineLevel="4" x14ac:dyDescent="0.2">
      <c r="A1452" s="227"/>
      <c r="B1452" s="228" t="s">
        <v>19</v>
      </c>
      <c r="C1452" s="229">
        <f t="shared" si="1003"/>
        <v>11</v>
      </c>
      <c r="D1452" s="227" t="str">
        <f t="shared" si="1021"/>
        <v/>
      </c>
      <c r="E1452" s="228" t="str">
        <f t="shared" ca="1" si="1022"/>
        <v>14.005.001.002</v>
      </c>
      <c r="F1452" s="230">
        <f ca="1">IF($B1452="UNIDADE CONSTRUTIVA",OFFSET(F1452,-1,0)+1,LARGE(F$10:F1451,1))</f>
        <v>2</v>
      </c>
      <c r="G1452" s="228" t="str">
        <f t="shared" ca="1" si="1027"/>
        <v xml:space="preserve">   GERENCIAMENTO EXECUTIVO</v>
      </c>
      <c r="H1452" s="230">
        <f t="shared" ca="1" si="1023"/>
        <v>14</v>
      </c>
      <c r="I1452" s="228" t="str">
        <f t="shared" ca="1" si="1028"/>
        <v xml:space="preserve">   REVESTIMENTOS E ACABAMENTOS INTERNOS EM TETO</v>
      </c>
      <c r="J1452" s="230">
        <f t="shared" ca="1" si="1024"/>
        <v>5</v>
      </c>
      <c r="K1452" s="228" t="str">
        <f t="shared" ca="1" si="1029"/>
        <v xml:space="preserve">   REVESTIMENTOS E ACABAMENTOS INTERNOS EM TETO - BARRILETE / CAIXA DÁGUA / CASA DE MÁQUINAS</v>
      </c>
      <c r="L1452" s="231">
        <f t="shared" ca="1" si="1025"/>
        <v>1</v>
      </c>
      <c r="M1452" s="228" t="str">
        <f t="shared" ca="1" si="1030"/>
        <v xml:space="preserve">   Revestimento Interno Argamassado em Teto</v>
      </c>
      <c r="N1452" s="231">
        <f t="shared" ca="1" si="1026"/>
        <v>2</v>
      </c>
      <c r="O1452" s="228" t="str">
        <f t="shared" ca="1" si="1031"/>
        <v>Massa unica para reboco interno em argamassa estabilizada, de estrutura de concreto em teto</v>
      </c>
      <c r="P1452" s="232" t="str">
        <f>IF(S1452="","",IF(Orçamento!$B1452="INSUMO",S1452,""))</f>
        <v>ARGAMASSA ESTABILIZADA PARA REBOCO</v>
      </c>
      <c r="Q1452" s="244" t="str">
        <f t="shared" si="1032"/>
        <v/>
      </c>
      <c r="R1452" s="234">
        <f t="shared" ca="1" si="1033"/>
        <v>24.18</v>
      </c>
      <c r="S1452" s="233" t="s">
        <v>256</v>
      </c>
      <c r="T1452" s="242" t="str">
        <f>_xlfn.XLOOKUP(S1452,Insumos!$A$3:$A$371,Insumos!$B$3:$B$371)</f>
        <v>M3</v>
      </c>
      <c r="U1452" s="235">
        <f t="shared" ref="U1452:U1458" ca="1" si="1036">IF($B1452="insumo",R1452,"")</f>
        <v>24.18</v>
      </c>
      <c r="V1452" s="320">
        <v>1.9400000000000001E-2</v>
      </c>
      <c r="W1452" s="236">
        <f>IFERROR(IF(B1452="INSUMO",_xlfn.XLOOKUP(S1452,Insumos!A:A,Insumos!C:C),""),"Inserir Preço")</f>
        <v>480</v>
      </c>
      <c r="X1452" s="235">
        <f t="shared" ca="1" si="1035"/>
        <v>0.46909200000000001</v>
      </c>
      <c r="Y1452" s="236">
        <f t="shared" si="1034"/>
        <v>9.3120000000000012</v>
      </c>
      <c r="Z1452" s="237">
        <f t="shared" ca="1" si="1004"/>
        <v>225.16416000000001</v>
      </c>
      <c r="AA1452" s="238"/>
      <c r="AB1452" s="233" t="str">
        <f>IF(B1452="insumo",_xlfn.XLOOKUP(S1452,Insumos!A:A,Insumos!D:D),"")</f>
        <v xml:space="preserve"> </v>
      </c>
      <c r="AC1452" s="239">
        <f t="shared" ca="1" si="1005"/>
        <v>3.2301851619697791E-5</v>
      </c>
      <c r="AE1452" s="240">
        <f ca="1">IFERROR(IF(OR(Z1452="",Z1452=0),"",IF(AF1452="","",IF(AF1452="R$/mês",Z1452/OBRA!$D$12,IF(AF1452="R$/m²",Z1452/OBRA!$D$10,IF(AF1452="R$/apto",Orçamento!Z1452/OBRA!$D$11,""))))),"")</f>
        <v>0.11587108062349799</v>
      </c>
      <c r="AF1452" s="241" t="s">
        <v>154</v>
      </c>
    </row>
    <row r="1453" spans="1:32" s="10" customFormat="1" ht="13.15" hidden="1" customHeight="1" outlineLevel="3" collapsed="1" x14ac:dyDescent="0.2">
      <c r="A1453" s="227"/>
      <c r="B1453" s="228" t="s">
        <v>3</v>
      </c>
      <c r="C1453" s="229" t="str">
        <f t="shared" si="1003"/>
        <v/>
      </c>
      <c r="D1453" s="227" t="str">
        <f t="shared" ca="1" si="1021"/>
        <v>14.005.002</v>
      </c>
      <c r="E1453" s="228" t="str">
        <f t="shared" ca="1" si="1022"/>
        <v>14.005.001.002</v>
      </c>
      <c r="F1453" s="230">
        <f ca="1">IF($B1453="UNIDADE CONSTRUTIVA",OFFSET(F1453,-1,0)+1,LARGE(F$10:F1452,1))</f>
        <v>2</v>
      </c>
      <c r="G1453" s="228" t="str">
        <f t="shared" ca="1" si="1027"/>
        <v xml:space="preserve">   GERENCIAMENTO EXECUTIVO</v>
      </c>
      <c r="H1453" s="230">
        <f t="shared" ca="1" si="1023"/>
        <v>14</v>
      </c>
      <c r="I1453" s="228" t="str">
        <f t="shared" ca="1" si="1028"/>
        <v xml:space="preserve">   REVESTIMENTOS E ACABAMENTOS INTERNOS EM TETO</v>
      </c>
      <c r="J1453" s="230">
        <f t="shared" ca="1" si="1024"/>
        <v>5</v>
      </c>
      <c r="K1453" s="228" t="str">
        <f t="shared" ca="1" si="1029"/>
        <v xml:space="preserve">   REVESTIMENTOS E ACABAMENTOS INTERNOS EM TETO - BARRILETE / CAIXA DÁGUA / CASA DE MÁQUINAS</v>
      </c>
      <c r="L1453" s="231">
        <f t="shared" ca="1" si="1025"/>
        <v>2</v>
      </c>
      <c r="M1453" s="228" t="str">
        <f t="shared" ca="1" si="1030"/>
        <v xml:space="preserve">   Mão de Obra</v>
      </c>
      <c r="N1453" s="231">
        <f t="shared" ca="1" si="1026"/>
        <v>0</v>
      </c>
      <c r="O1453" s="228" t="str">
        <f t="shared" ca="1" si="1031"/>
        <v>Massa unica para reboco interno em argamassa estabilizada, de estrutura de concreto em teto</v>
      </c>
      <c r="P1453" s="232" t="str">
        <f>IF(S1453="","",IF(Orçamento!$B1453="INSUMO",S1453,""))</f>
        <v/>
      </c>
      <c r="Q1453" s="244" t="str">
        <f t="shared" si="1032"/>
        <v/>
      </c>
      <c r="R1453" s="234">
        <f t="shared" ca="1" si="1033"/>
        <v>24.18</v>
      </c>
      <c r="S1453" s="233" t="s">
        <v>438</v>
      </c>
      <c r="T1453" s="242" t="s">
        <v>35</v>
      </c>
      <c r="U1453" s="235" t="str">
        <f t="shared" si="1036"/>
        <v/>
      </c>
      <c r="V1453" s="320" t="s">
        <v>35</v>
      </c>
      <c r="W1453" s="236" t="str">
        <f>IFERROR(IF(B1453="INSUMO",_xlfn.XLOOKUP(S1453,Insumos!A:A,Insumos!C:C),""),"Inserir Preço")</f>
        <v/>
      </c>
      <c r="X1453" s="235" t="str">
        <f t="shared" ca="1" si="1035"/>
        <v/>
      </c>
      <c r="Y1453" s="236" t="str">
        <f t="shared" si="1034"/>
        <v/>
      </c>
      <c r="Z1453" s="237">
        <f t="shared" ca="1" si="1004"/>
        <v>4122.0209925421241</v>
      </c>
      <c r="AA1453" s="238"/>
      <c r="AB1453" s="233" t="str">
        <f>IF(B1453="insumo",_xlfn.XLOOKUP(S1453,Insumos!A:A,Insumos!D:D),"")</f>
        <v/>
      </c>
      <c r="AC1453" s="239">
        <f t="shared" ca="1" si="1005"/>
        <v>5.9134149268860151E-4</v>
      </c>
      <c r="AE1453" s="240">
        <f ca="1">IFERROR(IF(OR(Z1453="",Z1453=0),"",IF(AF1453="","",IF(AF1453="R$/mês",Z1453/OBRA!$D$12,IF(AF1453="R$/m²",Z1453/OBRA!$D$10,IF(AF1453="R$/apto",Orçamento!Z1453/OBRA!$D$11,""))))),"")</f>
        <v>2.1212213647083074</v>
      </c>
      <c r="AF1453" s="241" t="s">
        <v>154</v>
      </c>
    </row>
    <row r="1454" spans="1:32" s="10" customFormat="1" ht="13.15" hidden="1" customHeight="1" outlineLevel="4" x14ac:dyDescent="0.2">
      <c r="A1454" s="227"/>
      <c r="B1454" s="228" t="s">
        <v>4</v>
      </c>
      <c r="C1454" s="229">
        <f t="shared" si="1003"/>
        <v>5</v>
      </c>
      <c r="D1454" s="227" t="str">
        <f t="shared" ca="1" si="1021"/>
        <v>14.005.002.001</v>
      </c>
      <c r="E1454" s="228" t="str">
        <f t="shared" ca="1" si="1022"/>
        <v>14.005.002.001</v>
      </c>
      <c r="F1454" s="230">
        <f ca="1">IF($B1454="UNIDADE CONSTRUTIVA",OFFSET(F1454,-1,0)+1,LARGE(F$10:F1453,1))</f>
        <v>2</v>
      </c>
      <c r="G1454" s="228" t="str">
        <f t="shared" ca="1" si="1027"/>
        <v xml:space="preserve">   GERENCIAMENTO EXECUTIVO</v>
      </c>
      <c r="H1454" s="230">
        <f t="shared" ca="1" si="1023"/>
        <v>14</v>
      </c>
      <c r="I1454" s="228" t="str">
        <f t="shared" ca="1" si="1028"/>
        <v xml:space="preserve">   REVESTIMENTOS E ACABAMENTOS INTERNOS EM TETO</v>
      </c>
      <c r="J1454" s="230">
        <f t="shared" ca="1" si="1024"/>
        <v>5</v>
      </c>
      <c r="K1454" s="228" t="str">
        <f t="shared" ca="1" si="1029"/>
        <v xml:space="preserve">   REVESTIMENTOS E ACABAMENTOS INTERNOS EM TETO - BARRILETE / CAIXA DÁGUA / CASA DE MÁQUINAS</v>
      </c>
      <c r="L1454" s="231">
        <f t="shared" ca="1" si="1025"/>
        <v>2</v>
      </c>
      <c r="M1454" s="228" t="str">
        <f t="shared" ca="1" si="1030"/>
        <v xml:space="preserve">   Mão de Obra</v>
      </c>
      <c r="N1454" s="231">
        <f t="shared" ca="1" si="1026"/>
        <v>1</v>
      </c>
      <c r="O1454" s="228" t="str">
        <f t="shared" ca="1" si="1031"/>
        <v>Mao De Obra Acabamento Em Massa Teto</v>
      </c>
      <c r="P1454" s="232" t="str">
        <f>IF(S1454="","",IF(Orçamento!$B1454="INSUMO",S1454,""))</f>
        <v/>
      </c>
      <c r="Q1454" s="244" t="str">
        <f t="shared" si="1032"/>
        <v>Mao De Obra Acabamento Em Massa Teto</v>
      </c>
      <c r="R1454" s="234">
        <f t="shared" ca="1" si="1033"/>
        <v>24.18</v>
      </c>
      <c r="S1454" s="233" t="s">
        <v>1044</v>
      </c>
      <c r="T1454" s="242" t="s">
        <v>140</v>
      </c>
      <c r="U1454" s="235">
        <f>U1451</f>
        <v>24.18</v>
      </c>
      <c r="V1454" s="320" t="s">
        <v>35</v>
      </c>
      <c r="W1454" s="236" t="str">
        <f>IFERROR(IF(B1454="INSUMO",_xlfn.XLOOKUP(S1454,Insumos!A:A,Insumos!C:C),""),"Inserir Preço")</f>
        <v/>
      </c>
      <c r="X1454" s="235">
        <f t="shared" ca="1" si="1035"/>
        <v>24.18</v>
      </c>
      <c r="Y1454" s="236">
        <f t="shared" ca="1" si="1034"/>
        <v>170.47233219777189</v>
      </c>
      <c r="Z1454" s="237">
        <f t="shared" ca="1" si="1004"/>
        <v>4122.0209925421241</v>
      </c>
      <c r="AA1454" s="238"/>
      <c r="AB1454" s="233" t="str">
        <f>IF(B1454="insumo",_xlfn.XLOOKUP(S1454,Insumos!A:A,Insumos!D:D),"")</f>
        <v/>
      </c>
      <c r="AC1454" s="239">
        <f t="shared" ca="1" si="1005"/>
        <v>5.9134149268860151E-4</v>
      </c>
      <c r="AE1454" s="240">
        <f ca="1">IFERROR(IF(OR(Z1454="",Z1454=0),"",IF(AF1454="","",IF(AF1454="R$/mês",Z1454/OBRA!$D$12,IF(AF1454="R$/m²",Z1454/OBRA!$D$10,IF(AF1454="R$/apto",Orçamento!Z1454/OBRA!$D$11,""))))),"")</f>
        <v>2.1212213647083074</v>
      </c>
      <c r="AF1454" s="241" t="s">
        <v>154</v>
      </c>
    </row>
    <row r="1455" spans="1:32" s="10" customFormat="1" ht="13.15" hidden="1" customHeight="1" outlineLevel="4" x14ac:dyDescent="0.2">
      <c r="A1455" s="227"/>
      <c r="B1455" s="228" t="s">
        <v>19</v>
      </c>
      <c r="C1455" s="229">
        <f t="shared" si="1003"/>
        <v>5</v>
      </c>
      <c r="D1455" s="227" t="str">
        <f t="shared" si="1021"/>
        <v/>
      </c>
      <c r="E1455" s="228" t="str">
        <f t="shared" ca="1" si="1022"/>
        <v>14.005.002.001</v>
      </c>
      <c r="F1455" s="230">
        <f ca="1">IF($B1455="UNIDADE CONSTRUTIVA",OFFSET(F1455,-1,0)+1,LARGE(F$10:F1454,1))</f>
        <v>2</v>
      </c>
      <c r="G1455" s="228" t="str">
        <f t="shared" ca="1" si="1027"/>
        <v xml:space="preserve">   GERENCIAMENTO EXECUTIVO</v>
      </c>
      <c r="H1455" s="230">
        <f t="shared" ca="1" si="1023"/>
        <v>14</v>
      </c>
      <c r="I1455" s="228" t="str">
        <f t="shared" ca="1" si="1028"/>
        <v xml:space="preserve">   REVESTIMENTOS E ACABAMENTOS INTERNOS EM TETO</v>
      </c>
      <c r="J1455" s="230">
        <f t="shared" ca="1" si="1024"/>
        <v>5</v>
      </c>
      <c r="K1455" s="228" t="str">
        <f t="shared" ca="1" si="1029"/>
        <v xml:space="preserve">   REVESTIMENTOS E ACABAMENTOS INTERNOS EM TETO - BARRILETE / CAIXA DÁGUA / CASA DE MÁQUINAS</v>
      </c>
      <c r="L1455" s="231">
        <f t="shared" ca="1" si="1025"/>
        <v>2</v>
      </c>
      <c r="M1455" s="228" t="str">
        <f t="shared" ca="1" si="1030"/>
        <v xml:space="preserve">   Mão de Obra</v>
      </c>
      <c r="N1455" s="231">
        <f t="shared" ca="1" si="1026"/>
        <v>1</v>
      </c>
      <c r="O1455" s="228" t="str">
        <f t="shared" ca="1" si="1031"/>
        <v>Mao De Obra Acabamento Em Massa Teto</v>
      </c>
      <c r="P1455" s="232" t="str">
        <f>IF(S1455="","",IF(Orçamento!$B1455="INSUMO",S1455,""))</f>
        <v>MAO DE OBRA PARA EMASSAMENTO EM TETO</v>
      </c>
      <c r="Q1455" s="244" t="str">
        <f t="shared" si="1032"/>
        <v/>
      </c>
      <c r="R1455" s="234">
        <f t="shared" ca="1" si="1033"/>
        <v>24.18</v>
      </c>
      <c r="S1455" s="233" t="s">
        <v>874</v>
      </c>
      <c r="T1455" s="242" t="str">
        <f>_xlfn.XLOOKUP(S1455,Insumos!$A$3:$A$371,Insumos!$B$3:$B$371)</f>
        <v>M2</v>
      </c>
      <c r="U1455" s="235">
        <f ca="1">IF($B1455="insumo",R1455,"")</f>
        <v>24.18</v>
      </c>
      <c r="V1455" s="320">
        <v>1</v>
      </c>
      <c r="W1455" s="236">
        <f>IFERROR(IF(B1455="INSUMO",_xlfn.XLOOKUP(S1455,Insumos!A:A,Insumos!C:C),""),"Inserir Preço")</f>
        <v>170.47233219777189</v>
      </c>
      <c r="X1455" s="235">
        <f t="shared" ca="1" si="1035"/>
        <v>24.18</v>
      </c>
      <c r="Y1455" s="236">
        <f t="shared" si="1034"/>
        <v>170.47233219777189</v>
      </c>
      <c r="Z1455" s="237">
        <f t="shared" ca="1" si="1004"/>
        <v>4122.0209925421241</v>
      </c>
      <c r="AA1455" s="238"/>
      <c r="AB1455" s="233" t="str">
        <f>IF(B1455="insumo",_xlfn.XLOOKUP(S1455,Insumos!A:A,Insumos!D:D),"")</f>
        <v>Aba Custo Serviços</v>
      </c>
      <c r="AC1455" s="239">
        <f t="shared" ca="1" si="1005"/>
        <v>5.9134149268860151E-4</v>
      </c>
      <c r="AE1455" s="240">
        <f ca="1">IFERROR(IF(OR(Z1455="",Z1455=0),"",IF(AF1455="","",IF(AF1455="R$/mês",Z1455/OBRA!$D$12,IF(AF1455="R$/m²",Z1455/OBRA!$D$10,IF(AF1455="R$/apto",Orçamento!Z1455/OBRA!$D$11,""))))),"")</f>
        <v>2.1212213647083074</v>
      </c>
      <c r="AF1455" s="241" t="s">
        <v>154</v>
      </c>
    </row>
    <row r="1456" spans="1:32" s="10" customFormat="1" ht="13.15" customHeight="1" outlineLevel="1" x14ac:dyDescent="0.2">
      <c r="A1456" s="227"/>
      <c r="B1456" s="228" t="s">
        <v>1</v>
      </c>
      <c r="C1456" s="229" t="str">
        <f t="shared" si="1003"/>
        <v/>
      </c>
      <c r="D1456" s="227" t="str">
        <f t="shared" ca="1" si="1021"/>
        <v>15</v>
      </c>
      <c r="E1456" s="228" t="str">
        <f ca="1">IF(B1456="*","",IFERROR(IF(B1456="SERVIÇO",D1456,OFFSET(E1456,-1,0)),""))</f>
        <v>14.005.002.001</v>
      </c>
      <c r="F1456" s="230">
        <f ca="1">IF($B1456="UNIDADE CONSTRUTIVA",OFFSET(F1456,-1,0)+1,LARGE(F$10:F1455,1))</f>
        <v>2</v>
      </c>
      <c r="G1456" s="228" t="str">
        <f t="shared" ca="1" si="1027"/>
        <v xml:space="preserve">   GERENCIAMENTO EXECUTIVO</v>
      </c>
      <c r="H1456" s="230">
        <f ca="1">IF(B1456="UNIDADE CONSTRUTIVA",0,IF(B1456="CÉLULA CONSTRUTIVA",OFFSET(H1456,-1,0)+1,OFFSET(H1456,-1,0)))</f>
        <v>15</v>
      </c>
      <c r="I1456" s="228" t="str">
        <f t="shared" ca="1" si="1028"/>
        <v xml:space="preserve">   PISOS E PAVIMENTAÇÕES</v>
      </c>
      <c r="J1456" s="230">
        <f ca="1">IF(B1456="CÉLULA CONSTRUTIVA",0,IF(B1456="ETAPA",OFFSET(J1456,-1,0)+1,OFFSET(J1456,-1,0)))</f>
        <v>0</v>
      </c>
      <c r="K1456" s="228" t="str">
        <f t="shared" ca="1" si="1029"/>
        <v xml:space="preserve">   REVESTIMENTOS E ACABAMENTOS INTERNOS EM TETO - BARRILETE / CAIXA DÁGUA / CASA DE MÁQUINAS</v>
      </c>
      <c r="L1456" s="231">
        <f ca="1">IF(B1456="ETAPA",0,IF(B1456="SUBETAPA",OFFSET(L1456,-1,0)+1,OFFSET(L1456,-1,0)))</f>
        <v>2</v>
      </c>
      <c r="M1456" s="228" t="str">
        <f t="shared" ca="1" si="1030"/>
        <v xml:space="preserve">   Mão de Obra</v>
      </c>
      <c r="N1456" s="231">
        <f ca="1">IF(B1456="Subetapa",0,IF(B1456="serviço",OFFSET(N1456,-1,0)+1,OFFSET(N1456,-1,0)))</f>
        <v>1</v>
      </c>
      <c r="O1456" s="228" t="str">
        <f t="shared" ca="1" si="1031"/>
        <v>Mao De Obra Acabamento Em Massa Teto</v>
      </c>
      <c r="P1456" s="232" t="str">
        <f>IF(S1456="","",IF(Orçamento!$B1456="INSUMO",S1456,""))</f>
        <v/>
      </c>
      <c r="Q1456" s="244" t="str">
        <f t="shared" si="1011"/>
        <v/>
      </c>
      <c r="R1456" s="234">
        <f ca="1">IF(B1456="serviço",U1456,OFFSET(R1456,-1,0))</f>
        <v>24.18</v>
      </c>
      <c r="S1456" s="233" t="s">
        <v>719</v>
      </c>
      <c r="T1456" s="242" t="s">
        <v>35</v>
      </c>
      <c r="U1456" s="235" t="str">
        <f t="shared" si="1036"/>
        <v/>
      </c>
      <c r="V1456" s="320" t="s">
        <v>35</v>
      </c>
      <c r="W1456" s="236" t="str">
        <f>IFERROR(IF(B1456="INSUMO",_xlfn.XLOOKUP(S1456,Insumos!A:A,Insumos!C:C),""),"Inserir Preço")</f>
        <v/>
      </c>
      <c r="X1456" s="235" t="str">
        <f t="shared" ca="1" si="1035"/>
        <v/>
      </c>
      <c r="Y1456" s="236" t="str">
        <f t="shared" si="1034"/>
        <v/>
      </c>
      <c r="Z1456" s="237">
        <f t="shared" ca="1" si="1004"/>
        <v>446389.87919478002</v>
      </c>
      <c r="AA1456" s="238"/>
      <c r="AB1456" s="233" t="str">
        <f>IF(B1456="insumo",_xlfn.XLOOKUP(S1456,Insumos!A:A,Insumos!D:D),"")</f>
        <v/>
      </c>
      <c r="AC1456" s="239">
        <f t="shared" ca="1" si="1005"/>
        <v>6.4038697998316463E-2</v>
      </c>
      <c r="AE1456" s="240">
        <f ca="1">IFERROR(IF(OR(Z1456="",Z1456=0),"",IF(AF1456="","",IF(AF1456="R$/mês",Z1456/OBRA!$D$12,IF(AF1456="R$/m²",Z1456/OBRA!$D$10,IF(AF1456="R$/apto",Orçamento!Z1456/OBRA!$D$11,""))))),"")</f>
        <v>229.71541155436054</v>
      </c>
      <c r="AF1456" s="241" t="s">
        <v>154</v>
      </c>
    </row>
    <row r="1457" spans="1:32" s="10" customFormat="1" ht="13.15" customHeight="1" outlineLevel="2" collapsed="1" x14ac:dyDescent="0.2">
      <c r="A1457" s="227"/>
      <c r="B1457" s="228" t="s">
        <v>2</v>
      </c>
      <c r="C1457" s="229" t="str">
        <f t="shared" si="1003"/>
        <v/>
      </c>
      <c r="D1457" s="227" t="str">
        <f t="shared" ca="1" si="1021"/>
        <v>15.001</v>
      </c>
      <c r="E1457" s="228" t="str">
        <f t="shared" ca="1" si="1022"/>
        <v>14.005.002.001</v>
      </c>
      <c r="F1457" s="230">
        <f ca="1">IF($B1457="UNIDADE CONSTRUTIVA",OFFSET(F1457,-1,0)+1,LARGE(F$10:F1456,1))</f>
        <v>2</v>
      </c>
      <c r="G1457" s="228" t="str">
        <f ca="1">IF(B1457="*","",IF(B1457="UNIDADE CONSTRUTIVA",S1457,OFFSET(G1457,-1,0)))</f>
        <v xml:space="preserve">   GERENCIAMENTO EXECUTIVO</v>
      </c>
      <c r="H1457" s="230">
        <f t="shared" ca="1" si="1023"/>
        <v>15</v>
      </c>
      <c r="I1457" s="228" t="str">
        <f ca="1">IF(B1457="*","",IF(B1457="CÉLULA CONSTRUTIVA",S1457,OFFSET(I1457,-1,0)))</f>
        <v xml:space="preserve">   PISOS E PAVIMENTAÇÕES</v>
      </c>
      <c r="J1457" s="230">
        <f t="shared" ca="1" si="1024"/>
        <v>1</v>
      </c>
      <c r="K1457" s="228" t="str">
        <f ca="1">IF(B1457="*","",IF(B1457="ETAPA",S1457,OFFSET(K1457,-1,0)))</f>
        <v xml:space="preserve">   PISOS E PAVIMENTAÇÕES - 1º PAVIMENTO - SUBSOLO</v>
      </c>
      <c r="L1457" s="231">
        <f t="shared" ca="1" si="1025"/>
        <v>0</v>
      </c>
      <c r="M1457" s="228" t="str">
        <f ca="1">IF(B1457="*","",IF(B1457="SUBETAPA",S1457,OFFSET(M1457,-1,0)))</f>
        <v xml:space="preserve">   Mão de Obra</v>
      </c>
      <c r="N1457" s="231">
        <f t="shared" ca="1" si="1026"/>
        <v>1</v>
      </c>
      <c r="O1457" s="228" t="str">
        <f ca="1">IF(B1457="*","",IF(B1457="SERVIÇO",S1457,OFFSET(O1457,-1,0)))</f>
        <v>Mao De Obra Acabamento Em Massa Teto</v>
      </c>
      <c r="P1457" s="232" t="str">
        <f>IF(S1457="","",IF(Orçamento!$B1457="INSUMO",S1457,""))</f>
        <v/>
      </c>
      <c r="Q1457" s="244" t="str">
        <f t="shared" si="1011"/>
        <v/>
      </c>
      <c r="R1457" s="234">
        <f ca="1">IF(B1457="serviço",U1457,OFFSET(R1457,-1,0))</f>
        <v>24.18</v>
      </c>
      <c r="S1457" s="233" t="s">
        <v>720</v>
      </c>
      <c r="T1457" s="242" t="s">
        <v>35</v>
      </c>
      <c r="U1457" s="235" t="str">
        <f t="shared" si="1036"/>
        <v/>
      </c>
      <c r="V1457" s="320" t="s">
        <v>35</v>
      </c>
      <c r="W1457" s="236" t="str">
        <f>IFERROR(IF(B1457="INSUMO",_xlfn.XLOOKUP(S1457,Insumos!A:A,Insumos!C:C),""),"Inserir Preço")</f>
        <v/>
      </c>
      <c r="X1457" s="235" t="str">
        <f t="shared" ca="1" si="1035"/>
        <v/>
      </c>
      <c r="Y1457" s="236" t="str">
        <f t="shared" si="1034"/>
        <v/>
      </c>
      <c r="Z1457" s="237">
        <f t="shared" ca="1" si="1004"/>
        <v>70005.620114043049</v>
      </c>
      <c r="AA1457" s="238"/>
      <c r="AB1457" s="233" t="str">
        <f>IF(B1457="insumo",_xlfn.XLOOKUP(S1457,Insumos!A:A,Insumos!D:D),"")</f>
        <v/>
      </c>
      <c r="AC1457" s="239">
        <f t="shared" ca="1" si="1005"/>
        <v>1.0042944460915759E-2</v>
      </c>
      <c r="AE1457" s="240">
        <f ca="1">IFERROR(IF(OR(Z1457="",Z1457=0),"",IF(AF1457="","",IF(AF1457="R$/mês",Z1457/OBRA!$D$12,IF(AF1457="R$/m²",Z1457/OBRA!$D$10,IF(AF1457="R$/apto",Orçamento!Z1457/OBRA!$D$11,""))))),"")</f>
        <v>36.025390774145649</v>
      </c>
      <c r="AF1457" s="241" t="s">
        <v>154</v>
      </c>
    </row>
    <row r="1458" spans="1:32" s="10" customFormat="1" ht="13.15" hidden="1" customHeight="1" outlineLevel="3" collapsed="1" x14ac:dyDescent="0.2">
      <c r="A1458" s="227"/>
      <c r="B1458" s="228" t="s">
        <v>3</v>
      </c>
      <c r="C1458" s="229" t="str">
        <f t="shared" si="1003"/>
        <v/>
      </c>
      <c r="D1458" s="227" t="str">
        <f t="shared" ref="D1458:D1464" ca="1" si="1037">IF(B1458="Unidade Construtiva",TEXT(F1458,"00"),IF(B1458="Célula Construtiva",TEXT(H1458,"00"),IF(B1458="Etapa",CONCATENATE(TEXT(H1458,"00"),".",TEXT(J1458,"000")),IF(B1458="Subetapa",CONCATENATE(TEXT(H1458,"00"),".",TEXT(J1458,"000"),".",TEXT(L1458,"000")),IF(B1458="Serviço",CONCATENATE(TEXT(H1458,"00"),".",TEXT(J1458,"000"),".",TEXT(L1458,"000"),".",TEXT(N1458,"000")),"")))))</f>
        <v>15.001.001</v>
      </c>
      <c r="E1458" s="228" t="str">
        <f t="shared" ref="E1458:E1464" ca="1" si="1038">IF(B1458="*","",IFERROR(IF(B1458="SERVIÇO",D1458,OFFSET(E1458,-1,0)),""))</f>
        <v>14.005.002.001</v>
      </c>
      <c r="F1458" s="230">
        <f ca="1">IF($B1458="UNIDADE CONSTRUTIVA",OFFSET(F1458,-1,0)+1,LARGE(F$10:F1457,1))</f>
        <v>2</v>
      </c>
      <c r="G1458" s="228" t="str">
        <f t="shared" ref="G1458:G1464" ca="1" si="1039">IF(B1458="*","",IF(B1458="UNIDADE CONSTRUTIVA",S1458,OFFSET(G1458,-1,0)))</f>
        <v xml:space="preserve">   GERENCIAMENTO EXECUTIVO</v>
      </c>
      <c r="H1458" s="230">
        <f t="shared" ref="H1458:H1464" ca="1" si="1040">IF(B1458="UNIDADE CONSTRUTIVA",0,IF(B1458="CÉLULA CONSTRUTIVA",OFFSET(H1458,-1,0)+1,OFFSET(H1458,-1,0)))</f>
        <v>15</v>
      </c>
      <c r="I1458" s="228" t="str">
        <f t="shared" ref="I1458:I1464" ca="1" si="1041">IF(B1458="*","",IF(B1458="CÉLULA CONSTRUTIVA",S1458,OFFSET(I1458,-1,0)))</f>
        <v xml:space="preserve">   PISOS E PAVIMENTAÇÕES</v>
      </c>
      <c r="J1458" s="230">
        <f t="shared" ref="J1458:J1464" ca="1" si="1042">IF(B1458="CÉLULA CONSTRUTIVA",0,IF(B1458="ETAPA",OFFSET(J1458,-1,0)+1,OFFSET(J1458,-1,0)))</f>
        <v>1</v>
      </c>
      <c r="K1458" s="228" t="str">
        <f t="shared" ref="K1458:K1464" ca="1" si="1043">IF(B1458="*","",IF(B1458="ETAPA",S1458,OFFSET(K1458,-1,0)))</f>
        <v xml:space="preserve">   PISOS E PAVIMENTAÇÕES - 1º PAVIMENTO - SUBSOLO</v>
      </c>
      <c r="L1458" s="231">
        <f t="shared" ref="L1458:L1464" ca="1" si="1044">IF(B1458="ETAPA",0,IF(B1458="SUBETAPA",OFFSET(L1458,-1,0)+1,OFFSET(L1458,-1,0)))</f>
        <v>1</v>
      </c>
      <c r="M1458" s="228" t="str">
        <f t="shared" ref="M1458:M1464" ca="1" si="1045">IF(B1458="*","",IF(B1458="SUBETAPA",S1458,OFFSET(M1458,-1,0)))</f>
        <v xml:space="preserve">   Contrapiso</v>
      </c>
      <c r="N1458" s="231">
        <f t="shared" ref="N1458:N1464" ca="1" si="1046">IF(B1458="Subetapa",0,IF(B1458="serviço",OFFSET(N1458,-1,0)+1,OFFSET(N1458,-1,0)))</f>
        <v>0</v>
      </c>
      <c r="O1458" s="228" t="str">
        <f t="shared" ref="O1458:O1464" ca="1" si="1047">IF(B1458="*","",IF(B1458="SERVIÇO",S1458,OFFSET(O1458,-1,0)))</f>
        <v>Mao De Obra Acabamento Em Massa Teto</v>
      </c>
      <c r="P1458" s="232" t="str">
        <f>IF(S1458="","",IF(Orçamento!$B1458="INSUMO",S1458,""))</f>
        <v/>
      </c>
      <c r="Q1458" s="244" t="str">
        <f t="shared" ref="Q1458:Q1464" si="1048">IF(B1458="","",IF(B1458="Serviço",S1458,""))</f>
        <v/>
      </c>
      <c r="R1458" s="234">
        <f t="shared" ref="R1458:R1464" ca="1" si="1049">IF(B1458="serviço",U1458,OFFSET(R1458,-1,0))</f>
        <v>24.18</v>
      </c>
      <c r="S1458" s="233" t="s">
        <v>476</v>
      </c>
      <c r="T1458" s="242" t="s">
        <v>35</v>
      </c>
      <c r="U1458" s="235" t="str">
        <f t="shared" si="1036"/>
        <v/>
      </c>
      <c r="V1458" s="320" t="s">
        <v>35</v>
      </c>
      <c r="W1458" s="236" t="str">
        <f>IFERROR(IF(B1458="INSUMO",_xlfn.XLOOKUP(S1458,Insumos!A:A,Insumos!C:C),""),"Inserir Preço")</f>
        <v/>
      </c>
      <c r="X1458" s="235" t="str">
        <f t="shared" ref="X1458:X1464" ca="1" si="1050">IF(B1458="Complemento do insumo",V1458,IF(R1458="","",IF(B1458="serviço",R1458,IF(OR(B1458="insumo"),V1458*R1458,""))))</f>
        <v/>
      </c>
      <c r="Y1458" s="236" t="str">
        <f t="shared" si="1034"/>
        <v/>
      </c>
      <c r="Z1458" s="237">
        <f t="shared" ca="1" si="1004"/>
        <v>16491.191928</v>
      </c>
      <c r="AA1458" s="238"/>
      <c r="AB1458" s="233" t="str">
        <f>IF(B1458="insumo",_xlfn.XLOOKUP(S1458,Insumos!A:A,Insumos!D:D),"")</f>
        <v/>
      </c>
      <c r="AC1458" s="239">
        <f t="shared" ca="1" si="1005"/>
        <v>2.3658118356412227E-3</v>
      </c>
      <c r="AE1458" s="240">
        <f ca="1">IFERROR(IF(OR(Z1458="",Z1458=0),"",IF(AF1458="","",IF(AF1458="R$/mês",Z1458/OBRA!$D$12,IF(AF1458="R$/m²",Z1458/OBRA!$D$10,IF(AF1458="R$/apto",Orçamento!Z1458/OBRA!$D$11,""))))),"")</f>
        <v>8.4864848360719005</v>
      </c>
      <c r="AF1458" s="241" t="s">
        <v>154</v>
      </c>
    </row>
    <row r="1459" spans="1:32" s="10" customFormat="1" ht="13.15" hidden="1" customHeight="1" outlineLevel="4" x14ac:dyDescent="0.2">
      <c r="A1459" s="227"/>
      <c r="B1459" s="228" t="s">
        <v>4</v>
      </c>
      <c r="C1459" s="229">
        <f t="shared" si="1003"/>
        <v>5</v>
      </c>
      <c r="D1459" s="227" t="str">
        <f t="shared" ca="1" si="1037"/>
        <v>15.001.001.001</v>
      </c>
      <c r="E1459" s="228" t="str">
        <f t="shared" ca="1" si="1038"/>
        <v>15.001.001.001</v>
      </c>
      <c r="F1459" s="230">
        <f ca="1">IF($B1459="UNIDADE CONSTRUTIVA",OFFSET(F1459,-1,0)+1,LARGE(F$10:F1458,1))</f>
        <v>2</v>
      </c>
      <c r="G1459" s="228" t="str">
        <f t="shared" ca="1" si="1039"/>
        <v xml:space="preserve">   GERENCIAMENTO EXECUTIVO</v>
      </c>
      <c r="H1459" s="230">
        <f t="shared" ca="1" si="1040"/>
        <v>15</v>
      </c>
      <c r="I1459" s="228" t="str">
        <f t="shared" ca="1" si="1041"/>
        <v xml:space="preserve">   PISOS E PAVIMENTAÇÕES</v>
      </c>
      <c r="J1459" s="230">
        <f t="shared" ca="1" si="1042"/>
        <v>1</v>
      </c>
      <c r="K1459" s="228" t="str">
        <f t="shared" ca="1" si="1043"/>
        <v xml:space="preserve">   PISOS E PAVIMENTAÇÕES - 1º PAVIMENTO - SUBSOLO</v>
      </c>
      <c r="L1459" s="231">
        <f t="shared" ca="1" si="1044"/>
        <v>1</v>
      </c>
      <c r="M1459" s="228" t="str">
        <f t="shared" ca="1" si="1045"/>
        <v xml:space="preserve">   Contrapiso</v>
      </c>
      <c r="N1459" s="231">
        <f t="shared" ca="1" si="1046"/>
        <v>1</v>
      </c>
      <c r="O1459" s="228" t="str">
        <f t="shared" ca="1" si="1047"/>
        <v>Contrapiso comum em argamassa estabilizada, nao aderido, espessura 8cm</v>
      </c>
      <c r="P1459" s="232" t="str">
        <f>IF(S1459="","",IF(Orçamento!$B1459="INSUMO",S1459,""))</f>
        <v/>
      </c>
      <c r="Q1459" s="244" t="str">
        <f t="shared" si="1048"/>
        <v>Contrapiso comum em argamassa estabilizada, nao aderido, espessura 8cm</v>
      </c>
      <c r="R1459" s="234">
        <f t="shared" ca="1" si="1049"/>
        <v>342.74</v>
      </c>
      <c r="S1459" s="233" t="s">
        <v>745</v>
      </c>
      <c r="T1459" s="242" t="s">
        <v>140</v>
      </c>
      <c r="U1459" s="235">
        <v>342.74</v>
      </c>
      <c r="V1459" s="320" t="s">
        <v>35</v>
      </c>
      <c r="W1459" s="236" t="str">
        <f>IFERROR(IF(B1459="INSUMO",_xlfn.XLOOKUP(S1459,Insumos!A:A,Insumos!C:C),""),"Inserir Preço")</f>
        <v/>
      </c>
      <c r="X1459" s="235">
        <f t="shared" ca="1" si="1050"/>
        <v>342.74</v>
      </c>
      <c r="Y1459" s="236">
        <f t="shared" ca="1" si="1034"/>
        <v>47.55</v>
      </c>
      <c r="Z1459" s="237">
        <f t="shared" ca="1" si="1004"/>
        <v>16297.287</v>
      </c>
      <c r="AA1459" s="238"/>
      <c r="AB1459" s="233" t="str">
        <f>IF(B1459="insumo",_xlfn.XLOOKUP(S1459,Insumos!A:A,Insumos!D:D),"")</f>
        <v/>
      </c>
      <c r="AC1459" s="239">
        <f t="shared" ca="1" si="1005"/>
        <v>2.3379944058487361E-3</v>
      </c>
      <c r="AE1459" s="240">
        <f ca="1">IFERROR(IF(OR(Z1459="",Z1459=0),"",IF(AF1459="","",IF(AF1459="R$/mês",Z1459/OBRA!$D$12,IF(AF1459="R$/m²",Z1459/OBRA!$D$10,IF(AF1459="R$/apto",Orçamento!Z1459/OBRA!$D$11,""))))),"")</f>
        <v>8.3866999789011079</v>
      </c>
      <c r="AF1459" s="241" t="s">
        <v>154</v>
      </c>
    </row>
    <row r="1460" spans="1:32" s="10" customFormat="1" ht="13.15" hidden="1" customHeight="1" outlineLevel="4" x14ac:dyDescent="0.2">
      <c r="A1460" s="227"/>
      <c r="B1460" s="228" t="s">
        <v>19</v>
      </c>
      <c r="C1460" s="229">
        <f t="shared" si="1003"/>
        <v>11</v>
      </c>
      <c r="D1460" s="227" t="str">
        <f t="shared" si="1037"/>
        <v/>
      </c>
      <c r="E1460" s="228" t="str">
        <f t="shared" ca="1" si="1038"/>
        <v>15.001.001.001</v>
      </c>
      <c r="F1460" s="230">
        <f ca="1">IF($B1460="UNIDADE CONSTRUTIVA",OFFSET(F1460,-1,0)+1,LARGE(F$10:F1459,1))</f>
        <v>2</v>
      </c>
      <c r="G1460" s="228" t="str">
        <f t="shared" ca="1" si="1039"/>
        <v xml:space="preserve">   GERENCIAMENTO EXECUTIVO</v>
      </c>
      <c r="H1460" s="230">
        <f t="shared" ca="1" si="1040"/>
        <v>15</v>
      </c>
      <c r="I1460" s="228" t="str">
        <f t="shared" ca="1" si="1041"/>
        <v xml:space="preserve">   PISOS E PAVIMENTAÇÕES</v>
      </c>
      <c r="J1460" s="230">
        <f t="shared" ca="1" si="1042"/>
        <v>1</v>
      </c>
      <c r="K1460" s="228" t="str">
        <f t="shared" ca="1" si="1043"/>
        <v xml:space="preserve">   PISOS E PAVIMENTAÇÕES - 1º PAVIMENTO - SUBSOLO</v>
      </c>
      <c r="L1460" s="231">
        <f t="shared" ca="1" si="1044"/>
        <v>1</v>
      </c>
      <c r="M1460" s="228" t="str">
        <f t="shared" ca="1" si="1045"/>
        <v xml:space="preserve">   Contrapiso</v>
      </c>
      <c r="N1460" s="231">
        <f t="shared" ca="1" si="1046"/>
        <v>1</v>
      </c>
      <c r="O1460" s="228" t="str">
        <f t="shared" ca="1" si="1047"/>
        <v>Contrapiso comum em argamassa estabilizada, nao aderido, espessura 8cm</v>
      </c>
      <c r="P1460" s="232" t="str">
        <f>IF(S1460="","",IF(Orçamento!$B1460="INSUMO",S1460,""))</f>
        <v>ARGAMASSA ESTABILIZADA P/ CONTRAPISO</v>
      </c>
      <c r="Q1460" s="244" t="str">
        <f t="shared" si="1048"/>
        <v/>
      </c>
      <c r="R1460" s="234">
        <f t="shared" ca="1" si="1049"/>
        <v>342.74</v>
      </c>
      <c r="S1460" s="233" t="s">
        <v>277</v>
      </c>
      <c r="T1460" s="242" t="str">
        <f>_xlfn.XLOOKUP(S1460,Insumos!$A$3:$A$371,Insumos!$B$3:$B$371)</f>
        <v>M3</v>
      </c>
      <c r="U1460" s="235">
        <f ca="1">IF($B1460="insumo",R1460,"")</f>
        <v>342.74</v>
      </c>
      <c r="V1460" s="320">
        <v>8.7999999999999995E-2</v>
      </c>
      <c r="W1460" s="236">
        <f>IFERROR(IF(B1460="INSUMO",_xlfn.XLOOKUP(S1460,Insumos!A:A,Insumos!C:C),""),"Inserir Preço")</f>
        <v>425</v>
      </c>
      <c r="X1460" s="235">
        <f t="shared" ca="1" si="1050"/>
        <v>30.16112</v>
      </c>
      <c r="Y1460" s="236">
        <f t="shared" si="1034"/>
        <v>37.4</v>
      </c>
      <c r="Z1460" s="237">
        <f t="shared" ca="1" si="1004"/>
        <v>12818.476000000001</v>
      </c>
      <c r="AA1460" s="238"/>
      <c r="AB1460" s="233" t="str">
        <f>IF(B1460="insumo",_xlfn.XLOOKUP(S1460,Insumos!A:A,Insumos!D:D),"")</f>
        <v xml:space="preserve"> </v>
      </c>
      <c r="AC1460" s="239">
        <f t="shared" ca="1" si="1005"/>
        <v>1.8389272508673551E-3</v>
      </c>
      <c r="AE1460" s="240">
        <f ca="1">IFERROR(IF(OR(Z1460="",Z1460=0),"",IF(AF1460="","",IF(AF1460="R$/mês",Z1460/OBRA!$D$12,IF(AF1460="R$/m²",Z1460/OBRA!$D$10,IF(AF1460="R$/apto",Orçamento!Z1460/OBRA!$D$11,""))))),"")</f>
        <v>6.5964790580631218</v>
      </c>
      <c r="AF1460" s="241" t="s">
        <v>154</v>
      </c>
    </row>
    <row r="1461" spans="1:32" s="10" customFormat="1" ht="13.15" hidden="1" customHeight="1" outlineLevel="4" x14ac:dyDescent="0.2">
      <c r="A1461" s="227"/>
      <c r="B1461" s="228" t="s">
        <v>19</v>
      </c>
      <c r="C1461" s="229">
        <f t="shared" si="1003"/>
        <v>5</v>
      </c>
      <c r="D1461" s="227" t="str">
        <f>IF(B1461="Unidade Construtiva",TEXT(F1461,"00"),IF(B1461="Célula Construtiva",TEXT(H1461,"00"),IF(B1461="Etapa",CONCATENATE(TEXT(H1461,"00"),".",TEXT(J1461,"000")),IF(B1461="Subetapa",CONCATENATE(TEXT(H1461,"00"),".",TEXT(J1461,"000"),".",TEXT(L1461,"000")),IF(B1461="Serviço",CONCATENATE(TEXT(H1461,"00"),".",TEXT(J1461,"000"),".",TEXT(L1461,"000"),".",TEXT(N1461,"000")),"")))))</f>
        <v/>
      </c>
      <c r="E1461" s="228" t="str">
        <f ca="1">IF(B1461="*","",IFERROR(IF(B1461="SERVIÇO",D1461,OFFSET(E1461,-1,0)),""))</f>
        <v>15.001.001.001</v>
      </c>
      <c r="F1461" s="230">
        <f ca="1">IF($B1461="UNIDADE CONSTRUTIVA",OFFSET(F1461,-1,0)+1,LARGE(F$10:F1460,1))</f>
        <v>2</v>
      </c>
      <c r="G1461" s="228" t="str">
        <f ca="1">IF(B1461="*","",IF(B1461="UNIDADE CONSTRUTIVA",S1461,OFFSET(G1461,-1,0)))</f>
        <v xml:space="preserve">   GERENCIAMENTO EXECUTIVO</v>
      </c>
      <c r="H1461" s="230">
        <f ca="1">IF(B1461="UNIDADE CONSTRUTIVA",0,IF(B1461="CÉLULA CONSTRUTIVA",OFFSET(H1461,-1,0)+1,OFFSET(H1461,-1,0)))</f>
        <v>15</v>
      </c>
      <c r="I1461" s="228" t="str">
        <f ca="1">IF(B1461="*","",IF(B1461="CÉLULA CONSTRUTIVA",S1461,OFFSET(I1461,-1,0)))</f>
        <v xml:space="preserve">   PISOS E PAVIMENTAÇÕES</v>
      </c>
      <c r="J1461" s="230">
        <f ca="1">IF(B1461="CÉLULA CONSTRUTIVA",0,IF(B1461="ETAPA",OFFSET(J1461,-1,0)+1,OFFSET(J1461,-1,0)))</f>
        <v>1</v>
      </c>
      <c r="K1461" s="228" t="str">
        <f ca="1">IF(B1461="*","",IF(B1461="ETAPA",S1461,OFFSET(K1461,-1,0)))</f>
        <v xml:space="preserve">   PISOS E PAVIMENTAÇÕES - 1º PAVIMENTO - SUBSOLO</v>
      </c>
      <c r="L1461" s="231">
        <f ca="1">IF(B1461="ETAPA",0,IF(B1461="SUBETAPA",OFFSET(L1461,-1,0)+1,OFFSET(L1461,-1,0)))</f>
        <v>1</v>
      </c>
      <c r="M1461" s="228" t="str">
        <f ca="1">IF(B1461="*","",IF(B1461="SUBETAPA",S1461,OFFSET(M1461,-1,0)))</f>
        <v xml:space="preserve">   Contrapiso</v>
      </c>
      <c r="N1461" s="231">
        <f ca="1">IF(B1461="Subetapa",0,IF(B1461="serviço",OFFSET(N1461,-1,0)+1,OFFSET(N1461,-1,0)))</f>
        <v>1</v>
      </c>
      <c r="O1461" s="228" t="str">
        <f ca="1">IF(B1461="*","",IF(B1461="SERVIÇO",S1461,OFFSET(O1461,-1,0)))</f>
        <v>Contrapiso comum em argamassa estabilizada, nao aderido, espessura 8cm</v>
      </c>
      <c r="P1461" s="232" t="str">
        <f>IF(S1461="","",IF(Orçamento!$B1461="INSUMO",S1461,""))</f>
        <v>MANTA ACÚSTICA DE POLIETILENO</v>
      </c>
      <c r="Q1461" s="244" t="str">
        <f>IF(B1461="","",IF(B1461="Serviço",S1461,""))</f>
        <v/>
      </c>
      <c r="R1461" s="234">
        <f ca="1">IF(B1461="serviço",U1461,OFFSET(R1461,-1,0))</f>
        <v>342.74</v>
      </c>
      <c r="S1461" s="233" t="s">
        <v>1158</v>
      </c>
      <c r="T1461" s="242" t="str">
        <f>_xlfn.XLOOKUP(S1461,Insumos!$A$3:$A$371,Insumos!$B$3:$B$371)</f>
        <v>M2</v>
      </c>
      <c r="U1461" s="235">
        <f ca="1">IF($B1461="insumo",R1461,"")</f>
        <v>342.74</v>
      </c>
      <c r="V1461" s="320">
        <v>1</v>
      </c>
      <c r="W1461" s="236">
        <f>IFERROR(IF(B1461="INSUMO",_xlfn.XLOOKUP(S1461,Insumos!A:A,Insumos!C:C),""),"Inserir Preço")</f>
        <v>10.15</v>
      </c>
      <c r="X1461" s="235">
        <f ca="1">IF(B1461="Complemento do insumo",V1461,IF(R1461="","",IF(B1461="serviço",R1461,IF(OR(B1461="insumo"),V1461*R1461,""))))</f>
        <v>342.74</v>
      </c>
      <c r="Y1461" s="236">
        <f t="shared" si="1034"/>
        <v>10.15</v>
      </c>
      <c r="Z1461" s="237">
        <f t="shared" ca="1" si="1004"/>
        <v>3478.8110000000001</v>
      </c>
      <c r="AA1461" s="238"/>
      <c r="AB1461" s="233" t="str">
        <f>IF(B1461="insumo",_xlfn.XLOOKUP(S1461,Insumos!A:A,Insumos!D:D),"")</f>
        <v xml:space="preserve"> </v>
      </c>
      <c r="AC1461" s="239">
        <f t="shared" ca="1" si="1005"/>
        <v>4.9906715498138109E-4</v>
      </c>
      <c r="AE1461" s="240">
        <f ca="1">IFERROR(IF(OR(Z1461="",Z1461=0),"",IF(AF1461="","",IF(AF1461="R$/mês",Z1461/OBRA!$D$12,IF(AF1461="R$/m²",Z1461/OBRA!$D$10,IF(AF1461="R$/apto",Orçamento!Z1461/OBRA!$D$11,""))))),"")</f>
        <v>1.7902209208379862</v>
      </c>
      <c r="AF1461" s="241" t="s">
        <v>154</v>
      </c>
    </row>
    <row r="1462" spans="1:32" s="10" customFormat="1" ht="13.15" hidden="1" customHeight="1" outlineLevel="4" x14ac:dyDescent="0.2">
      <c r="A1462" s="227"/>
      <c r="B1462" s="228" t="s">
        <v>4</v>
      </c>
      <c r="C1462" s="229">
        <f t="shared" si="1003"/>
        <v>1</v>
      </c>
      <c r="D1462" s="227" t="str">
        <f t="shared" ca="1" si="1037"/>
        <v>15.001.001.002</v>
      </c>
      <c r="E1462" s="228" t="str">
        <f t="shared" ca="1" si="1038"/>
        <v>15.001.001.002</v>
      </c>
      <c r="F1462" s="230">
        <f ca="1">IF($B1462="UNIDADE CONSTRUTIVA",OFFSET(F1462,-1,0)+1,LARGE(F$10:F1461,1))</f>
        <v>2</v>
      </c>
      <c r="G1462" s="228" t="str">
        <f t="shared" ca="1" si="1039"/>
        <v xml:space="preserve">   GERENCIAMENTO EXECUTIVO</v>
      </c>
      <c r="H1462" s="230">
        <f t="shared" ca="1" si="1040"/>
        <v>15</v>
      </c>
      <c r="I1462" s="228" t="str">
        <f t="shared" ca="1" si="1041"/>
        <v xml:space="preserve">   PISOS E PAVIMENTAÇÕES</v>
      </c>
      <c r="J1462" s="230">
        <f t="shared" ca="1" si="1042"/>
        <v>1</v>
      </c>
      <c r="K1462" s="228" t="str">
        <f t="shared" ca="1" si="1043"/>
        <v xml:space="preserve">   PISOS E PAVIMENTAÇÕES - 1º PAVIMENTO - SUBSOLO</v>
      </c>
      <c r="L1462" s="231">
        <f t="shared" ca="1" si="1044"/>
        <v>1</v>
      </c>
      <c r="M1462" s="228" t="str">
        <f t="shared" ca="1" si="1045"/>
        <v xml:space="preserve">   Contrapiso</v>
      </c>
      <c r="N1462" s="231">
        <f t="shared" ca="1" si="1046"/>
        <v>2</v>
      </c>
      <c r="O1462" s="228" t="str">
        <f t="shared" ca="1" si="1047"/>
        <v>Piso cimentado com argamassa de cimento e areia traço 1:3, espessura 1,5cm</v>
      </c>
      <c r="P1462" s="232" t="str">
        <f>IF(S1462="","",IF(Orçamento!$B1462="INSUMO",S1462,""))</f>
        <v/>
      </c>
      <c r="Q1462" s="244" t="str">
        <f t="shared" si="1048"/>
        <v>Piso cimentado com argamassa de cimento e areia traço 1:3, espessura 1,5cm</v>
      </c>
      <c r="R1462" s="234">
        <f t="shared" ca="1" si="1049"/>
        <v>30.24</v>
      </c>
      <c r="S1462" s="233" t="s">
        <v>477</v>
      </c>
      <c r="T1462" s="242" t="s">
        <v>140</v>
      </c>
      <c r="U1462" s="235">
        <v>30.24</v>
      </c>
      <c r="V1462" s="320" t="s">
        <v>35</v>
      </c>
      <c r="W1462" s="236" t="str">
        <f>IFERROR(IF(B1462="INSUMO",_xlfn.XLOOKUP(S1462,Insumos!A:A,Insumos!C:C),""),"Inserir Preço")</f>
        <v/>
      </c>
      <c r="X1462" s="235">
        <f t="shared" ca="1" si="1050"/>
        <v>30.24</v>
      </c>
      <c r="Y1462" s="236">
        <f t="shared" ca="1" si="1034"/>
        <v>6.4122000000000003</v>
      </c>
      <c r="Z1462" s="237">
        <f t="shared" ca="1" si="1004"/>
        <v>193.90492800000001</v>
      </c>
      <c r="AA1462" s="238"/>
      <c r="AB1462" s="233" t="str">
        <f>IF(B1462="insumo",_xlfn.XLOOKUP(S1462,Insumos!A:A,Insumos!D:D),"")</f>
        <v/>
      </c>
      <c r="AC1462" s="239">
        <f t="shared" ca="1" si="1005"/>
        <v>2.7817429792486443E-5</v>
      </c>
      <c r="AE1462" s="240">
        <f ca="1">IFERROR(IF(OR(Z1462="",Z1462=0),"",IF(AF1462="","",IF(AF1462="R$/mês",Z1462/OBRA!$D$12,IF(AF1462="R$/m²",Z1462/OBRA!$D$10,IF(AF1462="R$/apto",Orçamento!Z1462/OBRA!$D$11,""))))),"")</f>
        <v>9.9784857170792968E-2</v>
      </c>
      <c r="AF1462" s="241" t="s">
        <v>154</v>
      </c>
    </row>
    <row r="1463" spans="1:32" s="10" customFormat="1" ht="13.15" hidden="1" customHeight="1" outlineLevel="4" x14ac:dyDescent="0.2">
      <c r="A1463" s="227"/>
      <c r="B1463" s="228" t="s">
        <v>19</v>
      </c>
      <c r="C1463" s="229">
        <f t="shared" si="1003"/>
        <v>13</v>
      </c>
      <c r="D1463" s="227" t="str">
        <f t="shared" si="1037"/>
        <v/>
      </c>
      <c r="E1463" s="228" t="str">
        <f t="shared" ca="1" si="1038"/>
        <v>15.001.001.002</v>
      </c>
      <c r="F1463" s="230">
        <f ca="1">IF($B1463="UNIDADE CONSTRUTIVA",OFFSET(F1463,-1,0)+1,LARGE(F$10:F1462,1))</f>
        <v>2</v>
      </c>
      <c r="G1463" s="228" t="str">
        <f t="shared" ca="1" si="1039"/>
        <v xml:space="preserve">   GERENCIAMENTO EXECUTIVO</v>
      </c>
      <c r="H1463" s="230">
        <f t="shared" ca="1" si="1040"/>
        <v>15</v>
      </c>
      <c r="I1463" s="228" t="str">
        <f t="shared" ca="1" si="1041"/>
        <v xml:space="preserve">   PISOS E PAVIMENTAÇÕES</v>
      </c>
      <c r="J1463" s="230">
        <f t="shared" ca="1" si="1042"/>
        <v>1</v>
      </c>
      <c r="K1463" s="228" t="str">
        <f t="shared" ca="1" si="1043"/>
        <v xml:space="preserve">   PISOS E PAVIMENTAÇÕES - 1º PAVIMENTO - SUBSOLO</v>
      </c>
      <c r="L1463" s="231">
        <f t="shared" ca="1" si="1044"/>
        <v>1</v>
      </c>
      <c r="M1463" s="228" t="str">
        <f t="shared" ca="1" si="1045"/>
        <v xml:space="preserve">   Contrapiso</v>
      </c>
      <c r="N1463" s="231">
        <f t="shared" ca="1" si="1046"/>
        <v>2</v>
      </c>
      <c r="O1463" s="228" t="str">
        <f t="shared" ca="1" si="1047"/>
        <v>Piso cimentado com argamassa de cimento e areia traço 1:3, espessura 1,5cm</v>
      </c>
      <c r="P1463" s="232" t="str">
        <f>IF(S1463="","",IF(Orçamento!$B1463="INSUMO",S1463,""))</f>
        <v>CIMENTO PORTLAND CP II 32 - Z</v>
      </c>
      <c r="Q1463" s="244" t="str">
        <f t="shared" si="1048"/>
        <v/>
      </c>
      <c r="R1463" s="234">
        <f t="shared" ca="1" si="1049"/>
        <v>30.24</v>
      </c>
      <c r="S1463" s="233" t="s">
        <v>343</v>
      </c>
      <c r="T1463" s="242" t="str">
        <f>_xlfn.XLOOKUP(S1463,Insumos!$A$3:$A$371,Insumos!$B$3:$B$371)</f>
        <v>KG</v>
      </c>
      <c r="U1463" s="235">
        <f ca="1">IF($B1463="insumo",R1463,"")</f>
        <v>30.24</v>
      </c>
      <c r="V1463" s="320">
        <v>5.4749999999999996</v>
      </c>
      <c r="W1463" s="236">
        <f>IFERROR(IF(B1463="INSUMO",_xlfn.XLOOKUP(S1463,Insumos!A:A,Insumos!C:C),""),"Inserir Preço")</f>
        <v>0.74</v>
      </c>
      <c r="X1463" s="235">
        <f t="shared" ca="1" si="1050"/>
        <v>165.56399999999999</v>
      </c>
      <c r="Y1463" s="236">
        <f t="shared" si="1034"/>
        <v>4.0514999999999999</v>
      </c>
      <c r="Z1463" s="237">
        <f t="shared" ca="1" si="1004"/>
        <v>122.51736</v>
      </c>
      <c r="AA1463" s="238"/>
      <c r="AB1463" s="233" t="str">
        <f>IF(B1463="insumo",_xlfn.XLOOKUP(S1463,Insumos!A:A,Insumos!D:D),"")</f>
        <v xml:space="preserve"> </v>
      </c>
      <c r="AC1463" s="239">
        <f t="shared" ca="1" si="1005"/>
        <v>1.757623230782864E-5</v>
      </c>
      <c r="AE1463" s="240">
        <f ca="1">IFERROR(IF(OR(Z1463="",Z1463=0),"",IF(AF1463="","",IF(AF1463="R$/mês",Z1463/OBRA!$D$12,IF(AF1463="R$/m²",Z1463/OBRA!$D$10,IF(AF1463="R$/apto",Orçamento!Z1463/OBRA!$D$11,""))))),"")</f>
        <v>6.3048306170654017E-2</v>
      </c>
      <c r="AF1463" s="241" t="s">
        <v>154</v>
      </c>
    </row>
    <row r="1464" spans="1:32" s="10" customFormat="1" ht="13.15" hidden="1" customHeight="1" outlineLevel="4" x14ac:dyDescent="0.2">
      <c r="A1464" s="227"/>
      <c r="B1464" s="228" t="s">
        <v>19</v>
      </c>
      <c r="C1464" s="229">
        <f t="shared" si="1003"/>
        <v>7</v>
      </c>
      <c r="D1464" s="227" t="str">
        <f t="shared" si="1037"/>
        <v/>
      </c>
      <c r="E1464" s="228" t="str">
        <f t="shared" ca="1" si="1038"/>
        <v>15.001.001.002</v>
      </c>
      <c r="F1464" s="230">
        <f ca="1">IF($B1464="UNIDADE CONSTRUTIVA",OFFSET(F1464,-1,0)+1,LARGE(F$10:F1463,1))</f>
        <v>2</v>
      </c>
      <c r="G1464" s="228" t="str">
        <f t="shared" ca="1" si="1039"/>
        <v xml:space="preserve">   GERENCIAMENTO EXECUTIVO</v>
      </c>
      <c r="H1464" s="230">
        <f t="shared" ca="1" si="1040"/>
        <v>15</v>
      </c>
      <c r="I1464" s="228" t="str">
        <f t="shared" ca="1" si="1041"/>
        <v xml:space="preserve">   PISOS E PAVIMENTAÇÕES</v>
      </c>
      <c r="J1464" s="230">
        <f t="shared" ca="1" si="1042"/>
        <v>1</v>
      </c>
      <c r="K1464" s="228" t="str">
        <f t="shared" ca="1" si="1043"/>
        <v xml:space="preserve">   PISOS E PAVIMENTAÇÕES - 1º PAVIMENTO - SUBSOLO</v>
      </c>
      <c r="L1464" s="231">
        <f t="shared" ca="1" si="1044"/>
        <v>1</v>
      </c>
      <c r="M1464" s="228" t="str">
        <f t="shared" ca="1" si="1045"/>
        <v xml:space="preserve">   Contrapiso</v>
      </c>
      <c r="N1464" s="231">
        <f t="shared" ca="1" si="1046"/>
        <v>2</v>
      </c>
      <c r="O1464" s="228" t="str">
        <f t="shared" ca="1" si="1047"/>
        <v>Piso cimentado com argamassa de cimento e areia traço 1:3, espessura 1,5cm</v>
      </c>
      <c r="P1464" s="232" t="str">
        <f>IF(S1464="","",IF(Orçamento!$B1464="INSUMO",S1464,""))</f>
        <v>AREIA MEDIA</v>
      </c>
      <c r="Q1464" s="244" t="str">
        <f t="shared" si="1048"/>
        <v/>
      </c>
      <c r="R1464" s="234">
        <f t="shared" ca="1" si="1049"/>
        <v>30.24</v>
      </c>
      <c r="S1464" s="233" t="s">
        <v>359</v>
      </c>
      <c r="T1464" s="242" t="str">
        <f>_xlfn.XLOOKUP(S1464,Insumos!$A$3:$A$371,Insumos!$B$3:$B$371)</f>
        <v>M3</v>
      </c>
      <c r="U1464" s="235">
        <f ca="1">IF($B1464="insumo",R1464,"")</f>
        <v>30.24</v>
      </c>
      <c r="V1464" s="320">
        <v>1.83E-2</v>
      </c>
      <c r="W1464" s="236">
        <f>IFERROR(IF(B1464="INSUMO",_xlfn.XLOOKUP(S1464,Insumos!A:A,Insumos!C:C),""),"Inserir Preço")</f>
        <v>129</v>
      </c>
      <c r="X1464" s="235">
        <f t="shared" ca="1" si="1050"/>
        <v>0.553392</v>
      </c>
      <c r="Y1464" s="236">
        <f t="shared" si="1034"/>
        <v>2.3607</v>
      </c>
      <c r="Z1464" s="237">
        <f t="shared" ca="1" si="1004"/>
        <v>71.387568000000002</v>
      </c>
      <c r="AA1464" s="238"/>
      <c r="AB1464" s="233" t="str">
        <f>IF(B1464="insumo",_xlfn.XLOOKUP(S1464,Insumos!A:A,Insumos!D:D),"")</f>
        <v>Agregados Nestor</v>
      </c>
      <c r="AC1464" s="239">
        <f t="shared" ca="1" si="1005"/>
        <v>1.02411974846578E-5</v>
      </c>
      <c r="AE1464" s="240">
        <f ca="1">IFERROR(IF(OR(Z1464="",Z1464=0),"",IF(AF1464="","",IF(AF1464="R$/mês",Z1464/OBRA!$D$12,IF(AF1464="R$/m²",Z1464/OBRA!$D$10,IF(AF1464="R$/apto",Orçamento!Z1464/OBRA!$D$11,""))))),"")</f>
        <v>3.6736551000138944E-2</v>
      </c>
      <c r="AF1464" s="241" t="s">
        <v>154</v>
      </c>
    </row>
    <row r="1465" spans="1:32" s="10" customFormat="1" ht="13.15" hidden="1" customHeight="1" outlineLevel="3" collapsed="1" x14ac:dyDescent="0.2">
      <c r="A1465" s="227"/>
      <c r="B1465" s="228" t="s">
        <v>3</v>
      </c>
      <c r="C1465" s="229" t="str">
        <f t="shared" si="1003"/>
        <v/>
      </c>
      <c r="D1465" s="227" t="str">
        <f t="shared" ref="D1465:D1477" ca="1" si="1051">IF(B1465="Unidade Construtiva",TEXT(F1465,"00"),IF(B1465="Célula Construtiva",TEXT(H1465,"00"),IF(B1465="Etapa",CONCATENATE(TEXT(H1465,"00"),".",TEXT(J1465,"000")),IF(B1465="Subetapa",CONCATENATE(TEXT(H1465,"00"),".",TEXT(J1465,"000"),".",TEXT(L1465,"000")),IF(B1465="Serviço",CONCATENATE(TEXT(H1465,"00"),".",TEXT(J1465,"000"),".",TEXT(L1465,"000"),".",TEXT(N1465,"000")),"")))))</f>
        <v>15.001.002</v>
      </c>
      <c r="E1465" s="228" t="str">
        <f t="shared" ref="E1465:E1477" ca="1" si="1052">IF(B1465="*","",IFERROR(IF(B1465="SERVIÇO",D1465,OFFSET(E1465,-1,0)),""))</f>
        <v>15.001.001.002</v>
      </c>
      <c r="F1465" s="230">
        <f ca="1">IF($B1465="UNIDADE CONSTRUTIVA",OFFSET(F1465,-1,0)+1,LARGE(F$10:F1464,1))</f>
        <v>2</v>
      </c>
      <c r="G1465" s="228" t="str">
        <f t="shared" ref="G1465:G1476" ca="1" si="1053">IF(B1465="*","",IF(B1465="UNIDADE CONSTRUTIVA",S1465,OFFSET(G1465,-1,0)))</f>
        <v xml:space="preserve">   GERENCIAMENTO EXECUTIVO</v>
      </c>
      <c r="H1465" s="230">
        <f t="shared" ref="H1465:H1477" ca="1" si="1054">IF(B1465="UNIDADE CONSTRUTIVA",0,IF(B1465="CÉLULA CONSTRUTIVA",OFFSET(H1465,-1,0)+1,OFFSET(H1465,-1,0)))</f>
        <v>15</v>
      </c>
      <c r="I1465" s="228" t="str">
        <f t="shared" ref="I1465:I1476" ca="1" si="1055">IF(B1465="*","",IF(B1465="CÉLULA CONSTRUTIVA",S1465,OFFSET(I1465,-1,0)))</f>
        <v xml:space="preserve">   PISOS E PAVIMENTAÇÕES</v>
      </c>
      <c r="J1465" s="230">
        <f t="shared" ref="J1465:J1477" ca="1" si="1056">IF(B1465="CÉLULA CONSTRUTIVA",0,IF(B1465="ETAPA",OFFSET(J1465,-1,0)+1,OFFSET(J1465,-1,0)))</f>
        <v>1</v>
      </c>
      <c r="K1465" s="228" t="str">
        <f t="shared" ref="K1465:K1476" ca="1" si="1057">IF(B1465="*","",IF(B1465="ETAPA",S1465,OFFSET(K1465,-1,0)))</f>
        <v xml:space="preserve">   PISOS E PAVIMENTAÇÕES - 1º PAVIMENTO - SUBSOLO</v>
      </c>
      <c r="L1465" s="231">
        <f t="shared" ref="L1465:L1477" ca="1" si="1058">IF(B1465="ETAPA",0,IF(B1465="SUBETAPA",OFFSET(L1465,-1,0)+1,OFFSET(L1465,-1,0)))</f>
        <v>2</v>
      </c>
      <c r="M1465" s="228" t="str">
        <f t="shared" ref="M1465:M1476" ca="1" si="1059">IF(B1465="*","",IF(B1465="SUBETAPA",S1465,OFFSET(M1465,-1,0)))</f>
        <v xml:space="preserve">   Acabamentos em Piso</v>
      </c>
      <c r="N1465" s="231">
        <f t="shared" ref="N1465:N1477" ca="1" si="1060">IF(B1465="Subetapa",0,IF(B1465="serviço",OFFSET(N1465,-1,0)+1,OFFSET(N1465,-1,0)))</f>
        <v>0</v>
      </c>
      <c r="O1465" s="228" t="str">
        <f t="shared" ref="O1465:O1476" ca="1" si="1061">IF(B1465="*","",IF(B1465="SERVIÇO",S1465,OFFSET(O1465,-1,0)))</f>
        <v>Piso cimentado com argamassa de cimento e areia traço 1:3, espessura 1,5cm</v>
      </c>
      <c r="P1465" s="232" t="str">
        <f>IF(S1465="","",IF(Orçamento!$B1465="INSUMO",S1465,""))</f>
        <v/>
      </c>
      <c r="Q1465" s="244" t="str">
        <f t="shared" si="1011"/>
        <v/>
      </c>
      <c r="R1465" s="234">
        <f t="shared" ref="R1465:R1476" ca="1" si="1062">IF(B1465="serviço",U1465,OFFSET(R1465,-1,0))</f>
        <v>30.24</v>
      </c>
      <c r="S1465" s="233" t="s">
        <v>488</v>
      </c>
      <c r="T1465" s="242" t="s">
        <v>35</v>
      </c>
      <c r="U1465" s="235" t="str">
        <f>IF($B1465="insumo",R1465,"")</f>
        <v/>
      </c>
      <c r="V1465" s="320" t="s">
        <v>35</v>
      </c>
      <c r="W1465" s="236" t="str">
        <f>IFERROR(IF(B1465="INSUMO",_xlfn.XLOOKUP(S1465,Insumos!A:A,Insumos!C:C),""),"Inserir Preço")</f>
        <v/>
      </c>
      <c r="X1465" s="235" t="str">
        <f t="shared" ref="X1465:X1476" ca="1" si="1063">IF(B1465="Complemento do insumo",V1465,IF(R1465="","",IF(B1465="serviço",R1465,IF(OR(B1465="insumo"),V1465*R1465,""))))</f>
        <v/>
      </c>
      <c r="Y1465" s="236" t="str">
        <f t="shared" si="1034"/>
        <v/>
      </c>
      <c r="Z1465" s="237">
        <f t="shared" ca="1" si="1004"/>
        <v>18261.931799999998</v>
      </c>
      <c r="AA1465" s="238"/>
      <c r="AB1465" s="233" t="str">
        <f>IF(B1465="insumo",_xlfn.XLOOKUP(S1465,Insumos!A:A,Insumos!D:D),"")</f>
        <v/>
      </c>
      <c r="AC1465" s="239">
        <f t="shared" ca="1" si="1005"/>
        <v>2.6198406144771909E-3</v>
      </c>
      <c r="AE1465" s="240">
        <f ca="1">IFERROR(IF(OR(Z1465="",Z1465=0),"",IF(AF1465="","",IF(AF1465="R$/mês",Z1465/OBRA!$D$12,IF(AF1465="R$/m²",Z1465/OBRA!$D$10,IF(AF1465="R$/apto",Orçamento!Z1465/OBRA!$D$11,""))))),"")</f>
        <v>9.3977201875228342</v>
      </c>
      <c r="AF1465" s="241" t="s">
        <v>154</v>
      </c>
    </row>
    <row r="1466" spans="1:32" s="10" customFormat="1" ht="13.15" hidden="1" customHeight="1" outlineLevel="4" x14ac:dyDescent="0.2">
      <c r="A1466" s="227"/>
      <c r="B1466" s="228" t="s">
        <v>4</v>
      </c>
      <c r="C1466" s="229">
        <f t="shared" si="1003"/>
        <v>1</v>
      </c>
      <c r="D1466" s="227" t="str">
        <f t="shared" ca="1" si="1051"/>
        <v>15.001.002.001</v>
      </c>
      <c r="E1466" s="228" t="str">
        <f t="shared" ca="1" si="1052"/>
        <v>15.001.002.001</v>
      </c>
      <c r="F1466" s="230">
        <f ca="1">IF($B1466="UNIDADE CONSTRUTIVA",OFFSET(F1466,-1,0)+1,LARGE(F$10:F1465,1))</f>
        <v>2</v>
      </c>
      <c r="G1466" s="228" t="str">
        <f t="shared" ca="1" si="1053"/>
        <v xml:space="preserve">   GERENCIAMENTO EXECUTIVO</v>
      </c>
      <c r="H1466" s="230">
        <f t="shared" ca="1" si="1054"/>
        <v>15</v>
      </c>
      <c r="I1466" s="228" t="str">
        <f t="shared" ca="1" si="1055"/>
        <v xml:space="preserve">   PISOS E PAVIMENTAÇÕES</v>
      </c>
      <c r="J1466" s="230">
        <f t="shared" ca="1" si="1056"/>
        <v>1</v>
      </c>
      <c r="K1466" s="228" t="str">
        <f t="shared" ca="1" si="1057"/>
        <v xml:space="preserve">   PISOS E PAVIMENTAÇÕES - 1º PAVIMENTO - SUBSOLO</v>
      </c>
      <c r="L1466" s="231">
        <f t="shared" ca="1" si="1058"/>
        <v>2</v>
      </c>
      <c r="M1466" s="228" t="str">
        <f t="shared" ca="1" si="1059"/>
        <v xml:space="preserve">   Acabamentos em Piso</v>
      </c>
      <c r="N1466" s="231">
        <f t="shared" ca="1" si="1060"/>
        <v>1</v>
      </c>
      <c r="O1466" s="228" t="str">
        <f t="shared" ca="1" si="1061"/>
        <v>Revestimento interno de piso Cerâmico placa 60x60cm - áreas Internos</v>
      </c>
      <c r="P1466" s="232" t="str">
        <f>IF(S1466="","",IF(Orçamento!$B1466="INSUMO",S1466,""))</f>
        <v/>
      </c>
      <c r="Q1466" s="244" t="str">
        <f>IF(B1466="","",IF(B1466="Serviço",S1466,""))</f>
        <v>Revestimento interno de piso Cerâmico placa 60x60cm - áreas Internos</v>
      </c>
      <c r="R1466" s="234">
        <f t="shared" ca="1" si="1062"/>
        <v>301.72999999999996</v>
      </c>
      <c r="S1466" s="233" t="s">
        <v>1110</v>
      </c>
      <c r="T1466" s="242" t="s">
        <v>140</v>
      </c>
      <c r="U1466" s="235">
        <v>301.72999999999996</v>
      </c>
      <c r="V1466" s="320" t="s">
        <v>35</v>
      </c>
      <c r="W1466" s="236" t="str">
        <f>IFERROR(IF(B1466="INSUMO",_xlfn.XLOOKUP(S1466,Insumos!A:A,Insumos!C:C),""),"Inserir Preço")</f>
        <v/>
      </c>
      <c r="X1466" s="235">
        <f t="shared" ca="1" si="1063"/>
        <v>301.72999999999996</v>
      </c>
      <c r="Y1466" s="236">
        <f t="shared" ca="1" si="1034"/>
        <v>58.695000000000007</v>
      </c>
      <c r="Z1466" s="237">
        <f t="shared" ca="1" si="1004"/>
        <v>17710.04235</v>
      </c>
      <c r="AA1466" s="238"/>
      <c r="AB1466" s="233" t="str">
        <f>IF(B1466="insumo",_xlfn.XLOOKUP(S1466,Insumos!A:A,Insumos!D:D),"")</f>
        <v/>
      </c>
      <c r="AC1466" s="239">
        <f t="shared" ca="1" si="1005"/>
        <v>2.5406670411857019E-3</v>
      </c>
      <c r="AE1466" s="240">
        <f ca="1">IFERROR(IF(OR(Z1466="",Z1466=0),"",IF(AF1466="","",IF(AF1466="R$/mês",Z1466/OBRA!$D$12,IF(AF1466="R$/m²",Z1466/OBRA!$D$10,IF(AF1466="R$/apto",Orçamento!Z1466/OBRA!$D$11,""))))),"")</f>
        <v>9.1137139453384304</v>
      </c>
      <c r="AF1466" s="241" t="s">
        <v>154</v>
      </c>
    </row>
    <row r="1467" spans="1:32" s="10" customFormat="1" ht="13.15" hidden="1" customHeight="1" outlineLevel="4" x14ac:dyDescent="0.2">
      <c r="A1467" s="227"/>
      <c r="B1467" s="228" t="s">
        <v>19</v>
      </c>
      <c r="C1467" s="229">
        <f t="shared" si="1003"/>
        <v>23</v>
      </c>
      <c r="D1467" s="227" t="str">
        <f t="shared" si="1051"/>
        <v/>
      </c>
      <c r="E1467" s="228" t="str">
        <f t="shared" ca="1" si="1052"/>
        <v>15.001.002.001</v>
      </c>
      <c r="F1467" s="230">
        <f ca="1">IF($B1467="UNIDADE CONSTRUTIVA",OFFSET(F1467,-1,0)+1,LARGE(F$10:F1466,1))</f>
        <v>2</v>
      </c>
      <c r="G1467" s="228" t="str">
        <f t="shared" ca="1" si="1053"/>
        <v xml:space="preserve">   GERENCIAMENTO EXECUTIVO</v>
      </c>
      <c r="H1467" s="230">
        <f t="shared" ca="1" si="1054"/>
        <v>15</v>
      </c>
      <c r="I1467" s="228" t="str">
        <f t="shared" ca="1" si="1055"/>
        <v xml:space="preserve">   PISOS E PAVIMENTAÇÕES</v>
      </c>
      <c r="J1467" s="230">
        <f t="shared" ca="1" si="1056"/>
        <v>1</v>
      </c>
      <c r="K1467" s="228" t="str">
        <f t="shared" ca="1" si="1057"/>
        <v xml:space="preserve">   PISOS E PAVIMENTAÇÕES - 1º PAVIMENTO - SUBSOLO</v>
      </c>
      <c r="L1467" s="231">
        <f t="shared" ca="1" si="1058"/>
        <v>2</v>
      </c>
      <c r="M1467" s="228" t="str">
        <f t="shared" ca="1" si="1059"/>
        <v xml:space="preserve">   Acabamentos em Piso</v>
      </c>
      <c r="N1467" s="231">
        <f t="shared" ca="1" si="1060"/>
        <v>1</v>
      </c>
      <c r="O1467" s="228" t="str">
        <f t="shared" ca="1" si="1061"/>
        <v>Revestimento interno de piso Cerâmico placa 60x60cm - áreas Internos</v>
      </c>
      <c r="P1467" s="232" t="str">
        <f>IF(S1467="","",IF(Orçamento!$B1467="INSUMO",S1467,""))</f>
        <v>ARGAMASSA COLANTE AC II</v>
      </c>
      <c r="Q1467" s="244" t="str">
        <f>IF(B1467="","",IF(B1467="Serviço",S1467,""))</f>
        <v/>
      </c>
      <c r="R1467" s="234">
        <f t="shared" ca="1" si="1062"/>
        <v>301.72999999999996</v>
      </c>
      <c r="S1467" s="233" t="s">
        <v>314</v>
      </c>
      <c r="T1467" s="242" t="str">
        <f>_xlfn.XLOOKUP(S1467,Insumos!$A$3:$A$371,Insumos!$B$3:$B$371)</f>
        <v>KG</v>
      </c>
      <c r="U1467" s="235">
        <f ca="1">IF($B1467="insumo",R1467,"")</f>
        <v>301.72999999999996</v>
      </c>
      <c r="V1467" s="320">
        <v>9</v>
      </c>
      <c r="W1467" s="236">
        <f>IFERROR(IF(B1467="INSUMO",_xlfn.XLOOKUP(S1467,Insumos!A:A,Insumos!C:C),""),"Inserir Preço")</f>
        <v>0.84000000000000008</v>
      </c>
      <c r="X1467" s="235">
        <f t="shared" ca="1" si="1063"/>
        <v>2715.5699999999997</v>
      </c>
      <c r="Y1467" s="236">
        <f t="shared" si="1034"/>
        <v>7.5600000000000005</v>
      </c>
      <c r="Z1467" s="237">
        <f t="shared" ca="1" si="1004"/>
        <v>2281.0787999999998</v>
      </c>
      <c r="AA1467" s="238"/>
      <c r="AB1467" s="233" t="str">
        <f>IF(B1467="insumo",_xlfn.XLOOKUP(S1467,Insumos!A:A,Insumos!D:D),"")</f>
        <v>Argabrus</v>
      </c>
      <c r="AC1467" s="239">
        <f t="shared" ca="1" si="1005"/>
        <v>3.2724155092195083E-4</v>
      </c>
      <c r="AE1467" s="240">
        <f ca="1">IFERROR(IF(OR(Z1467="",Z1467=0),"",IF(AF1467="","",IF(AF1467="R$/mês",Z1467/OBRA!$D$12,IF(AF1467="R$/m²",Z1467/OBRA!$D$10,IF(AF1467="R$/apto",Orçamento!Z1467/OBRA!$D$11,""))))),"")</f>
        <v>1.1738593990418014</v>
      </c>
      <c r="AF1467" s="241" t="s">
        <v>154</v>
      </c>
    </row>
    <row r="1468" spans="1:32" s="10" customFormat="1" ht="13.15" hidden="1" customHeight="1" outlineLevel="4" x14ac:dyDescent="0.2">
      <c r="A1468" s="227"/>
      <c r="B1468" s="228" t="s">
        <v>19</v>
      </c>
      <c r="C1468" s="229">
        <f t="shared" si="1003"/>
        <v>32</v>
      </c>
      <c r="D1468" s="227" t="str">
        <f t="shared" si="1051"/>
        <v/>
      </c>
      <c r="E1468" s="228" t="str">
        <f t="shared" ca="1" si="1052"/>
        <v>15.001.002.001</v>
      </c>
      <c r="F1468" s="230">
        <f ca="1">IF($B1468="UNIDADE CONSTRUTIVA",OFFSET(F1468,-1,0)+1,LARGE(F$10:F1467,1))</f>
        <v>2</v>
      </c>
      <c r="G1468" s="228" t="str">
        <f t="shared" ca="1" si="1053"/>
        <v xml:space="preserve">   GERENCIAMENTO EXECUTIVO</v>
      </c>
      <c r="H1468" s="230">
        <f t="shared" ca="1" si="1054"/>
        <v>15</v>
      </c>
      <c r="I1468" s="228" t="str">
        <f t="shared" ca="1" si="1055"/>
        <v xml:space="preserve">   PISOS E PAVIMENTAÇÕES</v>
      </c>
      <c r="J1468" s="230">
        <f t="shared" ca="1" si="1056"/>
        <v>1</v>
      </c>
      <c r="K1468" s="228" t="str">
        <f t="shared" ca="1" si="1057"/>
        <v xml:space="preserve">   PISOS E PAVIMENTAÇÕES - 1º PAVIMENTO - SUBSOLO</v>
      </c>
      <c r="L1468" s="231">
        <f t="shared" ca="1" si="1058"/>
        <v>2</v>
      </c>
      <c r="M1468" s="228" t="str">
        <f t="shared" ca="1" si="1059"/>
        <v xml:space="preserve">   Acabamentos em Piso</v>
      </c>
      <c r="N1468" s="231">
        <f t="shared" ca="1" si="1060"/>
        <v>1</v>
      </c>
      <c r="O1468" s="228" t="str">
        <f t="shared" ca="1" si="1061"/>
        <v>Revestimento interno de piso Cerâmico placa 60x60cm - áreas Internos</v>
      </c>
      <c r="P1468" s="232" t="str">
        <f>IF(S1468="","",IF(Orçamento!$B1468="INSUMO",S1468,""))</f>
        <v>REJUNTE FLEXIVEL CIMENTICIO TIPO II NBR 14992</v>
      </c>
      <c r="Q1468" s="244" t="str">
        <f>IF(B1468="","",IF(B1468="Serviço",S1468,""))</f>
        <v/>
      </c>
      <c r="R1468" s="234">
        <f t="shared" ca="1" si="1062"/>
        <v>301.72999999999996</v>
      </c>
      <c r="S1468" s="233" t="s">
        <v>734</v>
      </c>
      <c r="T1468" s="242" t="str">
        <f>_xlfn.XLOOKUP(S1468,Insumos!$A$3:$A$371,Insumos!$B$3:$B$371)</f>
        <v>KG</v>
      </c>
      <c r="U1468" s="235">
        <f ca="1">IF($B1468="insumo",R1468,"")</f>
        <v>301.72999999999996</v>
      </c>
      <c r="V1468" s="320">
        <v>0.13</v>
      </c>
      <c r="W1468" s="236">
        <f>IFERROR(IF(B1468="INSUMO",_xlfn.XLOOKUP(S1468,Insumos!A:A,Insumos!C:C),""),"Inserir Preço")</f>
        <v>4.2</v>
      </c>
      <c r="X1468" s="235">
        <f t="shared" ca="1" si="1063"/>
        <v>39.224899999999998</v>
      </c>
      <c r="Y1468" s="236">
        <f t="shared" si="1034"/>
        <v>0.54600000000000004</v>
      </c>
      <c r="Z1468" s="237">
        <f t="shared" ca="1" si="1004"/>
        <v>164.74457999999998</v>
      </c>
      <c r="AA1468" s="238"/>
      <c r="AB1468" s="233" t="str">
        <f>IF(B1468="insumo",_xlfn.XLOOKUP(S1468,Insumos!A:A,Insumos!D:D),"")</f>
        <v>Distribuidora Sika</v>
      </c>
      <c r="AC1468" s="239">
        <f t="shared" ca="1" si="1005"/>
        <v>2.3634112011029783E-5</v>
      </c>
      <c r="AE1468" s="240">
        <f ca="1">IFERROR(IF(OR(Z1468="",Z1468=0),"",IF(AF1468="","",IF(AF1468="R$/mês",Z1468/OBRA!$D$12,IF(AF1468="R$/m²",Z1468/OBRA!$D$10,IF(AF1468="R$/apto",Orçamento!Z1468/OBRA!$D$11,""))))),"")</f>
        <v>8.4778734375241208E-2</v>
      </c>
      <c r="AF1468" s="241" t="s">
        <v>154</v>
      </c>
    </row>
    <row r="1469" spans="1:32" s="10" customFormat="1" ht="13.15" hidden="1" customHeight="1" outlineLevel="4" x14ac:dyDescent="0.2">
      <c r="A1469" s="227"/>
      <c r="B1469" s="228" t="s">
        <v>19</v>
      </c>
      <c r="C1469" s="229">
        <f t="shared" si="1003"/>
        <v>15</v>
      </c>
      <c r="D1469" s="227" t="str">
        <f t="shared" si="1051"/>
        <v/>
      </c>
      <c r="E1469" s="228" t="str">
        <f t="shared" ca="1" si="1052"/>
        <v>15.001.002.001</v>
      </c>
      <c r="F1469" s="230">
        <f ca="1">IF($B1469="UNIDADE CONSTRUTIVA",OFFSET(F1469,-1,0)+1,LARGE(F$10:F1468,1))</f>
        <v>2</v>
      </c>
      <c r="G1469" s="228" t="str">
        <f t="shared" ca="1" si="1053"/>
        <v xml:space="preserve">   GERENCIAMENTO EXECUTIVO</v>
      </c>
      <c r="H1469" s="230">
        <f t="shared" ca="1" si="1054"/>
        <v>15</v>
      </c>
      <c r="I1469" s="228" t="str">
        <f t="shared" ca="1" si="1055"/>
        <v xml:space="preserve">   PISOS E PAVIMENTAÇÕES</v>
      </c>
      <c r="J1469" s="230">
        <f t="shared" ca="1" si="1056"/>
        <v>1</v>
      </c>
      <c r="K1469" s="228" t="str">
        <f t="shared" ca="1" si="1057"/>
        <v xml:space="preserve">   PISOS E PAVIMENTAÇÕES - 1º PAVIMENTO - SUBSOLO</v>
      </c>
      <c r="L1469" s="231">
        <f t="shared" ca="1" si="1058"/>
        <v>2</v>
      </c>
      <c r="M1469" s="228" t="str">
        <f t="shared" ca="1" si="1059"/>
        <v xml:space="preserve">   Acabamentos em Piso</v>
      </c>
      <c r="N1469" s="231">
        <f t="shared" ca="1" si="1060"/>
        <v>1</v>
      </c>
      <c r="O1469" s="228" t="str">
        <f t="shared" ca="1" si="1061"/>
        <v>Revestimento interno de piso Cerâmico placa 60x60cm - áreas Internos</v>
      </c>
      <c r="P1469" s="232" t="str">
        <f>IF(S1469="","",IF(Orçamento!$B1469="INSUMO",S1469,""))</f>
        <v>ESPACADOR PVC JUNTA PISO 3,0MM NBR 6118</v>
      </c>
      <c r="Q1469" s="244" t="str">
        <f>IF(B1469="","",IF(B1469="Serviço",S1469,""))</f>
        <v/>
      </c>
      <c r="R1469" s="234">
        <f t="shared" ca="1" si="1062"/>
        <v>301.72999999999996</v>
      </c>
      <c r="S1469" s="233" t="s">
        <v>716</v>
      </c>
      <c r="T1469" s="242" t="str">
        <f>_xlfn.XLOOKUP(S1469,Insumos!$A$3:$A$371,Insumos!$B$3:$B$371)</f>
        <v>UN</v>
      </c>
      <c r="U1469" s="235">
        <f ca="1">IF($B1469="insumo",R1469,"")</f>
        <v>301.72999999999996</v>
      </c>
      <c r="V1469" s="320">
        <v>4</v>
      </c>
      <c r="W1469" s="236">
        <f>IFERROR(IF(B1469="INSUMO",_xlfn.XLOOKUP(S1469,Insumos!A:A,Insumos!C:C),""),"Inserir Preço")</f>
        <v>0.22</v>
      </c>
      <c r="X1469" s="235">
        <f t="shared" ca="1" si="1063"/>
        <v>1206.9199999999998</v>
      </c>
      <c r="Y1469" s="236">
        <f t="shared" si="1034"/>
        <v>0.88</v>
      </c>
      <c r="Z1469" s="237">
        <f t="shared" ca="1" si="1004"/>
        <v>265.52239999999995</v>
      </c>
      <c r="AA1469" s="238"/>
      <c r="AB1469" s="233" t="str">
        <f>IF(B1469="insumo",_xlfn.XLOOKUP(S1469,Insumos!A:A,Insumos!D:D),"")</f>
        <v>Base de Dados</v>
      </c>
      <c r="AC1469" s="239">
        <f t="shared" ca="1" si="1005"/>
        <v>3.8091609102026017E-5</v>
      </c>
      <c r="AE1469" s="240">
        <f ca="1">IFERROR(IF(OR(Z1469="",Z1469=0),"",IF(AF1469="","",IF(AF1469="R$/mês",Z1469/OBRA!$D$12,IF(AF1469="R$/m²",Z1469/OBRA!$D$10,IF(AF1469="R$/apto",Orçamento!Z1469/OBRA!$D$11,""))))),"")</f>
        <v>0.13663971840698216</v>
      </c>
      <c r="AF1469" s="241" t="s">
        <v>154</v>
      </c>
    </row>
    <row r="1470" spans="1:32" s="10" customFormat="1" ht="13.15" hidden="1" customHeight="1" outlineLevel="4" x14ac:dyDescent="0.2">
      <c r="A1470" s="227"/>
      <c r="B1470" s="228" t="s">
        <v>19</v>
      </c>
      <c r="C1470" s="229">
        <f t="shared" si="1003"/>
        <v>13</v>
      </c>
      <c r="D1470" s="227" t="str">
        <f t="shared" si="1051"/>
        <v/>
      </c>
      <c r="E1470" s="228" t="str">
        <f t="shared" ca="1" si="1052"/>
        <v>15.001.002.001</v>
      </c>
      <c r="F1470" s="230">
        <f ca="1">IF($B1470="UNIDADE CONSTRUTIVA",OFFSET(F1470,-1,0)+1,LARGE(F$10:F1469,1))</f>
        <v>2</v>
      </c>
      <c r="G1470" s="228" t="str">
        <f t="shared" ca="1" si="1053"/>
        <v xml:space="preserve">   GERENCIAMENTO EXECUTIVO</v>
      </c>
      <c r="H1470" s="230">
        <f t="shared" ca="1" si="1054"/>
        <v>15</v>
      </c>
      <c r="I1470" s="228" t="str">
        <f t="shared" ca="1" si="1055"/>
        <v xml:space="preserve">   PISOS E PAVIMENTAÇÕES</v>
      </c>
      <c r="J1470" s="230">
        <f t="shared" ca="1" si="1056"/>
        <v>1</v>
      </c>
      <c r="K1470" s="228" t="str">
        <f t="shared" ca="1" si="1057"/>
        <v xml:space="preserve">   PISOS E PAVIMENTAÇÕES - 1º PAVIMENTO - SUBSOLO</v>
      </c>
      <c r="L1470" s="231">
        <f t="shared" ca="1" si="1058"/>
        <v>2</v>
      </c>
      <c r="M1470" s="228" t="str">
        <f t="shared" ca="1" si="1059"/>
        <v xml:space="preserve">   Acabamentos em Piso</v>
      </c>
      <c r="N1470" s="231">
        <f t="shared" ca="1" si="1060"/>
        <v>1</v>
      </c>
      <c r="O1470" s="228" t="str">
        <f t="shared" ca="1" si="1061"/>
        <v>Revestimento interno de piso Cerâmico placa 60x60cm - áreas Internos</v>
      </c>
      <c r="P1470" s="232" t="str">
        <f>IF(S1470="","",IF(Orçamento!$B1470="INSUMO",S1470,""))</f>
        <v>REVESTIMENTO - HANGAR CHICAGO 60X60 NAT BOLD</v>
      </c>
      <c r="Q1470" s="244" t="str">
        <f>IF(B1470="","",IF(B1470="Serviço",S1470,""))</f>
        <v/>
      </c>
      <c r="R1470" s="234">
        <f t="shared" ca="1" si="1062"/>
        <v>301.72999999999996</v>
      </c>
      <c r="S1470" s="233" t="s">
        <v>912</v>
      </c>
      <c r="T1470" s="242" t="str">
        <f>_xlfn.XLOOKUP(S1470,Insumos!$A$3:$A$371,Insumos!$B$3:$B$371)</f>
        <v>M2</v>
      </c>
      <c r="U1470" s="235">
        <f ca="1">IF($B1470="insumo",R1470,"")</f>
        <v>301.72999999999996</v>
      </c>
      <c r="V1470" s="320">
        <v>1.1000000000000001</v>
      </c>
      <c r="W1470" s="236">
        <f>IFERROR(IF(B1470="INSUMO",_xlfn.XLOOKUP(S1470,Insumos!A:A,Insumos!C:C),""),"Inserir Preço")</f>
        <v>45.19</v>
      </c>
      <c r="X1470" s="235">
        <f t="shared" ca="1" si="1063"/>
        <v>331.90299999999996</v>
      </c>
      <c r="Y1470" s="236">
        <f t="shared" si="1034"/>
        <v>49.709000000000003</v>
      </c>
      <c r="Z1470" s="237">
        <f t="shared" ca="1" si="1004"/>
        <v>14998.696569999998</v>
      </c>
      <c r="AA1470" s="238"/>
      <c r="AB1470" s="233" t="str">
        <f>IF(B1470="insumo",_xlfn.XLOOKUP(S1470,Insumos!A:A,Insumos!D:D),"")</f>
        <v>Portobelo</v>
      </c>
      <c r="AC1470" s="239">
        <f t="shared" ca="1" si="1005"/>
        <v>2.1516997691506949E-3</v>
      </c>
      <c r="AE1470" s="240">
        <f ca="1">IFERROR(IF(OR(Z1470="",Z1470=0),"",IF(AF1470="","",IF(AF1470="R$/mês",Z1470/OBRA!$D$12,IF(AF1470="R$/m²",Z1470/OBRA!$D$10,IF(AF1470="R$/apto",Orçamento!Z1470/OBRA!$D$11,""))))),"")</f>
        <v>7.7184360935144056</v>
      </c>
      <c r="AF1470" s="241" t="s">
        <v>154</v>
      </c>
    </row>
    <row r="1471" spans="1:32" s="10" customFormat="1" ht="13.15" hidden="1" customHeight="1" outlineLevel="4" x14ac:dyDescent="0.2">
      <c r="A1471" s="227"/>
      <c r="B1471" s="228" t="s">
        <v>4</v>
      </c>
      <c r="C1471" s="229">
        <f t="shared" si="1003"/>
        <v>4</v>
      </c>
      <c r="D1471" s="227" t="str">
        <f t="shared" ca="1" si="1051"/>
        <v>15.001.002.002</v>
      </c>
      <c r="E1471" s="228" t="str">
        <f t="shared" ca="1" si="1052"/>
        <v>15.001.002.002</v>
      </c>
      <c r="F1471" s="230">
        <f ca="1">IF($B1471="UNIDADE CONSTRUTIVA",OFFSET(F1471,-1,0)+1,LARGE(F$10:F1470,1))</f>
        <v>2</v>
      </c>
      <c r="G1471" s="228" t="str">
        <f t="shared" ca="1" si="1053"/>
        <v xml:space="preserve">   GERENCIAMENTO EXECUTIVO</v>
      </c>
      <c r="H1471" s="230">
        <f t="shared" ca="1" si="1054"/>
        <v>15</v>
      </c>
      <c r="I1471" s="228" t="str">
        <f t="shared" ca="1" si="1055"/>
        <v xml:space="preserve">   PISOS E PAVIMENTAÇÕES</v>
      </c>
      <c r="J1471" s="230">
        <f t="shared" ca="1" si="1056"/>
        <v>1</v>
      </c>
      <c r="K1471" s="228" t="str">
        <f t="shared" ca="1" si="1057"/>
        <v xml:space="preserve">   PISOS E PAVIMENTAÇÕES - 1º PAVIMENTO - SUBSOLO</v>
      </c>
      <c r="L1471" s="231">
        <f t="shared" ca="1" si="1058"/>
        <v>2</v>
      </c>
      <c r="M1471" s="228" t="str">
        <f t="shared" ca="1" si="1059"/>
        <v xml:space="preserve">   Acabamentos em Piso</v>
      </c>
      <c r="N1471" s="231">
        <f t="shared" ca="1" si="1060"/>
        <v>2</v>
      </c>
      <c r="O1471" s="228" t="str">
        <f t="shared" ca="1" si="1061"/>
        <v>Revestimento interno de piso porcelanato placa 80x80cm - áreas externas</v>
      </c>
      <c r="P1471" s="232" t="str">
        <f>IF(S1471="","",IF(Orçamento!$B1471="INSUMO",S1471,""))</f>
        <v/>
      </c>
      <c r="Q1471" s="244" t="str">
        <f t="shared" si="1011"/>
        <v>Revestimento interno de piso porcelanato placa 80x80cm - áreas externas</v>
      </c>
      <c r="R1471" s="234">
        <f t="shared" ca="1" si="1062"/>
        <v>7.29</v>
      </c>
      <c r="S1471" s="233" t="s">
        <v>1109</v>
      </c>
      <c r="T1471" s="242" t="s">
        <v>140</v>
      </c>
      <c r="U1471" s="235">
        <v>7.29</v>
      </c>
      <c r="V1471" s="320" t="s">
        <v>35</v>
      </c>
      <c r="W1471" s="236" t="str">
        <f>IFERROR(IF(B1471="INSUMO",_xlfn.XLOOKUP(S1471,Insumos!A:A,Insumos!C:C),""),"Inserir Preço")</f>
        <v/>
      </c>
      <c r="X1471" s="235">
        <f t="shared" ca="1" si="1063"/>
        <v>7.29</v>
      </c>
      <c r="Y1471" s="236">
        <f t="shared" ca="1" si="1034"/>
        <v>75.704999999999998</v>
      </c>
      <c r="Z1471" s="237">
        <f t="shared" ca="1" si="1004"/>
        <v>551.88945000000001</v>
      </c>
      <c r="AA1471" s="238"/>
      <c r="AB1471" s="233" t="str">
        <f>IF(B1471="insumo",_xlfn.XLOOKUP(S1471,Insumos!A:A,Insumos!D:D),"")</f>
        <v/>
      </c>
      <c r="AC1471" s="239">
        <f t="shared" ca="1" si="1005"/>
        <v>7.9173573291489296E-5</v>
      </c>
      <c r="AE1471" s="240">
        <f ca="1">IFERROR(IF(OR(Z1471="",Z1471=0),"",IF(AF1471="","",IF(AF1471="R$/mês",Z1471/OBRA!$D$12,IF(AF1471="R$/m²",Z1471/OBRA!$D$10,IF(AF1471="R$/apto",Orçamento!Z1471/OBRA!$D$11,""))))),"")</f>
        <v>0.28400624218440434</v>
      </c>
      <c r="AF1471" s="241" t="s">
        <v>154</v>
      </c>
    </row>
    <row r="1472" spans="1:32" s="10" customFormat="1" ht="13.15" hidden="1" customHeight="1" outlineLevel="4" x14ac:dyDescent="0.2">
      <c r="A1472" s="227"/>
      <c r="B1472" s="228" t="s">
        <v>19</v>
      </c>
      <c r="C1472" s="229">
        <f t="shared" si="1003"/>
        <v>23</v>
      </c>
      <c r="D1472" s="227" t="str">
        <f t="shared" si="1051"/>
        <v/>
      </c>
      <c r="E1472" s="228" t="str">
        <f t="shared" ca="1" si="1052"/>
        <v>15.001.002.002</v>
      </c>
      <c r="F1472" s="230">
        <f ca="1">IF($B1472="UNIDADE CONSTRUTIVA",OFFSET(F1472,-1,0)+1,LARGE(F$10:F1471,1))</f>
        <v>2</v>
      </c>
      <c r="G1472" s="228" t="str">
        <f t="shared" ca="1" si="1053"/>
        <v xml:space="preserve">   GERENCIAMENTO EXECUTIVO</v>
      </c>
      <c r="H1472" s="230">
        <f t="shared" ca="1" si="1054"/>
        <v>15</v>
      </c>
      <c r="I1472" s="228" t="str">
        <f t="shared" ca="1" si="1055"/>
        <v xml:space="preserve">   PISOS E PAVIMENTAÇÕES</v>
      </c>
      <c r="J1472" s="230">
        <f t="shared" ca="1" si="1056"/>
        <v>1</v>
      </c>
      <c r="K1472" s="228" t="str">
        <f t="shared" ca="1" si="1057"/>
        <v xml:space="preserve">   PISOS E PAVIMENTAÇÕES - 1º PAVIMENTO - SUBSOLO</v>
      </c>
      <c r="L1472" s="231">
        <f t="shared" ca="1" si="1058"/>
        <v>2</v>
      </c>
      <c r="M1472" s="228" t="str">
        <f t="shared" ca="1" si="1059"/>
        <v xml:space="preserve">   Acabamentos em Piso</v>
      </c>
      <c r="N1472" s="231">
        <f t="shared" ca="1" si="1060"/>
        <v>2</v>
      </c>
      <c r="O1472" s="228" t="str">
        <f t="shared" ca="1" si="1061"/>
        <v>Revestimento interno de piso porcelanato placa 80x80cm - áreas externas</v>
      </c>
      <c r="P1472" s="232" t="str">
        <f>IF(S1472="","",IF(Orçamento!$B1472="INSUMO",S1472,""))</f>
        <v>ARGAMASSA COLANTE AC II</v>
      </c>
      <c r="Q1472" s="244" t="str">
        <f t="shared" si="1011"/>
        <v/>
      </c>
      <c r="R1472" s="234">
        <f t="shared" ca="1" si="1062"/>
        <v>7.29</v>
      </c>
      <c r="S1472" s="233" t="s">
        <v>314</v>
      </c>
      <c r="T1472" s="242" t="str">
        <f>_xlfn.XLOOKUP(S1472,Insumos!$A$3:$A$371,Insumos!$B$3:$B$371)</f>
        <v>KG</v>
      </c>
      <c r="U1472" s="235">
        <f t="shared" ref="U1472:U1477" ca="1" si="1064">IF($B1472="insumo",R1472,"")</f>
        <v>7.29</v>
      </c>
      <c r="V1472" s="320">
        <v>9</v>
      </c>
      <c r="W1472" s="236">
        <f>IFERROR(IF(B1472="INSUMO",_xlfn.XLOOKUP(S1472,Insumos!A:A,Insumos!C:C),""),"Inserir Preço")</f>
        <v>0.84000000000000008</v>
      </c>
      <c r="X1472" s="235">
        <f t="shared" ca="1" si="1063"/>
        <v>65.61</v>
      </c>
      <c r="Y1472" s="236">
        <f t="shared" si="1034"/>
        <v>7.5600000000000005</v>
      </c>
      <c r="Z1472" s="237">
        <f t="shared" ca="1" si="1004"/>
        <v>55.112400000000008</v>
      </c>
      <c r="AA1472" s="238"/>
      <c r="AB1472" s="233" t="str">
        <f>IF(B1472="insumo",_xlfn.XLOOKUP(S1472,Insumos!A:A,Insumos!D:D),"")</f>
        <v>Argabrus</v>
      </c>
      <c r="AC1472" s="239">
        <f t="shared" ca="1" si="1005"/>
        <v>7.9063762510225105E-6</v>
      </c>
      <c r="AE1472" s="240">
        <f ca="1">IFERROR(IF(OR(Z1472="",Z1472=0),"",IF(AF1472="","",IF(AF1472="R$/mês",Z1472/OBRA!$D$12,IF(AF1472="R$/m²",Z1472/OBRA!$D$10,IF(AF1472="R$/apto",Orçamento!Z1472/OBRA!$D$11,""))))),"")</f>
        <v>2.8361233616195719E-2</v>
      </c>
      <c r="AF1472" s="241" t="s">
        <v>154</v>
      </c>
    </row>
    <row r="1473" spans="1:32" s="10" customFormat="1" ht="13.15" hidden="1" customHeight="1" outlineLevel="4" x14ac:dyDescent="0.2">
      <c r="A1473" s="227"/>
      <c r="B1473" s="228" t="s">
        <v>19</v>
      </c>
      <c r="C1473" s="229">
        <f t="shared" si="1003"/>
        <v>32</v>
      </c>
      <c r="D1473" s="227" t="str">
        <f t="shared" si="1051"/>
        <v/>
      </c>
      <c r="E1473" s="228" t="str">
        <f t="shared" ca="1" si="1052"/>
        <v>15.001.002.002</v>
      </c>
      <c r="F1473" s="230">
        <f ca="1">IF($B1473="UNIDADE CONSTRUTIVA",OFFSET(F1473,-1,0)+1,LARGE(F$10:F1472,1))</f>
        <v>2</v>
      </c>
      <c r="G1473" s="228" t="str">
        <f t="shared" ca="1" si="1053"/>
        <v xml:space="preserve">   GERENCIAMENTO EXECUTIVO</v>
      </c>
      <c r="H1473" s="230">
        <f t="shared" ca="1" si="1054"/>
        <v>15</v>
      </c>
      <c r="I1473" s="228" t="str">
        <f t="shared" ca="1" si="1055"/>
        <v xml:space="preserve">   PISOS E PAVIMENTAÇÕES</v>
      </c>
      <c r="J1473" s="230">
        <f t="shared" ca="1" si="1056"/>
        <v>1</v>
      </c>
      <c r="K1473" s="228" t="str">
        <f t="shared" ca="1" si="1057"/>
        <v xml:space="preserve">   PISOS E PAVIMENTAÇÕES - 1º PAVIMENTO - SUBSOLO</v>
      </c>
      <c r="L1473" s="231">
        <f t="shared" ca="1" si="1058"/>
        <v>2</v>
      </c>
      <c r="M1473" s="228" t="str">
        <f t="shared" ca="1" si="1059"/>
        <v xml:space="preserve">   Acabamentos em Piso</v>
      </c>
      <c r="N1473" s="231">
        <f t="shared" ca="1" si="1060"/>
        <v>2</v>
      </c>
      <c r="O1473" s="228" t="str">
        <f t="shared" ca="1" si="1061"/>
        <v>Revestimento interno de piso porcelanato placa 80x80cm - áreas externas</v>
      </c>
      <c r="P1473" s="232" t="str">
        <f>IF(S1473="","",IF(Orçamento!$B1473="INSUMO",S1473,""))</f>
        <v>REJUNTE FLEXIVEL CIMENTICIO TIPO II NBR 14992</v>
      </c>
      <c r="Q1473" s="244" t="str">
        <f t="shared" si="1011"/>
        <v/>
      </c>
      <c r="R1473" s="234">
        <f t="shared" ca="1" si="1062"/>
        <v>7.29</v>
      </c>
      <c r="S1473" s="233" t="s">
        <v>734</v>
      </c>
      <c r="T1473" s="242" t="str">
        <f>_xlfn.XLOOKUP(S1473,Insumos!$A$3:$A$371,Insumos!$B$3:$B$371)</f>
        <v>KG</v>
      </c>
      <c r="U1473" s="235">
        <f t="shared" ca="1" si="1064"/>
        <v>7.29</v>
      </c>
      <c r="V1473" s="320">
        <v>0.13</v>
      </c>
      <c r="W1473" s="236">
        <f>IFERROR(IF(B1473="INSUMO",_xlfn.XLOOKUP(S1473,Insumos!A:A,Insumos!C:C),""),"Inserir Preço")</f>
        <v>4.2</v>
      </c>
      <c r="X1473" s="235">
        <f t="shared" ca="1" si="1063"/>
        <v>0.94769999999999999</v>
      </c>
      <c r="Y1473" s="236">
        <f t="shared" si="1034"/>
        <v>0.54600000000000004</v>
      </c>
      <c r="Z1473" s="237">
        <f t="shared" ca="1" si="1004"/>
        <v>3.98034</v>
      </c>
      <c r="AA1473" s="238"/>
      <c r="AB1473" s="233" t="str">
        <f>IF(B1473="insumo",_xlfn.XLOOKUP(S1473,Insumos!A:A,Insumos!D:D),"")</f>
        <v>Distribuidora Sika</v>
      </c>
      <c r="AC1473" s="239">
        <f t="shared" ca="1" si="1005"/>
        <v>5.7101606257384793E-7</v>
      </c>
      <c r="AE1473" s="240">
        <f ca="1">IFERROR(IF(OR(Z1473="",Z1473=0),"",IF(AF1473="","",IF(AF1473="R$/mês",Z1473/OBRA!$D$12,IF(AF1473="R$/m²",Z1473/OBRA!$D$10,IF(AF1473="R$/apto",Orçamento!Z1473/OBRA!$D$11,""))))),"")</f>
        <v>2.048311316725246E-3</v>
      </c>
      <c r="AF1473" s="241" t="s">
        <v>154</v>
      </c>
    </row>
    <row r="1474" spans="1:32" s="10" customFormat="1" ht="13.15" hidden="1" customHeight="1" outlineLevel="4" x14ac:dyDescent="0.2">
      <c r="A1474" s="227"/>
      <c r="B1474" s="228" t="s">
        <v>19</v>
      </c>
      <c r="C1474" s="229">
        <f t="shared" si="1003"/>
        <v>14</v>
      </c>
      <c r="D1474" s="227" t="str">
        <f t="shared" si="1051"/>
        <v/>
      </c>
      <c r="E1474" s="228" t="str">
        <f t="shared" ca="1" si="1052"/>
        <v>15.001.002.002</v>
      </c>
      <c r="F1474" s="230">
        <f ca="1">IF($B1474="UNIDADE CONSTRUTIVA",OFFSET(F1474,-1,0)+1,LARGE(F$10:F1473,1))</f>
        <v>2</v>
      </c>
      <c r="G1474" s="228" t="str">
        <f t="shared" ca="1" si="1053"/>
        <v xml:space="preserve">   GERENCIAMENTO EXECUTIVO</v>
      </c>
      <c r="H1474" s="230">
        <f t="shared" ca="1" si="1054"/>
        <v>15</v>
      </c>
      <c r="I1474" s="228" t="str">
        <f t="shared" ca="1" si="1055"/>
        <v xml:space="preserve">   PISOS E PAVIMENTAÇÕES</v>
      </c>
      <c r="J1474" s="230">
        <f t="shared" ca="1" si="1056"/>
        <v>1</v>
      </c>
      <c r="K1474" s="228" t="str">
        <f t="shared" ca="1" si="1057"/>
        <v xml:space="preserve">   PISOS E PAVIMENTAÇÕES - 1º PAVIMENTO - SUBSOLO</v>
      </c>
      <c r="L1474" s="231">
        <f t="shared" ca="1" si="1058"/>
        <v>2</v>
      </c>
      <c r="M1474" s="228" t="str">
        <f t="shared" ca="1" si="1059"/>
        <v xml:space="preserve">   Acabamentos em Piso</v>
      </c>
      <c r="N1474" s="231">
        <f t="shared" ca="1" si="1060"/>
        <v>2</v>
      </c>
      <c r="O1474" s="228" t="str">
        <f t="shared" ca="1" si="1061"/>
        <v>Revestimento interno de piso porcelanato placa 80x80cm - áreas externas</v>
      </c>
      <c r="P1474" s="232" t="str">
        <f>IF(S1474="","",IF(Orçamento!$B1474="INSUMO",S1474,""))</f>
        <v>CUNHA PVC P/NIVELAMENTO PISO NBR 6118</v>
      </c>
      <c r="Q1474" s="244" t="str">
        <f>IF(B1474="","",IF(B1474="Serviço",S1474,""))</f>
        <v/>
      </c>
      <c r="R1474" s="234">
        <f t="shared" ca="1" si="1062"/>
        <v>7.29</v>
      </c>
      <c r="S1474" s="233" t="s">
        <v>717</v>
      </c>
      <c r="T1474" s="242" t="str">
        <f>_xlfn.XLOOKUP(S1474,Insumos!$A$3:$A$371,Insumos!$B$3:$B$371)</f>
        <v>UN</v>
      </c>
      <c r="U1474" s="235">
        <f t="shared" ca="1" si="1064"/>
        <v>7.29</v>
      </c>
      <c r="V1474" s="320">
        <v>2</v>
      </c>
      <c r="W1474" s="236">
        <f>IFERROR(IF(B1474="INSUMO",_xlfn.XLOOKUP(S1474,Insumos!A:A,Insumos!C:C),""),"Inserir Preço")</f>
        <v>0.2</v>
      </c>
      <c r="X1474" s="235">
        <f t="shared" ca="1" si="1063"/>
        <v>14.58</v>
      </c>
      <c r="Y1474" s="236">
        <f t="shared" si="1034"/>
        <v>0.4</v>
      </c>
      <c r="Z1474" s="237">
        <f t="shared" ca="1" si="1004"/>
        <v>2.9160000000000004</v>
      </c>
      <c r="AA1474" s="238"/>
      <c r="AB1474" s="233" t="str">
        <f>IF(B1474="insumo",_xlfn.XLOOKUP(S1474,Insumos!A:A,Insumos!D:D),"")</f>
        <v>Base de Dados</v>
      </c>
      <c r="AC1474" s="239">
        <f t="shared" ca="1" si="1005"/>
        <v>4.1832678576838684E-7</v>
      </c>
      <c r="AE1474" s="240">
        <f ca="1">IFERROR(IF(OR(Z1474="",Z1474=0),"",IF(AF1474="","",IF(AF1474="R$/mês",Z1474/OBRA!$D$12,IF(AF1474="R$/m²",Z1474/OBRA!$D$10,IF(AF1474="R$/apto",Orçamento!Z1474/OBRA!$D$11,""))))),"")</f>
        <v>1.5005943712272866E-3</v>
      </c>
      <c r="AF1474" s="241" t="s">
        <v>154</v>
      </c>
    </row>
    <row r="1475" spans="1:32" s="10" customFormat="1" ht="13.15" hidden="1" customHeight="1" outlineLevel="4" x14ac:dyDescent="0.2">
      <c r="A1475" s="227"/>
      <c r="B1475" s="228" t="s">
        <v>19</v>
      </c>
      <c r="C1475" s="229">
        <f t="shared" si="1003"/>
        <v>14</v>
      </c>
      <c r="D1475" s="227" t="str">
        <f t="shared" si="1051"/>
        <v/>
      </c>
      <c r="E1475" s="228" t="str">
        <f t="shared" ca="1" si="1052"/>
        <v>15.001.002.002</v>
      </c>
      <c r="F1475" s="230">
        <f ca="1">IF($B1475="UNIDADE CONSTRUTIVA",OFFSET(F1475,-1,0)+1,LARGE(F$10:F1474,1))</f>
        <v>2</v>
      </c>
      <c r="G1475" s="228" t="str">
        <f t="shared" ca="1" si="1053"/>
        <v xml:space="preserve">   GERENCIAMENTO EXECUTIVO</v>
      </c>
      <c r="H1475" s="230">
        <f t="shared" ca="1" si="1054"/>
        <v>15</v>
      </c>
      <c r="I1475" s="228" t="str">
        <f t="shared" ca="1" si="1055"/>
        <v xml:space="preserve">   PISOS E PAVIMENTAÇÕES</v>
      </c>
      <c r="J1475" s="230">
        <f t="shared" ca="1" si="1056"/>
        <v>1</v>
      </c>
      <c r="K1475" s="228" t="str">
        <f t="shared" ca="1" si="1057"/>
        <v xml:space="preserve">   PISOS E PAVIMENTAÇÕES - 1º PAVIMENTO - SUBSOLO</v>
      </c>
      <c r="L1475" s="231">
        <f t="shared" ca="1" si="1058"/>
        <v>2</v>
      </c>
      <c r="M1475" s="228" t="str">
        <f t="shared" ca="1" si="1059"/>
        <v xml:space="preserve">   Acabamentos em Piso</v>
      </c>
      <c r="N1475" s="231">
        <f t="shared" ca="1" si="1060"/>
        <v>2</v>
      </c>
      <c r="O1475" s="228" t="str">
        <f t="shared" ca="1" si="1061"/>
        <v>Revestimento interno de piso porcelanato placa 80x80cm - áreas externas</v>
      </c>
      <c r="P1475" s="232" t="str">
        <f>IF(S1475="","",IF(Orçamento!$B1475="INSUMO",S1475,""))</f>
        <v>ESPACADOR PVC NIVELAMENTO REVESTIMENTO 1,0MM NBR 6118</v>
      </c>
      <c r="Q1475" s="244" t="str">
        <f>IF(B1475="","",IF(B1475="Serviço",S1475,""))</f>
        <v/>
      </c>
      <c r="R1475" s="234">
        <f t="shared" ca="1" si="1062"/>
        <v>7.29</v>
      </c>
      <c r="S1475" s="233" t="s">
        <v>715</v>
      </c>
      <c r="T1475" s="242" t="str">
        <f>_xlfn.XLOOKUP(S1475,Insumos!$A$3:$A$371,Insumos!$B$3:$B$371)</f>
        <v>UN</v>
      </c>
      <c r="U1475" s="235">
        <f t="shared" ca="1" si="1064"/>
        <v>7.29</v>
      </c>
      <c r="V1475" s="320">
        <v>4</v>
      </c>
      <c r="W1475" s="236">
        <f>IFERROR(IF(B1475="INSUMO",_xlfn.XLOOKUP(S1475,Insumos!A:A,Insumos!C:C),""),"Inserir Preço")</f>
        <v>0.22</v>
      </c>
      <c r="X1475" s="235">
        <f t="shared" ca="1" si="1063"/>
        <v>29.16</v>
      </c>
      <c r="Y1475" s="236">
        <f t="shared" si="1034"/>
        <v>0.88</v>
      </c>
      <c r="Z1475" s="237">
        <f t="shared" ca="1" si="1004"/>
        <v>6.4152000000000005</v>
      </c>
      <c r="AA1475" s="238"/>
      <c r="AB1475" s="233" t="str">
        <f>IF(B1475="insumo",_xlfn.XLOOKUP(S1475,Insumos!A:A,Insumos!D:D),"")</f>
        <v>Base de Dados</v>
      </c>
      <c r="AC1475" s="239">
        <f t="shared" ca="1" si="1005"/>
        <v>9.2031892869045091E-7</v>
      </c>
      <c r="AE1475" s="240">
        <f ca="1">IFERROR(IF(OR(Z1475="",Z1475=0),"",IF(AF1475="","",IF(AF1475="R$/mês",Z1475/OBRA!$D$12,IF(AF1475="R$/m²",Z1475/OBRA!$D$10,IF(AF1475="R$/apto",Orçamento!Z1475/OBRA!$D$11,""))))),"")</f>
        <v>3.3013076167000307E-3</v>
      </c>
      <c r="AF1475" s="241" t="s">
        <v>154</v>
      </c>
    </row>
    <row r="1476" spans="1:32" s="10" customFormat="1" ht="13.15" hidden="1" customHeight="1" outlineLevel="4" x14ac:dyDescent="0.2">
      <c r="A1476" s="227"/>
      <c r="B1476" s="228" t="s">
        <v>19</v>
      </c>
      <c r="C1476" s="229">
        <f t="shared" si="1003"/>
        <v>6</v>
      </c>
      <c r="D1476" s="227" t="str">
        <f t="shared" si="1051"/>
        <v/>
      </c>
      <c r="E1476" s="228" t="str">
        <f t="shared" ca="1" si="1052"/>
        <v>15.001.002.002</v>
      </c>
      <c r="F1476" s="230">
        <f ca="1">IF($B1476="UNIDADE CONSTRUTIVA",OFFSET(F1476,-1,0)+1,LARGE(F$10:F1475,1))</f>
        <v>2</v>
      </c>
      <c r="G1476" s="228" t="str">
        <f t="shared" ca="1" si="1053"/>
        <v xml:space="preserve">   GERENCIAMENTO EXECUTIVO</v>
      </c>
      <c r="H1476" s="230">
        <f t="shared" ca="1" si="1054"/>
        <v>15</v>
      </c>
      <c r="I1476" s="228" t="str">
        <f t="shared" ca="1" si="1055"/>
        <v xml:space="preserve">   PISOS E PAVIMENTAÇÕES</v>
      </c>
      <c r="J1476" s="230">
        <f t="shared" ca="1" si="1056"/>
        <v>1</v>
      </c>
      <c r="K1476" s="228" t="str">
        <f t="shared" ca="1" si="1057"/>
        <v xml:space="preserve">   PISOS E PAVIMENTAÇÕES - 1º PAVIMENTO - SUBSOLO</v>
      </c>
      <c r="L1476" s="231">
        <f t="shared" ca="1" si="1058"/>
        <v>2</v>
      </c>
      <c r="M1476" s="228" t="str">
        <f t="shared" ca="1" si="1059"/>
        <v xml:space="preserve">   Acabamentos em Piso</v>
      </c>
      <c r="N1476" s="231">
        <f t="shared" ca="1" si="1060"/>
        <v>2</v>
      </c>
      <c r="O1476" s="228" t="str">
        <f t="shared" ca="1" si="1061"/>
        <v>Revestimento interno de piso porcelanato placa 80x80cm - áreas externas</v>
      </c>
      <c r="P1476" s="232" t="str">
        <f>IF(S1476="","",IF(Orçamento!$B1476="INSUMO",S1476,""))</f>
        <v>REVESTIMENTO - HIT GRIS 80X80 NAT RET</v>
      </c>
      <c r="Q1476" s="244" t="str">
        <f t="shared" si="1011"/>
        <v/>
      </c>
      <c r="R1476" s="234">
        <f t="shared" ca="1" si="1062"/>
        <v>7.29</v>
      </c>
      <c r="S1476" s="233" t="s">
        <v>911</v>
      </c>
      <c r="T1476" s="242" t="str">
        <f>_xlfn.XLOOKUP(S1476,Insumos!$A$3:$A$371,Insumos!$B$3:$B$371)</f>
        <v>M2</v>
      </c>
      <c r="U1476" s="235">
        <f t="shared" ca="1" si="1064"/>
        <v>7.29</v>
      </c>
      <c r="V1476" s="320">
        <v>1.1000000000000001</v>
      </c>
      <c r="W1476" s="236">
        <f>IFERROR(IF(B1476="INSUMO",_xlfn.XLOOKUP(S1476,Insumos!A:A,Insumos!C:C),""),"Inserir Preço")</f>
        <v>60.29</v>
      </c>
      <c r="X1476" s="235">
        <f t="shared" ca="1" si="1063"/>
        <v>8.0190000000000001</v>
      </c>
      <c r="Y1476" s="236">
        <f t="shared" si="1034"/>
        <v>66.319000000000003</v>
      </c>
      <c r="Z1476" s="237">
        <f t="shared" ca="1" si="1004"/>
        <v>483.46550999999999</v>
      </c>
      <c r="AA1476" s="238"/>
      <c r="AB1476" s="233" t="str">
        <f>IF(B1476="insumo",_xlfn.XLOOKUP(S1476,Insumos!A:A,Insumos!D:D),"")</f>
        <v>Portobelo</v>
      </c>
      <c r="AC1476" s="239">
        <f t="shared" ca="1" si="1005"/>
        <v>6.9357535263434101E-5</v>
      </c>
      <c r="AE1476" s="240">
        <f ca="1">IFERROR(IF(OR(Z1476="",Z1476=0),"",IF(AF1476="","",IF(AF1476="R$/mês",Z1476/OBRA!$D$12,IF(AF1476="R$/m²",Z1476/OBRA!$D$10,IF(AF1476="R$/apto",Orçamento!Z1476/OBRA!$D$11,""))))),"")</f>
        <v>0.24879479526355602</v>
      </c>
      <c r="AF1476" s="241" t="s">
        <v>154</v>
      </c>
    </row>
    <row r="1477" spans="1:32" s="10" customFormat="1" ht="13.15" hidden="1" customHeight="1" outlineLevel="3" collapsed="1" x14ac:dyDescent="0.2">
      <c r="A1477" s="227"/>
      <c r="B1477" s="228" t="s">
        <v>3</v>
      </c>
      <c r="C1477" s="229" t="str">
        <f t="shared" si="1003"/>
        <v/>
      </c>
      <c r="D1477" s="227" t="str">
        <f t="shared" ca="1" si="1051"/>
        <v>15.001.003</v>
      </c>
      <c r="E1477" s="228" t="str">
        <f t="shared" ca="1" si="1052"/>
        <v>15.001.002.002</v>
      </c>
      <c r="F1477" s="230">
        <f ca="1">IF($B1477="UNIDADE CONSTRUTIVA",OFFSET(F1477,-1,0)+1,LARGE(F$10:F1476,1))</f>
        <v>2</v>
      </c>
      <c r="G1477" s="228" t="str">
        <f t="shared" ref="G1477:G1482" ca="1" si="1065">IF(B1477="*","",IF(B1477="UNIDADE CONSTRUTIVA",S1477,OFFSET(G1477,-1,0)))</f>
        <v xml:space="preserve">   GERENCIAMENTO EXECUTIVO</v>
      </c>
      <c r="H1477" s="230">
        <f t="shared" ca="1" si="1054"/>
        <v>15</v>
      </c>
      <c r="I1477" s="228" t="str">
        <f t="shared" ref="I1477:I1482" ca="1" si="1066">IF(B1477="*","",IF(B1477="CÉLULA CONSTRUTIVA",S1477,OFFSET(I1477,-1,0)))</f>
        <v xml:space="preserve">   PISOS E PAVIMENTAÇÕES</v>
      </c>
      <c r="J1477" s="230">
        <f t="shared" ca="1" si="1056"/>
        <v>1</v>
      </c>
      <c r="K1477" s="228" t="str">
        <f t="shared" ref="K1477:K1482" ca="1" si="1067">IF(B1477="*","",IF(B1477="ETAPA",S1477,OFFSET(K1477,-1,0)))</f>
        <v xml:space="preserve">   PISOS E PAVIMENTAÇÕES - 1º PAVIMENTO - SUBSOLO</v>
      </c>
      <c r="L1477" s="231">
        <f t="shared" ca="1" si="1058"/>
        <v>3</v>
      </c>
      <c r="M1477" s="228" t="str">
        <f t="shared" ref="M1477:M1482" ca="1" si="1068">IF(B1477="*","",IF(B1477="SUBETAPA",S1477,OFFSET(M1477,-1,0)))</f>
        <v xml:space="preserve">   Rodapés</v>
      </c>
      <c r="N1477" s="231">
        <f t="shared" ca="1" si="1060"/>
        <v>0</v>
      </c>
      <c r="O1477" s="228" t="str">
        <f t="shared" ref="O1477:O1482" ca="1" si="1069">IF(B1477="*","",IF(B1477="SERVIÇO",S1477,OFFSET(O1477,-1,0)))</f>
        <v>Revestimento interno de piso porcelanato placa 80x80cm - áreas externas</v>
      </c>
      <c r="P1477" s="232" t="str">
        <f>IF(S1477="","",IF(Orçamento!$B1477="INSUMO",S1477,""))</f>
        <v/>
      </c>
      <c r="Q1477" s="244" t="str">
        <f>IF(B1477="","",IF(B1477="Serviço",S1477,""))</f>
        <v/>
      </c>
      <c r="R1477" s="234">
        <f t="shared" ref="R1477:R1482" ca="1" si="1070">IF(B1477="serviço",U1477,OFFSET(R1477,-1,0))</f>
        <v>7.29</v>
      </c>
      <c r="S1477" s="233" t="s">
        <v>489</v>
      </c>
      <c r="T1477" s="242" t="s">
        <v>35</v>
      </c>
      <c r="U1477" s="235" t="str">
        <f t="shared" si="1064"/>
        <v/>
      </c>
      <c r="V1477" s="320" t="s">
        <v>35</v>
      </c>
      <c r="W1477" s="236" t="str">
        <f>IFERROR(IF(B1477="INSUMO",_xlfn.XLOOKUP(S1477,Insumos!A:A,Insumos!C:C),""),"Inserir Preço")</f>
        <v/>
      </c>
      <c r="X1477" s="235" t="str">
        <f t="shared" ref="X1477:X1482" ca="1" si="1071">IF(B1477="Complemento do insumo",V1477,IF(R1477="","",IF(B1477="serviço",R1477,IF(OR(B1477="insumo"),V1477*R1477,""))))</f>
        <v/>
      </c>
      <c r="Y1477" s="236" t="str">
        <f t="shared" si="1034"/>
        <v/>
      </c>
      <c r="Z1477" s="237">
        <f t="shared" ca="1" si="1004"/>
        <v>1836.4198125000005</v>
      </c>
      <c r="AA1477" s="238"/>
      <c r="AB1477" s="233" t="str">
        <f>IF(B1477="insumo",_xlfn.XLOOKUP(S1477,Insumos!A:A,Insumos!D:D),"")</f>
        <v/>
      </c>
      <c r="AC1477" s="239">
        <f t="shared" ca="1" si="1005"/>
        <v>2.6345116511814425E-4</v>
      </c>
      <c r="AE1477" s="240">
        <f ca="1">IFERROR(IF(OR(Z1477="",Z1477=0),"",IF(AF1477="","",IF(AF1477="R$/mês",Z1477/OBRA!$D$12,IF(AF1477="R$/m²",Z1477/OBRA!$D$10,IF(AF1477="R$/apto",Orçamento!Z1477/OBRA!$D$11,""))))),"")</f>
        <v>0.94503471668304861</v>
      </c>
      <c r="AF1477" s="241" t="s">
        <v>154</v>
      </c>
    </row>
    <row r="1478" spans="1:32" s="10" customFormat="1" ht="13.15" hidden="1" customHeight="1" outlineLevel="4" x14ac:dyDescent="0.2">
      <c r="A1478" s="227"/>
      <c r="B1478" s="228" t="s">
        <v>4</v>
      </c>
      <c r="C1478" s="229">
        <f t="shared" si="1003"/>
        <v>2</v>
      </c>
      <c r="D1478" s="227" t="str">
        <f t="shared" ref="D1478:D1487" ca="1" si="1072">IF(B1478="Unidade Construtiva",TEXT(F1478,"00"),IF(B1478="Célula Construtiva",TEXT(H1478,"00"),IF(B1478="Etapa",CONCATENATE(TEXT(H1478,"00"),".",TEXT(J1478,"000")),IF(B1478="Subetapa",CONCATENATE(TEXT(H1478,"00"),".",TEXT(J1478,"000"),".",TEXT(L1478,"000")),IF(B1478="Serviço",CONCATENATE(TEXT(H1478,"00"),".",TEXT(J1478,"000"),".",TEXT(L1478,"000"),".",TEXT(N1478,"000")),"")))))</f>
        <v>15.001.003.001</v>
      </c>
      <c r="E1478" s="228" t="str">
        <f t="shared" ref="E1478:E1487" ca="1" si="1073">IF(B1478="*","",IFERROR(IF(B1478="SERVIÇO",D1478,OFFSET(E1478,-1,0)),""))</f>
        <v>15.001.003.001</v>
      </c>
      <c r="F1478" s="230">
        <f ca="1">IF($B1478="UNIDADE CONSTRUTIVA",OFFSET(F1478,-1,0)+1,LARGE(F$10:F1477,1))</f>
        <v>2</v>
      </c>
      <c r="G1478" s="228" t="str">
        <f t="shared" ca="1" si="1065"/>
        <v xml:space="preserve">   GERENCIAMENTO EXECUTIVO</v>
      </c>
      <c r="H1478" s="230">
        <f t="shared" ref="H1478:H1487" ca="1" si="1074">IF(B1478="UNIDADE CONSTRUTIVA",0,IF(B1478="CÉLULA CONSTRUTIVA",OFFSET(H1478,-1,0)+1,OFFSET(H1478,-1,0)))</f>
        <v>15</v>
      </c>
      <c r="I1478" s="228" t="str">
        <f t="shared" ca="1" si="1066"/>
        <v xml:space="preserve">   PISOS E PAVIMENTAÇÕES</v>
      </c>
      <c r="J1478" s="230">
        <f t="shared" ref="J1478:J1487" ca="1" si="1075">IF(B1478="CÉLULA CONSTRUTIVA",0,IF(B1478="ETAPA",OFFSET(J1478,-1,0)+1,OFFSET(J1478,-1,0)))</f>
        <v>1</v>
      </c>
      <c r="K1478" s="228" t="str">
        <f t="shared" ca="1" si="1067"/>
        <v xml:space="preserve">   PISOS E PAVIMENTAÇÕES - 1º PAVIMENTO - SUBSOLO</v>
      </c>
      <c r="L1478" s="231">
        <f t="shared" ref="L1478:L1487" ca="1" si="1076">IF(B1478="ETAPA",0,IF(B1478="SUBETAPA",OFFSET(L1478,-1,0)+1,OFFSET(L1478,-1,0)))</f>
        <v>3</v>
      </c>
      <c r="M1478" s="228" t="str">
        <f t="shared" ca="1" si="1068"/>
        <v xml:space="preserve">   Rodapés</v>
      </c>
      <c r="N1478" s="231">
        <f t="shared" ref="N1478:N1487" ca="1" si="1077">IF(B1478="Subetapa",0,IF(B1478="serviço",OFFSET(N1478,-1,0)+1,OFFSET(N1478,-1,0)))</f>
        <v>1</v>
      </c>
      <c r="O1478" s="228" t="str">
        <f t="shared" ca="1" si="1069"/>
        <v>Revestimento interno de Rodapé Cerâmico h=0,30cm</v>
      </c>
      <c r="P1478" s="232" t="str">
        <f>IF(S1478="","",IF(Orçamento!$B1478="INSUMO",S1478,""))</f>
        <v/>
      </c>
      <c r="Q1478" s="244" t="str">
        <f t="shared" ref="Q1478:Q1487" si="1078">IF(B1478="","",IF(B1478="Serviço",S1478,""))</f>
        <v>Revestimento interno de Rodapé Cerâmico h=0,30cm</v>
      </c>
      <c r="R1478" s="234">
        <f t="shared" ca="1" si="1070"/>
        <v>100.43</v>
      </c>
      <c r="S1478" s="233" t="s">
        <v>1107</v>
      </c>
      <c r="T1478" s="242" t="s">
        <v>158</v>
      </c>
      <c r="U1478" s="235">
        <v>100.43</v>
      </c>
      <c r="V1478" s="320" t="s">
        <v>35</v>
      </c>
      <c r="W1478" s="236" t="str">
        <f>IFERROR(IF(B1478="INSUMO",_xlfn.XLOOKUP(S1478,Insumos!A:A,Insumos!C:C),""),"Inserir Preço")</f>
        <v/>
      </c>
      <c r="X1478" s="235">
        <f t="shared" ca="1" si="1071"/>
        <v>100.43</v>
      </c>
      <c r="Y1478" s="236">
        <f t="shared" ca="1" si="1034"/>
        <v>17.608499999999999</v>
      </c>
      <c r="Z1478" s="237">
        <f t="shared" ca="1" si="1004"/>
        <v>1768.4216550000001</v>
      </c>
      <c r="AA1478" s="238"/>
      <c r="AB1478" s="233" t="str">
        <f>IF(B1478="insumo",_xlfn.XLOOKUP(S1478,Insumos!A:A,Insumos!D:D),"")</f>
        <v/>
      </c>
      <c r="AC1478" s="239">
        <f t="shared" ca="1" si="1005"/>
        <v>2.5369620947166016E-4</v>
      </c>
      <c r="AE1478" s="240">
        <f ca="1">IFERROR(IF(OR(Z1478="",Z1478=0),"",IF(AF1478="","",IF(AF1478="R$/mês",Z1478/OBRA!$D$12,IF(AF1478="R$/m²",Z1478/OBRA!$D$10,IF(AF1478="R$/apto",Orçamento!Z1478/OBRA!$D$11,""))))),"")</f>
        <v>0.91004238046963049</v>
      </c>
      <c r="AF1478" s="241" t="s">
        <v>154</v>
      </c>
    </row>
    <row r="1479" spans="1:32" s="10" customFormat="1" ht="13.15" hidden="1" customHeight="1" outlineLevel="4" x14ac:dyDescent="0.2">
      <c r="A1479" s="227"/>
      <c r="B1479" s="228" t="s">
        <v>19</v>
      </c>
      <c r="C1479" s="229">
        <f t="shared" si="1003"/>
        <v>23</v>
      </c>
      <c r="D1479" s="227" t="str">
        <f t="shared" si="1072"/>
        <v/>
      </c>
      <c r="E1479" s="228" t="str">
        <f t="shared" ca="1" si="1073"/>
        <v>15.001.003.001</v>
      </c>
      <c r="F1479" s="230">
        <f ca="1">IF($B1479="UNIDADE CONSTRUTIVA",OFFSET(F1479,-1,0)+1,LARGE(F$10:F1478,1))</f>
        <v>2</v>
      </c>
      <c r="G1479" s="228" t="str">
        <f t="shared" ca="1" si="1065"/>
        <v xml:space="preserve">   GERENCIAMENTO EXECUTIVO</v>
      </c>
      <c r="H1479" s="230">
        <f t="shared" ca="1" si="1074"/>
        <v>15</v>
      </c>
      <c r="I1479" s="228" t="str">
        <f t="shared" ca="1" si="1066"/>
        <v xml:space="preserve">   PISOS E PAVIMENTAÇÕES</v>
      </c>
      <c r="J1479" s="230">
        <f t="shared" ca="1" si="1075"/>
        <v>1</v>
      </c>
      <c r="K1479" s="228" t="str">
        <f t="shared" ca="1" si="1067"/>
        <v xml:space="preserve">   PISOS E PAVIMENTAÇÕES - 1º PAVIMENTO - SUBSOLO</v>
      </c>
      <c r="L1479" s="231">
        <f t="shared" ca="1" si="1076"/>
        <v>3</v>
      </c>
      <c r="M1479" s="228" t="str">
        <f t="shared" ca="1" si="1068"/>
        <v xml:space="preserve">   Rodapés</v>
      </c>
      <c r="N1479" s="231">
        <f t="shared" ca="1" si="1077"/>
        <v>1</v>
      </c>
      <c r="O1479" s="228" t="str">
        <f t="shared" ca="1" si="1069"/>
        <v>Revestimento interno de Rodapé Cerâmico h=0,30cm</v>
      </c>
      <c r="P1479" s="232" t="str">
        <f>IF(S1479="","",IF(Orçamento!$B1479="INSUMO",S1479,""))</f>
        <v>ARGAMASSA COLANTE AC II</v>
      </c>
      <c r="Q1479" s="244" t="str">
        <f t="shared" si="1078"/>
        <v/>
      </c>
      <c r="R1479" s="234">
        <f t="shared" ca="1" si="1070"/>
        <v>100.43</v>
      </c>
      <c r="S1479" s="233" t="s">
        <v>314</v>
      </c>
      <c r="T1479" s="242" t="str">
        <f>_xlfn.XLOOKUP(S1479,Insumos!$A$3:$A$371,Insumos!$B$3:$B$371)</f>
        <v>KG</v>
      </c>
      <c r="U1479" s="235">
        <f ca="1">IF($B1479="insumo",R1479,"")</f>
        <v>100.43</v>
      </c>
      <c r="V1479" s="320">
        <f>ROUNDUP(9*0.3,4)</f>
        <v>2.7</v>
      </c>
      <c r="W1479" s="236">
        <f>IFERROR(IF(B1479="INSUMO",_xlfn.XLOOKUP(S1479,Insumos!A:A,Insumos!C:C),""),"Inserir Preço")</f>
        <v>0.84000000000000008</v>
      </c>
      <c r="X1479" s="235">
        <f t="shared" ca="1" si="1071"/>
        <v>271.16100000000006</v>
      </c>
      <c r="Y1479" s="236">
        <f t="shared" si="1034"/>
        <v>2.2680000000000002</v>
      </c>
      <c r="Z1479" s="237">
        <f t="shared" ca="1" si="1004"/>
        <v>227.77524000000008</v>
      </c>
      <c r="AA1479" s="238"/>
      <c r="AB1479" s="233" t="str">
        <f>IF(B1479="insumo",_xlfn.XLOOKUP(S1479,Insumos!A:A,Insumos!D:D),"")</f>
        <v>Argabrus</v>
      </c>
      <c r="AC1479" s="239">
        <f t="shared" ca="1" si="1005"/>
        <v>3.2676434851448189E-5</v>
      </c>
      <c r="AE1479" s="240">
        <f ca="1">IFERROR(IF(OR(Z1479="",Z1479=0),"",IF(AF1479="","",IF(AF1479="R$/mês",Z1479/OBRA!$D$12,IF(AF1479="R$/m²",Z1479/OBRA!$D$10,IF(AF1479="R$/apto",Orçamento!Z1479/OBRA!$D$11,""))))),"")</f>
        <v>0.11721476099072167</v>
      </c>
      <c r="AF1479" s="241" t="s">
        <v>154</v>
      </c>
    </row>
    <row r="1480" spans="1:32" s="10" customFormat="1" ht="13.15" hidden="1" customHeight="1" outlineLevel="4" x14ac:dyDescent="0.2">
      <c r="A1480" s="227"/>
      <c r="B1480" s="228" t="s">
        <v>19</v>
      </c>
      <c r="C1480" s="229">
        <f t="shared" si="1003"/>
        <v>32</v>
      </c>
      <c r="D1480" s="227" t="str">
        <f t="shared" si="1072"/>
        <v/>
      </c>
      <c r="E1480" s="228" t="str">
        <f t="shared" ca="1" si="1073"/>
        <v>15.001.003.001</v>
      </c>
      <c r="F1480" s="230">
        <f ca="1">IF($B1480="UNIDADE CONSTRUTIVA",OFFSET(F1480,-1,0)+1,LARGE(F$10:F1479,1))</f>
        <v>2</v>
      </c>
      <c r="G1480" s="228" t="str">
        <f t="shared" ca="1" si="1065"/>
        <v xml:space="preserve">   GERENCIAMENTO EXECUTIVO</v>
      </c>
      <c r="H1480" s="230">
        <f t="shared" ca="1" si="1074"/>
        <v>15</v>
      </c>
      <c r="I1480" s="228" t="str">
        <f t="shared" ca="1" si="1066"/>
        <v xml:space="preserve">   PISOS E PAVIMENTAÇÕES</v>
      </c>
      <c r="J1480" s="230">
        <f t="shared" ca="1" si="1075"/>
        <v>1</v>
      </c>
      <c r="K1480" s="228" t="str">
        <f t="shared" ca="1" si="1067"/>
        <v xml:space="preserve">   PISOS E PAVIMENTAÇÕES - 1º PAVIMENTO - SUBSOLO</v>
      </c>
      <c r="L1480" s="231">
        <f t="shared" ca="1" si="1076"/>
        <v>3</v>
      </c>
      <c r="M1480" s="228" t="str">
        <f t="shared" ca="1" si="1068"/>
        <v xml:space="preserve">   Rodapés</v>
      </c>
      <c r="N1480" s="231">
        <f t="shared" ca="1" si="1077"/>
        <v>1</v>
      </c>
      <c r="O1480" s="228" t="str">
        <f t="shared" ca="1" si="1069"/>
        <v>Revestimento interno de Rodapé Cerâmico h=0,30cm</v>
      </c>
      <c r="P1480" s="232" t="str">
        <f>IF(S1480="","",IF(Orçamento!$B1480="INSUMO",S1480,""))</f>
        <v>REJUNTE FLEXIVEL CIMENTICIO TIPO II NBR 14992</v>
      </c>
      <c r="Q1480" s="244" t="str">
        <f t="shared" si="1078"/>
        <v/>
      </c>
      <c r="R1480" s="234">
        <f t="shared" ca="1" si="1070"/>
        <v>100.43</v>
      </c>
      <c r="S1480" s="233" t="s">
        <v>734</v>
      </c>
      <c r="T1480" s="242" t="str">
        <f>_xlfn.XLOOKUP(S1480,Insumos!$A$3:$A$371,Insumos!$B$3:$B$371)</f>
        <v>KG</v>
      </c>
      <c r="U1480" s="235">
        <f ca="1">IF($B1480="insumo",R1480,"")</f>
        <v>100.43</v>
      </c>
      <c r="V1480" s="320">
        <f>ROUNDUP(0.13*0.3,4)</f>
        <v>3.9E-2</v>
      </c>
      <c r="W1480" s="236">
        <f>IFERROR(IF(B1480="INSUMO",_xlfn.XLOOKUP(S1480,Insumos!A:A,Insumos!C:C),""),"Inserir Preço")</f>
        <v>4.2</v>
      </c>
      <c r="X1480" s="235">
        <f t="shared" ca="1" si="1071"/>
        <v>3.9167700000000001</v>
      </c>
      <c r="Y1480" s="236">
        <f t="shared" si="1034"/>
        <v>0.1638</v>
      </c>
      <c r="Z1480" s="237">
        <f t="shared" ca="1" si="1004"/>
        <v>16.450434000000001</v>
      </c>
      <c r="AA1480" s="238"/>
      <c r="AB1480" s="233" t="str">
        <f>IF(B1480="insumo",_xlfn.XLOOKUP(S1480,Insumos!A:A,Insumos!D:D),"")</f>
        <v>Distribuidora Sika</v>
      </c>
      <c r="AC1480" s="239">
        <f t="shared" ca="1" si="1005"/>
        <v>2.3599647392712572E-6</v>
      </c>
      <c r="AE1480" s="240">
        <f ca="1">IFERROR(IF(OR(Z1480="",Z1480=0),"",IF(AF1480="","",IF(AF1480="R$/mês",Z1480/OBRA!$D$12,IF(AF1480="R$/m²",Z1480/OBRA!$D$10,IF(AF1480="R$/apto",Orçamento!Z1480/OBRA!$D$11,""))))),"")</f>
        <v>8.4655105159965622E-3</v>
      </c>
      <c r="AF1480" s="241" t="s">
        <v>154</v>
      </c>
    </row>
    <row r="1481" spans="1:32" s="10" customFormat="1" ht="13.15" hidden="1" customHeight="1" outlineLevel="4" x14ac:dyDescent="0.2">
      <c r="A1481" s="227"/>
      <c r="B1481" s="228" t="s">
        <v>19</v>
      </c>
      <c r="C1481" s="229">
        <f t="shared" si="1003"/>
        <v>15</v>
      </c>
      <c r="D1481" s="227" t="str">
        <f t="shared" si="1072"/>
        <v/>
      </c>
      <c r="E1481" s="228" t="str">
        <f t="shared" ca="1" si="1073"/>
        <v>15.001.003.001</v>
      </c>
      <c r="F1481" s="230">
        <f ca="1">IF($B1481="UNIDADE CONSTRUTIVA",OFFSET(F1481,-1,0)+1,LARGE(F$10:F1480,1))</f>
        <v>2</v>
      </c>
      <c r="G1481" s="228" t="str">
        <f t="shared" ca="1" si="1065"/>
        <v xml:space="preserve">   GERENCIAMENTO EXECUTIVO</v>
      </c>
      <c r="H1481" s="230">
        <f t="shared" ca="1" si="1074"/>
        <v>15</v>
      </c>
      <c r="I1481" s="228" t="str">
        <f t="shared" ca="1" si="1066"/>
        <v xml:space="preserve">   PISOS E PAVIMENTAÇÕES</v>
      </c>
      <c r="J1481" s="230">
        <f t="shared" ca="1" si="1075"/>
        <v>1</v>
      </c>
      <c r="K1481" s="228" t="str">
        <f t="shared" ca="1" si="1067"/>
        <v xml:space="preserve">   PISOS E PAVIMENTAÇÕES - 1º PAVIMENTO - SUBSOLO</v>
      </c>
      <c r="L1481" s="231">
        <f t="shared" ca="1" si="1076"/>
        <v>3</v>
      </c>
      <c r="M1481" s="228" t="str">
        <f t="shared" ca="1" si="1068"/>
        <v xml:space="preserve">   Rodapés</v>
      </c>
      <c r="N1481" s="231">
        <f t="shared" ca="1" si="1077"/>
        <v>1</v>
      </c>
      <c r="O1481" s="228" t="str">
        <f t="shared" ca="1" si="1069"/>
        <v>Revestimento interno de Rodapé Cerâmico h=0,30cm</v>
      </c>
      <c r="P1481" s="232" t="str">
        <f>IF(S1481="","",IF(Orçamento!$B1481="INSUMO",S1481,""))</f>
        <v>ESPACADOR PVC JUNTA PISO 3,0MM NBR 6118</v>
      </c>
      <c r="Q1481" s="244" t="str">
        <f t="shared" si="1078"/>
        <v/>
      </c>
      <c r="R1481" s="234">
        <f t="shared" ca="1" si="1070"/>
        <v>100.43</v>
      </c>
      <c r="S1481" s="233" t="s">
        <v>716</v>
      </c>
      <c r="T1481" s="242" t="str">
        <f>_xlfn.XLOOKUP(S1481,Insumos!$A$3:$A$371,Insumos!$B$3:$B$371)</f>
        <v>UN</v>
      </c>
      <c r="U1481" s="235">
        <f ca="1">IF($B1481="insumo",R1481,"")</f>
        <v>100.43</v>
      </c>
      <c r="V1481" s="320">
        <f>ROUNDUP(4*0.3,4)</f>
        <v>1.2</v>
      </c>
      <c r="W1481" s="236">
        <f>IFERROR(IF(B1481="INSUMO",_xlfn.XLOOKUP(S1481,Insumos!A:A,Insumos!C:C),""),"Inserir Preço")</f>
        <v>0.22</v>
      </c>
      <c r="X1481" s="235">
        <f t="shared" ca="1" si="1071"/>
        <v>120.51600000000001</v>
      </c>
      <c r="Y1481" s="236">
        <f t="shared" si="1034"/>
        <v>0.26400000000000001</v>
      </c>
      <c r="Z1481" s="237">
        <f t="shared" ca="1" si="1004"/>
        <v>26.51352</v>
      </c>
      <c r="AA1481" s="238"/>
      <c r="AB1481" s="233" t="str">
        <f>IF(B1481="insumo",_xlfn.XLOOKUP(S1481,Insumos!A:A,Insumos!D:D),"")</f>
        <v>Base de Dados</v>
      </c>
      <c r="AC1481" s="239">
        <f t="shared" ca="1" si="1005"/>
        <v>3.8036061731844437E-6</v>
      </c>
      <c r="AE1481" s="240">
        <f ca="1">IFERROR(IF(OR(Z1481="",Z1481=0),"",IF(AF1481="","",IF(AF1481="R$/mês",Z1481/OBRA!$D$12,IF(AF1481="R$/m²",Z1481/OBRA!$D$10,IF(AF1481="R$/apto",Orçamento!Z1481/OBRA!$D$11,""))))),"")</f>
        <v>1.3644046252888233E-2</v>
      </c>
      <c r="AF1481" s="241" t="s">
        <v>154</v>
      </c>
    </row>
    <row r="1482" spans="1:32" s="10" customFormat="1" ht="13.15" hidden="1" customHeight="1" outlineLevel="4" x14ac:dyDescent="0.2">
      <c r="A1482" s="227"/>
      <c r="B1482" s="228" t="s">
        <v>19</v>
      </c>
      <c r="C1482" s="229">
        <f t="shared" si="1003"/>
        <v>13</v>
      </c>
      <c r="D1482" s="227" t="str">
        <f t="shared" si="1072"/>
        <v/>
      </c>
      <c r="E1482" s="228" t="str">
        <f t="shared" ca="1" si="1073"/>
        <v>15.001.003.001</v>
      </c>
      <c r="F1482" s="230">
        <f ca="1">IF($B1482="UNIDADE CONSTRUTIVA",OFFSET(F1482,-1,0)+1,LARGE(F$10:F1481,1))</f>
        <v>2</v>
      </c>
      <c r="G1482" s="228" t="str">
        <f t="shared" ca="1" si="1065"/>
        <v xml:space="preserve">   GERENCIAMENTO EXECUTIVO</v>
      </c>
      <c r="H1482" s="230">
        <f t="shared" ca="1" si="1074"/>
        <v>15</v>
      </c>
      <c r="I1482" s="228" t="str">
        <f t="shared" ca="1" si="1066"/>
        <v xml:space="preserve">   PISOS E PAVIMENTAÇÕES</v>
      </c>
      <c r="J1482" s="230">
        <f t="shared" ca="1" si="1075"/>
        <v>1</v>
      </c>
      <c r="K1482" s="228" t="str">
        <f t="shared" ca="1" si="1067"/>
        <v xml:space="preserve">   PISOS E PAVIMENTAÇÕES - 1º PAVIMENTO - SUBSOLO</v>
      </c>
      <c r="L1482" s="231">
        <f t="shared" ca="1" si="1076"/>
        <v>3</v>
      </c>
      <c r="M1482" s="228" t="str">
        <f t="shared" ca="1" si="1068"/>
        <v xml:space="preserve">   Rodapés</v>
      </c>
      <c r="N1482" s="231">
        <f t="shared" ca="1" si="1077"/>
        <v>1</v>
      </c>
      <c r="O1482" s="228" t="str">
        <f t="shared" ca="1" si="1069"/>
        <v>Revestimento interno de Rodapé Cerâmico h=0,30cm</v>
      </c>
      <c r="P1482" s="232" t="str">
        <f>IF(S1482="","",IF(Orçamento!$B1482="INSUMO",S1482,""))</f>
        <v>REVESTIMENTO - HANGAR CHICAGO 60X60 NAT BOLD</v>
      </c>
      <c r="Q1482" s="244" t="str">
        <f t="shared" si="1078"/>
        <v/>
      </c>
      <c r="R1482" s="234">
        <f t="shared" ca="1" si="1070"/>
        <v>100.43</v>
      </c>
      <c r="S1482" s="233" t="s">
        <v>912</v>
      </c>
      <c r="T1482" s="242" t="str">
        <f>_xlfn.XLOOKUP(S1482,Insumos!$A$3:$A$371,Insumos!$B$3:$B$371)</f>
        <v>M2</v>
      </c>
      <c r="U1482" s="235">
        <f ca="1">IF($B1482="insumo",R1482,"")</f>
        <v>100.43</v>
      </c>
      <c r="V1482" s="320">
        <f>ROUNDUP(1.1*0.3,4)</f>
        <v>0.33</v>
      </c>
      <c r="W1482" s="236">
        <f>IFERROR(IF(B1482="INSUMO",_xlfn.XLOOKUP(S1482,Insumos!A:A,Insumos!C:C),""),"Inserir Preço")</f>
        <v>45.19</v>
      </c>
      <c r="X1482" s="235">
        <f t="shared" ca="1" si="1071"/>
        <v>33.141900000000007</v>
      </c>
      <c r="Y1482" s="236">
        <f t="shared" si="1034"/>
        <v>14.912699999999999</v>
      </c>
      <c r="Z1482" s="237">
        <f t="shared" ca="1" si="1004"/>
        <v>1497.6824610000003</v>
      </c>
      <c r="AA1482" s="238"/>
      <c r="AB1482" s="233" t="str">
        <f>IF(B1482="insumo",_xlfn.XLOOKUP(S1482,Insumos!A:A,Insumos!D:D),"")</f>
        <v>Portobelo</v>
      </c>
      <c r="AC1482" s="239">
        <f t="shared" ca="1" si="1005"/>
        <v>2.1485620370775632E-4</v>
      </c>
      <c r="AE1482" s="240">
        <f ca="1">IFERROR(IF(OR(Z1482="",Z1482=0),"",IF(AF1482="","",IF(AF1482="R$/mês",Z1482/OBRA!$D$12,IF(AF1482="R$/m²",Z1482/OBRA!$D$10,IF(AF1482="R$/apto",Orçamento!Z1482/OBRA!$D$11,""))))),"")</f>
        <v>0.77071806271002419</v>
      </c>
      <c r="AF1482" s="241" t="s">
        <v>154</v>
      </c>
    </row>
    <row r="1483" spans="1:32" s="10" customFormat="1" ht="13.15" hidden="1" customHeight="1" outlineLevel="4" x14ac:dyDescent="0.2">
      <c r="A1483" s="227"/>
      <c r="B1483" s="228" t="s">
        <v>4</v>
      </c>
      <c r="C1483" s="229">
        <f t="shared" si="1003"/>
        <v>4</v>
      </c>
      <c r="D1483" s="227" t="str">
        <f t="shared" ca="1" si="1072"/>
        <v>15.001.003.002</v>
      </c>
      <c r="E1483" s="228" t="str">
        <f t="shared" ca="1" si="1073"/>
        <v>15.001.003.002</v>
      </c>
      <c r="F1483" s="230">
        <f ca="1">IF($B1483="UNIDADE CONSTRUTIVA",OFFSET(F1483,-1,0)+1,LARGE(F$10:F1482,1))</f>
        <v>2</v>
      </c>
      <c r="G1483" s="228" t="str">
        <f ca="1">IF(B1483="*","",IF(B1483="UNIDADE CONSTRUTIVA",S1483,OFFSET(G1483,-1,0)))</f>
        <v xml:space="preserve">   GERENCIAMENTO EXECUTIVO</v>
      </c>
      <c r="H1483" s="230">
        <f t="shared" ca="1" si="1074"/>
        <v>15</v>
      </c>
      <c r="I1483" s="228" t="str">
        <f ca="1">IF(B1483="*","",IF(B1483="CÉLULA CONSTRUTIVA",S1483,OFFSET(I1483,-1,0)))</f>
        <v xml:space="preserve">   PISOS E PAVIMENTAÇÕES</v>
      </c>
      <c r="J1483" s="230">
        <f t="shared" ca="1" si="1075"/>
        <v>1</v>
      </c>
      <c r="K1483" s="228" t="str">
        <f ca="1">IF(B1483="*","",IF(B1483="ETAPA",S1483,OFFSET(K1483,-1,0)))</f>
        <v xml:space="preserve">   PISOS E PAVIMENTAÇÕES - 1º PAVIMENTO - SUBSOLO</v>
      </c>
      <c r="L1483" s="231">
        <f t="shared" ca="1" si="1076"/>
        <v>3</v>
      </c>
      <c r="M1483" s="228" t="str">
        <f ca="1">IF(B1483="*","",IF(B1483="SUBETAPA",S1483,OFFSET(M1483,-1,0)))</f>
        <v xml:space="preserve">   Rodapés</v>
      </c>
      <c r="N1483" s="231">
        <f t="shared" ca="1" si="1077"/>
        <v>2</v>
      </c>
      <c r="O1483" s="228" t="str">
        <f ca="1">IF(B1483="*","",IF(B1483="SERVIÇO",S1483,OFFSET(O1483,-1,0)))</f>
        <v>Revestimento interno de Rodapé Cerâmico h=0,07cm</v>
      </c>
      <c r="P1483" s="232" t="str">
        <f>IF(S1483="","",IF(Orçamento!$B1483="INSUMO",S1483,""))</f>
        <v/>
      </c>
      <c r="Q1483" s="244" t="str">
        <f t="shared" si="1078"/>
        <v>Revestimento interno de Rodapé Cerâmico h=0,07cm</v>
      </c>
      <c r="R1483" s="234">
        <f ca="1">IF(B1483="serviço",U1483,OFFSET(R1483,-1,0))</f>
        <v>16.55</v>
      </c>
      <c r="S1483" s="233" t="s">
        <v>1108</v>
      </c>
      <c r="T1483" s="242" t="s">
        <v>158</v>
      </c>
      <c r="U1483" s="235">
        <v>16.55</v>
      </c>
      <c r="V1483" s="320" t="s">
        <v>35</v>
      </c>
      <c r="W1483" s="236" t="str">
        <f>IFERROR(IF(B1483="INSUMO",_xlfn.XLOOKUP(S1483,Insumos!A:A,Insumos!C:C),""),"Inserir Preço")</f>
        <v/>
      </c>
      <c r="X1483" s="235">
        <f ca="1">IF(B1483="Complemento do insumo",V1483,IF(R1483="","",IF(B1483="serviço",R1483,IF(OR(B1483="insumo"),V1483*R1483,""))))</f>
        <v>16.55</v>
      </c>
      <c r="Y1483" s="236">
        <f t="shared" ca="1" si="1034"/>
        <v>4.1086499999999999</v>
      </c>
      <c r="Z1483" s="237">
        <f t="shared" ca="1" si="1004"/>
        <v>67.998157500000005</v>
      </c>
      <c r="AA1483" s="238"/>
      <c r="AB1483" s="233" t="str">
        <f>IF(B1483="insumo",_xlfn.XLOOKUP(S1483,Insumos!A:A,Insumos!D:D),"")</f>
        <v/>
      </c>
      <c r="AC1483" s="239">
        <f t="shared" ca="1" si="1005"/>
        <v>9.7549556464840624E-6</v>
      </c>
      <c r="AE1483" s="240">
        <f ca="1">IFERROR(IF(OR(Z1483="",Z1483=0),"",IF(AF1483="","",IF(AF1483="R$/mês",Z1483/OBRA!$D$12,IF(AF1483="R$/m²",Z1483/OBRA!$D$10,IF(AF1483="R$/apto",Orçamento!Z1483/OBRA!$D$11,""))))),"")</f>
        <v>3.4992336213417866E-2</v>
      </c>
      <c r="AF1483" s="241" t="s">
        <v>154</v>
      </c>
    </row>
    <row r="1484" spans="1:32" s="10" customFormat="1" ht="13.15" hidden="1" customHeight="1" outlineLevel="4" x14ac:dyDescent="0.2">
      <c r="A1484" s="227"/>
      <c r="B1484" s="228" t="s">
        <v>19</v>
      </c>
      <c r="C1484" s="229">
        <f t="shared" ref="C1484:C1547" si="1079">IF(B1484="INSUMO",COUNTIFS(B:B,"INSUMO",S:S,S1484),IF(B1484="SERVIÇO",COUNTIFS(B:B,"SERVIÇO",S:S,S1484),""))</f>
        <v>23</v>
      </c>
      <c r="D1484" s="227" t="str">
        <f t="shared" si="1072"/>
        <v/>
      </c>
      <c r="E1484" s="228" t="str">
        <f t="shared" ca="1" si="1073"/>
        <v>15.001.003.002</v>
      </c>
      <c r="F1484" s="230">
        <f ca="1">IF($B1484="UNIDADE CONSTRUTIVA",OFFSET(F1484,-1,0)+1,LARGE(F$10:F1483,1))</f>
        <v>2</v>
      </c>
      <c r="G1484" s="228" t="str">
        <f ca="1">IF(B1484="*","",IF(B1484="UNIDADE CONSTRUTIVA",S1484,OFFSET(G1484,-1,0)))</f>
        <v xml:space="preserve">   GERENCIAMENTO EXECUTIVO</v>
      </c>
      <c r="H1484" s="230">
        <f t="shared" ca="1" si="1074"/>
        <v>15</v>
      </c>
      <c r="I1484" s="228" t="str">
        <f ca="1">IF(B1484="*","",IF(B1484="CÉLULA CONSTRUTIVA",S1484,OFFSET(I1484,-1,0)))</f>
        <v xml:space="preserve">   PISOS E PAVIMENTAÇÕES</v>
      </c>
      <c r="J1484" s="230">
        <f t="shared" ca="1" si="1075"/>
        <v>1</v>
      </c>
      <c r="K1484" s="228" t="str">
        <f ca="1">IF(B1484="*","",IF(B1484="ETAPA",S1484,OFFSET(K1484,-1,0)))</f>
        <v xml:space="preserve">   PISOS E PAVIMENTAÇÕES - 1º PAVIMENTO - SUBSOLO</v>
      </c>
      <c r="L1484" s="231">
        <f t="shared" ca="1" si="1076"/>
        <v>3</v>
      </c>
      <c r="M1484" s="228" t="str">
        <f ca="1">IF(B1484="*","",IF(B1484="SUBETAPA",S1484,OFFSET(M1484,-1,0)))</f>
        <v xml:space="preserve">   Rodapés</v>
      </c>
      <c r="N1484" s="231">
        <f t="shared" ca="1" si="1077"/>
        <v>2</v>
      </c>
      <c r="O1484" s="228" t="str">
        <f ca="1">IF(B1484="*","",IF(B1484="SERVIÇO",S1484,OFFSET(O1484,-1,0)))</f>
        <v>Revestimento interno de Rodapé Cerâmico h=0,07cm</v>
      </c>
      <c r="P1484" s="232" t="str">
        <f>IF(S1484="","",IF(Orçamento!$B1484="INSUMO",S1484,""))</f>
        <v>ARGAMASSA COLANTE AC II</v>
      </c>
      <c r="Q1484" s="244" t="str">
        <f t="shared" si="1078"/>
        <v/>
      </c>
      <c r="R1484" s="234">
        <f ca="1">IF(B1484="serviço",U1484,OFFSET(R1484,-1,0))</f>
        <v>16.55</v>
      </c>
      <c r="S1484" s="233" t="s">
        <v>314</v>
      </c>
      <c r="T1484" s="242" t="str">
        <f>_xlfn.XLOOKUP(S1484,Insumos!$A$3:$A$371,Insumos!$B$3:$B$371)</f>
        <v>KG</v>
      </c>
      <c r="U1484" s="235">
        <f ca="1">IF($B1484="insumo",R1484,"")</f>
        <v>16.55</v>
      </c>
      <c r="V1484" s="320">
        <f>ROUNDUP(9*0.07,4)</f>
        <v>0.63</v>
      </c>
      <c r="W1484" s="236">
        <f>IFERROR(IF(B1484="INSUMO",_xlfn.XLOOKUP(S1484,Insumos!A:A,Insumos!C:C),""),"Inserir Preço")</f>
        <v>0.84000000000000008</v>
      </c>
      <c r="X1484" s="235">
        <f ca="1">IF(B1484="Complemento do insumo",V1484,IF(R1484="","",IF(B1484="serviço",R1484,IF(OR(B1484="insumo"),V1484*R1484,""))))</f>
        <v>10.426500000000001</v>
      </c>
      <c r="Y1484" s="236">
        <f t="shared" si="1034"/>
        <v>0.5292</v>
      </c>
      <c r="Z1484" s="237">
        <f t="shared" ref="Z1484:Z1547" ca="1" si="1080">IFERROR(IF(B1484="Unidade Construtiva",SUMIFS(Z:Z,B:B,"Célula Construtiva",G:G,G1484),IF(B1484="célula construtiva",SUMIFS(Z:Z,B:B,"Insumo",I:I,I1484,G:G,G1484),IF(B1484="ETAPA",SUMIFS(Z:Z,B:B,"Insumo",K:K,K1484,I:I,I1484,G:G,G1484),IF(B1484="subetapa",SUMIFS(Z:Z,M:M,M1484,B:B,"insumo",K:K,K1484,I:I,I1484,G:G,G1484),IF(B1484="complemento do insumo",V1484*W1484,IF(B1484="INSUMO",R1484*V1484*W1484,X1484*Y1484)))))),"")</f>
        <v>8.7582600000000017</v>
      </c>
      <c r="AA1484" s="238"/>
      <c r="AB1484" s="233" t="str">
        <f>IF(B1484="insumo",_xlfn.XLOOKUP(S1484,Insumos!A:A,Insumos!D:D),"")</f>
        <v>Argabrus</v>
      </c>
      <c r="AC1484" s="239">
        <f t="shared" ref="AC1484:AC1547" ca="1" si="1081">IFERROR(IF(B1484="","",Z1484/SUMIF(B:B,"INSUMO",Z:Z)),0)</f>
        <v>1.2564522478476789E-6</v>
      </c>
      <c r="AE1484" s="240">
        <f ca="1">IFERROR(IF(OR(Z1484="",Z1484=0),"",IF(AF1484="","",IF(AF1484="R$/mês",Z1484/OBRA!$D$12,IF(AF1484="R$/m²",Z1484/OBRA!$D$10,IF(AF1484="R$/apto",Orçamento!Z1484/OBRA!$D$11,""))))),"")</f>
        <v>4.507062982765808E-3</v>
      </c>
      <c r="AF1484" s="241" t="s">
        <v>154</v>
      </c>
    </row>
    <row r="1485" spans="1:32" s="10" customFormat="1" ht="13.15" hidden="1" customHeight="1" outlineLevel="4" x14ac:dyDescent="0.2">
      <c r="A1485" s="227"/>
      <c r="B1485" s="228" t="s">
        <v>19</v>
      </c>
      <c r="C1485" s="229">
        <f t="shared" si="1079"/>
        <v>32</v>
      </c>
      <c r="D1485" s="227" t="str">
        <f t="shared" si="1072"/>
        <v/>
      </c>
      <c r="E1485" s="228" t="str">
        <f t="shared" ca="1" si="1073"/>
        <v>15.001.003.002</v>
      </c>
      <c r="F1485" s="230">
        <f ca="1">IF($B1485="UNIDADE CONSTRUTIVA",OFFSET(F1485,-1,0)+1,LARGE(F$10:F1484,1))</f>
        <v>2</v>
      </c>
      <c r="G1485" s="228" t="str">
        <f ca="1">IF(B1485="*","",IF(B1485="UNIDADE CONSTRUTIVA",S1485,OFFSET(G1485,-1,0)))</f>
        <v xml:space="preserve">   GERENCIAMENTO EXECUTIVO</v>
      </c>
      <c r="H1485" s="230">
        <f t="shared" ca="1" si="1074"/>
        <v>15</v>
      </c>
      <c r="I1485" s="228" t="str">
        <f ca="1">IF(B1485="*","",IF(B1485="CÉLULA CONSTRUTIVA",S1485,OFFSET(I1485,-1,0)))</f>
        <v xml:space="preserve">   PISOS E PAVIMENTAÇÕES</v>
      </c>
      <c r="J1485" s="230">
        <f t="shared" ca="1" si="1075"/>
        <v>1</v>
      </c>
      <c r="K1485" s="228" t="str">
        <f ca="1">IF(B1485="*","",IF(B1485="ETAPA",S1485,OFFSET(K1485,-1,0)))</f>
        <v xml:space="preserve">   PISOS E PAVIMENTAÇÕES - 1º PAVIMENTO - SUBSOLO</v>
      </c>
      <c r="L1485" s="231">
        <f t="shared" ca="1" si="1076"/>
        <v>3</v>
      </c>
      <c r="M1485" s="228" t="str">
        <f ca="1">IF(B1485="*","",IF(B1485="SUBETAPA",S1485,OFFSET(M1485,-1,0)))</f>
        <v xml:space="preserve">   Rodapés</v>
      </c>
      <c r="N1485" s="231">
        <f t="shared" ca="1" si="1077"/>
        <v>2</v>
      </c>
      <c r="O1485" s="228" t="str">
        <f ca="1">IF(B1485="*","",IF(B1485="SERVIÇO",S1485,OFFSET(O1485,-1,0)))</f>
        <v>Revestimento interno de Rodapé Cerâmico h=0,07cm</v>
      </c>
      <c r="P1485" s="232" t="str">
        <f>IF(S1485="","",IF(Orçamento!$B1485="INSUMO",S1485,""))</f>
        <v>REJUNTE FLEXIVEL CIMENTICIO TIPO II NBR 14992</v>
      </c>
      <c r="Q1485" s="244" t="str">
        <f t="shared" si="1078"/>
        <v/>
      </c>
      <c r="R1485" s="234">
        <f ca="1">IF(B1485="serviço",U1485,OFFSET(R1485,-1,0))</f>
        <v>16.55</v>
      </c>
      <c r="S1485" s="233" t="s">
        <v>734</v>
      </c>
      <c r="T1485" s="242" t="str">
        <f>_xlfn.XLOOKUP(S1485,Insumos!$A$3:$A$371,Insumos!$B$3:$B$371)</f>
        <v>KG</v>
      </c>
      <c r="U1485" s="235">
        <f ca="1">IF($B1485="insumo",R1485,"")</f>
        <v>16.55</v>
      </c>
      <c r="V1485" s="320">
        <f>ROUNDUP(0.13*0.07,4)</f>
        <v>9.1000000000000004E-3</v>
      </c>
      <c r="W1485" s="236">
        <f>IFERROR(IF(B1485="INSUMO",_xlfn.XLOOKUP(S1485,Insumos!A:A,Insumos!C:C),""),"Inserir Preço")</f>
        <v>4.2</v>
      </c>
      <c r="X1485" s="235">
        <f ca="1">IF(B1485="Complemento do insumo",V1485,IF(R1485="","",IF(B1485="serviço",R1485,IF(OR(B1485="insumo"),V1485*R1485,""))))</f>
        <v>0.15060500000000002</v>
      </c>
      <c r="Y1485" s="236">
        <f t="shared" si="1034"/>
        <v>3.8220000000000004E-2</v>
      </c>
      <c r="Z1485" s="237">
        <f t="shared" ca="1" si="1080"/>
        <v>0.63254100000000013</v>
      </c>
      <c r="AA1485" s="238"/>
      <c r="AB1485" s="233" t="str">
        <f>IF(B1485="insumo",_xlfn.XLOOKUP(S1485,Insumos!A:A,Insumos!D:D),"")</f>
        <v>Distribuidora Sika</v>
      </c>
      <c r="AC1485" s="239">
        <f t="shared" ca="1" si="1081"/>
        <v>9.0743773455665707E-8</v>
      </c>
      <c r="AE1485" s="240">
        <f ca="1">IFERROR(IF(OR(Z1485="",Z1485=0),"",IF(AF1485="","",IF(AF1485="R$/mês",Z1485/OBRA!$D$12,IF(AF1485="R$/m²",Z1485/OBRA!$D$10,IF(AF1485="R$/apto",Orçamento!Z1485/OBRA!$D$11,""))))),"")</f>
        <v>3.2551010431086392E-4</v>
      </c>
      <c r="AF1485" s="241" t="s">
        <v>154</v>
      </c>
    </row>
    <row r="1486" spans="1:32" s="10" customFormat="1" ht="13.15" hidden="1" customHeight="1" outlineLevel="4" x14ac:dyDescent="0.2">
      <c r="A1486" s="227"/>
      <c r="B1486" s="228" t="s">
        <v>19</v>
      </c>
      <c r="C1486" s="229">
        <f t="shared" si="1079"/>
        <v>15</v>
      </c>
      <c r="D1486" s="227" t="str">
        <f t="shared" si="1072"/>
        <v/>
      </c>
      <c r="E1486" s="228" t="str">
        <f t="shared" ca="1" si="1073"/>
        <v>15.001.003.002</v>
      </c>
      <c r="F1486" s="230">
        <f ca="1">IF($B1486="UNIDADE CONSTRUTIVA",OFFSET(F1486,-1,0)+1,LARGE(F$10:F1485,1))</f>
        <v>2</v>
      </c>
      <c r="G1486" s="228" t="str">
        <f ca="1">IF(B1486="*","",IF(B1486="UNIDADE CONSTRUTIVA",S1486,OFFSET(G1486,-1,0)))</f>
        <v xml:space="preserve">   GERENCIAMENTO EXECUTIVO</v>
      </c>
      <c r="H1486" s="230">
        <f t="shared" ca="1" si="1074"/>
        <v>15</v>
      </c>
      <c r="I1486" s="228" t="str">
        <f ca="1">IF(B1486="*","",IF(B1486="CÉLULA CONSTRUTIVA",S1486,OFFSET(I1486,-1,0)))</f>
        <v xml:space="preserve">   PISOS E PAVIMENTAÇÕES</v>
      </c>
      <c r="J1486" s="230">
        <f t="shared" ca="1" si="1075"/>
        <v>1</v>
      </c>
      <c r="K1486" s="228" t="str">
        <f ca="1">IF(B1486="*","",IF(B1486="ETAPA",S1486,OFFSET(K1486,-1,0)))</f>
        <v xml:space="preserve">   PISOS E PAVIMENTAÇÕES - 1º PAVIMENTO - SUBSOLO</v>
      </c>
      <c r="L1486" s="231">
        <f t="shared" ca="1" si="1076"/>
        <v>3</v>
      </c>
      <c r="M1486" s="228" t="str">
        <f ca="1">IF(B1486="*","",IF(B1486="SUBETAPA",S1486,OFFSET(M1486,-1,0)))</f>
        <v xml:space="preserve">   Rodapés</v>
      </c>
      <c r="N1486" s="231">
        <f t="shared" ca="1" si="1077"/>
        <v>2</v>
      </c>
      <c r="O1486" s="228" t="str">
        <f ca="1">IF(B1486="*","",IF(B1486="SERVIÇO",S1486,OFFSET(O1486,-1,0)))</f>
        <v>Revestimento interno de Rodapé Cerâmico h=0,07cm</v>
      </c>
      <c r="P1486" s="232" t="str">
        <f>IF(S1486="","",IF(Orçamento!$B1486="INSUMO",S1486,""))</f>
        <v>ESPACADOR PVC JUNTA PISO 3,0MM NBR 6118</v>
      </c>
      <c r="Q1486" s="244" t="str">
        <f t="shared" si="1078"/>
        <v/>
      </c>
      <c r="R1486" s="234">
        <f ca="1">IF(B1486="serviço",U1486,OFFSET(R1486,-1,0))</f>
        <v>16.55</v>
      </c>
      <c r="S1486" s="233" t="s">
        <v>716</v>
      </c>
      <c r="T1486" s="242" t="str">
        <f>_xlfn.XLOOKUP(S1486,Insumos!$A$3:$A$371,Insumos!$B$3:$B$371)</f>
        <v>UN</v>
      </c>
      <c r="U1486" s="235">
        <f ca="1">IF($B1486="insumo",R1486,"")</f>
        <v>16.55</v>
      </c>
      <c r="V1486" s="320">
        <f>ROUNDUP(4*0.07,4)</f>
        <v>0.28000000000000003</v>
      </c>
      <c r="W1486" s="236">
        <f>IFERROR(IF(B1486="INSUMO",_xlfn.XLOOKUP(S1486,Insumos!A:A,Insumos!C:C),""),"Inserir Preço")</f>
        <v>0.22</v>
      </c>
      <c r="X1486" s="235">
        <f ca="1">IF(B1486="Complemento do insumo",V1486,IF(R1486="","",IF(B1486="serviço",R1486,IF(OR(B1486="insumo"),V1486*R1486,""))))</f>
        <v>4.6340000000000003</v>
      </c>
      <c r="Y1486" s="236">
        <f t="shared" si="1034"/>
        <v>6.1600000000000009E-2</v>
      </c>
      <c r="Z1486" s="237">
        <f t="shared" ca="1" si="1080"/>
        <v>1.0194800000000002</v>
      </c>
      <c r="AA1486" s="238"/>
      <c r="AB1486" s="233" t="str">
        <f>IF(B1486="insumo",_xlfn.XLOOKUP(S1486,Insumos!A:A,Insumos!D:D),"")</f>
        <v>Base de Dados</v>
      </c>
      <c r="AC1486" s="239">
        <f t="shared" ca="1" si="1081"/>
        <v>1.4625370080766633E-7</v>
      </c>
      <c r="AE1486" s="240">
        <f ca="1">IFERROR(IF(OR(Z1486="",Z1486=0),"",IF(AF1486="","",IF(AF1486="R$/mês",Z1486/OBRA!$D$12,IF(AF1486="R$/m²",Z1486/OBRA!$D$10,IF(AF1486="R$/apto",Orçamento!Z1486/OBRA!$D$11,""))))),"")</f>
        <v>5.2463166995157557E-4</v>
      </c>
      <c r="AF1486" s="241" t="s">
        <v>154</v>
      </c>
    </row>
    <row r="1487" spans="1:32" s="10" customFormat="1" ht="13.15" hidden="1" customHeight="1" outlineLevel="4" x14ac:dyDescent="0.2">
      <c r="A1487" s="227"/>
      <c r="B1487" s="228" t="s">
        <v>19</v>
      </c>
      <c r="C1487" s="229">
        <f t="shared" si="1079"/>
        <v>13</v>
      </c>
      <c r="D1487" s="227" t="str">
        <f t="shared" si="1072"/>
        <v/>
      </c>
      <c r="E1487" s="228" t="str">
        <f t="shared" ca="1" si="1073"/>
        <v>15.001.003.002</v>
      </c>
      <c r="F1487" s="230">
        <f ca="1">IF($B1487="UNIDADE CONSTRUTIVA",OFFSET(F1487,-1,0)+1,LARGE(F$10:F1486,1))</f>
        <v>2</v>
      </c>
      <c r="G1487" s="228" t="str">
        <f ca="1">IF(B1487="*","",IF(B1487="UNIDADE CONSTRUTIVA",S1487,OFFSET(G1487,-1,0)))</f>
        <v xml:space="preserve">   GERENCIAMENTO EXECUTIVO</v>
      </c>
      <c r="H1487" s="230">
        <f t="shared" ca="1" si="1074"/>
        <v>15</v>
      </c>
      <c r="I1487" s="228" t="str">
        <f ca="1">IF(B1487="*","",IF(B1487="CÉLULA CONSTRUTIVA",S1487,OFFSET(I1487,-1,0)))</f>
        <v xml:space="preserve">   PISOS E PAVIMENTAÇÕES</v>
      </c>
      <c r="J1487" s="230">
        <f t="shared" ca="1" si="1075"/>
        <v>1</v>
      </c>
      <c r="K1487" s="228" t="str">
        <f ca="1">IF(B1487="*","",IF(B1487="ETAPA",S1487,OFFSET(K1487,-1,0)))</f>
        <v xml:space="preserve">   PISOS E PAVIMENTAÇÕES - 1º PAVIMENTO - SUBSOLO</v>
      </c>
      <c r="L1487" s="231">
        <f t="shared" ca="1" si="1076"/>
        <v>3</v>
      </c>
      <c r="M1487" s="228" t="str">
        <f ca="1">IF(B1487="*","",IF(B1487="SUBETAPA",S1487,OFFSET(M1487,-1,0)))</f>
        <v xml:space="preserve">   Rodapés</v>
      </c>
      <c r="N1487" s="231">
        <f t="shared" ca="1" si="1077"/>
        <v>2</v>
      </c>
      <c r="O1487" s="228" t="str">
        <f ca="1">IF(B1487="*","",IF(B1487="SERVIÇO",S1487,OFFSET(O1487,-1,0)))</f>
        <v>Revestimento interno de Rodapé Cerâmico h=0,07cm</v>
      </c>
      <c r="P1487" s="232" t="str">
        <f>IF(S1487="","",IF(Orçamento!$B1487="INSUMO",S1487,""))</f>
        <v>REVESTIMENTO - HANGAR CHICAGO 60X60 NAT BOLD</v>
      </c>
      <c r="Q1487" s="244" t="str">
        <f t="shared" si="1078"/>
        <v/>
      </c>
      <c r="R1487" s="234">
        <f ca="1">IF(B1487="serviço",U1487,OFFSET(R1487,-1,0))</f>
        <v>16.55</v>
      </c>
      <c r="S1487" s="233" t="s">
        <v>912</v>
      </c>
      <c r="T1487" s="242" t="str">
        <f>_xlfn.XLOOKUP(S1487,Insumos!$A$3:$A$371,Insumos!$B$3:$B$371)</f>
        <v>M2</v>
      </c>
      <c r="U1487" s="235">
        <f ca="1">IF($B1487="insumo",R1487,"")</f>
        <v>16.55</v>
      </c>
      <c r="V1487" s="320">
        <f>ROUNDUP(1.1*0.07,4)</f>
        <v>7.6999999999999999E-2</v>
      </c>
      <c r="W1487" s="236">
        <f>IFERROR(IF(B1487="INSUMO",_xlfn.XLOOKUP(S1487,Insumos!A:A,Insumos!C:C),""),"Inserir Preço")</f>
        <v>45.19</v>
      </c>
      <c r="X1487" s="235">
        <f ca="1">IF(B1487="Complemento do insumo",V1487,IF(R1487="","",IF(B1487="serviço",R1487,IF(OR(B1487="insumo"),V1487*R1487,""))))</f>
        <v>1.2743500000000001</v>
      </c>
      <c r="Y1487" s="236">
        <f t="shared" si="1034"/>
        <v>3.4796299999999998</v>
      </c>
      <c r="Z1487" s="237">
        <f t="shared" ca="1" si="1080"/>
        <v>57.5878765</v>
      </c>
      <c r="AA1487" s="238"/>
      <c r="AB1487" s="233" t="str">
        <f>IF(B1487="insumo",_xlfn.XLOOKUP(S1487,Insumos!A:A,Insumos!D:D),"")</f>
        <v>Portobelo</v>
      </c>
      <c r="AC1487" s="239">
        <f t="shared" ca="1" si="1081"/>
        <v>8.2615059243730497E-6</v>
      </c>
      <c r="AE1487" s="240">
        <f ca="1">IFERROR(IF(OR(Z1487="",Z1487=0),"",IF(AF1487="","",IF(AF1487="R$/mês",Z1487/OBRA!$D$12,IF(AF1487="R$/m²",Z1487/OBRA!$D$10,IF(AF1487="R$/apto",Orçamento!Z1487/OBRA!$D$11,""))))),"")</f>
        <v>2.9635131456389619E-2</v>
      </c>
      <c r="AF1487" s="241" t="s">
        <v>154</v>
      </c>
    </row>
    <row r="1488" spans="1:32" s="10" customFormat="1" ht="13.15" hidden="1" customHeight="1" outlineLevel="3" collapsed="1" x14ac:dyDescent="0.2">
      <c r="A1488" s="227"/>
      <c r="B1488" s="228" t="s">
        <v>3</v>
      </c>
      <c r="C1488" s="229" t="str">
        <f t="shared" si="1079"/>
        <v/>
      </c>
      <c r="D1488" s="227" t="str">
        <f t="shared" ref="D1488:D1493" ca="1" si="1082">IF(B1488="Unidade Construtiva",TEXT(F1488,"00"),IF(B1488="Célula Construtiva",TEXT(H1488,"00"),IF(B1488="Etapa",CONCATENATE(TEXT(H1488,"00"),".",TEXT(J1488,"000")),IF(B1488="Subetapa",CONCATENATE(TEXT(H1488,"00"),".",TEXT(J1488,"000"),".",TEXT(L1488,"000")),IF(B1488="Serviço",CONCATENATE(TEXT(H1488,"00"),".",TEXT(J1488,"000"),".",TEXT(L1488,"000"),".",TEXT(N1488,"000")),"")))))</f>
        <v>15.001.004</v>
      </c>
      <c r="E1488" s="228" t="str">
        <f t="shared" ref="E1488:E1493" ca="1" si="1083">IF(B1488="*","",IFERROR(IF(B1488="SERVIÇO",D1488,OFFSET(E1488,-1,0)),""))</f>
        <v>15.001.003.002</v>
      </c>
      <c r="F1488" s="230">
        <f ca="1">IF($B1488="UNIDADE CONSTRUTIVA",OFFSET(F1488,-1,0)+1,LARGE(F$10:F1487,1))</f>
        <v>2</v>
      </c>
      <c r="G1488" s="228" t="str">
        <f t="shared" ref="G1488:G1522" ca="1" si="1084">IF(B1488="*","",IF(B1488="UNIDADE CONSTRUTIVA",S1488,OFFSET(G1488,-1,0)))</f>
        <v xml:space="preserve">   GERENCIAMENTO EXECUTIVO</v>
      </c>
      <c r="H1488" s="230">
        <f t="shared" ref="H1488:H1493" ca="1" si="1085">IF(B1488="UNIDADE CONSTRUTIVA",0,IF(B1488="CÉLULA CONSTRUTIVA",OFFSET(H1488,-1,0)+1,OFFSET(H1488,-1,0)))</f>
        <v>15</v>
      </c>
      <c r="I1488" s="228" t="str">
        <f t="shared" ref="I1488:I1522" ca="1" si="1086">IF(B1488="*","",IF(B1488="CÉLULA CONSTRUTIVA",S1488,OFFSET(I1488,-1,0)))</f>
        <v xml:space="preserve">   PISOS E PAVIMENTAÇÕES</v>
      </c>
      <c r="J1488" s="230">
        <f t="shared" ref="J1488:J1493" ca="1" si="1087">IF(B1488="CÉLULA CONSTRUTIVA",0,IF(B1488="ETAPA",OFFSET(J1488,-1,0)+1,OFFSET(J1488,-1,0)))</f>
        <v>1</v>
      </c>
      <c r="K1488" s="228" t="str">
        <f t="shared" ref="K1488:K1522" ca="1" si="1088">IF(B1488="*","",IF(B1488="ETAPA",S1488,OFFSET(K1488,-1,0)))</f>
        <v xml:space="preserve">   PISOS E PAVIMENTAÇÕES - 1º PAVIMENTO - SUBSOLO</v>
      </c>
      <c r="L1488" s="231">
        <f t="shared" ref="L1488:L1493" ca="1" si="1089">IF(B1488="ETAPA",0,IF(B1488="SUBETAPA",OFFSET(L1488,-1,0)+1,OFFSET(L1488,-1,0)))</f>
        <v>4</v>
      </c>
      <c r="M1488" s="228" t="str">
        <f t="shared" ref="M1488:M1522" ca="1" si="1090">IF(B1488="*","",IF(B1488="SUBETAPA",S1488,OFFSET(M1488,-1,0)))</f>
        <v xml:space="preserve">   Soleiras</v>
      </c>
      <c r="N1488" s="231">
        <f t="shared" ref="N1488:N1493" ca="1" si="1091">IF(B1488="Subetapa",0,IF(B1488="serviço",OFFSET(N1488,-1,0)+1,OFFSET(N1488,-1,0)))</f>
        <v>0</v>
      </c>
      <c r="O1488" s="228" t="str">
        <f t="shared" ref="O1488:O1522" ca="1" si="1092">IF(B1488="*","",IF(B1488="SERVIÇO",S1488,OFFSET(O1488,-1,0)))</f>
        <v>Revestimento interno de Rodapé Cerâmico h=0,07cm</v>
      </c>
      <c r="P1488" s="232" t="str">
        <f>IF(S1488="","",IF(Orçamento!$B1488="INSUMO",S1488,""))</f>
        <v/>
      </c>
      <c r="Q1488" s="244" t="str">
        <f t="shared" ref="Q1488:Q1493" si="1093">IF(B1488="","",IF(B1488="Serviço",S1488,""))</f>
        <v/>
      </c>
      <c r="R1488" s="234">
        <f t="shared" ref="R1488:R1522" ca="1" si="1094">IF(B1488="serviço",U1488,OFFSET(R1488,-1,0))</f>
        <v>16.55</v>
      </c>
      <c r="S1488" s="233" t="s">
        <v>491</v>
      </c>
      <c r="T1488" s="242" t="s">
        <v>35</v>
      </c>
      <c r="U1488" s="235" t="str">
        <f>IF($B1488="insumo",R1488,"")</f>
        <v/>
      </c>
      <c r="V1488" s="320" t="s">
        <v>35</v>
      </c>
      <c r="W1488" s="236" t="str">
        <f>IFERROR(IF(B1488="INSUMO",_xlfn.XLOOKUP(S1488,Insumos!A:A,Insumos!C:C),""),"Inserir Preço")</f>
        <v/>
      </c>
      <c r="X1488" s="235" t="str">
        <f t="shared" ref="X1488:X1522" ca="1" si="1095">IF(B1488="Complemento do insumo",V1488,IF(R1488="","",IF(B1488="serviço",R1488,IF(OR(B1488="insumo"),V1488*R1488,""))))</f>
        <v/>
      </c>
      <c r="Y1488" s="236" t="str">
        <f t="shared" si="1034"/>
        <v/>
      </c>
      <c r="Z1488" s="237">
        <f t="shared" ca="1" si="1080"/>
        <v>71.428500000000014</v>
      </c>
      <c r="AA1488" s="238"/>
      <c r="AB1488" s="233" t="str">
        <f>IF(B1488="insumo",_xlfn.XLOOKUP(S1488,Insumos!A:A,Insumos!D:D),"")</f>
        <v/>
      </c>
      <c r="AC1488" s="239">
        <f t="shared" ca="1" si="1081"/>
        <v>1.0247069553243216E-5</v>
      </c>
      <c r="AE1488" s="240">
        <f ca="1">IFERROR(IF(OR(Z1488="",Z1488=0),"",IF(AF1488="","",IF(AF1488="R$/mês",Z1488/OBRA!$D$12,IF(AF1488="R$/m²",Z1488/OBRA!$D$10,IF(AF1488="R$/apto",Orçamento!Z1488/OBRA!$D$11,""))))),"")</f>
        <v>3.6757614898905437E-2</v>
      </c>
      <c r="AF1488" s="241" t="s">
        <v>154</v>
      </c>
    </row>
    <row r="1489" spans="1:32" s="10" customFormat="1" ht="13.15" hidden="1" customHeight="1" outlineLevel="4" x14ac:dyDescent="0.2">
      <c r="A1489" s="227"/>
      <c r="B1489" s="228" t="s">
        <v>4</v>
      </c>
      <c r="C1489" s="229">
        <f t="shared" si="1079"/>
        <v>5</v>
      </c>
      <c r="D1489" s="227" t="str">
        <f t="shared" ca="1" si="1082"/>
        <v>15.001.004.001</v>
      </c>
      <c r="E1489" s="228" t="str">
        <f t="shared" ca="1" si="1083"/>
        <v>15.001.004.001</v>
      </c>
      <c r="F1489" s="230">
        <f ca="1">IF($B1489="UNIDADE CONSTRUTIVA",OFFSET(F1489,-1,0)+1,LARGE(F$10:F1488,1))</f>
        <v>2</v>
      </c>
      <c r="G1489" s="228" t="str">
        <f t="shared" ca="1" si="1084"/>
        <v xml:space="preserve">   GERENCIAMENTO EXECUTIVO</v>
      </c>
      <c r="H1489" s="230">
        <f t="shared" ca="1" si="1085"/>
        <v>15</v>
      </c>
      <c r="I1489" s="228" t="str">
        <f t="shared" ca="1" si="1086"/>
        <v xml:space="preserve">   PISOS E PAVIMENTAÇÕES</v>
      </c>
      <c r="J1489" s="230">
        <f t="shared" ca="1" si="1087"/>
        <v>1</v>
      </c>
      <c r="K1489" s="228" t="str">
        <f t="shared" ca="1" si="1088"/>
        <v xml:space="preserve">   PISOS E PAVIMENTAÇÕES - 1º PAVIMENTO - SUBSOLO</v>
      </c>
      <c r="L1489" s="231">
        <f t="shared" ca="1" si="1089"/>
        <v>4</v>
      </c>
      <c r="M1489" s="228" t="str">
        <f t="shared" ca="1" si="1090"/>
        <v xml:space="preserve">   Soleiras</v>
      </c>
      <c r="N1489" s="231">
        <f t="shared" ca="1" si="1091"/>
        <v>1</v>
      </c>
      <c r="O1489" s="228" t="str">
        <f t="shared" ca="1" si="1092"/>
        <v>Soleira em granito, acabamento polido, espessura 2cm</v>
      </c>
      <c r="P1489" s="232" t="str">
        <f>IF(S1489="","",IF(Orçamento!$B1489="INSUMO",S1489,""))</f>
        <v/>
      </c>
      <c r="Q1489" s="244" t="str">
        <f t="shared" si="1093"/>
        <v>Soleira em granito, acabamento polido, espessura 2cm</v>
      </c>
      <c r="R1489" s="234">
        <f t="shared" ca="1" si="1094"/>
        <v>0.11</v>
      </c>
      <c r="S1489" s="233" t="s">
        <v>492</v>
      </c>
      <c r="T1489" s="242" t="s">
        <v>140</v>
      </c>
      <c r="U1489" s="235">
        <v>0.11</v>
      </c>
      <c r="V1489" s="320" t="s">
        <v>35</v>
      </c>
      <c r="W1489" s="236" t="str">
        <f>IFERROR(IF(B1489="INSUMO",_xlfn.XLOOKUP(S1489,Insumos!A:A,Insumos!C:C),""),"Inserir Preço")</f>
        <v/>
      </c>
      <c r="X1489" s="235">
        <f t="shared" ca="1" si="1095"/>
        <v>0.11</v>
      </c>
      <c r="Y1489" s="236">
        <f t="shared" ca="1" si="1034"/>
        <v>649.35</v>
      </c>
      <c r="Z1489" s="237">
        <f t="shared" ca="1" si="1080"/>
        <v>71.4285</v>
      </c>
      <c r="AA1489" s="238"/>
      <c r="AB1489" s="233" t="str">
        <f>IF(B1489="insumo",_xlfn.XLOOKUP(S1489,Insumos!A:A,Insumos!D:D),"")</f>
        <v/>
      </c>
      <c r="AC1489" s="239">
        <f t="shared" ca="1" si="1081"/>
        <v>1.0247069553243214E-5</v>
      </c>
      <c r="AE1489" s="240">
        <f ca="1">IFERROR(IF(OR(Z1489="",Z1489=0),"",IF(AF1489="","",IF(AF1489="R$/mês",Z1489/OBRA!$D$12,IF(AF1489="R$/m²",Z1489/OBRA!$D$10,IF(AF1489="R$/apto",Orçamento!Z1489/OBRA!$D$11,""))))),"")</f>
        <v>3.675761489890543E-2</v>
      </c>
      <c r="AF1489" s="241" t="s">
        <v>154</v>
      </c>
    </row>
    <row r="1490" spans="1:32" s="10" customFormat="1" ht="13.15" hidden="1" customHeight="1" outlineLevel="4" x14ac:dyDescent="0.2">
      <c r="A1490" s="227"/>
      <c r="B1490" s="228" t="s">
        <v>19</v>
      </c>
      <c r="C1490" s="229">
        <f t="shared" si="1079"/>
        <v>16</v>
      </c>
      <c r="D1490" s="227" t="str">
        <f t="shared" si="1082"/>
        <v/>
      </c>
      <c r="E1490" s="228" t="str">
        <f t="shared" ca="1" si="1083"/>
        <v>15.001.004.001</v>
      </c>
      <c r="F1490" s="230">
        <f ca="1">IF($B1490="UNIDADE CONSTRUTIVA",OFFSET(F1490,-1,0)+1,LARGE(F$10:F1489,1))</f>
        <v>2</v>
      </c>
      <c r="G1490" s="228" t="str">
        <f t="shared" ca="1" si="1084"/>
        <v xml:space="preserve">   GERENCIAMENTO EXECUTIVO</v>
      </c>
      <c r="H1490" s="230">
        <f t="shared" ca="1" si="1085"/>
        <v>15</v>
      </c>
      <c r="I1490" s="228" t="str">
        <f t="shared" ca="1" si="1086"/>
        <v xml:space="preserve">   PISOS E PAVIMENTAÇÕES</v>
      </c>
      <c r="J1490" s="230">
        <f t="shared" ca="1" si="1087"/>
        <v>1</v>
      </c>
      <c r="K1490" s="228" t="str">
        <f t="shared" ca="1" si="1088"/>
        <v xml:space="preserve">   PISOS E PAVIMENTAÇÕES - 1º PAVIMENTO - SUBSOLO</v>
      </c>
      <c r="L1490" s="231">
        <f t="shared" ca="1" si="1089"/>
        <v>4</v>
      </c>
      <c r="M1490" s="228" t="str">
        <f t="shared" ca="1" si="1090"/>
        <v xml:space="preserve">   Soleiras</v>
      </c>
      <c r="N1490" s="231">
        <f t="shared" ca="1" si="1091"/>
        <v>1</v>
      </c>
      <c r="O1490" s="228" t="str">
        <f t="shared" ca="1" si="1092"/>
        <v>Soleira em granito, acabamento polido, espessura 2cm</v>
      </c>
      <c r="P1490" s="232" t="str">
        <f>IF(S1490="","",IF(Orçamento!$B1490="INSUMO",S1490,""))</f>
        <v>ARGAMASSA COLANTE AC III</v>
      </c>
      <c r="Q1490" s="244" t="str">
        <f t="shared" si="1093"/>
        <v/>
      </c>
      <c r="R1490" s="234">
        <f t="shared" ca="1" si="1094"/>
        <v>0.11</v>
      </c>
      <c r="S1490" s="233" t="s">
        <v>357</v>
      </c>
      <c r="T1490" s="242" t="str">
        <f>_xlfn.XLOOKUP(S1490,Insumos!$A$3:$A$371,Insumos!$B$3:$B$371)</f>
        <v>KG</v>
      </c>
      <c r="U1490" s="235">
        <f ca="1">IF($B1490="insumo",R1490,"")</f>
        <v>0.11</v>
      </c>
      <c r="V1490" s="320">
        <v>10</v>
      </c>
      <c r="W1490" s="236">
        <f>IFERROR(IF(B1490="INSUMO",_xlfn.XLOOKUP(S1490,Insumos!A:A,Insumos!C:C),""),"Inserir Preço")</f>
        <v>0.92500000000000004</v>
      </c>
      <c r="X1490" s="235">
        <f t="shared" ca="1" si="1095"/>
        <v>1.1000000000000001</v>
      </c>
      <c r="Y1490" s="236">
        <f t="shared" si="1034"/>
        <v>9.25</v>
      </c>
      <c r="Z1490" s="237">
        <f t="shared" ca="1" si="1080"/>
        <v>1.0175000000000001</v>
      </c>
      <c r="AA1490" s="238"/>
      <c r="AB1490" s="233" t="str">
        <f>IF(B1490="insumo",_xlfn.XLOOKUP(S1490,Insumos!A:A,Insumos!D:D),"")</f>
        <v>Argabrus</v>
      </c>
      <c r="AC1490" s="239">
        <f t="shared" ca="1" si="1081"/>
        <v>1.4596965175560136E-7</v>
      </c>
      <c r="AE1490" s="240">
        <f ca="1">IFERROR(IF(OR(Z1490="",Z1490=0),"",IF(AF1490="","",IF(AF1490="R$/mês",Z1490/OBRA!$D$12,IF(AF1490="R$/m²",Z1490/OBRA!$D$10,IF(AF1490="R$/apto",Orçamento!Z1490/OBRA!$D$11,""))))),"")</f>
        <v>5.2361274784765578E-4</v>
      </c>
      <c r="AF1490" s="241" t="s">
        <v>154</v>
      </c>
    </row>
    <row r="1491" spans="1:32" s="10" customFormat="1" ht="13.15" hidden="1" customHeight="1" outlineLevel="4" x14ac:dyDescent="0.2">
      <c r="A1491" s="227"/>
      <c r="B1491" s="228" t="s">
        <v>19</v>
      </c>
      <c r="C1491" s="229">
        <f t="shared" si="1079"/>
        <v>32</v>
      </c>
      <c r="D1491" s="227" t="str">
        <f t="shared" si="1082"/>
        <v/>
      </c>
      <c r="E1491" s="228" t="str">
        <f t="shared" ca="1" si="1083"/>
        <v>15.001.004.001</v>
      </c>
      <c r="F1491" s="230">
        <f ca="1">IF($B1491="UNIDADE CONSTRUTIVA",OFFSET(F1491,-1,0)+1,LARGE(F$10:F1490,1))</f>
        <v>2</v>
      </c>
      <c r="G1491" s="228" t="str">
        <f t="shared" ca="1" si="1084"/>
        <v xml:space="preserve">   GERENCIAMENTO EXECUTIVO</v>
      </c>
      <c r="H1491" s="230">
        <f t="shared" ca="1" si="1085"/>
        <v>15</v>
      </c>
      <c r="I1491" s="228" t="str">
        <f t="shared" ca="1" si="1086"/>
        <v xml:space="preserve">   PISOS E PAVIMENTAÇÕES</v>
      </c>
      <c r="J1491" s="230">
        <f t="shared" ca="1" si="1087"/>
        <v>1</v>
      </c>
      <c r="K1491" s="228" t="str">
        <f t="shared" ca="1" si="1088"/>
        <v xml:space="preserve">   PISOS E PAVIMENTAÇÕES - 1º PAVIMENTO - SUBSOLO</v>
      </c>
      <c r="L1491" s="231">
        <f t="shared" ca="1" si="1089"/>
        <v>4</v>
      </c>
      <c r="M1491" s="228" t="str">
        <f t="shared" ca="1" si="1090"/>
        <v xml:space="preserve">   Soleiras</v>
      </c>
      <c r="N1491" s="231">
        <f t="shared" ca="1" si="1091"/>
        <v>1</v>
      </c>
      <c r="O1491" s="228" t="str">
        <f t="shared" ca="1" si="1092"/>
        <v>Soleira em granito, acabamento polido, espessura 2cm</v>
      </c>
      <c r="P1491" s="232" t="str">
        <f>IF(S1491="","",IF(Orçamento!$B1491="INSUMO",S1491,""))</f>
        <v>REJUNTE FLEXIVEL CIMENTICIO TIPO II NBR 14992</v>
      </c>
      <c r="Q1491" s="244" t="str">
        <f t="shared" si="1093"/>
        <v/>
      </c>
      <c r="R1491" s="234">
        <f t="shared" ca="1" si="1094"/>
        <v>0.11</v>
      </c>
      <c r="S1491" s="233" t="s">
        <v>734</v>
      </c>
      <c r="T1491" s="242" t="str">
        <f>_xlfn.XLOOKUP(S1491,Insumos!$A$3:$A$371,Insumos!$B$3:$B$371)</f>
        <v>KG</v>
      </c>
      <c r="U1491" s="235">
        <f ca="1">IF($B1491="insumo",R1491,"")</f>
        <v>0.11</v>
      </c>
      <c r="V1491" s="320">
        <v>0.5</v>
      </c>
      <c r="W1491" s="236">
        <f>IFERROR(IF(B1491="INSUMO",_xlfn.XLOOKUP(S1491,Insumos!A:A,Insumos!C:C),""),"Inserir Preço")</f>
        <v>4.2</v>
      </c>
      <c r="X1491" s="235">
        <f t="shared" ca="1" si="1095"/>
        <v>5.5E-2</v>
      </c>
      <c r="Y1491" s="236">
        <f t="shared" si="1034"/>
        <v>2.1</v>
      </c>
      <c r="Z1491" s="237">
        <f t="shared" ca="1" si="1080"/>
        <v>0.23100000000000001</v>
      </c>
      <c r="AA1491" s="238"/>
      <c r="AB1491" s="233" t="str">
        <f>IF(B1491="insumo",_xlfn.XLOOKUP(S1491,Insumos!A:A,Insumos!D:D),"")</f>
        <v>Distribuidora Sika</v>
      </c>
      <c r="AC1491" s="239">
        <f t="shared" ca="1" si="1081"/>
        <v>3.3139056074244629E-8</v>
      </c>
      <c r="AE1491" s="240">
        <f ca="1">IFERROR(IF(OR(Z1491="",Z1491=0),"",IF(AF1491="","",IF(AF1491="R$/mês",Z1491/OBRA!$D$12,IF(AF1491="R$/m²",Z1491/OBRA!$D$10,IF(AF1491="R$/apto",Orçamento!Z1491/OBRA!$D$11,""))))),"")</f>
        <v>1.1887424545730562E-4</v>
      </c>
      <c r="AF1491" s="241" t="s">
        <v>154</v>
      </c>
    </row>
    <row r="1492" spans="1:32" s="10" customFormat="1" ht="13.15" hidden="1" customHeight="1" outlineLevel="4" x14ac:dyDescent="0.2">
      <c r="A1492" s="227"/>
      <c r="B1492" s="228" t="s">
        <v>19</v>
      </c>
      <c r="C1492" s="229">
        <f t="shared" si="1079"/>
        <v>11</v>
      </c>
      <c r="D1492" s="227" t="str">
        <f t="shared" si="1082"/>
        <v/>
      </c>
      <c r="E1492" s="228" t="str">
        <f t="shared" ca="1" si="1083"/>
        <v>15.001.004.001</v>
      </c>
      <c r="F1492" s="230">
        <f ca="1">IF($B1492="UNIDADE CONSTRUTIVA",OFFSET(F1492,-1,0)+1,LARGE(F$10:F1491,1))</f>
        <v>2</v>
      </c>
      <c r="G1492" s="228" t="str">
        <f t="shared" ca="1" si="1084"/>
        <v xml:space="preserve">   GERENCIAMENTO EXECUTIVO</v>
      </c>
      <c r="H1492" s="230">
        <f t="shared" ca="1" si="1085"/>
        <v>15</v>
      </c>
      <c r="I1492" s="228" t="str">
        <f t="shared" ca="1" si="1086"/>
        <v xml:space="preserve">   PISOS E PAVIMENTAÇÕES</v>
      </c>
      <c r="J1492" s="230">
        <f t="shared" ca="1" si="1087"/>
        <v>1</v>
      </c>
      <c r="K1492" s="228" t="str">
        <f t="shared" ca="1" si="1088"/>
        <v xml:space="preserve">   PISOS E PAVIMENTAÇÕES - 1º PAVIMENTO - SUBSOLO</v>
      </c>
      <c r="L1492" s="231">
        <f t="shared" ca="1" si="1089"/>
        <v>4</v>
      </c>
      <c r="M1492" s="228" t="str">
        <f t="shared" ca="1" si="1090"/>
        <v xml:space="preserve">   Soleiras</v>
      </c>
      <c r="N1492" s="231">
        <f t="shared" ca="1" si="1091"/>
        <v>1</v>
      </c>
      <c r="O1492" s="228" t="str">
        <f t="shared" ca="1" si="1092"/>
        <v>Soleira em granito, acabamento polido, espessura 2cm</v>
      </c>
      <c r="P1492" s="232" t="str">
        <f>IF(S1492="","",IF(Orçamento!$B1492="INSUMO",S1492,""))</f>
        <v>GRANITO POLIDO</v>
      </c>
      <c r="Q1492" s="244" t="str">
        <f t="shared" si="1093"/>
        <v/>
      </c>
      <c r="R1492" s="234">
        <f t="shared" ca="1" si="1094"/>
        <v>0.11</v>
      </c>
      <c r="S1492" s="233" t="s">
        <v>286</v>
      </c>
      <c r="T1492" s="242" t="str">
        <f>_xlfn.XLOOKUP(S1492,Insumos!$A$3:$A$371,Insumos!$B$3:$B$371)</f>
        <v>M2</v>
      </c>
      <c r="U1492" s="235">
        <f ca="1">IF($B1492="insumo",R1492,"")</f>
        <v>0.11</v>
      </c>
      <c r="V1492" s="320">
        <v>1</v>
      </c>
      <c r="W1492" s="236">
        <f>IFERROR(IF(B1492="INSUMO",_xlfn.XLOOKUP(S1492,Insumos!A:A,Insumos!C:C),""),"Inserir Preço")</f>
        <v>638</v>
      </c>
      <c r="X1492" s="235">
        <f t="shared" ca="1" si="1095"/>
        <v>0.11</v>
      </c>
      <c r="Y1492" s="236">
        <f t="shared" si="1034"/>
        <v>638</v>
      </c>
      <c r="Z1492" s="237">
        <f t="shared" ca="1" si="1080"/>
        <v>70.180000000000007</v>
      </c>
      <c r="AA1492" s="238"/>
      <c r="AB1492" s="233" t="str">
        <f>IF(B1492="insumo",_xlfn.XLOOKUP(S1492,Insumos!A:A,Insumos!D:D),"")</f>
        <v xml:space="preserve"> </v>
      </c>
      <c r="AC1492" s="239">
        <f t="shared" ca="1" si="1081"/>
        <v>1.0067960845413369E-5</v>
      </c>
      <c r="AE1492" s="240">
        <f ca="1">IFERROR(IF(OR(Z1492="",Z1492=0),"",IF(AF1492="","",IF(AF1492="R$/mês",Z1492/OBRA!$D$12,IF(AF1492="R$/m²",Z1492/OBRA!$D$10,IF(AF1492="R$/apto",Orçamento!Z1492/OBRA!$D$11,""))))),"")</f>
        <v>3.6115127905600473E-2</v>
      </c>
      <c r="AF1492" s="241" t="s">
        <v>154</v>
      </c>
    </row>
    <row r="1493" spans="1:32" s="10" customFormat="1" ht="13.15" hidden="1" customHeight="1" outlineLevel="3" collapsed="1" x14ac:dyDescent="0.2">
      <c r="A1493" s="227"/>
      <c r="B1493" s="228" t="s">
        <v>3</v>
      </c>
      <c r="C1493" s="229" t="str">
        <f t="shared" si="1079"/>
        <v/>
      </c>
      <c r="D1493" s="227" t="str">
        <f t="shared" ca="1" si="1082"/>
        <v>15.001.005</v>
      </c>
      <c r="E1493" s="228" t="str">
        <f t="shared" ca="1" si="1083"/>
        <v>15.001.004.001</v>
      </c>
      <c r="F1493" s="230">
        <f ca="1">IF($B1493="UNIDADE CONSTRUTIVA",OFFSET(F1493,-1,0)+1,LARGE(F$10:F1492,1))</f>
        <v>2</v>
      </c>
      <c r="G1493" s="228" t="str">
        <f t="shared" ca="1" si="1084"/>
        <v xml:space="preserve">   GERENCIAMENTO EXECUTIVO</v>
      </c>
      <c r="H1493" s="230">
        <f t="shared" ca="1" si="1085"/>
        <v>15</v>
      </c>
      <c r="I1493" s="228" t="str">
        <f t="shared" ca="1" si="1086"/>
        <v xml:space="preserve">   PISOS E PAVIMENTAÇÕES</v>
      </c>
      <c r="J1493" s="230">
        <f t="shared" ca="1" si="1087"/>
        <v>1</v>
      </c>
      <c r="K1493" s="228" t="str">
        <f t="shared" ca="1" si="1088"/>
        <v xml:space="preserve">   PISOS E PAVIMENTAÇÕES - 1º PAVIMENTO - SUBSOLO</v>
      </c>
      <c r="L1493" s="231">
        <f t="shared" ca="1" si="1089"/>
        <v>5</v>
      </c>
      <c r="M1493" s="228" t="str">
        <f t="shared" ca="1" si="1090"/>
        <v xml:space="preserve">   Mão de Obra</v>
      </c>
      <c r="N1493" s="231">
        <f t="shared" ca="1" si="1091"/>
        <v>0</v>
      </c>
      <c r="O1493" s="228" t="str">
        <f t="shared" ca="1" si="1092"/>
        <v>Soleira em granito, acabamento polido, espessura 2cm</v>
      </c>
      <c r="P1493" s="232" t="str">
        <f>IF(S1493="","",IF(Orçamento!$B1493="INSUMO",S1493,""))</f>
        <v/>
      </c>
      <c r="Q1493" s="244" t="str">
        <f t="shared" si="1093"/>
        <v/>
      </c>
      <c r="R1493" s="234">
        <f t="shared" ca="1" si="1094"/>
        <v>0.11</v>
      </c>
      <c r="S1493" s="233" t="s">
        <v>438</v>
      </c>
      <c r="T1493" s="242" t="s">
        <v>35</v>
      </c>
      <c r="U1493" s="235" t="str">
        <f>IF($B1493="insumo",R1493,"")</f>
        <v/>
      </c>
      <c r="V1493" s="320" t="s">
        <v>35</v>
      </c>
      <c r="W1493" s="236" t="str">
        <f>IFERROR(IF(B1493="INSUMO",_xlfn.XLOOKUP(S1493,Insumos!A:A,Insumos!C:C),""),"Inserir Preço")</f>
        <v/>
      </c>
      <c r="X1493" s="235" t="str">
        <f t="shared" ca="1" si="1095"/>
        <v/>
      </c>
      <c r="Y1493" s="236" t="str">
        <f t="shared" si="1034"/>
        <v/>
      </c>
      <c r="Z1493" s="237">
        <f t="shared" ca="1" si="1080"/>
        <v>33344.648073543038</v>
      </c>
      <c r="AA1493" s="238"/>
      <c r="AB1493" s="233" t="str">
        <f>IF(B1493="insumo",_xlfn.XLOOKUP(S1493,Insumos!A:A,Insumos!D:D),"")</f>
        <v/>
      </c>
      <c r="AC1493" s="239">
        <f t="shared" ca="1" si="1081"/>
        <v>4.7835937761259561E-3</v>
      </c>
      <c r="AE1493" s="240">
        <f ca="1">IFERROR(IF(OR(Z1493="",Z1493=0),"",IF(AF1493="","",IF(AF1493="R$/mês",Z1493/OBRA!$D$12,IF(AF1493="R$/m²",Z1493/OBRA!$D$10,IF(AF1493="R$/apto",Orçamento!Z1493/OBRA!$D$11,""))))),"")</f>
        <v>17.159393418968953</v>
      </c>
      <c r="AF1493" s="241" t="s">
        <v>154</v>
      </c>
    </row>
    <row r="1494" spans="1:32" s="10" customFormat="1" ht="13.15" hidden="1" customHeight="1" outlineLevel="4" x14ac:dyDescent="0.2">
      <c r="A1494" s="227"/>
      <c r="B1494" s="228" t="s">
        <v>4</v>
      </c>
      <c r="C1494" s="229">
        <f t="shared" si="1079"/>
        <v>5</v>
      </c>
      <c r="D1494" s="227" t="str">
        <f t="shared" ref="D1494:D1499" ca="1" si="1096">IF(B1494="Unidade Construtiva",TEXT(F1494,"00"),IF(B1494="Célula Construtiva",TEXT(H1494,"00"),IF(B1494="Etapa",CONCATENATE(TEXT(H1494,"00"),".",TEXT(J1494,"000")),IF(B1494="Subetapa",CONCATENATE(TEXT(H1494,"00"),".",TEXT(J1494,"000"),".",TEXT(L1494,"000")),IF(B1494="Serviço",CONCATENATE(TEXT(H1494,"00"),".",TEXT(J1494,"000"),".",TEXT(L1494,"000"),".",TEXT(N1494,"000")),"")))))</f>
        <v>15.001.005.001</v>
      </c>
      <c r="E1494" s="228" t="str">
        <f t="shared" ref="E1494:E1499" ca="1" si="1097">IF(B1494="*","",IFERROR(IF(B1494="SERVIÇO",D1494,OFFSET(E1494,-1,0)),""))</f>
        <v>15.001.005.001</v>
      </c>
      <c r="F1494" s="230">
        <f ca="1">IF($B1494="UNIDADE CONSTRUTIVA",OFFSET(F1494,-1,0)+1,LARGE(F$10:F1493,1))</f>
        <v>2</v>
      </c>
      <c r="G1494" s="228" t="str">
        <f t="shared" ref="G1494:G1499" ca="1" si="1098">IF(B1494="*","",IF(B1494="UNIDADE CONSTRUTIVA",S1494,OFFSET(G1494,-1,0)))</f>
        <v xml:space="preserve">   GERENCIAMENTO EXECUTIVO</v>
      </c>
      <c r="H1494" s="230">
        <f t="shared" ref="H1494:H1499" ca="1" si="1099">IF(B1494="UNIDADE CONSTRUTIVA",0,IF(B1494="CÉLULA CONSTRUTIVA",OFFSET(H1494,-1,0)+1,OFFSET(H1494,-1,0)))</f>
        <v>15</v>
      </c>
      <c r="I1494" s="228" t="str">
        <f t="shared" ref="I1494:I1499" ca="1" si="1100">IF(B1494="*","",IF(B1494="CÉLULA CONSTRUTIVA",S1494,OFFSET(I1494,-1,0)))</f>
        <v xml:space="preserve">   PISOS E PAVIMENTAÇÕES</v>
      </c>
      <c r="J1494" s="230">
        <f t="shared" ref="J1494:J1499" ca="1" si="1101">IF(B1494="CÉLULA CONSTRUTIVA",0,IF(B1494="ETAPA",OFFSET(J1494,-1,0)+1,OFFSET(J1494,-1,0)))</f>
        <v>1</v>
      </c>
      <c r="K1494" s="228" t="str">
        <f t="shared" ref="K1494:K1499" ca="1" si="1102">IF(B1494="*","",IF(B1494="ETAPA",S1494,OFFSET(K1494,-1,0)))</f>
        <v xml:space="preserve">   PISOS E PAVIMENTAÇÕES - 1º PAVIMENTO - SUBSOLO</v>
      </c>
      <c r="L1494" s="231">
        <f t="shared" ref="L1494:L1499" ca="1" si="1103">IF(B1494="ETAPA",0,IF(B1494="SUBETAPA",OFFSET(L1494,-1,0)+1,OFFSET(L1494,-1,0)))</f>
        <v>5</v>
      </c>
      <c r="M1494" s="228" t="str">
        <f t="shared" ref="M1494:M1499" ca="1" si="1104">IF(B1494="*","",IF(B1494="SUBETAPA",S1494,OFFSET(M1494,-1,0)))</f>
        <v xml:space="preserve">   Mão de Obra</v>
      </c>
      <c r="N1494" s="231">
        <f t="shared" ref="N1494:N1499" ca="1" si="1105">IF(B1494="Subetapa",0,IF(B1494="serviço",OFFSET(N1494,-1,0)+1,OFFSET(N1494,-1,0)))</f>
        <v>1</v>
      </c>
      <c r="O1494" s="228" t="str">
        <f t="shared" ref="O1494:O1499" ca="1" si="1106">IF(B1494="*","",IF(B1494="SERVIÇO",S1494,OFFSET(O1494,-1,0)))</f>
        <v>Mao de obra para execucao de contrapiso comum e acústico</v>
      </c>
      <c r="P1494" s="232" t="str">
        <f>IF(S1494="","",IF(Orçamento!$B1494="INSUMO",S1494,""))</f>
        <v/>
      </c>
      <c r="Q1494" s="244" t="str">
        <f t="shared" ref="Q1494:Q1499" si="1107">IF(B1494="","",IF(B1494="Serviço",S1494,""))</f>
        <v>Mao de obra para execucao de contrapiso comum e acústico</v>
      </c>
      <c r="R1494" s="234">
        <f t="shared" ref="R1494:R1499" ca="1" si="1108">IF(B1494="serviço",U1494,OFFSET(R1494,-1,0))</f>
        <v>342.74</v>
      </c>
      <c r="S1494" s="233" t="s">
        <v>484</v>
      </c>
      <c r="T1494" s="242" t="s">
        <v>140</v>
      </c>
      <c r="U1494" s="235">
        <f>U1459</f>
        <v>342.74</v>
      </c>
      <c r="V1494" s="320" t="s">
        <v>35</v>
      </c>
      <c r="W1494" s="236" t="str">
        <f>IFERROR(IF(B1494="INSUMO",_xlfn.XLOOKUP(S1494,Insumos!A:A,Insumos!C:C),""),"Inserir Preço")</f>
        <v/>
      </c>
      <c r="X1494" s="235">
        <f t="shared" ref="X1494:X1499" ca="1" si="1109">IF(B1494="Complemento do insumo",V1494,IF(R1494="","",IF(B1494="serviço",R1494,IF(OR(B1494="insumo"),V1494*R1494,""))))</f>
        <v>342.74</v>
      </c>
      <c r="Y1494" s="236">
        <f t="shared" ca="1" si="1034"/>
        <v>21.975617726721353</v>
      </c>
      <c r="Z1494" s="237">
        <f t="shared" ca="1" si="1080"/>
        <v>7531.9232196564772</v>
      </c>
      <c r="AA1494" s="238"/>
      <c r="AB1494" s="233" t="str">
        <f>IF(B1494="insumo",_xlfn.XLOOKUP(S1494,Insumos!A:A,Insumos!D:D),"")</f>
        <v/>
      </c>
      <c r="AC1494" s="239">
        <f t="shared" ca="1" si="1081"/>
        <v>1.0805230559441609E-3</v>
      </c>
      <c r="AE1494" s="240">
        <f ca="1">IFERROR(IF(OR(Z1494="",Z1494=0),"",IF(AF1494="","",IF(AF1494="R$/mês",Z1494/OBRA!$D$12,IF(AF1494="R$/m²",Z1494/OBRA!$D$10,IF(AF1494="R$/apto",Orçamento!Z1494/OBRA!$D$11,""))))),"")</f>
        <v>3.8759813401689338</v>
      </c>
      <c r="AF1494" s="241" t="s">
        <v>154</v>
      </c>
    </row>
    <row r="1495" spans="1:32" s="10" customFormat="1" ht="13.15" hidden="1" customHeight="1" outlineLevel="4" x14ac:dyDescent="0.2">
      <c r="A1495" s="227"/>
      <c r="B1495" s="228" t="s">
        <v>19</v>
      </c>
      <c r="C1495" s="229">
        <f t="shared" si="1079"/>
        <v>5</v>
      </c>
      <c r="D1495" s="227" t="str">
        <f t="shared" si="1096"/>
        <v/>
      </c>
      <c r="E1495" s="228" t="str">
        <f t="shared" ca="1" si="1097"/>
        <v>15.001.005.001</v>
      </c>
      <c r="F1495" s="230">
        <f ca="1">IF($B1495="UNIDADE CONSTRUTIVA",OFFSET(F1495,-1,0)+1,LARGE(F$10:F1494,1))</f>
        <v>2</v>
      </c>
      <c r="G1495" s="228" t="str">
        <f t="shared" ca="1" si="1098"/>
        <v xml:space="preserve">   GERENCIAMENTO EXECUTIVO</v>
      </c>
      <c r="H1495" s="230">
        <f t="shared" ca="1" si="1099"/>
        <v>15</v>
      </c>
      <c r="I1495" s="228" t="str">
        <f t="shared" ca="1" si="1100"/>
        <v xml:space="preserve">   PISOS E PAVIMENTAÇÕES</v>
      </c>
      <c r="J1495" s="230">
        <f t="shared" ca="1" si="1101"/>
        <v>1</v>
      </c>
      <c r="K1495" s="228" t="str">
        <f t="shared" ca="1" si="1102"/>
        <v xml:space="preserve">   PISOS E PAVIMENTAÇÕES - 1º PAVIMENTO - SUBSOLO</v>
      </c>
      <c r="L1495" s="231">
        <f t="shared" ca="1" si="1103"/>
        <v>5</v>
      </c>
      <c r="M1495" s="228" t="str">
        <f t="shared" ca="1" si="1104"/>
        <v xml:space="preserve">   Mão de Obra</v>
      </c>
      <c r="N1495" s="231">
        <f t="shared" ca="1" si="1105"/>
        <v>1</v>
      </c>
      <c r="O1495" s="228" t="str">
        <f t="shared" ca="1" si="1106"/>
        <v>Mao de obra para execucao de contrapiso comum e acústico</v>
      </c>
      <c r="P1495" s="232" t="str">
        <f>IF(S1495="","",IF(Orçamento!$B1495="INSUMO",S1495,""))</f>
        <v>MAO DE OBRA EXECUCAO CONTRAPISO COMUM</v>
      </c>
      <c r="Q1495" s="244" t="str">
        <f t="shared" si="1107"/>
        <v/>
      </c>
      <c r="R1495" s="234">
        <f t="shared" ca="1" si="1108"/>
        <v>342.74</v>
      </c>
      <c r="S1495" s="233" t="s">
        <v>272</v>
      </c>
      <c r="T1495" s="242" t="str">
        <f>_xlfn.XLOOKUP(S1495,Insumos!$A$3:$A$371,Insumos!$B$3:$B$371)</f>
        <v>M2</v>
      </c>
      <c r="U1495" s="235">
        <f ca="1">IF($B1495="insumo",R1495,"")</f>
        <v>342.74</v>
      </c>
      <c r="V1495" s="320">
        <v>1</v>
      </c>
      <c r="W1495" s="236">
        <f>IFERROR(IF(B1495="INSUMO",_xlfn.XLOOKUP(S1495,Insumos!A:A,Insumos!C:C),""),"Inserir Preço")</f>
        <v>21.975617726721353</v>
      </c>
      <c r="X1495" s="235">
        <f t="shared" ca="1" si="1109"/>
        <v>342.74</v>
      </c>
      <c r="Y1495" s="236">
        <f t="shared" si="1034"/>
        <v>21.975617726721353</v>
      </c>
      <c r="Z1495" s="237">
        <f t="shared" ca="1" si="1080"/>
        <v>7531.9232196564772</v>
      </c>
      <c r="AA1495" s="238"/>
      <c r="AB1495" s="233" t="str">
        <f>IF(B1495="insumo",_xlfn.XLOOKUP(S1495,Insumos!A:A,Insumos!D:D),"")</f>
        <v>Aba Custo Serviços</v>
      </c>
      <c r="AC1495" s="239">
        <f t="shared" ca="1" si="1081"/>
        <v>1.0805230559441609E-3</v>
      </c>
      <c r="AE1495" s="240">
        <f ca="1">IFERROR(IF(OR(Z1495="",Z1495=0),"",IF(AF1495="","",IF(AF1495="R$/mês",Z1495/OBRA!$D$12,IF(AF1495="R$/m²",Z1495/OBRA!$D$10,IF(AF1495="R$/apto",Orçamento!Z1495/OBRA!$D$11,""))))),"")</f>
        <v>3.8759813401689338</v>
      </c>
      <c r="AF1495" s="241" t="s">
        <v>154</v>
      </c>
    </row>
    <row r="1496" spans="1:32" s="10" customFormat="1" ht="13.15" hidden="1" customHeight="1" outlineLevel="4" x14ac:dyDescent="0.2">
      <c r="A1496" s="227"/>
      <c r="B1496" s="228" t="s">
        <v>4</v>
      </c>
      <c r="C1496" s="229">
        <f t="shared" si="1079"/>
        <v>1</v>
      </c>
      <c r="D1496" s="227" t="str">
        <f t="shared" ca="1" si="1096"/>
        <v>15.001.005.002</v>
      </c>
      <c r="E1496" s="228" t="str">
        <f t="shared" ca="1" si="1097"/>
        <v>15.001.005.002</v>
      </c>
      <c r="F1496" s="230">
        <f ca="1">IF($B1496="UNIDADE CONSTRUTIVA",OFFSET(F1496,-1,0)+1,LARGE(F$10:F1495,1))</f>
        <v>2</v>
      </c>
      <c r="G1496" s="228" t="str">
        <f t="shared" ca="1" si="1098"/>
        <v xml:space="preserve">   GERENCIAMENTO EXECUTIVO</v>
      </c>
      <c r="H1496" s="230">
        <f t="shared" ca="1" si="1099"/>
        <v>15</v>
      </c>
      <c r="I1496" s="228" t="str">
        <f t="shared" ca="1" si="1100"/>
        <v xml:space="preserve">   PISOS E PAVIMENTAÇÕES</v>
      </c>
      <c r="J1496" s="230">
        <f t="shared" ca="1" si="1101"/>
        <v>1</v>
      </c>
      <c r="K1496" s="228" t="str">
        <f t="shared" ca="1" si="1102"/>
        <v xml:space="preserve">   PISOS E PAVIMENTAÇÕES - 1º PAVIMENTO - SUBSOLO</v>
      </c>
      <c r="L1496" s="231">
        <f t="shared" ca="1" si="1103"/>
        <v>5</v>
      </c>
      <c r="M1496" s="228" t="str">
        <f t="shared" ca="1" si="1104"/>
        <v xml:space="preserve">   Mão de Obra</v>
      </c>
      <c r="N1496" s="231">
        <f t="shared" ca="1" si="1105"/>
        <v>2</v>
      </c>
      <c r="O1496" s="228" t="str">
        <f t="shared" ca="1" si="1106"/>
        <v>Mao de obra para execucao em piso cimentado</v>
      </c>
      <c r="P1496" s="232" t="str">
        <f>IF(S1496="","",IF(Orçamento!$B1496="INSUMO",S1496,""))</f>
        <v/>
      </c>
      <c r="Q1496" s="244" t="str">
        <f t="shared" si="1107"/>
        <v>Mao de obra para execucao em piso cimentado</v>
      </c>
      <c r="R1496" s="234">
        <f t="shared" ca="1" si="1108"/>
        <v>30.24</v>
      </c>
      <c r="S1496" s="233" t="s">
        <v>1164</v>
      </c>
      <c r="T1496" s="242" t="s">
        <v>140</v>
      </c>
      <c r="U1496" s="235">
        <f>U1462</f>
        <v>30.24</v>
      </c>
      <c r="V1496" s="320" t="s">
        <v>35</v>
      </c>
      <c r="W1496" s="236" t="str">
        <f>IFERROR(IF(B1496="INSUMO",_xlfn.XLOOKUP(S1496,Insumos!A:A,Insumos!C:C),""),"Inserir Preço")</f>
        <v/>
      </c>
      <c r="X1496" s="235">
        <f t="shared" ca="1" si="1109"/>
        <v>30.24</v>
      </c>
      <c r="Y1496" s="236">
        <f t="shared" ca="1" si="1034"/>
        <v>21.975617726721353</v>
      </c>
      <c r="Z1496" s="237">
        <f t="shared" ca="1" si="1080"/>
        <v>664.54268005605365</v>
      </c>
      <c r="AA1496" s="238"/>
      <c r="AB1496" s="233" t="str">
        <f>IF(B1496="insumo",_xlfn.XLOOKUP(S1496,Insumos!A:A,Insumos!D:D),"")</f>
        <v/>
      </c>
      <c r="AC1496" s="239">
        <f t="shared" ca="1" si="1081"/>
        <v>9.5334706225568699E-5</v>
      </c>
      <c r="AE1496" s="240">
        <f ca="1">IFERROR(IF(OR(Z1496="",Z1496=0),"",IF(AF1496="","",IF(AF1496="R$/mês",Z1496/OBRA!$D$12,IF(AF1496="R$/m²",Z1496/OBRA!$D$10,IF(AF1496="R$/apto",Orçamento!Z1496/OBRA!$D$11,""))))),"")</f>
        <v>0.34197839682181402</v>
      </c>
      <c r="AF1496" s="241" t="s">
        <v>154</v>
      </c>
    </row>
    <row r="1497" spans="1:32" s="10" customFormat="1" ht="13.15" hidden="1" customHeight="1" outlineLevel="4" x14ac:dyDescent="0.2">
      <c r="A1497" s="227"/>
      <c r="B1497" s="228" t="s">
        <v>19</v>
      </c>
      <c r="C1497" s="229">
        <f t="shared" si="1079"/>
        <v>1</v>
      </c>
      <c r="D1497" s="227" t="str">
        <f t="shared" si="1096"/>
        <v/>
      </c>
      <c r="E1497" s="228" t="str">
        <f t="shared" ca="1" si="1097"/>
        <v>15.001.005.002</v>
      </c>
      <c r="F1497" s="230">
        <f ca="1">IF($B1497="UNIDADE CONSTRUTIVA",OFFSET(F1497,-1,0)+1,LARGE(F$10:F1496,1))</f>
        <v>2</v>
      </c>
      <c r="G1497" s="228" t="str">
        <f t="shared" ca="1" si="1098"/>
        <v xml:space="preserve">   GERENCIAMENTO EXECUTIVO</v>
      </c>
      <c r="H1497" s="230">
        <f t="shared" ca="1" si="1099"/>
        <v>15</v>
      </c>
      <c r="I1497" s="228" t="str">
        <f t="shared" ca="1" si="1100"/>
        <v xml:space="preserve">   PISOS E PAVIMENTAÇÕES</v>
      </c>
      <c r="J1497" s="230">
        <f t="shared" ca="1" si="1101"/>
        <v>1</v>
      </c>
      <c r="K1497" s="228" t="str">
        <f t="shared" ca="1" si="1102"/>
        <v xml:space="preserve">   PISOS E PAVIMENTAÇÕES - 1º PAVIMENTO - SUBSOLO</v>
      </c>
      <c r="L1497" s="231">
        <f t="shared" ca="1" si="1103"/>
        <v>5</v>
      </c>
      <c r="M1497" s="228" t="str">
        <f t="shared" ca="1" si="1104"/>
        <v xml:space="preserve">   Mão de Obra</v>
      </c>
      <c r="N1497" s="231">
        <f t="shared" ca="1" si="1105"/>
        <v>2</v>
      </c>
      <c r="O1497" s="228" t="str">
        <f t="shared" ca="1" si="1106"/>
        <v>Mao de obra para execucao em piso cimentado</v>
      </c>
      <c r="P1497" s="232" t="str">
        <f>IF(S1497="","",IF(Orçamento!$B1497="INSUMO",S1497,""))</f>
        <v>MAO DE OBRA PARA EXECUCAO DE PISO CIMENTADO</v>
      </c>
      <c r="Q1497" s="244" t="str">
        <f t="shared" si="1107"/>
        <v/>
      </c>
      <c r="R1497" s="234">
        <f t="shared" ca="1" si="1108"/>
        <v>30.24</v>
      </c>
      <c r="S1497" s="233" t="s">
        <v>368</v>
      </c>
      <c r="T1497" s="242" t="str">
        <f>_xlfn.XLOOKUP(S1497,Insumos!$A$3:$A$371,Insumos!$B$3:$B$371)</f>
        <v>M2</v>
      </c>
      <c r="U1497" s="235">
        <f ca="1">IF($B1497="insumo",R1497,"")</f>
        <v>30.24</v>
      </c>
      <c r="V1497" s="320">
        <v>1</v>
      </c>
      <c r="W1497" s="236">
        <f>IFERROR(IF(B1497="INSUMO",_xlfn.XLOOKUP(S1497,Insumos!A:A,Insumos!C:C),""),"Inserir Preço")</f>
        <v>21.975617726721353</v>
      </c>
      <c r="X1497" s="235">
        <f t="shared" ca="1" si="1109"/>
        <v>30.24</v>
      </c>
      <c r="Y1497" s="236">
        <f t="shared" si="1034"/>
        <v>21.975617726721353</v>
      </c>
      <c r="Z1497" s="237">
        <f t="shared" ca="1" si="1080"/>
        <v>664.54268005605365</v>
      </c>
      <c r="AA1497" s="238"/>
      <c r="AB1497" s="233" t="str">
        <f>IF(B1497="insumo",_xlfn.XLOOKUP(S1497,Insumos!A:A,Insumos!D:D),"")</f>
        <v>Aba Custo Serviços</v>
      </c>
      <c r="AC1497" s="239">
        <f t="shared" ca="1" si="1081"/>
        <v>9.5334706225568699E-5</v>
      </c>
      <c r="AE1497" s="240">
        <f ca="1">IFERROR(IF(OR(Z1497="",Z1497=0),"",IF(AF1497="","",IF(AF1497="R$/mês",Z1497/OBRA!$D$12,IF(AF1497="R$/m²",Z1497/OBRA!$D$10,IF(AF1497="R$/apto",Orçamento!Z1497/OBRA!$D$11,""))))),"")</f>
        <v>0.34197839682181402</v>
      </c>
      <c r="AF1497" s="241" t="s">
        <v>154</v>
      </c>
    </row>
    <row r="1498" spans="1:32" s="10" customFormat="1" ht="13.15" hidden="1" customHeight="1" outlineLevel="4" x14ac:dyDescent="0.2">
      <c r="A1498" s="227"/>
      <c r="B1498" s="228" t="s">
        <v>4</v>
      </c>
      <c r="C1498" s="229">
        <f t="shared" si="1079"/>
        <v>4</v>
      </c>
      <c r="D1498" s="227" t="str">
        <f t="shared" ca="1" si="1096"/>
        <v>15.001.005.003</v>
      </c>
      <c r="E1498" s="228" t="str">
        <f t="shared" ca="1" si="1097"/>
        <v>15.001.005.003</v>
      </c>
      <c r="F1498" s="230">
        <f ca="1">IF($B1498="UNIDADE CONSTRUTIVA",OFFSET(F1498,-1,0)+1,LARGE(F$10:F1497,1))</f>
        <v>2</v>
      </c>
      <c r="G1498" s="228" t="str">
        <f t="shared" ca="1" si="1098"/>
        <v xml:space="preserve">   GERENCIAMENTO EXECUTIVO</v>
      </c>
      <c r="H1498" s="230">
        <f t="shared" ca="1" si="1099"/>
        <v>15</v>
      </c>
      <c r="I1498" s="228" t="str">
        <f t="shared" ca="1" si="1100"/>
        <v xml:space="preserve">   PISOS E PAVIMENTAÇÕES</v>
      </c>
      <c r="J1498" s="230">
        <f t="shared" ca="1" si="1101"/>
        <v>1</v>
      </c>
      <c r="K1498" s="228" t="str">
        <f t="shared" ca="1" si="1102"/>
        <v xml:space="preserve">   PISOS E PAVIMENTAÇÕES - 1º PAVIMENTO - SUBSOLO</v>
      </c>
      <c r="L1498" s="231">
        <f t="shared" ca="1" si="1103"/>
        <v>5</v>
      </c>
      <c r="M1498" s="228" t="str">
        <f t="shared" ca="1" si="1104"/>
        <v xml:space="preserve">   Mão de Obra</v>
      </c>
      <c r="N1498" s="231">
        <f t="shared" ca="1" si="1105"/>
        <v>3</v>
      </c>
      <c r="O1498" s="228" t="str">
        <f t="shared" ca="1" si="1106"/>
        <v>Mao de obra para colocacao e rejuntamento de piso Cerâmico</v>
      </c>
      <c r="P1498" s="232" t="str">
        <f>IF(S1498="","",IF(Orçamento!$B1498="INSUMO",S1498,""))</f>
        <v/>
      </c>
      <c r="Q1498" s="244" t="str">
        <f t="shared" si="1107"/>
        <v>Mao de obra para colocacao e rejuntamento de piso Cerâmico</v>
      </c>
      <c r="R1498" s="234">
        <f t="shared" ca="1" si="1108"/>
        <v>301.72999999999996</v>
      </c>
      <c r="S1498" s="233" t="s">
        <v>780</v>
      </c>
      <c r="T1498" s="242" t="s">
        <v>140</v>
      </c>
      <c r="U1498" s="235">
        <f>U1466</f>
        <v>301.72999999999996</v>
      </c>
      <c r="V1498" s="320" t="s">
        <v>35</v>
      </c>
      <c r="W1498" s="236" t="str">
        <f>IFERROR(IF(B1498="INSUMO",_xlfn.XLOOKUP(S1498,Insumos!A:A,Insumos!C:C),""),"Inserir Preço")</f>
        <v/>
      </c>
      <c r="X1498" s="235">
        <f t="shared" ca="1" si="1109"/>
        <v>301.72999999999996</v>
      </c>
      <c r="Y1498" s="236">
        <f t="shared" ca="1" si="1034"/>
        <v>73.511069535391329</v>
      </c>
      <c r="Z1498" s="237">
        <f t="shared" ca="1" si="1080"/>
        <v>22180.495010913623</v>
      </c>
      <c r="AA1498" s="238"/>
      <c r="AB1498" s="233" t="str">
        <f>IF(B1498="insumo",_xlfn.XLOOKUP(S1498,Insumos!A:A,Insumos!D:D),"")</f>
        <v/>
      </c>
      <c r="AC1498" s="239">
        <f t="shared" ca="1" si="1081"/>
        <v>3.1819942334249773E-3</v>
      </c>
      <c r="AE1498" s="240">
        <f ca="1">IFERROR(IF(OR(Z1498="",Z1498=0),"",IF(AF1498="","",IF(AF1498="R$/mês",Z1498/OBRA!$D$12,IF(AF1498="R$/m²",Z1498/OBRA!$D$10,IF(AF1498="R$/apto",Orçamento!Z1498/OBRA!$D$11,""))))),"")</f>
        <v>11.414240728536315</v>
      </c>
      <c r="AF1498" s="241" t="s">
        <v>154</v>
      </c>
    </row>
    <row r="1499" spans="1:32" s="10" customFormat="1" ht="13.15" hidden="1" customHeight="1" outlineLevel="4" x14ac:dyDescent="0.2">
      <c r="A1499" s="227"/>
      <c r="B1499" s="228" t="s">
        <v>19</v>
      </c>
      <c r="C1499" s="229">
        <f t="shared" si="1079"/>
        <v>4</v>
      </c>
      <c r="D1499" s="227" t="str">
        <f t="shared" si="1096"/>
        <v/>
      </c>
      <c r="E1499" s="228" t="str">
        <f t="shared" ca="1" si="1097"/>
        <v>15.001.005.003</v>
      </c>
      <c r="F1499" s="230">
        <f ca="1">IF($B1499="UNIDADE CONSTRUTIVA",OFFSET(F1499,-1,0)+1,LARGE(F$10:F1498,1))</f>
        <v>2</v>
      </c>
      <c r="G1499" s="228" t="str">
        <f t="shared" ca="1" si="1098"/>
        <v xml:space="preserve">   GERENCIAMENTO EXECUTIVO</v>
      </c>
      <c r="H1499" s="230">
        <f t="shared" ca="1" si="1099"/>
        <v>15</v>
      </c>
      <c r="I1499" s="228" t="str">
        <f t="shared" ca="1" si="1100"/>
        <v xml:space="preserve">   PISOS E PAVIMENTAÇÕES</v>
      </c>
      <c r="J1499" s="230">
        <f t="shared" ca="1" si="1101"/>
        <v>1</v>
      </c>
      <c r="K1499" s="228" t="str">
        <f t="shared" ca="1" si="1102"/>
        <v xml:space="preserve">   PISOS E PAVIMENTAÇÕES - 1º PAVIMENTO - SUBSOLO</v>
      </c>
      <c r="L1499" s="231">
        <f t="shared" ca="1" si="1103"/>
        <v>5</v>
      </c>
      <c r="M1499" s="228" t="str">
        <f t="shared" ca="1" si="1104"/>
        <v xml:space="preserve">   Mão de Obra</v>
      </c>
      <c r="N1499" s="231">
        <f t="shared" ca="1" si="1105"/>
        <v>3</v>
      </c>
      <c r="O1499" s="228" t="str">
        <f t="shared" ca="1" si="1106"/>
        <v>Mao de obra para colocacao e rejuntamento de piso Cerâmico</v>
      </c>
      <c r="P1499" s="232" t="str">
        <f>IF(S1499="","",IF(Orçamento!$B1499="INSUMO",S1499,""))</f>
        <v>MAO DE OBRA PARA COLOCACAO E REJUNTAMENTO DE PISO CERAMICO</v>
      </c>
      <c r="Q1499" s="244" t="str">
        <f t="shared" si="1107"/>
        <v/>
      </c>
      <c r="R1499" s="234">
        <f t="shared" ca="1" si="1108"/>
        <v>301.72999999999996</v>
      </c>
      <c r="S1499" s="233" t="s">
        <v>395</v>
      </c>
      <c r="T1499" s="242" t="str">
        <f>_xlfn.XLOOKUP(S1499,Insumos!$A$3:$A$371,Insumos!$B$3:$B$371)</f>
        <v>M2</v>
      </c>
      <c r="U1499" s="235">
        <f ca="1">IF($B1499="insumo",R1499,"")</f>
        <v>301.72999999999996</v>
      </c>
      <c r="V1499" s="320">
        <v>1</v>
      </c>
      <c r="W1499" s="236">
        <f>IFERROR(IF(B1499="INSUMO",_xlfn.XLOOKUP(S1499,Insumos!A:A,Insumos!C:C),""),"Inserir Preço")</f>
        <v>73.511069535391329</v>
      </c>
      <c r="X1499" s="235">
        <f t="shared" ca="1" si="1109"/>
        <v>301.72999999999996</v>
      </c>
      <c r="Y1499" s="236">
        <f t="shared" si="1034"/>
        <v>73.511069535391329</v>
      </c>
      <c r="Z1499" s="237">
        <f t="shared" ca="1" si="1080"/>
        <v>22180.495010913623</v>
      </c>
      <c r="AA1499" s="238"/>
      <c r="AB1499" s="233" t="str">
        <f>IF(B1499="insumo",_xlfn.XLOOKUP(S1499,Insumos!A:A,Insumos!D:D),"")</f>
        <v>Aba Custo Serviços</v>
      </c>
      <c r="AC1499" s="239">
        <f t="shared" ca="1" si="1081"/>
        <v>3.1819942334249773E-3</v>
      </c>
      <c r="AE1499" s="240">
        <f ca="1">IFERROR(IF(OR(Z1499="",Z1499=0),"",IF(AF1499="","",IF(AF1499="R$/mês",Z1499/OBRA!$D$12,IF(AF1499="R$/m²",Z1499/OBRA!$D$10,IF(AF1499="R$/apto",Orçamento!Z1499/OBRA!$D$11,""))))),"")</f>
        <v>11.414240728536315</v>
      </c>
      <c r="AF1499" s="241" t="s">
        <v>154</v>
      </c>
    </row>
    <row r="1500" spans="1:32" s="10" customFormat="1" ht="13.15" hidden="1" customHeight="1" outlineLevel="4" x14ac:dyDescent="0.2">
      <c r="A1500" s="227"/>
      <c r="B1500" s="228" t="s">
        <v>4</v>
      </c>
      <c r="C1500" s="229">
        <f t="shared" si="1079"/>
        <v>4</v>
      </c>
      <c r="D1500" s="227" t="str">
        <f t="shared" ref="D1500:D1522" ca="1" si="1110">IF(B1500="Unidade Construtiva",TEXT(F1500,"00"),IF(B1500="Célula Construtiva",TEXT(H1500,"00"),IF(B1500="Etapa",CONCATENATE(TEXT(H1500,"00"),".",TEXT(J1500,"000")),IF(B1500="Subetapa",CONCATENATE(TEXT(H1500,"00"),".",TEXT(J1500,"000"),".",TEXT(L1500,"000")),IF(B1500="Serviço",CONCATENATE(TEXT(H1500,"00"),".",TEXT(J1500,"000"),".",TEXT(L1500,"000"),".",TEXT(N1500,"000")),"")))))</f>
        <v>15.001.005.004</v>
      </c>
      <c r="E1500" s="228" t="str">
        <f t="shared" ref="E1500:E1522" ca="1" si="1111">IF(B1500="*","",IFERROR(IF(B1500="SERVIÇO",D1500,OFFSET(E1500,-1,0)),""))</f>
        <v>15.001.005.004</v>
      </c>
      <c r="F1500" s="230">
        <f ca="1">IF($B1500="UNIDADE CONSTRUTIVA",OFFSET(F1500,-1,0)+1,LARGE(F$10:F1499,1))</f>
        <v>2</v>
      </c>
      <c r="G1500" s="228" t="str">
        <f t="shared" ca="1" si="1084"/>
        <v xml:space="preserve">   GERENCIAMENTO EXECUTIVO</v>
      </c>
      <c r="H1500" s="230">
        <f t="shared" ref="H1500:H1522" ca="1" si="1112">IF(B1500="UNIDADE CONSTRUTIVA",0,IF(B1500="CÉLULA CONSTRUTIVA",OFFSET(H1500,-1,0)+1,OFFSET(H1500,-1,0)))</f>
        <v>15</v>
      </c>
      <c r="I1500" s="228" t="str">
        <f t="shared" ca="1" si="1086"/>
        <v xml:space="preserve">   PISOS E PAVIMENTAÇÕES</v>
      </c>
      <c r="J1500" s="230">
        <f t="shared" ref="J1500:J1522" ca="1" si="1113">IF(B1500="CÉLULA CONSTRUTIVA",0,IF(B1500="ETAPA",OFFSET(J1500,-1,0)+1,OFFSET(J1500,-1,0)))</f>
        <v>1</v>
      </c>
      <c r="K1500" s="228" t="str">
        <f t="shared" ca="1" si="1088"/>
        <v xml:space="preserve">   PISOS E PAVIMENTAÇÕES - 1º PAVIMENTO - SUBSOLO</v>
      </c>
      <c r="L1500" s="231">
        <f t="shared" ref="L1500:L1522" ca="1" si="1114">IF(B1500="ETAPA",0,IF(B1500="SUBETAPA",OFFSET(L1500,-1,0)+1,OFFSET(L1500,-1,0)))</f>
        <v>5</v>
      </c>
      <c r="M1500" s="228" t="str">
        <f t="shared" ca="1" si="1090"/>
        <v xml:space="preserve">   Mão de Obra</v>
      </c>
      <c r="N1500" s="231">
        <f t="shared" ref="N1500:N1522" ca="1" si="1115">IF(B1500="Subetapa",0,IF(B1500="serviço",OFFSET(N1500,-1,0)+1,OFFSET(N1500,-1,0)))</f>
        <v>4</v>
      </c>
      <c r="O1500" s="228" t="str">
        <f t="shared" ca="1" si="1092"/>
        <v>Mao de obra para colocacao e rejuntamento de piso porcelanato</v>
      </c>
      <c r="P1500" s="232" t="str">
        <f>IF(S1500="","",IF(Orçamento!$B1500="INSUMO",S1500,""))</f>
        <v/>
      </c>
      <c r="Q1500" s="244" t="str">
        <f t="shared" ref="Q1500:Q1522" si="1116">IF(B1500="","",IF(B1500="Serviço",S1500,""))</f>
        <v>Mao de obra para colocacao e rejuntamento de piso porcelanato</v>
      </c>
      <c r="R1500" s="234">
        <f t="shared" ca="1" si="1094"/>
        <v>7.29</v>
      </c>
      <c r="S1500" s="233" t="s">
        <v>781</v>
      </c>
      <c r="T1500" s="242" t="s">
        <v>140</v>
      </c>
      <c r="U1500" s="235">
        <f>U1471</f>
        <v>7.29</v>
      </c>
      <c r="V1500" s="320" t="s">
        <v>35</v>
      </c>
      <c r="W1500" s="236" t="str">
        <f>IFERROR(IF(B1500="INSUMO",_xlfn.XLOOKUP(S1500,Insumos!A:A,Insumos!C:C),""),"Inserir Preço")</f>
        <v/>
      </c>
      <c r="X1500" s="235">
        <f t="shared" ca="1" si="1095"/>
        <v>7.29</v>
      </c>
      <c r="Y1500" s="236">
        <f t="shared" ca="1" si="1034"/>
        <v>73.511069535391329</v>
      </c>
      <c r="Z1500" s="237">
        <f t="shared" ca="1" si="1080"/>
        <v>535.89569691300278</v>
      </c>
      <c r="AA1500" s="238"/>
      <c r="AB1500" s="233" t="str">
        <f>IF(B1500="insumo",_xlfn.XLOOKUP(S1500,Insumos!A:A,Insumos!D:D),"")</f>
        <v/>
      </c>
      <c r="AC1500" s="239">
        <f t="shared" ca="1" si="1081"/>
        <v>7.6879123592841575E-5</v>
      </c>
      <c r="AE1500" s="240">
        <f ca="1">IFERROR(IF(OR(Z1500="",Z1500=0),"",IF(AF1500="","",IF(AF1500="R$/mês",Z1500/OBRA!$D$12,IF(AF1500="R$/m²",Z1500/OBRA!$D$10,IF(AF1500="R$/apto",Orçamento!Z1500/OBRA!$D$11,""))))),"")</f>
        <v>0.27577574291926471</v>
      </c>
      <c r="AF1500" s="241" t="s">
        <v>154</v>
      </c>
    </row>
    <row r="1501" spans="1:32" s="10" customFormat="1" ht="13.15" hidden="1" customHeight="1" outlineLevel="4" x14ac:dyDescent="0.2">
      <c r="A1501" s="227"/>
      <c r="B1501" s="228" t="s">
        <v>19</v>
      </c>
      <c r="C1501" s="229">
        <f t="shared" si="1079"/>
        <v>4</v>
      </c>
      <c r="D1501" s="227" t="str">
        <f t="shared" si="1110"/>
        <v/>
      </c>
      <c r="E1501" s="228" t="str">
        <f t="shared" ca="1" si="1111"/>
        <v>15.001.005.004</v>
      </c>
      <c r="F1501" s="230">
        <f ca="1">IF($B1501="UNIDADE CONSTRUTIVA",OFFSET(F1501,-1,0)+1,LARGE(F$10:F1500,1))</f>
        <v>2</v>
      </c>
      <c r="G1501" s="228" t="str">
        <f t="shared" ca="1" si="1084"/>
        <v xml:space="preserve">   GERENCIAMENTO EXECUTIVO</v>
      </c>
      <c r="H1501" s="230">
        <f t="shared" ca="1" si="1112"/>
        <v>15</v>
      </c>
      <c r="I1501" s="228" t="str">
        <f t="shared" ca="1" si="1086"/>
        <v xml:space="preserve">   PISOS E PAVIMENTAÇÕES</v>
      </c>
      <c r="J1501" s="230">
        <f t="shared" ca="1" si="1113"/>
        <v>1</v>
      </c>
      <c r="K1501" s="228" t="str">
        <f t="shared" ca="1" si="1088"/>
        <v xml:space="preserve">   PISOS E PAVIMENTAÇÕES - 1º PAVIMENTO - SUBSOLO</v>
      </c>
      <c r="L1501" s="231">
        <f t="shared" ca="1" si="1114"/>
        <v>5</v>
      </c>
      <c r="M1501" s="228" t="str">
        <f t="shared" ca="1" si="1090"/>
        <v xml:space="preserve">   Mão de Obra</v>
      </c>
      <c r="N1501" s="231">
        <f t="shared" ca="1" si="1115"/>
        <v>4</v>
      </c>
      <c r="O1501" s="228" t="str">
        <f t="shared" ca="1" si="1092"/>
        <v>Mao de obra para colocacao e rejuntamento de piso porcelanato</v>
      </c>
      <c r="P1501" s="232" t="str">
        <f>IF(S1501="","",IF(Orçamento!$B1501="INSUMO",S1501,""))</f>
        <v>MAO DE OBRA PARA COLOCACAO E REJUNTAMENTO DE PORCELANATO</v>
      </c>
      <c r="Q1501" s="244" t="str">
        <f t="shared" si="1116"/>
        <v/>
      </c>
      <c r="R1501" s="234">
        <f t="shared" ca="1" si="1094"/>
        <v>7.29</v>
      </c>
      <c r="S1501" s="233" t="s">
        <v>274</v>
      </c>
      <c r="T1501" s="242" t="str">
        <f>_xlfn.XLOOKUP(S1501,Insumos!$A$3:$A$371,Insumos!$B$3:$B$371)</f>
        <v>M2</v>
      </c>
      <c r="U1501" s="235">
        <f ca="1">IF($B1501="insumo",R1501,"")</f>
        <v>7.29</v>
      </c>
      <c r="V1501" s="320">
        <v>1</v>
      </c>
      <c r="W1501" s="236">
        <f>IFERROR(IF(B1501="INSUMO",_xlfn.XLOOKUP(S1501,Insumos!A:A,Insumos!C:C),""),"Inserir Preço")</f>
        <v>73.511069535391329</v>
      </c>
      <c r="X1501" s="235">
        <f t="shared" ca="1" si="1095"/>
        <v>7.29</v>
      </c>
      <c r="Y1501" s="236">
        <f t="shared" si="1034"/>
        <v>73.511069535391329</v>
      </c>
      <c r="Z1501" s="237">
        <f t="shared" ca="1" si="1080"/>
        <v>535.89569691300278</v>
      </c>
      <c r="AA1501" s="238"/>
      <c r="AB1501" s="233" t="str">
        <f>IF(B1501="insumo",_xlfn.XLOOKUP(S1501,Insumos!A:A,Insumos!D:D),"")</f>
        <v>Aba Custo Serviços</v>
      </c>
      <c r="AC1501" s="239">
        <f t="shared" ca="1" si="1081"/>
        <v>7.6879123592841575E-5</v>
      </c>
      <c r="AE1501" s="240">
        <f ca="1">IFERROR(IF(OR(Z1501="",Z1501=0),"",IF(AF1501="","",IF(AF1501="R$/mês",Z1501/OBRA!$D$12,IF(AF1501="R$/m²",Z1501/OBRA!$D$10,IF(AF1501="R$/apto",Orçamento!Z1501/OBRA!$D$11,""))))),"")</f>
        <v>0.27577574291926471</v>
      </c>
      <c r="AF1501" s="241" t="s">
        <v>154</v>
      </c>
    </row>
    <row r="1502" spans="1:32" s="10" customFormat="1" ht="13.15" hidden="1" customHeight="1" outlineLevel="4" x14ac:dyDescent="0.2">
      <c r="A1502" s="227"/>
      <c r="B1502" s="228" t="s">
        <v>4</v>
      </c>
      <c r="C1502" s="229">
        <f t="shared" si="1079"/>
        <v>4</v>
      </c>
      <c r="D1502" s="227" t="str">
        <f t="shared" ca="1" si="1110"/>
        <v>15.001.005.005</v>
      </c>
      <c r="E1502" s="228" t="str">
        <f t="shared" ca="1" si="1111"/>
        <v>15.001.005.005</v>
      </c>
      <c r="F1502" s="230">
        <f ca="1">IF($B1502="UNIDADE CONSTRUTIVA",OFFSET(F1502,-1,0)+1,LARGE(F$10:F1501,1))</f>
        <v>2</v>
      </c>
      <c r="G1502" s="228" t="str">
        <f ca="1">IF(B1502="*","",IF(B1502="UNIDADE CONSTRUTIVA",S1502,OFFSET(G1502,-1,0)))</f>
        <v xml:space="preserve">   GERENCIAMENTO EXECUTIVO</v>
      </c>
      <c r="H1502" s="230">
        <f t="shared" ca="1" si="1112"/>
        <v>15</v>
      </c>
      <c r="I1502" s="228" t="str">
        <f ca="1">IF(B1502="*","",IF(B1502="CÉLULA CONSTRUTIVA",S1502,OFFSET(I1502,-1,0)))</f>
        <v xml:space="preserve">   PISOS E PAVIMENTAÇÕES</v>
      </c>
      <c r="J1502" s="230">
        <f t="shared" ca="1" si="1113"/>
        <v>1</v>
      </c>
      <c r="K1502" s="228" t="str">
        <f ca="1">IF(B1502="*","",IF(B1502="ETAPA",S1502,OFFSET(K1502,-1,0)))</f>
        <v xml:space="preserve">   PISOS E PAVIMENTAÇÕES - 1º PAVIMENTO - SUBSOLO</v>
      </c>
      <c r="L1502" s="231">
        <f t="shared" ca="1" si="1114"/>
        <v>5</v>
      </c>
      <c r="M1502" s="228" t="str">
        <f ca="1">IF(B1502="*","",IF(B1502="SUBETAPA",S1502,OFFSET(M1502,-1,0)))</f>
        <v xml:space="preserve">   Mão de Obra</v>
      </c>
      <c r="N1502" s="231">
        <f t="shared" ca="1" si="1115"/>
        <v>5</v>
      </c>
      <c r="O1502" s="228" t="str">
        <f ca="1">IF(B1502="*","",IF(B1502="SERVIÇO",S1502,OFFSET(O1502,-1,0)))</f>
        <v>Mao de obra para colocacao de rodape cerâmico e porcelanato</v>
      </c>
      <c r="P1502" s="232" t="str">
        <f>IF(S1502="","",IF(Orçamento!$B1502="INSUMO",S1502,""))</f>
        <v/>
      </c>
      <c r="Q1502" s="244" t="str">
        <f t="shared" si="1116"/>
        <v>Mao de obra para colocacao de rodape cerâmico e porcelanato</v>
      </c>
      <c r="R1502" s="234">
        <f ca="1">IF(B1502="serviço",U1502,OFFSET(R1502,-1,0))</f>
        <v>116.98</v>
      </c>
      <c r="S1502" s="233" t="s">
        <v>1111</v>
      </c>
      <c r="T1502" s="242" t="s">
        <v>158</v>
      </c>
      <c r="U1502" s="235">
        <f>U1483+U1478</f>
        <v>116.98</v>
      </c>
      <c r="V1502" s="320" t="s">
        <v>35</v>
      </c>
      <c r="W1502" s="236" t="str">
        <f>IFERROR(IF(B1502="INSUMO",_xlfn.XLOOKUP(S1502,Insumos!A:A,Insumos!C:C),""),"Inserir Preço")</f>
        <v/>
      </c>
      <c r="X1502" s="235">
        <f ca="1">IF(B1502="Complemento do insumo",V1502,IF(R1502="","",IF(B1502="serviço",R1502,IF(OR(B1502="insumo"),V1502*R1502,""))))</f>
        <v>116.98</v>
      </c>
      <c r="Y1502" s="236">
        <f t="shared" ca="1" si="1034"/>
        <v>20.778316515676838</v>
      </c>
      <c r="Z1502" s="237">
        <f t="shared" ca="1" si="1080"/>
        <v>2430.6474660038766</v>
      </c>
      <c r="AA1502" s="238"/>
      <c r="AB1502" s="233" t="str">
        <f>IF(B1502="insumo",_xlfn.XLOOKUP(S1502,Insumos!A:A,Insumos!D:D),"")</f>
        <v/>
      </c>
      <c r="AC1502" s="239">
        <f t="shared" ca="1" si="1081"/>
        <v>3.4869853970832506E-4</v>
      </c>
      <c r="AE1502" s="240">
        <f ca="1">IFERROR(IF(OR(Z1502="",Z1502=0),"",IF(AF1502="","",IF(AF1502="R$/mês",Z1502/OBRA!$D$12,IF(AF1502="R$/m²",Z1502/OBRA!$D$10,IF(AF1502="R$/apto",Orçamento!Z1502/OBRA!$D$11,""))))),"")</f>
        <v>1.2508284999736916</v>
      </c>
      <c r="AF1502" s="241" t="s">
        <v>154</v>
      </c>
    </row>
    <row r="1503" spans="1:32" s="10" customFormat="1" ht="13.15" hidden="1" customHeight="1" outlineLevel="4" x14ac:dyDescent="0.2">
      <c r="A1503" s="227"/>
      <c r="B1503" s="228" t="s">
        <v>19</v>
      </c>
      <c r="C1503" s="229">
        <f t="shared" si="1079"/>
        <v>4</v>
      </c>
      <c r="D1503" s="227" t="str">
        <f t="shared" si="1110"/>
        <v/>
      </c>
      <c r="E1503" s="228" t="str">
        <f t="shared" ca="1" si="1111"/>
        <v>15.001.005.005</v>
      </c>
      <c r="F1503" s="230">
        <f ca="1">IF($B1503="UNIDADE CONSTRUTIVA",OFFSET(F1503,-1,0)+1,LARGE(F$10:F1502,1))</f>
        <v>2</v>
      </c>
      <c r="G1503" s="228" t="str">
        <f ca="1">IF(B1503="*","",IF(B1503="UNIDADE CONSTRUTIVA",S1503,OFFSET(G1503,-1,0)))</f>
        <v xml:space="preserve">   GERENCIAMENTO EXECUTIVO</v>
      </c>
      <c r="H1503" s="230">
        <f t="shared" ca="1" si="1112"/>
        <v>15</v>
      </c>
      <c r="I1503" s="228" t="str">
        <f ca="1">IF(B1503="*","",IF(B1503="CÉLULA CONSTRUTIVA",S1503,OFFSET(I1503,-1,0)))</f>
        <v xml:space="preserve">   PISOS E PAVIMENTAÇÕES</v>
      </c>
      <c r="J1503" s="230">
        <f t="shared" ca="1" si="1113"/>
        <v>1</v>
      </c>
      <c r="K1503" s="228" t="str">
        <f ca="1">IF(B1503="*","",IF(B1503="ETAPA",S1503,OFFSET(K1503,-1,0)))</f>
        <v xml:space="preserve">   PISOS E PAVIMENTAÇÕES - 1º PAVIMENTO - SUBSOLO</v>
      </c>
      <c r="L1503" s="231">
        <f t="shared" ca="1" si="1114"/>
        <v>5</v>
      </c>
      <c r="M1503" s="228" t="str">
        <f ca="1">IF(B1503="*","",IF(B1503="SUBETAPA",S1503,OFFSET(M1503,-1,0)))</f>
        <v xml:space="preserve">   Mão de Obra</v>
      </c>
      <c r="N1503" s="231">
        <f t="shared" ca="1" si="1115"/>
        <v>5</v>
      </c>
      <c r="O1503" s="228" t="str">
        <f ca="1">IF(B1503="*","",IF(B1503="SERVIÇO",S1503,OFFSET(O1503,-1,0)))</f>
        <v>Mao de obra para colocacao de rodape cerâmico e porcelanato</v>
      </c>
      <c r="P1503" s="232" t="str">
        <f>IF(S1503="","",IF(Orçamento!$B1503="INSUMO",S1503,""))</f>
        <v>MAO DE OBRA PARA COLOCACAO DE RODAPE CERAMICO E PORCELANATO</v>
      </c>
      <c r="Q1503" s="244" t="str">
        <f t="shared" si="1116"/>
        <v/>
      </c>
      <c r="R1503" s="234">
        <f ca="1">IF(B1503="serviço",U1503,OFFSET(R1503,-1,0))</f>
        <v>116.98</v>
      </c>
      <c r="S1503" s="233" t="s">
        <v>1113</v>
      </c>
      <c r="T1503" s="242" t="s">
        <v>1112</v>
      </c>
      <c r="U1503" s="235">
        <f ca="1">IF($B1503="insumo",R1503,"")</f>
        <v>116.98</v>
      </c>
      <c r="V1503" s="320">
        <v>1</v>
      </c>
      <c r="W1503" s="236">
        <f>IFERROR(IF(B1503="INSUMO",_xlfn.XLOOKUP(S1503,Insumos!A:A,Insumos!C:C),""),"Inserir Preço")</f>
        <v>20.778316515676838</v>
      </c>
      <c r="X1503" s="235">
        <f ca="1">IF(B1503="Complemento do insumo",V1503,IF(R1503="","",IF(B1503="serviço",R1503,IF(OR(B1503="insumo"),V1503*R1503,""))))</f>
        <v>116.98</v>
      </c>
      <c r="Y1503" s="236">
        <f t="shared" si="1034"/>
        <v>20.778316515676838</v>
      </c>
      <c r="Z1503" s="237">
        <f t="shared" ca="1" si="1080"/>
        <v>2430.6474660038766</v>
      </c>
      <c r="AA1503" s="238"/>
      <c r="AB1503" s="233" t="str">
        <f>IF(B1503="insumo",_xlfn.XLOOKUP(S1503,Insumos!A:A,Insumos!D:D),"")</f>
        <v>Aba Custo Serviços</v>
      </c>
      <c r="AC1503" s="239">
        <f t="shared" ca="1" si="1081"/>
        <v>3.4869853970832506E-4</v>
      </c>
      <c r="AE1503" s="240">
        <f ca="1">IFERROR(IF(OR(Z1503="",Z1503=0),"",IF(AF1503="","",IF(AF1503="R$/mês",Z1503/OBRA!$D$12,IF(AF1503="R$/m²",Z1503/OBRA!$D$10,IF(AF1503="R$/apto",Orçamento!Z1503/OBRA!$D$11,""))))),"")</f>
        <v>1.2508284999736916</v>
      </c>
      <c r="AF1503" s="241" t="s">
        <v>154</v>
      </c>
    </row>
    <row r="1504" spans="1:32" s="10" customFormat="1" ht="13.15" hidden="1" customHeight="1" outlineLevel="4" x14ac:dyDescent="0.2">
      <c r="A1504" s="227"/>
      <c r="B1504" s="228" t="s">
        <v>4</v>
      </c>
      <c r="C1504" s="229">
        <f t="shared" si="1079"/>
        <v>5</v>
      </c>
      <c r="D1504" s="227" t="str">
        <f t="shared" ca="1" si="1110"/>
        <v>15.001.005.006</v>
      </c>
      <c r="E1504" s="228" t="str">
        <f t="shared" ca="1" si="1111"/>
        <v>15.001.005.006</v>
      </c>
      <c r="F1504" s="230">
        <f ca="1">IF($B1504="UNIDADE CONSTRUTIVA",OFFSET(F1504,-1,0)+1,LARGE(F$10:F1503,1))</f>
        <v>2</v>
      </c>
      <c r="G1504" s="228" t="str">
        <f t="shared" ca="1" si="1084"/>
        <v xml:space="preserve">   GERENCIAMENTO EXECUTIVO</v>
      </c>
      <c r="H1504" s="230">
        <f t="shared" ca="1" si="1112"/>
        <v>15</v>
      </c>
      <c r="I1504" s="228" t="str">
        <f t="shared" ca="1" si="1086"/>
        <v xml:space="preserve">   PISOS E PAVIMENTAÇÕES</v>
      </c>
      <c r="J1504" s="230">
        <f t="shared" ca="1" si="1113"/>
        <v>1</v>
      </c>
      <c r="K1504" s="228" t="str">
        <f t="shared" ca="1" si="1088"/>
        <v xml:space="preserve">   PISOS E PAVIMENTAÇÕES - 1º PAVIMENTO - SUBSOLO</v>
      </c>
      <c r="L1504" s="231">
        <f t="shared" ca="1" si="1114"/>
        <v>5</v>
      </c>
      <c r="M1504" s="228" t="str">
        <f t="shared" ca="1" si="1090"/>
        <v xml:space="preserve">   Mão de Obra</v>
      </c>
      <c r="N1504" s="231">
        <f t="shared" ca="1" si="1115"/>
        <v>6</v>
      </c>
      <c r="O1504" s="228" t="str">
        <f t="shared" ca="1" si="1092"/>
        <v>Mao de obra para colocacao de soleiras em granito</v>
      </c>
      <c r="P1504" s="232" t="str">
        <f>IF(S1504="","",IF(Orçamento!$B1504="INSUMO",S1504,""))</f>
        <v/>
      </c>
      <c r="Q1504" s="244" t="str">
        <f t="shared" si="1116"/>
        <v>Mao de obra para colocacao de soleiras em granito</v>
      </c>
      <c r="R1504" s="234">
        <f t="shared" ca="1" si="1094"/>
        <v>0.11</v>
      </c>
      <c r="S1504" s="233" t="s">
        <v>496</v>
      </c>
      <c r="T1504" s="242" t="s">
        <v>158</v>
      </c>
      <c r="U1504" s="235">
        <f>U1489</f>
        <v>0.11</v>
      </c>
      <c r="V1504" s="320" t="s">
        <v>35</v>
      </c>
      <c r="W1504" s="236" t="str">
        <f>IFERROR(IF(B1504="INSUMO",_xlfn.XLOOKUP(S1504,Insumos!A:A,Insumos!C:C),""),"Inserir Preço")</f>
        <v/>
      </c>
      <c r="X1504" s="235">
        <f t="shared" ca="1" si="1095"/>
        <v>0.11</v>
      </c>
      <c r="Y1504" s="236">
        <f t="shared" ca="1" si="1034"/>
        <v>10.4</v>
      </c>
      <c r="Z1504" s="237">
        <f t="shared" ca="1" si="1080"/>
        <v>1.1440000000000001</v>
      </c>
      <c r="AA1504" s="238"/>
      <c r="AB1504" s="233" t="str">
        <f>IF(B1504="insumo",_xlfn.XLOOKUP(S1504,Insumos!A:A,Insumos!D:D),"")</f>
        <v/>
      </c>
      <c r="AC1504" s="239">
        <f t="shared" ca="1" si="1081"/>
        <v>1.6411723008197341E-7</v>
      </c>
      <c r="AE1504" s="240">
        <f ca="1">IFERROR(IF(OR(Z1504="",Z1504=0),"",IF(AF1504="","",IF(AF1504="R$/mês",Z1504/OBRA!$D$12,IF(AF1504="R$/m²",Z1504/OBRA!$D$10,IF(AF1504="R$/apto",Orçamento!Z1504/OBRA!$D$11,""))))),"")</f>
        <v>5.8871054893141833E-4</v>
      </c>
      <c r="AF1504" s="241" t="s">
        <v>154</v>
      </c>
    </row>
    <row r="1505" spans="1:32" s="10" customFormat="1" ht="13.15" hidden="1" customHeight="1" outlineLevel="4" x14ac:dyDescent="0.2">
      <c r="A1505" s="227"/>
      <c r="B1505" s="228" t="s">
        <v>19</v>
      </c>
      <c r="C1505" s="229">
        <f t="shared" si="1079"/>
        <v>5</v>
      </c>
      <c r="D1505" s="227" t="str">
        <f t="shared" si="1110"/>
        <v/>
      </c>
      <c r="E1505" s="228" t="str">
        <f t="shared" ca="1" si="1111"/>
        <v>15.001.005.006</v>
      </c>
      <c r="F1505" s="230">
        <f ca="1">IF($B1505="UNIDADE CONSTRUTIVA",OFFSET(F1505,-1,0)+1,LARGE(F$10:F1504,1))</f>
        <v>2</v>
      </c>
      <c r="G1505" s="228" t="str">
        <f t="shared" ca="1" si="1084"/>
        <v xml:space="preserve">   GERENCIAMENTO EXECUTIVO</v>
      </c>
      <c r="H1505" s="230">
        <f t="shared" ca="1" si="1112"/>
        <v>15</v>
      </c>
      <c r="I1505" s="228" t="str">
        <f t="shared" ca="1" si="1086"/>
        <v xml:space="preserve">   PISOS E PAVIMENTAÇÕES</v>
      </c>
      <c r="J1505" s="230">
        <f t="shared" ca="1" si="1113"/>
        <v>1</v>
      </c>
      <c r="K1505" s="228" t="str">
        <f t="shared" ca="1" si="1088"/>
        <v xml:space="preserve">   PISOS E PAVIMENTAÇÕES - 1º PAVIMENTO - SUBSOLO</v>
      </c>
      <c r="L1505" s="231">
        <f t="shared" ca="1" si="1114"/>
        <v>5</v>
      </c>
      <c r="M1505" s="228" t="str">
        <f t="shared" ca="1" si="1090"/>
        <v xml:space="preserve">   Mão de Obra</v>
      </c>
      <c r="N1505" s="231">
        <f t="shared" ca="1" si="1115"/>
        <v>6</v>
      </c>
      <c r="O1505" s="228" t="str">
        <f t="shared" ca="1" si="1092"/>
        <v>Mao de obra para colocacao de soleiras em granito</v>
      </c>
      <c r="P1505" s="232" t="str">
        <f>IF(S1505="","",IF(Orçamento!$B1505="INSUMO",S1505,""))</f>
        <v>MAO DE OBRA PARA COLOCACAO DE SOLEIRAS EM GRANITO - m²</v>
      </c>
      <c r="Q1505" s="244" t="str">
        <f t="shared" si="1116"/>
        <v/>
      </c>
      <c r="R1505" s="234">
        <f t="shared" ca="1" si="1094"/>
        <v>0.11</v>
      </c>
      <c r="S1505" s="233" t="s">
        <v>364</v>
      </c>
      <c r="T1505" s="242" t="str">
        <f>_xlfn.XLOOKUP(S1505,Insumos!$A$3:$A$371,Insumos!$B$3:$B$371)</f>
        <v>M2</v>
      </c>
      <c r="U1505" s="235">
        <f ca="1">IF($B1505="insumo",R1505,"")</f>
        <v>0.11</v>
      </c>
      <c r="V1505" s="320">
        <v>1</v>
      </c>
      <c r="W1505" s="236">
        <f>IFERROR(IF(B1505="INSUMO",_xlfn.XLOOKUP(S1505,Insumos!A:A,Insumos!C:C),""),"Inserir Preço")</f>
        <v>10.4</v>
      </c>
      <c r="X1505" s="235">
        <f t="shared" ca="1" si="1095"/>
        <v>0.11</v>
      </c>
      <c r="Y1505" s="236">
        <f t="shared" si="1034"/>
        <v>10.4</v>
      </c>
      <c r="Z1505" s="237">
        <f t="shared" ca="1" si="1080"/>
        <v>1.1440000000000001</v>
      </c>
      <c r="AA1505" s="238"/>
      <c r="AB1505" s="233" t="str">
        <f>IF(B1505="insumo",_xlfn.XLOOKUP(S1505,Insumos!A:A,Insumos!D:D),"")</f>
        <v xml:space="preserve"> </v>
      </c>
      <c r="AC1505" s="239">
        <f t="shared" ca="1" si="1081"/>
        <v>1.6411723008197341E-7</v>
      </c>
      <c r="AE1505" s="240">
        <f ca="1">IFERROR(IF(OR(Z1505="",Z1505=0),"",IF(AF1505="","",IF(AF1505="R$/mês",Z1505/OBRA!$D$12,IF(AF1505="R$/m²",Z1505/OBRA!$D$10,IF(AF1505="R$/apto",Orçamento!Z1505/OBRA!$D$11,""))))),"")</f>
        <v>5.8871054893141833E-4</v>
      </c>
      <c r="AF1505" s="241" t="s">
        <v>154</v>
      </c>
    </row>
    <row r="1506" spans="1:32" s="10" customFormat="1" ht="13.15" customHeight="1" outlineLevel="2" collapsed="1" x14ac:dyDescent="0.2">
      <c r="A1506" s="227"/>
      <c r="B1506" s="228" t="s">
        <v>2</v>
      </c>
      <c r="C1506" s="229" t="str">
        <f t="shared" si="1079"/>
        <v/>
      </c>
      <c r="D1506" s="227" t="str">
        <f t="shared" ca="1" si="1110"/>
        <v>15.002</v>
      </c>
      <c r="E1506" s="228" t="str">
        <f t="shared" ca="1" si="1111"/>
        <v>15.001.005.006</v>
      </c>
      <c r="F1506" s="230">
        <f ca="1">IF($B1506="UNIDADE CONSTRUTIVA",OFFSET(F1506,-1,0)+1,LARGE(F$10:F1505,1))</f>
        <v>2</v>
      </c>
      <c r="G1506" s="228" t="str">
        <f t="shared" ca="1" si="1084"/>
        <v xml:space="preserve">   GERENCIAMENTO EXECUTIVO</v>
      </c>
      <c r="H1506" s="230">
        <f t="shared" ca="1" si="1112"/>
        <v>15</v>
      </c>
      <c r="I1506" s="228" t="str">
        <f t="shared" ca="1" si="1086"/>
        <v xml:space="preserve">   PISOS E PAVIMENTAÇÕES</v>
      </c>
      <c r="J1506" s="230">
        <f t="shared" ca="1" si="1113"/>
        <v>2</v>
      </c>
      <c r="K1506" s="228" t="str">
        <f t="shared" ca="1" si="1088"/>
        <v xml:space="preserve">   PISOS E PAVIMENTAÇÕES - TÉRREO - 2º PAVIMENTO - TÉRREO</v>
      </c>
      <c r="L1506" s="231">
        <f t="shared" ca="1" si="1114"/>
        <v>0</v>
      </c>
      <c r="M1506" s="228" t="str">
        <f t="shared" ca="1" si="1090"/>
        <v xml:space="preserve">   Mão de Obra</v>
      </c>
      <c r="N1506" s="231">
        <f t="shared" ca="1" si="1115"/>
        <v>6</v>
      </c>
      <c r="O1506" s="228" t="str">
        <f t="shared" ca="1" si="1092"/>
        <v>Mao de obra para colocacao de soleiras em granito</v>
      </c>
      <c r="P1506" s="232" t="str">
        <f>IF(S1506="","",IF(Orçamento!$B1506="INSUMO",S1506,""))</f>
        <v/>
      </c>
      <c r="Q1506" s="244" t="str">
        <f t="shared" si="1116"/>
        <v/>
      </c>
      <c r="R1506" s="234">
        <f t="shared" ca="1" si="1094"/>
        <v>0.11</v>
      </c>
      <c r="S1506" s="233" t="s">
        <v>721</v>
      </c>
      <c r="T1506" s="242" t="s">
        <v>35</v>
      </c>
      <c r="U1506" s="235" t="str">
        <f>IF($B1506="insumo",R1506,"")</f>
        <v/>
      </c>
      <c r="V1506" s="320" t="s">
        <v>35</v>
      </c>
      <c r="W1506" s="236" t="str">
        <f>IFERROR(IF(B1506="INSUMO",_xlfn.XLOOKUP(S1506,Insumos!A:A,Insumos!C:C),""),"Inserir Preço")</f>
        <v/>
      </c>
      <c r="X1506" s="235" t="str">
        <f t="shared" ca="1" si="1095"/>
        <v/>
      </c>
      <c r="Y1506" s="236" t="str">
        <f t="shared" si="1034"/>
        <v/>
      </c>
      <c r="Z1506" s="237">
        <f t="shared" ca="1" si="1080"/>
        <v>80743.998114958886</v>
      </c>
      <c r="AA1506" s="238"/>
      <c r="AB1506" s="233" t="str">
        <f>IF(B1506="insumo",_xlfn.XLOOKUP(S1506,Insumos!A:A,Insumos!D:D),"")</f>
        <v/>
      </c>
      <c r="AC1506" s="239">
        <f t="shared" ca="1" si="1081"/>
        <v>1.1583462689135607E-2</v>
      </c>
      <c r="AE1506" s="240">
        <f ca="1">IFERROR(IF(OR(Z1506="",Z1506=0),"",IF(AF1506="","",IF(AF1506="R$/mês",Z1506/OBRA!$D$12,IF(AF1506="R$/m²",Z1506/OBRA!$D$10,IF(AF1506="R$/apto",Orçamento!Z1506/OBRA!$D$11,""))))),"")</f>
        <v>41.551436584943048</v>
      </c>
      <c r="AF1506" s="241" t="s">
        <v>154</v>
      </c>
    </row>
    <row r="1507" spans="1:32" s="10" customFormat="1" ht="13.15" hidden="1" customHeight="1" outlineLevel="3" collapsed="1" x14ac:dyDescent="0.2">
      <c r="A1507" s="227"/>
      <c r="B1507" s="228" t="s">
        <v>3</v>
      </c>
      <c r="C1507" s="229" t="str">
        <f t="shared" si="1079"/>
        <v/>
      </c>
      <c r="D1507" s="227" t="str">
        <f t="shared" ca="1" si="1110"/>
        <v>15.002.001</v>
      </c>
      <c r="E1507" s="228" t="str">
        <f t="shared" ca="1" si="1111"/>
        <v>15.001.005.006</v>
      </c>
      <c r="F1507" s="230">
        <f ca="1">IF($B1507="UNIDADE CONSTRUTIVA",OFFSET(F1507,-1,0)+1,LARGE(F$10:F1506,1))</f>
        <v>2</v>
      </c>
      <c r="G1507" s="228" t="str">
        <f t="shared" ca="1" si="1084"/>
        <v xml:space="preserve">   GERENCIAMENTO EXECUTIVO</v>
      </c>
      <c r="H1507" s="230">
        <f t="shared" ca="1" si="1112"/>
        <v>15</v>
      </c>
      <c r="I1507" s="228" t="str">
        <f t="shared" ca="1" si="1086"/>
        <v xml:space="preserve">   PISOS E PAVIMENTAÇÕES</v>
      </c>
      <c r="J1507" s="230">
        <f t="shared" ca="1" si="1113"/>
        <v>2</v>
      </c>
      <c r="K1507" s="228" t="str">
        <f t="shared" ca="1" si="1088"/>
        <v xml:space="preserve">   PISOS E PAVIMENTAÇÕES - TÉRREO - 2º PAVIMENTO - TÉRREO</v>
      </c>
      <c r="L1507" s="231">
        <f t="shared" ca="1" si="1114"/>
        <v>1</v>
      </c>
      <c r="M1507" s="228" t="str">
        <f t="shared" ca="1" si="1090"/>
        <v xml:space="preserve">   Contrapiso</v>
      </c>
      <c r="N1507" s="231">
        <f t="shared" ca="1" si="1115"/>
        <v>0</v>
      </c>
      <c r="O1507" s="228" t="str">
        <f t="shared" ca="1" si="1092"/>
        <v>Mao de obra para colocacao de soleiras em granito</v>
      </c>
      <c r="P1507" s="232" t="str">
        <f>IF(S1507="","",IF(Orçamento!$B1507="INSUMO",S1507,""))</f>
        <v/>
      </c>
      <c r="Q1507" s="244" t="str">
        <f t="shared" si="1116"/>
        <v/>
      </c>
      <c r="R1507" s="234">
        <f t="shared" ca="1" si="1094"/>
        <v>0.11</v>
      </c>
      <c r="S1507" s="233" t="s">
        <v>476</v>
      </c>
      <c r="T1507" s="242" t="s">
        <v>35</v>
      </c>
      <c r="U1507" s="235" t="str">
        <f>IF($B1507="insumo",R1507,"")</f>
        <v/>
      </c>
      <c r="V1507" s="320" t="s">
        <v>35</v>
      </c>
      <c r="W1507" s="236" t="str">
        <f>IFERROR(IF(B1507="INSUMO",_xlfn.XLOOKUP(S1507,Insumos!A:A,Insumos!C:C),""),"Inserir Preço")</f>
        <v/>
      </c>
      <c r="X1507" s="235" t="str">
        <f t="shared" ca="1" si="1095"/>
        <v/>
      </c>
      <c r="Y1507" s="236" t="str">
        <f t="shared" si="1034"/>
        <v/>
      </c>
      <c r="Z1507" s="237">
        <f t="shared" ca="1" si="1080"/>
        <v>14466.136500000001</v>
      </c>
      <c r="AA1507" s="238"/>
      <c r="AB1507" s="233" t="str">
        <f>IF(B1507="insumo",_xlfn.XLOOKUP(S1507,Insumos!A:A,Insumos!D:D),"")</f>
        <v/>
      </c>
      <c r="AC1507" s="239">
        <f t="shared" ca="1" si="1081"/>
        <v>2.0752991716501169E-3</v>
      </c>
      <c r="AE1507" s="240">
        <f ca="1">IFERROR(IF(OR(Z1507="",Z1507=0),"",IF(AF1507="","",IF(AF1507="R$/mês",Z1507/OBRA!$D$12,IF(AF1507="R$/m²",Z1507/OBRA!$D$10,IF(AF1507="R$/apto",Orçamento!Z1507/OBRA!$D$11,""))))),"")</f>
        <v>7.4443768879648831</v>
      </c>
      <c r="AF1507" s="241" t="s">
        <v>154</v>
      </c>
    </row>
    <row r="1508" spans="1:32" s="10" customFormat="1" ht="13.15" hidden="1" customHeight="1" outlineLevel="4" x14ac:dyDescent="0.2">
      <c r="A1508" s="227"/>
      <c r="B1508" s="228" t="s">
        <v>4</v>
      </c>
      <c r="C1508" s="229">
        <f t="shared" si="1079"/>
        <v>5</v>
      </c>
      <c r="D1508" s="227" t="str">
        <f t="shared" ca="1" si="1110"/>
        <v>15.002.001.001</v>
      </c>
      <c r="E1508" s="228" t="str">
        <f t="shared" ca="1" si="1111"/>
        <v>15.002.001.001</v>
      </c>
      <c r="F1508" s="230">
        <f ca="1">IF($B1508="UNIDADE CONSTRUTIVA",OFFSET(F1508,-1,0)+1,LARGE(F$10:F1507,1))</f>
        <v>2</v>
      </c>
      <c r="G1508" s="228" t="str">
        <f t="shared" ca="1" si="1084"/>
        <v xml:space="preserve">   GERENCIAMENTO EXECUTIVO</v>
      </c>
      <c r="H1508" s="230">
        <f t="shared" ca="1" si="1112"/>
        <v>15</v>
      </c>
      <c r="I1508" s="228" t="str">
        <f t="shared" ca="1" si="1086"/>
        <v xml:space="preserve">   PISOS E PAVIMENTAÇÕES</v>
      </c>
      <c r="J1508" s="230">
        <f t="shared" ca="1" si="1113"/>
        <v>2</v>
      </c>
      <c r="K1508" s="228" t="str">
        <f t="shared" ca="1" si="1088"/>
        <v xml:space="preserve">   PISOS E PAVIMENTAÇÕES - TÉRREO - 2º PAVIMENTO - TÉRREO</v>
      </c>
      <c r="L1508" s="231">
        <f t="shared" ca="1" si="1114"/>
        <v>1</v>
      </c>
      <c r="M1508" s="228" t="str">
        <f t="shared" ca="1" si="1090"/>
        <v xml:space="preserve">   Contrapiso</v>
      </c>
      <c r="N1508" s="231">
        <f t="shared" ca="1" si="1115"/>
        <v>1</v>
      </c>
      <c r="O1508" s="228" t="str">
        <f t="shared" ca="1" si="1092"/>
        <v>Contrapiso comum em argamassa estabilizada, nao aderido, espessura 8cm</v>
      </c>
      <c r="P1508" s="232" t="str">
        <f>IF(S1508="","",IF(Orçamento!$B1508="INSUMO",S1508,""))</f>
        <v/>
      </c>
      <c r="Q1508" s="244" t="str">
        <f t="shared" si="1116"/>
        <v>Contrapiso comum em argamassa estabilizada, nao aderido, espessura 8cm</v>
      </c>
      <c r="R1508" s="234">
        <f t="shared" ca="1" si="1094"/>
        <v>304.23</v>
      </c>
      <c r="S1508" s="233" t="s">
        <v>745</v>
      </c>
      <c r="T1508" s="242" t="s">
        <v>140</v>
      </c>
      <c r="U1508" s="235">
        <v>304.23</v>
      </c>
      <c r="V1508" s="320" t="s">
        <v>35</v>
      </c>
      <c r="W1508" s="236" t="str">
        <f>IFERROR(IF(B1508="INSUMO",_xlfn.XLOOKUP(S1508,Insumos!A:A,Insumos!C:C),""),"Inserir Preço")</f>
        <v/>
      </c>
      <c r="X1508" s="235">
        <f t="shared" ca="1" si="1095"/>
        <v>304.23</v>
      </c>
      <c r="Y1508" s="236">
        <f t="shared" ca="1" si="1034"/>
        <v>47.55</v>
      </c>
      <c r="Z1508" s="237">
        <f t="shared" ca="1" si="1080"/>
        <v>14466.136500000001</v>
      </c>
      <c r="AA1508" s="238"/>
      <c r="AB1508" s="233" t="str">
        <f>IF(B1508="insumo",_xlfn.XLOOKUP(S1508,Insumos!A:A,Insumos!D:D),"")</f>
        <v/>
      </c>
      <c r="AC1508" s="239">
        <f t="shared" ca="1" si="1081"/>
        <v>2.0752991716501169E-3</v>
      </c>
      <c r="AE1508" s="240">
        <f ca="1">IFERROR(IF(OR(Z1508="",Z1508=0),"",IF(AF1508="","",IF(AF1508="R$/mês",Z1508/OBRA!$D$12,IF(AF1508="R$/m²",Z1508/OBRA!$D$10,IF(AF1508="R$/apto",Orçamento!Z1508/OBRA!$D$11,""))))),"")</f>
        <v>7.4443768879648831</v>
      </c>
      <c r="AF1508" s="241" t="s">
        <v>154</v>
      </c>
    </row>
    <row r="1509" spans="1:32" s="10" customFormat="1" ht="13.15" hidden="1" customHeight="1" outlineLevel="4" x14ac:dyDescent="0.2">
      <c r="A1509" s="227"/>
      <c r="B1509" s="228" t="s">
        <v>19</v>
      </c>
      <c r="C1509" s="229">
        <f t="shared" si="1079"/>
        <v>11</v>
      </c>
      <c r="D1509" s="227" t="str">
        <f t="shared" si="1110"/>
        <v/>
      </c>
      <c r="E1509" s="228" t="str">
        <f t="shared" ca="1" si="1111"/>
        <v>15.002.001.001</v>
      </c>
      <c r="F1509" s="230">
        <f ca="1">IF($B1509="UNIDADE CONSTRUTIVA",OFFSET(F1509,-1,0)+1,LARGE(F$10:F1508,1))</f>
        <v>2</v>
      </c>
      <c r="G1509" s="228" t="str">
        <f t="shared" ca="1" si="1084"/>
        <v xml:space="preserve">   GERENCIAMENTO EXECUTIVO</v>
      </c>
      <c r="H1509" s="230">
        <f t="shared" ca="1" si="1112"/>
        <v>15</v>
      </c>
      <c r="I1509" s="228" t="str">
        <f t="shared" ca="1" si="1086"/>
        <v xml:space="preserve">   PISOS E PAVIMENTAÇÕES</v>
      </c>
      <c r="J1509" s="230">
        <f t="shared" ca="1" si="1113"/>
        <v>2</v>
      </c>
      <c r="K1509" s="228" t="str">
        <f t="shared" ca="1" si="1088"/>
        <v xml:space="preserve">   PISOS E PAVIMENTAÇÕES - TÉRREO - 2º PAVIMENTO - TÉRREO</v>
      </c>
      <c r="L1509" s="231">
        <f t="shared" ca="1" si="1114"/>
        <v>1</v>
      </c>
      <c r="M1509" s="228" t="str">
        <f t="shared" ca="1" si="1090"/>
        <v xml:space="preserve">   Contrapiso</v>
      </c>
      <c r="N1509" s="231">
        <f t="shared" ca="1" si="1115"/>
        <v>1</v>
      </c>
      <c r="O1509" s="228" t="str">
        <f t="shared" ca="1" si="1092"/>
        <v>Contrapiso comum em argamassa estabilizada, nao aderido, espessura 8cm</v>
      </c>
      <c r="P1509" s="232" t="str">
        <f>IF(S1509="","",IF(Orçamento!$B1509="INSUMO",S1509,""))</f>
        <v>ARGAMASSA ESTABILIZADA P/ CONTRAPISO</v>
      </c>
      <c r="Q1509" s="244" t="str">
        <f t="shared" si="1116"/>
        <v/>
      </c>
      <c r="R1509" s="234">
        <f t="shared" ca="1" si="1094"/>
        <v>304.23</v>
      </c>
      <c r="S1509" s="233" t="s">
        <v>277</v>
      </c>
      <c r="T1509" s="242" t="str">
        <f>_xlfn.XLOOKUP(S1509,Insumos!$A$3:$A$371,Insumos!$B$3:$B$371)</f>
        <v>M3</v>
      </c>
      <c r="U1509" s="235">
        <f ca="1">IF($B1509="insumo",R1509,"")</f>
        <v>304.23</v>
      </c>
      <c r="V1509" s="320">
        <v>8.7999999999999995E-2</v>
      </c>
      <c r="W1509" s="236">
        <f>IFERROR(IF(B1509="INSUMO",_xlfn.XLOOKUP(S1509,Insumos!A:A,Insumos!C:C),""),"Inserir Preço")</f>
        <v>425</v>
      </c>
      <c r="X1509" s="235">
        <f t="shared" ca="1" si="1095"/>
        <v>26.77224</v>
      </c>
      <c r="Y1509" s="236">
        <f t="shared" si="1034"/>
        <v>37.4</v>
      </c>
      <c r="Z1509" s="237">
        <f t="shared" ca="1" si="1080"/>
        <v>11378.201999999999</v>
      </c>
      <c r="AA1509" s="238"/>
      <c r="AB1509" s="233" t="str">
        <f>IF(B1509="insumo",_xlfn.XLOOKUP(S1509,Insumos!A:A,Insumos!D:D),"")</f>
        <v xml:space="preserve"> </v>
      </c>
      <c r="AC1509" s="239">
        <f t="shared" ca="1" si="1081"/>
        <v>1.6323068142947289E-3</v>
      </c>
      <c r="AE1509" s="240">
        <f ca="1">IFERROR(IF(OR(Z1509="",Z1509=0),"",IF(AF1509="","",IF(AF1509="R$/mês",Z1509/OBRA!$D$12,IF(AF1509="R$/m²",Z1509/OBRA!$D$10,IF(AF1509="R$/apto",Orçamento!Z1509/OBRA!$D$11,""))))),"")</f>
        <v>5.8553037983151759</v>
      </c>
      <c r="AF1509" s="241" t="s">
        <v>154</v>
      </c>
    </row>
    <row r="1510" spans="1:32" s="10" customFormat="1" ht="13.15" hidden="1" customHeight="1" outlineLevel="4" x14ac:dyDescent="0.2">
      <c r="A1510" s="227"/>
      <c r="B1510" s="228" t="s">
        <v>19</v>
      </c>
      <c r="C1510" s="229">
        <f t="shared" si="1079"/>
        <v>5</v>
      </c>
      <c r="D1510" s="227" t="str">
        <f t="shared" si="1110"/>
        <v/>
      </c>
      <c r="E1510" s="228" t="str">
        <f t="shared" ca="1" si="1111"/>
        <v>15.002.001.001</v>
      </c>
      <c r="F1510" s="230">
        <f ca="1">IF($B1510="UNIDADE CONSTRUTIVA",OFFSET(F1510,-1,0)+1,LARGE(F$10:F1509,1))</f>
        <v>2</v>
      </c>
      <c r="G1510" s="228" t="str">
        <f t="shared" ca="1" si="1084"/>
        <v xml:space="preserve">   GERENCIAMENTO EXECUTIVO</v>
      </c>
      <c r="H1510" s="230">
        <f t="shared" ca="1" si="1112"/>
        <v>15</v>
      </c>
      <c r="I1510" s="228" t="str">
        <f t="shared" ca="1" si="1086"/>
        <v xml:space="preserve">   PISOS E PAVIMENTAÇÕES</v>
      </c>
      <c r="J1510" s="230">
        <f t="shared" ca="1" si="1113"/>
        <v>2</v>
      </c>
      <c r="K1510" s="228" t="str">
        <f t="shared" ca="1" si="1088"/>
        <v xml:space="preserve">   PISOS E PAVIMENTAÇÕES - TÉRREO - 2º PAVIMENTO - TÉRREO</v>
      </c>
      <c r="L1510" s="231">
        <f t="shared" ca="1" si="1114"/>
        <v>1</v>
      </c>
      <c r="M1510" s="228" t="str">
        <f t="shared" ca="1" si="1090"/>
        <v xml:space="preserve">   Contrapiso</v>
      </c>
      <c r="N1510" s="231">
        <f t="shared" ca="1" si="1115"/>
        <v>1</v>
      </c>
      <c r="O1510" s="228" t="str">
        <f t="shared" ca="1" si="1092"/>
        <v>Contrapiso comum em argamassa estabilizada, nao aderido, espessura 8cm</v>
      </c>
      <c r="P1510" s="232" t="str">
        <f>IF(S1510="","",IF(Orçamento!$B1510="INSUMO",S1510,""))</f>
        <v>MANTA ACÚSTICA DE POLIETILENO</v>
      </c>
      <c r="Q1510" s="244" t="str">
        <f t="shared" si="1116"/>
        <v/>
      </c>
      <c r="R1510" s="234">
        <f t="shared" ca="1" si="1094"/>
        <v>304.23</v>
      </c>
      <c r="S1510" s="233" t="s">
        <v>1158</v>
      </c>
      <c r="T1510" s="242" t="str">
        <f>_xlfn.XLOOKUP(S1510,Insumos!$A$3:$A$371,Insumos!$B$3:$B$371)</f>
        <v>M2</v>
      </c>
      <c r="U1510" s="235">
        <f ca="1">IF($B1510="insumo",R1510,"")</f>
        <v>304.23</v>
      </c>
      <c r="V1510" s="320">
        <v>1</v>
      </c>
      <c r="W1510" s="236">
        <f>IFERROR(IF(B1510="INSUMO",_xlfn.XLOOKUP(S1510,Insumos!A:A,Insumos!C:C),""),"Inserir Preço")</f>
        <v>10.15</v>
      </c>
      <c r="X1510" s="235">
        <f t="shared" ca="1" si="1095"/>
        <v>304.23</v>
      </c>
      <c r="Y1510" s="236">
        <f t="shared" si="1034"/>
        <v>10.15</v>
      </c>
      <c r="Z1510" s="237">
        <f t="shared" ca="1" si="1080"/>
        <v>3087.9345000000003</v>
      </c>
      <c r="AA1510" s="238"/>
      <c r="AB1510" s="233" t="str">
        <f>IF(B1510="insumo",_xlfn.XLOOKUP(S1510,Insumos!A:A,Insumos!D:D),"")</f>
        <v xml:space="preserve"> </v>
      </c>
      <c r="AC1510" s="239">
        <f t="shared" ca="1" si="1081"/>
        <v>4.429923573553877E-4</v>
      </c>
      <c r="AE1510" s="240">
        <f ca="1">IFERROR(IF(OR(Z1510="",Z1510=0),"",IF(AF1510="","",IF(AF1510="R$/mês",Z1510/OBRA!$D$12,IF(AF1510="R$/m²",Z1510/OBRA!$D$10,IF(AF1510="R$/apto",Orçamento!Z1510/OBRA!$D$11,""))))),"")</f>
        <v>1.5890730896497072</v>
      </c>
      <c r="AF1510" s="241" t="s">
        <v>154</v>
      </c>
    </row>
    <row r="1511" spans="1:32" s="10" customFormat="1" ht="13.15" hidden="1" customHeight="1" outlineLevel="3" collapsed="1" x14ac:dyDescent="0.2">
      <c r="A1511" s="227"/>
      <c r="B1511" s="228" t="s">
        <v>3</v>
      </c>
      <c r="C1511" s="229" t="str">
        <f t="shared" si="1079"/>
        <v/>
      </c>
      <c r="D1511" s="227" t="str">
        <f t="shared" ca="1" si="1110"/>
        <v>15.002.002</v>
      </c>
      <c r="E1511" s="228" t="str">
        <f t="shared" ca="1" si="1111"/>
        <v>15.002.001.001</v>
      </c>
      <c r="F1511" s="230">
        <f ca="1">IF($B1511="UNIDADE CONSTRUTIVA",OFFSET(F1511,-1,0)+1,LARGE(F$10:F1510,1))</f>
        <v>2</v>
      </c>
      <c r="G1511" s="228" t="str">
        <f t="shared" ca="1" si="1084"/>
        <v xml:space="preserve">   GERENCIAMENTO EXECUTIVO</v>
      </c>
      <c r="H1511" s="230">
        <f t="shared" ca="1" si="1112"/>
        <v>15</v>
      </c>
      <c r="I1511" s="228" t="str">
        <f t="shared" ca="1" si="1086"/>
        <v xml:space="preserve">   PISOS E PAVIMENTAÇÕES</v>
      </c>
      <c r="J1511" s="230">
        <f t="shared" ca="1" si="1113"/>
        <v>2</v>
      </c>
      <c r="K1511" s="228" t="str">
        <f t="shared" ca="1" si="1088"/>
        <v xml:space="preserve">   PISOS E PAVIMENTAÇÕES - TÉRREO - 2º PAVIMENTO - TÉRREO</v>
      </c>
      <c r="L1511" s="231">
        <f t="shared" ca="1" si="1114"/>
        <v>2</v>
      </c>
      <c r="M1511" s="228" t="str">
        <f t="shared" ca="1" si="1090"/>
        <v xml:space="preserve">   Acabamentos em Piso</v>
      </c>
      <c r="N1511" s="231">
        <f t="shared" ca="1" si="1115"/>
        <v>0</v>
      </c>
      <c r="O1511" s="228" t="str">
        <f t="shared" ca="1" si="1092"/>
        <v>Contrapiso comum em argamassa estabilizada, nao aderido, espessura 8cm</v>
      </c>
      <c r="P1511" s="232" t="str">
        <f>IF(S1511="","",IF(Orçamento!$B1511="INSUMO",S1511,""))</f>
        <v/>
      </c>
      <c r="Q1511" s="244" t="str">
        <f t="shared" si="1116"/>
        <v/>
      </c>
      <c r="R1511" s="234">
        <f t="shared" ca="1" si="1094"/>
        <v>304.23</v>
      </c>
      <c r="S1511" s="233" t="s">
        <v>488</v>
      </c>
      <c r="T1511" s="242" t="s">
        <v>35</v>
      </c>
      <c r="U1511" s="235" t="str">
        <f>IF($B1511="insumo",R1511,"")</f>
        <v/>
      </c>
      <c r="V1511" s="320" t="s">
        <v>35</v>
      </c>
      <c r="W1511" s="236" t="str">
        <f>IFERROR(IF(B1511="INSUMO",_xlfn.XLOOKUP(S1511,Insumos!A:A,Insumos!C:C),""),"Inserir Preço")</f>
        <v/>
      </c>
      <c r="X1511" s="235" t="str">
        <f t="shared" ca="1" si="1095"/>
        <v/>
      </c>
      <c r="Y1511" s="236" t="str">
        <f t="shared" si="1034"/>
        <v/>
      </c>
      <c r="Z1511" s="237">
        <f t="shared" ca="1" si="1080"/>
        <v>22540.388850000003</v>
      </c>
      <c r="AA1511" s="238"/>
      <c r="AB1511" s="233" t="str">
        <f>IF(B1511="insumo",_xlfn.XLOOKUP(S1511,Insumos!A:A,Insumos!D:D),"")</f>
        <v/>
      </c>
      <c r="AC1511" s="239">
        <f t="shared" ca="1" si="1081"/>
        <v>3.233624285867656E-3</v>
      </c>
      <c r="AE1511" s="240">
        <f ca="1">IFERROR(IF(OR(Z1511="",Z1511=0),"",IF(AF1511="","",IF(AF1511="R$/mês",Z1511/OBRA!$D$12,IF(AF1511="R$/m²",Z1511/OBRA!$D$10,IF(AF1511="R$/apto",Orçamento!Z1511/OBRA!$D$11,""))))),"")</f>
        <v>11.599444661723009</v>
      </c>
      <c r="AF1511" s="241" t="s">
        <v>154</v>
      </c>
    </row>
    <row r="1512" spans="1:32" s="10" customFormat="1" ht="13.15" hidden="1" customHeight="1" outlineLevel="4" x14ac:dyDescent="0.2">
      <c r="A1512" s="227"/>
      <c r="B1512" s="228" t="s">
        <v>4</v>
      </c>
      <c r="C1512" s="229">
        <f t="shared" si="1079"/>
        <v>3</v>
      </c>
      <c r="D1512" s="227" t="str">
        <f t="shared" ca="1" si="1110"/>
        <v>15.002.002.001</v>
      </c>
      <c r="E1512" s="228" t="str">
        <f t="shared" ca="1" si="1111"/>
        <v>15.002.002.001</v>
      </c>
      <c r="F1512" s="230">
        <f ca="1">IF($B1512="UNIDADE CONSTRUTIVA",OFFSET(F1512,-1,0)+1,LARGE(F$10:F1511,1))</f>
        <v>2</v>
      </c>
      <c r="G1512" s="228" t="str">
        <f t="shared" ca="1" si="1084"/>
        <v xml:space="preserve">   GERENCIAMENTO EXECUTIVO</v>
      </c>
      <c r="H1512" s="230">
        <f t="shared" ca="1" si="1112"/>
        <v>15</v>
      </c>
      <c r="I1512" s="228" t="str">
        <f t="shared" ca="1" si="1086"/>
        <v xml:space="preserve">   PISOS E PAVIMENTAÇÕES</v>
      </c>
      <c r="J1512" s="230">
        <f t="shared" ca="1" si="1113"/>
        <v>2</v>
      </c>
      <c r="K1512" s="228" t="str">
        <f t="shared" ca="1" si="1088"/>
        <v xml:space="preserve">   PISOS E PAVIMENTAÇÕES - TÉRREO - 2º PAVIMENTO - TÉRREO</v>
      </c>
      <c r="L1512" s="231">
        <f t="shared" ca="1" si="1114"/>
        <v>2</v>
      </c>
      <c r="M1512" s="228" t="str">
        <f t="shared" ca="1" si="1090"/>
        <v xml:space="preserve">   Acabamentos em Piso</v>
      </c>
      <c r="N1512" s="231">
        <f t="shared" ca="1" si="1115"/>
        <v>1</v>
      </c>
      <c r="O1512" s="228" t="str">
        <f t="shared" ca="1" si="1092"/>
        <v>Revestimento interno de piso Cerâmico placa 60x60cm - áreas Internas</v>
      </c>
      <c r="P1512" s="232" t="str">
        <f>IF(S1512="","",IF(Orçamento!$B1512="INSUMO",S1512,""))</f>
        <v/>
      </c>
      <c r="Q1512" s="244" t="str">
        <f t="shared" si="1116"/>
        <v>Revestimento interno de piso Cerâmico placa 60x60cm - áreas Internas</v>
      </c>
      <c r="R1512" s="234">
        <f t="shared" ca="1" si="1094"/>
        <v>104.19000000000001</v>
      </c>
      <c r="S1512" s="233" t="s">
        <v>1121</v>
      </c>
      <c r="T1512" s="242" t="s">
        <v>140</v>
      </c>
      <c r="U1512" s="235">
        <v>104.19000000000001</v>
      </c>
      <c r="V1512" s="320" t="s">
        <v>35</v>
      </c>
      <c r="W1512" s="236" t="str">
        <f>IFERROR(IF(B1512="INSUMO",_xlfn.XLOOKUP(S1512,Insumos!A:A,Insumos!C:C),""),"Inserir Preço")</f>
        <v/>
      </c>
      <c r="X1512" s="235">
        <f t="shared" ca="1" si="1095"/>
        <v>104.19000000000001</v>
      </c>
      <c r="Y1512" s="236">
        <f t="shared" ref="Y1512:Y1575" ca="1" si="1117">IF(B1512="insumo",W1512*V1512,IF(B1512="serviço",SUMIFS(Y:Y,B:B,"insumo",E:E,E1512,I:I,I1512),""))</f>
        <v>58.695000000000007</v>
      </c>
      <c r="Z1512" s="237">
        <f t="shared" ca="1" si="1080"/>
        <v>6115.4320500000013</v>
      </c>
      <c r="AA1512" s="238"/>
      <c r="AB1512" s="233" t="str">
        <f>IF(B1512="insumo",_xlfn.XLOOKUP(S1512,Insumos!A:A,Insumos!D:D),"")</f>
        <v/>
      </c>
      <c r="AC1512" s="239">
        <f t="shared" ca="1" si="1081"/>
        <v>8.7731448321724174E-4</v>
      </c>
      <c r="AE1512" s="240">
        <f ca="1">IFERROR(IF(OR(Z1512="",Z1512=0),"",IF(AF1512="","",IF(AF1512="R$/mês",Z1512/OBRA!$D$12,IF(AF1512="R$/m²",Z1512/OBRA!$D$10,IF(AF1512="R$/apto",Orçamento!Z1512/OBRA!$D$11,""))))),"")</f>
        <v>3.1470448943254277</v>
      </c>
      <c r="AF1512" s="241" t="s">
        <v>154</v>
      </c>
    </row>
    <row r="1513" spans="1:32" s="10" customFormat="1" ht="13.15" hidden="1" customHeight="1" outlineLevel="4" x14ac:dyDescent="0.2">
      <c r="A1513" s="227"/>
      <c r="B1513" s="228" t="s">
        <v>19</v>
      </c>
      <c r="C1513" s="229">
        <f t="shared" si="1079"/>
        <v>23</v>
      </c>
      <c r="D1513" s="227" t="str">
        <f t="shared" si="1110"/>
        <v/>
      </c>
      <c r="E1513" s="228" t="str">
        <f t="shared" ca="1" si="1111"/>
        <v>15.002.002.001</v>
      </c>
      <c r="F1513" s="230">
        <f ca="1">IF($B1513="UNIDADE CONSTRUTIVA",OFFSET(F1513,-1,0)+1,LARGE(F$10:F1512,1))</f>
        <v>2</v>
      </c>
      <c r="G1513" s="228" t="str">
        <f t="shared" ca="1" si="1084"/>
        <v xml:space="preserve">   GERENCIAMENTO EXECUTIVO</v>
      </c>
      <c r="H1513" s="230">
        <f t="shared" ca="1" si="1112"/>
        <v>15</v>
      </c>
      <c r="I1513" s="228" t="str">
        <f t="shared" ca="1" si="1086"/>
        <v xml:space="preserve">   PISOS E PAVIMENTAÇÕES</v>
      </c>
      <c r="J1513" s="230">
        <f t="shared" ca="1" si="1113"/>
        <v>2</v>
      </c>
      <c r="K1513" s="228" t="str">
        <f t="shared" ca="1" si="1088"/>
        <v xml:space="preserve">   PISOS E PAVIMENTAÇÕES - TÉRREO - 2º PAVIMENTO - TÉRREO</v>
      </c>
      <c r="L1513" s="231">
        <f t="shared" ca="1" si="1114"/>
        <v>2</v>
      </c>
      <c r="M1513" s="228" t="str">
        <f t="shared" ca="1" si="1090"/>
        <v xml:space="preserve">   Acabamentos em Piso</v>
      </c>
      <c r="N1513" s="231">
        <f t="shared" ca="1" si="1115"/>
        <v>1</v>
      </c>
      <c r="O1513" s="228" t="str">
        <f t="shared" ca="1" si="1092"/>
        <v>Revestimento interno de piso Cerâmico placa 60x60cm - áreas Internas</v>
      </c>
      <c r="P1513" s="232" t="str">
        <f>IF(S1513="","",IF(Orçamento!$B1513="INSUMO",S1513,""))</f>
        <v>ARGAMASSA COLANTE AC II</v>
      </c>
      <c r="Q1513" s="244" t="str">
        <f t="shared" si="1116"/>
        <v/>
      </c>
      <c r="R1513" s="234">
        <f t="shared" ca="1" si="1094"/>
        <v>104.19000000000001</v>
      </c>
      <c r="S1513" s="233" t="s">
        <v>314</v>
      </c>
      <c r="T1513" s="242" t="str">
        <f>_xlfn.XLOOKUP(S1513,Insumos!$A$3:$A$371,Insumos!$B$3:$B$371)</f>
        <v>KG</v>
      </c>
      <c r="U1513" s="235">
        <f ca="1">IF($B1513="insumo",R1513,"")</f>
        <v>104.19000000000001</v>
      </c>
      <c r="V1513" s="320">
        <v>9</v>
      </c>
      <c r="W1513" s="236">
        <f>IFERROR(IF(B1513="INSUMO",_xlfn.XLOOKUP(S1513,Insumos!A:A,Insumos!C:C),""),"Inserir Preço")</f>
        <v>0.84000000000000008</v>
      </c>
      <c r="X1513" s="235">
        <f t="shared" ca="1" si="1095"/>
        <v>937.71000000000015</v>
      </c>
      <c r="Y1513" s="236">
        <f t="shared" si="1117"/>
        <v>7.5600000000000005</v>
      </c>
      <c r="Z1513" s="237">
        <f t="shared" ca="1" si="1080"/>
        <v>787.67640000000017</v>
      </c>
      <c r="AA1513" s="238"/>
      <c r="AB1513" s="233" t="str">
        <f>IF(B1513="insumo",_xlfn.XLOOKUP(S1513,Insumos!A:A,Insumos!D:D),"")</f>
        <v>Argabrus</v>
      </c>
      <c r="AC1513" s="239">
        <f t="shared" ca="1" si="1081"/>
        <v>1.1299936098683615E-4</v>
      </c>
      <c r="AE1513" s="240">
        <f ca="1">IFERROR(IF(OR(Z1513="",Z1513=0),"",IF(AF1513="","",IF(AF1513="R$/mês",Z1513/OBRA!$D$12,IF(AF1513="R$/m²",Z1513/OBRA!$D$10,IF(AF1513="R$/apto",Orçamento!Z1513/OBRA!$D$11,""))))),"")</f>
        <v>0.405343886210073</v>
      </c>
      <c r="AF1513" s="241" t="s">
        <v>154</v>
      </c>
    </row>
    <row r="1514" spans="1:32" s="10" customFormat="1" ht="13.15" hidden="1" customHeight="1" outlineLevel="4" x14ac:dyDescent="0.2">
      <c r="A1514" s="227"/>
      <c r="B1514" s="228" t="s">
        <v>19</v>
      </c>
      <c r="C1514" s="229">
        <f t="shared" si="1079"/>
        <v>32</v>
      </c>
      <c r="D1514" s="227" t="str">
        <f t="shared" si="1110"/>
        <v/>
      </c>
      <c r="E1514" s="228" t="str">
        <f t="shared" ca="1" si="1111"/>
        <v>15.002.002.001</v>
      </c>
      <c r="F1514" s="230">
        <f ca="1">IF($B1514="UNIDADE CONSTRUTIVA",OFFSET(F1514,-1,0)+1,LARGE(F$10:F1513,1))</f>
        <v>2</v>
      </c>
      <c r="G1514" s="228" t="str">
        <f t="shared" ca="1" si="1084"/>
        <v xml:space="preserve">   GERENCIAMENTO EXECUTIVO</v>
      </c>
      <c r="H1514" s="230">
        <f t="shared" ca="1" si="1112"/>
        <v>15</v>
      </c>
      <c r="I1514" s="228" t="str">
        <f t="shared" ca="1" si="1086"/>
        <v xml:space="preserve">   PISOS E PAVIMENTAÇÕES</v>
      </c>
      <c r="J1514" s="230">
        <f t="shared" ca="1" si="1113"/>
        <v>2</v>
      </c>
      <c r="K1514" s="228" t="str">
        <f t="shared" ca="1" si="1088"/>
        <v xml:space="preserve">   PISOS E PAVIMENTAÇÕES - TÉRREO - 2º PAVIMENTO - TÉRREO</v>
      </c>
      <c r="L1514" s="231">
        <f t="shared" ca="1" si="1114"/>
        <v>2</v>
      </c>
      <c r="M1514" s="228" t="str">
        <f t="shared" ca="1" si="1090"/>
        <v xml:space="preserve">   Acabamentos em Piso</v>
      </c>
      <c r="N1514" s="231">
        <f t="shared" ca="1" si="1115"/>
        <v>1</v>
      </c>
      <c r="O1514" s="228" t="str">
        <f t="shared" ca="1" si="1092"/>
        <v>Revestimento interno de piso Cerâmico placa 60x60cm - áreas Internas</v>
      </c>
      <c r="P1514" s="232" t="str">
        <f>IF(S1514="","",IF(Orçamento!$B1514="INSUMO",S1514,""))</f>
        <v>REJUNTE FLEXIVEL CIMENTICIO TIPO II NBR 14992</v>
      </c>
      <c r="Q1514" s="244" t="str">
        <f t="shared" si="1116"/>
        <v/>
      </c>
      <c r="R1514" s="234">
        <f t="shared" ca="1" si="1094"/>
        <v>104.19000000000001</v>
      </c>
      <c r="S1514" s="233" t="s">
        <v>734</v>
      </c>
      <c r="T1514" s="242" t="str">
        <f>_xlfn.XLOOKUP(S1514,Insumos!$A$3:$A$371,Insumos!$B$3:$B$371)</f>
        <v>KG</v>
      </c>
      <c r="U1514" s="235">
        <f ca="1">IF($B1514="insumo",R1514,"")</f>
        <v>104.19000000000001</v>
      </c>
      <c r="V1514" s="320">
        <v>0.13</v>
      </c>
      <c r="W1514" s="236">
        <f>IFERROR(IF(B1514="INSUMO",_xlfn.XLOOKUP(S1514,Insumos!A:A,Insumos!C:C),""),"Inserir Preço")</f>
        <v>4.2</v>
      </c>
      <c r="X1514" s="235">
        <f t="shared" ca="1" si="1095"/>
        <v>13.544700000000002</v>
      </c>
      <c r="Y1514" s="236">
        <f t="shared" si="1117"/>
        <v>0.54600000000000004</v>
      </c>
      <c r="Z1514" s="237">
        <f t="shared" ca="1" si="1080"/>
        <v>56.887740000000015</v>
      </c>
      <c r="AA1514" s="238"/>
      <c r="AB1514" s="233" t="str">
        <f>IF(B1514="insumo",_xlfn.XLOOKUP(S1514,Insumos!A:A,Insumos!D:D),"")</f>
        <v>Distribuidora Sika</v>
      </c>
      <c r="AC1514" s="239">
        <f t="shared" ca="1" si="1081"/>
        <v>8.1610649601603878E-6</v>
      </c>
      <c r="AE1514" s="240">
        <f ca="1">IFERROR(IF(OR(Z1514="",Z1514=0),"",IF(AF1514="","",IF(AF1514="R$/mês",Z1514/OBRA!$D$12,IF(AF1514="R$/m²",Z1514/OBRA!$D$10,IF(AF1514="R$/apto",Orçamento!Z1514/OBRA!$D$11,""))))),"")</f>
        <v>2.9274836226283053E-2</v>
      </c>
      <c r="AF1514" s="241" t="s">
        <v>154</v>
      </c>
    </row>
    <row r="1515" spans="1:32" s="10" customFormat="1" ht="13.15" hidden="1" customHeight="1" outlineLevel="4" x14ac:dyDescent="0.2">
      <c r="A1515" s="227"/>
      <c r="B1515" s="228" t="s">
        <v>19</v>
      </c>
      <c r="C1515" s="229">
        <f t="shared" si="1079"/>
        <v>15</v>
      </c>
      <c r="D1515" s="227" t="str">
        <f t="shared" si="1110"/>
        <v/>
      </c>
      <c r="E1515" s="228" t="str">
        <f t="shared" ca="1" si="1111"/>
        <v>15.002.002.001</v>
      </c>
      <c r="F1515" s="230">
        <f ca="1">IF($B1515="UNIDADE CONSTRUTIVA",OFFSET(F1515,-1,0)+1,LARGE(F$10:F1514,1))</f>
        <v>2</v>
      </c>
      <c r="G1515" s="228" t="str">
        <f t="shared" ca="1" si="1084"/>
        <v xml:space="preserve">   GERENCIAMENTO EXECUTIVO</v>
      </c>
      <c r="H1515" s="230">
        <f t="shared" ca="1" si="1112"/>
        <v>15</v>
      </c>
      <c r="I1515" s="228" t="str">
        <f t="shared" ca="1" si="1086"/>
        <v xml:space="preserve">   PISOS E PAVIMENTAÇÕES</v>
      </c>
      <c r="J1515" s="230">
        <f t="shared" ca="1" si="1113"/>
        <v>2</v>
      </c>
      <c r="K1515" s="228" t="str">
        <f t="shared" ca="1" si="1088"/>
        <v xml:space="preserve">   PISOS E PAVIMENTAÇÕES - TÉRREO - 2º PAVIMENTO - TÉRREO</v>
      </c>
      <c r="L1515" s="231">
        <f t="shared" ca="1" si="1114"/>
        <v>2</v>
      </c>
      <c r="M1515" s="228" t="str">
        <f t="shared" ca="1" si="1090"/>
        <v xml:space="preserve">   Acabamentos em Piso</v>
      </c>
      <c r="N1515" s="231">
        <f t="shared" ca="1" si="1115"/>
        <v>1</v>
      </c>
      <c r="O1515" s="228" t="str">
        <f t="shared" ca="1" si="1092"/>
        <v>Revestimento interno de piso Cerâmico placa 60x60cm - áreas Internas</v>
      </c>
      <c r="P1515" s="232" t="str">
        <f>IF(S1515="","",IF(Orçamento!$B1515="INSUMO",S1515,""))</f>
        <v>ESPACADOR PVC JUNTA PISO 3,0MM NBR 6118</v>
      </c>
      <c r="Q1515" s="244" t="str">
        <f t="shared" si="1116"/>
        <v/>
      </c>
      <c r="R1515" s="234">
        <f t="shared" ca="1" si="1094"/>
        <v>104.19000000000001</v>
      </c>
      <c r="S1515" s="233" t="s">
        <v>716</v>
      </c>
      <c r="T1515" s="242" t="str">
        <f>_xlfn.XLOOKUP(S1515,Insumos!$A$3:$A$371,Insumos!$B$3:$B$371)</f>
        <v>UN</v>
      </c>
      <c r="U1515" s="235">
        <f ca="1">IF($B1515="insumo",R1515,"")</f>
        <v>104.19000000000001</v>
      </c>
      <c r="V1515" s="320">
        <v>4</v>
      </c>
      <c r="W1515" s="236">
        <f>IFERROR(IF(B1515="INSUMO",_xlfn.XLOOKUP(S1515,Insumos!A:A,Insumos!C:C),""),"Inserir Preço")</f>
        <v>0.22</v>
      </c>
      <c r="X1515" s="235">
        <f t="shared" ca="1" si="1095"/>
        <v>416.76000000000005</v>
      </c>
      <c r="Y1515" s="236">
        <f t="shared" si="1117"/>
        <v>0.88</v>
      </c>
      <c r="Z1515" s="237">
        <f t="shared" ca="1" si="1080"/>
        <v>91.687200000000004</v>
      </c>
      <c r="AA1515" s="238"/>
      <c r="AB1515" s="233" t="str">
        <f>IF(B1515="insumo",_xlfn.XLOOKUP(S1515,Insumos!A:A,Insumos!D:D),"")</f>
        <v>Base de Dados</v>
      </c>
      <c r="AC1515" s="239">
        <f t="shared" ca="1" si="1081"/>
        <v>1.3153364770954469E-5</v>
      </c>
      <c r="AE1515" s="240">
        <f ca="1">IFERROR(IF(OR(Z1515="",Z1515=0),"",IF(AF1515="","",IF(AF1515="R$/mês",Z1515/OBRA!$D$12,IF(AF1515="R$/m²",Z1515/OBRA!$D$10,IF(AF1515="R$/apto",Orçamento!Z1515/OBRA!$D$11,""))))),"")</f>
        <v>4.7182886225511138E-2</v>
      </c>
      <c r="AF1515" s="241" t="s">
        <v>154</v>
      </c>
    </row>
    <row r="1516" spans="1:32" s="10" customFormat="1" ht="13.15" hidden="1" customHeight="1" outlineLevel="4" x14ac:dyDescent="0.2">
      <c r="A1516" s="227"/>
      <c r="B1516" s="228" t="s">
        <v>19</v>
      </c>
      <c r="C1516" s="229">
        <f t="shared" si="1079"/>
        <v>13</v>
      </c>
      <c r="D1516" s="227" t="str">
        <f t="shared" si="1110"/>
        <v/>
      </c>
      <c r="E1516" s="228" t="str">
        <f t="shared" ca="1" si="1111"/>
        <v>15.002.002.001</v>
      </c>
      <c r="F1516" s="230">
        <f ca="1">IF($B1516="UNIDADE CONSTRUTIVA",OFFSET(F1516,-1,0)+1,LARGE(F$10:F1515,1))</f>
        <v>2</v>
      </c>
      <c r="G1516" s="228" t="str">
        <f t="shared" ca="1" si="1084"/>
        <v xml:space="preserve">   GERENCIAMENTO EXECUTIVO</v>
      </c>
      <c r="H1516" s="230">
        <f t="shared" ca="1" si="1112"/>
        <v>15</v>
      </c>
      <c r="I1516" s="228" t="str">
        <f t="shared" ca="1" si="1086"/>
        <v xml:space="preserve">   PISOS E PAVIMENTAÇÕES</v>
      </c>
      <c r="J1516" s="230">
        <f t="shared" ca="1" si="1113"/>
        <v>2</v>
      </c>
      <c r="K1516" s="228" t="str">
        <f t="shared" ca="1" si="1088"/>
        <v xml:space="preserve">   PISOS E PAVIMENTAÇÕES - TÉRREO - 2º PAVIMENTO - TÉRREO</v>
      </c>
      <c r="L1516" s="231">
        <f t="shared" ca="1" si="1114"/>
        <v>2</v>
      </c>
      <c r="M1516" s="228" t="str">
        <f t="shared" ca="1" si="1090"/>
        <v xml:space="preserve">   Acabamentos em Piso</v>
      </c>
      <c r="N1516" s="231">
        <f t="shared" ca="1" si="1115"/>
        <v>1</v>
      </c>
      <c r="O1516" s="228" t="str">
        <f t="shared" ca="1" si="1092"/>
        <v>Revestimento interno de piso Cerâmico placa 60x60cm - áreas Internas</v>
      </c>
      <c r="P1516" s="232" t="str">
        <f>IF(S1516="","",IF(Orçamento!$B1516="INSUMO",S1516,""))</f>
        <v>REVESTIMENTO - HANGAR CHICAGO 60X60 NAT BOLD</v>
      </c>
      <c r="Q1516" s="244" t="str">
        <f t="shared" si="1116"/>
        <v/>
      </c>
      <c r="R1516" s="234">
        <f t="shared" ca="1" si="1094"/>
        <v>104.19000000000001</v>
      </c>
      <c r="S1516" s="233" t="s">
        <v>912</v>
      </c>
      <c r="T1516" s="242" t="str">
        <f>_xlfn.XLOOKUP(S1516,Insumos!$A$3:$A$371,Insumos!$B$3:$B$371)</f>
        <v>M2</v>
      </c>
      <c r="U1516" s="235">
        <f ca="1">IF($B1516="insumo",R1516,"")</f>
        <v>104.19000000000001</v>
      </c>
      <c r="V1516" s="320">
        <v>1.1000000000000001</v>
      </c>
      <c r="W1516" s="236">
        <f>IFERROR(IF(B1516="INSUMO",_xlfn.XLOOKUP(S1516,Insumos!A:A,Insumos!C:C),""),"Inserir Preço")</f>
        <v>45.19</v>
      </c>
      <c r="X1516" s="235">
        <f t="shared" ca="1" si="1095"/>
        <v>114.60900000000002</v>
      </c>
      <c r="Y1516" s="236">
        <f t="shared" si="1117"/>
        <v>49.709000000000003</v>
      </c>
      <c r="Z1516" s="237">
        <f t="shared" ca="1" si="1080"/>
        <v>5179.1807100000005</v>
      </c>
      <c r="AA1516" s="238"/>
      <c r="AB1516" s="233" t="str">
        <f>IF(B1516="insumo",_xlfn.XLOOKUP(S1516,Insumos!A:A,Insumos!D:D),"")</f>
        <v>Portobelo</v>
      </c>
      <c r="AC1516" s="239">
        <f t="shared" ca="1" si="1081"/>
        <v>7.4300069249929061E-4</v>
      </c>
      <c r="AE1516" s="240">
        <f ca="1">IFERROR(IF(OR(Z1516="",Z1516=0),"",IF(AF1516="","",IF(AF1516="R$/mês",Z1516/OBRA!$D$12,IF(AF1516="R$/m²",Z1516/OBRA!$D$10,IF(AF1516="R$/apto",Orçamento!Z1516/OBRA!$D$11,""))))),"")</f>
        <v>2.6652432856635606</v>
      </c>
      <c r="AF1516" s="241" t="s">
        <v>154</v>
      </c>
    </row>
    <row r="1517" spans="1:32" s="10" customFormat="1" ht="13.15" hidden="1" customHeight="1" outlineLevel="4" x14ac:dyDescent="0.2">
      <c r="A1517" s="227"/>
      <c r="B1517" s="228" t="s">
        <v>4</v>
      </c>
      <c r="C1517" s="229">
        <f t="shared" si="1079"/>
        <v>3</v>
      </c>
      <c r="D1517" s="227" t="str">
        <f t="shared" ca="1" si="1110"/>
        <v>15.002.002.002</v>
      </c>
      <c r="E1517" s="228" t="str">
        <f t="shared" ca="1" si="1111"/>
        <v>15.002.002.002</v>
      </c>
      <c r="F1517" s="230">
        <f ca="1">IF($B1517="UNIDADE CONSTRUTIVA",OFFSET(F1517,-1,0)+1,LARGE(F$10:F1516,1))</f>
        <v>2</v>
      </c>
      <c r="G1517" s="228" t="str">
        <f t="shared" ca="1" si="1084"/>
        <v xml:space="preserve">   GERENCIAMENTO EXECUTIVO</v>
      </c>
      <c r="H1517" s="230">
        <f t="shared" ca="1" si="1112"/>
        <v>15</v>
      </c>
      <c r="I1517" s="228" t="str">
        <f t="shared" ca="1" si="1086"/>
        <v xml:space="preserve">   PISOS E PAVIMENTAÇÕES</v>
      </c>
      <c r="J1517" s="230">
        <f t="shared" ca="1" si="1113"/>
        <v>2</v>
      </c>
      <c r="K1517" s="228" t="str">
        <f t="shared" ca="1" si="1088"/>
        <v xml:space="preserve">   PISOS E PAVIMENTAÇÕES - TÉRREO - 2º PAVIMENTO - TÉRREO</v>
      </c>
      <c r="L1517" s="231">
        <f t="shared" ca="1" si="1114"/>
        <v>2</v>
      </c>
      <c r="M1517" s="228" t="str">
        <f t="shared" ca="1" si="1090"/>
        <v xml:space="preserve">   Acabamentos em Piso</v>
      </c>
      <c r="N1517" s="231">
        <f t="shared" ca="1" si="1115"/>
        <v>2</v>
      </c>
      <c r="O1517" s="228" t="str">
        <f t="shared" ca="1" si="1092"/>
        <v>Revestimento interno de piso porcelanato placa 80x80cm - áreas internas</v>
      </c>
      <c r="P1517" s="232" t="str">
        <f>IF(S1517="","",IF(Orçamento!$B1517="INSUMO",S1517,""))</f>
        <v/>
      </c>
      <c r="Q1517" s="244" t="str">
        <f t="shared" si="1116"/>
        <v>Revestimento interno de piso porcelanato placa 80x80cm - áreas internas</v>
      </c>
      <c r="R1517" s="234">
        <f t="shared" ca="1" si="1094"/>
        <v>112.38</v>
      </c>
      <c r="S1517" s="233" t="s">
        <v>1122</v>
      </c>
      <c r="T1517" s="242" t="s">
        <v>140</v>
      </c>
      <c r="U1517" s="235">
        <v>112.38</v>
      </c>
      <c r="V1517" s="320" t="s">
        <v>35</v>
      </c>
      <c r="W1517" s="236" t="str">
        <f>IFERROR(IF(B1517="INSUMO",_xlfn.XLOOKUP(S1517,Insumos!A:A,Insumos!C:C),""),"Inserir Preço")</f>
        <v/>
      </c>
      <c r="X1517" s="235">
        <f t="shared" ca="1" si="1095"/>
        <v>112.38</v>
      </c>
      <c r="Y1517" s="236">
        <f t="shared" ca="1" si="1117"/>
        <v>75.704999999999998</v>
      </c>
      <c r="Z1517" s="237">
        <f t="shared" ca="1" si="1080"/>
        <v>8507.7278999999999</v>
      </c>
      <c r="AA1517" s="238"/>
      <c r="AB1517" s="233" t="str">
        <f>IF(B1517="insumo",_xlfn.XLOOKUP(S1517,Insumos!A:A,Insumos!D:D),"")</f>
        <v/>
      </c>
      <c r="AC1517" s="239">
        <f t="shared" ca="1" si="1081"/>
        <v>1.2205111339502837E-3</v>
      </c>
      <c r="AE1517" s="240">
        <f ca="1">IFERROR(IF(OR(Z1517="",Z1517=0),"",IF(AF1517="","",IF(AF1517="R$/mês",Z1517/OBRA!$D$12,IF(AF1517="R$/m²",Z1517/OBRA!$D$10,IF(AF1517="R$/apto",Orçamento!Z1517/OBRA!$D$11,""))))),"")</f>
        <v>4.3781373795176073</v>
      </c>
      <c r="AF1517" s="241" t="s">
        <v>154</v>
      </c>
    </row>
    <row r="1518" spans="1:32" s="10" customFormat="1" ht="13.15" hidden="1" customHeight="1" outlineLevel="4" x14ac:dyDescent="0.2">
      <c r="A1518" s="227"/>
      <c r="B1518" s="228" t="s">
        <v>19</v>
      </c>
      <c r="C1518" s="229">
        <f t="shared" si="1079"/>
        <v>23</v>
      </c>
      <c r="D1518" s="227" t="str">
        <f t="shared" si="1110"/>
        <v/>
      </c>
      <c r="E1518" s="228" t="str">
        <f t="shared" ca="1" si="1111"/>
        <v>15.002.002.002</v>
      </c>
      <c r="F1518" s="230">
        <f ca="1">IF($B1518="UNIDADE CONSTRUTIVA",OFFSET(F1518,-1,0)+1,LARGE(F$10:F1517,1))</f>
        <v>2</v>
      </c>
      <c r="G1518" s="228" t="str">
        <f t="shared" ca="1" si="1084"/>
        <v xml:space="preserve">   GERENCIAMENTO EXECUTIVO</v>
      </c>
      <c r="H1518" s="230">
        <f t="shared" ca="1" si="1112"/>
        <v>15</v>
      </c>
      <c r="I1518" s="228" t="str">
        <f t="shared" ca="1" si="1086"/>
        <v xml:space="preserve">   PISOS E PAVIMENTAÇÕES</v>
      </c>
      <c r="J1518" s="230">
        <f t="shared" ca="1" si="1113"/>
        <v>2</v>
      </c>
      <c r="K1518" s="228" t="str">
        <f t="shared" ca="1" si="1088"/>
        <v xml:space="preserve">   PISOS E PAVIMENTAÇÕES - TÉRREO - 2º PAVIMENTO - TÉRREO</v>
      </c>
      <c r="L1518" s="231">
        <f t="shared" ca="1" si="1114"/>
        <v>2</v>
      </c>
      <c r="M1518" s="228" t="str">
        <f t="shared" ca="1" si="1090"/>
        <v xml:space="preserve">   Acabamentos em Piso</v>
      </c>
      <c r="N1518" s="231">
        <f t="shared" ca="1" si="1115"/>
        <v>2</v>
      </c>
      <c r="O1518" s="228" t="str">
        <f t="shared" ca="1" si="1092"/>
        <v>Revestimento interno de piso porcelanato placa 80x80cm - áreas internas</v>
      </c>
      <c r="P1518" s="232" t="str">
        <f>IF(S1518="","",IF(Orçamento!$B1518="INSUMO",S1518,""))</f>
        <v>ARGAMASSA COLANTE AC II</v>
      </c>
      <c r="Q1518" s="244" t="str">
        <f t="shared" si="1116"/>
        <v/>
      </c>
      <c r="R1518" s="234">
        <f t="shared" ca="1" si="1094"/>
        <v>112.38</v>
      </c>
      <c r="S1518" s="233" t="s">
        <v>314</v>
      </c>
      <c r="T1518" s="242" t="str">
        <f>_xlfn.XLOOKUP(S1518,Insumos!$A$3:$A$371,Insumos!$B$3:$B$371)</f>
        <v>KG</v>
      </c>
      <c r="U1518" s="235">
        <f ca="1">IF($B1518="insumo",R1518,"")</f>
        <v>112.38</v>
      </c>
      <c r="V1518" s="320">
        <v>9</v>
      </c>
      <c r="W1518" s="236">
        <f>IFERROR(IF(B1518="INSUMO",_xlfn.XLOOKUP(S1518,Insumos!A:A,Insumos!C:C),""),"Inserir Preço")</f>
        <v>0.84000000000000008</v>
      </c>
      <c r="X1518" s="235">
        <f t="shared" ca="1" si="1095"/>
        <v>1011.42</v>
      </c>
      <c r="Y1518" s="236">
        <f t="shared" si="1117"/>
        <v>7.5600000000000005</v>
      </c>
      <c r="Z1518" s="237">
        <f t="shared" ca="1" si="1080"/>
        <v>849.59280000000001</v>
      </c>
      <c r="AA1518" s="238"/>
      <c r="AB1518" s="233" t="str">
        <f>IF(B1518="insumo",_xlfn.XLOOKUP(S1518,Insumos!A:A,Insumos!D:D),"")</f>
        <v>Argabrus</v>
      </c>
      <c r="AC1518" s="239">
        <f t="shared" ca="1" si="1081"/>
        <v>1.2188183307131819E-4</v>
      </c>
      <c r="AE1518" s="240">
        <f ca="1">IFERROR(IF(OR(Z1518="",Z1518=0),"",IF(AF1518="","",IF(AF1518="R$/mês",Z1518/OBRA!$D$12,IF(AF1518="R$/m²",Z1518/OBRA!$D$10,IF(AF1518="R$/apto",Orçamento!Z1518/OBRA!$D$11,""))))),"")</f>
        <v>0.43720650669246564</v>
      </c>
      <c r="AF1518" s="241" t="s">
        <v>154</v>
      </c>
    </row>
    <row r="1519" spans="1:32" s="10" customFormat="1" ht="13.15" hidden="1" customHeight="1" outlineLevel="4" x14ac:dyDescent="0.2">
      <c r="A1519" s="227"/>
      <c r="B1519" s="228" t="s">
        <v>19</v>
      </c>
      <c r="C1519" s="229">
        <f t="shared" si="1079"/>
        <v>32</v>
      </c>
      <c r="D1519" s="227" t="str">
        <f t="shared" si="1110"/>
        <v/>
      </c>
      <c r="E1519" s="228" t="str">
        <f t="shared" ca="1" si="1111"/>
        <v>15.002.002.002</v>
      </c>
      <c r="F1519" s="230">
        <f ca="1">IF($B1519="UNIDADE CONSTRUTIVA",OFFSET(F1519,-1,0)+1,LARGE(F$10:F1518,1))</f>
        <v>2</v>
      </c>
      <c r="G1519" s="228" t="str">
        <f t="shared" ca="1" si="1084"/>
        <v xml:space="preserve">   GERENCIAMENTO EXECUTIVO</v>
      </c>
      <c r="H1519" s="230">
        <f t="shared" ca="1" si="1112"/>
        <v>15</v>
      </c>
      <c r="I1519" s="228" t="str">
        <f t="shared" ca="1" si="1086"/>
        <v xml:space="preserve">   PISOS E PAVIMENTAÇÕES</v>
      </c>
      <c r="J1519" s="230">
        <f t="shared" ca="1" si="1113"/>
        <v>2</v>
      </c>
      <c r="K1519" s="228" t="str">
        <f t="shared" ca="1" si="1088"/>
        <v xml:space="preserve">   PISOS E PAVIMENTAÇÕES - TÉRREO - 2º PAVIMENTO - TÉRREO</v>
      </c>
      <c r="L1519" s="231">
        <f t="shared" ca="1" si="1114"/>
        <v>2</v>
      </c>
      <c r="M1519" s="228" t="str">
        <f t="shared" ca="1" si="1090"/>
        <v xml:space="preserve">   Acabamentos em Piso</v>
      </c>
      <c r="N1519" s="231">
        <f t="shared" ca="1" si="1115"/>
        <v>2</v>
      </c>
      <c r="O1519" s="228" t="str">
        <f t="shared" ca="1" si="1092"/>
        <v>Revestimento interno de piso porcelanato placa 80x80cm - áreas internas</v>
      </c>
      <c r="P1519" s="232" t="str">
        <f>IF(S1519="","",IF(Orçamento!$B1519="INSUMO",S1519,""))</f>
        <v>REJUNTE FLEXIVEL CIMENTICIO TIPO II NBR 14992</v>
      </c>
      <c r="Q1519" s="244" t="str">
        <f t="shared" si="1116"/>
        <v/>
      </c>
      <c r="R1519" s="234">
        <f t="shared" ca="1" si="1094"/>
        <v>112.38</v>
      </c>
      <c r="S1519" s="233" t="s">
        <v>734</v>
      </c>
      <c r="T1519" s="242" t="str">
        <f>_xlfn.XLOOKUP(S1519,Insumos!$A$3:$A$371,Insumos!$B$3:$B$371)</f>
        <v>KG</v>
      </c>
      <c r="U1519" s="235">
        <f ca="1">IF($B1519="insumo",R1519,"")</f>
        <v>112.38</v>
      </c>
      <c r="V1519" s="320">
        <v>0.13</v>
      </c>
      <c r="W1519" s="236">
        <f>IFERROR(IF(B1519="INSUMO",_xlfn.XLOOKUP(S1519,Insumos!A:A,Insumos!C:C),""),"Inserir Preço")</f>
        <v>4.2</v>
      </c>
      <c r="X1519" s="235">
        <f t="shared" ca="1" si="1095"/>
        <v>14.609399999999999</v>
      </c>
      <c r="Y1519" s="236">
        <f t="shared" si="1117"/>
        <v>0.54600000000000004</v>
      </c>
      <c r="Z1519" s="237">
        <f t="shared" ca="1" si="1080"/>
        <v>61.359479999999998</v>
      </c>
      <c r="AA1519" s="238"/>
      <c r="AB1519" s="233" t="str">
        <f>IF(B1519="insumo",_xlfn.XLOOKUP(S1519,Insumos!A:A,Insumos!D:D),"")</f>
        <v>Distribuidora Sika</v>
      </c>
      <c r="AC1519" s="239">
        <f t="shared" ca="1" si="1081"/>
        <v>8.8025768329285362E-6</v>
      </c>
      <c r="AE1519" s="240">
        <f ca="1">IFERROR(IF(OR(Z1519="",Z1519=0),"",IF(AF1519="","",IF(AF1519="R$/mês",Z1519/OBRA!$D$12,IF(AF1519="R$/m²",Z1519/OBRA!$D$10,IF(AF1519="R$/apto",Orçamento!Z1519/OBRA!$D$11,""))))),"")</f>
        <v>3.157602548334474E-2</v>
      </c>
      <c r="AF1519" s="241" t="s">
        <v>154</v>
      </c>
    </row>
    <row r="1520" spans="1:32" s="10" customFormat="1" ht="13.15" hidden="1" customHeight="1" outlineLevel="4" x14ac:dyDescent="0.2">
      <c r="A1520" s="227"/>
      <c r="B1520" s="228" t="s">
        <v>19</v>
      </c>
      <c r="C1520" s="229">
        <f t="shared" si="1079"/>
        <v>14</v>
      </c>
      <c r="D1520" s="227" t="str">
        <f t="shared" si="1110"/>
        <v/>
      </c>
      <c r="E1520" s="228" t="str">
        <f t="shared" ca="1" si="1111"/>
        <v>15.002.002.002</v>
      </c>
      <c r="F1520" s="230">
        <f ca="1">IF($B1520="UNIDADE CONSTRUTIVA",OFFSET(F1520,-1,0)+1,LARGE(F$10:F1519,1))</f>
        <v>2</v>
      </c>
      <c r="G1520" s="228" t="str">
        <f ca="1">IF(B1520="*","",IF(B1520="UNIDADE CONSTRUTIVA",S1520,OFFSET(G1520,-1,0)))</f>
        <v xml:space="preserve">   GERENCIAMENTO EXECUTIVO</v>
      </c>
      <c r="H1520" s="230">
        <f t="shared" ca="1" si="1112"/>
        <v>15</v>
      </c>
      <c r="I1520" s="228" t="str">
        <f ca="1">IF(B1520="*","",IF(B1520="CÉLULA CONSTRUTIVA",S1520,OFFSET(I1520,-1,0)))</f>
        <v xml:space="preserve">   PISOS E PAVIMENTAÇÕES</v>
      </c>
      <c r="J1520" s="230">
        <f t="shared" ca="1" si="1113"/>
        <v>2</v>
      </c>
      <c r="K1520" s="228" t="str">
        <f ca="1">IF(B1520="*","",IF(B1520="ETAPA",S1520,OFFSET(K1520,-1,0)))</f>
        <v xml:space="preserve">   PISOS E PAVIMENTAÇÕES - TÉRREO - 2º PAVIMENTO - TÉRREO</v>
      </c>
      <c r="L1520" s="231">
        <f t="shared" ca="1" si="1114"/>
        <v>2</v>
      </c>
      <c r="M1520" s="228" t="str">
        <f ca="1">IF(B1520="*","",IF(B1520="SUBETAPA",S1520,OFFSET(M1520,-1,0)))</f>
        <v xml:space="preserve">   Acabamentos em Piso</v>
      </c>
      <c r="N1520" s="231">
        <f t="shared" ca="1" si="1115"/>
        <v>2</v>
      </c>
      <c r="O1520" s="228" t="str">
        <f ca="1">IF(B1520="*","",IF(B1520="SERVIÇO",S1520,OFFSET(O1520,-1,0)))</f>
        <v>Revestimento interno de piso porcelanato placa 80x80cm - áreas internas</v>
      </c>
      <c r="P1520" s="232" t="str">
        <f>IF(S1520="","",IF(Orçamento!$B1520="INSUMO",S1520,""))</f>
        <v>CUNHA PVC P/NIVELAMENTO PISO NBR 6118</v>
      </c>
      <c r="Q1520" s="244" t="str">
        <f t="shared" si="1116"/>
        <v/>
      </c>
      <c r="R1520" s="234">
        <f ca="1">IF(B1520="serviço",U1520,OFFSET(R1520,-1,0))</f>
        <v>112.38</v>
      </c>
      <c r="S1520" s="233" t="s">
        <v>717</v>
      </c>
      <c r="T1520" s="242" t="str">
        <f>_xlfn.XLOOKUP(S1520,Insumos!$A$3:$A$371,Insumos!$B$3:$B$371)</f>
        <v>UN</v>
      </c>
      <c r="U1520" s="235">
        <f ca="1">IF($B1520="insumo",R1520,"")</f>
        <v>112.38</v>
      </c>
      <c r="V1520" s="320">
        <v>2</v>
      </c>
      <c r="W1520" s="236">
        <f>IFERROR(IF(B1520="INSUMO",_xlfn.XLOOKUP(S1520,Insumos!A:A,Insumos!C:C),""),"Inserir Preço")</f>
        <v>0.2</v>
      </c>
      <c r="X1520" s="235">
        <f t="shared" ca="1" si="1095"/>
        <v>224.76</v>
      </c>
      <c r="Y1520" s="236">
        <f t="shared" si="1117"/>
        <v>0.4</v>
      </c>
      <c r="Z1520" s="237">
        <f t="shared" ca="1" si="1080"/>
        <v>44.951999999999998</v>
      </c>
      <c r="AA1520" s="238"/>
      <c r="AB1520" s="233" t="str">
        <f>IF(B1520="insumo",_xlfn.XLOOKUP(S1520,Insumos!A:A,Insumos!D:D),"")</f>
        <v>Base de Dados</v>
      </c>
      <c r="AC1520" s="239">
        <f t="shared" ca="1" si="1081"/>
        <v>6.4487742365776817E-6</v>
      </c>
      <c r="AE1520" s="240">
        <f ca="1">IFERROR(IF(OR(Z1520="",Z1520=0),"",IF(AF1520="","",IF(AF1520="R$/mês",Z1520/OBRA!$D$12,IF(AF1520="R$/m²",Z1520/OBRA!$D$10,IF(AF1520="R$/apto",Orçamento!Z1520/OBRA!$D$11,""))))),"")</f>
        <v>2.3132619401717756E-2</v>
      </c>
      <c r="AF1520" s="241" t="s">
        <v>154</v>
      </c>
    </row>
    <row r="1521" spans="1:32" s="10" customFormat="1" ht="13.15" hidden="1" customHeight="1" outlineLevel="4" x14ac:dyDescent="0.2">
      <c r="A1521" s="227"/>
      <c r="B1521" s="228" t="s">
        <v>19</v>
      </c>
      <c r="C1521" s="229">
        <f t="shared" si="1079"/>
        <v>14</v>
      </c>
      <c r="D1521" s="227" t="str">
        <f t="shared" si="1110"/>
        <v/>
      </c>
      <c r="E1521" s="228" t="str">
        <f t="shared" ca="1" si="1111"/>
        <v>15.002.002.002</v>
      </c>
      <c r="F1521" s="230">
        <f ca="1">IF($B1521="UNIDADE CONSTRUTIVA",OFFSET(F1521,-1,0)+1,LARGE(F$10:F1520,1))</f>
        <v>2</v>
      </c>
      <c r="G1521" s="228" t="str">
        <f ca="1">IF(B1521="*","",IF(B1521="UNIDADE CONSTRUTIVA",S1521,OFFSET(G1521,-1,0)))</f>
        <v xml:space="preserve">   GERENCIAMENTO EXECUTIVO</v>
      </c>
      <c r="H1521" s="230">
        <f t="shared" ca="1" si="1112"/>
        <v>15</v>
      </c>
      <c r="I1521" s="228" t="str">
        <f ca="1">IF(B1521="*","",IF(B1521="CÉLULA CONSTRUTIVA",S1521,OFFSET(I1521,-1,0)))</f>
        <v xml:space="preserve">   PISOS E PAVIMENTAÇÕES</v>
      </c>
      <c r="J1521" s="230">
        <f t="shared" ca="1" si="1113"/>
        <v>2</v>
      </c>
      <c r="K1521" s="228" t="str">
        <f ca="1">IF(B1521="*","",IF(B1521="ETAPA",S1521,OFFSET(K1521,-1,0)))</f>
        <v xml:space="preserve">   PISOS E PAVIMENTAÇÕES - TÉRREO - 2º PAVIMENTO - TÉRREO</v>
      </c>
      <c r="L1521" s="231">
        <f t="shared" ca="1" si="1114"/>
        <v>2</v>
      </c>
      <c r="M1521" s="228" t="str">
        <f ca="1">IF(B1521="*","",IF(B1521="SUBETAPA",S1521,OFFSET(M1521,-1,0)))</f>
        <v xml:space="preserve">   Acabamentos em Piso</v>
      </c>
      <c r="N1521" s="231">
        <f t="shared" ca="1" si="1115"/>
        <v>2</v>
      </c>
      <c r="O1521" s="228" t="str">
        <f ca="1">IF(B1521="*","",IF(B1521="SERVIÇO",S1521,OFFSET(O1521,-1,0)))</f>
        <v>Revestimento interno de piso porcelanato placa 80x80cm - áreas internas</v>
      </c>
      <c r="P1521" s="232" t="str">
        <f>IF(S1521="","",IF(Orçamento!$B1521="INSUMO",S1521,""))</f>
        <v>ESPACADOR PVC NIVELAMENTO REVESTIMENTO 1,0MM NBR 6118</v>
      </c>
      <c r="Q1521" s="244" t="str">
        <f t="shared" si="1116"/>
        <v/>
      </c>
      <c r="R1521" s="234">
        <f ca="1">IF(B1521="serviço",U1521,OFFSET(R1521,-1,0))</f>
        <v>112.38</v>
      </c>
      <c r="S1521" s="233" t="s">
        <v>715</v>
      </c>
      <c r="T1521" s="242" t="str">
        <f>_xlfn.XLOOKUP(S1521,Insumos!$A$3:$A$371,Insumos!$B$3:$B$371)</f>
        <v>UN</v>
      </c>
      <c r="U1521" s="235">
        <f ca="1">IF($B1521="insumo",R1521,"")</f>
        <v>112.38</v>
      </c>
      <c r="V1521" s="320">
        <v>4</v>
      </c>
      <c r="W1521" s="236">
        <f>IFERROR(IF(B1521="INSUMO",_xlfn.XLOOKUP(S1521,Insumos!A:A,Insumos!C:C),""),"Inserir Preço")</f>
        <v>0.22</v>
      </c>
      <c r="X1521" s="235">
        <f t="shared" ca="1" si="1095"/>
        <v>449.52</v>
      </c>
      <c r="Y1521" s="236">
        <f t="shared" si="1117"/>
        <v>0.88</v>
      </c>
      <c r="Z1521" s="237">
        <f t="shared" ca="1" si="1080"/>
        <v>98.89439999999999</v>
      </c>
      <c r="AA1521" s="238"/>
      <c r="AB1521" s="233" t="str">
        <f>IF(B1521="insumo",_xlfn.XLOOKUP(S1521,Insumos!A:A,Insumos!D:D),"")</f>
        <v>Base de Dados</v>
      </c>
      <c r="AC1521" s="239">
        <f t="shared" ca="1" si="1081"/>
        <v>1.4187303320470899E-5</v>
      </c>
      <c r="AE1521" s="240">
        <f ca="1">IFERROR(IF(OR(Z1521="",Z1521=0),"",IF(AF1521="","",IF(AF1521="R$/mês",Z1521/OBRA!$D$12,IF(AF1521="R$/m²",Z1521/OBRA!$D$10,IF(AF1521="R$/apto",Orçamento!Z1521/OBRA!$D$11,""))))),"")</f>
        <v>5.0891762683779061E-2</v>
      </c>
      <c r="AF1521" s="241" t="s">
        <v>154</v>
      </c>
    </row>
    <row r="1522" spans="1:32" s="10" customFormat="1" ht="13.15" hidden="1" customHeight="1" outlineLevel="4" x14ac:dyDescent="0.2">
      <c r="A1522" s="227"/>
      <c r="B1522" s="228" t="s">
        <v>19</v>
      </c>
      <c r="C1522" s="229">
        <f t="shared" si="1079"/>
        <v>6</v>
      </c>
      <c r="D1522" s="227" t="str">
        <f t="shared" si="1110"/>
        <v/>
      </c>
      <c r="E1522" s="228" t="str">
        <f t="shared" ca="1" si="1111"/>
        <v>15.002.002.002</v>
      </c>
      <c r="F1522" s="230">
        <f ca="1">IF($B1522="UNIDADE CONSTRUTIVA",OFFSET(F1522,-1,0)+1,LARGE(F$10:F1521,1))</f>
        <v>2</v>
      </c>
      <c r="G1522" s="228" t="str">
        <f t="shared" ca="1" si="1084"/>
        <v xml:space="preserve">   GERENCIAMENTO EXECUTIVO</v>
      </c>
      <c r="H1522" s="230">
        <f t="shared" ca="1" si="1112"/>
        <v>15</v>
      </c>
      <c r="I1522" s="228" t="str">
        <f t="shared" ca="1" si="1086"/>
        <v xml:space="preserve">   PISOS E PAVIMENTAÇÕES</v>
      </c>
      <c r="J1522" s="230">
        <f t="shared" ca="1" si="1113"/>
        <v>2</v>
      </c>
      <c r="K1522" s="228" t="str">
        <f t="shared" ca="1" si="1088"/>
        <v xml:space="preserve">   PISOS E PAVIMENTAÇÕES - TÉRREO - 2º PAVIMENTO - TÉRREO</v>
      </c>
      <c r="L1522" s="231">
        <f t="shared" ca="1" si="1114"/>
        <v>2</v>
      </c>
      <c r="M1522" s="228" t="str">
        <f t="shared" ca="1" si="1090"/>
        <v xml:space="preserve">   Acabamentos em Piso</v>
      </c>
      <c r="N1522" s="231">
        <f t="shared" ca="1" si="1115"/>
        <v>2</v>
      </c>
      <c r="O1522" s="228" t="str">
        <f t="shared" ca="1" si="1092"/>
        <v>Revestimento interno de piso porcelanato placa 80x80cm - áreas internas</v>
      </c>
      <c r="P1522" s="232" t="str">
        <f>IF(S1522="","",IF(Orçamento!$B1522="INSUMO",S1522,""))</f>
        <v>REVESTIMENTO - HIT GRIS 80X80 NAT RET</v>
      </c>
      <c r="Q1522" s="244" t="str">
        <f t="shared" si="1116"/>
        <v/>
      </c>
      <c r="R1522" s="234">
        <f t="shared" ca="1" si="1094"/>
        <v>112.38</v>
      </c>
      <c r="S1522" s="233" t="s">
        <v>911</v>
      </c>
      <c r="T1522" s="242" t="str">
        <f>_xlfn.XLOOKUP(S1522,Insumos!$A$3:$A$371,Insumos!$B$3:$B$371)</f>
        <v>M2</v>
      </c>
      <c r="U1522" s="235">
        <f ca="1">IF($B1522="insumo",R1522,"")</f>
        <v>112.38</v>
      </c>
      <c r="V1522" s="320">
        <v>1.1000000000000001</v>
      </c>
      <c r="W1522" s="236">
        <f>IFERROR(IF(B1522="INSUMO",_xlfn.XLOOKUP(S1522,Insumos!A:A,Insumos!C:C),""),"Inserir Preço")</f>
        <v>60.29</v>
      </c>
      <c r="X1522" s="235">
        <f t="shared" ca="1" si="1095"/>
        <v>123.61800000000001</v>
      </c>
      <c r="Y1522" s="236">
        <f t="shared" si="1117"/>
        <v>66.319000000000003</v>
      </c>
      <c r="Z1522" s="237">
        <f t="shared" ca="1" si="1080"/>
        <v>7452.9292200000009</v>
      </c>
      <c r="AA1522" s="238"/>
      <c r="AB1522" s="233" t="str">
        <f>IF(B1522="insumo",_xlfn.XLOOKUP(S1522,Insumos!A:A,Insumos!D:D),"")</f>
        <v>Portobelo</v>
      </c>
      <c r="AC1522" s="239">
        <f t="shared" ca="1" si="1081"/>
        <v>1.0691906464889885E-3</v>
      </c>
      <c r="AE1522" s="240">
        <f ca="1">IFERROR(IF(OR(Z1522="",Z1522=0),"",IF(AF1522="","",IF(AF1522="R$/mês",Z1522/OBRA!$D$12,IF(AF1522="R$/m²",Z1522/OBRA!$D$10,IF(AF1522="R$/apto",Orçamento!Z1522/OBRA!$D$11,""))))),"")</f>
        <v>3.8353304652563005</v>
      </c>
      <c r="AF1522" s="241" t="s">
        <v>154</v>
      </c>
    </row>
    <row r="1523" spans="1:32" s="10" customFormat="1" ht="13.15" hidden="1" customHeight="1" outlineLevel="4" x14ac:dyDescent="0.2">
      <c r="A1523" s="227"/>
      <c r="B1523" s="228" t="s">
        <v>4</v>
      </c>
      <c r="C1523" s="229">
        <f t="shared" si="1079"/>
        <v>4</v>
      </c>
      <c r="D1523" s="227" t="str">
        <f t="shared" ref="D1523:D1528" ca="1" si="1118">IF(B1523="Unidade Construtiva",TEXT(F1523,"00"),IF(B1523="Célula Construtiva",TEXT(H1523,"00"),IF(B1523="Etapa",CONCATENATE(TEXT(H1523,"00"),".",TEXT(J1523,"000")),IF(B1523="Subetapa",CONCATENATE(TEXT(H1523,"00"),".",TEXT(J1523,"000"),".",TEXT(L1523,"000")),IF(B1523="Serviço",CONCATENATE(TEXT(H1523,"00"),".",TEXT(J1523,"000"),".",TEXT(L1523,"000"),".",TEXT(N1523,"000")),"")))))</f>
        <v>15.002.002.003</v>
      </c>
      <c r="E1523" s="228" t="str">
        <f t="shared" ref="E1523:E1528" ca="1" si="1119">IF(B1523="*","",IFERROR(IF(B1523="SERVIÇO",D1523,OFFSET(E1523,-1,0)),""))</f>
        <v>15.002.002.003</v>
      </c>
      <c r="F1523" s="230">
        <f ca="1">IF($B1523="UNIDADE CONSTRUTIVA",OFFSET(F1523,-1,0)+1,LARGE(F$10:F1522,1))</f>
        <v>2</v>
      </c>
      <c r="G1523" s="228" t="str">
        <f t="shared" ref="G1523:G1528" ca="1" si="1120">IF(B1523="*","",IF(B1523="UNIDADE CONSTRUTIVA",S1523,OFFSET(G1523,-1,0)))</f>
        <v xml:space="preserve">   GERENCIAMENTO EXECUTIVO</v>
      </c>
      <c r="H1523" s="230">
        <f t="shared" ref="H1523:H1528" ca="1" si="1121">IF(B1523="UNIDADE CONSTRUTIVA",0,IF(B1523="CÉLULA CONSTRUTIVA",OFFSET(H1523,-1,0)+1,OFFSET(H1523,-1,0)))</f>
        <v>15</v>
      </c>
      <c r="I1523" s="228" t="str">
        <f t="shared" ref="I1523:I1528" ca="1" si="1122">IF(B1523="*","",IF(B1523="CÉLULA CONSTRUTIVA",S1523,OFFSET(I1523,-1,0)))</f>
        <v xml:space="preserve">   PISOS E PAVIMENTAÇÕES</v>
      </c>
      <c r="J1523" s="230">
        <f t="shared" ref="J1523:J1528" ca="1" si="1123">IF(B1523="CÉLULA CONSTRUTIVA",0,IF(B1523="ETAPA",OFFSET(J1523,-1,0)+1,OFFSET(J1523,-1,0)))</f>
        <v>2</v>
      </c>
      <c r="K1523" s="228" t="str">
        <f t="shared" ref="K1523:K1528" ca="1" si="1124">IF(B1523="*","",IF(B1523="ETAPA",S1523,OFFSET(K1523,-1,0)))</f>
        <v xml:space="preserve">   PISOS E PAVIMENTAÇÕES - TÉRREO - 2º PAVIMENTO - TÉRREO</v>
      </c>
      <c r="L1523" s="231">
        <f t="shared" ref="L1523:L1528" ca="1" si="1125">IF(B1523="ETAPA",0,IF(B1523="SUBETAPA",OFFSET(L1523,-1,0)+1,OFFSET(L1523,-1,0)))</f>
        <v>2</v>
      </c>
      <c r="M1523" s="228" t="str">
        <f t="shared" ref="M1523:M1528" ca="1" si="1126">IF(B1523="*","",IF(B1523="SUBETAPA",S1523,OFFSET(M1523,-1,0)))</f>
        <v xml:space="preserve">   Acabamentos em Piso</v>
      </c>
      <c r="N1523" s="231">
        <f t="shared" ref="N1523:N1528" ca="1" si="1127">IF(B1523="Subetapa",0,IF(B1523="serviço",OFFSET(N1523,-1,0)+1,OFFSET(N1523,-1,0)))</f>
        <v>3</v>
      </c>
      <c r="O1523" s="228" t="str">
        <f t="shared" ref="O1523:O1528" ca="1" si="1128">IF(B1523="*","",IF(B1523="SERVIÇO",S1523,OFFSET(O1523,-1,0)))</f>
        <v>Revestimento interno de piso porcelanato placa 80x80cm - áreas Externas</v>
      </c>
      <c r="P1523" s="232" t="str">
        <f>IF(S1523="","",IF(Orçamento!$B1523="INSUMO",S1523,""))</f>
        <v/>
      </c>
      <c r="Q1523" s="244" t="str">
        <f t="shared" ref="Q1523:Q1528" si="1129">IF(B1523="","",IF(B1523="Serviço",S1523,""))</f>
        <v>Revestimento interno de piso porcelanato placa 80x80cm - áreas Externas</v>
      </c>
      <c r="R1523" s="234">
        <f t="shared" ref="R1523:R1528" ca="1" si="1130">IF(B1523="serviço",U1523,OFFSET(R1523,-1,0))</f>
        <v>104.58000000000001</v>
      </c>
      <c r="S1523" s="233" t="s">
        <v>1123</v>
      </c>
      <c r="T1523" s="242" t="s">
        <v>140</v>
      </c>
      <c r="U1523" s="235">
        <v>104.58000000000001</v>
      </c>
      <c r="V1523" s="320" t="s">
        <v>35</v>
      </c>
      <c r="W1523" s="236" t="str">
        <f>IFERROR(IF(B1523="INSUMO",_xlfn.XLOOKUP(S1523,Insumos!A:A,Insumos!C:C),""),"Inserir Preço")</f>
        <v/>
      </c>
      <c r="X1523" s="235">
        <f t="shared" ref="X1523:X1528" ca="1" si="1131">IF(B1523="Complemento do insumo",V1523,IF(R1523="","",IF(B1523="serviço",R1523,IF(OR(B1523="insumo"),V1523*R1523,""))))</f>
        <v>104.58000000000001</v>
      </c>
      <c r="Y1523" s="236">
        <f t="shared" ca="1" si="1117"/>
        <v>75.704999999999998</v>
      </c>
      <c r="Z1523" s="237">
        <f t="shared" ca="1" si="1080"/>
        <v>7917.228900000001</v>
      </c>
      <c r="AA1523" s="238"/>
      <c r="AB1523" s="233" t="str">
        <f>IF(B1523="insumo",_xlfn.XLOOKUP(S1523,Insumos!A:A,Insumos!D:D),"")</f>
        <v/>
      </c>
      <c r="AC1523" s="239">
        <f t="shared" ca="1" si="1081"/>
        <v>1.1357986687001306E-3</v>
      </c>
      <c r="AE1523" s="240">
        <f ca="1">IFERROR(IF(OR(Z1523="",Z1523=0),"",IF(AF1523="","",IF(AF1523="R$/mês",Z1523/OBRA!$D$12,IF(AF1523="R$/m²",Z1523/OBRA!$D$10,IF(AF1523="R$/apto",Orçamento!Z1523/OBRA!$D$11,""))))),"")</f>
        <v>4.0742623878799735</v>
      </c>
      <c r="AF1523" s="241" t="s">
        <v>154</v>
      </c>
    </row>
    <row r="1524" spans="1:32" s="10" customFormat="1" ht="13.15" hidden="1" customHeight="1" outlineLevel="4" x14ac:dyDescent="0.2">
      <c r="A1524" s="227"/>
      <c r="B1524" s="228" t="s">
        <v>19</v>
      </c>
      <c r="C1524" s="229">
        <f t="shared" si="1079"/>
        <v>23</v>
      </c>
      <c r="D1524" s="227" t="str">
        <f t="shared" si="1118"/>
        <v/>
      </c>
      <c r="E1524" s="228" t="str">
        <f t="shared" ca="1" si="1119"/>
        <v>15.002.002.003</v>
      </c>
      <c r="F1524" s="230">
        <f ca="1">IF($B1524="UNIDADE CONSTRUTIVA",OFFSET(F1524,-1,0)+1,LARGE(F$10:F1523,1))</f>
        <v>2</v>
      </c>
      <c r="G1524" s="228" t="str">
        <f t="shared" ca="1" si="1120"/>
        <v xml:space="preserve">   GERENCIAMENTO EXECUTIVO</v>
      </c>
      <c r="H1524" s="230">
        <f t="shared" ca="1" si="1121"/>
        <v>15</v>
      </c>
      <c r="I1524" s="228" t="str">
        <f t="shared" ca="1" si="1122"/>
        <v xml:space="preserve">   PISOS E PAVIMENTAÇÕES</v>
      </c>
      <c r="J1524" s="230">
        <f t="shared" ca="1" si="1123"/>
        <v>2</v>
      </c>
      <c r="K1524" s="228" t="str">
        <f t="shared" ca="1" si="1124"/>
        <v xml:space="preserve">   PISOS E PAVIMENTAÇÕES - TÉRREO - 2º PAVIMENTO - TÉRREO</v>
      </c>
      <c r="L1524" s="231">
        <f t="shared" ca="1" si="1125"/>
        <v>2</v>
      </c>
      <c r="M1524" s="228" t="str">
        <f t="shared" ca="1" si="1126"/>
        <v xml:space="preserve">   Acabamentos em Piso</v>
      </c>
      <c r="N1524" s="231">
        <f t="shared" ca="1" si="1127"/>
        <v>3</v>
      </c>
      <c r="O1524" s="228" t="str">
        <f t="shared" ca="1" si="1128"/>
        <v>Revestimento interno de piso porcelanato placa 80x80cm - áreas Externas</v>
      </c>
      <c r="P1524" s="232" t="str">
        <f>IF(S1524="","",IF(Orçamento!$B1524="INSUMO",S1524,""))</f>
        <v>ARGAMASSA COLANTE AC II</v>
      </c>
      <c r="Q1524" s="244" t="str">
        <f t="shared" si="1129"/>
        <v/>
      </c>
      <c r="R1524" s="234">
        <f t="shared" ca="1" si="1130"/>
        <v>104.58000000000001</v>
      </c>
      <c r="S1524" s="233" t="s">
        <v>314</v>
      </c>
      <c r="T1524" s="242" t="str">
        <f>_xlfn.XLOOKUP(S1524,Insumos!$A$3:$A$371,Insumos!$B$3:$B$371)</f>
        <v>KG</v>
      </c>
      <c r="U1524" s="235">
        <f t="shared" ref="U1524:U1529" ca="1" si="1132">IF($B1524="insumo",R1524,"")</f>
        <v>104.58000000000001</v>
      </c>
      <c r="V1524" s="320">
        <v>9</v>
      </c>
      <c r="W1524" s="236">
        <f>IFERROR(IF(B1524="INSUMO",_xlfn.XLOOKUP(S1524,Insumos!A:A,Insumos!C:C),""),"Inserir Preço")</f>
        <v>0.84000000000000008</v>
      </c>
      <c r="X1524" s="235">
        <f t="shared" ca="1" si="1131"/>
        <v>941.22000000000014</v>
      </c>
      <c r="Y1524" s="236">
        <f t="shared" si="1117"/>
        <v>7.5600000000000005</v>
      </c>
      <c r="Z1524" s="237">
        <f t="shared" ca="1" si="1080"/>
        <v>790.62480000000016</v>
      </c>
      <c r="AA1524" s="238"/>
      <c r="AB1524" s="233" t="str">
        <f>IF(B1524="insumo",_xlfn.XLOOKUP(S1524,Insumos!A:A,Insumos!D:D),"")</f>
        <v>Argabrus</v>
      </c>
      <c r="AC1524" s="239">
        <f t="shared" ca="1" si="1081"/>
        <v>1.1342233584800196E-4</v>
      </c>
      <c r="AE1524" s="240">
        <f ca="1">IFERROR(IF(OR(Z1524="",Z1524=0),"",IF(AF1524="","",IF(AF1524="R$/mês",Z1524/OBRA!$D$12,IF(AF1524="R$/m²",Z1524/OBRA!$D$10,IF(AF1524="R$/apto",Orçamento!Z1524/OBRA!$D$11,""))))),"")</f>
        <v>0.40686115385209171</v>
      </c>
      <c r="AF1524" s="241" t="s">
        <v>154</v>
      </c>
    </row>
    <row r="1525" spans="1:32" s="10" customFormat="1" ht="13.15" hidden="1" customHeight="1" outlineLevel="4" x14ac:dyDescent="0.2">
      <c r="A1525" s="227"/>
      <c r="B1525" s="228" t="s">
        <v>19</v>
      </c>
      <c r="C1525" s="229">
        <f t="shared" si="1079"/>
        <v>32</v>
      </c>
      <c r="D1525" s="227" t="str">
        <f t="shared" si="1118"/>
        <v/>
      </c>
      <c r="E1525" s="228" t="str">
        <f t="shared" ca="1" si="1119"/>
        <v>15.002.002.003</v>
      </c>
      <c r="F1525" s="230">
        <f ca="1">IF($B1525="UNIDADE CONSTRUTIVA",OFFSET(F1525,-1,0)+1,LARGE(F$10:F1524,1))</f>
        <v>2</v>
      </c>
      <c r="G1525" s="228" t="str">
        <f t="shared" ca="1" si="1120"/>
        <v xml:space="preserve">   GERENCIAMENTO EXECUTIVO</v>
      </c>
      <c r="H1525" s="230">
        <f t="shared" ca="1" si="1121"/>
        <v>15</v>
      </c>
      <c r="I1525" s="228" t="str">
        <f t="shared" ca="1" si="1122"/>
        <v xml:space="preserve">   PISOS E PAVIMENTAÇÕES</v>
      </c>
      <c r="J1525" s="230">
        <f t="shared" ca="1" si="1123"/>
        <v>2</v>
      </c>
      <c r="K1525" s="228" t="str">
        <f t="shared" ca="1" si="1124"/>
        <v xml:space="preserve">   PISOS E PAVIMENTAÇÕES - TÉRREO - 2º PAVIMENTO - TÉRREO</v>
      </c>
      <c r="L1525" s="231">
        <f t="shared" ca="1" si="1125"/>
        <v>2</v>
      </c>
      <c r="M1525" s="228" t="str">
        <f t="shared" ca="1" si="1126"/>
        <v xml:space="preserve">   Acabamentos em Piso</v>
      </c>
      <c r="N1525" s="231">
        <f t="shared" ca="1" si="1127"/>
        <v>3</v>
      </c>
      <c r="O1525" s="228" t="str">
        <f t="shared" ca="1" si="1128"/>
        <v>Revestimento interno de piso porcelanato placa 80x80cm - áreas Externas</v>
      </c>
      <c r="P1525" s="232" t="str">
        <f>IF(S1525="","",IF(Orçamento!$B1525="INSUMO",S1525,""))</f>
        <v>REJUNTE FLEXIVEL CIMENTICIO TIPO II NBR 14992</v>
      </c>
      <c r="Q1525" s="244" t="str">
        <f t="shared" si="1129"/>
        <v/>
      </c>
      <c r="R1525" s="234">
        <f t="shared" ca="1" si="1130"/>
        <v>104.58000000000001</v>
      </c>
      <c r="S1525" s="233" t="s">
        <v>734</v>
      </c>
      <c r="T1525" s="242" t="str">
        <f>_xlfn.XLOOKUP(S1525,Insumos!$A$3:$A$371,Insumos!$B$3:$B$371)</f>
        <v>KG</v>
      </c>
      <c r="U1525" s="235">
        <f t="shared" ca="1" si="1132"/>
        <v>104.58000000000001</v>
      </c>
      <c r="V1525" s="320">
        <v>0.13</v>
      </c>
      <c r="W1525" s="236">
        <f>IFERROR(IF(B1525="INSUMO",_xlfn.XLOOKUP(S1525,Insumos!A:A,Insumos!C:C),""),"Inserir Preço")</f>
        <v>4.2</v>
      </c>
      <c r="X1525" s="235">
        <f t="shared" ca="1" si="1131"/>
        <v>13.595400000000001</v>
      </c>
      <c r="Y1525" s="236">
        <f t="shared" si="1117"/>
        <v>0.54600000000000004</v>
      </c>
      <c r="Z1525" s="237">
        <f t="shared" ca="1" si="1080"/>
        <v>57.100680000000011</v>
      </c>
      <c r="AA1525" s="238"/>
      <c r="AB1525" s="233" t="str">
        <f>IF(B1525="insumo",_xlfn.XLOOKUP(S1525,Insumos!A:A,Insumos!D:D),"")</f>
        <v>Distribuidora Sika</v>
      </c>
      <c r="AC1525" s="239">
        <f t="shared" ca="1" si="1081"/>
        <v>8.1916131445779194E-6</v>
      </c>
      <c r="AE1525" s="240">
        <f ca="1">IFERROR(IF(OR(Z1525="",Z1525=0),"",IF(AF1525="","",IF(AF1525="R$/mês",Z1525/OBRA!$D$12,IF(AF1525="R$/m²",Z1525/OBRA!$D$10,IF(AF1525="R$/apto",Orçamento!Z1525/OBRA!$D$11,""))))),"")</f>
        <v>2.9384416667095511E-2</v>
      </c>
      <c r="AF1525" s="241" t="s">
        <v>154</v>
      </c>
    </row>
    <row r="1526" spans="1:32" s="10" customFormat="1" ht="13.15" hidden="1" customHeight="1" outlineLevel="4" x14ac:dyDescent="0.2">
      <c r="A1526" s="227"/>
      <c r="B1526" s="228" t="s">
        <v>19</v>
      </c>
      <c r="C1526" s="229">
        <f t="shared" si="1079"/>
        <v>14</v>
      </c>
      <c r="D1526" s="227" t="str">
        <f t="shared" si="1118"/>
        <v/>
      </c>
      <c r="E1526" s="228" t="str">
        <f t="shared" ca="1" si="1119"/>
        <v>15.002.002.003</v>
      </c>
      <c r="F1526" s="230">
        <f ca="1">IF($B1526="UNIDADE CONSTRUTIVA",OFFSET(F1526,-1,0)+1,LARGE(F$10:F1525,1))</f>
        <v>2</v>
      </c>
      <c r="G1526" s="228" t="str">
        <f t="shared" ca="1" si="1120"/>
        <v xml:space="preserve">   GERENCIAMENTO EXECUTIVO</v>
      </c>
      <c r="H1526" s="230">
        <f t="shared" ca="1" si="1121"/>
        <v>15</v>
      </c>
      <c r="I1526" s="228" t="str">
        <f t="shared" ca="1" si="1122"/>
        <v xml:space="preserve">   PISOS E PAVIMENTAÇÕES</v>
      </c>
      <c r="J1526" s="230">
        <f t="shared" ca="1" si="1123"/>
        <v>2</v>
      </c>
      <c r="K1526" s="228" t="str">
        <f t="shared" ca="1" si="1124"/>
        <v xml:space="preserve">   PISOS E PAVIMENTAÇÕES - TÉRREO - 2º PAVIMENTO - TÉRREO</v>
      </c>
      <c r="L1526" s="231">
        <f t="shared" ca="1" si="1125"/>
        <v>2</v>
      </c>
      <c r="M1526" s="228" t="str">
        <f t="shared" ca="1" si="1126"/>
        <v xml:space="preserve">   Acabamentos em Piso</v>
      </c>
      <c r="N1526" s="231">
        <f t="shared" ca="1" si="1127"/>
        <v>3</v>
      </c>
      <c r="O1526" s="228" t="str">
        <f t="shared" ca="1" si="1128"/>
        <v>Revestimento interno de piso porcelanato placa 80x80cm - áreas Externas</v>
      </c>
      <c r="P1526" s="232" t="str">
        <f>IF(S1526="","",IF(Orçamento!$B1526="INSUMO",S1526,""))</f>
        <v>CUNHA PVC P/NIVELAMENTO PISO NBR 6118</v>
      </c>
      <c r="Q1526" s="244" t="str">
        <f t="shared" si="1129"/>
        <v/>
      </c>
      <c r="R1526" s="234">
        <f t="shared" ca="1" si="1130"/>
        <v>104.58000000000001</v>
      </c>
      <c r="S1526" s="233" t="s">
        <v>717</v>
      </c>
      <c r="T1526" s="242" t="str">
        <f>_xlfn.XLOOKUP(S1526,Insumos!$A$3:$A$371,Insumos!$B$3:$B$371)</f>
        <v>UN</v>
      </c>
      <c r="U1526" s="235">
        <f t="shared" ca="1" si="1132"/>
        <v>104.58000000000001</v>
      </c>
      <c r="V1526" s="320">
        <v>2</v>
      </c>
      <c r="W1526" s="236">
        <f>IFERROR(IF(B1526="INSUMO",_xlfn.XLOOKUP(S1526,Insumos!A:A,Insumos!C:C),""),"Inserir Preço")</f>
        <v>0.2</v>
      </c>
      <c r="X1526" s="235">
        <f t="shared" ca="1" si="1131"/>
        <v>209.16000000000003</v>
      </c>
      <c r="Y1526" s="236">
        <f t="shared" si="1117"/>
        <v>0.4</v>
      </c>
      <c r="Z1526" s="237">
        <f t="shared" ca="1" si="1080"/>
        <v>41.832000000000008</v>
      </c>
      <c r="AA1526" s="238"/>
      <c r="AB1526" s="233" t="str">
        <f>IF(B1526="insumo",_xlfn.XLOOKUP(S1526,Insumos!A:A,Insumos!D:D),"")</f>
        <v>Base de Dados</v>
      </c>
      <c r="AC1526" s="239">
        <f t="shared" ca="1" si="1081"/>
        <v>6.001181790899574E-6</v>
      </c>
      <c r="AE1526" s="240">
        <f ca="1">IFERROR(IF(OR(Z1526="",Z1526=0),"",IF(AF1526="","",IF(AF1526="R$/mês",Z1526/OBRA!$D$12,IF(AF1526="R$/m²",Z1526/OBRA!$D$10,IF(AF1526="R$/apto",Orçamento!Z1526/OBRA!$D$11,""))))),"")</f>
        <v>2.1527045177359348E-2</v>
      </c>
      <c r="AF1526" s="241" t="s">
        <v>154</v>
      </c>
    </row>
    <row r="1527" spans="1:32" s="10" customFormat="1" ht="13.15" hidden="1" customHeight="1" outlineLevel="4" x14ac:dyDescent="0.2">
      <c r="A1527" s="227"/>
      <c r="B1527" s="228" t="s">
        <v>19</v>
      </c>
      <c r="C1527" s="229">
        <f t="shared" si="1079"/>
        <v>14</v>
      </c>
      <c r="D1527" s="227" t="str">
        <f t="shared" si="1118"/>
        <v/>
      </c>
      <c r="E1527" s="228" t="str">
        <f t="shared" ca="1" si="1119"/>
        <v>15.002.002.003</v>
      </c>
      <c r="F1527" s="230">
        <f ca="1">IF($B1527="UNIDADE CONSTRUTIVA",OFFSET(F1527,-1,0)+1,LARGE(F$10:F1526,1))</f>
        <v>2</v>
      </c>
      <c r="G1527" s="228" t="str">
        <f t="shared" ca="1" si="1120"/>
        <v xml:space="preserve">   GERENCIAMENTO EXECUTIVO</v>
      </c>
      <c r="H1527" s="230">
        <f t="shared" ca="1" si="1121"/>
        <v>15</v>
      </c>
      <c r="I1527" s="228" t="str">
        <f t="shared" ca="1" si="1122"/>
        <v xml:space="preserve">   PISOS E PAVIMENTAÇÕES</v>
      </c>
      <c r="J1527" s="230">
        <f t="shared" ca="1" si="1123"/>
        <v>2</v>
      </c>
      <c r="K1527" s="228" t="str">
        <f t="shared" ca="1" si="1124"/>
        <v xml:space="preserve">   PISOS E PAVIMENTAÇÕES - TÉRREO - 2º PAVIMENTO - TÉRREO</v>
      </c>
      <c r="L1527" s="231">
        <f t="shared" ca="1" si="1125"/>
        <v>2</v>
      </c>
      <c r="M1527" s="228" t="str">
        <f t="shared" ca="1" si="1126"/>
        <v xml:space="preserve">   Acabamentos em Piso</v>
      </c>
      <c r="N1527" s="231">
        <f t="shared" ca="1" si="1127"/>
        <v>3</v>
      </c>
      <c r="O1527" s="228" t="str">
        <f t="shared" ca="1" si="1128"/>
        <v>Revestimento interno de piso porcelanato placa 80x80cm - áreas Externas</v>
      </c>
      <c r="P1527" s="232" t="str">
        <f>IF(S1527="","",IF(Orçamento!$B1527="INSUMO",S1527,""))</f>
        <v>ESPACADOR PVC NIVELAMENTO REVESTIMENTO 1,0MM NBR 6118</v>
      </c>
      <c r="Q1527" s="244" t="str">
        <f t="shared" si="1129"/>
        <v/>
      </c>
      <c r="R1527" s="234">
        <f t="shared" ca="1" si="1130"/>
        <v>104.58000000000001</v>
      </c>
      <c r="S1527" s="233" t="s">
        <v>715</v>
      </c>
      <c r="T1527" s="242" t="str">
        <f>_xlfn.XLOOKUP(S1527,Insumos!$A$3:$A$371,Insumos!$B$3:$B$371)</f>
        <v>UN</v>
      </c>
      <c r="U1527" s="235">
        <f t="shared" ca="1" si="1132"/>
        <v>104.58000000000001</v>
      </c>
      <c r="V1527" s="320">
        <v>4</v>
      </c>
      <c r="W1527" s="236">
        <f>IFERROR(IF(B1527="INSUMO",_xlfn.XLOOKUP(S1527,Insumos!A:A,Insumos!C:C),""),"Inserir Preço")</f>
        <v>0.22</v>
      </c>
      <c r="X1527" s="235">
        <f t="shared" ca="1" si="1131"/>
        <v>418.32000000000005</v>
      </c>
      <c r="Y1527" s="236">
        <f t="shared" si="1117"/>
        <v>0.88</v>
      </c>
      <c r="Z1527" s="237">
        <f t="shared" ca="1" si="1080"/>
        <v>92.030400000000014</v>
      </c>
      <c r="AA1527" s="238"/>
      <c r="AB1527" s="233" t="str">
        <f>IF(B1527="insumo",_xlfn.XLOOKUP(S1527,Insumos!A:A,Insumos!D:D),"")</f>
        <v>Base de Dados</v>
      </c>
      <c r="AC1527" s="239">
        <f t="shared" ca="1" si="1081"/>
        <v>1.3202599939979062E-5</v>
      </c>
      <c r="AE1527" s="240">
        <f ca="1">IFERROR(IF(OR(Z1527="",Z1527=0),"",IF(AF1527="","",IF(AF1527="R$/mês",Z1527/OBRA!$D$12,IF(AF1527="R$/m²",Z1527/OBRA!$D$10,IF(AF1527="R$/apto",Orçamento!Z1527/OBRA!$D$11,""))))),"")</f>
        <v>4.7359499390190567E-2</v>
      </c>
      <c r="AF1527" s="241" t="s">
        <v>154</v>
      </c>
    </row>
    <row r="1528" spans="1:32" s="10" customFormat="1" ht="13.15" hidden="1" customHeight="1" outlineLevel="4" x14ac:dyDescent="0.2">
      <c r="A1528" s="227"/>
      <c r="B1528" s="228" t="s">
        <v>19</v>
      </c>
      <c r="C1528" s="229">
        <f t="shared" si="1079"/>
        <v>7</v>
      </c>
      <c r="D1528" s="227" t="str">
        <f t="shared" si="1118"/>
        <v/>
      </c>
      <c r="E1528" s="228" t="str">
        <f t="shared" ca="1" si="1119"/>
        <v>15.002.002.003</v>
      </c>
      <c r="F1528" s="230">
        <f ca="1">IF($B1528="UNIDADE CONSTRUTIVA",OFFSET(F1528,-1,0)+1,LARGE(F$10:F1527,1))</f>
        <v>2</v>
      </c>
      <c r="G1528" s="228" t="str">
        <f t="shared" ca="1" si="1120"/>
        <v xml:space="preserve">   GERENCIAMENTO EXECUTIVO</v>
      </c>
      <c r="H1528" s="230">
        <f t="shared" ca="1" si="1121"/>
        <v>15</v>
      </c>
      <c r="I1528" s="228" t="str">
        <f t="shared" ca="1" si="1122"/>
        <v xml:space="preserve">   PISOS E PAVIMENTAÇÕES</v>
      </c>
      <c r="J1528" s="230">
        <f t="shared" ca="1" si="1123"/>
        <v>2</v>
      </c>
      <c r="K1528" s="228" t="str">
        <f t="shared" ca="1" si="1124"/>
        <v xml:space="preserve">   PISOS E PAVIMENTAÇÕES - TÉRREO - 2º PAVIMENTO - TÉRREO</v>
      </c>
      <c r="L1528" s="231">
        <f t="shared" ca="1" si="1125"/>
        <v>2</v>
      </c>
      <c r="M1528" s="228" t="str">
        <f t="shared" ca="1" si="1126"/>
        <v xml:space="preserve">   Acabamentos em Piso</v>
      </c>
      <c r="N1528" s="231">
        <f t="shared" ca="1" si="1127"/>
        <v>3</v>
      </c>
      <c r="O1528" s="228" t="str">
        <f t="shared" ca="1" si="1128"/>
        <v>Revestimento interno de piso porcelanato placa 80x80cm - áreas Externas</v>
      </c>
      <c r="P1528" s="232" t="str">
        <f>IF(S1528="","",IF(Orçamento!$B1528="INSUMO",S1528,""))</f>
        <v>REVESTIMENTO - HIT GRIS 80X80 EXT RET</v>
      </c>
      <c r="Q1528" s="244" t="str">
        <f t="shared" si="1129"/>
        <v/>
      </c>
      <c r="R1528" s="234">
        <f t="shared" ca="1" si="1130"/>
        <v>104.58000000000001</v>
      </c>
      <c r="S1528" s="233" t="s">
        <v>910</v>
      </c>
      <c r="T1528" s="242" t="str">
        <f>_xlfn.XLOOKUP(S1528,Insumos!$A$3:$A$371,Insumos!$B$3:$B$371)</f>
        <v>M2</v>
      </c>
      <c r="U1528" s="235">
        <f t="shared" ca="1" si="1132"/>
        <v>104.58000000000001</v>
      </c>
      <c r="V1528" s="320">
        <v>1.1000000000000001</v>
      </c>
      <c r="W1528" s="236">
        <f>IFERROR(IF(B1528="INSUMO",_xlfn.XLOOKUP(S1528,Insumos!A:A,Insumos!C:C),""),"Inserir Preço")</f>
        <v>60.29</v>
      </c>
      <c r="X1528" s="235">
        <f t="shared" ca="1" si="1131"/>
        <v>115.03800000000003</v>
      </c>
      <c r="Y1528" s="236">
        <f t="shared" si="1117"/>
        <v>66.319000000000003</v>
      </c>
      <c r="Z1528" s="237">
        <f t="shared" ca="1" si="1080"/>
        <v>6935.6410200000018</v>
      </c>
      <c r="AA1528" s="238"/>
      <c r="AB1528" s="233" t="str">
        <f>IF(B1528="insumo",_xlfn.XLOOKUP(S1528,Insumos!A:A,Insumos!D:D),"")</f>
        <v>Portobelo</v>
      </c>
      <c r="AC1528" s="239">
        <f t="shared" ca="1" si="1081"/>
        <v>9.9498093797667215E-4</v>
      </c>
      <c r="AE1528" s="240">
        <f ca="1">IFERROR(IF(OR(Z1528="",Z1528=0),"",IF(AF1528="","",IF(AF1528="R$/mês",Z1528/OBRA!$D$12,IF(AF1528="R$/m²",Z1528/OBRA!$D$10,IF(AF1528="R$/apto",Orçamento!Z1528/OBRA!$D$11,""))))),"")</f>
        <v>3.5691302727932368</v>
      </c>
      <c r="AF1528" s="241" t="s">
        <v>154</v>
      </c>
    </row>
    <row r="1529" spans="1:32" s="10" customFormat="1" ht="13.15" hidden="1" customHeight="1" outlineLevel="3" collapsed="1" x14ac:dyDescent="0.2">
      <c r="A1529" s="227"/>
      <c r="B1529" s="228" t="s">
        <v>3</v>
      </c>
      <c r="C1529" s="229" t="str">
        <f t="shared" si="1079"/>
        <v/>
      </c>
      <c r="D1529" s="227" t="str">
        <f ca="1">IF(B1529="Unidade Construtiva",TEXT(F1529,"00"),IF(B1529="Célula Construtiva",TEXT(H1529,"00"),IF(B1529="Etapa",CONCATENATE(TEXT(H1529,"00"),".",TEXT(J1529,"000")),IF(B1529="Subetapa",CONCATENATE(TEXT(H1529,"00"),".",TEXT(J1529,"000"),".",TEXT(L1529,"000")),IF(B1529="Serviço",CONCATENATE(TEXT(H1529,"00"),".",TEXT(J1529,"000"),".",TEXT(L1529,"000"),".",TEXT(N1529,"000")),"")))))</f>
        <v>15.002.003</v>
      </c>
      <c r="E1529" s="228" t="str">
        <f ca="1">IF(B1529="*","",IFERROR(IF(B1529="SERVIÇO",D1529,OFFSET(E1529,-1,0)),""))</f>
        <v>15.002.002.003</v>
      </c>
      <c r="F1529" s="230">
        <f ca="1">IF($B1529="UNIDADE CONSTRUTIVA",OFFSET(F1529,-1,0)+1,LARGE(F$10:F1528,1))</f>
        <v>2</v>
      </c>
      <c r="G1529" s="228" t="str">
        <f t="shared" ref="G1529:G1565" ca="1" si="1133">IF(B1529="*","",IF(B1529="UNIDADE CONSTRUTIVA",S1529,OFFSET(G1529,-1,0)))</f>
        <v xml:space="preserve">   GERENCIAMENTO EXECUTIVO</v>
      </c>
      <c r="H1529" s="230">
        <f ca="1">IF(B1529="UNIDADE CONSTRUTIVA",0,IF(B1529="CÉLULA CONSTRUTIVA",OFFSET(H1529,-1,0)+1,OFFSET(H1529,-1,0)))</f>
        <v>15</v>
      </c>
      <c r="I1529" s="228" t="str">
        <f t="shared" ref="I1529:I1565" ca="1" si="1134">IF(B1529="*","",IF(B1529="CÉLULA CONSTRUTIVA",S1529,OFFSET(I1529,-1,0)))</f>
        <v xml:space="preserve">   PISOS E PAVIMENTAÇÕES</v>
      </c>
      <c r="J1529" s="230">
        <f ca="1">IF(B1529="CÉLULA CONSTRUTIVA",0,IF(B1529="ETAPA",OFFSET(J1529,-1,0)+1,OFFSET(J1529,-1,0)))</f>
        <v>2</v>
      </c>
      <c r="K1529" s="228" t="str">
        <f t="shared" ref="K1529:K1565" ca="1" si="1135">IF(B1529="*","",IF(B1529="ETAPA",S1529,OFFSET(K1529,-1,0)))</f>
        <v xml:space="preserve">   PISOS E PAVIMENTAÇÕES - TÉRREO - 2º PAVIMENTO - TÉRREO</v>
      </c>
      <c r="L1529" s="231">
        <f ca="1">IF(B1529="ETAPA",0,IF(B1529="SUBETAPA",OFFSET(L1529,-1,0)+1,OFFSET(L1529,-1,0)))</f>
        <v>3</v>
      </c>
      <c r="M1529" s="228" t="str">
        <f t="shared" ref="M1529:M1565" ca="1" si="1136">IF(B1529="*","",IF(B1529="SUBETAPA",S1529,OFFSET(M1529,-1,0)))</f>
        <v xml:space="preserve">   Rodapés</v>
      </c>
      <c r="N1529" s="231">
        <f ca="1">IF(B1529="Subetapa",0,IF(B1529="serviço",OFFSET(N1529,-1,0)+1,OFFSET(N1529,-1,0)))</f>
        <v>0</v>
      </c>
      <c r="O1529" s="228" t="str">
        <f t="shared" ref="O1529:O1565" ca="1" si="1137">IF(B1529="*","",IF(B1529="SERVIÇO",S1529,OFFSET(O1529,-1,0)))</f>
        <v>Revestimento interno de piso porcelanato placa 80x80cm - áreas Externas</v>
      </c>
      <c r="P1529" s="232" t="str">
        <f>IF(S1529="","",IF(Orçamento!$B1529="INSUMO",S1529,""))</f>
        <v/>
      </c>
      <c r="Q1529" s="244" t="str">
        <f>IF(B1529="","",IF(B1529="Serviço",S1529,""))</f>
        <v/>
      </c>
      <c r="R1529" s="234">
        <f t="shared" ref="R1529:R1565" ca="1" si="1138">IF(B1529="serviço",U1529,OFFSET(R1529,-1,0))</f>
        <v>104.58000000000001</v>
      </c>
      <c r="S1529" s="233" t="s">
        <v>489</v>
      </c>
      <c r="T1529" s="242" t="s">
        <v>35</v>
      </c>
      <c r="U1529" s="235" t="str">
        <f t="shared" si="1132"/>
        <v/>
      </c>
      <c r="V1529" s="320" t="s">
        <v>35</v>
      </c>
      <c r="W1529" s="236" t="str">
        <f>IFERROR(IF(B1529="INSUMO",_xlfn.XLOOKUP(S1529,Insumos!A:A,Insumos!C:C),""),"Inserir Preço")</f>
        <v/>
      </c>
      <c r="X1529" s="235" t="str">
        <f t="shared" ref="X1529:X1565" ca="1" si="1139">IF(B1529="Complemento do insumo",V1529,IF(R1529="","",IF(B1529="serviço",R1529,IF(OR(B1529="insumo"),V1529*R1529,""))))</f>
        <v/>
      </c>
      <c r="Y1529" s="236" t="str">
        <f t="shared" si="1117"/>
        <v/>
      </c>
      <c r="Z1529" s="237">
        <f t="shared" ca="1" si="1080"/>
        <v>6693.0003147000007</v>
      </c>
      <c r="AA1529" s="238"/>
      <c r="AB1529" s="233" t="str">
        <f>IF(B1529="insumo",_xlfn.XLOOKUP(S1529,Insumos!A:A,Insumos!D:D),"")</f>
        <v/>
      </c>
      <c r="AC1529" s="239">
        <f t="shared" ca="1" si="1081"/>
        <v>9.6017191659645141E-4</v>
      </c>
      <c r="AE1529" s="240">
        <f ca="1">IFERROR(IF(OR(Z1529="",Z1529=0),"",IF(AF1529="","",IF(AF1529="R$/mês",Z1529/OBRA!$D$12,IF(AF1529="R$/m²",Z1529/OBRA!$D$10,IF(AF1529="R$/apto",Orçamento!Z1529/OBRA!$D$11,""))))),"")</f>
        <v>3.4442656374695741</v>
      </c>
      <c r="AF1529" s="241" t="s">
        <v>154</v>
      </c>
    </row>
    <row r="1530" spans="1:32" s="10" customFormat="1" ht="13.15" hidden="1" customHeight="1" outlineLevel="4" x14ac:dyDescent="0.2">
      <c r="A1530" s="227"/>
      <c r="B1530" s="228" t="s">
        <v>4</v>
      </c>
      <c r="C1530" s="229">
        <f t="shared" si="1079"/>
        <v>2</v>
      </c>
      <c r="D1530" s="227" t="str">
        <f t="shared" ref="D1530:D1539" ca="1" si="1140">IF(B1530="Unidade Construtiva",TEXT(F1530,"00"),IF(B1530="Célula Construtiva",TEXT(H1530,"00"),IF(B1530="Etapa",CONCATENATE(TEXT(H1530,"00"),".",TEXT(J1530,"000")),IF(B1530="Subetapa",CONCATENATE(TEXT(H1530,"00"),".",TEXT(J1530,"000"),".",TEXT(L1530,"000")),IF(B1530="Serviço",CONCATENATE(TEXT(H1530,"00"),".",TEXT(J1530,"000"),".",TEXT(L1530,"000"),".",TEXT(N1530,"000")),"")))))</f>
        <v>15.002.003.001</v>
      </c>
      <c r="E1530" s="228" t="str">
        <f t="shared" ref="E1530:E1539" ca="1" si="1141">IF(B1530="*","",IFERROR(IF(B1530="SERVIÇO",D1530,OFFSET(E1530,-1,0)),""))</f>
        <v>15.002.003.001</v>
      </c>
      <c r="F1530" s="230">
        <f ca="1">IF($B1530="UNIDADE CONSTRUTIVA",OFFSET(F1530,-1,0)+1,LARGE(F$10:F1529,1))</f>
        <v>2</v>
      </c>
      <c r="G1530" s="228" t="str">
        <f t="shared" ca="1" si="1133"/>
        <v xml:space="preserve">   GERENCIAMENTO EXECUTIVO</v>
      </c>
      <c r="H1530" s="230">
        <f t="shared" ref="H1530:H1539" ca="1" si="1142">IF(B1530="UNIDADE CONSTRUTIVA",0,IF(B1530="CÉLULA CONSTRUTIVA",OFFSET(H1530,-1,0)+1,OFFSET(H1530,-1,0)))</f>
        <v>15</v>
      </c>
      <c r="I1530" s="228" t="str">
        <f t="shared" ca="1" si="1134"/>
        <v xml:space="preserve">   PISOS E PAVIMENTAÇÕES</v>
      </c>
      <c r="J1530" s="230">
        <f t="shared" ref="J1530:J1539" ca="1" si="1143">IF(B1530="CÉLULA CONSTRUTIVA",0,IF(B1530="ETAPA",OFFSET(J1530,-1,0)+1,OFFSET(J1530,-1,0)))</f>
        <v>2</v>
      </c>
      <c r="K1530" s="228" t="str">
        <f t="shared" ca="1" si="1135"/>
        <v xml:space="preserve">   PISOS E PAVIMENTAÇÕES - TÉRREO - 2º PAVIMENTO - TÉRREO</v>
      </c>
      <c r="L1530" s="231">
        <f t="shared" ref="L1530:L1539" ca="1" si="1144">IF(B1530="ETAPA",0,IF(B1530="SUBETAPA",OFFSET(L1530,-1,0)+1,OFFSET(L1530,-1,0)))</f>
        <v>3</v>
      </c>
      <c r="M1530" s="228" t="str">
        <f t="shared" ca="1" si="1136"/>
        <v xml:space="preserve">   Rodapés</v>
      </c>
      <c r="N1530" s="231">
        <f t="shared" ref="N1530:N1539" ca="1" si="1145">IF(B1530="Subetapa",0,IF(B1530="serviço",OFFSET(N1530,-1,0)+1,OFFSET(N1530,-1,0)))</f>
        <v>1</v>
      </c>
      <c r="O1530" s="228" t="str">
        <f t="shared" ca="1" si="1137"/>
        <v>Revestimento interno de Rodapé Cerâmico h=0,30cm</v>
      </c>
      <c r="P1530" s="232" t="str">
        <f>IF(S1530="","",IF(Orçamento!$B1530="INSUMO",S1530,""))</f>
        <v/>
      </c>
      <c r="Q1530" s="244" t="str">
        <f t="shared" ref="Q1530:Q1539" si="1146">IF(B1530="","",IF(B1530="Serviço",S1530,""))</f>
        <v>Revestimento interno de Rodapé Cerâmico h=0,30cm</v>
      </c>
      <c r="R1530" s="234">
        <f t="shared" ca="1" si="1138"/>
        <v>47.85</v>
      </c>
      <c r="S1530" s="233" t="s">
        <v>1107</v>
      </c>
      <c r="T1530" s="242" t="s">
        <v>158</v>
      </c>
      <c r="U1530" s="235">
        <v>47.85</v>
      </c>
      <c r="V1530" s="320" t="s">
        <v>35</v>
      </c>
      <c r="W1530" s="236" t="str">
        <f>IFERROR(IF(B1530="INSUMO",_xlfn.XLOOKUP(S1530,Insumos!A:A,Insumos!C:C),""),"Inserir Preço")</f>
        <v/>
      </c>
      <c r="X1530" s="235">
        <f t="shared" ca="1" si="1139"/>
        <v>47.85</v>
      </c>
      <c r="Y1530" s="236">
        <f t="shared" ca="1" si="1117"/>
        <v>17.608499999999999</v>
      </c>
      <c r="Z1530" s="237">
        <f t="shared" ca="1" si="1080"/>
        <v>842.56672500000002</v>
      </c>
      <c r="AA1530" s="238"/>
      <c r="AB1530" s="233" t="str">
        <f>IF(B1530="insumo",_xlfn.XLOOKUP(S1530,Insumos!A:A,Insumos!D:D),"")</f>
        <v/>
      </c>
      <c r="AC1530" s="239">
        <f t="shared" ca="1" si="1081"/>
        <v>1.2087387855440543E-4</v>
      </c>
      <c r="AE1530" s="240">
        <f ca="1">IFERROR(IF(OR(Z1530="",Z1530=0),"",IF(AF1530="","",IF(AF1530="R$/mês",Z1530/OBRA!$D$12,IF(AF1530="R$/m²",Z1530/OBRA!$D$10,IF(AF1530="R$/apto",Orçamento!Z1530/OBRA!$D$11,""))))),"")</f>
        <v>0.43359083844938584</v>
      </c>
      <c r="AF1530" s="241" t="s">
        <v>154</v>
      </c>
    </row>
    <row r="1531" spans="1:32" s="10" customFormat="1" ht="13.15" hidden="1" customHeight="1" outlineLevel="4" x14ac:dyDescent="0.2">
      <c r="A1531" s="227"/>
      <c r="B1531" s="228" t="s">
        <v>19</v>
      </c>
      <c r="C1531" s="229">
        <f t="shared" si="1079"/>
        <v>23</v>
      </c>
      <c r="D1531" s="227" t="str">
        <f t="shared" si="1140"/>
        <v/>
      </c>
      <c r="E1531" s="228" t="str">
        <f t="shared" ca="1" si="1141"/>
        <v>15.002.003.001</v>
      </c>
      <c r="F1531" s="230">
        <f ca="1">IF($B1531="UNIDADE CONSTRUTIVA",OFFSET(F1531,-1,0)+1,LARGE(F$10:F1530,1))</f>
        <v>2</v>
      </c>
      <c r="G1531" s="228" t="str">
        <f t="shared" ca="1" si="1133"/>
        <v xml:space="preserve">   GERENCIAMENTO EXECUTIVO</v>
      </c>
      <c r="H1531" s="230">
        <f t="shared" ca="1" si="1142"/>
        <v>15</v>
      </c>
      <c r="I1531" s="228" t="str">
        <f t="shared" ca="1" si="1134"/>
        <v xml:space="preserve">   PISOS E PAVIMENTAÇÕES</v>
      </c>
      <c r="J1531" s="230">
        <f t="shared" ca="1" si="1143"/>
        <v>2</v>
      </c>
      <c r="K1531" s="228" t="str">
        <f t="shared" ca="1" si="1135"/>
        <v xml:space="preserve">   PISOS E PAVIMENTAÇÕES - TÉRREO - 2º PAVIMENTO - TÉRREO</v>
      </c>
      <c r="L1531" s="231">
        <f t="shared" ca="1" si="1144"/>
        <v>3</v>
      </c>
      <c r="M1531" s="228" t="str">
        <f t="shared" ca="1" si="1136"/>
        <v xml:space="preserve">   Rodapés</v>
      </c>
      <c r="N1531" s="231">
        <f t="shared" ca="1" si="1145"/>
        <v>1</v>
      </c>
      <c r="O1531" s="228" t="str">
        <f t="shared" ca="1" si="1137"/>
        <v>Revestimento interno de Rodapé Cerâmico h=0,30cm</v>
      </c>
      <c r="P1531" s="232" t="str">
        <f>IF(S1531="","",IF(Orçamento!$B1531="INSUMO",S1531,""))</f>
        <v>ARGAMASSA COLANTE AC II</v>
      </c>
      <c r="Q1531" s="244" t="str">
        <f t="shared" si="1146"/>
        <v/>
      </c>
      <c r="R1531" s="234">
        <f t="shared" ca="1" si="1138"/>
        <v>47.85</v>
      </c>
      <c r="S1531" s="233" t="s">
        <v>314</v>
      </c>
      <c r="T1531" s="242" t="str">
        <f>_xlfn.XLOOKUP(S1531,Insumos!$A$3:$A$371,Insumos!$B$3:$B$371)</f>
        <v>KG</v>
      </c>
      <c r="U1531" s="235">
        <f ca="1">IF($B1531="insumo",R1531,"")</f>
        <v>47.85</v>
      </c>
      <c r="V1531" s="320">
        <f>ROUNDUP(9*0.3,4)</f>
        <v>2.7</v>
      </c>
      <c r="W1531" s="236">
        <f>IFERROR(IF(B1531="INSUMO",_xlfn.XLOOKUP(S1531,Insumos!A:A,Insumos!C:C),""),"Inserir Preço")</f>
        <v>0.84000000000000008</v>
      </c>
      <c r="X1531" s="235">
        <f t="shared" ca="1" si="1139"/>
        <v>129.19500000000002</v>
      </c>
      <c r="Y1531" s="236">
        <f t="shared" si="1117"/>
        <v>2.2680000000000002</v>
      </c>
      <c r="Z1531" s="237">
        <f t="shared" ca="1" si="1080"/>
        <v>108.52380000000002</v>
      </c>
      <c r="AA1531" s="238"/>
      <c r="AB1531" s="233" t="str">
        <f>IF(B1531="insumo",_xlfn.XLOOKUP(S1531,Insumos!A:A,Insumos!D:D),"")</f>
        <v>Argabrus</v>
      </c>
      <c r="AC1531" s="239">
        <f t="shared" ca="1" si="1081"/>
        <v>1.5568728543680131E-5</v>
      </c>
      <c r="AE1531" s="240">
        <f ca="1">IFERROR(IF(OR(Z1531="",Z1531=0),"",IF(AF1531="","",IF(AF1531="R$/mês",Z1531/OBRA!$D$12,IF(AF1531="R$/m²",Z1531/OBRA!$D$10,IF(AF1531="R$/apto",Orçamento!Z1531/OBRA!$D$11,""))))),"")</f>
        <v>5.5847120515842189E-2</v>
      </c>
      <c r="AF1531" s="241" t="s">
        <v>154</v>
      </c>
    </row>
    <row r="1532" spans="1:32" s="10" customFormat="1" ht="13.15" hidden="1" customHeight="1" outlineLevel="4" x14ac:dyDescent="0.2">
      <c r="A1532" s="227"/>
      <c r="B1532" s="228" t="s">
        <v>19</v>
      </c>
      <c r="C1532" s="229">
        <f t="shared" si="1079"/>
        <v>32</v>
      </c>
      <c r="D1532" s="227" t="str">
        <f t="shared" si="1140"/>
        <v/>
      </c>
      <c r="E1532" s="228" t="str">
        <f t="shared" ca="1" si="1141"/>
        <v>15.002.003.001</v>
      </c>
      <c r="F1532" s="230">
        <f ca="1">IF($B1532="UNIDADE CONSTRUTIVA",OFFSET(F1532,-1,0)+1,LARGE(F$10:F1531,1))</f>
        <v>2</v>
      </c>
      <c r="G1532" s="228" t="str">
        <f t="shared" ca="1" si="1133"/>
        <v xml:space="preserve">   GERENCIAMENTO EXECUTIVO</v>
      </c>
      <c r="H1532" s="230">
        <f t="shared" ca="1" si="1142"/>
        <v>15</v>
      </c>
      <c r="I1532" s="228" t="str">
        <f t="shared" ca="1" si="1134"/>
        <v xml:space="preserve">   PISOS E PAVIMENTAÇÕES</v>
      </c>
      <c r="J1532" s="230">
        <f t="shared" ca="1" si="1143"/>
        <v>2</v>
      </c>
      <c r="K1532" s="228" t="str">
        <f t="shared" ca="1" si="1135"/>
        <v xml:space="preserve">   PISOS E PAVIMENTAÇÕES - TÉRREO - 2º PAVIMENTO - TÉRREO</v>
      </c>
      <c r="L1532" s="231">
        <f t="shared" ca="1" si="1144"/>
        <v>3</v>
      </c>
      <c r="M1532" s="228" t="str">
        <f t="shared" ca="1" si="1136"/>
        <v xml:space="preserve">   Rodapés</v>
      </c>
      <c r="N1532" s="231">
        <f t="shared" ca="1" si="1145"/>
        <v>1</v>
      </c>
      <c r="O1532" s="228" t="str">
        <f t="shared" ca="1" si="1137"/>
        <v>Revestimento interno de Rodapé Cerâmico h=0,30cm</v>
      </c>
      <c r="P1532" s="232" t="str">
        <f>IF(S1532="","",IF(Orçamento!$B1532="INSUMO",S1532,""))</f>
        <v>REJUNTE FLEXIVEL CIMENTICIO TIPO II NBR 14992</v>
      </c>
      <c r="Q1532" s="244" t="str">
        <f t="shared" si="1146"/>
        <v/>
      </c>
      <c r="R1532" s="234">
        <f t="shared" ca="1" si="1138"/>
        <v>47.85</v>
      </c>
      <c r="S1532" s="233" t="s">
        <v>734</v>
      </c>
      <c r="T1532" s="242" t="str">
        <f>_xlfn.XLOOKUP(S1532,Insumos!$A$3:$A$371,Insumos!$B$3:$B$371)</f>
        <v>KG</v>
      </c>
      <c r="U1532" s="235">
        <f ca="1">IF($B1532="insumo",R1532,"")</f>
        <v>47.85</v>
      </c>
      <c r="V1532" s="320">
        <f>ROUNDUP(0.13*0.3,4)</f>
        <v>3.9E-2</v>
      </c>
      <c r="W1532" s="236">
        <f>IFERROR(IF(B1532="INSUMO",_xlfn.XLOOKUP(S1532,Insumos!A:A,Insumos!C:C),""),"Inserir Preço")</f>
        <v>4.2</v>
      </c>
      <c r="X1532" s="235">
        <f t="shared" ca="1" si="1139"/>
        <v>1.86615</v>
      </c>
      <c r="Y1532" s="236">
        <f t="shared" si="1117"/>
        <v>0.1638</v>
      </c>
      <c r="Z1532" s="237">
        <f t="shared" ca="1" si="1080"/>
        <v>7.8378300000000003</v>
      </c>
      <c r="AA1532" s="238"/>
      <c r="AB1532" s="233" t="str">
        <f>IF(B1532="insumo",_xlfn.XLOOKUP(S1532,Insumos!A:A,Insumos!D:D),"")</f>
        <v>Distribuidora Sika</v>
      </c>
      <c r="AC1532" s="239">
        <f t="shared" ca="1" si="1081"/>
        <v>1.1244081725991204E-6</v>
      </c>
      <c r="AE1532" s="240">
        <f ca="1">IFERROR(IF(OR(Z1532="",Z1532=0),"",IF(AF1532="","",IF(AF1532="R$/mês",Z1532/OBRA!$D$12,IF(AF1532="R$/m²",Z1532/OBRA!$D$10,IF(AF1532="R$/apto",Orçamento!Z1532/OBRA!$D$11,""))))),"")</f>
        <v>4.0334031483663796E-3</v>
      </c>
      <c r="AF1532" s="241" t="s">
        <v>154</v>
      </c>
    </row>
    <row r="1533" spans="1:32" s="10" customFormat="1" ht="13.15" hidden="1" customHeight="1" outlineLevel="4" x14ac:dyDescent="0.2">
      <c r="A1533" s="227"/>
      <c r="B1533" s="228" t="s">
        <v>19</v>
      </c>
      <c r="C1533" s="229">
        <f t="shared" si="1079"/>
        <v>15</v>
      </c>
      <c r="D1533" s="227" t="str">
        <f t="shared" si="1140"/>
        <v/>
      </c>
      <c r="E1533" s="228" t="str">
        <f t="shared" ca="1" si="1141"/>
        <v>15.002.003.001</v>
      </c>
      <c r="F1533" s="230">
        <f ca="1">IF($B1533="UNIDADE CONSTRUTIVA",OFFSET(F1533,-1,0)+1,LARGE(F$10:F1532,1))</f>
        <v>2</v>
      </c>
      <c r="G1533" s="228" t="str">
        <f t="shared" ca="1" si="1133"/>
        <v xml:space="preserve">   GERENCIAMENTO EXECUTIVO</v>
      </c>
      <c r="H1533" s="230">
        <f t="shared" ca="1" si="1142"/>
        <v>15</v>
      </c>
      <c r="I1533" s="228" t="str">
        <f t="shared" ca="1" si="1134"/>
        <v xml:space="preserve">   PISOS E PAVIMENTAÇÕES</v>
      </c>
      <c r="J1533" s="230">
        <f t="shared" ca="1" si="1143"/>
        <v>2</v>
      </c>
      <c r="K1533" s="228" t="str">
        <f t="shared" ca="1" si="1135"/>
        <v xml:space="preserve">   PISOS E PAVIMENTAÇÕES - TÉRREO - 2º PAVIMENTO - TÉRREO</v>
      </c>
      <c r="L1533" s="231">
        <f t="shared" ca="1" si="1144"/>
        <v>3</v>
      </c>
      <c r="M1533" s="228" t="str">
        <f t="shared" ca="1" si="1136"/>
        <v xml:space="preserve">   Rodapés</v>
      </c>
      <c r="N1533" s="231">
        <f t="shared" ca="1" si="1145"/>
        <v>1</v>
      </c>
      <c r="O1533" s="228" t="str">
        <f t="shared" ca="1" si="1137"/>
        <v>Revestimento interno de Rodapé Cerâmico h=0,30cm</v>
      </c>
      <c r="P1533" s="232" t="str">
        <f>IF(S1533="","",IF(Orçamento!$B1533="INSUMO",S1533,""))</f>
        <v>ESPACADOR PVC JUNTA PISO 3,0MM NBR 6118</v>
      </c>
      <c r="Q1533" s="244" t="str">
        <f t="shared" si="1146"/>
        <v/>
      </c>
      <c r="R1533" s="234">
        <f t="shared" ca="1" si="1138"/>
        <v>47.85</v>
      </c>
      <c r="S1533" s="233" t="s">
        <v>716</v>
      </c>
      <c r="T1533" s="242" t="str">
        <f>_xlfn.XLOOKUP(S1533,Insumos!$A$3:$A$371,Insumos!$B$3:$B$371)</f>
        <v>UN</v>
      </c>
      <c r="U1533" s="235">
        <f ca="1">IF($B1533="insumo",R1533,"")</f>
        <v>47.85</v>
      </c>
      <c r="V1533" s="320">
        <f>ROUNDUP(4*0.3,4)</f>
        <v>1.2</v>
      </c>
      <c r="W1533" s="236">
        <f>IFERROR(IF(B1533="INSUMO",_xlfn.XLOOKUP(S1533,Insumos!A:A,Insumos!C:C),""),"Inserir Preço")</f>
        <v>0.22</v>
      </c>
      <c r="X1533" s="235">
        <f t="shared" ca="1" si="1139"/>
        <v>57.42</v>
      </c>
      <c r="Y1533" s="236">
        <f t="shared" si="1117"/>
        <v>0.26400000000000001</v>
      </c>
      <c r="Z1533" s="237">
        <f t="shared" ca="1" si="1080"/>
        <v>12.632400000000001</v>
      </c>
      <c r="AA1533" s="238"/>
      <c r="AB1533" s="233" t="str">
        <f>IF(B1533="insumo",_xlfn.XLOOKUP(S1533,Insumos!A:A,Insumos!D:D),"")</f>
        <v>Base de Dados</v>
      </c>
      <c r="AC1533" s="239">
        <f t="shared" ca="1" si="1081"/>
        <v>1.8122329521744065E-6</v>
      </c>
      <c r="AE1533" s="240">
        <f ca="1">IFERROR(IF(OR(Z1533="",Z1533=0),"",IF(AF1533="","",IF(AF1533="R$/mês",Z1533/OBRA!$D$12,IF(AF1533="R$/m²",Z1533/OBRA!$D$10,IF(AF1533="R$/apto",Orçamento!Z1533/OBRA!$D$11,""))))),"")</f>
        <v>6.5007230230080849E-3</v>
      </c>
      <c r="AF1533" s="241" t="s">
        <v>154</v>
      </c>
    </row>
    <row r="1534" spans="1:32" s="10" customFormat="1" ht="13.15" hidden="1" customHeight="1" outlineLevel="4" x14ac:dyDescent="0.2">
      <c r="A1534" s="227"/>
      <c r="B1534" s="228" t="s">
        <v>19</v>
      </c>
      <c r="C1534" s="229">
        <f t="shared" si="1079"/>
        <v>13</v>
      </c>
      <c r="D1534" s="227" t="str">
        <f t="shared" si="1140"/>
        <v/>
      </c>
      <c r="E1534" s="228" t="str">
        <f t="shared" ca="1" si="1141"/>
        <v>15.002.003.001</v>
      </c>
      <c r="F1534" s="230">
        <f ca="1">IF($B1534="UNIDADE CONSTRUTIVA",OFFSET(F1534,-1,0)+1,LARGE(F$10:F1533,1))</f>
        <v>2</v>
      </c>
      <c r="G1534" s="228" t="str">
        <f t="shared" ca="1" si="1133"/>
        <v xml:space="preserve">   GERENCIAMENTO EXECUTIVO</v>
      </c>
      <c r="H1534" s="230">
        <f t="shared" ca="1" si="1142"/>
        <v>15</v>
      </c>
      <c r="I1534" s="228" t="str">
        <f t="shared" ca="1" si="1134"/>
        <v xml:space="preserve">   PISOS E PAVIMENTAÇÕES</v>
      </c>
      <c r="J1534" s="230">
        <f t="shared" ca="1" si="1143"/>
        <v>2</v>
      </c>
      <c r="K1534" s="228" t="str">
        <f t="shared" ca="1" si="1135"/>
        <v xml:space="preserve">   PISOS E PAVIMENTAÇÕES - TÉRREO - 2º PAVIMENTO - TÉRREO</v>
      </c>
      <c r="L1534" s="231">
        <f t="shared" ca="1" si="1144"/>
        <v>3</v>
      </c>
      <c r="M1534" s="228" t="str">
        <f t="shared" ca="1" si="1136"/>
        <v xml:space="preserve">   Rodapés</v>
      </c>
      <c r="N1534" s="231">
        <f t="shared" ca="1" si="1145"/>
        <v>1</v>
      </c>
      <c r="O1534" s="228" t="str">
        <f t="shared" ca="1" si="1137"/>
        <v>Revestimento interno de Rodapé Cerâmico h=0,30cm</v>
      </c>
      <c r="P1534" s="232" t="str">
        <f>IF(S1534="","",IF(Orçamento!$B1534="INSUMO",S1534,""))</f>
        <v>REVESTIMENTO - HANGAR CHICAGO 60X60 NAT BOLD</v>
      </c>
      <c r="Q1534" s="244" t="str">
        <f t="shared" si="1146"/>
        <v/>
      </c>
      <c r="R1534" s="234">
        <f t="shared" ca="1" si="1138"/>
        <v>47.85</v>
      </c>
      <c r="S1534" s="233" t="s">
        <v>912</v>
      </c>
      <c r="T1534" s="242" t="str">
        <f>_xlfn.XLOOKUP(S1534,Insumos!$A$3:$A$371,Insumos!$B$3:$B$371)</f>
        <v>M2</v>
      </c>
      <c r="U1534" s="235">
        <f ca="1">IF($B1534="insumo",R1534,"")</f>
        <v>47.85</v>
      </c>
      <c r="V1534" s="320">
        <f>ROUNDUP(1.1*0.3,4)</f>
        <v>0.33</v>
      </c>
      <c r="W1534" s="236">
        <f>IFERROR(IF(B1534="INSUMO",_xlfn.XLOOKUP(S1534,Insumos!A:A,Insumos!C:C),""),"Inserir Preço")</f>
        <v>45.19</v>
      </c>
      <c r="X1534" s="235">
        <f t="shared" ca="1" si="1139"/>
        <v>15.790500000000002</v>
      </c>
      <c r="Y1534" s="236">
        <f t="shared" si="1117"/>
        <v>14.912699999999999</v>
      </c>
      <c r="Z1534" s="237">
        <f t="shared" ca="1" si="1080"/>
        <v>713.57269500000007</v>
      </c>
      <c r="AA1534" s="238"/>
      <c r="AB1534" s="233" t="str">
        <f>IF(B1534="insumo",_xlfn.XLOOKUP(S1534,Insumos!A:A,Insumos!D:D),"")</f>
        <v>Portobelo</v>
      </c>
      <c r="AC1534" s="239">
        <f t="shared" ca="1" si="1081"/>
        <v>1.0236850888595179E-4</v>
      </c>
      <c r="AE1534" s="240">
        <f ca="1">IFERROR(IF(OR(Z1534="",Z1534=0),"",IF(AF1534="","",IF(AF1534="R$/mês",Z1534/OBRA!$D$12,IF(AF1534="R$/m²",Z1534/OBRA!$D$10,IF(AF1534="R$/apto",Orçamento!Z1534/OBRA!$D$11,""))))),"")</f>
        <v>0.36720959176216922</v>
      </c>
      <c r="AF1534" s="241" t="s">
        <v>154</v>
      </c>
    </row>
    <row r="1535" spans="1:32" s="10" customFormat="1" ht="13.15" hidden="1" customHeight="1" outlineLevel="4" x14ac:dyDescent="0.2">
      <c r="A1535" s="227"/>
      <c r="B1535" s="228" t="s">
        <v>4</v>
      </c>
      <c r="C1535" s="229">
        <f t="shared" si="1079"/>
        <v>4</v>
      </c>
      <c r="D1535" s="227" t="str">
        <f t="shared" ca="1" si="1140"/>
        <v>15.002.003.002</v>
      </c>
      <c r="E1535" s="228" t="str">
        <f t="shared" ca="1" si="1141"/>
        <v>15.002.003.002</v>
      </c>
      <c r="F1535" s="230">
        <f ca="1">IF($B1535="UNIDADE CONSTRUTIVA",OFFSET(F1535,-1,0)+1,LARGE(F$10:F1534,1))</f>
        <v>2</v>
      </c>
      <c r="G1535" s="228" t="str">
        <f t="shared" ca="1" si="1133"/>
        <v xml:space="preserve">   GERENCIAMENTO EXECUTIVO</v>
      </c>
      <c r="H1535" s="230">
        <f t="shared" ca="1" si="1142"/>
        <v>15</v>
      </c>
      <c r="I1535" s="228" t="str">
        <f t="shared" ca="1" si="1134"/>
        <v xml:space="preserve">   PISOS E PAVIMENTAÇÕES</v>
      </c>
      <c r="J1535" s="230">
        <f t="shared" ca="1" si="1143"/>
        <v>2</v>
      </c>
      <c r="K1535" s="228" t="str">
        <f t="shared" ca="1" si="1135"/>
        <v xml:space="preserve">   PISOS E PAVIMENTAÇÕES - TÉRREO - 2º PAVIMENTO - TÉRREO</v>
      </c>
      <c r="L1535" s="231">
        <f t="shared" ca="1" si="1144"/>
        <v>3</v>
      </c>
      <c r="M1535" s="228" t="str">
        <f t="shared" ca="1" si="1136"/>
        <v xml:space="preserve">   Rodapés</v>
      </c>
      <c r="N1535" s="231">
        <f t="shared" ca="1" si="1145"/>
        <v>2</v>
      </c>
      <c r="O1535" s="228" t="str">
        <f t="shared" ca="1" si="1137"/>
        <v>Revestimento interno de Rodapé Cerâmico h=0,07cm</v>
      </c>
      <c r="P1535" s="232" t="str">
        <f>IF(S1535="","",IF(Orçamento!$B1535="INSUMO",S1535,""))</f>
        <v/>
      </c>
      <c r="Q1535" s="244" t="str">
        <f t="shared" si="1146"/>
        <v>Revestimento interno de Rodapé Cerâmico h=0,07cm</v>
      </c>
      <c r="R1535" s="234">
        <f t="shared" ca="1" si="1138"/>
        <v>25.29</v>
      </c>
      <c r="S1535" s="233" t="s">
        <v>1108</v>
      </c>
      <c r="T1535" s="242" t="s">
        <v>158</v>
      </c>
      <c r="U1535" s="235">
        <v>25.29</v>
      </c>
      <c r="V1535" s="320" t="s">
        <v>35</v>
      </c>
      <c r="W1535" s="236" t="str">
        <f>IFERROR(IF(B1535="INSUMO",_xlfn.XLOOKUP(S1535,Insumos!A:A,Insumos!C:C),""),"Inserir Preço")</f>
        <v/>
      </c>
      <c r="X1535" s="235">
        <f t="shared" ca="1" si="1139"/>
        <v>25.29</v>
      </c>
      <c r="Y1535" s="236">
        <f t="shared" ca="1" si="1117"/>
        <v>4.1086499999999999</v>
      </c>
      <c r="Z1535" s="237">
        <f t="shared" ca="1" si="1080"/>
        <v>103.9077585</v>
      </c>
      <c r="AA1535" s="238"/>
      <c r="AB1535" s="233" t="str">
        <f>IF(B1535="insumo",_xlfn.XLOOKUP(S1535,Insumos!A:A,Insumos!D:D),"")</f>
        <v/>
      </c>
      <c r="AC1535" s="239">
        <f t="shared" ca="1" si="1081"/>
        <v>1.4906515305110688E-5</v>
      </c>
      <c r="AE1535" s="240">
        <f ca="1">IFERROR(IF(OR(Z1535="",Z1535=0),"",IF(AF1535="","",IF(AF1535="R$/mês",Z1535/OBRA!$D$12,IF(AF1535="R$/m²",Z1535/OBRA!$D$10,IF(AF1535="R$/apto",Orçamento!Z1535/OBRA!$D$11,""))))),"")</f>
        <v>5.3471672678993221E-2</v>
      </c>
      <c r="AF1535" s="241" t="s">
        <v>154</v>
      </c>
    </row>
    <row r="1536" spans="1:32" s="10" customFormat="1" ht="13.15" hidden="1" customHeight="1" outlineLevel="4" x14ac:dyDescent="0.2">
      <c r="A1536" s="227"/>
      <c r="B1536" s="228" t="s">
        <v>19</v>
      </c>
      <c r="C1536" s="229">
        <f t="shared" si="1079"/>
        <v>23</v>
      </c>
      <c r="D1536" s="227" t="str">
        <f t="shared" si="1140"/>
        <v/>
      </c>
      <c r="E1536" s="228" t="str">
        <f t="shared" ca="1" si="1141"/>
        <v>15.002.003.002</v>
      </c>
      <c r="F1536" s="230">
        <f ca="1">IF($B1536="UNIDADE CONSTRUTIVA",OFFSET(F1536,-1,0)+1,LARGE(F$10:F1535,1))</f>
        <v>2</v>
      </c>
      <c r="G1536" s="228" t="str">
        <f t="shared" ca="1" si="1133"/>
        <v xml:space="preserve">   GERENCIAMENTO EXECUTIVO</v>
      </c>
      <c r="H1536" s="230">
        <f t="shared" ca="1" si="1142"/>
        <v>15</v>
      </c>
      <c r="I1536" s="228" t="str">
        <f t="shared" ca="1" si="1134"/>
        <v xml:space="preserve">   PISOS E PAVIMENTAÇÕES</v>
      </c>
      <c r="J1536" s="230">
        <f t="shared" ca="1" si="1143"/>
        <v>2</v>
      </c>
      <c r="K1536" s="228" t="str">
        <f t="shared" ca="1" si="1135"/>
        <v xml:space="preserve">   PISOS E PAVIMENTAÇÕES - TÉRREO - 2º PAVIMENTO - TÉRREO</v>
      </c>
      <c r="L1536" s="231">
        <f t="shared" ca="1" si="1144"/>
        <v>3</v>
      </c>
      <c r="M1536" s="228" t="str">
        <f t="shared" ca="1" si="1136"/>
        <v xml:space="preserve">   Rodapés</v>
      </c>
      <c r="N1536" s="231">
        <f t="shared" ca="1" si="1145"/>
        <v>2</v>
      </c>
      <c r="O1536" s="228" t="str">
        <f t="shared" ca="1" si="1137"/>
        <v>Revestimento interno de Rodapé Cerâmico h=0,07cm</v>
      </c>
      <c r="P1536" s="232" t="str">
        <f>IF(S1536="","",IF(Orçamento!$B1536="INSUMO",S1536,""))</f>
        <v>ARGAMASSA COLANTE AC II</v>
      </c>
      <c r="Q1536" s="244" t="str">
        <f t="shared" si="1146"/>
        <v/>
      </c>
      <c r="R1536" s="234">
        <f t="shared" ca="1" si="1138"/>
        <v>25.29</v>
      </c>
      <c r="S1536" s="233" t="s">
        <v>314</v>
      </c>
      <c r="T1536" s="242" t="str">
        <f>_xlfn.XLOOKUP(S1536,Insumos!$A$3:$A$371,Insumos!$B$3:$B$371)</f>
        <v>KG</v>
      </c>
      <c r="U1536" s="235">
        <f ca="1">IF($B1536="insumo",R1536,"")</f>
        <v>25.29</v>
      </c>
      <c r="V1536" s="320">
        <f>ROUNDUP(9*0.07,4)</f>
        <v>0.63</v>
      </c>
      <c r="W1536" s="236">
        <f>IFERROR(IF(B1536="INSUMO",_xlfn.XLOOKUP(S1536,Insumos!A:A,Insumos!C:C),""),"Inserir Preço")</f>
        <v>0.84000000000000008</v>
      </c>
      <c r="X1536" s="235">
        <f t="shared" ca="1" si="1139"/>
        <v>15.932699999999999</v>
      </c>
      <c r="Y1536" s="236">
        <f t="shared" si="1117"/>
        <v>0.5292</v>
      </c>
      <c r="Z1536" s="237">
        <f t="shared" ca="1" si="1080"/>
        <v>13.383468000000001</v>
      </c>
      <c r="AA1536" s="238"/>
      <c r="AB1536" s="233" t="str">
        <f>IF(B1536="insumo",_xlfn.XLOOKUP(S1536,Insumos!A:A,Insumos!D:D),"")</f>
        <v>Argabrus</v>
      </c>
      <c r="AC1536" s="239">
        <f t="shared" ca="1" si="1081"/>
        <v>1.9199805044149727E-6</v>
      </c>
      <c r="AE1536" s="240">
        <f ca="1">IFERROR(IF(OR(Z1536="",Z1536=0),"",IF(AF1536="","",IF(AF1536="R$/mês",Z1536/OBRA!$D$12,IF(AF1536="R$/m²",Z1536/OBRA!$D$10,IF(AF1536="R$/apto",Orçamento!Z1536/OBRA!$D$11,""))))),"")</f>
        <v>6.8872279658095028E-3</v>
      </c>
      <c r="AF1536" s="241" t="s">
        <v>154</v>
      </c>
    </row>
    <row r="1537" spans="1:32" s="10" customFormat="1" ht="13.15" hidden="1" customHeight="1" outlineLevel="4" x14ac:dyDescent="0.2">
      <c r="A1537" s="227"/>
      <c r="B1537" s="228" t="s">
        <v>19</v>
      </c>
      <c r="C1537" s="229">
        <f t="shared" si="1079"/>
        <v>32</v>
      </c>
      <c r="D1537" s="227" t="str">
        <f t="shared" si="1140"/>
        <v/>
      </c>
      <c r="E1537" s="228" t="str">
        <f t="shared" ca="1" si="1141"/>
        <v>15.002.003.002</v>
      </c>
      <c r="F1537" s="230">
        <f ca="1">IF($B1537="UNIDADE CONSTRUTIVA",OFFSET(F1537,-1,0)+1,LARGE(F$10:F1536,1))</f>
        <v>2</v>
      </c>
      <c r="G1537" s="228" t="str">
        <f t="shared" ca="1" si="1133"/>
        <v xml:space="preserve">   GERENCIAMENTO EXECUTIVO</v>
      </c>
      <c r="H1537" s="230">
        <f t="shared" ca="1" si="1142"/>
        <v>15</v>
      </c>
      <c r="I1537" s="228" t="str">
        <f t="shared" ca="1" si="1134"/>
        <v xml:space="preserve">   PISOS E PAVIMENTAÇÕES</v>
      </c>
      <c r="J1537" s="230">
        <f t="shared" ca="1" si="1143"/>
        <v>2</v>
      </c>
      <c r="K1537" s="228" t="str">
        <f t="shared" ca="1" si="1135"/>
        <v xml:space="preserve">   PISOS E PAVIMENTAÇÕES - TÉRREO - 2º PAVIMENTO - TÉRREO</v>
      </c>
      <c r="L1537" s="231">
        <f t="shared" ca="1" si="1144"/>
        <v>3</v>
      </c>
      <c r="M1537" s="228" t="str">
        <f t="shared" ca="1" si="1136"/>
        <v xml:space="preserve">   Rodapés</v>
      </c>
      <c r="N1537" s="231">
        <f t="shared" ca="1" si="1145"/>
        <v>2</v>
      </c>
      <c r="O1537" s="228" t="str">
        <f t="shared" ca="1" si="1137"/>
        <v>Revestimento interno de Rodapé Cerâmico h=0,07cm</v>
      </c>
      <c r="P1537" s="232" t="str">
        <f>IF(S1537="","",IF(Orçamento!$B1537="INSUMO",S1537,""))</f>
        <v>REJUNTE FLEXIVEL CIMENTICIO TIPO II NBR 14992</v>
      </c>
      <c r="Q1537" s="244" t="str">
        <f t="shared" si="1146"/>
        <v/>
      </c>
      <c r="R1537" s="234">
        <f t="shared" ca="1" si="1138"/>
        <v>25.29</v>
      </c>
      <c r="S1537" s="233" t="s">
        <v>734</v>
      </c>
      <c r="T1537" s="242" t="str">
        <f>_xlfn.XLOOKUP(S1537,Insumos!$A$3:$A$371,Insumos!$B$3:$B$371)</f>
        <v>KG</v>
      </c>
      <c r="U1537" s="235">
        <f ca="1">IF($B1537="insumo",R1537,"")</f>
        <v>25.29</v>
      </c>
      <c r="V1537" s="320">
        <f>ROUNDUP(0.13*0.07,4)</f>
        <v>9.1000000000000004E-3</v>
      </c>
      <c r="W1537" s="236">
        <f>IFERROR(IF(B1537="INSUMO",_xlfn.XLOOKUP(S1537,Insumos!A:A,Insumos!C:C),""),"Inserir Preço")</f>
        <v>4.2</v>
      </c>
      <c r="X1537" s="235">
        <f t="shared" ca="1" si="1139"/>
        <v>0.23013900000000001</v>
      </c>
      <c r="Y1537" s="236">
        <f t="shared" si="1117"/>
        <v>3.8220000000000004E-2</v>
      </c>
      <c r="Z1537" s="237">
        <f t="shared" ca="1" si="1080"/>
        <v>0.9665838000000001</v>
      </c>
      <c r="AA1537" s="238"/>
      <c r="AB1537" s="233" t="str">
        <f>IF(B1537="insumo",_xlfn.XLOOKUP(S1537,Insumos!A:A,Insumos!D:D),"")</f>
        <v>Distribuidora Sika</v>
      </c>
      <c r="AC1537" s="239">
        <f t="shared" ca="1" si="1081"/>
        <v>1.3866525865219246E-7</v>
      </c>
      <c r="AE1537" s="240">
        <f ca="1">IFERROR(IF(OR(Z1537="",Z1537=0),"",IF(AF1537="","",IF(AF1537="R$/mês",Z1537/OBRA!$D$12,IF(AF1537="R$/m²",Z1537/OBRA!$D$10,IF(AF1537="R$/apto",Orçamento!Z1537/OBRA!$D$11,""))))),"")</f>
        <v>4.9741090864179743E-4</v>
      </c>
      <c r="AF1537" s="241" t="s">
        <v>154</v>
      </c>
    </row>
    <row r="1538" spans="1:32" s="10" customFormat="1" ht="13.15" hidden="1" customHeight="1" outlineLevel="4" x14ac:dyDescent="0.2">
      <c r="A1538" s="227"/>
      <c r="B1538" s="228" t="s">
        <v>19</v>
      </c>
      <c r="C1538" s="229">
        <f t="shared" si="1079"/>
        <v>15</v>
      </c>
      <c r="D1538" s="227" t="str">
        <f t="shared" si="1140"/>
        <v/>
      </c>
      <c r="E1538" s="228" t="str">
        <f t="shared" ca="1" si="1141"/>
        <v>15.002.003.002</v>
      </c>
      <c r="F1538" s="230">
        <f ca="1">IF($B1538="UNIDADE CONSTRUTIVA",OFFSET(F1538,-1,0)+1,LARGE(F$10:F1537,1))</f>
        <v>2</v>
      </c>
      <c r="G1538" s="228" t="str">
        <f t="shared" ca="1" si="1133"/>
        <v xml:space="preserve">   GERENCIAMENTO EXECUTIVO</v>
      </c>
      <c r="H1538" s="230">
        <f t="shared" ca="1" si="1142"/>
        <v>15</v>
      </c>
      <c r="I1538" s="228" t="str">
        <f t="shared" ca="1" si="1134"/>
        <v xml:space="preserve">   PISOS E PAVIMENTAÇÕES</v>
      </c>
      <c r="J1538" s="230">
        <f t="shared" ca="1" si="1143"/>
        <v>2</v>
      </c>
      <c r="K1538" s="228" t="str">
        <f t="shared" ca="1" si="1135"/>
        <v xml:space="preserve">   PISOS E PAVIMENTAÇÕES - TÉRREO - 2º PAVIMENTO - TÉRREO</v>
      </c>
      <c r="L1538" s="231">
        <f t="shared" ca="1" si="1144"/>
        <v>3</v>
      </c>
      <c r="M1538" s="228" t="str">
        <f t="shared" ca="1" si="1136"/>
        <v xml:space="preserve">   Rodapés</v>
      </c>
      <c r="N1538" s="231">
        <f t="shared" ca="1" si="1145"/>
        <v>2</v>
      </c>
      <c r="O1538" s="228" t="str">
        <f t="shared" ca="1" si="1137"/>
        <v>Revestimento interno de Rodapé Cerâmico h=0,07cm</v>
      </c>
      <c r="P1538" s="232" t="str">
        <f>IF(S1538="","",IF(Orçamento!$B1538="INSUMO",S1538,""))</f>
        <v>ESPACADOR PVC JUNTA PISO 3,0MM NBR 6118</v>
      </c>
      <c r="Q1538" s="244" t="str">
        <f t="shared" si="1146"/>
        <v/>
      </c>
      <c r="R1538" s="234">
        <f t="shared" ca="1" si="1138"/>
        <v>25.29</v>
      </c>
      <c r="S1538" s="233" t="s">
        <v>716</v>
      </c>
      <c r="T1538" s="242" t="str">
        <f>_xlfn.XLOOKUP(S1538,Insumos!$A$3:$A$371,Insumos!$B$3:$B$371)</f>
        <v>UN</v>
      </c>
      <c r="U1538" s="235">
        <f ca="1">IF($B1538="insumo",R1538,"")</f>
        <v>25.29</v>
      </c>
      <c r="V1538" s="320">
        <f>ROUNDUP(4*0.07,4)</f>
        <v>0.28000000000000003</v>
      </c>
      <c r="W1538" s="236">
        <f>IFERROR(IF(B1538="INSUMO",_xlfn.XLOOKUP(S1538,Insumos!A:A,Insumos!C:C),""),"Inserir Preço")</f>
        <v>0.22</v>
      </c>
      <c r="X1538" s="235">
        <f t="shared" ca="1" si="1139"/>
        <v>7.0812000000000008</v>
      </c>
      <c r="Y1538" s="236">
        <f t="shared" si="1117"/>
        <v>6.1600000000000009E-2</v>
      </c>
      <c r="Z1538" s="237">
        <f t="shared" ca="1" si="1080"/>
        <v>1.5578640000000001</v>
      </c>
      <c r="AA1538" s="238"/>
      <c r="AB1538" s="233" t="str">
        <f>IF(B1538="insumo",_xlfn.XLOOKUP(S1538,Insumos!A:A,Insumos!D:D),"")</f>
        <v>Base de Dados</v>
      </c>
      <c r="AC1538" s="239">
        <f t="shared" ca="1" si="1081"/>
        <v>2.2348979416470581E-7</v>
      </c>
      <c r="AE1538" s="240">
        <f ca="1">IFERROR(IF(OR(Z1538="",Z1538=0),"",IF(AF1538="","",IF(AF1538="R$/mês",Z1538/OBRA!$D$12,IF(AF1538="R$/m²",Z1538/OBRA!$D$10,IF(AF1538="R$/apto",Orçamento!Z1538/OBRA!$D$11,""))))),"")</f>
        <v>8.0168791136406921E-4</v>
      </c>
      <c r="AF1538" s="241" t="s">
        <v>154</v>
      </c>
    </row>
    <row r="1539" spans="1:32" s="10" customFormat="1" ht="13.15" hidden="1" customHeight="1" outlineLevel="4" x14ac:dyDescent="0.2">
      <c r="A1539" s="227"/>
      <c r="B1539" s="228" t="s">
        <v>19</v>
      </c>
      <c r="C1539" s="229">
        <f t="shared" si="1079"/>
        <v>13</v>
      </c>
      <c r="D1539" s="227" t="str">
        <f t="shared" si="1140"/>
        <v/>
      </c>
      <c r="E1539" s="228" t="str">
        <f t="shared" ca="1" si="1141"/>
        <v>15.002.003.002</v>
      </c>
      <c r="F1539" s="230">
        <f ca="1">IF($B1539="UNIDADE CONSTRUTIVA",OFFSET(F1539,-1,0)+1,LARGE(F$10:F1538,1))</f>
        <v>2</v>
      </c>
      <c r="G1539" s="228" t="str">
        <f t="shared" ca="1" si="1133"/>
        <v xml:space="preserve">   GERENCIAMENTO EXECUTIVO</v>
      </c>
      <c r="H1539" s="230">
        <f t="shared" ca="1" si="1142"/>
        <v>15</v>
      </c>
      <c r="I1539" s="228" t="str">
        <f t="shared" ca="1" si="1134"/>
        <v xml:space="preserve">   PISOS E PAVIMENTAÇÕES</v>
      </c>
      <c r="J1539" s="230">
        <f t="shared" ca="1" si="1143"/>
        <v>2</v>
      </c>
      <c r="K1539" s="228" t="str">
        <f t="shared" ca="1" si="1135"/>
        <v xml:space="preserve">   PISOS E PAVIMENTAÇÕES - TÉRREO - 2º PAVIMENTO - TÉRREO</v>
      </c>
      <c r="L1539" s="231">
        <f t="shared" ca="1" si="1144"/>
        <v>3</v>
      </c>
      <c r="M1539" s="228" t="str">
        <f t="shared" ca="1" si="1136"/>
        <v xml:space="preserve">   Rodapés</v>
      </c>
      <c r="N1539" s="231">
        <f t="shared" ca="1" si="1145"/>
        <v>2</v>
      </c>
      <c r="O1539" s="228" t="str">
        <f t="shared" ca="1" si="1137"/>
        <v>Revestimento interno de Rodapé Cerâmico h=0,07cm</v>
      </c>
      <c r="P1539" s="232" t="str">
        <f>IF(S1539="","",IF(Orçamento!$B1539="INSUMO",S1539,""))</f>
        <v>REVESTIMENTO - HANGAR CHICAGO 60X60 NAT BOLD</v>
      </c>
      <c r="Q1539" s="244" t="str">
        <f t="shared" si="1146"/>
        <v/>
      </c>
      <c r="R1539" s="234">
        <f t="shared" ca="1" si="1138"/>
        <v>25.29</v>
      </c>
      <c r="S1539" s="233" t="s">
        <v>912</v>
      </c>
      <c r="T1539" s="242" t="str">
        <f>_xlfn.XLOOKUP(S1539,Insumos!$A$3:$A$371,Insumos!$B$3:$B$371)</f>
        <v>M2</v>
      </c>
      <c r="U1539" s="235">
        <f ca="1">IF($B1539="insumo",R1539,"")</f>
        <v>25.29</v>
      </c>
      <c r="V1539" s="320">
        <f>ROUNDUP(1.1*0.07,4)</f>
        <v>7.6999999999999999E-2</v>
      </c>
      <c r="W1539" s="236">
        <f>IFERROR(IF(B1539="INSUMO",_xlfn.XLOOKUP(S1539,Insumos!A:A,Insumos!C:C),""),"Inserir Preço")</f>
        <v>45.19</v>
      </c>
      <c r="X1539" s="235">
        <f t="shared" ca="1" si="1139"/>
        <v>1.94733</v>
      </c>
      <c r="Y1539" s="236">
        <f t="shared" si="1117"/>
        <v>3.4796299999999998</v>
      </c>
      <c r="Z1539" s="237">
        <f t="shared" ca="1" si="1080"/>
        <v>87.999842700000002</v>
      </c>
      <c r="AA1539" s="238"/>
      <c r="AB1539" s="233" t="str">
        <f>IF(B1539="insumo",_xlfn.XLOOKUP(S1539,Insumos!A:A,Insumos!D:D),"")</f>
        <v>Portobelo</v>
      </c>
      <c r="AC1539" s="239">
        <f t="shared" ca="1" si="1081"/>
        <v>1.2624379747878818E-5</v>
      </c>
      <c r="AE1539" s="240">
        <f ca="1">IFERROR(IF(OR(Z1539="",Z1539=0),"",IF(AF1539="","",IF(AF1539="R$/mês",Z1539/OBRA!$D$12,IF(AF1539="R$/m²",Z1539/OBRA!$D$10,IF(AF1539="R$/apto",Orçamento!Z1539/OBRA!$D$11,""))))),"")</f>
        <v>4.5285345893177856E-2</v>
      </c>
      <c r="AF1539" s="241" t="s">
        <v>154</v>
      </c>
    </row>
    <row r="1540" spans="1:32" s="10" customFormat="1" ht="13.15" hidden="1" customHeight="1" outlineLevel="4" x14ac:dyDescent="0.2">
      <c r="A1540" s="227"/>
      <c r="B1540" s="228" t="s">
        <v>4</v>
      </c>
      <c r="C1540" s="229">
        <f t="shared" si="1079"/>
        <v>1</v>
      </c>
      <c r="D1540" s="227" t="str">
        <f ca="1">IF(B1540="Unidade Construtiva",TEXT(F1540,"00"),IF(B1540="Célula Construtiva",TEXT(H1540,"00"),IF(B1540="Etapa",CONCATENATE(TEXT(H1540,"00"),".",TEXT(J1540,"000")),IF(B1540="Subetapa",CONCATENATE(TEXT(H1540,"00"),".",TEXT(J1540,"000"),".",TEXT(L1540,"000")),IF(B1540="Serviço",CONCATENATE(TEXT(H1540,"00"),".",TEXT(J1540,"000"),".",TEXT(L1540,"000"),".",TEXT(N1540,"000")),"")))))</f>
        <v>15.002.003.003</v>
      </c>
      <c r="E1540" s="228" t="str">
        <f ca="1">IF(B1540="*","",IFERROR(IF(B1540="SERVIÇO",D1540,OFFSET(E1540,-1,0)),""))</f>
        <v>15.002.003.003</v>
      </c>
      <c r="F1540" s="230">
        <f ca="1">IF($B1540="UNIDADE CONSTRUTIVA",OFFSET(F1540,-1,0)+1,LARGE(F$10:F1539,1))</f>
        <v>2</v>
      </c>
      <c r="G1540" s="228" t="str">
        <f t="shared" ca="1" si="1133"/>
        <v xml:space="preserve">   GERENCIAMENTO EXECUTIVO</v>
      </c>
      <c r="H1540" s="230">
        <f ca="1">IF(B1540="UNIDADE CONSTRUTIVA",0,IF(B1540="CÉLULA CONSTRUTIVA",OFFSET(H1540,-1,0)+1,OFFSET(H1540,-1,0)))</f>
        <v>15</v>
      </c>
      <c r="I1540" s="228" t="str">
        <f t="shared" ca="1" si="1134"/>
        <v xml:space="preserve">   PISOS E PAVIMENTAÇÕES</v>
      </c>
      <c r="J1540" s="230">
        <f ca="1">IF(B1540="CÉLULA CONSTRUTIVA",0,IF(B1540="ETAPA",OFFSET(J1540,-1,0)+1,OFFSET(J1540,-1,0)))</f>
        <v>2</v>
      </c>
      <c r="K1540" s="228" t="str">
        <f t="shared" ca="1" si="1135"/>
        <v xml:space="preserve">   PISOS E PAVIMENTAÇÕES - TÉRREO - 2º PAVIMENTO - TÉRREO</v>
      </c>
      <c r="L1540" s="231">
        <f ca="1">IF(B1540="ETAPA",0,IF(B1540="SUBETAPA",OFFSET(L1540,-1,0)+1,OFFSET(L1540,-1,0)))</f>
        <v>3</v>
      </c>
      <c r="M1540" s="228" t="str">
        <f t="shared" ca="1" si="1136"/>
        <v xml:space="preserve">   Rodapés</v>
      </c>
      <c r="N1540" s="231">
        <f ca="1">IF(B1540="Subetapa",0,IF(B1540="serviço",OFFSET(N1540,-1,0)+1,OFFSET(N1540,-1,0)))</f>
        <v>3</v>
      </c>
      <c r="O1540" s="228" t="str">
        <f t="shared" ca="1" si="1137"/>
        <v>Revestimento interno de Rodapé Porcelanato h=0,30cm</v>
      </c>
      <c r="P1540" s="232" t="str">
        <f>IF(S1540="","",IF(Orçamento!$B1540="INSUMO",S1540,""))</f>
        <v/>
      </c>
      <c r="Q1540" s="244" t="str">
        <f>IF(B1540="","",IF(B1540="Serviço",S1540,""))</f>
        <v>Revestimento interno de Rodapé Porcelanato h=0,30cm</v>
      </c>
      <c r="R1540" s="234">
        <f t="shared" ca="1" si="1138"/>
        <v>76.150000000000006</v>
      </c>
      <c r="S1540" s="233" t="s">
        <v>1119</v>
      </c>
      <c r="T1540" s="242" t="s">
        <v>158</v>
      </c>
      <c r="U1540" s="235">
        <v>76.150000000000006</v>
      </c>
      <c r="V1540" s="320" t="s">
        <v>35</v>
      </c>
      <c r="W1540" s="236" t="str">
        <f>IFERROR(IF(B1540="INSUMO",_xlfn.XLOOKUP(S1540,Insumos!A:A,Insumos!C:C),""),"Inserir Preço")</f>
        <v/>
      </c>
      <c r="X1540" s="235">
        <f t="shared" ca="1" si="1139"/>
        <v>76.150000000000006</v>
      </c>
      <c r="Y1540" s="236">
        <f t="shared" ca="1" si="1117"/>
        <v>22.711500000000001</v>
      </c>
      <c r="Z1540" s="237">
        <f t="shared" ca="1" si="1080"/>
        <v>1729.4807250000001</v>
      </c>
      <c r="AA1540" s="238"/>
      <c r="AB1540" s="233" t="str">
        <f>IF(B1540="insumo",_xlfn.XLOOKUP(S1540,Insumos!A:A,Insumos!D:D),"")</f>
        <v/>
      </c>
      <c r="AC1540" s="239">
        <f t="shared" ca="1" si="1081"/>
        <v>2.4810977803073705E-4</v>
      </c>
      <c r="AE1540" s="240">
        <f ca="1">IFERROR(IF(OR(Z1540="",Z1540=0),"",IF(AF1540="","",IF(AF1540="R$/mês",Z1540/OBRA!$D$12,IF(AF1540="R$/m²",Z1540/OBRA!$D$10,IF(AF1540="R$/apto",Orçamento!Z1540/OBRA!$D$11,""))))),"")</f>
        <v>0.89000310050791731</v>
      </c>
      <c r="AF1540" s="241" t="s">
        <v>154</v>
      </c>
    </row>
    <row r="1541" spans="1:32" s="10" customFormat="1" ht="13.15" hidden="1" customHeight="1" outlineLevel="4" x14ac:dyDescent="0.2">
      <c r="A1541" s="227"/>
      <c r="B1541" s="228" t="s">
        <v>19</v>
      </c>
      <c r="C1541" s="229">
        <f t="shared" si="1079"/>
        <v>23</v>
      </c>
      <c r="D1541" s="227" t="str">
        <f>IF(B1541="Unidade Construtiva",TEXT(F1541,"00"),IF(B1541="Célula Construtiva",TEXT(H1541,"00"),IF(B1541="Etapa",CONCATENATE(TEXT(H1541,"00"),".",TEXT(J1541,"000")),IF(B1541="Subetapa",CONCATENATE(TEXT(H1541,"00"),".",TEXT(J1541,"000"),".",TEXT(L1541,"000")),IF(B1541="Serviço",CONCATENATE(TEXT(H1541,"00"),".",TEXT(J1541,"000"),".",TEXT(L1541,"000"),".",TEXT(N1541,"000")),"")))))</f>
        <v/>
      </c>
      <c r="E1541" s="228" t="str">
        <f ca="1">IF(B1541="*","",IFERROR(IF(B1541="SERVIÇO",D1541,OFFSET(E1541,-1,0)),""))</f>
        <v>15.002.003.003</v>
      </c>
      <c r="F1541" s="230">
        <f ca="1">IF($B1541="UNIDADE CONSTRUTIVA",OFFSET(F1541,-1,0)+1,LARGE(F$10:F1540,1))</f>
        <v>2</v>
      </c>
      <c r="G1541" s="228" t="str">
        <f t="shared" ca="1" si="1133"/>
        <v xml:space="preserve">   GERENCIAMENTO EXECUTIVO</v>
      </c>
      <c r="H1541" s="230">
        <f ca="1">IF(B1541="UNIDADE CONSTRUTIVA",0,IF(B1541="CÉLULA CONSTRUTIVA",OFFSET(H1541,-1,0)+1,OFFSET(H1541,-1,0)))</f>
        <v>15</v>
      </c>
      <c r="I1541" s="228" t="str">
        <f t="shared" ca="1" si="1134"/>
        <v xml:space="preserve">   PISOS E PAVIMENTAÇÕES</v>
      </c>
      <c r="J1541" s="230">
        <f ca="1">IF(B1541="CÉLULA CONSTRUTIVA",0,IF(B1541="ETAPA",OFFSET(J1541,-1,0)+1,OFFSET(J1541,-1,0)))</f>
        <v>2</v>
      </c>
      <c r="K1541" s="228" t="str">
        <f t="shared" ca="1" si="1135"/>
        <v xml:space="preserve">   PISOS E PAVIMENTAÇÕES - TÉRREO - 2º PAVIMENTO - TÉRREO</v>
      </c>
      <c r="L1541" s="231">
        <f ca="1">IF(B1541="ETAPA",0,IF(B1541="SUBETAPA",OFFSET(L1541,-1,0)+1,OFFSET(L1541,-1,0)))</f>
        <v>3</v>
      </c>
      <c r="M1541" s="228" t="str">
        <f t="shared" ca="1" si="1136"/>
        <v xml:space="preserve">   Rodapés</v>
      </c>
      <c r="N1541" s="231">
        <f ca="1">IF(B1541="Subetapa",0,IF(B1541="serviço",OFFSET(N1541,-1,0)+1,OFFSET(N1541,-1,0)))</f>
        <v>3</v>
      </c>
      <c r="O1541" s="228" t="str">
        <f t="shared" ca="1" si="1137"/>
        <v>Revestimento interno de Rodapé Porcelanato h=0,30cm</v>
      </c>
      <c r="P1541" s="232" t="str">
        <f>IF(S1541="","",IF(Orçamento!$B1541="INSUMO",S1541,""))</f>
        <v>ARGAMASSA COLANTE AC II</v>
      </c>
      <c r="Q1541" s="244" t="str">
        <f>IF(B1541="","",IF(B1541="Serviço",S1541,""))</f>
        <v/>
      </c>
      <c r="R1541" s="234">
        <f t="shared" ca="1" si="1138"/>
        <v>76.150000000000006</v>
      </c>
      <c r="S1541" s="233" t="s">
        <v>314</v>
      </c>
      <c r="T1541" s="242" t="str">
        <f>_xlfn.XLOOKUP(S1541,Insumos!$A$3:$A$371,Insumos!$B$3:$B$371)</f>
        <v>KG</v>
      </c>
      <c r="U1541" s="235">
        <f ca="1">IF($B1541="insumo",R1541,"")</f>
        <v>76.150000000000006</v>
      </c>
      <c r="V1541" s="320">
        <f>ROUNDUP(9*0.3,4)</f>
        <v>2.7</v>
      </c>
      <c r="W1541" s="236">
        <f>IFERROR(IF(B1541="INSUMO",_xlfn.XLOOKUP(S1541,Insumos!A:A,Insumos!C:C),""),"Inserir Preço")</f>
        <v>0.84000000000000008</v>
      </c>
      <c r="X1541" s="235">
        <f t="shared" ca="1" si="1139"/>
        <v>205.60500000000002</v>
      </c>
      <c r="Y1541" s="236">
        <f t="shared" si="1117"/>
        <v>2.2680000000000002</v>
      </c>
      <c r="Z1541" s="237">
        <f t="shared" ca="1" si="1080"/>
        <v>172.70820000000003</v>
      </c>
      <c r="AA1541" s="238"/>
      <c r="AB1541" s="233" t="str">
        <f>IF(B1541="insumo",_xlfn.XLOOKUP(S1541,Insumos!A:A,Insumos!D:D),"")</f>
        <v>Argabrus</v>
      </c>
      <c r="AC1541" s="239">
        <f t="shared" ca="1" si="1081"/>
        <v>2.4776565905982066E-5</v>
      </c>
      <c r="AE1541" s="240">
        <f ca="1">IFERROR(IF(OR(Z1541="",Z1541=0),"",IF(AF1541="","",IF(AF1541="R$/mês",Z1541/OBRA!$D$12,IF(AF1541="R$/m²",Z1541/OBRA!$D$10,IF(AF1541="R$/apto",Orçamento!Z1541/OBRA!$D$11,""))))),"")</f>
        <v>8.8876869953633919E-2</v>
      </c>
      <c r="AF1541" s="241" t="s">
        <v>154</v>
      </c>
    </row>
    <row r="1542" spans="1:32" s="10" customFormat="1" ht="13.15" hidden="1" customHeight="1" outlineLevel="4" x14ac:dyDescent="0.2">
      <c r="A1542" s="227"/>
      <c r="B1542" s="228" t="s">
        <v>19</v>
      </c>
      <c r="C1542" s="229">
        <f t="shared" si="1079"/>
        <v>32</v>
      </c>
      <c r="D1542" s="227" t="str">
        <f>IF(B1542="Unidade Construtiva",TEXT(F1542,"00"),IF(B1542="Célula Construtiva",TEXT(H1542,"00"),IF(B1542="Etapa",CONCATENATE(TEXT(H1542,"00"),".",TEXT(J1542,"000")),IF(B1542="Subetapa",CONCATENATE(TEXT(H1542,"00"),".",TEXT(J1542,"000"),".",TEXT(L1542,"000")),IF(B1542="Serviço",CONCATENATE(TEXT(H1542,"00"),".",TEXT(J1542,"000"),".",TEXT(L1542,"000"),".",TEXT(N1542,"000")),"")))))</f>
        <v/>
      </c>
      <c r="E1542" s="228" t="str">
        <f ca="1">IF(B1542="*","",IFERROR(IF(B1542="SERVIÇO",D1542,OFFSET(E1542,-1,0)),""))</f>
        <v>15.002.003.003</v>
      </c>
      <c r="F1542" s="230">
        <f ca="1">IF($B1542="UNIDADE CONSTRUTIVA",OFFSET(F1542,-1,0)+1,LARGE(F$10:F1541,1))</f>
        <v>2</v>
      </c>
      <c r="G1542" s="228" t="str">
        <f t="shared" ca="1" si="1133"/>
        <v xml:space="preserve">   GERENCIAMENTO EXECUTIVO</v>
      </c>
      <c r="H1542" s="230">
        <f ca="1">IF(B1542="UNIDADE CONSTRUTIVA",0,IF(B1542="CÉLULA CONSTRUTIVA",OFFSET(H1542,-1,0)+1,OFFSET(H1542,-1,0)))</f>
        <v>15</v>
      </c>
      <c r="I1542" s="228" t="str">
        <f t="shared" ca="1" si="1134"/>
        <v xml:space="preserve">   PISOS E PAVIMENTAÇÕES</v>
      </c>
      <c r="J1542" s="230">
        <f ca="1">IF(B1542="CÉLULA CONSTRUTIVA",0,IF(B1542="ETAPA",OFFSET(J1542,-1,0)+1,OFFSET(J1542,-1,0)))</f>
        <v>2</v>
      </c>
      <c r="K1542" s="228" t="str">
        <f t="shared" ca="1" si="1135"/>
        <v xml:space="preserve">   PISOS E PAVIMENTAÇÕES - TÉRREO - 2º PAVIMENTO - TÉRREO</v>
      </c>
      <c r="L1542" s="231">
        <f ca="1">IF(B1542="ETAPA",0,IF(B1542="SUBETAPA",OFFSET(L1542,-1,0)+1,OFFSET(L1542,-1,0)))</f>
        <v>3</v>
      </c>
      <c r="M1542" s="228" t="str">
        <f t="shared" ca="1" si="1136"/>
        <v xml:space="preserve">   Rodapés</v>
      </c>
      <c r="N1542" s="231">
        <f ca="1">IF(B1542="Subetapa",0,IF(B1542="serviço",OFFSET(N1542,-1,0)+1,OFFSET(N1542,-1,0)))</f>
        <v>3</v>
      </c>
      <c r="O1542" s="228" t="str">
        <f t="shared" ca="1" si="1137"/>
        <v>Revestimento interno de Rodapé Porcelanato h=0,30cm</v>
      </c>
      <c r="P1542" s="232" t="str">
        <f>IF(S1542="","",IF(Orçamento!$B1542="INSUMO",S1542,""))</f>
        <v>REJUNTE FLEXIVEL CIMENTICIO TIPO II NBR 14992</v>
      </c>
      <c r="Q1542" s="244" t="str">
        <f>IF(B1542="","",IF(B1542="Serviço",S1542,""))</f>
        <v/>
      </c>
      <c r="R1542" s="234">
        <f t="shared" ca="1" si="1138"/>
        <v>76.150000000000006</v>
      </c>
      <c r="S1542" s="233" t="s">
        <v>734</v>
      </c>
      <c r="T1542" s="242" t="str">
        <f>_xlfn.XLOOKUP(S1542,Insumos!$A$3:$A$371,Insumos!$B$3:$B$371)</f>
        <v>KG</v>
      </c>
      <c r="U1542" s="235">
        <f ca="1">IF($B1542="insumo",R1542,"")</f>
        <v>76.150000000000006</v>
      </c>
      <c r="V1542" s="320">
        <f>ROUNDUP(0.13*0.3,4)</f>
        <v>3.9E-2</v>
      </c>
      <c r="W1542" s="236">
        <f>IFERROR(IF(B1542="INSUMO",_xlfn.XLOOKUP(S1542,Insumos!A:A,Insumos!C:C),""),"Inserir Preço")</f>
        <v>4.2</v>
      </c>
      <c r="X1542" s="235">
        <f t="shared" ca="1" si="1139"/>
        <v>2.9698500000000001</v>
      </c>
      <c r="Y1542" s="236">
        <f t="shared" si="1117"/>
        <v>0.1638</v>
      </c>
      <c r="Z1542" s="237">
        <f t="shared" ca="1" si="1080"/>
        <v>12.473370000000001</v>
      </c>
      <c r="AA1542" s="238"/>
      <c r="AB1542" s="233" t="str">
        <f>IF(B1542="insumo",_xlfn.XLOOKUP(S1542,Insumos!A:A,Insumos!D:D),"")</f>
        <v>Distribuidora Sika</v>
      </c>
      <c r="AC1542" s="239">
        <f t="shared" ca="1" si="1081"/>
        <v>1.7894186487653714E-6</v>
      </c>
      <c r="AE1542" s="240">
        <f ca="1">IFERROR(IF(OR(Z1542="",Z1542=0),"",IF(AF1542="","",IF(AF1542="R$/mês",Z1542/OBRA!$D$12,IF(AF1542="R$/m²",Z1542/OBRA!$D$10,IF(AF1542="R$/apto",Orçamento!Z1542/OBRA!$D$11,""))))),"")</f>
        <v>6.4188850522068934E-3</v>
      </c>
      <c r="AF1542" s="241" t="s">
        <v>154</v>
      </c>
    </row>
    <row r="1543" spans="1:32" s="10" customFormat="1" ht="13.15" hidden="1" customHeight="1" outlineLevel="4" x14ac:dyDescent="0.2">
      <c r="A1543" s="227"/>
      <c r="B1543" s="228" t="s">
        <v>19</v>
      </c>
      <c r="C1543" s="229">
        <f t="shared" si="1079"/>
        <v>14</v>
      </c>
      <c r="D1543" s="227" t="str">
        <f>IF(B1543="Unidade Construtiva",TEXT(F1543,"00"),IF(B1543="Célula Construtiva",TEXT(H1543,"00"),IF(B1543="Etapa",CONCATENATE(TEXT(H1543,"00"),".",TEXT(J1543,"000")),IF(B1543="Subetapa",CONCATENATE(TEXT(H1543,"00"),".",TEXT(J1543,"000"),".",TEXT(L1543,"000")),IF(B1543="Serviço",CONCATENATE(TEXT(H1543,"00"),".",TEXT(J1543,"000"),".",TEXT(L1543,"000"),".",TEXT(N1543,"000")),"")))))</f>
        <v/>
      </c>
      <c r="E1543" s="228" t="str">
        <f ca="1">IF(B1543="*","",IFERROR(IF(B1543="SERVIÇO",D1543,OFFSET(E1543,-1,0)),""))</f>
        <v>15.002.003.003</v>
      </c>
      <c r="F1543" s="230">
        <f ca="1">IF($B1543="UNIDADE CONSTRUTIVA",OFFSET(F1543,-1,0)+1,LARGE(F$10:F1542,1))</f>
        <v>2</v>
      </c>
      <c r="G1543" s="228" t="str">
        <f ca="1">IF(B1543="*","",IF(B1543="UNIDADE CONSTRUTIVA",S1543,OFFSET(G1543,-1,0)))</f>
        <v xml:space="preserve">   GERENCIAMENTO EXECUTIVO</v>
      </c>
      <c r="H1543" s="230">
        <f ca="1">IF(B1543="UNIDADE CONSTRUTIVA",0,IF(B1543="CÉLULA CONSTRUTIVA",OFFSET(H1543,-1,0)+1,OFFSET(H1543,-1,0)))</f>
        <v>15</v>
      </c>
      <c r="I1543" s="228" t="str">
        <f ca="1">IF(B1543="*","",IF(B1543="CÉLULA CONSTRUTIVA",S1543,OFFSET(I1543,-1,0)))</f>
        <v xml:space="preserve">   PISOS E PAVIMENTAÇÕES</v>
      </c>
      <c r="J1543" s="230">
        <f ca="1">IF(B1543="CÉLULA CONSTRUTIVA",0,IF(B1543="ETAPA",OFFSET(J1543,-1,0)+1,OFFSET(J1543,-1,0)))</f>
        <v>2</v>
      </c>
      <c r="K1543" s="228" t="str">
        <f ca="1">IF(B1543="*","",IF(B1543="ETAPA",S1543,OFFSET(K1543,-1,0)))</f>
        <v xml:space="preserve">   PISOS E PAVIMENTAÇÕES - TÉRREO - 2º PAVIMENTO - TÉRREO</v>
      </c>
      <c r="L1543" s="231">
        <f ca="1">IF(B1543="ETAPA",0,IF(B1543="SUBETAPA",OFFSET(L1543,-1,0)+1,OFFSET(L1543,-1,0)))</f>
        <v>3</v>
      </c>
      <c r="M1543" s="228" t="str">
        <f ca="1">IF(B1543="*","",IF(B1543="SUBETAPA",S1543,OFFSET(M1543,-1,0)))</f>
        <v xml:space="preserve">   Rodapés</v>
      </c>
      <c r="N1543" s="231">
        <f ca="1">IF(B1543="Subetapa",0,IF(B1543="serviço",OFFSET(N1543,-1,0)+1,OFFSET(N1543,-1,0)))</f>
        <v>3</v>
      </c>
      <c r="O1543" s="228" t="str">
        <f ca="1">IF(B1543="*","",IF(B1543="SERVIÇO",S1543,OFFSET(O1543,-1,0)))</f>
        <v>Revestimento interno de Rodapé Porcelanato h=0,30cm</v>
      </c>
      <c r="P1543" s="232" t="str">
        <f>IF(S1543="","",IF(Orçamento!$B1543="INSUMO",S1543,""))</f>
        <v>CUNHA PVC P/NIVELAMENTO PISO NBR 6118</v>
      </c>
      <c r="Q1543" s="244" t="str">
        <f>IF(B1543="","",IF(B1543="Serviço",S1543,""))</f>
        <v/>
      </c>
      <c r="R1543" s="234">
        <f ca="1">IF(B1543="serviço",U1543,OFFSET(R1543,-1,0))</f>
        <v>76.150000000000006</v>
      </c>
      <c r="S1543" s="233" t="s">
        <v>717</v>
      </c>
      <c r="T1543" s="242" t="str">
        <f>_xlfn.XLOOKUP(S1543,Insumos!$A$3:$A$371,Insumos!$B$3:$B$371)</f>
        <v>UN</v>
      </c>
      <c r="U1543" s="235">
        <f ca="1">IF($B1543="insumo",R1543,"")</f>
        <v>76.150000000000006</v>
      </c>
      <c r="V1543" s="320">
        <f>ROUNDUP(2*0.3,4)</f>
        <v>0.6</v>
      </c>
      <c r="W1543" s="236">
        <f>IFERROR(IF(B1543="INSUMO",_xlfn.XLOOKUP(S1543,Insumos!A:A,Insumos!C:C),""),"Inserir Preço")</f>
        <v>0.2</v>
      </c>
      <c r="X1543" s="235">
        <f t="shared" ca="1" si="1139"/>
        <v>45.690000000000005</v>
      </c>
      <c r="Y1543" s="236">
        <f t="shared" si="1117"/>
        <v>0.12</v>
      </c>
      <c r="Z1543" s="237">
        <f t="shared" ca="1" si="1080"/>
        <v>9.1380000000000017</v>
      </c>
      <c r="AA1543" s="238"/>
      <c r="AB1543" s="233" t="str">
        <f>IF(B1543="insumo",_xlfn.XLOOKUP(S1543,Insumos!A:A,Insumos!D:D),"")</f>
        <v>Base de Dados</v>
      </c>
      <c r="AC1543" s="239">
        <f t="shared" ca="1" si="1081"/>
        <v>1.3109294130149242E-6</v>
      </c>
      <c r="AE1543" s="240">
        <f ca="1">IFERROR(IF(OR(Z1543="",Z1543=0),"",IF(AF1543="","",IF(AF1543="R$/mês",Z1543/OBRA!$D$12,IF(AF1543="R$/m²",Z1543/OBRA!$D$10,IF(AF1543="R$/apto",Orçamento!Z1543/OBRA!$D$11,""))))),"")</f>
        <v>4.702479891726662E-3</v>
      </c>
      <c r="AF1543" s="241" t="s">
        <v>154</v>
      </c>
    </row>
    <row r="1544" spans="1:32" s="10" customFormat="1" ht="13.15" hidden="1" customHeight="1" outlineLevel="4" x14ac:dyDescent="0.2">
      <c r="A1544" s="227"/>
      <c r="B1544" s="228" t="s">
        <v>19</v>
      </c>
      <c r="C1544" s="229">
        <f t="shared" si="1079"/>
        <v>14</v>
      </c>
      <c r="D1544" s="227" t="str">
        <f>IF(B1544="Unidade Construtiva",TEXT(F1544,"00"),IF(B1544="Célula Construtiva",TEXT(H1544,"00"),IF(B1544="Etapa",CONCATENATE(TEXT(H1544,"00"),".",TEXT(J1544,"000")),IF(B1544="Subetapa",CONCATENATE(TEXT(H1544,"00"),".",TEXT(J1544,"000"),".",TEXT(L1544,"000")),IF(B1544="Serviço",CONCATENATE(TEXT(H1544,"00"),".",TEXT(J1544,"000"),".",TEXT(L1544,"000"),".",TEXT(N1544,"000")),"")))))</f>
        <v/>
      </c>
      <c r="E1544" s="228" t="str">
        <f ca="1">IF(B1544="*","",IFERROR(IF(B1544="SERVIÇO",D1544,OFFSET(E1544,-1,0)),""))</f>
        <v>15.002.003.003</v>
      </c>
      <c r="F1544" s="230">
        <f ca="1">IF($B1544="UNIDADE CONSTRUTIVA",OFFSET(F1544,-1,0)+1,LARGE(F$10:F1543,1))</f>
        <v>2</v>
      </c>
      <c r="G1544" s="228" t="str">
        <f ca="1">IF(B1544="*","",IF(B1544="UNIDADE CONSTRUTIVA",S1544,OFFSET(G1544,-1,0)))</f>
        <v xml:space="preserve">   GERENCIAMENTO EXECUTIVO</v>
      </c>
      <c r="H1544" s="230">
        <f ca="1">IF(B1544="UNIDADE CONSTRUTIVA",0,IF(B1544="CÉLULA CONSTRUTIVA",OFFSET(H1544,-1,0)+1,OFFSET(H1544,-1,0)))</f>
        <v>15</v>
      </c>
      <c r="I1544" s="228" t="str">
        <f ca="1">IF(B1544="*","",IF(B1544="CÉLULA CONSTRUTIVA",S1544,OFFSET(I1544,-1,0)))</f>
        <v xml:space="preserve">   PISOS E PAVIMENTAÇÕES</v>
      </c>
      <c r="J1544" s="230">
        <f ca="1">IF(B1544="CÉLULA CONSTRUTIVA",0,IF(B1544="ETAPA",OFFSET(J1544,-1,0)+1,OFFSET(J1544,-1,0)))</f>
        <v>2</v>
      </c>
      <c r="K1544" s="228" t="str">
        <f ca="1">IF(B1544="*","",IF(B1544="ETAPA",S1544,OFFSET(K1544,-1,0)))</f>
        <v xml:space="preserve">   PISOS E PAVIMENTAÇÕES - TÉRREO - 2º PAVIMENTO - TÉRREO</v>
      </c>
      <c r="L1544" s="231">
        <f ca="1">IF(B1544="ETAPA",0,IF(B1544="SUBETAPA",OFFSET(L1544,-1,0)+1,OFFSET(L1544,-1,0)))</f>
        <v>3</v>
      </c>
      <c r="M1544" s="228" t="str">
        <f ca="1">IF(B1544="*","",IF(B1544="SUBETAPA",S1544,OFFSET(M1544,-1,0)))</f>
        <v xml:space="preserve">   Rodapés</v>
      </c>
      <c r="N1544" s="231">
        <f ca="1">IF(B1544="Subetapa",0,IF(B1544="serviço",OFFSET(N1544,-1,0)+1,OFFSET(N1544,-1,0)))</f>
        <v>3</v>
      </c>
      <c r="O1544" s="228" t="str">
        <f ca="1">IF(B1544="*","",IF(B1544="SERVIÇO",S1544,OFFSET(O1544,-1,0)))</f>
        <v>Revestimento interno de Rodapé Porcelanato h=0,30cm</v>
      </c>
      <c r="P1544" s="232" t="str">
        <f>IF(S1544="","",IF(Orçamento!$B1544="INSUMO",S1544,""))</f>
        <v>ESPACADOR PVC NIVELAMENTO REVESTIMENTO 1,0MM NBR 6118</v>
      </c>
      <c r="Q1544" s="244" t="str">
        <f>IF(B1544="","",IF(B1544="Serviço",S1544,""))</f>
        <v/>
      </c>
      <c r="R1544" s="234">
        <f ca="1">IF(B1544="serviço",U1544,OFFSET(R1544,-1,0))</f>
        <v>76.150000000000006</v>
      </c>
      <c r="S1544" s="233" t="s">
        <v>715</v>
      </c>
      <c r="T1544" s="242" t="str">
        <f>_xlfn.XLOOKUP(S1544,Insumos!$A$3:$A$371,Insumos!$B$3:$B$371)</f>
        <v>UN</v>
      </c>
      <c r="U1544" s="235">
        <f ca="1">IF($B1544="insumo",R1544,"")</f>
        <v>76.150000000000006</v>
      </c>
      <c r="V1544" s="320">
        <f>ROUNDUP(4*0.3,4)</f>
        <v>1.2</v>
      </c>
      <c r="W1544" s="236">
        <f>IFERROR(IF(B1544="INSUMO",_xlfn.XLOOKUP(S1544,Insumos!A:A,Insumos!C:C),""),"Inserir Preço")</f>
        <v>0.22</v>
      </c>
      <c r="X1544" s="235">
        <f t="shared" ca="1" si="1139"/>
        <v>91.38000000000001</v>
      </c>
      <c r="Y1544" s="236">
        <f t="shared" si="1117"/>
        <v>0.26400000000000001</v>
      </c>
      <c r="Z1544" s="237">
        <f t="shared" ca="1" si="1080"/>
        <v>20.103600000000004</v>
      </c>
      <c r="AA1544" s="238"/>
      <c r="AB1544" s="233" t="str">
        <f>IF(B1544="insumo",_xlfn.XLOOKUP(S1544,Insumos!A:A,Insumos!D:D),"")</f>
        <v>Base de Dados</v>
      </c>
      <c r="AC1544" s="239">
        <f t="shared" ca="1" si="1081"/>
        <v>2.8840447086328334E-6</v>
      </c>
      <c r="AE1544" s="240">
        <f ca="1">IFERROR(IF(OR(Z1544="",Z1544=0),"",IF(AF1544="","",IF(AF1544="R$/mês",Z1544/OBRA!$D$12,IF(AF1544="R$/m²",Z1544/OBRA!$D$10,IF(AF1544="R$/apto",Orçamento!Z1544/OBRA!$D$11,""))))),"")</f>
        <v>1.0345455761798657E-2</v>
      </c>
      <c r="AF1544" s="241" t="s">
        <v>154</v>
      </c>
    </row>
    <row r="1545" spans="1:32" s="10" customFormat="1" ht="13.15" hidden="1" customHeight="1" outlineLevel="4" x14ac:dyDescent="0.2">
      <c r="A1545" s="227"/>
      <c r="B1545" s="228" t="s">
        <v>19</v>
      </c>
      <c r="C1545" s="229">
        <f t="shared" si="1079"/>
        <v>6</v>
      </c>
      <c r="D1545" s="227" t="str">
        <f t="shared" ref="D1545:D1551" si="1147">IF(B1545="Unidade Construtiva",TEXT(F1545,"00"),IF(B1545="Célula Construtiva",TEXT(H1545,"00"),IF(B1545="Etapa",CONCATENATE(TEXT(H1545,"00"),".",TEXT(J1545,"000")),IF(B1545="Subetapa",CONCATENATE(TEXT(H1545,"00"),".",TEXT(J1545,"000"),".",TEXT(L1545,"000")),IF(B1545="Serviço",CONCATENATE(TEXT(H1545,"00"),".",TEXT(J1545,"000"),".",TEXT(L1545,"000"),".",TEXT(N1545,"000")),"")))))</f>
        <v/>
      </c>
      <c r="E1545" s="228" t="str">
        <f t="shared" ref="E1545:E1551" ca="1" si="1148">IF(B1545="*","",IFERROR(IF(B1545="SERVIÇO",D1545,OFFSET(E1545,-1,0)),""))</f>
        <v>15.002.003.003</v>
      </c>
      <c r="F1545" s="230">
        <f ca="1">IF($B1545="UNIDADE CONSTRUTIVA",OFFSET(F1545,-1,0)+1,LARGE(F$10:F1544,1))</f>
        <v>2</v>
      </c>
      <c r="G1545" s="228" t="str">
        <f t="shared" ref="G1545:G1551" ca="1" si="1149">IF(B1545="*","",IF(B1545="UNIDADE CONSTRUTIVA",S1545,OFFSET(G1545,-1,0)))</f>
        <v xml:space="preserve">   GERENCIAMENTO EXECUTIVO</v>
      </c>
      <c r="H1545" s="230">
        <f t="shared" ref="H1545:H1551" ca="1" si="1150">IF(B1545="UNIDADE CONSTRUTIVA",0,IF(B1545="CÉLULA CONSTRUTIVA",OFFSET(H1545,-1,0)+1,OFFSET(H1545,-1,0)))</f>
        <v>15</v>
      </c>
      <c r="I1545" s="228" t="str">
        <f t="shared" ref="I1545:I1551" ca="1" si="1151">IF(B1545="*","",IF(B1545="CÉLULA CONSTRUTIVA",S1545,OFFSET(I1545,-1,0)))</f>
        <v xml:space="preserve">   PISOS E PAVIMENTAÇÕES</v>
      </c>
      <c r="J1545" s="230">
        <f t="shared" ref="J1545:J1551" ca="1" si="1152">IF(B1545="CÉLULA CONSTRUTIVA",0,IF(B1545="ETAPA",OFFSET(J1545,-1,0)+1,OFFSET(J1545,-1,0)))</f>
        <v>2</v>
      </c>
      <c r="K1545" s="228" t="str">
        <f t="shared" ref="K1545:K1551" ca="1" si="1153">IF(B1545="*","",IF(B1545="ETAPA",S1545,OFFSET(K1545,-1,0)))</f>
        <v xml:space="preserve">   PISOS E PAVIMENTAÇÕES - TÉRREO - 2º PAVIMENTO - TÉRREO</v>
      </c>
      <c r="L1545" s="231">
        <f t="shared" ref="L1545:L1551" ca="1" si="1154">IF(B1545="ETAPA",0,IF(B1545="SUBETAPA",OFFSET(L1545,-1,0)+1,OFFSET(L1545,-1,0)))</f>
        <v>3</v>
      </c>
      <c r="M1545" s="228" t="str">
        <f t="shared" ref="M1545:M1551" ca="1" si="1155">IF(B1545="*","",IF(B1545="SUBETAPA",S1545,OFFSET(M1545,-1,0)))</f>
        <v xml:space="preserve">   Rodapés</v>
      </c>
      <c r="N1545" s="231">
        <f t="shared" ref="N1545:N1551" ca="1" si="1156">IF(B1545="Subetapa",0,IF(B1545="serviço",OFFSET(N1545,-1,0)+1,OFFSET(N1545,-1,0)))</f>
        <v>3</v>
      </c>
      <c r="O1545" s="228" t="str">
        <f t="shared" ref="O1545:O1551" ca="1" si="1157">IF(B1545="*","",IF(B1545="SERVIÇO",S1545,OFFSET(O1545,-1,0)))</f>
        <v>Revestimento interno de Rodapé Porcelanato h=0,30cm</v>
      </c>
      <c r="P1545" s="232" t="str">
        <f>IF(S1545="","",IF(Orçamento!$B1545="INSUMO",S1545,""))</f>
        <v>REVESTIMENTO - HIT GRIS 80X80 NAT RET</v>
      </c>
      <c r="Q1545" s="244" t="str">
        <f t="shared" ref="Q1545:Q1551" si="1158">IF(B1545="","",IF(B1545="Serviço",S1545,""))</f>
        <v/>
      </c>
      <c r="R1545" s="234">
        <f t="shared" ref="R1545:R1551" ca="1" si="1159">IF(B1545="serviço",U1545,OFFSET(R1545,-1,0))</f>
        <v>76.150000000000006</v>
      </c>
      <c r="S1545" s="233" t="s">
        <v>911</v>
      </c>
      <c r="T1545" s="242" t="str">
        <f>_xlfn.XLOOKUP(S1545,Insumos!$A$3:$A$371,Insumos!$B$3:$B$371)</f>
        <v>M2</v>
      </c>
      <c r="U1545" s="235">
        <f ca="1">IF($B1545="insumo",R1545,"")</f>
        <v>76.150000000000006</v>
      </c>
      <c r="V1545" s="320">
        <f>ROUNDUP(1.1*0.3,4)</f>
        <v>0.33</v>
      </c>
      <c r="W1545" s="236">
        <f>IFERROR(IF(B1545="INSUMO",_xlfn.XLOOKUP(S1545,Insumos!A:A,Insumos!C:C),""),"Inserir Preço")</f>
        <v>60.29</v>
      </c>
      <c r="X1545" s="235">
        <f t="shared" ca="1" si="1139"/>
        <v>25.129500000000004</v>
      </c>
      <c r="Y1545" s="236">
        <f t="shared" si="1117"/>
        <v>19.895700000000001</v>
      </c>
      <c r="Z1545" s="237">
        <f t="shared" ca="1" si="1080"/>
        <v>1515.0575550000001</v>
      </c>
      <c r="AA1545" s="238"/>
      <c r="AB1545" s="233" t="str">
        <f>IF(B1545="insumo",_xlfn.XLOOKUP(S1545,Insumos!A:A,Insumos!D:D),"")</f>
        <v>Portobelo</v>
      </c>
      <c r="AC1545" s="239">
        <f t="shared" ca="1" si="1081"/>
        <v>2.1734881935434185E-4</v>
      </c>
      <c r="AE1545" s="240">
        <f ca="1">IFERROR(IF(OR(Z1545="",Z1545=0),"",IF(AF1545="","",IF(AF1545="R$/mês",Z1545/OBRA!$D$12,IF(AF1545="R$/m²",Z1545/OBRA!$D$10,IF(AF1545="R$/apto",Orçamento!Z1545/OBRA!$D$11,""))))),"")</f>
        <v>0.7796594098485512</v>
      </c>
      <c r="AF1545" s="241" t="s">
        <v>154</v>
      </c>
    </row>
    <row r="1546" spans="1:32" s="10" customFormat="1" ht="13.15" hidden="1" customHeight="1" outlineLevel="4" x14ac:dyDescent="0.2">
      <c r="A1546" s="227"/>
      <c r="B1546" s="228" t="s">
        <v>4</v>
      </c>
      <c r="C1546" s="229">
        <f t="shared" si="1079"/>
        <v>3</v>
      </c>
      <c r="D1546" s="227" t="str">
        <f t="shared" ca="1" si="1147"/>
        <v>15.002.003.004</v>
      </c>
      <c r="E1546" s="228" t="str">
        <f t="shared" ca="1" si="1148"/>
        <v>15.002.003.004</v>
      </c>
      <c r="F1546" s="230">
        <f ca="1">IF($B1546="UNIDADE CONSTRUTIVA",OFFSET(F1546,-1,0)+1,LARGE(F$10:F1545,1))</f>
        <v>2</v>
      </c>
      <c r="G1546" s="228" t="str">
        <f t="shared" ca="1" si="1149"/>
        <v xml:space="preserve">   GERENCIAMENTO EXECUTIVO</v>
      </c>
      <c r="H1546" s="230">
        <f t="shared" ca="1" si="1150"/>
        <v>15</v>
      </c>
      <c r="I1546" s="228" t="str">
        <f t="shared" ca="1" si="1151"/>
        <v xml:space="preserve">   PISOS E PAVIMENTAÇÕES</v>
      </c>
      <c r="J1546" s="230">
        <f t="shared" ca="1" si="1152"/>
        <v>2</v>
      </c>
      <c r="K1546" s="228" t="str">
        <f t="shared" ca="1" si="1153"/>
        <v xml:space="preserve">   PISOS E PAVIMENTAÇÕES - TÉRREO - 2º PAVIMENTO - TÉRREO</v>
      </c>
      <c r="L1546" s="231">
        <f t="shared" ca="1" si="1154"/>
        <v>3</v>
      </c>
      <c r="M1546" s="228" t="str">
        <f t="shared" ca="1" si="1155"/>
        <v xml:space="preserve">   Rodapés</v>
      </c>
      <c r="N1546" s="231">
        <f t="shared" ca="1" si="1156"/>
        <v>4</v>
      </c>
      <c r="O1546" s="228" t="str">
        <f t="shared" ca="1" si="1157"/>
        <v>Revestimento interno de Rodapé Porcelanato h=0,07cm</v>
      </c>
      <c r="P1546" s="232" t="str">
        <f>IF(S1546="","",IF(Orçamento!$B1546="INSUMO",S1546,""))</f>
        <v/>
      </c>
      <c r="Q1546" s="244" t="str">
        <f t="shared" si="1158"/>
        <v>Revestimento interno de Rodapé Porcelanato h=0,07cm</v>
      </c>
      <c r="R1546" s="234">
        <f t="shared" ca="1" si="1159"/>
        <v>10.98</v>
      </c>
      <c r="S1546" s="233" t="s">
        <v>1120</v>
      </c>
      <c r="T1546" s="242" t="s">
        <v>158</v>
      </c>
      <c r="U1546" s="235">
        <v>10.98</v>
      </c>
      <c r="V1546" s="320" t="s">
        <v>35</v>
      </c>
      <c r="W1546" s="236" t="str">
        <f>IFERROR(IF(B1546="INSUMO",_xlfn.XLOOKUP(S1546,Insumos!A:A,Insumos!C:C),""),"Inserir Preço")</f>
        <v/>
      </c>
      <c r="X1546" s="235">
        <f t="shared" ca="1" si="1139"/>
        <v>10.98</v>
      </c>
      <c r="Y1546" s="236">
        <f t="shared" ca="1" si="1117"/>
        <v>5.2993500000000004</v>
      </c>
      <c r="Z1546" s="237">
        <f t="shared" ca="1" si="1080"/>
        <v>58.18686300000001</v>
      </c>
      <c r="AA1546" s="238"/>
      <c r="AB1546" s="233" t="str">
        <f>IF(B1546="insumo",_xlfn.XLOOKUP(S1546,Insumos!A:A,Insumos!D:D),"")</f>
        <v/>
      </c>
      <c r="AC1546" s="239">
        <f t="shared" ca="1" si="1081"/>
        <v>8.3474359988804775E-6</v>
      </c>
      <c r="AE1546" s="240">
        <f ca="1">IFERROR(IF(OR(Z1546="",Z1546=0),"",IF(AF1546="","",IF(AF1546="R$/mês",Z1546/OBRA!$D$12,IF(AF1546="R$/m²",Z1546/OBRA!$D$10,IF(AF1546="R$/apto",Orçamento!Z1546/OBRA!$D$11,""))))),"")</f>
        <v>2.994337417598535E-2</v>
      </c>
      <c r="AF1546" s="241" t="s">
        <v>154</v>
      </c>
    </row>
    <row r="1547" spans="1:32" s="10" customFormat="1" ht="13.15" hidden="1" customHeight="1" outlineLevel="4" x14ac:dyDescent="0.2">
      <c r="A1547" s="227"/>
      <c r="B1547" s="228" t="s">
        <v>19</v>
      </c>
      <c r="C1547" s="229">
        <f t="shared" si="1079"/>
        <v>23</v>
      </c>
      <c r="D1547" s="227" t="str">
        <f t="shared" si="1147"/>
        <v/>
      </c>
      <c r="E1547" s="228" t="str">
        <f t="shared" ca="1" si="1148"/>
        <v>15.002.003.004</v>
      </c>
      <c r="F1547" s="230">
        <f ca="1">IF($B1547="UNIDADE CONSTRUTIVA",OFFSET(F1547,-1,0)+1,LARGE(F$10:F1546,1))</f>
        <v>2</v>
      </c>
      <c r="G1547" s="228" t="str">
        <f t="shared" ca="1" si="1149"/>
        <v xml:space="preserve">   GERENCIAMENTO EXECUTIVO</v>
      </c>
      <c r="H1547" s="230">
        <f t="shared" ca="1" si="1150"/>
        <v>15</v>
      </c>
      <c r="I1547" s="228" t="str">
        <f t="shared" ca="1" si="1151"/>
        <v xml:space="preserve">   PISOS E PAVIMENTAÇÕES</v>
      </c>
      <c r="J1547" s="230">
        <f t="shared" ca="1" si="1152"/>
        <v>2</v>
      </c>
      <c r="K1547" s="228" t="str">
        <f t="shared" ca="1" si="1153"/>
        <v xml:space="preserve">   PISOS E PAVIMENTAÇÕES - TÉRREO - 2º PAVIMENTO - TÉRREO</v>
      </c>
      <c r="L1547" s="231">
        <f t="shared" ca="1" si="1154"/>
        <v>3</v>
      </c>
      <c r="M1547" s="228" t="str">
        <f t="shared" ca="1" si="1155"/>
        <v xml:space="preserve">   Rodapés</v>
      </c>
      <c r="N1547" s="231">
        <f t="shared" ca="1" si="1156"/>
        <v>4</v>
      </c>
      <c r="O1547" s="228" t="str">
        <f t="shared" ca="1" si="1157"/>
        <v>Revestimento interno de Rodapé Porcelanato h=0,07cm</v>
      </c>
      <c r="P1547" s="232" t="str">
        <f>IF(S1547="","",IF(Orçamento!$B1547="INSUMO",S1547,""))</f>
        <v>ARGAMASSA COLANTE AC II</v>
      </c>
      <c r="Q1547" s="244" t="str">
        <f t="shared" si="1158"/>
        <v/>
      </c>
      <c r="R1547" s="234">
        <f t="shared" ca="1" si="1159"/>
        <v>10.98</v>
      </c>
      <c r="S1547" s="233" t="s">
        <v>314</v>
      </c>
      <c r="T1547" s="242" t="str">
        <f>_xlfn.XLOOKUP(S1547,Insumos!$A$3:$A$371,Insumos!$B$3:$B$371)</f>
        <v>KG</v>
      </c>
      <c r="U1547" s="235">
        <f ca="1">IF($B1547="insumo",R1547,"")</f>
        <v>10.98</v>
      </c>
      <c r="V1547" s="320">
        <f>ROUNDUP(9*0.07,4)</f>
        <v>0.63</v>
      </c>
      <c r="W1547" s="236">
        <f>IFERROR(IF(B1547="INSUMO",_xlfn.XLOOKUP(S1547,Insumos!A:A,Insumos!C:C),""),"Inserir Preço")</f>
        <v>0.84000000000000008</v>
      </c>
      <c r="X1547" s="235">
        <f t="shared" ca="1" si="1139"/>
        <v>6.9174000000000007</v>
      </c>
      <c r="Y1547" s="236">
        <f t="shared" si="1117"/>
        <v>0.5292</v>
      </c>
      <c r="Z1547" s="237">
        <f t="shared" ca="1" si="1080"/>
        <v>5.8106160000000013</v>
      </c>
      <c r="AA1547" s="238"/>
      <c r="AB1547" s="233" t="str">
        <f>IF(B1547="insumo",_xlfn.XLOOKUP(S1547,Insumos!A:A,Insumos!D:D),"")</f>
        <v>Argabrus</v>
      </c>
      <c r="AC1547" s="239">
        <f t="shared" ca="1" si="1081"/>
        <v>8.3358584177447223E-7</v>
      </c>
      <c r="AE1547" s="240">
        <f ca="1">IFERROR(IF(OR(Z1547="",Z1547=0),"",IF(AF1547="","",IF(AF1547="R$/mês",Z1547/OBRA!$D$12,IF(AF1547="R$/m²",Z1547/OBRA!$D$10,IF(AF1547="R$/apto",Orçamento!Z1547/OBRA!$D$11,""))))),"")</f>
        <v>2.9901843837322403E-3</v>
      </c>
      <c r="AF1547" s="241" t="s">
        <v>154</v>
      </c>
    </row>
    <row r="1548" spans="1:32" s="10" customFormat="1" ht="13.15" hidden="1" customHeight="1" outlineLevel="4" x14ac:dyDescent="0.2">
      <c r="A1548" s="227"/>
      <c r="B1548" s="228" t="s">
        <v>19</v>
      </c>
      <c r="C1548" s="229">
        <f t="shared" ref="C1548:C1611" si="1160">IF(B1548="INSUMO",COUNTIFS(B:B,"INSUMO",S:S,S1548),IF(B1548="SERVIÇO",COUNTIFS(B:B,"SERVIÇO",S:S,S1548),""))</f>
        <v>32</v>
      </c>
      <c r="D1548" s="227" t="str">
        <f t="shared" si="1147"/>
        <v/>
      </c>
      <c r="E1548" s="228" t="str">
        <f t="shared" ca="1" si="1148"/>
        <v>15.002.003.004</v>
      </c>
      <c r="F1548" s="230">
        <f ca="1">IF($B1548="UNIDADE CONSTRUTIVA",OFFSET(F1548,-1,0)+1,LARGE(F$10:F1547,1))</f>
        <v>2</v>
      </c>
      <c r="G1548" s="228" t="str">
        <f t="shared" ca="1" si="1149"/>
        <v xml:space="preserve">   GERENCIAMENTO EXECUTIVO</v>
      </c>
      <c r="H1548" s="230">
        <f t="shared" ca="1" si="1150"/>
        <v>15</v>
      </c>
      <c r="I1548" s="228" t="str">
        <f t="shared" ca="1" si="1151"/>
        <v xml:space="preserve">   PISOS E PAVIMENTAÇÕES</v>
      </c>
      <c r="J1548" s="230">
        <f t="shared" ca="1" si="1152"/>
        <v>2</v>
      </c>
      <c r="K1548" s="228" t="str">
        <f t="shared" ca="1" si="1153"/>
        <v xml:space="preserve">   PISOS E PAVIMENTAÇÕES - TÉRREO - 2º PAVIMENTO - TÉRREO</v>
      </c>
      <c r="L1548" s="231">
        <f t="shared" ca="1" si="1154"/>
        <v>3</v>
      </c>
      <c r="M1548" s="228" t="str">
        <f t="shared" ca="1" si="1155"/>
        <v xml:space="preserve">   Rodapés</v>
      </c>
      <c r="N1548" s="231">
        <f t="shared" ca="1" si="1156"/>
        <v>4</v>
      </c>
      <c r="O1548" s="228" t="str">
        <f t="shared" ca="1" si="1157"/>
        <v>Revestimento interno de Rodapé Porcelanato h=0,07cm</v>
      </c>
      <c r="P1548" s="232" t="str">
        <f>IF(S1548="","",IF(Orçamento!$B1548="INSUMO",S1548,""))</f>
        <v>REJUNTE FLEXIVEL CIMENTICIO TIPO II NBR 14992</v>
      </c>
      <c r="Q1548" s="244" t="str">
        <f t="shared" si="1158"/>
        <v/>
      </c>
      <c r="R1548" s="234">
        <f t="shared" ca="1" si="1159"/>
        <v>10.98</v>
      </c>
      <c r="S1548" s="233" t="s">
        <v>734</v>
      </c>
      <c r="T1548" s="242" t="str">
        <f>_xlfn.XLOOKUP(S1548,Insumos!$A$3:$A$371,Insumos!$B$3:$B$371)</f>
        <v>KG</v>
      </c>
      <c r="U1548" s="235">
        <f ca="1">IF($B1548="insumo",R1548,"")</f>
        <v>10.98</v>
      </c>
      <c r="V1548" s="320">
        <f>ROUNDUP(0.13*0.07,4)</f>
        <v>9.1000000000000004E-3</v>
      </c>
      <c r="W1548" s="236">
        <f>IFERROR(IF(B1548="INSUMO",_xlfn.XLOOKUP(S1548,Insumos!A:A,Insumos!C:C),""),"Inserir Preço")</f>
        <v>4.2</v>
      </c>
      <c r="X1548" s="235">
        <f t="shared" ca="1" si="1139"/>
        <v>9.9918000000000007E-2</v>
      </c>
      <c r="Y1548" s="236">
        <f t="shared" si="1117"/>
        <v>3.8220000000000004E-2</v>
      </c>
      <c r="Z1548" s="237">
        <f t="shared" ref="Z1548:Z1611" ca="1" si="1161">IFERROR(IF(B1548="Unidade Construtiva",SUMIFS(Z:Z,B:B,"Célula Construtiva",G:G,G1548),IF(B1548="célula construtiva",SUMIFS(Z:Z,B:B,"Insumo",I:I,I1548,G:G,G1548),IF(B1548="ETAPA",SUMIFS(Z:Z,B:B,"Insumo",K:K,K1548,I:I,I1548,G:G,G1548),IF(B1548="subetapa",SUMIFS(Z:Z,M:M,M1548,B:B,"insumo",K:K,K1548,I:I,I1548,G:G,G1548),IF(B1548="complemento do insumo",V1548*W1548,IF(B1548="INSUMO",R1548*V1548*W1548,X1548*Y1548)))))),"")</f>
        <v>0.41965560000000007</v>
      </c>
      <c r="AA1548" s="238"/>
      <c r="AB1548" s="233" t="str">
        <f>IF(B1548="insumo",_xlfn.XLOOKUP(S1548,Insumos!A:A,Insumos!D:D),"")</f>
        <v>Distribuidora Sika</v>
      </c>
      <c r="AC1548" s="239">
        <f t="shared" ref="AC1548:AC1611" ca="1" si="1162">IFERROR(IF(B1548="","",Z1548/SUMIF(B:B,"INSUMO",Z:Z)),0)</f>
        <v>6.0203421905934101E-8</v>
      </c>
      <c r="AE1548" s="240">
        <f ca="1">IFERROR(IF(OR(Z1548="",Z1548=0),"",IF(AF1548="","",IF(AF1548="R$/mês",Z1548/OBRA!$D$12,IF(AF1548="R$/m²",Z1548/OBRA!$D$10,IF(AF1548="R$/apto",Orçamento!Z1548/OBRA!$D$11,""))))),"")</f>
        <v>2.1595776104732845E-4</v>
      </c>
      <c r="AF1548" s="241" t="s">
        <v>154</v>
      </c>
    </row>
    <row r="1549" spans="1:32" s="10" customFormat="1" ht="13.15" hidden="1" customHeight="1" outlineLevel="4" x14ac:dyDescent="0.2">
      <c r="A1549" s="227"/>
      <c r="B1549" s="228" t="s">
        <v>19</v>
      </c>
      <c r="C1549" s="229">
        <f t="shared" si="1160"/>
        <v>14</v>
      </c>
      <c r="D1549" s="227" t="str">
        <f t="shared" si="1147"/>
        <v/>
      </c>
      <c r="E1549" s="228" t="str">
        <f t="shared" ca="1" si="1148"/>
        <v>15.002.003.004</v>
      </c>
      <c r="F1549" s="230">
        <f ca="1">IF($B1549="UNIDADE CONSTRUTIVA",OFFSET(F1549,-1,0)+1,LARGE(F$10:F1548,1))</f>
        <v>2</v>
      </c>
      <c r="G1549" s="228" t="str">
        <f t="shared" ca="1" si="1149"/>
        <v xml:space="preserve">   GERENCIAMENTO EXECUTIVO</v>
      </c>
      <c r="H1549" s="230">
        <f t="shared" ca="1" si="1150"/>
        <v>15</v>
      </c>
      <c r="I1549" s="228" t="str">
        <f t="shared" ca="1" si="1151"/>
        <v xml:space="preserve">   PISOS E PAVIMENTAÇÕES</v>
      </c>
      <c r="J1549" s="230">
        <f t="shared" ca="1" si="1152"/>
        <v>2</v>
      </c>
      <c r="K1549" s="228" t="str">
        <f t="shared" ca="1" si="1153"/>
        <v xml:space="preserve">   PISOS E PAVIMENTAÇÕES - TÉRREO - 2º PAVIMENTO - TÉRREO</v>
      </c>
      <c r="L1549" s="231">
        <f t="shared" ca="1" si="1154"/>
        <v>3</v>
      </c>
      <c r="M1549" s="228" t="str">
        <f t="shared" ca="1" si="1155"/>
        <v xml:space="preserve">   Rodapés</v>
      </c>
      <c r="N1549" s="231">
        <f t="shared" ca="1" si="1156"/>
        <v>4</v>
      </c>
      <c r="O1549" s="228" t="str">
        <f t="shared" ca="1" si="1157"/>
        <v>Revestimento interno de Rodapé Porcelanato h=0,07cm</v>
      </c>
      <c r="P1549" s="232" t="str">
        <f>IF(S1549="","",IF(Orçamento!$B1549="INSUMO",S1549,""))</f>
        <v>CUNHA PVC P/NIVELAMENTO PISO NBR 6118</v>
      </c>
      <c r="Q1549" s="244" t="str">
        <f t="shared" si="1158"/>
        <v/>
      </c>
      <c r="R1549" s="234">
        <f t="shared" ca="1" si="1159"/>
        <v>10.98</v>
      </c>
      <c r="S1549" s="233" t="s">
        <v>717</v>
      </c>
      <c r="T1549" s="242" t="str">
        <f>_xlfn.XLOOKUP(S1549,Insumos!$A$3:$A$371,Insumos!$B$3:$B$371)</f>
        <v>UN</v>
      </c>
      <c r="U1549" s="235">
        <f ca="1">IF($B1549="insumo",R1549,"")</f>
        <v>10.98</v>
      </c>
      <c r="V1549" s="320">
        <f>ROUNDUP(2*0.07,4)</f>
        <v>0.14000000000000001</v>
      </c>
      <c r="W1549" s="236">
        <f>IFERROR(IF(B1549="INSUMO",_xlfn.XLOOKUP(S1549,Insumos!A:A,Insumos!C:C),""),"Inserir Preço")</f>
        <v>0.2</v>
      </c>
      <c r="X1549" s="235">
        <f t="shared" ca="1" si="1139"/>
        <v>1.5372000000000001</v>
      </c>
      <c r="Y1549" s="236">
        <f t="shared" si="1117"/>
        <v>2.8000000000000004E-2</v>
      </c>
      <c r="Z1549" s="237">
        <f t="shared" ca="1" si="1161"/>
        <v>0.30744000000000005</v>
      </c>
      <c r="AA1549" s="238"/>
      <c r="AB1549" s="233" t="str">
        <f>IF(B1549="insumo",_xlfn.XLOOKUP(S1549,Insumos!A:A,Insumos!D:D),"")</f>
        <v>Base de Dados</v>
      </c>
      <c r="AC1549" s="239">
        <f t="shared" ca="1" si="1162"/>
        <v>4.4105070993358312E-8</v>
      </c>
      <c r="AE1549" s="240">
        <f ca="1">IFERROR(IF(OR(Z1549="",Z1549=0),"",IF(AF1549="","",IF(AF1549="R$/mês",Z1549/OBRA!$D$12,IF(AF1549="R$/m²",Z1549/OBRA!$D$10,IF(AF1549="R$/apto",Orçamento!Z1549/OBRA!$D$11,""))))),"")</f>
        <v>1.5821081395408677E-4</v>
      </c>
      <c r="AF1549" s="241" t="s">
        <v>154</v>
      </c>
    </row>
    <row r="1550" spans="1:32" s="10" customFormat="1" ht="13.15" hidden="1" customHeight="1" outlineLevel="4" x14ac:dyDescent="0.2">
      <c r="A1550" s="227"/>
      <c r="B1550" s="228" t="s">
        <v>19</v>
      </c>
      <c r="C1550" s="229">
        <f t="shared" si="1160"/>
        <v>14</v>
      </c>
      <c r="D1550" s="227" t="str">
        <f t="shared" si="1147"/>
        <v/>
      </c>
      <c r="E1550" s="228" t="str">
        <f t="shared" ca="1" si="1148"/>
        <v>15.002.003.004</v>
      </c>
      <c r="F1550" s="230">
        <f ca="1">IF($B1550="UNIDADE CONSTRUTIVA",OFFSET(F1550,-1,0)+1,LARGE(F$10:F1549,1))</f>
        <v>2</v>
      </c>
      <c r="G1550" s="228" t="str">
        <f t="shared" ca="1" si="1149"/>
        <v xml:space="preserve">   GERENCIAMENTO EXECUTIVO</v>
      </c>
      <c r="H1550" s="230">
        <f t="shared" ca="1" si="1150"/>
        <v>15</v>
      </c>
      <c r="I1550" s="228" t="str">
        <f t="shared" ca="1" si="1151"/>
        <v xml:space="preserve">   PISOS E PAVIMENTAÇÕES</v>
      </c>
      <c r="J1550" s="230">
        <f t="shared" ca="1" si="1152"/>
        <v>2</v>
      </c>
      <c r="K1550" s="228" t="str">
        <f t="shared" ca="1" si="1153"/>
        <v xml:space="preserve">   PISOS E PAVIMENTAÇÕES - TÉRREO - 2º PAVIMENTO - TÉRREO</v>
      </c>
      <c r="L1550" s="231">
        <f t="shared" ca="1" si="1154"/>
        <v>3</v>
      </c>
      <c r="M1550" s="228" t="str">
        <f t="shared" ca="1" si="1155"/>
        <v xml:space="preserve">   Rodapés</v>
      </c>
      <c r="N1550" s="231">
        <f t="shared" ca="1" si="1156"/>
        <v>4</v>
      </c>
      <c r="O1550" s="228" t="str">
        <f t="shared" ca="1" si="1157"/>
        <v>Revestimento interno de Rodapé Porcelanato h=0,07cm</v>
      </c>
      <c r="P1550" s="232" t="str">
        <f>IF(S1550="","",IF(Orçamento!$B1550="INSUMO",S1550,""))</f>
        <v>ESPACADOR PVC NIVELAMENTO REVESTIMENTO 1,0MM NBR 6118</v>
      </c>
      <c r="Q1550" s="244" t="str">
        <f t="shared" si="1158"/>
        <v/>
      </c>
      <c r="R1550" s="234">
        <f t="shared" ca="1" si="1159"/>
        <v>10.98</v>
      </c>
      <c r="S1550" s="233" t="s">
        <v>715</v>
      </c>
      <c r="T1550" s="242" t="str">
        <f>_xlfn.XLOOKUP(S1550,Insumos!$A$3:$A$371,Insumos!$B$3:$B$371)</f>
        <v>UN</v>
      </c>
      <c r="U1550" s="235">
        <f ca="1">IF($B1550="insumo",R1550,"")</f>
        <v>10.98</v>
      </c>
      <c r="V1550" s="320">
        <f>ROUNDUP(4*0.07,4)</f>
        <v>0.28000000000000003</v>
      </c>
      <c r="W1550" s="236">
        <f>IFERROR(IF(B1550="INSUMO",_xlfn.XLOOKUP(S1550,Insumos!A:A,Insumos!C:C),""),"Inserir Preço")</f>
        <v>0.22</v>
      </c>
      <c r="X1550" s="235">
        <f t="shared" ca="1" si="1139"/>
        <v>3.0744000000000002</v>
      </c>
      <c r="Y1550" s="236">
        <f t="shared" si="1117"/>
        <v>6.1600000000000009E-2</v>
      </c>
      <c r="Z1550" s="237">
        <f t="shared" ca="1" si="1161"/>
        <v>0.67636800000000008</v>
      </c>
      <c r="AA1550" s="238"/>
      <c r="AB1550" s="233" t="str">
        <f>IF(B1550="insumo",_xlfn.XLOOKUP(S1550,Insumos!A:A,Insumos!D:D),"")</f>
        <v>Base de Dados</v>
      </c>
      <c r="AC1550" s="239">
        <f t="shared" ca="1" si="1162"/>
        <v>9.7031156185388289E-8</v>
      </c>
      <c r="AE1550" s="240">
        <f ca="1">IFERROR(IF(OR(Z1550="",Z1550=0),"",IF(AF1550="","",IF(AF1550="R$/mês",Z1550/OBRA!$D$12,IF(AF1550="R$/m²",Z1550/OBRA!$D$10,IF(AF1550="R$/apto",Orçamento!Z1550/OBRA!$D$11,""))))),"")</f>
        <v>3.4806379069899089E-4</v>
      </c>
      <c r="AF1550" s="241" t="s">
        <v>154</v>
      </c>
    </row>
    <row r="1551" spans="1:32" s="10" customFormat="1" ht="13.15" hidden="1" customHeight="1" outlineLevel="4" x14ac:dyDescent="0.2">
      <c r="A1551" s="227"/>
      <c r="B1551" s="228" t="s">
        <v>19</v>
      </c>
      <c r="C1551" s="229">
        <f t="shared" si="1160"/>
        <v>7</v>
      </c>
      <c r="D1551" s="227" t="str">
        <f t="shared" si="1147"/>
        <v/>
      </c>
      <c r="E1551" s="228" t="str">
        <f t="shared" ca="1" si="1148"/>
        <v>15.002.003.004</v>
      </c>
      <c r="F1551" s="230">
        <f ca="1">IF($B1551="UNIDADE CONSTRUTIVA",OFFSET(F1551,-1,0)+1,LARGE(F$10:F1550,1))</f>
        <v>2</v>
      </c>
      <c r="G1551" s="228" t="str">
        <f t="shared" ca="1" si="1149"/>
        <v xml:space="preserve">   GERENCIAMENTO EXECUTIVO</v>
      </c>
      <c r="H1551" s="230">
        <f t="shared" ca="1" si="1150"/>
        <v>15</v>
      </c>
      <c r="I1551" s="228" t="str">
        <f t="shared" ca="1" si="1151"/>
        <v xml:space="preserve">   PISOS E PAVIMENTAÇÕES</v>
      </c>
      <c r="J1551" s="230">
        <f t="shared" ca="1" si="1152"/>
        <v>2</v>
      </c>
      <c r="K1551" s="228" t="str">
        <f t="shared" ca="1" si="1153"/>
        <v xml:space="preserve">   PISOS E PAVIMENTAÇÕES - TÉRREO - 2º PAVIMENTO - TÉRREO</v>
      </c>
      <c r="L1551" s="231">
        <f t="shared" ca="1" si="1154"/>
        <v>3</v>
      </c>
      <c r="M1551" s="228" t="str">
        <f t="shared" ca="1" si="1155"/>
        <v xml:space="preserve">   Rodapés</v>
      </c>
      <c r="N1551" s="231">
        <f t="shared" ca="1" si="1156"/>
        <v>4</v>
      </c>
      <c r="O1551" s="228" t="str">
        <f t="shared" ca="1" si="1157"/>
        <v>Revestimento interno de Rodapé Porcelanato h=0,07cm</v>
      </c>
      <c r="P1551" s="232" t="str">
        <f>IF(S1551="","",IF(Orçamento!$B1551="INSUMO",S1551,""))</f>
        <v>REVESTIMENTO - HIT GRIS 80X80 EXT RET</v>
      </c>
      <c r="Q1551" s="244" t="str">
        <f t="shared" si="1158"/>
        <v/>
      </c>
      <c r="R1551" s="234">
        <f t="shared" ca="1" si="1159"/>
        <v>10.98</v>
      </c>
      <c r="S1551" s="233" t="s">
        <v>910</v>
      </c>
      <c r="T1551" s="242" t="str">
        <f>_xlfn.XLOOKUP(S1551,Insumos!$A$3:$A$371,Insumos!$B$3:$B$371)</f>
        <v>M2</v>
      </c>
      <c r="U1551" s="235">
        <f ca="1">IF($B1551="insumo",R1551,"")</f>
        <v>10.98</v>
      </c>
      <c r="V1551" s="320">
        <f>ROUNDUP(1.1*0.07,4)</f>
        <v>7.6999999999999999E-2</v>
      </c>
      <c r="W1551" s="236">
        <f>IFERROR(IF(B1551="INSUMO",_xlfn.XLOOKUP(S1551,Insumos!A:A,Insumos!C:C),""),"Inserir Preço")</f>
        <v>60.29</v>
      </c>
      <c r="X1551" s="235">
        <f t="shared" ca="1" si="1139"/>
        <v>0.84545999999999999</v>
      </c>
      <c r="Y1551" s="236">
        <f t="shared" si="1117"/>
        <v>4.6423300000000003</v>
      </c>
      <c r="Z1551" s="237">
        <f t="shared" ca="1" si="1161"/>
        <v>50.972783399999997</v>
      </c>
      <c r="AA1551" s="238"/>
      <c r="AB1551" s="233" t="str">
        <f>IF(B1551="insumo",_xlfn.XLOOKUP(S1551,Insumos!A:A,Insumos!D:D),"")</f>
        <v>Portobelo</v>
      </c>
      <c r="AC1551" s="239">
        <f t="shared" ca="1" si="1162"/>
        <v>7.3125105080213235E-6</v>
      </c>
      <c r="AE1551" s="240">
        <f ca="1">IFERROR(IF(OR(Z1551="",Z1551=0),"",IF(AF1551="","",IF(AF1551="R$/mês",Z1551/OBRA!$D$12,IF(AF1551="R$/m²",Z1551/OBRA!$D$10,IF(AF1551="R$/apto",Orçamento!Z1551/OBRA!$D$11,""))))),"")</f>
        <v>2.6230957426552695E-2</v>
      </c>
      <c r="AF1551" s="241" t="s">
        <v>154</v>
      </c>
    </row>
    <row r="1552" spans="1:32" s="10" customFormat="1" ht="13.15" hidden="1" customHeight="1" outlineLevel="4" x14ac:dyDescent="0.2">
      <c r="A1552" s="227"/>
      <c r="B1552" s="228" t="s">
        <v>4</v>
      </c>
      <c r="C1552" s="229">
        <f t="shared" si="1160"/>
        <v>3</v>
      </c>
      <c r="D1552" s="227" t="str">
        <f t="shared" ref="D1552:D1567" ca="1" si="1163">IF(B1552="Unidade Construtiva",TEXT(F1552,"00"),IF(B1552="Célula Construtiva",TEXT(H1552,"00"),IF(B1552="Etapa",CONCATENATE(TEXT(H1552,"00"),".",TEXT(J1552,"000")),IF(B1552="Subetapa",CONCATENATE(TEXT(H1552,"00"),".",TEXT(J1552,"000"),".",TEXT(L1552,"000")),IF(B1552="Serviço",CONCATENATE(TEXT(H1552,"00"),".",TEXT(J1552,"000"),".",TEXT(L1552,"000"),".",TEXT(N1552,"000")),"")))))</f>
        <v>15.002.003.005</v>
      </c>
      <c r="E1552" s="228" t="str">
        <f t="shared" ref="E1552:E1567" ca="1" si="1164">IF(B1552="*","",IFERROR(IF(B1552="SERVIÇO",D1552,OFFSET(E1552,-1,0)),""))</f>
        <v>15.002.003.005</v>
      </c>
      <c r="F1552" s="230">
        <f ca="1">IF($B1552="UNIDADE CONSTRUTIVA",OFFSET(F1552,-1,0)+1,LARGE(F$10:F1551,1))</f>
        <v>2</v>
      </c>
      <c r="G1552" s="228" t="str">
        <f ca="1">IF(B1552="*","",IF(B1552="UNIDADE CONSTRUTIVA",S1552,OFFSET(G1552,-1,0)))</f>
        <v xml:space="preserve">   GERENCIAMENTO EXECUTIVO</v>
      </c>
      <c r="H1552" s="230">
        <f t="shared" ref="H1552:H1567" ca="1" si="1165">IF(B1552="UNIDADE CONSTRUTIVA",0,IF(B1552="CÉLULA CONSTRUTIVA",OFFSET(H1552,-1,0)+1,OFFSET(H1552,-1,0)))</f>
        <v>15</v>
      </c>
      <c r="I1552" s="228" t="str">
        <f ca="1">IF(B1552="*","",IF(B1552="CÉLULA CONSTRUTIVA",S1552,OFFSET(I1552,-1,0)))</f>
        <v xml:space="preserve">   PISOS E PAVIMENTAÇÕES</v>
      </c>
      <c r="J1552" s="230">
        <f t="shared" ref="J1552:J1567" ca="1" si="1166">IF(B1552="CÉLULA CONSTRUTIVA",0,IF(B1552="ETAPA",OFFSET(J1552,-1,0)+1,OFFSET(J1552,-1,0)))</f>
        <v>2</v>
      </c>
      <c r="K1552" s="228" t="str">
        <f ca="1">IF(B1552="*","",IF(B1552="ETAPA",S1552,OFFSET(K1552,-1,0)))</f>
        <v xml:space="preserve">   PISOS E PAVIMENTAÇÕES - TÉRREO - 2º PAVIMENTO - TÉRREO</v>
      </c>
      <c r="L1552" s="231">
        <f t="shared" ref="L1552:L1567" ca="1" si="1167">IF(B1552="ETAPA",0,IF(B1552="SUBETAPA",OFFSET(L1552,-1,0)+1,OFFSET(L1552,-1,0)))</f>
        <v>3</v>
      </c>
      <c r="M1552" s="228" t="str">
        <f ca="1">IF(B1552="*","",IF(B1552="SUBETAPA",S1552,OFFSET(M1552,-1,0)))</f>
        <v xml:space="preserve">   Rodapés</v>
      </c>
      <c r="N1552" s="231">
        <f t="shared" ref="N1552:N1567" ca="1" si="1168">IF(B1552="Subetapa",0,IF(B1552="serviço",OFFSET(N1552,-1,0)+1,OFFSET(N1552,-1,0)))</f>
        <v>5</v>
      </c>
      <c r="O1552" s="228" t="str">
        <f ca="1">IF(B1552="*","",IF(B1552="SERVIÇO",S1552,OFFSET(O1552,-1,0)))</f>
        <v>Rodape de poliestireno 10cm</v>
      </c>
      <c r="P1552" s="232" t="str">
        <f>IF(S1552="","",IF(Orçamento!$B1552="INSUMO",S1552,""))</f>
        <v/>
      </c>
      <c r="Q1552" s="244" t="str">
        <f>IF(B1552="","",IF(B1552="Serviço",S1552,""))</f>
        <v>Rodape de poliestireno 10cm</v>
      </c>
      <c r="R1552" s="234">
        <f ca="1">IF(B1552="serviço",U1552,OFFSET(R1552,-1,0))</f>
        <v>42</v>
      </c>
      <c r="S1552" s="233" t="s">
        <v>490</v>
      </c>
      <c r="T1552" s="242" t="s">
        <v>158</v>
      </c>
      <c r="U1552" s="235">
        <v>42</v>
      </c>
      <c r="V1552" s="320" t="s">
        <v>35</v>
      </c>
      <c r="W1552" s="236" t="str">
        <f>IFERROR(IF(B1552="INSUMO",_xlfn.XLOOKUP(S1552,Insumos!A:A,Insumos!C:C),""),"Inserir Preço")</f>
        <v/>
      </c>
      <c r="X1552" s="235">
        <f ca="1">IF(B1552="Complemento do insumo",V1552,IF(R1552="","",IF(B1552="serviço",R1552,IF(OR(B1552="insumo"),V1552*R1552,""))))</f>
        <v>42</v>
      </c>
      <c r="Y1552" s="236">
        <f t="shared" ca="1" si="1117"/>
        <v>46.634840000000011</v>
      </c>
      <c r="Z1552" s="237">
        <f t="shared" ca="1" si="1161"/>
        <v>1958.6632800000004</v>
      </c>
      <c r="AA1552" s="238"/>
      <c r="AB1552" s="233" t="str">
        <f>IF(B1552="insumo",_xlfn.XLOOKUP(S1552,Insumos!A:A,Insumos!D:D),"")</f>
        <v/>
      </c>
      <c r="AC1552" s="239">
        <f t="shared" ca="1" si="1162"/>
        <v>2.8098810504971396E-4</v>
      </c>
      <c r="AE1552" s="240">
        <f ca="1">IFERROR(IF(OR(Z1552="",Z1552=0),"",IF(AF1552="","",IF(AF1552="R$/mês",Z1552/OBRA!$D$12,IF(AF1552="R$/m²",Z1552/OBRA!$D$10,IF(AF1552="R$/apto",Orçamento!Z1552/OBRA!$D$11,""))))),"")</f>
        <v>1.0079420758222137</v>
      </c>
      <c r="AF1552" s="241" t="s">
        <v>154</v>
      </c>
    </row>
    <row r="1553" spans="1:32" s="10" customFormat="1" ht="13.15" hidden="1" customHeight="1" outlineLevel="4" x14ac:dyDescent="0.2">
      <c r="A1553" s="227"/>
      <c r="B1553" s="228" t="s">
        <v>19</v>
      </c>
      <c r="C1553" s="229">
        <f t="shared" si="1160"/>
        <v>5</v>
      </c>
      <c r="D1553" s="227" t="str">
        <f t="shared" si="1163"/>
        <v/>
      </c>
      <c r="E1553" s="228" t="str">
        <f t="shared" ca="1" si="1164"/>
        <v>15.002.003.005</v>
      </c>
      <c r="F1553" s="230">
        <f ca="1">IF($B1553="UNIDADE CONSTRUTIVA",OFFSET(F1553,-1,0)+1,LARGE(F$10:F1552,1))</f>
        <v>2</v>
      </c>
      <c r="G1553" s="228" t="str">
        <f ca="1">IF(B1553="*","",IF(B1553="UNIDADE CONSTRUTIVA",S1553,OFFSET(G1553,-1,0)))</f>
        <v xml:space="preserve">   GERENCIAMENTO EXECUTIVO</v>
      </c>
      <c r="H1553" s="230">
        <f t="shared" ca="1" si="1165"/>
        <v>15</v>
      </c>
      <c r="I1553" s="228" t="str">
        <f ca="1">IF(B1553="*","",IF(B1553="CÉLULA CONSTRUTIVA",S1553,OFFSET(I1553,-1,0)))</f>
        <v xml:space="preserve">   PISOS E PAVIMENTAÇÕES</v>
      </c>
      <c r="J1553" s="230">
        <f t="shared" ca="1" si="1166"/>
        <v>2</v>
      </c>
      <c r="K1553" s="228" t="str">
        <f ca="1">IF(B1553="*","",IF(B1553="ETAPA",S1553,OFFSET(K1553,-1,0)))</f>
        <v xml:space="preserve">   PISOS E PAVIMENTAÇÕES - TÉRREO - 2º PAVIMENTO - TÉRREO</v>
      </c>
      <c r="L1553" s="231">
        <f t="shared" ca="1" si="1167"/>
        <v>3</v>
      </c>
      <c r="M1553" s="228" t="str">
        <f ca="1">IF(B1553="*","",IF(B1553="SUBETAPA",S1553,OFFSET(M1553,-1,0)))</f>
        <v xml:space="preserve">   Rodapés</v>
      </c>
      <c r="N1553" s="231">
        <f t="shared" ca="1" si="1168"/>
        <v>5</v>
      </c>
      <c r="O1553" s="228" t="str">
        <f ca="1">IF(B1553="*","",IF(B1553="SERVIÇO",S1553,OFFSET(O1553,-1,0)))</f>
        <v>Rodape de poliestireno 10cm</v>
      </c>
      <c r="P1553" s="232" t="str">
        <f>IF(S1553="","",IF(Orçamento!$B1553="INSUMO",S1553,""))</f>
        <v>COLA PARA RODAPE DE POLIESTIRENO</v>
      </c>
      <c r="Q1553" s="244" t="str">
        <f>IF(B1553="","",IF(B1553="Serviço",S1553,""))</f>
        <v/>
      </c>
      <c r="R1553" s="234">
        <f ca="1">IF(B1553="serviço",U1553,OFFSET(R1553,-1,0))</f>
        <v>42</v>
      </c>
      <c r="S1553" s="233" t="s">
        <v>369</v>
      </c>
      <c r="T1553" s="242" t="str">
        <f>_xlfn.XLOOKUP(S1553,Insumos!$A$3:$A$371,Insumos!$B$3:$B$371)</f>
        <v>KG</v>
      </c>
      <c r="U1553" s="235">
        <f ca="1">IF($B1553="insumo",R1553,"")</f>
        <v>42</v>
      </c>
      <c r="V1553" s="320">
        <v>4.6300000000000001E-2</v>
      </c>
      <c r="W1553" s="236">
        <f>IFERROR(IF(B1553="INSUMO",_xlfn.XLOOKUP(S1553,Insumos!A:A,Insumos!C:C),""),"Inserir Preço")</f>
        <v>31.8</v>
      </c>
      <c r="X1553" s="235">
        <f ca="1">IF(B1553="Complemento do insumo",V1553,IF(R1553="","",IF(B1553="serviço",R1553,IF(OR(B1553="insumo"),V1553*R1553,""))))</f>
        <v>1.9446000000000001</v>
      </c>
      <c r="Y1553" s="236">
        <f t="shared" si="1117"/>
        <v>1.47234</v>
      </c>
      <c r="Z1553" s="237">
        <f t="shared" ca="1" si="1161"/>
        <v>61.838280000000005</v>
      </c>
      <c r="AA1553" s="238"/>
      <c r="AB1553" s="233" t="str">
        <f>IF(B1553="insumo",_xlfn.XLOOKUP(S1553,Insumos!A:A,Insumos!D:D),"")</f>
        <v xml:space="preserve"> </v>
      </c>
      <c r="AC1553" s="239">
        <f t="shared" ca="1" si="1162"/>
        <v>8.8712650582460616E-6</v>
      </c>
      <c r="AE1553" s="240">
        <f ca="1">IFERROR(IF(OR(Z1553="",Z1553=0),"",IF(AF1553="","",IF(AF1553="R$/mês",Z1553/OBRA!$D$12,IF(AF1553="R$/m²",Z1553/OBRA!$D$10,IF(AF1553="R$/apto",Orçamento!Z1553/OBRA!$D$11,""))))),"")</f>
        <v>3.1822419373928976E-2</v>
      </c>
      <c r="AF1553" s="241" t="s">
        <v>154</v>
      </c>
    </row>
    <row r="1554" spans="1:32" s="10" customFormat="1" ht="13.15" hidden="1" customHeight="1" outlineLevel="4" x14ac:dyDescent="0.2">
      <c r="A1554" s="227"/>
      <c r="B1554" s="228" t="s">
        <v>19</v>
      </c>
      <c r="C1554" s="229">
        <f t="shared" si="1160"/>
        <v>5</v>
      </c>
      <c r="D1554" s="227" t="str">
        <f t="shared" si="1163"/>
        <v/>
      </c>
      <c r="E1554" s="228" t="str">
        <f t="shared" ca="1" si="1164"/>
        <v>15.002.003.005</v>
      </c>
      <c r="F1554" s="230">
        <f ca="1">IF($B1554="UNIDADE CONSTRUTIVA",OFFSET(F1554,-1,0)+1,LARGE(F$10:F1553,1))</f>
        <v>2</v>
      </c>
      <c r="G1554" s="228" t="str">
        <f ca="1">IF(B1554="*","",IF(B1554="UNIDADE CONSTRUTIVA",S1554,OFFSET(G1554,-1,0)))</f>
        <v xml:space="preserve">   GERENCIAMENTO EXECUTIVO</v>
      </c>
      <c r="H1554" s="230">
        <f t="shared" ca="1" si="1165"/>
        <v>15</v>
      </c>
      <c r="I1554" s="228" t="str">
        <f ca="1">IF(B1554="*","",IF(B1554="CÉLULA CONSTRUTIVA",S1554,OFFSET(I1554,-1,0)))</f>
        <v xml:space="preserve">   PISOS E PAVIMENTAÇÕES</v>
      </c>
      <c r="J1554" s="230">
        <f t="shared" ca="1" si="1166"/>
        <v>2</v>
      </c>
      <c r="K1554" s="228" t="str">
        <f ca="1">IF(B1554="*","",IF(B1554="ETAPA",S1554,OFFSET(K1554,-1,0)))</f>
        <v xml:space="preserve">   PISOS E PAVIMENTAÇÕES - TÉRREO - 2º PAVIMENTO - TÉRREO</v>
      </c>
      <c r="L1554" s="231">
        <f t="shared" ca="1" si="1167"/>
        <v>3</v>
      </c>
      <c r="M1554" s="228" t="str">
        <f ca="1">IF(B1554="*","",IF(B1554="SUBETAPA",S1554,OFFSET(M1554,-1,0)))</f>
        <v xml:space="preserve">   Rodapés</v>
      </c>
      <c r="N1554" s="231">
        <f t="shared" ca="1" si="1168"/>
        <v>5</v>
      </c>
      <c r="O1554" s="228" t="str">
        <f ca="1">IF(B1554="*","",IF(B1554="SERVIÇO",S1554,OFFSET(O1554,-1,0)))</f>
        <v>Rodape de poliestireno 10cm</v>
      </c>
      <c r="P1554" s="232" t="str">
        <f>IF(S1554="","",IF(Orçamento!$B1554="INSUMO",S1554,""))</f>
        <v>BUCHA T PARA RODAPE</v>
      </c>
      <c r="Q1554" s="244" t="str">
        <f>IF(B1554="","",IF(B1554="Serviço",S1554,""))</f>
        <v/>
      </c>
      <c r="R1554" s="234">
        <f ca="1">IF(B1554="serviço",U1554,OFFSET(R1554,-1,0))</f>
        <v>42</v>
      </c>
      <c r="S1554" s="233" t="s">
        <v>390</v>
      </c>
      <c r="T1554" s="242" t="str">
        <f>_xlfn.XLOOKUP(S1554,Insumos!$A$3:$A$371,Insumos!$B$3:$B$371)</f>
        <v>UN</v>
      </c>
      <c r="U1554" s="235">
        <f ca="1">IF($B1554="insumo",R1554,"")</f>
        <v>42</v>
      </c>
      <c r="V1554" s="320">
        <v>2.5</v>
      </c>
      <c r="W1554" s="236">
        <f>IFERROR(IF(B1554="INSUMO",_xlfn.XLOOKUP(S1554,Insumos!A:A,Insumos!C:C),""),"Inserir Preço")</f>
        <v>0.157</v>
      </c>
      <c r="X1554" s="235">
        <f ca="1">IF(B1554="Complemento do insumo",V1554,IF(R1554="","",IF(B1554="serviço",R1554,IF(OR(B1554="insumo"),V1554*R1554,""))))</f>
        <v>105</v>
      </c>
      <c r="Y1554" s="236">
        <f t="shared" si="1117"/>
        <v>0.39250000000000002</v>
      </c>
      <c r="Z1554" s="237">
        <f t="shared" ca="1" si="1161"/>
        <v>16.484999999999999</v>
      </c>
      <c r="AA1554" s="238"/>
      <c r="AB1554" s="233" t="str">
        <f>IF(B1554="insumo",_xlfn.XLOOKUP(S1554,Insumos!A:A,Insumos!D:D),"")</f>
        <v xml:space="preserve"> </v>
      </c>
      <c r="AC1554" s="239">
        <f t="shared" ca="1" si="1162"/>
        <v>2.3649235471165487E-6</v>
      </c>
      <c r="AE1554" s="240">
        <f ca="1">IFERROR(IF(OR(Z1554="",Z1554=0),"",IF(AF1554="","",IF(AF1554="R$/mês",Z1554/OBRA!$D$12,IF(AF1554="R$/m²",Z1554/OBRA!$D$10,IF(AF1554="R$/apto",Orçamento!Z1554/OBRA!$D$11,""))))),"")</f>
        <v>8.4832984258168091E-3</v>
      </c>
      <c r="AF1554" s="241" t="s">
        <v>154</v>
      </c>
    </row>
    <row r="1555" spans="1:32" s="10" customFormat="1" ht="13.15" hidden="1" customHeight="1" outlineLevel="4" x14ac:dyDescent="0.2">
      <c r="A1555" s="227"/>
      <c r="B1555" s="228" t="s">
        <v>19</v>
      </c>
      <c r="C1555" s="229">
        <f t="shared" si="1160"/>
        <v>3</v>
      </c>
      <c r="D1555" s="227" t="str">
        <f t="shared" si="1163"/>
        <v/>
      </c>
      <c r="E1555" s="228" t="str">
        <f t="shared" ca="1" si="1164"/>
        <v>15.002.003.005</v>
      </c>
      <c r="F1555" s="230">
        <f ca="1">IF($B1555="UNIDADE CONSTRUTIVA",OFFSET(F1555,-1,0)+1,LARGE(F$10:F1554,1))</f>
        <v>2</v>
      </c>
      <c r="G1555" s="228" t="str">
        <f ca="1">IF(B1555="*","",IF(B1555="UNIDADE CONSTRUTIVA",S1555,OFFSET(G1555,-1,0)))</f>
        <v xml:space="preserve">   GERENCIAMENTO EXECUTIVO</v>
      </c>
      <c r="H1555" s="230">
        <f t="shared" ca="1" si="1165"/>
        <v>15</v>
      </c>
      <c r="I1555" s="228" t="str">
        <f ca="1">IF(B1555="*","",IF(B1555="CÉLULA CONSTRUTIVA",S1555,OFFSET(I1555,-1,0)))</f>
        <v xml:space="preserve">   PISOS E PAVIMENTAÇÕES</v>
      </c>
      <c r="J1555" s="230">
        <f t="shared" ca="1" si="1166"/>
        <v>2</v>
      </c>
      <c r="K1555" s="228" t="str">
        <f ca="1">IF(B1555="*","",IF(B1555="ETAPA",S1555,OFFSET(K1555,-1,0)))</f>
        <v xml:space="preserve">   PISOS E PAVIMENTAÇÕES - TÉRREO - 2º PAVIMENTO - TÉRREO</v>
      </c>
      <c r="L1555" s="231">
        <f t="shared" ca="1" si="1167"/>
        <v>3</v>
      </c>
      <c r="M1555" s="228" t="str">
        <f ca="1">IF(B1555="*","",IF(B1555="SUBETAPA",S1555,OFFSET(M1555,-1,0)))</f>
        <v xml:space="preserve">   Rodapés</v>
      </c>
      <c r="N1555" s="231">
        <f t="shared" ca="1" si="1168"/>
        <v>5</v>
      </c>
      <c r="O1555" s="228" t="str">
        <f ca="1">IF(B1555="*","",IF(B1555="SERVIÇO",S1555,OFFSET(O1555,-1,0)))</f>
        <v>Rodape de poliestireno 10cm</v>
      </c>
      <c r="P1555" s="232" t="str">
        <f>IF(S1555="","",IF(Orçamento!$B1555="INSUMO",S1555,""))</f>
        <v>RODAPÉ EM POLIESTIRENO PU 10CM</v>
      </c>
      <c r="Q1555" s="244" t="str">
        <f>IF(B1555="","",IF(B1555="Serviço",S1555,""))</f>
        <v/>
      </c>
      <c r="R1555" s="234">
        <f ca="1">IF(B1555="serviço",U1555,OFFSET(R1555,-1,0))</f>
        <v>42</v>
      </c>
      <c r="S1555" s="233" t="s">
        <v>281</v>
      </c>
      <c r="T1555" s="242" t="str">
        <f>_xlfn.XLOOKUP(S1555,Insumos!$A$3:$A$371,Insumos!$B$3:$B$371)</f>
        <v>M</v>
      </c>
      <c r="U1555" s="235">
        <f ca="1">IF($B1555="insumo",R1555,"")</f>
        <v>42</v>
      </c>
      <c r="V1555" s="320">
        <v>1.1000000000000001</v>
      </c>
      <c r="W1555" s="236">
        <f>IFERROR(IF(B1555="INSUMO",_xlfn.XLOOKUP(S1555,Insumos!A:A,Insumos!C:C),""),"Inserir Preço")</f>
        <v>40.700000000000003</v>
      </c>
      <c r="X1555" s="235">
        <f ca="1">IF(B1555="Complemento do insumo",V1555,IF(R1555="","",IF(B1555="serviço",R1555,IF(OR(B1555="insumo"),V1555*R1555,""))))</f>
        <v>46.2</v>
      </c>
      <c r="Y1555" s="236">
        <f t="shared" si="1117"/>
        <v>44.77000000000001</v>
      </c>
      <c r="Z1555" s="237">
        <f t="shared" ca="1" si="1161"/>
        <v>1880.3400000000001</v>
      </c>
      <c r="AA1555" s="238"/>
      <c r="AB1555" s="233" t="str">
        <f>IF(B1555="insumo",_xlfn.XLOOKUP(S1555,Insumos!A:A,Insumos!D:D),"")</f>
        <v xml:space="preserve"> </v>
      </c>
      <c r="AC1555" s="239">
        <f t="shared" ca="1" si="1162"/>
        <v>2.6975191644435133E-4</v>
      </c>
      <c r="AE1555" s="240">
        <f ca="1">IFERROR(IF(OR(Z1555="",Z1555=0),"",IF(AF1555="","",IF(AF1555="R$/mês",Z1555/OBRA!$D$12,IF(AF1555="R$/m²",Z1555/OBRA!$D$10,IF(AF1555="R$/apto",Orçamento!Z1555/OBRA!$D$11,""))))),"")</f>
        <v>0.96763635802246784</v>
      </c>
      <c r="AF1555" s="241" t="s">
        <v>154</v>
      </c>
    </row>
    <row r="1556" spans="1:32" s="10" customFormat="1" ht="13.15" hidden="1" customHeight="1" outlineLevel="4" x14ac:dyDescent="0.2">
      <c r="A1556" s="227"/>
      <c r="B1556" s="228" t="s">
        <v>4</v>
      </c>
      <c r="C1556" s="229">
        <f t="shared" si="1160"/>
        <v>2</v>
      </c>
      <c r="D1556" s="227" t="str">
        <f t="shared" ca="1" si="1163"/>
        <v>15.002.003.006</v>
      </c>
      <c r="E1556" s="228" t="str">
        <f t="shared" ca="1" si="1164"/>
        <v>15.002.003.006</v>
      </c>
      <c r="F1556" s="230">
        <f ca="1">IF($B1556="UNIDADE CONSTRUTIVA",OFFSET(F1556,-1,0)+1,LARGE(F$10:F1555,1))</f>
        <v>2</v>
      </c>
      <c r="G1556" s="228" t="str">
        <f t="shared" ca="1" si="1133"/>
        <v xml:space="preserve">   GERENCIAMENTO EXECUTIVO</v>
      </c>
      <c r="H1556" s="230">
        <f t="shared" ca="1" si="1165"/>
        <v>15</v>
      </c>
      <c r="I1556" s="228" t="str">
        <f t="shared" ca="1" si="1134"/>
        <v xml:space="preserve">   PISOS E PAVIMENTAÇÕES</v>
      </c>
      <c r="J1556" s="230">
        <f t="shared" ca="1" si="1166"/>
        <v>2</v>
      </c>
      <c r="K1556" s="228" t="str">
        <f t="shared" ca="1" si="1135"/>
        <v xml:space="preserve">   PISOS E PAVIMENTAÇÕES - TÉRREO - 2º PAVIMENTO - TÉRREO</v>
      </c>
      <c r="L1556" s="231">
        <f t="shared" ca="1" si="1167"/>
        <v>3</v>
      </c>
      <c r="M1556" s="228" t="str">
        <f t="shared" ca="1" si="1136"/>
        <v xml:space="preserve">   Rodapés</v>
      </c>
      <c r="N1556" s="231">
        <f t="shared" ca="1" si="1168"/>
        <v>6</v>
      </c>
      <c r="O1556" s="228" t="str">
        <f t="shared" ca="1" si="1137"/>
        <v>Rodape de poliestireno 15cm</v>
      </c>
      <c r="P1556" s="232" t="str">
        <f>IF(S1556="","",IF(Orçamento!$B1556="INSUMO",S1556,""))</f>
        <v/>
      </c>
      <c r="Q1556" s="244" t="str">
        <f t="shared" ref="Q1556:Q1565" si="1169">IF(B1556="","",IF(B1556="Serviço",S1556,""))</f>
        <v>Rodape de poliestireno 15cm</v>
      </c>
      <c r="R1556" s="234">
        <f t="shared" ca="1" si="1138"/>
        <v>28.98</v>
      </c>
      <c r="S1556" s="233" t="s">
        <v>747</v>
      </c>
      <c r="T1556" s="242" t="s">
        <v>158</v>
      </c>
      <c r="U1556" s="235">
        <v>28.98</v>
      </c>
      <c r="V1556" s="320" t="s">
        <v>35</v>
      </c>
      <c r="W1556" s="236" t="str">
        <f>IFERROR(IF(B1556="INSUMO",_xlfn.XLOOKUP(S1556,Insumos!A:A,Insumos!C:C),""),"Inserir Preço")</f>
        <v/>
      </c>
      <c r="X1556" s="235">
        <f t="shared" ca="1" si="1139"/>
        <v>28.98</v>
      </c>
      <c r="Y1556" s="236">
        <f t="shared" ca="1" si="1117"/>
        <v>69.019840000000016</v>
      </c>
      <c r="Z1556" s="237">
        <f t="shared" ca="1" si="1161"/>
        <v>2000.1949632000005</v>
      </c>
      <c r="AA1556" s="238"/>
      <c r="AB1556" s="233" t="str">
        <f>IF(B1556="insumo",_xlfn.XLOOKUP(S1556,Insumos!A:A,Insumos!D:D),"")</f>
        <v/>
      </c>
      <c r="AC1556" s="239">
        <f t="shared" ca="1" si="1162"/>
        <v>2.8694620365760386E-4</v>
      </c>
      <c r="AE1556" s="240">
        <f ca="1">IFERROR(IF(OR(Z1556="",Z1556=0),"",IF(AF1556="","",IF(AF1556="R$/mês",Z1556/OBRA!$D$12,IF(AF1556="R$/m²",Z1556/OBRA!$D$10,IF(AF1556="R$/apto",Orçamento!Z1556/OBRA!$D$11,""))))),"")</f>
        <v>1.029314575835079</v>
      </c>
      <c r="AF1556" s="241" t="s">
        <v>154</v>
      </c>
    </row>
    <row r="1557" spans="1:32" s="10" customFormat="1" ht="13.15" hidden="1" customHeight="1" outlineLevel="4" x14ac:dyDescent="0.2">
      <c r="A1557" s="227"/>
      <c r="B1557" s="228" t="s">
        <v>19</v>
      </c>
      <c r="C1557" s="229">
        <f t="shared" si="1160"/>
        <v>5</v>
      </c>
      <c r="D1557" s="227" t="str">
        <f t="shared" si="1163"/>
        <v/>
      </c>
      <c r="E1557" s="228" t="str">
        <f t="shared" ca="1" si="1164"/>
        <v>15.002.003.006</v>
      </c>
      <c r="F1557" s="230">
        <f ca="1">IF($B1557="UNIDADE CONSTRUTIVA",OFFSET(F1557,-1,0)+1,LARGE(F$10:F1556,1))</f>
        <v>2</v>
      </c>
      <c r="G1557" s="228" t="str">
        <f t="shared" ca="1" si="1133"/>
        <v xml:space="preserve">   GERENCIAMENTO EXECUTIVO</v>
      </c>
      <c r="H1557" s="230">
        <f t="shared" ca="1" si="1165"/>
        <v>15</v>
      </c>
      <c r="I1557" s="228" t="str">
        <f t="shared" ca="1" si="1134"/>
        <v xml:space="preserve">   PISOS E PAVIMENTAÇÕES</v>
      </c>
      <c r="J1557" s="230">
        <f t="shared" ca="1" si="1166"/>
        <v>2</v>
      </c>
      <c r="K1557" s="228" t="str">
        <f t="shared" ca="1" si="1135"/>
        <v xml:space="preserve">   PISOS E PAVIMENTAÇÕES - TÉRREO - 2º PAVIMENTO - TÉRREO</v>
      </c>
      <c r="L1557" s="231">
        <f t="shared" ca="1" si="1167"/>
        <v>3</v>
      </c>
      <c r="M1557" s="228" t="str">
        <f t="shared" ca="1" si="1136"/>
        <v xml:space="preserve">   Rodapés</v>
      </c>
      <c r="N1557" s="231">
        <f t="shared" ca="1" si="1168"/>
        <v>6</v>
      </c>
      <c r="O1557" s="228" t="str">
        <f t="shared" ca="1" si="1137"/>
        <v>Rodape de poliestireno 15cm</v>
      </c>
      <c r="P1557" s="232" t="str">
        <f>IF(S1557="","",IF(Orçamento!$B1557="INSUMO",S1557,""))</f>
        <v>COLA PARA RODAPE DE POLIESTIRENO</v>
      </c>
      <c r="Q1557" s="244" t="str">
        <f t="shared" si="1169"/>
        <v/>
      </c>
      <c r="R1557" s="234">
        <f t="shared" ca="1" si="1138"/>
        <v>28.98</v>
      </c>
      <c r="S1557" s="233" t="s">
        <v>369</v>
      </c>
      <c r="T1557" s="242" t="str">
        <f>_xlfn.XLOOKUP(S1557,Insumos!$A$3:$A$371,Insumos!$B$3:$B$371)</f>
        <v>KG</v>
      </c>
      <c r="U1557" s="235">
        <f ca="1">IF($B1557="insumo",R1557,"")</f>
        <v>28.98</v>
      </c>
      <c r="V1557" s="320">
        <v>4.6300000000000001E-2</v>
      </c>
      <c r="W1557" s="236">
        <f>IFERROR(IF(B1557="INSUMO",_xlfn.XLOOKUP(S1557,Insumos!A:A,Insumos!C:C),""),"Inserir Preço")</f>
        <v>31.8</v>
      </c>
      <c r="X1557" s="235">
        <f t="shared" ca="1" si="1139"/>
        <v>1.341774</v>
      </c>
      <c r="Y1557" s="236">
        <f t="shared" si="1117"/>
        <v>1.47234</v>
      </c>
      <c r="Z1557" s="237">
        <f t="shared" ca="1" si="1161"/>
        <v>42.668413200000003</v>
      </c>
      <c r="AA1557" s="238"/>
      <c r="AB1557" s="233" t="str">
        <f>IF(B1557="insumo",_xlfn.XLOOKUP(S1557,Insumos!A:A,Insumos!D:D),"")</f>
        <v xml:space="preserve"> </v>
      </c>
      <c r="AC1557" s="239">
        <f t="shared" ca="1" si="1162"/>
        <v>6.1211728901897833E-6</v>
      </c>
      <c r="AE1557" s="240">
        <f ca="1">IFERROR(IF(OR(Z1557="",Z1557=0),"",IF(AF1557="","",IF(AF1557="R$/mês",Z1557/OBRA!$D$12,IF(AF1557="R$/m²",Z1557/OBRA!$D$10,IF(AF1557="R$/apto",Orçamento!Z1557/OBRA!$D$11,""))))),"")</f>
        <v>2.1957469368010993E-2</v>
      </c>
      <c r="AF1557" s="241" t="s">
        <v>154</v>
      </c>
    </row>
    <row r="1558" spans="1:32" s="10" customFormat="1" ht="13.15" hidden="1" customHeight="1" outlineLevel="4" x14ac:dyDescent="0.2">
      <c r="A1558" s="227"/>
      <c r="B1558" s="228" t="s">
        <v>19</v>
      </c>
      <c r="C1558" s="229">
        <f t="shared" si="1160"/>
        <v>5</v>
      </c>
      <c r="D1558" s="227" t="str">
        <f t="shared" si="1163"/>
        <v/>
      </c>
      <c r="E1558" s="228" t="str">
        <f t="shared" ca="1" si="1164"/>
        <v>15.002.003.006</v>
      </c>
      <c r="F1558" s="230">
        <f ca="1">IF($B1558="UNIDADE CONSTRUTIVA",OFFSET(F1558,-1,0)+1,LARGE(F$10:F1557,1))</f>
        <v>2</v>
      </c>
      <c r="G1558" s="228" t="str">
        <f t="shared" ca="1" si="1133"/>
        <v xml:space="preserve">   GERENCIAMENTO EXECUTIVO</v>
      </c>
      <c r="H1558" s="230">
        <f t="shared" ca="1" si="1165"/>
        <v>15</v>
      </c>
      <c r="I1558" s="228" t="str">
        <f t="shared" ca="1" si="1134"/>
        <v xml:space="preserve">   PISOS E PAVIMENTAÇÕES</v>
      </c>
      <c r="J1558" s="230">
        <f t="shared" ca="1" si="1166"/>
        <v>2</v>
      </c>
      <c r="K1558" s="228" t="str">
        <f t="shared" ca="1" si="1135"/>
        <v xml:space="preserve">   PISOS E PAVIMENTAÇÕES - TÉRREO - 2º PAVIMENTO - TÉRREO</v>
      </c>
      <c r="L1558" s="231">
        <f t="shared" ca="1" si="1167"/>
        <v>3</v>
      </c>
      <c r="M1558" s="228" t="str">
        <f t="shared" ca="1" si="1136"/>
        <v xml:space="preserve">   Rodapés</v>
      </c>
      <c r="N1558" s="231">
        <f t="shared" ca="1" si="1168"/>
        <v>6</v>
      </c>
      <c r="O1558" s="228" t="str">
        <f t="shared" ca="1" si="1137"/>
        <v>Rodape de poliestireno 15cm</v>
      </c>
      <c r="P1558" s="232" t="str">
        <f>IF(S1558="","",IF(Orçamento!$B1558="INSUMO",S1558,""))</f>
        <v>BUCHA T PARA RODAPE</v>
      </c>
      <c r="Q1558" s="244" t="str">
        <f t="shared" si="1169"/>
        <v/>
      </c>
      <c r="R1558" s="234">
        <f t="shared" ca="1" si="1138"/>
        <v>28.98</v>
      </c>
      <c r="S1558" s="233" t="s">
        <v>390</v>
      </c>
      <c r="T1558" s="242" t="str">
        <f>_xlfn.XLOOKUP(S1558,Insumos!$A$3:$A$371,Insumos!$B$3:$B$371)</f>
        <v>UN</v>
      </c>
      <c r="U1558" s="235">
        <f ca="1">IF($B1558="insumo",R1558,"")</f>
        <v>28.98</v>
      </c>
      <c r="V1558" s="320">
        <v>2.5</v>
      </c>
      <c r="W1558" s="236">
        <f>IFERROR(IF(B1558="INSUMO",_xlfn.XLOOKUP(S1558,Insumos!A:A,Insumos!C:C),""),"Inserir Preço")</f>
        <v>0.157</v>
      </c>
      <c r="X1558" s="235">
        <f t="shared" ca="1" si="1139"/>
        <v>72.45</v>
      </c>
      <c r="Y1558" s="236">
        <f t="shared" si="1117"/>
        <v>0.39250000000000002</v>
      </c>
      <c r="Z1558" s="237">
        <f t="shared" ca="1" si="1161"/>
        <v>11.374650000000001</v>
      </c>
      <c r="AA1558" s="238"/>
      <c r="AB1558" s="233" t="str">
        <f>IF(B1558="insumo",_xlfn.XLOOKUP(S1558,Insumos!A:A,Insumos!D:D),"")</f>
        <v xml:space="preserve"> </v>
      </c>
      <c r="AC1558" s="239">
        <f t="shared" ca="1" si="1162"/>
        <v>1.6317972475104187E-6</v>
      </c>
      <c r="AE1558" s="240">
        <f ca="1">IFERROR(IF(OR(Z1558="",Z1558=0),"",IF(AF1558="","",IF(AF1558="R$/mês",Z1558/OBRA!$D$12,IF(AF1558="R$/m²",Z1558/OBRA!$D$10,IF(AF1558="R$/apto",Orçamento!Z1558/OBRA!$D$11,""))))),"")</f>
        <v>5.8534759138135998E-3</v>
      </c>
      <c r="AF1558" s="241" t="s">
        <v>154</v>
      </c>
    </row>
    <row r="1559" spans="1:32" s="10" customFormat="1" ht="13.15" hidden="1" customHeight="1" outlineLevel="4" x14ac:dyDescent="0.2">
      <c r="A1559" s="227"/>
      <c r="B1559" s="228" t="s">
        <v>19</v>
      </c>
      <c r="C1559" s="229">
        <f t="shared" si="1160"/>
        <v>2</v>
      </c>
      <c r="D1559" s="227" t="str">
        <f t="shared" si="1163"/>
        <v/>
      </c>
      <c r="E1559" s="228" t="str">
        <f t="shared" ca="1" si="1164"/>
        <v>15.002.003.006</v>
      </c>
      <c r="F1559" s="230">
        <f ca="1">IF($B1559="UNIDADE CONSTRUTIVA",OFFSET(F1559,-1,0)+1,LARGE(F$10:F1558,1))</f>
        <v>2</v>
      </c>
      <c r="G1559" s="228" t="str">
        <f t="shared" ca="1" si="1133"/>
        <v xml:space="preserve">   GERENCIAMENTO EXECUTIVO</v>
      </c>
      <c r="H1559" s="230">
        <f t="shared" ca="1" si="1165"/>
        <v>15</v>
      </c>
      <c r="I1559" s="228" t="str">
        <f t="shared" ca="1" si="1134"/>
        <v xml:space="preserve">   PISOS E PAVIMENTAÇÕES</v>
      </c>
      <c r="J1559" s="230">
        <f t="shared" ca="1" si="1166"/>
        <v>2</v>
      </c>
      <c r="K1559" s="228" t="str">
        <f t="shared" ca="1" si="1135"/>
        <v xml:space="preserve">   PISOS E PAVIMENTAÇÕES - TÉRREO - 2º PAVIMENTO - TÉRREO</v>
      </c>
      <c r="L1559" s="231">
        <f t="shared" ca="1" si="1167"/>
        <v>3</v>
      </c>
      <c r="M1559" s="228" t="str">
        <f t="shared" ca="1" si="1136"/>
        <v xml:space="preserve">   Rodapés</v>
      </c>
      <c r="N1559" s="231">
        <f t="shared" ca="1" si="1168"/>
        <v>6</v>
      </c>
      <c r="O1559" s="228" t="str">
        <f t="shared" ca="1" si="1137"/>
        <v>Rodape de poliestireno 15cm</v>
      </c>
      <c r="P1559" s="232" t="str">
        <f>IF(S1559="","",IF(Orçamento!$B1559="INSUMO",S1559,""))</f>
        <v>RODAPÉ EM POLIESTIRENO PU 15CM</v>
      </c>
      <c r="Q1559" s="244" t="str">
        <f t="shared" si="1169"/>
        <v/>
      </c>
      <c r="R1559" s="234">
        <f t="shared" ca="1" si="1138"/>
        <v>28.98</v>
      </c>
      <c r="S1559" s="233" t="s">
        <v>748</v>
      </c>
      <c r="T1559" s="242" t="str">
        <f>_xlfn.XLOOKUP(S1559,Insumos!$A$3:$A$371,Insumos!$B$3:$B$371)</f>
        <v>M</v>
      </c>
      <c r="U1559" s="235">
        <f ca="1">IF($B1559="insumo",R1559,"")</f>
        <v>28.98</v>
      </c>
      <c r="V1559" s="320">
        <v>1.1000000000000001</v>
      </c>
      <c r="W1559" s="236">
        <f>IFERROR(IF(B1559="INSUMO",_xlfn.XLOOKUP(S1559,Insumos!A:A,Insumos!C:C),""),"Inserir Preço")</f>
        <v>61.050000000000004</v>
      </c>
      <c r="X1559" s="235">
        <f t="shared" ca="1" si="1139"/>
        <v>31.878000000000004</v>
      </c>
      <c r="Y1559" s="236">
        <f t="shared" si="1117"/>
        <v>67.155000000000015</v>
      </c>
      <c r="Z1559" s="237">
        <f t="shared" ca="1" si="1161"/>
        <v>1946.1519000000003</v>
      </c>
      <c r="AA1559" s="238"/>
      <c r="AB1559" s="233" t="str">
        <f>IF(B1559="insumo",_xlfn.XLOOKUP(S1559,Insumos!A:A,Insumos!D:D),"")</f>
        <v xml:space="preserve"> </v>
      </c>
      <c r="AC1559" s="239">
        <f t="shared" ca="1" si="1162"/>
        <v>2.7919323351990362E-4</v>
      </c>
      <c r="AE1559" s="240">
        <f ca="1">IFERROR(IF(OR(Z1559="",Z1559=0),"",IF(AF1559="","",IF(AF1559="R$/mês",Z1559/OBRA!$D$12,IF(AF1559="R$/m²",Z1559/OBRA!$D$10,IF(AF1559="R$/apto",Orçamento!Z1559/OBRA!$D$11,""))))),"")</f>
        <v>1.0015036305532543</v>
      </c>
      <c r="AF1559" s="241" t="s">
        <v>154</v>
      </c>
    </row>
    <row r="1560" spans="1:32" s="10" customFormat="1" ht="13.15" hidden="1" customHeight="1" outlineLevel="3" collapsed="1" x14ac:dyDescent="0.2">
      <c r="A1560" s="227"/>
      <c r="B1560" s="228" t="s">
        <v>3</v>
      </c>
      <c r="C1560" s="229" t="str">
        <f t="shared" si="1160"/>
        <v/>
      </c>
      <c r="D1560" s="227" t="str">
        <f t="shared" ca="1" si="1163"/>
        <v>15.002.004</v>
      </c>
      <c r="E1560" s="228" t="str">
        <f t="shared" ca="1" si="1164"/>
        <v>15.002.003.006</v>
      </c>
      <c r="F1560" s="230">
        <f ca="1">IF($B1560="UNIDADE CONSTRUTIVA",OFFSET(F1560,-1,0)+1,LARGE(F$10:F1559,1))</f>
        <v>2</v>
      </c>
      <c r="G1560" s="228" t="str">
        <f t="shared" ca="1" si="1133"/>
        <v xml:space="preserve">   GERENCIAMENTO EXECUTIVO</v>
      </c>
      <c r="H1560" s="230">
        <f t="shared" ca="1" si="1165"/>
        <v>15</v>
      </c>
      <c r="I1560" s="228" t="str">
        <f t="shared" ca="1" si="1134"/>
        <v xml:space="preserve">   PISOS E PAVIMENTAÇÕES</v>
      </c>
      <c r="J1560" s="230">
        <f t="shared" ca="1" si="1166"/>
        <v>2</v>
      </c>
      <c r="K1560" s="228" t="str">
        <f t="shared" ca="1" si="1135"/>
        <v xml:space="preserve">   PISOS E PAVIMENTAÇÕES - TÉRREO - 2º PAVIMENTO - TÉRREO</v>
      </c>
      <c r="L1560" s="231">
        <f t="shared" ca="1" si="1167"/>
        <v>4</v>
      </c>
      <c r="M1560" s="228" t="str">
        <f t="shared" ca="1" si="1136"/>
        <v xml:space="preserve">   Soleiras</v>
      </c>
      <c r="N1560" s="231">
        <f t="shared" ca="1" si="1168"/>
        <v>0</v>
      </c>
      <c r="O1560" s="228" t="str">
        <f t="shared" ca="1" si="1137"/>
        <v>Rodape de poliestireno 15cm</v>
      </c>
      <c r="P1560" s="232" t="str">
        <f>IF(S1560="","",IF(Orçamento!$B1560="INSUMO",S1560,""))</f>
        <v/>
      </c>
      <c r="Q1560" s="244" t="str">
        <f t="shared" si="1169"/>
        <v/>
      </c>
      <c r="R1560" s="234">
        <f t="shared" ca="1" si="1138"/>
        <v>28.98</v>
      </c>
      <c r="S1560" s="233" t="s">
        <v>491</v>
      </c>
      <c r="T1560" s="242" t="s">
        <v>35</v>
      </c>
      <c r="U1560" s="235" t="str">
        <f>IF($B1560="insumo",R1560,"")</f>
        <v/>
      </c>
      <c r="V1560" s="320" t="s">
        <v>35</v>
      </c>
      <c r="W1560" s="236" t="str">
        <f>IFERROR(IF(B1560="INSUMO",_xlfn.XLOOKUP(S1560,Insumos!A:A,Insumos!C:C),""),"Inserir Preço")</f>
        <v/>
      </c>
      <c r="X1560" s="235" t="str">
        <f t="shared" ca="1" si="1139"/>
        <v/>
      </c>
      <c r="Y1560" s="236" t="str">
        <f t="shared" si="1117"/>
        <v/>
      </c>
      <c r="Z1560" s="237">
        <f t="shared" ca="1" si="1161"/>
        <v>1318.1804999999999</v>
      </c>
      <c r="AA1560" s="238"/>
      <c r="AB1560" s="233" t="str">
        <f>IF(B1560="insumo",_xlfn.XLOOKUP(S1560,Insumos!A:A,Insumos!D:D),"")</f>
        <v/>
      </c>
      <c r="AC1560" s="239">
        <f t="shared" ca="1" si="1162"/>
        <v>1.8910501084621568E-4</v>
      </c>
      <c r="AE1560" s="240">
        <f ca="1">IFERROR(IF(OR(Z1560="",Z1560=0),"",IF(AF1560="","",IF(AF1560="R$/mês",Z1560/OBRA!$D$12,IF(AF1560="R$/m²",Z1560/OBRA!$D$10,IF(AF1560="R$/apto",Orçamento!Z1560/OBRA!$D$11,""))))),"")</f>
        <v>0.67834507495252749</v>
      </c>
      <c r="AF1560" s="241" t="s">
        <v>154</v>
      </c>
    </row>
    <row r="1561" spans="1:32" s="10" customFormat="1" ht="13.15" hidden="1" customHeight="1" outlineLevel="4" x14ac:dyDescent="0.2">
      <c r="A1561" s="227"/>
      <c r="B1561" s="228" t="s">
        <v>4</v>
      </c>
      <c r="C1561" s="229">
        <f t="shared" si="1160"/>
        <v>5</v>
      </c>
      <c r="D1561" s="227" t="str">
        <f t="shared" ca="1" si="1163"/>
        <v>15.002.004.001</v>
      </c>
      <c r="E1561" s="228" t="str">
        <f t="shared" ca="1" si="1164"/>
        <v>15.002.004.001</v>
      </c>
      <c r="F1561" s="230">
        <f ca="1">IF($B1561="UNIDADE CONSTRUTIVA",OFFSET(F1561,-1,0)+1,LARGE(F$10:F1560,1))</f>
        <v>2</v>
      </c>
      <c r="G1561" s="228" t="str">
        <f t="shared" ca="1" si="1133"/>
        <v xml:space="preserve">   GERENCIAMENTO EXECUTIVO</v>
      </c>
      <c r="H1561" s="230">
        <f t="shared" ca="1" si="1165"/>
        <v>15</v>
      </c>
      <c r="I1561" s="228" t="str">
        <f t="shared" ca="1" si="1134"/>
        <v xml:space="preserve">   PISOS E PAVIMENTAÇÕES</v>
      </c>
      <c r="J1561" s="230">
        <f t="shared" ca="1" si="1166"/>
        <v>2</v>
      </c>
      <c r="K1561" s="228" t="str">
        <f t="shared" ca="1" si="1135"/>
        <v xml:space="preserve">   PISOS E PAVIMENTAÇÕES - TÉRREO - 2º PAVIMENTO - TÉRREO</v>
      </c>
      <c r="L1561" s="231">
        <f t="shared" ca="1" si="1167"/>
        <v>4</v>
      </c>
      <c r="M1561" s="228" t="str">
        <f t="shared" ca="1" si="1136"/>
        <v xml:space="preserve">   Soleiras</v>
      </c>
      <c r="N1561" s="231">
        <f t="shared" ca="1" si="1168"/>
        <v>1</v>
      </c>
      <c r="O1561" s="228" t="str">
        <f t="shared" ca="1" si="1137"/>
        <v>Soleira em granito, acabamento polido, espessura 2cm</v>
      </c>
      <c r="P1561" s="232" t="str">
        <f>IF(S1561="","",IF(Orçamento!$B1561="INSUMO",S1561,""))</f>
        <v/>
      </c>
      <c r="Q1561" s="244" t="str">
        <f t="shared" si="1169"/>
        <v>Soleira em granito, acabamento polido, espessura 2cm</v>
      </c>
      <c r="R1561" s="234">
        <f t="shared" ca="1" si="1138"/>
        <v>2.0299999999999998</v>
      </c>
      <c r="S1561" s="233" t="s">
        <v>492</v>
      </c>
      <c r="T1561" s="242" t="s">
        <v>140</v>
      </c>
      <c r="U1561" s="235">
        <v>2.0299999999999998</v>
      </c>
      <c r="V1561" s="320" t="s">
        <v>35</v>
      </c>
      <c r="W1561" s="236" t="str">
        <f>IFERROR(IF(B1561="INSUMO",_xlfn.XLOOKUP(S1561,Insumos!A:A,Insumos!C:C),""),"Inserir Preço")</f>
        <v/>
      </c>
      <c r="X1561" s="235">
        <f t="shared" ca="1" si="1139"/>
        <v>2.0299999999999998</v>
      </c>
      <c r="Y1561" s="236">
        <f t="shared" ca="1" si="1117"/>
        <v>649.35</v>
      </c>
      <c r="Z1561" s="237">
        <f t="shared" ca="1" si="1161"/>
        <v>1318.1804999999999</v>
      </c>
      <c r="AA1561" s="238"/>
      <c r="AB1561" s="233" t="str">
        <f>IF(B1561="insumo",_xlfn.XLOOKUP(S1561,Insumos!A:A,Insumos!D:D),"")</f>
        <v/>
      </c>
      <c r="AC1561" s="239">
        <f t="shared" ca="1" si="1162"/>
        <v>1.8910501084621568E-4</v>
      </c>
      <c r="AE1561" s="240">
        <f ca="1">IFERROR(IF(OR(Z1561="",Z1561=0),"",IF(AF1561="","",IF(AF1561="R$/mês",Z1561/OBRA!$D$12,IF(AF1561="R$/m²",Z1561/OBRA!$D$10,IF(AF1561="R$/apto",Orçamento!Z1561/OBRA!$D$11,""))))),"")</f>
        <v>0.67834507495252749</v>
      </c>
      <c r="AF1561" s="241" t="s">
        <v>154</v>
      </c>
    </row>
    <row r="1562" spans="1:32" s="10" customFormat="1" ht="13.15" hidden="1" customHeight="1" outlineLevel="4" x14ac:dyDescent="0.2">
      <c r="A1562" s="227"/>
      <c r="B1562" s="228" t="s">
        <v>19</v>
      </c>
      <c r="C1562" s="229">
        <f t="shared" si="1160"/>
        <v>16</v>
      </c>
      <c r="D1562" s="227" t="str">
        <f t="shared" si="1163"/>
        <v/>
      </c>
      <c r="E1562" s="228" t="str">
        <f t="shared" ca="1" si="1164"/>
        <v>15.002.004.001</v>
      </c>
      <c r="F1562" s="230">
        <f ca="1">IF($B1562="UNIDADE CONSTRUTIVA",OFFSET(F1562,-1,0)+1,LARGE(F$10:F1561,1))</f>
        <v>2</v>
      </c>
      <c r="G1562" s="228" t="str">
        <f t="shared" ca="1" si="1133"/>
        <v xml:space="preserve">   GERENCIAMENTO EXECUTIVO</v>
      </c>
      <c r="H1562" s="230">
        <f t="shared" ca="1" si="1165"/>
        <v>15</v>
      </c>
      <c r="I1562" s="228" t="str">
        <f t="shared" ca="1" si="1134"/>
        <v xml:space="preserve">   PISOS E PAVIMENTAÇÕES</v>
      </c>
      <c r="J1562" s="230">
        <f t="shared" ca="1" si="1166"/>
        <v>2</v>
      </c>
      <c r="K1562" s="228" t="str">
        <f t="shared" ca="1" si="1135"/>
        <v xml:space="preserve">   PISOS E PAVIMENTAÇÕES - TÉRREO - 2º PAVIMENTO - TÉRREO</v>
      </c>
      <c r="L1562" s="231">
        <f t="shared" ca="1" si="1167"/>
        <v>4</v>
      </c>
      <c r="M1562" s="228" t="str">
        <f t="shared" ca="1" si="1136"/>
        <v xml:space="preserve">   Soleiras</v>
      </c>
      <c r="N1562" s="231">
        <f t="shared" ca="1" si="1168"/>
        <v>1</v>
      </c>
      <c r="O1562" s="228" t="str">
        <f t="shared" ca="1" si="1137"/>
        <v>Soleira em granito, acabamento polido, espessura 2cm</v>
      </c>
      <c r="P1562" s="232" t="str">
        <f>IF(S1562="","",IF(Orçamento!$B1562="INSUMO",S1562,""))</f>
        <v>ARGAMASSA COLANTE AC III</v>
      </c>
      <c r="Q1562" s="244" t="str">
        <f t="shared" si="1169"/>
        <v/>
      </c>
      <c r="R1562" s="234">
        <f t="shared" ca="1" si="1138"/>
        <v>2.0299999999999998</v>
      </c>
      <c r="S1562" s="233" t="s">
        <v>357</v>
      </c>
      <c r="T1562" s="242" t="str">
        <f>_xlfn.XLOOKUP(S1562,Insumos!$A$3:$A$371,Insumos!$B$3:$B$371)</f>
        <v>KG</v>
      </c>
      <c r="U1562" s="235">
        <f ca="1">IF($B1562="insumo",R1562,"")</f>
        <v>2.0299999999999998</v>
      </c>
      <c r="V1562" s="320">
        <v>10</v>
      </c>
      <c r="W1562" s="236">
        <f>IFERROR(IF(B1562="INSUMO",_xlfn.XLOOKUP(S1562,Insumos!A:A,Insumos!C:C),""),"Inserir Preço")</f>
        <v>0.92500000000000004</v>
      </c>
      <c r="X1562" s="235">
        <f t="shared" ca="1" si="1139"/>
        <v>20.299999999999997</v>
      </c>
      <c r="Y1562" s="236">
        <f t="shared" si="1117"/>
        <v>9.25</v>
      </c>
      <c r="Z1562" s="237">
        <f t="shared" ca="1" si="1161"/>
        <v>18.7775</v>
      </c>
      <c r="AA1562" s="238"/>
      <c r="AB1562" s="233" t="str">
        <f>IF(B1562="insumo",_xlfn.XLOOKUP(S1562,Insumos!A:A,Insumos!D:D),"")</f>
        <v>Argabrus</v>
      </c>
      <c r="AC1562" s="239">
        <f t="shared" ca="1" si="1162"/>
        <v>2.6938035733079156E-6</v>
      </c>
      <c r="AE1562" s="240">
        <f ca="1">IFERROR(IF(OR(Z1562="",Z1562=0),"",IF(AF1562="","",IF(AF1562="R$/mês",Z1562/OBRA!$D$12,IF(AF1562="R$/m²",Z1562/OBRA!$D$10,IF(AF1562="R$/apto",Orçamento!Z1562/OBRA!$D$11,""))))),"")</f>
        <v>9.663035255734009E-3</v>
      </c>
      <c r="AF1562" s="241" t="s">
        <v>154</v>
      </c>
    </row>
    <row r="1563" spans="1:32" s="10" customFormat="1" ht="13.15" hidden="1" customHeight="1" outlineLevel="4" x14ac:dyDescent="0.2">
      <c r="A1563" s="227"/>
      <c r="B1563" s="228" t="s">
        <v>19</v>
      </c>
      <c r="C1563" s="229">
        <f t="shared" si="1160"/>
        <v>32</v>
      </c>
      <c r="D1563" s="227" t="str">
        <f t="shared" si="1163"/>
        <v/>
      </c>
      <c r="E1563" s="228" t="str">
        <f t="shared" ca="1" si="1164"/>
        <v>15.002.004.001</v>
      </c>
      <c r="F1563" s="230">
        <f ca="1">IF($B1563="UNIDADE CONSTRUTIVA",OFFSET(F1563,-1,0)+1,LARGE(F$10:F1562,1))</f>
        <v>2</v>
      </c>
      <c r="G1563" s="228" t="str">
        <f t="shared" ca="1" si="1133"/>
        <v xml:space="preserve">   GERENCIAMENTO EXECUTIVO</v>
      </c>
      <c r="H1563" s="230">
        <f t="shared" ca="1" si="1165"/>
        <v>15</v>
      </c>
      <c r="I1563" s="228" t="str">
        <f t="shared" ca="1" si="1134"/>
        <v xml:space="preserve">   PISOS E PAVIMENTAÇÕES</v>
      </c>
      <c r="J1563" s="230">
        <f t="shared" ca="1" si="1166"/>
        <v>2</v>
      </c>
      <c r="K1563" s="228" t="str">
        <f t="shared" ca="1" si="1135"/>
        <v xml:space="preserve">   PISOS E PAVIMENTAÇÕES - TÉRREO - 2º PAVIMENTO - TÉRREO</v>
      </c>
      <c r="L1563" s="231">
        <f t="shared" ca="1" si="1167"/>
        <v>4</v>
      </c>
      <c r="M1563" s="228" t="str">
        <f t="shared" ca="1" si="1136"/>
        <v xml:space="preserve">   Soleiras</v>
      </c>
      <c r="N1563" s="231">
        <f t="shared" ca="1" si="1168"/>
        <v>1</v>
      </c>
      <c r="O1563" s="228" t="str">
        <f t="shared" ca="1" si="1137"/>
        <v>Soleira em granito, acabamento polido, espessura 2cm</v>
      </c>
      <c r="P1563" s="232" t="str">
        <f>IF(S1563="","",IF(Orçamento!$B1563="INSUMO",S1563,""))</f>
        <v>REJUNTE FLEXIVEL CIMENTICIO TIPO II NBR 14992</v>
      </c>
      <c r="Q1563" s="244" t="str">
        <f t="shared" si="1169"/>
        <v/>
      </c>
      <c r="R1563" s="234">
        <f t="shared" ca="1" si="1138"/>
        <v>2.0299999999999998</v>
      </c>
      <c r="S1563" s="233" t="s">
        <v>734</v>
      </c>
      <c r="T1563" s="242" t="str">
        <f>_xlfn.XLOOKUP(S1563,Insumos!$A$3:$A$371,Insumos!$B$3:$B$371)</f>
        <v>KG</v>
      </c>
      <c r="U1563" s="235">
        <f ca="1">IF($B1563="insumo",R1563,"")</f>
        <v>2.0299999999999998</v>
      </c>
      <c r="V1563" s="320">
        <v>0.5</v>
      </c>
      <c r="W1563" s="236">
        <f>IFERROR(IF(B1563="INSUMO",_xlfn.XLOOKUP(S1563,Insumos!A:A,Insumos!C:C),""),"Inserir Preço")</f>
        <v>4.2</v>
      </c>
      <c r="X1563" s="235">
        <f t="shared" ca="1" si="1139"/>
        <v>1.0149999999999999</v>
      </c>
      <c r="Y1563" s="236">
        <f t="shared" si="1117"/>
        <v>2.1</v>
      </c>
      <c r="Z1563" s="237">
        <f t="shared" ca="1" si="1161"/>
        <v>4.2629999999999999</v>
      </c>
      <c r="AA1563" s="238"/>
      <c r="AB1563" s="233" t="str">
        <f>IF(B1563="insumo",_xlfn.XLOOKUP(S1563,Insumos!A:A,Insumos!D:D),"")</f>
        <v>Distribuidora Sika</v>
      </c>
      <c r="AC1563" s="239">
        <f t="shared" ca="1" si="1162"/>
        <v>6.1156621664287816E-7</v>
      </c>
      <c r="AE1563" s="240">
        <f ca="1">IFERROR(IF(OR(Z1563="",Z1563=0),"",IF(AF1563="","",IF(AF1563="R$/mês",Z1563/OBRA!$D$12,IF(AF1563="R$/m²",Z1563/OBRA!$D$10,IF(AF1563="R$/apto",Orçamento!Z1563/OBRA!$D$11,""))))),"")</f>
        <v>2.1937701661666402E-3</v>
      </c>
      <c r="AF1563" s="241" t="s">
        <v>154</v>
      </c>
    </row>
    <row r="1564" spans="1:32" s="10" customFormat="1" ht="13.15" hidden="1" customHeight="1" outlineLevel="4" x14ac:dyDescent="0.2">
      <c r="A1564" s="227"/>
      <c r="B1564" s="228" t="s">
        <v>19</v>
      </c>
      <c r="C1564" s="229">
        <f t="shared" si="1160"/>
        <v>11</v>
      </c>
      <c r="D1564" s="227" t="str">
        <f t="shared" si="1163"/>
        <v/>
      </c>
      <c r="E1564" s="228" t="str">
        <f t="shared" ca="1" si="1164"/>
        <v>15.002.004.001</v>
      </c>
      <c r="F1564" s="230">
        <f ca="1">IF($B1564="UNIDADE CONSTRUTIVA",OFFSET(F1564,-1,0)+1,LARGE(F$10:F1563,1))</f>
        <v>2</v>
      </c>
      <c r="G1564" s="228" t="str">
        <f t="shared" ca="1" si="1133"/>
        <v xml:space="preserve">   GERENCIAMENTO EXECUTIVO</v>
      </c>
      <c r="H1564" s="230">
        <f t="shared" ca="1" si="1165"/>
        <v>15</v>
      </c>
      <c r="I1564" s="228" t="str">
        <f t="shared" ca="1" si="1134"/>
        <v xml:space="preserve">   PISOS E PAVIMENTAÇÕES</v>
      </c>
      <c r="J1564" s="230">
        <f t="shared" ca="1" si="1166"/>
        <v>2</v>
      </c>
      <c r="K1564" s="228" t="str">
        <f t="shared" ca="1" si="1135"/>
        <v xml:space="preserve">   PISOS E PAVIMENTAÇÕES - TÉRREO - 2º PAVIMENTO - TÉRREO</v>
      </c>
      <c r="L1564" s="231">
        <f t="shared" ca="1" si="1167"/>
        <v>4</v>
      </c>
      <c r="M1564" s="228" t="str">
        <f t="shared" ca="1" si="1136"/>
        <v xml:space="preserve">   Soleiras</v>
      </c>
      <c r="N1564" s="231">
        <f t="shared" ca="1" si="1168"/>
        <v>1</v>
      </c>
      <c r="O1564" s="228" t="str">
        <f t="shared" ca="1" si="1137"/>
        <v>Soleira em granito, acabamento polido, espessura 2cm</v>
      </c>
      <c r="P1564" s="232" t="str">
        <f>IF(S1564="","",IF(Orçamento!$B1564="INSUMO",S1564,""))</f>
        <v>GRANITO POLIDO</v>
      </c>
      <c r="Q1564" s="244" t="str">
        <f t="shared" si="1169"/>
        <v/>
      </c>
      <c r="R1564" s="234">
        <f t="shared" ca="1" si="1138"/>
        <v>2.0299999999999998</v>
      </c>
      <c r="S1564" s="233" t="s">
        <v>286</v>
      </c>
      <c r="T1564" s="242" t="str">
        <f>_xlfn.XLOOKUP(S1564,Insumos!$A$3:$A$371,Insumos!$B$3:$B$371)</f>
        <v>M2</v>
      </c>
      <c r="U1564" s="235">
        <f ca="1">IF($B1564="insumo",R1564,"")</f>
        <v>2.0299999999999998</v>
      </c>
      <c r="V1564" s="320">
        <v>1</v>
      </c>
      <c r="W1564" s="236">
        <f>IFERROR(IF(B1564="INSUMO",_xlfn.XLOOKUP(S1564,Insumos!A:A,Insumos!C:C),""),"Inserir Preço")</f>
        <v>638</v>
      </c>
      <c r="X1564" s="235">
        <f t="shared" ca="1" si="1139"/>
        <v>2.0299999999999998</v>
      </c>
      <c r="Y1564" s="236">
        <f t="shared" si="1117"/>
        <v>638</v>
      </c>
      <c r="Z1564" s="237">
        <f t="shared" ca="1" si="1161"/>
        <v>1295.1399999999999</v>
      </c>
      <c r="AA1564" s="238"/>
      <c r="AB1564" s="233" t="str">
        <f>IF(B1564="insumo",_xlfn.XLOOKUP(S1564,Insumos!A:A,Insumos!D:D),"")</f>
        <v xml:space="preserve"> </v>
      </c>
      <c r="AC1564" s="239">
        <f t="shared" ca="1" si="1162"/>
        <v>1.8579964105626488E-4</v>
      </c>
      <c r="AE1564" s="240">
        <f ca="1">IFERROR(IF(OR(Z1564="",Z1564=0),"",IF(AF1564="","",IF(AF1564="R$/mês",Z1564/OBRA!$D$12,IF(AF1564="R$/m²",Z1564/OBRA!$D$10,IF(AF1564="R$/apto",Orçamento!Z1564/OBRA!$D$11,""))))),"")</f>
        <v>0.66648826953062679</v>
      </c>
      <c r="AF1564" s="241" t="s">
        <v>154</v>
      </c>
    </row>
    <row r="1565" spans="1:32" s="10" customFormat="1" ht="13.15" hidden="1" customHeight="1" outlineLevel="3" collapsed="1" x14ac:dyDescent="0.2">
      <c r="A1565" s="227"/>
      <c r="B1565" s="228" t="s">
        <v>3</v>
      </c>
      <c r="C1565" s="229" t="str">
        <f t="shared" si="1160"/>
        <v/>
      </c>
      <c r="D1565" s="227" t="str">
        <f t="shared" ca="1" si="1163"/>
        <v>15.002.005</v>
      </c>
      <c r="E1565" s="228" t="str">
        <f t="shared" ca="1" si="1164"/>
        <v>15.002.004.001</v>
      </c>
      <c r="F1565" s="230">
        <f ca="1">IF($B1565="UNIDADE CONSTRUTIVA",OFFSET(F1565,-1,0)+1,LARGE(F$10:F1564,1))</f>
        <v>2</v>
      </c>
      <c r="G1565" s="228" t="str">
        <f t="shared" ca="1" si="1133"/>
        <v xml:space="preserve">   GERENCIAMENTO EXECUTIVO</v>
      </c>
      <c r="H1565" s="230">
        <f t="shared" ca="1" si="1165"/>
        <v>15</v>
      </c>
      <c r="I1565" s="228" t="str">
        <f t="shared" ca="1" si="1134"/>
        <v xml:space="preserve">   PISOS E PAVIMENTAÇÕES</v>
      </c>
      <c r="J1565" s="230">
        <f t="shared" ca="1" si="1166"/>
        <v>2</v>
      </c>
      <c r="K1565" s="228" t="str">
        <f t="shared" ca="1" si="1135"/>
        <v xml:space="preserve">   PISOS E PAVIMENTAÇÕES - TÉRREO - 2º PAVIMENTO - TÉRREO</v>
      </c>
      <c r="L1565" s="231">
        <f t="shared" ca="1" si="1167"/>
        <v>5</v>
      </c>
      <c r="M1565" s="228" t="str">
        <f t="shared" ca="1" si="1136"/>
        <v xml:space="preserve">   Mão de Obra</v>
      </c>
      <c r="N1565" s="231">
        <f t="shared" ca="1" si="1168"/>
        <v>0</v>
      </c>
      <c r="O1565" s="228" t="str">
        <f t="shared" ca="1" si="1137"/>
        <v>Soleira em granito, acabamento polido, espessura 2cm</v>
      </c>
      <c r="P1565" s="232" t="str">
        <f>IF(S1565="","",IF(Orçamento!$B1565="INSUMO",S1565,""))</f>
        <v/>
      </c>
      <c r="Q1565" s="244" t="str">
        <f t="shared" si="1169"/>
        <v/>
      </c>
      <c r="R1565" s="234">
        <f t="shared" ca="1" si="1138"/>
        <v>2.0299999999999998</v>
      </c>
      <c r="S1565" s="233" t="s">
        <v>438</v>
      </c>
      <c r="T1565" s="242" t="s">
        <v>35</v>
      </c>
      <c r="U1565" s="235" t="str">
        <f>IF($B1565="insumo",R1565,"")</f>
        <v/>
      </c>
      <c r="V1565" s="320" t="s">
        <v>35</v>
      </c>
      <c r="W1565" s="236" t="str">
        <f>IFERROR(IF(B1565="INSUMO",_xlfn.XLOOKUP(S1565,Insumos!A:A,Insumos!C:C),""),"Inserir Preço")</f>
        <v/>
      </c>
      <c r="X1565" s="235" t="str">
        <f t="shared" ca="1" si="1139"/>
        <v/>
      </c>
      <c r="Y1565" s="236" t="str">
        <f t="shared" si="1117"/>
        <v/>
      </c>
      <c r="Z1565" s="237">
        <f t="shared" ca="1" si="1161"/>
        <v>35726.291950258892</v>
      </c>
      <c r="AA1565" s="238"/>
      <c r="AB1565" s="233" t="str">
        <f>IF(B1565="insumo",_xlfn.XLOOKUP(S1565,Insumos!A:A,Insumos!D:D),"")</f>
        <v/>
      </c>
      <c r="AC1565" s="239">
        <f t="shared" ca="1" si="1162"/>
        <v>5.1252623041751688E-3</v>
      </c>
      <c r="AE1565" s="240">
        <f ca="1">IFERROR(IF(OR(Z1565="",Z1565=0),"",IF(AF1565="","",IF(AF1565="R$/mês",Z1565/OBRA!$D$12,IF(AF1565="R$/m²",Z1565/OBRA!$D$10,IF(AF1565="R$/apto",Orçamento!Z1565/OBRA!$D$11,""))))),"")</f>
        <v>18.385004322833062</v>
      </c>
      <c r="AF1565" s="241" t="s">
        <v>154</v>
      </c>
    </row>
    <row r="1566" spans="1:32" s="10" customFormat="1" ht="13.15" hidden="1" customHeight="1" outlineLevel="4" x14ac:dyDescent="0.2">
      <c r="A1566" s="227"/>
      <c r="B1566" s="228" t="s">
        <v>4</v>
      </c>
      <c r="C1566" s="229">
        <f t="shared" si="1160"/>
        <v>5</v>
      </c>
      <c r="D1566" s="227" t="str">
        <f t="shared" ca="1" si="1163"/>
        <v>15.002.005.001</v>
      </c>
      <c r="E1566" s="228" t="str">
        <f t="shared" ca="1" si="1164"/>
        <v>15.002.005.001</v>
      </c>
      <c r="F1566" s="230">
        <f ca="1">IF($B1566="UNIDADE CONSTRUTIVA",OFFSET(F1566,-1,0)+1,LARGE(F$10:F1565,1))</f>
        <v>2</v>
      </c>
      <c r="G1566" s="228" t="str">
        <f ca="1">IF(B1566="*","",IF(B1566="UNIDADE CONSTRUTIVA",S1566,OFFSET(G1566,-1,0)))</f>
        <v xml:space="preserve">   GERENCIAMENTO EXECUTIVO</v>
      </c>
      <c r="H1566" s="230">
        <f t="shared" ca="1" si="1165"/>
        <v>15</v>
      </c>
      <c r="I1566" s="228" t="str">
        <f ca="1">IF(B1566="*","",IF(B1566="CÉLULA CONSTRUTIVA",S1566,OFFSET(I1566,-1,0)))</f>
        <v xml:space="preserve">   PISOS E PAVIMENTAÇÕES</v>
      </c>
      <c r="J1566" s="230">
        <f t="shared" ca="1" si="1166"/>
        <v>2</v>
      </c>
      <c r="K1566" s="228" t="str">
        <f ca="1">IF(B1566="*","",IF(B1566="ETAPA",S1566,OFFSET(K1566,-1,0)))</f>
        <v xml:space="preserve">   PISOS E PAVIMENTAÇÕES - TÉRREO - 2º PAVIMENTO - TÉRREO</v>
      </c>
      <c r="L1566" s="231">
        <f t="shared" ca="1" si="1167"/>
        <v>5</v>
      </c>
      <c r="M1566" s="228" t="str">
        <f ca="1">IF(B1566="*","",IF(B1566="SUBETAPA",S1566,OFFSET(M1566,-1,0)))</f>
        <v xml:space="preserve">   Mão de Obra</v>
      </c>
      <c r="N1566" s="231">
        <f t="shared" ca="1" si="1168"/>
        <v>1</v>
      </c>
      <c r="O1566" s="228" t="str">
        <f ca="1">IF(B1566="*","",IF(B1566="SERVIÇO",S1566,OFFSET(O1566,-1,0)))</f>
        <v>Mao de obra para execucao de contrapiso comum e acústico</v>
      </c>
      <c r="P1566" s="232" t="str">
        <f>IF(S1566="","",IF(Orçamento!$B1566="INSUMO",S1566,""))</f>
        <v/>
      </c>
      <c r="Q1566" s="244" t="str">
        <f>IF(B1566="","",IF(B1566="Serviço",S1566,""))</f>
        <v>Mao de obra para execucao de contrapiso comum e acústico</v>
      </c>
      <c r="R1566" s="234">
        <f ca="1">IF(B1566="serviço",U1566,OFFSET(R1566,-1,0))</f>
        <v>304.23</v>
      </c>
      <c r="S1566" s="233" t="s">
        <v>484</v>
      </c>
      <c r="T1566" s="242" t="s">
        <v>140</v>
      </c>
      <c r="U1566" s="235">
        <f>U1508</f>
        <v>304.23</v>
      </c>
      <c r="V1566" s="320" t="s">
        <v>35</v>
      </c>
      <c r="W1566" s="236" t="str">
        <f>IFERROR(IF(B1566="INSUMO",_xlfn.XLOOKUP(S1566,Insumos!A:A,Insumos!C:C),""),"Inserir Preço")</f>
        <v/>
      </c>
      <c r="X1566" s="235">
        <f ca="1">IF(B1566="Complemento do insumo",V1566,IF(R1566="","",IF(B1566="serviço",R1566,IF(OR(B1566="insumo"),V1566*R1566,""))))</f>
        <v>304.23</v>
      </c>
      <c r="Y1566" s="236">
        <f t="shared" ca="1" si="1117"/>
        <v>21.975617726721353</v>
      </c>
      <c r="Z1566" s="237">
        <f t="shared" ca="1" si="1161"/>
        <v>6685.6421810004376</v>
      </c>
      <c r="AA1566" s="238"/>
      <c r="AB1566" s="233" t="str">
        <f>IF(B1566="insumo",_xlfn.XLOOKUP(S1566,Insumos!A:A,Insumos!D:D),"")</f>
        <v/>
      </c>
      <c r="AC1566" s="239">
        <f t="shared" ca="1" si="1162"/>
        <v>9.5911632523163924E-4</v>
      </c>
      <c r="AE1566" s="240">
        <f ca="1">IFERROR(IF(OR(Z1566="",Z1566=0),"",IF(AF1566="","",IF(AF1566="R$/mês",Z1566/OBRA!$D$12,IF(AF1566="R$/m²",Z1566/OBRA!$D$10,IF(AF1566="R$/apto",Orçamento!Z1566/OBRA!$D$11,""))))),"")</f>
        <v>3.4404790894543815</v>
      </c>
      <c r="AF1566" s="241" t="s">
        <v>154</v>
      </c>
    </row>
    <row r="1567" spans="1:32" s="10" customFormat="1" ht="13.15" hidden="1" customHeight="1" outlineLevel="4" x14ac:dyDescent="0.2">
      <c r="A1567" s="227"/>
      <c r="B1567" s="228" t="s">
        <v>19</v>
      </c>
      <c r="C1567" s="229">
        <f t="shared" si="1160"/>
        <v>5</v>
      </c>
      <c r="D1567" s="227" t="str">
        <f t="shared" si="1163"/>
        <v/>
      </c>
      <c r="E1567" s="228" t="str">
        <f t="shared" ca="1" si="1164"/>
        <v>15.002.005.001</v>
      </c>
      <c r="F1567" s="230">
        <f ca="1">IF($B1567="UNIDADE CONSTRUTIVA",OFFSET(F1567,-1,0)+1,LARGE(F$10:F1566,1))</f>
        <v>2</v>
      </c>
      <c r="G1567" s="228" t="str">
        <f ca="1">IF(B1567="*","",IF(B1567="UNIDADE CONSTRUTIVA",S1567,OFFSET(G1567,-1,0)))</f>
        <v xml:space="preserve">   GERENCIAMENTO EXECUTIVO</v>
      </c>
      <c r="H1567" s="230">
        <f t="shared" ca="1" si="1165"/>
        <v>15</v>
      </c>
      <c r="I1567" s="228" t="str">
        <f ca="1">IF(B1567="*","",IF(B1567="CÉLULA CONSTRUTIVA",S1567,OFFSET(I1567,-1,0)))</f>
        <v xml:space="preserve">   PISOS E PAVIMENTAÇÕES</v>
      </c>
      <c r="J1567" s="230">
        <f t="shared" ca="1" si="1166"/>
        <v>2</v>
      </c>
      <c r="K1567" s="228" t="str">
        <f ca="1">IF(B1567="*","",IF(B1567="ETAPA",S1567,OFFSET(K1567,-1,0)))</f>
        <v xml:space="preserve">   PISOS E PAVIMENTAÇÕES - TÉRREO - 2º PAVIMENTO - TÉRREO</v>
      </c>
      <c r="L1567" s="231">
        <f t="shared" ca="1" si="1167"/>
        <v>5</v>
      </c>
      <c r="M1567" s="228" t="str">
        <f ca="1">IF(B1567="*","",IF(B1567="SUBETAPA",S1567,OFFSET(M1567,-1,0)))</f>
        <v xml:space="preserve">   Mão de Obra</v>
      </c>
      <c r="N1567" s="231">
        <f t="shared" ca="1" si="1168"/>
        <v>1</v>
      </c>
      <c r="O1567" s="228" t="str">
        <f ca="1">IF(B1567="*","",IF(B1567="SERVIÇO",S1567,OFFSET(O1567,-1,0)))</f>
        <v>Mao de obra para execucao de contrapiso comum e acústico</v>
      </c>
      <c r="P1567" s="232" t="str">
        <f>IF(S1567="","",IF(Orçamento!$B1567="INSUMO",S1567,""))</f>
        <v>MAO DE OBRA EXECUCAO CONTRAPISO COMUM</v>
      </c>
      <c r="Q1567" s="244" t="str">
        <f>IF(B1567="","",IF(B1567="Serviço",S1567,""))</f>
        <v/>
      </c>
      <c r="R1567" s="234">
        <f ca="1">IF(B1567="serviço",U1567,OFFSET(R1567,-1,0))</f>
        <v>304.23</v>
      </c>
      <c r="S1567" s="233" t="s">
        <v>272</v>
      </c>
      <c r="T1567" s="242" t="str">
        <f>_xlfn.XLOOKUP(S1567,Insumos!$A$3:$A$371,Insumos!$B$3:$B$371)</f>
        <v>M2</v>
      </c>
      <c r="U1567" s="235">
        <f ca="1">IF($B1567="insumo",R1567,"")</f>
        <v>304.23</v>
      </c>
      <c r="V1567" s="320">
        <v>1</v>
      </c>
      <c r="W1567" s="236">
        <f>IFERROR(IF(B1567="INSUMO",_xlfn.XLOOKUP(S1567,Insumos!A:A,Insumos!C:C),""),"Inserir Preço")</f>
        <v>21.975617726721353</v>
      </c>
      <c r="X1567" s="235">
        <f ca="1">IF(B1567="Complemento do insumo",V1567,IF(R1567="","",IF(B1567="serviço",R1567,IF(OR(B1567="insumo"),V1567*R1567,""))))</f>
        <v>304.23</v>
      </c>
      <c r="Y1567" s="236">
        <f t="shared" si="1117"/>
        <v>21.975617726721353</v>
      </c>
      <c r="Z1567" s="237">
        <f t="shared" ca="1" si="1161"/>
        <v>6685.6421810004376</v>
      </c>
      <c r="AA1567" s="238"/>
      <c r="AB1567" s="233" t="str">
        <f>IF(B1567="insumo",_xlfn.XLOOKUP(S1567,Insumos!A:A,Insumos!D:D),"")</f>
        <v>Aba Custo Serviços</v>
      </c>
      <c r="AC1567" s="239">
        <f t="shared" ca="1" si="1162"/>
        <v>9.5911632523163924E-4</v>
      </c>
      <c r="AE1567" s="240">
        <f ca="1">IFERROR(IF(OR(Z1567="",Z1567=0),"",IF(AF1567="","",IF(AF1567="R$/mês",Z1567/OBRA!$D$12,IF(AF1567="R$/m²",Z1567/OBRA!$D$10,IF(AF1567="R$/apto",Orçamento!Z1567/OBRA!$D$11,""))))),"")</f>
        <v>3.4404790894543815</v>
      </c>
      <c r="AF1567" s="241" t="s">
        <v>154</v>
      </c>
    </row>
    <row r="1568" spans="1:32" s="10" customFormat="1" ht="13.15" hidden="1" customHeight="1" outlineLevel="4" x14ac:dyDescent="0.2">
      <c r="A1568" s="227"/>
      <c r="B1568" s="228" t="s">
        <v>4</v>
      </c>
      <c r="C1568" s="229">
        <f t="shared" si="1160"/>
        <v>4</v>
      </c>
      <c r="D1568" s="227" t="str">
        <f t="shared" ref="D1568:D1577" ca="1" si="1170">IF(B1568="Unidade Construtiva",TEXT(F1568,"00"),IF(B1568="Célula Construtiva",TEXT(H1568,"00"),IF(B1568="Etapa",CONCATENATE(TEXT(H1568,"00"),".",TEXT(J1568,"000")),IF(B1568="Subetapa",CONCATENATE(TEXT(H1568,"00"),".",TEXT(J1568,"000"),".",TEXT(L1568,"000")),IF(B1568="Serviço",CONCATENATE(TEXT(H1568,"00"),".",TEXT(J1568,"000"),".",TEXT(L1568,"000"),".",TEXT(N1568,"000")),"")))))</f>
        <v>15.002.005.002</v>
      </c>
      <c r="E1568" s="228" t="str">
        <f t="shared" ref="E1568:E1577" ca="1" si="1171">IF(B1568="*","",IFERROR(IF(B1568="SERVIÇO",D1568,OFFSET(E1568,-1,0)),""))</f>
        <v>15.002.005.002</v>
      </c>
      <c r="F1568" s="230">
        <f ca="1">IF($B1568="UNIDADE CONSTRUTIVA",OFFSET(F1568,-1,0)+1,LARGE(F$10:F1567,1))</f>
        <v>2</v>
      </c>
      <c r="G1568" s="228" t="str">
        <f t="shared" ref="G1568:G1577" ca="1" si="1172">IF(B1568="*","",IF(B1568="UNIDADE CONSTRUTIVA",S1568,OFFSET(G1568,-1,0)))</f>
        <v xml:space="preserve">   GERENCIAMENTO EXECUTIVO</v>
      </c>
      <c r="H1568" s="230">
        <f t="shared" ref="H1568:H1577" ca="1" si="1173">IF(B1568="UNIDADE CONSTRUTIVA",0,IF(B1568="CÉLULA CONSTRUTIVA",OFFSET(H1568,-1,0)+1,OFFSET(H1568,-1,0)))</f>
        <v>15</v>
      </c>
      <c r="I1568" s="228" t="str">
        <f t="shared" ref="I1568:I1577" ca="1" si="1174">IF(B1568="*","",IF(B1568="CÉLULA CONSTRUTIVA",S1568,OFFSET(I1568,-1,0)))</f>
        <v xml:space="preserve">   PISOS E PAVIMENTAÇÕES</v>
      </c>
      <c r="J1568" s="230">
        <f t="shared" ref="J1568:J1577" ca="1" si="1175">IF(B1568="CÉLULA CONSTRUTIVA",0,IF(B1568="ETAPA",OFFSET(J1568,-1,0)+1,OFFSET(J1568,-1,0)))</f>
        <v>2</v>
      </c>
      <c r="K1568" s="228" t="str">
        <f t="shared" ref="K1568:K1577" ca="1" si="1176">IF(B1568="*","",IF(B1568="ETAPA",S1568,OFFSET(K1568,-1,0)))</f>
        <v xml:space="preserve">   PISOS E PAVIMENTAÇÕES - TÉRREO - 2º PAVIMENTO - TÉRREO</v>
      </c>
      <c r="L1568" s="231">
        <f t="shared" ref="L1568:L1577" ca="1" si="1177">IF(B1568="ETAPA",0,IF(B1568="SUBETAPA",OFFSET(L1568,-1,0)+1,OFFSET(L1568,-1,0)))</f>
        <v>5</v>
      </c>
      <c r="M1568" s="228" t="str">
        <f t="shared" ref="M1568:M1577" ca="1" si="1178">IF(B1568="*","",IF(B1568="SUBETAPA",S1568,OFFSET(M1568,-1,0)))</f>
        <v xml:space="preserve">   Mão de Obra</v>
      </c>
      <c r="N1568" s="231">
        <f t="shared" ref="N1568:N1577" ca="1" si="1179">IF(B1568="Subetapa",0,IF(B1568="serviço",OFFSET(N1568,-1,0)+1,OFFSET(N1568,-1,0)))</f>
        <v>2</v>
      </c>
      <c r="O1568" s="228" t="str">
        <f t="shared" ref="O1568:O1577" ca="1" si="1180">IF(B1568="*","",IF(B1568="SERVIÇO",S1568,OFFSET(O1568,-1,0)))</f>
        <v>Mao de obra para colocacao e rejuntamento de piso Cerâmico</v>
      </c>
      <c r="P1568" s="232" t="str">
        <f>IF(S1568="","",IF(Orçamento!$B1568="INSUMO",S1568,""))</f>
        <v/>
      </c>
      <c r="Q1568" s="244" t="str">
        <f t="shared" ref="Q1568:Q1577" si="1181">IF(B1568="","",IF(B1568="Serviço",S1568,""))</f>
        <v>Mao de obra para colocacao e rejuntamento de piso Cerâmico</v>
      </c>
      <c r="R1568" s="234">
        <f t="shared" ref="R1568:R1577" ca="1" si="1182">IF(B1568="serviço",U1568,OFFSET(R1568,-1,0))</f>
        <v>104.19000000000001</v>
      </c>
      <c r="S1568" s="233" t="s">
        <v>780</v>
      </c>
      <c r="T1568" s="242" t="s">
        <v>140</v>
      </c>
      <c r="U1568" s="235">
        <f>U1512</f>
        <v>104.19000000000001</v>
      </c>
      <c r="V1568" s="320" t="s">
        <v>35</v>
      </c>
      <c r="W1568" s="236" t="str">
        <f>IFERROR(IF(B1568="INSUMO",_xlfn.XLOOKUP(S1568,Insumos!A:A,Insumos!C:C),""),"Inserir Preço")</f>
        <v/>
      </c>
      <c r="X1568" s="235">
        <f t="shared" ref="X1568:X1577" ca="1" si="1183">IF(B1568="Complemento do insumo",V1568,IF(R1568="","",IF(B1568="serviço",R1568,IF(OR(B1568="insumo"),V1568*R1568,""))))</f>
        <v>104.19000000000001</v>
      </c>
      <c r="Y1568" s="236">
        <f t="shared" ca="1" si="1117"/>
        <v>73.511069535391329</v>
      </c>
      <c r="Z1568" s="237">
        <f t="shared" ca="1" si="1161"/>
        <v>7659.1183348924233</v>
      </c>
      <c r="AA1568" s="238"/>
      <c r="AB1568" s="233" t="str">
        <f>IF(B1568="insumo",_xlfn.XLOOKUP(S1568,Insumos!A:A,Insumos!D:D),"")</f>
        <v/>
      </c>
      <c r="AC1568" s="239">
        <f t="shared" ca="1" si="1162"/>
        <v>1.0987703548886371E-3</v>
      </c>
      <c r="AE1568" s="240">
        <f ca="1">IFERROR(IF(OR(Z1568="",Z1568=0),"",IF(AF1568="","",IF(AF1568="R$/mês",Z1568/OBRA!$D$12,IF(AF1568="R$/m²",Z1568/OBRA!$D$10,IF(AF1568="R$/apto",Orçamento!Z1568/OBRA!$D$11,""))))),"")</f>
        <v>3.9414368525045536</v>
      </c>
      <c r="AF1568" s="241" t="s">
        <v>154</v>
      </c>
    </row>
    <row r="1569" spans="1:32" s="10" customFormat="1" ht="13.15" hidden="1" customHeight="1" outlineLevel="4" x14ac:dyDescent="0.2">
      <c r="A1569" s="227"/>
      <c r="B1569" s="228" t="s">
        <v>19</v>
      </c>
      <c r="C1569" s="229">
        <f t="shared" si="1160"/>
        <v>4</v>
      </c>
      <c r="D1569" s="227" t="str">
        <f t="shared" si="1170"/>
        <v/>
      </c>
      <c r="E1569" s="228" t="str">
        <f t="shared" ca="1" si="1171"/>
        <v>15.002.005.002</v>
      </c>
      <c r="F1569" s="230">
        <f ca="1">IF($B1569="UNIDADE CONSTRUTIVA",OFFSET(F1569,-1,0)+1,LARGE(F$10:F1568,1))</f>
        <v>2</v>
      </c>
      <c r="G1569" s="228" t="str">
        <f t="shared" ca="1" si="1172"/>
        <v xml:space="preserve">   GERENCIAMENTO EXECUTIVO</v>
      </c>
      <c r="H1569" s="230">
        <f t="shared" ca="1" si="1173"/>
        <v>15</v>
      </c>
      <c r="I1569" s="228" t="str">
        <f t="shared" ca="1" si="1174"/>
        <v xml:space="preserve">   PISOS E PAVIMENTAÇÕES</v>
      </c>
      <c r="J1569" s="230">
        <f t="shared" ca="1" si="1175"/>
        <v>2</v>
      </c>
      <c r="K1569" s="228" t="str">
        <f t="shared" ca="1" si="1176"/>
        <v xml:space="preserve">   PISOS E PAVIMENTAÇÕES - TÉRREO - 2º PAVIMENTO - TÉRREO</v>
      </c>
      <c r="L1569" s="231">
        <f t="shared" ca="1" si="1177"/>
        <v>5</v>
      </c>
      <c r="M1569" s="228" t="str">
        <f t="shared" ca="1" si="1178"/>
        <v xml:space="preserve">   Mão de Obra</v>
      </c>
      <c r="N1569" s="231">
        <f t="shared" ca="1" si="1179"/>
        <v>2</v>
      </c>
      <c r="O1569" s="228" t="str">
        <f t="shared" ca="1" si="1180"/>
        <v>Mao de obra para colocacao e rejuntamento de piso Cerâmico</v>
      </c>
      <c r="P1569" s="232" t="str">
        <f>IF(S1569="","",IF(Orçamento!$B1569="INSUMO",S1569,""))</f>
        <v>MAO DE OBRA PARA COLOCACAO E REJUNTAMENTO DE PISO CERAMICO</v>
      </c>
      <c r="Q1569" s="244" t="str">
        <f t="shared" si="1181"/>
        <v/>
      </c>
      <c r="R1569" s="234">
        <f t="shared" ca="1" si="1182"/>
        <v>104.19000000000001</v>
      </c>
      <c r="S1569" s="233" t="s">
        <v>395</v>
      </c>
      <c r="T1569" s="242" t="str">
        <f>_xlfn.XLOOKUP(S1569,Insumos!$A$3:$A$371,Insumos!$B$3:$B$371)</f>
        <v>M2</v>
      </c>
      <c r="U1569" s="235">
        <f ca="1">IF($B1569="insumo",R1569,"")</f>
        <v>104.19000000000001</v>
      </c>
      <c r="V1569" s="320">
        <v>1</v>
      </c>
      <c r="W1569" s="236">
        <f>IFERROR(IF(B1569="INSUMO",_xlfn.XLOOKUP(S1569,Insumos!A:A,Insumos!C:C),""),"Inserir Preço")</f>
        <v>73.511069535391329</v>
      </c>
      <c r="X1569" s="235">
        <f t="shared" ca="1" si="1183"/>
        <v>104.19000000000001</v>
      </c>
      <c r="Y1569" s="236">
        <f t="shared" si="1117"/>
        <v>73.511069535391329</v>
      </c>
      <c r="Z1569" s="237">
        <f t="shared" ca="1" si="1161"/>
        <v>7659.1183348924233</v>
      </c>
      <c r="AA1569" s="238"/>
      <c r="AB1569" s="233" t="str">
        <f>IF(B1569="insumo",_xlfn.XLOOKUP(S1569,Insumos!A:A,Insumos!D:D),"")</f>
        <v>Aba Custo Serviços</v>
      </c>
      <c r="AC1569" s="239">
        <f t="shared" ca="1" si="1162"/>
        <v>1.0987703548886371E-3</v>
      </c>
      <c r="AE1569" s="240">
        <f ca="1">IFERROR(IF(OR(Z1569="",Z1569=0),"",IF(AF1569="","",IF(AF1569="R$/mês",Z1569/OBRA!$D$12,IF(AF1569="R$/m²",Z1569/OBRA!$D$10,IF(AF1569="R$/apto",Orçamento!Z1569/OBRA!$D$11,""))))),"")</f>
        <v>3.9414368525045536</v>
      </c>
      <c r="AF1569" s="241" t="s">
        <v>154</v>
      </c>
    </row>
    <row r="1570" spans="1:32" s="10" customFormat="1" ht="13.15" hidden="1" customHeight="1" outlineLevel="4" x14ac:dyDescent="0.2">
      <c r="A1570" s="227"/>
      <c r="B1570" s="228" t="s">
        <v>4</v>
      </c>
      <c r="C1570" s="229">
        <f t="shared" si="1160"/>
        <v>4</v>
      </c>
      <c r="D1570" s="227" t="str">
        <f t="shared" ca="1" si="1170"/>
        <v>15.002.005.003</v>
      </c>
      <c r="E1570" s="228" t="str">
        <f t="shared" ca="1" si="1171"/>
        <v>15.002.005.003</v>
      </c>
      <c r="F1570" s="230">
        <f ca="1">IF($B1570="UNIDADE CONSTRUTIVA",OFFSET(F1570,-1,0)+1,LARGE(F$10:F1569,1))</f>
        <v>2</v>
      </c>
      <c r="G1570" s="228" t="str">
        <f t="shared" ca="1" si="1172"/>
        <v xml:space="preserve">   GERENCIAMENTO EXECUTIVO</v>
      </c>
      <c r="H1570" s="230">
        <f t="shared" ca="1" si="1173"/>
        <v>15</v>
      </c>
      <c r="I1570" s="228" t="str">
        <f t="shared" ca="1" si="1174"/>
        <v xml:space="preserve">   PISOS E PAVIMENTAÇÕES</v>
      </c>
      <c r="J1570" s="230">
        <f t="shared" ca="1" si="1175"/>
        <v>2</v>
      </c>
      <c r="K1570" s="228" t="str">
        <f t="shared" ca="1" si="1176"/>
        <v xml:space="preserve">   PISOS E PAVIMENTAÇÕES - TÉRREO - 2º PAVIMENTO - TÉRREO</v>
      </c>
      <c r="L1570" s="231">
        <f t="shared" ca="1" si="1177"/>
        <v>5</v>
      </c>
      <c r="M1570" s="228" t="str">
        <f t="shared" ca="1" si="1178"/>
        <v xml:space="preserve">   Mão de Obra</v>
      </c>
      <c r="N1570" s="231">
        <f t="shared" ca="1" si="1179"/>
        <v>3</v>
      </c>
      <c r="O1570" s="228" t="str">
        <f t="shared" ca="1" si="1180"/>
        <v>Mao de obra para colocacao e rejuntamento de piso porcelanato</v>
      </c>
      <c r="P1570" s="232" t="str">
        <f>IF(S1570="","",IF(Orçamento!$B1570="INSUMO",S1570,""))</f>
        <v/>
      </c>
      <c r="Q1570" s="244" t="str">
        <f t="shared" si="1181"/>
        <v>Mao de obra para colocacao e rejuntamento de piso porcelanato</v>
      </c>
      <c r="R1570" s="234">
        <f t="shared" ca="1" si="1182"/>
        <v>216.96</v>
      </c>
      <c r="S1570" s="233" t="s">
        <v>781</v>
      </c>
      <c r="T1570" s="242" t="s">
        <v>140</v>
      </c>
      <c r="U1570" s="235">
        <f>U1517+U1523</f>
        <v>216.96</v>
      </c>
      <c r="V1570" s="320" t="s">
        <v>35</v>
      </c>
      <c r="W1570" s="236" t="str">
        <f>IFERROR(IF(B1570="INSUMO",_xlfn.XLOOKUP(S1570,Insumos!A:A,Insumos!C:C),""),"Inserir Preço")</f>
        <v/>
      </c>
      <c r="X1570" s="235">
        <f t="shared" ca="1" si="1183"/>
        <v>216.96</v>
      </c>
      <c r="Y1570" s="236">
        <f t="shared" ca="1" si="1117"/>
        <v>73.511069535391329</v>
      </c>
      <c r="Z1570" s="237">
        <f t="shared" ca="1" si="1161"/>
        <v>15948.961646398504</v>
      </c>
      <c r="AA1570" s="238"/>
      <c r="AB1570" s="233" t="str">
        <f>IF(B1570="insumo",_xlfn.XLOOKUP(S1570,Insumos!A:A,Insumos!D:D),"")</f>
        <v/>
      </c>
      <c r="AC1570" s="239">
        <f t="shared" ca="1" si="1162"/>
        <v>2.2880239581211125E-3</v>
      </c>
      <c r="AE1570" s="240">
        <f ca="1">IFERROR(IF(OR(Z1570="",Z1570=0),"",IF(AF1570="","",IF(AF1570="R$/mês",Z1570/OBRA!$D$12,IF(AF1570="R$/m²",Z1570/OBRA!$D$10,IF(AF1570="R$/apto",Orçamento!Z1570/OBRA!$D$11,""))))),"")</f>
        <v>8.2074492707494766</v>
      </c>
      <c r="AF1570" s="241" t="s">
        <v>154</v>
      </c>
    </row>
    <row r="1571" spans="1:32" s="10" customFormat="1" ht="13.15" hidden="1" customHeight="1" outlineLevel="4" x14ac:dyDescent="0.2">
      <c r="A1571" s="227"/>
      <c r="B1571" s="228" t="s">
        <v>19</v>
      </c>
      <c r="C1571" s="229">
        <f t="shared" si="1160"/>
        <v>4</v>
      </c>
      <c r="D1571" s="227" t="str">
        <f t="shared" si="1170"/>
        <v/>
      </c>
      <c r="E1571" s="228" t="str">
        <f t="shared" ca="1" si="1171"/>
        <v>15.002.005.003</v>
      </c>
      <c r="F1571" s="230">
        <f ca="1">IF($B1571="UNIDADE CONSTRUTIVA",OFFSET(F1571,-1,0)+1,LARGE(F$10:F1570,1))</f>
        <v>2</v>
      </c>
      <c r="G1571" s="228" t="str">
        <f t="shared" ca="1" si="1172"/>
        <v xml:space="preserve">   GERENCIAMENTO EXECUTIVO</v>
      </c>
      <c r="H1571" s="230">
        <f t="shared" ca="1" si="1173"/>
        <v>15</v>
      </c>
      <c r="I1571" s="228" t="str">
        <f t="shared" ca="1" si="1174"/>
        <v xml:space="preserve">   PISOS E PAVIMENTAÇÕES</v>
      </c>
      <c r="J1571" s="230">
        <f t="shared" ca="1" si="1175"/>
        <v>2</v>
      </c>
      <c r="K1571" s="228" t="str">
        <f t="shared" ca="1" si="1176"/>
        <v xml:space="preserve">   PISOS E PAVIMENTAÇÕES - TÉRREO - 2º PAVIMENTO - TÉRREO</v>
      </c>
      <c r="L1571" s="231">
        <f t="shared" ca="1" si="1177"/>
        <v>5</v>
      </c>
      <c r="M1571" s="228" t="str">
        <f t="shared" ca="1" si="1178"/>
        <v xml:space="preserve">   Mão de Obra</v>
      </c>
      <c r="N1571" s="231">
        <f t="shared" ca="1" si="1179"/>
        <v>3</v>
      </c>
      <c r="O1571" s="228" t="str">
        <f t="shared" ca="1" si="1180"/>
        <v>Mao de obra para colocacao e rejuntamento de piso porcelanato</v>
      </c>
      <c r="P1571" s="232" t="str">
        <f>IF(S1571="","",IF(Orçamento!$B1571="INSUMO",S1571,""))</f>
        <v>MAO DE OBRA PARA COLOCACAO E REJUNTAMENTO DE PORCELANATO</v>
      </c>
      <c r="Q1571" s="244" t="str">
        <f t="shared" si="1181"/>
        <v/>
      </c>
      <c r="R1571" s="234">
        <f t="shared" ca="1" si="1182"/>
        <v>216.96</v>
      </c>
      <c r="S1571" s="233" t="s">
        <v>274</v>
      </c>
      <c r="T1571" s="242" t="str">
        <f>_xlfn.XLOOKUP(S1571,Insumos!$A$3:$A$371,Insumos!$B$3:$B$371)</f>
        <v>M2</v>
      </c>
      <c r="U1571" s="235">
        <f ca="1">IF($B1571="insumo",R1571,"")</f>
        <v>216.96</v>
      </c>
      <c r="V1571" s="320">
        <v>1</v>
      </c>
      <c r="W1571" s="236">
        <f>IFERROR(IF(B1571="INSUMO",_xlfn.XLOOKUP(S1571,Insumos!A:A,Insumos!C:C),""),"Inserir Preço")</f>
        <v>73.511069535391329</v>
      </c>
      <c r="X1571" s="235">
        <f t="shared" ca="1" si="1183"/>
        <v>216.96</v>
      </c>
      <c r="Y1571" s="236">
        <f t="shared" si="1117"/>
        <v>73.511069535391329</v>
      </c>
      <c r="Z1571" s="237">
        <f t="shared" ca="1" si="1161"/>
        <v>15948.961646398504</v>
      </c>
      <c r="AA1571" s="238"/>
      <c r="AB1571" s="233" t="str">
        <f>IF(B1571="insumo",_xlfn.XLOOKUP(S1571,Insumos!A:A,Insumos!D:D),"")</f>
        <v>Aba Custo Serviços</v>
      </c>
      <c r="AC1571" s="239">
        <f t="shared" ca="1" si="1162"/>
        <v>2.2880239581211125E-3</v>
      </c>
      <c r="AE1571" s="240">
        <f ca="1">IFERROR(IF(OR(Z1571="",Z1571=0),"",IF(AF1571="","",IF(AF1571="R$/mês",Z1571/OBRA!$D$12,IF(AF1571="R$/m²",Z1571/OBRA!$D$10,IF(AF1571="R$/apto",Orçamento!Z1571/OBRA!$D$11,""))))),"")</f>
        <v>8.2074492707494766</v>
      </c>
      <c r="AF1571" s="241" t="s">
        <v>154</v>
      </c>
    </row>
    <row r="1572" spans="1:32" s="10" customFormat="1" ht="13.15" hidden="1" customHeight="1" outlineLevel="4" x14ac:dyDescent="0.2">
      <c r="A1572" s="227"/>
      <c r="B1572" s="228" t="s">
        <v>4</v>
      </c>
      <c r="C1572" s="229">
        <f t="shared" si="1160"/>
        <v>3</v>
      </c>
      <c r="D1572" s="227" t="str">
        <f t="shared" ca="1" si="1170"/>
        <v>15.002.005.004</v>
      </c>
      <c r="E1572" s="228" t="str">
        <f t="shared" ca="1" si="1171"/>
        <v>15.002.005.004</v>
      </c>
      <c r="F1572" s="230">
        <f ca="1">IF($B1572="UNIDADE CONSTRUTIVA",OFFSET(F1572,-1,0)+1,LARGE(F$10:F1571,1))</f>
        <v>2</v>
      </c>
      <c r="G1572" s="228" t="str">
        <f t="shared" ca="1" si="1172"/>
        <v xml:space="preserve">   GERENCIAMENTO EXECUTIVO</v>
      </c>
      <c r="H1572" s="230">
        <f t="shared" ca="1" si="1173"/>
        <v>15</v>
      </c>
      <c r="I1572" s="228" t="str">
        <f t="shared" ca="1" si="1174"/>
        <v xml:space="preserve">   PISOS E PAVIMENTAÇÕES</v>
      </c>
      <c r="J1572" s="230">
        <f t="shared" ca="1" si="1175"/>
        <v>2</v>
      </c>
      <c r="K1572" s="228" t="str">
        <f t="shared" ca="1" si="1176"/>
        <v xml:space="preserve">   PISOS E PAVIMENTAÇÕES - TÉRREO - 2º PAVIMENTO - TÉRREO</v>
      </c>
      <c r="L1572" s="231">
        <f t="shared" ca="1" si="1177"/>
        <v>5</v>
      </c>
      <c r="M1572" s="228" t="str">
        <f t="shared" ca="1" si="1178"/>
        <v xml:space="preserve">   Mão de Obra</v>
      </c>
      <c r="N1572" s="231">
        <f t="shared" ca="1" si="1179"/>
        <v>4</v>
      </c>
      <c r="O1572" s="228" t="str">
        <f t="shared" ca="1" si="1180"/>
        <v>Mao de obra para colocacao de rodape de poliestireno</v>
      </c>
      <c r="P1572" s="232" t="str">
        <f>IF(S1572="","",IF(Orçamento!$B1572="INSUMO",S1572,""))</f>
        <v/>
      </c>
      <c r="Q1572" s="244" t="str">
        <f t="shared" si="1181"/>
        <v>Mao de obra para colocacao de rodape de poliestireno</v>
      </c>
      <c r="R1572" s="234">
        <f t="shared" ca="1" si="1182"/>
        <v>70.98</v>
      </c>
      <c r="S1572" s="233" t="s">
        <v>495</v>
      </c>
      <c r="T1572" s="242" t="s">
        <v>158</v>
      </c>
      <c r="U1572" s="235">
        <f>U1556+U1552</f>
        <v>70.98</v>
      </c>
      <c r="V1572" s="320" t="s">
        <v>35</v>
      </c>
      <c r="W1572" s="236" t="str">
        <f>IFERROR(IF(B1572="INSUMO",_xlfn.XLOOKUP(S1572,Insumos!A:A,Insumos!C:C),""),"Inserir Preço")</f>
        <v/>
      </c>
      <c r="X1572" s="235">
        <f t="shared" ca="1" si="1183"/>
        <v>70.98</v>
      </c>
      <c r="Y1572" s="236">
        <f t="shared" ca="1" si="1117"/>
        <v>22</v>
      </c>
      <c r="Z1572" s="237">
        <f t="shared" ca="1" si="1161"/>
        <v>1561.5600000000002</v>
      </c>
      <c r="AA1572" s="238"/>
      <c r="AB1572" s="233" t="str">
        <f>IF(B1572="insumo",_xlfn.XLOOKUP(S1572,Insumos!A:A,Insumos!D:D),"")</f>
        <v/>
      </c>
      <c r="AC1572" s="239">
        <f t="shared" ca="1" si="1162"/>
        <v>2.2402001906189373E-4</v>
      </c>
      <c r="AE1572" s="240">
        <f ca="1">IFERROR(IF(OR(Z1572="",Z1572=0),"",IF(AF1572="","",IF(AF1572="R$/mês",Z1572/OBRA!$D$12,IF(AF1572="R$/m²",Z1572/OBRA!$D$10,IF(AF1572="R$/apto",Orçamento!Z1572/OBRA!$D$11,""))))),"")</f>
        <v>0.80358989929138602</v>
      </c>
      <c r="AF1572" s="241" t="s">
        <v>154</v>
      </c>
    </row>
    <row r="1573" spans="1:32" s="10" customFormat="1" ht="13.15" hidden="1" customHeight="1" outlineLevel="4" x14ac:dyDescent="0.2">
      <c r="A1573" s="227"/>
      <c r="B1573" s="228" t="s">
        <v>19</v>
      </c>
      <c r="C1573" s="229">
        <f t="shared" si="1160"/>
        <v>3</v>
      </c>
      <c r="D1573" s="227" t="str">
        <f t="shared" si="1170"/>
        <v/>
      </c>
      <c r="E1573" s="228" t="str">
        <f t="shared" ca="1" si="1171"/>
        <v>15.002.005.004</v>
      </c>
      <c r="F1573" s="230">
        <f ca="1">IF($B1573="UNIDADE CONSTRUTIVA",OFFSET(F1573,-1,0)+1,LARGE(F$10:F1572,1))</f>
        <v>2</v>
      </c>
      <c r="G1573" s="228" t="str">
        <f t="shared" ca="1" si="1172"/>
        <v xml:space="preserve">   GERENCIAMENTO EXECUTIVO</v>
      </c>
      <c r="H1573" s="230">
        <f t="shared" ca="1" si="1173"/>
        <v>15</v>
      </c>
      <c r="I1573" s="228" t="str">
        <f t="shared" ca="1" si="1174"/>
        <v xml:space="preserve">   PISOS E PAVIMENTAÇÕES</v>
      </c>
      <c r="J1573" s="230">
        <f t="shared" ca="1" si="1175"/>
        <v>2</v>
      </c>
      <c r="K1573" s="228" t="str">
        <f t="shared" ca="1" si="1176"/>
        <v xml:space="preserve">   PISOS E PAVIMENTAÇÕES - TÉRREO - 2º PAVIMENTO - TÉRREO</v>
      </c>
      <c r="L1573" s="231">
        <f t="shared" ca="1" si="1177"/>
        <v>5</v>
      </c>
      <c r="M1573" s="228" t="str">
        <f t="shared" ca="1" si="1178"/>
        <v xml:space="preserve">   Mão de Obra</v>
      </c>
      <c r="N1573" s="231">
        <f t="shared" ca="1" si="1179"/>
        <v>4</v>
      </c>
      <c r="O1573" s="228" t="str">
        <f t="shared" ca="1" si="1180"/>
        <v>Mao de obra para colocacao de rodape de poliestireno</v>
      </c>
      <c r="P1573" s="232" t="str">
        <f>IF(S1573="","",IF(Orçamento!$B1573="INSUMO",S1573,""))</f>
        <v>MAO DE OBRA PARA COLOCACAO DE RODAPE DE POLIESTIRENO</v>
      </c>
      <c r="Q1573" s="244" t="str">
        <f t="shared" si="1181"/>
        <v/>
      </c>
      <c r="R1573" s="234">
        <f t="shared" ca="1" si="1182"/>
        <v>70.98</v>
      </c>
      <c r="S1573" s="233" t="s">
        <v>300</v>
      </c>
      <c r="T1573" s="242" t="str">
        <f>_xlfn.XLOOKUP(S1573,Insumos!$A$3:$A$371,Insumos!$B$3:$B$371)</f>
        <v>M</v>
      </c>
      <c r="U1573" s="235">
        <f ca="1">IF($B1573="insumo",R1573,"")</f>
        <v>70.98</v>
      </c>
      <c r="V1573" s="320">
        <v>1</v>
      </c>
      <c r="W1573" s="236">
        <f>IFERROR(IF(B1573="INSUMO",_xlfn.XLOOKUP(S1573,Insumos!A:A,Insumos!C:C),""),"Inserir Preço")</f>
        <v>22</v>
      </c>
      <c r="X1573" s="235">
        <f t="shared" ca="1" si="1183"/>
        <v>70.98</v>
      </c>
      <c r="Y1573" s="236">
        <f t="shared" si="1117"/>
        <v>22</v>
      </c>
      <c r="Z1573" s="237">
        <f t="shared" ca="1" si="1161"/>
        <v>1561.5600000000002</v>
      </c>
      <c r="AA1573" s="238"/>
      <c r="AB1573" s="233" t="str">
        <f>IF(B1573="insumo",_xlfn.XLOOKUP(S1573,Insumos!A:A,Insumos!D:D),"")</f>
        <v xml:space="preserve"> </v>
      </c>
      <c r="AC1573" s="239">
        <f t="shared" ca="1" si="1162"/>
        <v>2.2402001906189373E-4</v>
      </c>
      <c r="AE1573" s="240">
        <f ca="1">IFERROR(IF(OR(Z1573="",Z1573=0),"",IF(AF1573="","",IF(AF1573="R$/mês",Z1573/OBRA!$D$12,IF(AF1573="R$/m²",Z1573/OBRA!$D$10,IF(AF1573="R$/apto",Orçamento!Z1573/OBRA!$D$11,""))))),"")</f>
        <v>0.80358989929138602</v>
      </c>
      <c r="AF1573" s="241" t="s">
        <v>154</v>
      </c>
    </row>
    <row r="1574" spans="1:32" s="10" customFormat="1" ht="13.15" hidden="1" customHeight="1" outlineLevel="4" x14ac:dyDescent="0.2">
      <c r="A1574" s="227"/>
      <c r="B1574" s="228" t="s">
        <v>4</v>
      </c>
      <c r="C1574" s="229">
        <f t="shared" si="1160"/>
        <v>4</v>
      </c>
      <c r="D1574" s="227" t="str">
        <f t="shared" ca="1" si="1170"/>
        <v>15.002.005.005</v>
      </c>
      <c r="E1574" s="228" t="str">
        <f t="shared" ca="1" si="1171"/>
        <v>15.002.005.005</v>
      </c>
      <c r="F1574" s="230">
        <f ca="1">IF($B1574="UNIDADE CONSTRUTIVA",OFFSET(F1574,-1,0)+1,LARGE(F$10:F1573,1))</f>
        <v>2</v>
      </c>
      <c r="G1574" s="228" t="str">
        <f t="shared" ca="1" si="1172"/>
        <v xml:space="preserve">   GERENCIAMENTO EXECUTIVO</v>
      </c>
      <c r="H1574" s="230">
        <f t="shared" ca="1" si="1173"/>
        <v>15</v>
      </c>
      <c r="I1574" s="228" t="str">
        <f t="shared" ca="1" si="1174"/>
        <v xml:space="preserve">   PISOS E PAVIMENTAÇÕES</v>
      </c>
      <c r="J1574" s="230">
        <f t="shared" ca="1" si="1175"/>
        <v>2</v>
      </c>
      <c r="K1574" s="228" t="str">
        <f t="shared" ca="1" si="1176"/>
        <v xml:space="preserve">   PISOS E PAVIMENTAÇÕES - TÉRREO - 2º PAVIMENTO - TÉRREO</v>
      </c>
      <c r="L1574" s="231">
        <f t="shared" ca="1" si="1177"/>
        <v>5</v>
      </c>
      <c r="M1574" s="228" t="str">
        <f t="shared" ca="1" si="1178"/>
        <v xml:space="preserve">   Mão de Obra</v>
      </c>
      <c r="N1574" s="231">
        <f t="shared" ca="1" si="1179"/>
        <v>5</v>
      </c>
      <c r="O1574" s="228" t="str">
        <f t="shared" ca="1" si="1180"/>
        <v>Mao de obra para colocacao de rodape cerâmico e porcelanato</v>
      </c>
      <c r="P1574" s="232" t="str">
        <f>IF(S1574="","",IF(Orçamento!$B1574="INSUMO",S1574,""))</f>
        <v/>
      </c>
      <c r="Q1574" s="244" t="str">
        <f t="shared" si="1181"/>
        <v>Mao de obra para colocacao de rodape cerâmico e porcelanato</v>
      </c>
      <c r="R1574" s="234">
        <f t="shared" ca="1" si="1182"/>
        <v>160.27000000000001</v>
      </c>
      <c r="S1574" s="233" t="s">
        <v>1111</v>
      </c>
      <c r="T1574" s="242" t="s">
        <v>158</v>
      </c>
      <c r="U1574" s="235">
        <f>U1530+U1535+U1540+U1546</f>
        <v>160.27000000000001</v>
      </c>
      <c r="V1574" s="320" t="s">
        <v>35</v>
      </c>
      <c r="W1574" s="236" t="str">
        <f>IFERROR(IF(B1574="INSUMO",_xlfn.XLOOKUP(S1574,Insumos!A:A,Insumos!C:C),""),"Inserir Preço")</f>
        <v/>
      </c>
      <c r="X1574" s="235">
        <f t="shared" ca="1" si="1183"/>
        <v>160.27000000000001</v>
      </c>
      <c r="Y1574" s="236">
        <f t="shared" ca="1" si="1117"/>
        <v>20.778316515676838</v>
      </c>
      <c r="Z1574" s="237">
        <f t="shared" ca="1" si="1161"/>
        <v>3330.1407879675271</v>
      </c>
      <c r="AA1574" s="238"/>
      <c r="AB1574" s="233" t="str">
        <f>IF(B1574="insumo",_xlfn.XLOOKUP(S1574,Insumos!A:A,Insumos!D:D),"")</f>
        <v/>
      </c>
      <c r="AC1574" s="239">
        <f t="shared" ca="1" si="1162"/>
        <v>4.7773905760859343E-4</v>
      </c>
      <c r="AE1574" s="240">
        <f ca="1">IFERROR(IF(OR(Z1574="",Z1574=0),"",IF(AF1574="","",IF(AF1574="R$/mês",Z1574/OBRA!$D$12,IF(AF1574="R$/m²",Z1574/OBRA!$D$10,IF(AF1574="R$/apto",Orçamento!Z1574/OBRA!$D$11,""))))),"")</f>
        <v>1.7137141707196406</v>
      </c>
      <c r="AF1574" s="241" t="s">
        <v>154</v>
      </c>
    </row>
    <row r="1575" spans="1:32" s="10" customFormat="1" ht="13.15" hidden="1" customHeight="1" outlineLevel="4" x14ac:dyDescent="0.2">
      <c r="A1575" s="227"/>
      <c r="B1575" s="228" t="s">
        <v>19</v>
      </c>
      <c r="C1575" s="229">
        <f t="shared" si="1160"/>
        <v>4</v>
      </c>
      <c r="D1575" s="227" t="str">
        <f t="shared" si="1170"/>
        <v/>
      </c>
      <c r="E1575" s="228" t="str">
        <f t="shared" ca="1" si="1171"/>
        <v>15.002.005.005</v>
      </c>
      <c r="F1575" s="230">
        <f ca="1">IF($B1575="UNIDADE CONSTRUTIVA",OFFSET(F1575,-1,0)+1,LARGE(F$10:F1574,1))</f>
        <v>2</v>
      </c>
      <c r="G1575" s="228" t="str">
        <f t="shared" ca="1" si="1172"/>
        <v xml:space="preserve">   GERENCIAMENTO EXECUTIVO</v>
      </c>
      <c r="H1575" s="230">
        <f t="shared" ca="1" si="1173"/>
        <v>15</v>
      </c>
      <c r="I1575" s="228" t="str">
        <f t="shared" ca="1" si="1174"/>
        <v xml:space="preserve">   PISOS E PAVIMENTAÇÕES</v>
      </c>
      <c r="J1575" s="230">
        <f t="shared" ca="1" si="1175"/>
        <v>2</v>
      </c>
      <c r="K1575" s="228" t="str">
        <f t="shared" ca="1" si="1176"/>
        <v xml:space="preserve">   PISOS E PAVIMENTAÇÕES - TÉRREO - 2º PAVIMENTO - TÉRREO</v>
      </c>
      <c r="L1575" s="231">
        <f t="shared" ca="1" si="1177"/>
        <v>5</v>
      </c>
      <c r="M1575" s="228" t="str">
        <f t="shared" ca="1" si="1178"/>
        <v xml:space="preserve">   Mão de Obra</v>
      </c>
      <c r="N1575" s="231">
        <f t="shared" ca="1" si="1179"/>
        <v>5</v>
      </c>
      <c r="O1575" s="228" t="str">
        <f t="shared" ca="1" si="1180"/>
        <v>Mao de obra para colocacao de rodape cerâmico e porcelanato</v>
      </c>
      <c r="P1575" s="232" t="str">
        <f>IF(S1575="","",IF(Orçamento!$B1575="INSUMO",S1575,""))</f>
        <v>MAO DE OBRA PARA COLOCACAO DE RODAPE CERAMICO E PORCELANATO</v>
      </c>
      <c r="Q1575" s="244" t="str">
        <f t="shared" si="1181"/>
        <v/>
      </c>
      <c r="R1575" s="234">
        <f t="shared" ca="1" si="1182"/>
        <v>160.27000000000001</v>
      </c>
      <c r="S1575" s="233" t="s">
        <v>1113</v>
      </c>
      <c r="T1575" s="242" t="s">
        <v>1112</v>
      </c>
      <c r="U1575" s="235">
        <f ca="1">IF($B1575="insumo",R1575,"")</f>
        <v>160.27000000000001</v>
      </c>
      <c r="V1575" s="320">
        <v>1</v>
      </c>
      <c r="W1575" s="236">
        <f>IFERROR(IF(B1575="INSUMO",_xlfn.XLOOKUP(S1575,Insumos!A:A,Insumos!C:C),""),"Inserir Preço")</f>
        <v>20.778316515676838</v>
      </c>
      <c r="X1575" s="235">
        <f t="shared" ca="1" si="1183"/>
        <v>160.27000000000001</v>
      </c>
      <c r="Y1575" s="236">
        <f t="shared" si="1117"/>
        <v>20.778316515676838</v>
      </c>
      <c r="Z1575" s="237">
        <f t="shared" ca="1" si="1161"/>
        <v>3330.1407879675271</v>
      </c>
      <c r="AA1575" s="238"/>
      <c r="AB1575" s="233" t="str">
        <f>IF(B1575="insumo",_xlfn.XLOOKUP(S1575,Insumos!A:A,Insumos!D:D),"")</f>
        <v>Aba Custo Serviços</v>
      </c>
      <c r="AC1575" s="239">
        <f t="shared" ca="1" si="1162"/>
        <v>4.7773905760859343E-4</v>
      </c>
      <c r="AE1575" s="240">
        <f ca="1">IFERROR(IF(OR(Z1575="",Z1575=0),"",IF(AF1575="","",IF(AF1575="R$/mês",Z1575/OBRA!$D$12,IF(AF1575="R$/m²",Z1575/OBRA!$D$10,IF(AF1575="R$/apto",Orçamento!Z1575/OBRA!$D$11,""))))),"")</f>
        <v>1.7137141707196406</v>
      </c>
      <c r="AF1575" s="241" t="s">
        <v>154</v>
      </c>
    </row>
    <row r="1576" spans="1:32" s="10" customFormat="1" ht="13.15" hidden="1" customHeight="1" outlineLevel="4" x14ac:dyDescent="0.2">
      <c r="A1576" s="227"/>
      <c r="B1576" s="228" t="s">
        <v>4</v>
      </c>
      <c r="C1576" s="229">
        <f t="shared" si="1160"/>
        <v>5</v>
      </c>
      <c r="D1576" s="227" t="str">
        <f t="shared" ca="1" si="1170"/>
        <v>15.002.005.006</v>
      </c>
      <c r="E1576" s="228" t="str">
        <f t="shared" ca="1" si="1171"/>
        <v>15.002.005.006</v>
      </c>
      <c r="F1576" s="230">
        <f ca="1">IF($B1576="UNIDADE CONSTRUTIVA",OFFSET(F1576,-1,0)+1,LARGE(F$10:F1575,1))</f>
        <v>2</v>
      </c>
      <c r="G1576" s="228" t="str">
        <f t="shared" ca="1" si="1172"/>
        <v xml:space="preserve">   GERENCIAMENTO EXECUTIVO</v>
      </c>
      <c r="H1576" s="230">
        <f t="shared" ca="1" si="1173"/>
        <v>15</v>
      </c>
      <c r="I1576" s="228" t="str">
        <f t="shared" ca="1" si="1174"/>
        <v xml:space="preserve">   PISOS E PAVIMENTAÇÕES</v>
      </c>
      <c r="J1576" s="230">
        <f t="shared" ca="1" si="1175"/>
        <v>2</v>
      </c>
      <c r="K1576" s="228" t="str">
        <f t="shared" ca="1" si="1176"/>
        <v xml:space="preserve">   PISOS E PAVIMENTAÇÕES - TÉRREO - 2º PAVIMENTO - TÉRREO</v>
      </c>
      <c r="L1576" s="231">
        <f t="shared" ca="1" si="1177"/>
        <v>5</v>
      </c>
      <c r="M1576" s="228" t="str">
        <f t="shared" ca="1" si="1178"/>
        <v xml:space="preserve">   Mão de Obra</v>
      </c>
      <c r="N1576" s="231">
        <f t="shared" ca="1" si="1179"/>
        <v>6</v>
      </c>
      <c r="O1576" s="228" t="str">
        <f t="shared" ca="1" si="1180"/>
        <v>Mao de obra para colocacao de soleiras em granito</v>
      </c>
      <c r="P1576" s="232" t="str">
        <f>IF(S1576="","",IF(Orçamento!$B1576="INSUMO",S1576,""))</f>
        <v/>
      </c>
      <c r="Q1576" s="244" t="str">
        <f t="shared" si="1181"/>
        <v>Mao de obra para colocacao de soleiras em granito</v>
      </c>
      <c r="R1576" s="234">
        <f t="shared" ca="1" si="1182"/>
        <v>2.0299999999999998</v>
      </c>
      <c r="S1576" s="233" t="s">
        <v>496</v>
      </c>
      <c r="T1576" s="242" t="s">
        <v>158</v>
      </c>
      <c r="U1576" s="235">
        <f>U1561</f>
        <v>2.0299999999999998</v>
      </c>
      <c r="V1576" s="320" t="s">
        <v>35</v>
      </c>
      <c r="W1576" s="236" t="str">
        <f>IFERROR(IF(B1576="INSUMO",_xlfn.XLOOKUP(S1576,Insumos!A:A,Insumos!C:C),""),"Inserir Preço")</f>
        <v/>
      </c>
      <c r="X1576" s="235">
        <f t="shared" ca="1" si="1183"/>
        <v>2.0299999999999998</v>
      </c>
      <c r="Y1576" s="236">
        <f t="shared" ref="Y1576:Y1639" ca="1" si="1184">IF(B1576="insumo",W1576*V1576,IF(B1576="serviço",SUMIFS(Y:Y,B:B,"insumo",E:E,E1576,I:I,I1576),""))</f>
        <v>10.4</v>
      </c>
      <c r="Z1576" s="237">
        <f t="shared" ca="1" si="1161"/>
        <v>21.111999999999998</v>
      </c>
      <c r="AA1576" s="238"/>
      <c r="AB1576" s="233" t="str">
        <f>IF(B1576="insumo",_xlfn.XLOOKUP(S1576,Insumos!A:A,Insumos!D:D),"")</f>
        <v/>
      </c>
      <c r="AC1576" s="239">
        <f t="shared" ca="1" si="1162"/>
        <v>3.0287088824218725E-6</v>
      </c>
      <c r="AE1576" s="240">
        <f ca="1">IFERROR(IF(OR(Z1576="",Z1576=0),"",IF(AF1576="","",IF(AF1576="R$/mês",Z1576/OBRA!$D$12,IF(AF1576="R$/m²",Z1576/OBRA!$D$10,IF(AF1576="R$/apto",Orçamento!Z1576/OBRA!$D$11,""))))),"")</f>
        <v>1.0864385584825264E-2</v>
      </c>
      <c r="AF1576" s="241" t="s">
        <v>154</v>
      </c>
    </row>
    <row r="1577" spans="1:32" s="10" customFormat="1" ht="13.15" hidden="1" customHeight="1" outlineLevel="4" x14ac:dyDescent="0.2">
      <c r="A1577" s="227"/>
      <c r="B1577" s="228" t="s">
        <v>19</v>
      </c>
      <c r="C1577" s="229">
        <f t="shared" si="1160"/>
        <v>5</v>
      </c>
      <c r="D1577" s="227" t="str">
        <f t="shared" si="1170"/>
        <v/>
      </c>
      <c r="E1577" s="228" t="str">
        <f t="shared" ca="1" si="1171"/>
        <v>15.002.005.006</v>
      </c>
      <c r="F1577" s="230">
        <f ca="1">IF($B1577="UNIDADE CONSTRUTIVA",OFFSET(F1577,-1,0)+1,LARGE(F$10:F1576,1))</f>
        <v>2</v>
      </c>
      <c r="G1577" s="228" t="str">
        <f t="shared" ca="1" si="1172"/>
        <v xml:space="preserve">   GERENCIAMENTO EXECUTIVO</v>
      </c>
      <c r="H1577" s="230">
        <f t="shared" ca="1" si="1173"/>
        <v>15</v>
      </c>
      <c r="I1577" s="228" t="str">
        <f t="shared" ca="1" si="1174"/>
        <v xml:space="preserve">   PISOS E PAVIMENTAÇÕES</v>
      </c>
      <c r="J1577" s="230">
        <f t="shared" ca="1" si="1175"/>
        <v>2</v>
      </c>
      <c r="K1577" s="228" t="str">
        <f t="shared" ca="1" si="1176"/>
        <v xml:space="preserve">   PISOS E PAVIMENTAÇÕES - TÉRREO - 2º PAVIMENTO - TÉRREO</v>
      </c>
      <c r="L1577" s="231">
        <f t="shared" ca="1" si="1177"/>
        <v>5</v>
      </c>
      <c r="M1577" s="228" t="str">
        <f t="shared" ca="1" si="1178"/>
        <v xml:space="preserve">   Mão de Obra</v>
      </c>
      <c r="N1577" s="231">
        <f t="shared" ca="1" si="1179"/>
        <v>6</v>
      </c>
      <c r="O1577" s="228" t="str">
        <f t="shared" ca="1" si="1180"/>
        <v>Mao de obra para colocacao de soleiras em granito</v>
      </c>
      <c r="P1577" s="232" t="str">
        <f>IF(S1577="","",IF(Orçamento!$B1577="INSUMO",S1577,""))</f>
        <v>MAO DE OBRA PARA COLOCACAO DE SOLEIRAS EM GRANITO - m²</v>
      </c>
      <c r="Q1577" s="244" t="str">
        <f t="shared" si="1181"/>
        <v/>
      </c>
      <c r="R1577" s="234">
        <f t="shared" ca="1" si="1182"/>
        <v>2.0299999999999998</v>
      </c>
      <c r="S1577" s="233" t="s">
        <v>364</v>
      </c>
      <c r="T1577" s="242" t="str">
        <f>_xlfn.XLOOKUP(S1577,Insumos!$A$3:$A$371,Insumos!$B$3:$B$371)</f>
        <v>M2</v>
      </c>
      <c r="U1577" s="235">
        <f ca="1">IF($B1577="insumo",R1577,"")</f>
        <v>2.0299999999999998</v>
      </c>
      <c r="V1577" s="320">
        <v>1</v>
      </c>
      <c r="W1577" s="236">
        <f>IFERROR(IF(B1577="INSUMO",_xlfn.XLOOKUP(S1577,Insumos!A:A,Insumos!C:C),""),"Inserir Preço")</f>
        <v>10.4</v>
      </c>
      <c r="X1577" s="235">
        <f t="shared" ca="1" si="1183"/>
        <v>2.0299999999999998</v>
      </c>
      <c r="Y1577" s="236">
        <f t="shared" si="1184"/>
        <v>10.4</v>
      </c>
      <c r="Z1577" s="237">
        <f t="shared" ca="1" si="1161"/>
        <v>21.111999999999998</v>
      </c>
      <c r="AA1577" s="238"/>
      <c r="AB1577" s="233" t="str">
        <f>IF(B1577="insumo",_xlfn.XLOOKUP(S1577,Insumos!A:A,Insumos!D:D),"")</f>
        <v xml:space="preserve"> </v>
      </c>
      <c r="AC1577" s="239">
        <f t="shared" ca="1" si="1162"/>
        <v>3.0287088824218725E-6</v>
      </c>
      <c r="AE1577" s="240">
        <f ca="1">IFERROR(IF(OR(Z1577="",Z1577=0),"",IF(AF1577="","",IF(AF1577="R$/mês",Z1577/OBRA!$D$12,IF(AF1577="R$/m²",Z1577/OBRA!$D$10,IF(AF1577="R$/apto",Orçamento!Z1577/OBRA!$D$11,""))))),"")</f>
        <v>1.0864385584825264E-2</v>
      </c>
      <c r="AF1577" s="241" t="s">
        <v>154</v>
      </c>
    </row>
    <row r="1578" spans="1:32" s="10" customFormat="1" ht="13.15" hidden="1" customHeight="1" outlineLevel="4" x14ac:dyDescent="0.2">
      <c r="A1578" s="227"/>
      <c r="B1578" s="228" t="s">
        <v>4</v>
      </c>
      <c r="C1578" s="229">
        <f t="shared" si="1160"/>
        <v>1</v>
      </c>
      <c r="D1578" s="227" t="str">
        <f ca="1">IF(B1578="Unidade Construtiva",TEXT(F1578,"00"),IF(B1578="Célula Construtiva",TEXT(H1578,"00"),IF(B1578="Etapa",CONCATENATE(TEXT(H1578,"00"),".",TEXT(J1578,"000")),IF(B1578="Subetapa",CONCATENATE(TEXT(H1578,"00"),".",TEXT(J1578,"000"),".",TEXT(L1578,"000")),IF(B1578="Serviço",CONCATENATE(TEXT(H1578,"00"),".",TEXT(J1578,"000"),".",TEXT(L1578,"000"),".",TEXT(N1578,"000")),"")))))</f>
        <v>15.002.005.007</v>
      </c>
      <c r="E1578" s="228" t="str">
        <f ca="1">IF(B1578="*","",IFERROR(IF(B1578="SERVIÇO",D1578,OFFSET(E1578,-1,0)),""))</f>
        <v>15.002.005.007</v>
      </c>
      <c r="F1578" s="230">
        <f ca="1">IF($B1578="UNIDADE CONSTRUTIVA",OFFSET(F1578,-1,0)+1,LARGE(F$10:F1577,1))</f>
        <v>2</v>
      </c>
      <c r="G1578" s="228" t="str">
        <f ca="1">IF(B1578="*","",IF(B1578="UNIDADE CONSTRUTIVA",S1578,OFFSET(G1578,-1,0)))</f>
        <v xml:space="preserve">   GERENCIAMENTO EXECUTIVO</v>
      </c>
      <c r="H1578" s="230">
        <f ca="1">IF(B1578="UNIDADE CONSTRUTIVA",0,IF(B1578="CÉLULA CONSTRUTIVA",OFFSET(H1578,-1,0)+1,OFFSET(H1578,-1,0)))</f>
        <v>15</v>
      </c>
      <c r="I1578" s="228" t="str">
        <f ca="1">IF(B1578="*","",IF(B1578="CÉLULA CONSTRUTIVA",S1578,OFFSET(I1578,-1,0)))</f>
        <v xml:space="preserve">   PISOS E PAVIMENTAÇÕES</v>
      </c>
      <c r="J1578" s="230">
        <f ca="1">IF(B1578="CÉLULA CONSTRUTIVA",0,IF(B1578="ETAPA",OFFSET(J1578,-1,0)+1,OFFSET(J1578,-1,0)))</f>
        <v>2</v>
      </c>
      <c r="K1578" s="228" t="str">
        <f ca="1">IF(B1578="*","",IF(B1578="ETAPA",S1578,OFFSET(K1578,-1,0)))</f>
        <v xml:space="preserve">   PISOS E PAVIMENTAÇÕES - TÉRREO - 2º PAVIMENTO - TÉRREO</v>
      </c>
      <c r="L1578" s="231">
        <f ca="1">IF(B1578="ETAPA",0,IF(B1578="SUBETAPA",OFFSET(L1578,-1,0)+1,OFFSET(L1578,-1,0)))</f>
        <v>5</v>
      </c>
      <c r="M1578" s="228" t="str">
        <f ca="1">IF(B1578="*","",IF(B1578="SUBETAPA",S1578,OFFSET(M1578,-1,0)))</f>
        <v xml:space="preserve">   Mão de Obra</v>
      </c>
      <c r="N1578" s="231">
        <f ca="1">IF(B1578="Subetapa",0,IF(B1578="serviço",OFFSET(N1578,-1,0)+1,OFFSET(N1578,-1,0)))</f>
        <v>7</v>
      </c>
      <c r="O1578" s="228" t="str">
        <f ca="1">IF(B1578="*","",IF(B1578="SERVIÇO",S1578,OFFSET(O1578,-1,0)))</f>
        <v>Mao de obra para execucao de piso de concretograma</v>
      </c>
      <c r="P1578" s="232" t="str">
        <f>IF(S1578="","",IF(Orçamento!$B1578="INSUMO",S1578,""))</f>
        <v/>
      </c>
      <c r="Q1578" s="244" t="str">
        <f>IF(B1578="","",IF(B1578="Serviço",S1578,""))</f>
        <v>Mao de obra para execucao de piso de concretograma</v>
      </c>
      <c r="R1578" s="234">
        <f ca="1">IF(B1578="serviço",U1578,OFFSET(R1578,-1,0))</f>
        <v>12.677</v>
      </c>
      <c r="S1578" s="233" t="s">
        <v>767</v>
      </c>
      <c r="T1578" s="242" t="s">
        <v>140</v>
      </c>
      <c r="U1578" s="235">
        <f>U2133</f>
        <v>12.677</v>
      </c>
      <c r="V1578" s="320" t="s">
        <v>35</v>
      </c>
      <c r="W1578" s="236" t="str">
        <f>IFERROR(IF(B1578="INSUMO",_xlfn.XLOOKUP(S1578,Insumos!A:A,Insumos!C:C),""),"Inserir Preço")</f>
        <v/>
      </c>
      <c r="X1578" s="235">
        <f ca="1">IF(B1578="Complemento do insumo",V1578,IF(R1578="","",IF(B1578="serviço",R1578,IF(OR(B1578="insumo"),V1578*R1578,""))))</f>
        <v>12.677</v>
      </c>
      <c r="Y1578" s="236">
        <f t="shared" ca="1" si="1184"/>
        <v>41</v>
      </c>
      <c r="Z1578" s="237">
        <f t="shared" ca="1" si="1161"/>
        <v>519.75699999999995</v>
      </c>
      <c r="AA1578" s="238"/>
      <c r="AB1578" s="233" t="str">
        <f>IF(B1578="insumo",_xlfn.XLOOKUP(S1578,Insumos!A:A,Insumos!D:D),"")</f>
        <v/>
      </c>
      <c r="AC1578" s="239">
        <f t="shared" ca="1" si="1162"/>
        <v>7.4563880380870836E-5</v>
      </c>
      <c r="AE1578" s="240">
        <f ca="1">IFERROR(IF(OR(Z1578="",Z1578=0),"",IF(AF1578="","",IF(AF1578="R$/mês",Z1578/OBRA!$D$12,IF(AF1578="R$/m²",Z1578/OBRA!$D$10,IF(AF1578="R$/apto",Orçamento!Z1578/OBRA!$D$11,""))))),"")</f>
        <v>0.26747065452879998</v>
      </c>
      <c r="AF1578" s="241" t="s">
        <v>154</v>
      </c>
    </row>
    <row r="1579" spans="1:32" s="10" customFormat="1" ht="13.15" hidden="1" customHeight="1" outlineLevel="4" x14ac:dyDescent="0.2">
      <c r="A1579" s="227"/>
      <c r="B1579" s="228" t="s">
        <v>19</v>
      </c>
      <c r="C1579" s="229">
        <f t="shared" si="1160"/>
        <v>1</v>
      </c>
      <c r="D1579" s="227" t="str">
        <f>IF(B1579="Unidade Construtiva",TEXT(F1579,"00"),IF(B1579="Célula Construtiva",TEXT(H1579,"00"),IF(B1579="Etapa",CONCATENATE(TEXT(H1579,"00"),".",TEXT(J1579,"000")),IF(B1579="Subetapa",CONCATENATE(TEXT(H1579,"00"),".",TEXT(J1579,"000"),".",TEXT(L1579,"000")),IF(B1579="Serviço",CONCATENATE(TEXT(H1579,"00"),".",TEXT(J1579,"000"),".",TEXT(L1579,"000"),".",TEXT(N1579,"000")),"")))))</f>
        <v/>
      </c>
      <c r="E1579" s="228" t="str">
        <f ca="1">IF(B1579="*","",IFERROR(IF(B1579="SERVIÇO",D1579,OFFSET(E1579,-1,0)),""))</f>
        <v>15.002.005.007</v>
      </c>
      <c r="F1579" s="230">
        <f ca="1">IF($B1579="UNIDADE CONSTRUTIVA",OFFSET(F1579,-1,0)+1,LARGE(F$10:F1578,1))</f>
        <v>2</v>
      </c>
      <c r="G1579" s="228" t="str">
        <f ca="1">IF(B1579="*","",IF(B1579="UNIDADE CONSTRUTIVA",S1579,OFFSET(G1579,-1,0)))</f>
        <v xml:space="preserve">   GERENCIAMENTO EXECUTIVO</v>
      </c>
      <c r="H1579" s="230">
        <f ca="1">IF(B1579="UNIDADE CONSTRUTIVA",0,IF(B1579="CÉLULA CONSTRUTIVA",OFFSET(H1579,-1,0)+1,OFFSET(H1579,-1,0)))</f>
        <v>15</v>
      </c>
      <c r="I1579" s="228" t="str">
        <f ca="1">IF(B1579="*","",IF(B1579="CÉLULA CONSTRUTIVA",S1579,OFFSET(I1579,-1,0)))</f>
        <v xml:space="preserve">   PISOS E PAVIMENTAÇÕES</v>
      </c>
      <c r="J1579" s="230">
        <f ca="1">IF(B1579="CÉLULA CONSTRUTIVA",0,IF(B1579="ETAPA",OFFSET(J1579,-1,0)+1,OFFSET(J1579,-1,0)))</f>
        <v>2</v>
      </c>
      <c r="K1579" s="228" t="str">
        <f ca="1">IF(B1579="*","",IF(B1579="ETAPA",S1579,OFFSET(K1579,-1,0)))</f>
        <v xml:space="preserve">   PISOS E PAVIMENTAÇÕES - TÉRREO - 2º PAVIMENTO - TÉRREO</v>
      </c>
      <c r="L1579" s="231">
        <f ca="1">IF(B1579="ETAPA",0,IF(B1579="SUBETAPA",OFFSET(L1579,-1,0)+1,OFFSET(L1579,-1,0)))</f>
        <v>5</v>
      </c>
      <c r="M1579" s="228" t="str">
        <f ca="1">IF(B1579="*","",IF(B1579="SUBETAPA",S1579,OFFSET(M1579,-1,0)))</f>
        <v xml:space="preserve">   Mão de Obra</v>
      </c>
      <c r="N1579" s="231">
        <f ca="1">IF(B1579="Subetapa",0,IF(B1579="serviço",OFFSET(N1579,-1,0)+1,OFFSET(N1579,-1,0)))</f>
        <v>7</v>
      </c>
      <c r="O1579" s="228" t="str">
        <f ca="1">IF(B1579="*","",IF(B1579="SERVIÇO",S1579,OFFSET(O1579,-1,0)))</f>
        <v>Mao de obra para execucao de piso de concretograma</v>
      </c>
      <c r="P1579" s="232" t="str">
        <f>IF(S1579="","",IF(Orçamento!$B1579="INSUMO",S1579,""))</f>
        <v>MAO DE OBRA PARA COLOCACAO DE PISO CONCREGRAMA</v>
      </c>
      <c r="Q1579" s="244" t="str">
        <f>IF(B1579="","",IF(B1579="Serviço",S1579,""))</f>
        <v/>
      </c>
      <c r="R1579" s="234">
        <f ca="1">IF(B1579="serviço",U1579,OFFSET(R1579,-1,0))</f>
        <v>12.677</v>
      </c>
      <c r="S1579" s="233" t="s">
        <v>372</v>
      </c>
      <c r="T1579" s="242" t="str">
        <f>_xlfn.XLOOKUP(S1579,Insumos!$A$3:$A$371,Insumos!$B$3:$B$371)</f>
        <v>M2</v>
      </c>
      <c r="U1579" s="235">
        <f ca="1">IF($B1579="insumo",R1579,"")</f>
        <v>12.677</v>
      </c>
      <c r="V1579" s="320">
        <v>1</v>
      </c>
      <c r="W1579" s="236">
        <f>IFERROR(IF(B1579="INSUMO",_xlfn.XLOOKUP(S1579,Insumos!A:A,Insumos!C:C),""),"Inserir Preço")</f>
        <v>41</v>
      </c>
      <c r="X1579" s="235">
        <f ca="1">IF(B1579="Complemento do insumo",V1579,IF(R1579="","",IF(B1579="serviço",R1579,IF(OR(B1579="insumo"),V1579*R1579,""))))</f>
        <v>12.677</v>
      </c>
      <c r="Y1579" s="236">
        <f t="shared" si="1184"/>
        <v>41</v>
      </c>
      <c r="Z1579" s="237">
        <f t="shared" ca="1" si="1161"/>
        <v>519.75699999999995</v>
      </c>
      <c r="AA1579" s="238"/>
      <c r="AB1579" s="233" t="str">
        <f>IF(B1579="insumo",_xlfn.XLOOKUP(S1579,Insumos!A:A,Insumos!D:D),"")</f>
        <v xml:space="preserve"> </v>
      </c>
      <c r="AC1579" s="239">
        <f t="shared" ca="1" si="1162"/>
        <v>7.4563880380870836E-5</v>
      </c>
      <c r="AE1579" s="240">
        <f ca="1">IFERROR(IF(OR(Z1579="",Z1579=0),"",IF(AF1579="","",IF(AF1579="R$/mês",Z1579/OBRA!$D$12,IF(AF1579="R$/m²",Z1579/OBRA!$D$10,IF(AF1579="R$/apto",Orçamento!Z1579/OBRA!$D$11,""))))),"")</f>
        <v>0.26747065452879998</v>
      </c>
      <c r="AF1579" s="241" t="s">
        <v>154</v>
      </c>
    </row>
    <row r="1580" spans="1:32" s="10" customFormat="1" ht="13.15" customHeight="1" outlineLevel="2" collapsed="1" x14ac:dyDescent="0.2">
      <c r="A1580" s="227"/>
      <c r="B1580" s="228" t="s">
        <v>2</v>
      </c>
      <c r="C1580" s="229" t="str">
        <f t="shared" si="1160"/>
        <v/>
      </c>
      <c r="D1580" s="227" t="str">
        <f ca="1">IF(B1580="Unidade Construtiva",TEXT(F1580,"00"),IF(B1580="Célula Construtiva",TEXT(H1580,"00"),IF(B1580="Etapa",CONCATENATE(TEXT(H1580,"00"),".",TEXT(J1580,"000")),IF(B1580="Subetapa",CONCATENATE(TEXT(H1580,"00"),".",TEXT(J1580,"000"),".",TEXT(L1580,"000")),IF(B1580="Serviço",CONCATENATE(TEXT(H1580,"00"),".",TEXT(J1580,"000"),".",TEXT(L1580,"000"),".",TEXT(N1580,"000")),"")))))</f>
        <v>15.003</v>
      </c>
      <c r="E1580" s="228" t="str">
        <f ca="1">IF(B1580="*","",IFERROR(IF(B1580="SERVIÇO",D1580,OFFSET(E1580,-1,0)),""))</f>
        <v>15.002.005.007</v>
      </c>
      <c r="F1580" s="230">
        <f ca="1">IF($B1580="UNIDADE CONSTRUTIVA",OFFSET(F1580,-1,0)+1,LARGE(F$10:F1579,1))</f>
        <v>2</v>
      </c>
      <c r="G1580" s="228" t="str">
        <f ca="1">IF(B1580="*","",IF(B1580="UNIDADE CONSTRUTIVA",S1580,OFFSET(G1580,-1,0)))</f>
        <v xml:space="preserve">   GERENCIAMENTO EXECUTIVO</v>
      </c>
      <c r="H1580" s="230">
        <f ca="1">IF(B1580="UNIDADE CONSTRUTIVA",0,IF(B1580="CÉLULA CONSTRUTIVA",OFFSET(H1580,-1,0)+1,OFFSET(H1580,-1,0)))</f>
        <v>15</v>
      </c>
      <c r="I1580" s="228" t="str">
        <f ca="1">IF(B1580="*","",IF(B1580="CÉLULA CONSTRUTIVA",S1580,OFFSET(I1580,-1,0)))</f>
        <v xml:space="preserve">   PISOS E PAVIMENTAÇÕES</v>
      </c>
      <c r="J1580" s="230">
        <f ca="1">IF(B1580="CÉLULA CONSTRUTIVA",0,IF(B1580="ETAPA",OFFSET(J1580,-1,0)+1,OFFSET(J1580,-1,0)))</f>
        <v>3</v>
      </c>
      <c r="K1580" s="228" t="str">
        <f ca="1">IF(B1580="*","",IF(B1580="ETAPA",S1580,OFFSET(K1580,-1,0)))</f>
        <v xml:space="preserve">   PISOS E PAVIMENTAÇÕES - 3º  ao 7º PAVIMENTO - TIPO</v>
      </c>
      <c r="L1580" s="231">
        <f ca="1">IF(B1580="ETAPA",0,IF(B1580="SUBETAPA",OFFSET(L1580,-1,0)+1,OFFSET(L1580,-1,0)))</f>
        <v>0</v>
      </c>
      <c r="M1580" s="228" t="str">
        <f ca="1">IF(B1580="*","",IF(B1580="SUBETAPA",S1580,OFFSET(M1580,-1,0)))</f>
        <v xml:space="preserve">   Mão de Obra</v>
      </c>
      <c r="N1580" s="231">
        <f ca="1">IF(B1580="Subetapa",0,IF(B1580="serviço",OFFSET(N1580,-1,0)+1,OFFSET(N1580,-1,0)))</f>
        <v>7</v>
      </c>
      <c r="O1580" s="228" t="str">
        <f ca="1">IF(B1580="*","",IF(B1580="SERVIÇO",S1580,OFFSET(O1580,-1,0)))</f>
        <v>Mao de obra para execucao de piso de concretograma</v>
      </c>
      <c r="P1580" s="232" t="str">
        <f>IF(S1580="","",IF(Orçamento!$B1580="INSUMO",S1580,""))</f>
        <v/>
      </c>
      <c r="Q1580" s="244" t="str">
        <f>IF(B1580="","",IF(B1580="Serviço",S1580,""))</f>
        <v/>
      </c>
      <c r="R1580" s="234">
        <f ca="1">IF(B1580="serviço",U1580,OFFSET(R1580,-1,0))</f>
        <v>12.677</v>
      </c>
      <c r="S1580" s="233" t="s">
        <v>722</v>
      </c>
      <c r="T1580" s="242" t="s">
        <v>35</v>
      </c>
      <c r="U1580" s="235" t="str">
        <f>IF($B1580="insumo",R1580,"")</f>
        <v/>
      </c>
      <c r="V1580" s="320" t="s">
        <v>35</v>
      </c>
      <c r="W1580" s="236" t="str">
        <f>IFERROR(IF(B1580="INSUMO",_xlfn.XLOOKUP(S1580,Insumos!A:A,Insumos!C:C),""),"Inserir Preço")</f>
        <v/>
      </c>
      <c r="X1580" s="235" t="str">
        <f ca="1">IF(B1580="Complemento do insumo",V1580,IF(R1580="","",IF(B1580="serviço",R1580,IF(OR(B1580="insumo"),V1580*R1580,""))))</f>
        <v/>
      </c>
      <c r="Y1580" s="236" t="str">
        <f t="shared" si="1184"/>
        <v/>
      </c>
      <c r="Z1580" s="237">
        <f t="shared" ca="1" si="1161"/>
        <v>249409.78991504983</v>
      </c>
      <c r="AA1580" s="238"/>
      <c r="AB1580" s="233" t="str">
        <f>IF(B1580="insumo",_xlfn.XLOOKUP(S1580,Insumos!A:A,Insumos!D:D),"")</f>
        <v/>
      </c>
      <c r="AC1580" s="239">
        <f t="shared" ca="1" si="1162"/>
        <v>3.5780108283378395E-2</v>
      </c>
      <c r="AE1580" s="240">
        <f ca="1">IFERROR(IF(OR(Z1580="",Z1580=0),"",IF(AF1580="","",IF(AF1580="R$/mês",Z1580/OBRA!$D$12,IF(AF1580="R$/m²",Z1580/OBRA!$D$10,IF(AF1580="R$/apto",Orçamento!Z1580/OBRA!$D$11,""))))),"")</f>
        <v>128.34805448405481</v>
      </c>
      <c r="AF1580" s="241" t="s">
        <v>154</v>
      </c>
    </row>
    <row r="1581" spans="1:32" s="10" customFormat="1" ht="13.15" hidden="1" customHeight="1" outlineLevel="3" collapsed="1" x14ac:dyDescent="0.2">
      <c r="A1581" s="227"/>
      <c r="B1581" s="228" t="s">
        <v>3</v>
      </c>
      <c r="C1581" s="229" t="str">
        <f t="shared" si="1160"/>
        <v/>
      </c>
      <c r="D1581" s="227" t="str">
        <f t="shared" ref="D1581:D1590" ca="1" si="1185">IF(B1581="Unidade Construtiva",TEXT(F1581,"00"),IF(B1581="Célula Construtiva",TEXT(H1581,"00"),IF(B1581="Etapa",CONCATENATE(TEXT(H1581,"00"),".",TEXT(J1581,"000")),IF(B1581="Subetapa",CONCATENATE(TEXT(H1581,"00"),".",TEXT(J1581,"000"),".",TEXT(L1581,"000")),IF(B1581="Serviço",CONCATENATE(TEXT(H1581,"00"),".",TEXT(J1581,"000"),".",TEXT(L1581,"000"),".",TEXT(N1581,"000")),"")))))</f>
        <v>15.003.001</v>
      </c>
      <c r="E1581" s="228" t="str">
        <f t="shared" ref="E1581:E1590" ca="1" si="1186">IF(B1581="*","",IFERROR(IF(B1581="SERVIÇO",D1581,OFFSET(E1581,-1,0)),""))</f>
        <v>15.002.005.007</v>
      </c>
      <c r="F1581" s="230">
        <f ca="1">IF($B1581="UNIDADE CONSTRUTIVA",OFFSET(F1581,-1,0)+1,LARGE(F$10:F1580,1))</f>
        <v>2</v>
      </c>
      <c r="G1581" s="228" t="str">
        <f t="shared" ref="G1581:G1590" ca="1" si="1187">IF(B1581="*","",IF(B1581="UNIDADE CONSTRUTIVA",S1581,OFFSET(G1581,-1,0)))</f>
        <v xml:space="preserve">   GERENCIAMENTO EXECUTIVO</v>
      </c>
      <c r="H1581" s="230">
        <f t="shared" ref="H1581:H1590" ca="1" si="1188">IF(B1581="UNIDADE CONSTRUTIVA",0,IF(B1581="CÉLULA CONSTRUTIVA",OFFSET(H1581,-1,0)+1,OFFSET(H1581,-1,0)))</f>
        <v>15</v>
      </c>
      <c r="I1581" s="228" t="str">
        <f t="shared" ref="I1581:I1590" ca="1" si="1189">IF(B1581="*","",IF(B1581="CÉLULA CONSTRUTIVA",S1581,OFFSET(I1581,-1,0)))</f>
        <v xml:space="preserve">   PISOS E PAVIMENTAÇÕES</v>
      </c>
      <c r="J1581" s="230">
        <f t="shared" ref="J1581:J1590" ca="1" si="1190">IF(B1581="CÉLULA CONSTRUTIVA",0,IF(B1581="ETAPA",OFFSET(J1581,-1,0)+1,OFFSET(J1581,-1,0)))</f>
        <v>3</v>
      </c>
      <c r="K1581" s="228" t="str">
        <f t="shared" ref="K1581:K1590" ca="1" si="1191">IF(B1581="*","",IF(B1581="ETAPA",S1581,OFFSET(K1581,-1,0)))</f>
        <v xml:space="preserve">   PISOS E PAVIMENTAÇÕES - 3º  ao 7º PAVIMENTO - TIPO</v>
      </c>
      <c r="L1581" s="231">
        <f t="shared" ref="L1581:L1590" ca="1" si="1192">IF(B1581="ETAPA",0,IF(B1581="SUBETAPA",OFFSET(L1581,-1,0)+1,OFFSET(L1581,-1,0)))</f>
        <v>1</v>
      </c>
      <c r="M1581" s="228" t="str">
        <f t="shared" ref="M1581:M1590" ca="1" si="1193">IF(B1581="*","",IF(B1581="SUBETAPA",S1581,OFFSET(M1581,-1,0)))</f>
        <v xml:space="preserve">   Contrapiso</v>
      </c>
      <c r="N1581" s="231">
        <f t="shared" ref="N1581:N1590" ca="1" si="1194">IF(B1581="Subetapa",0,IF(B1581="serviço",OFFSET(N1581,-1,0)+1,OFFSET(N1581,-1,0)))</f>
        <v>0</v>
      </c>
      <c r="O1581" s="228" t="str">
        <f t="shared" ref="O1581:O1590" ca="1" si="1195">IF(B1581="*","",IF(B1581="SERVIÇO",S1581,OFFSET(O1581,-1,0)))</f>
        <v>Mao de obra para execucao de piso de concretograma</v>
      </c>
      <c r="P1581" s="232" t="str">
        <f>IF(S1581="","",IF(Orçamento!$B1581="INSUMO",S1581,""))</f>
        <v/>
      </c>
      <c r="Q1581" s="244" t="str">
        <f t="shared" ref="Q1581:Q1590" si="1196">IF(B1581="","",IF(B1581="Serviço",S1581,""))</f>
        <v/>
      </c>
      <c r="R1581" s="234">
        <f t="shared" ref="R1581:R1590" ca="1" si="1197">IF(B1581="serviço",U1581,OFFSET(R1581,-1,0))</f>
        <v>12.677</v>
      </c>
      <c r="S1581" s="233" t="s">
        <v>476</v>
      </c>
      <c r="T1581" s="242" t="s">
        <v>35</v>
      </c>
      <c r="U1581" s="235" t="str">
        <f>IF($B1581="insumo",R1581,"")</f>
        <v/>
      </c>
      <c r="V1581" s="320" t="s">
        <v>35</v>
      </c>
      <c r="W1581" s="236" t="str">
        <f>IFERROR(IF(B1581="INSUMO",_xlfn.XLOOKUP(S1581,Insumos!A:A,Insumos!C:C),""),"Inserir Preço")</f>
        <v/>
      </c>
      <c r="X1581" s="235" t="str">
        <f t="shared" ref="X1581:X1590" ca="1" si="1198">IF(B1581="Complemento do insumo",V1581,IF(R1581="","",IF(B1581="serviço",R1581,IF(OR(B1581="insumo"),V1581*R1581,""))))</f>
        <v/>
      </c>
      <c r="Y1581" s="236" t="str">
        <f t="shared" si="1184"/>
        <v/>
      </c>
      <c r="Z1581" s="237">
        <f t="shared" ca="1" si="1161"/>
        <v>45242.873999999996</v>
      </c>
      <c r="AA1581" s="238"/>
      <c r="AB1581" s="233" t="str">
        <f>IF(B1581="insumo",_xlfn.XLOOKUP(S1581,Insumos!A:A,Insumos!D:D),"")</f>
        <v/>
      </c>
      <c r="AC1581" s="239">
        <f t="shared" ca="1" si="1162"/>
        <v>6.4905027638354302E-3</v>
      </c>
      <c r="AE1581" s="240">
        <f ca="1">IFERROR(IF(OR(Z1581="",Z1581=0),"",IF(AF1581="","",IF(AF1581="R$/mês",Z1581/OBRA!$D$12,IF(AF1581="R$/m²",Z1581/OBRA!$D$10,IF(AF1581="R$/apto",Orçamento!Z1581/OBRA!$D$11,""))))),"")</f>
        <v>23.28230523406905</v>
      </c>
      <c r="AF1581" s="241" t="s">
        <v>154</v>
      </c>
    </row>
    <row r="1582" spans="1:32" s="10" customFormat="1" ht="13.15" hidden="1" customHeight="1" outlineLevel="4" x14ac:dyDescent="0.2">
      <c r="A1582" s="227"/>
      <c r="B1582" s="228" t="s">
        <v>4</v>
      </c>
      <c r="C1582" s="229">
        <f t="shared" si="1160"/>
        <v>5</v>
      </c>
      <c r="D1582" s="227" t="str">
        <f t="shared" ca="1" si="1185"/>
        <v>15.003.001.001</v>
      </c>
      <c r="E1582" s="228" t="str">
        <f t="shared" ca="1" si="1186"/>
        <v>15.003.001.001</v>
      </c>
      <c r="F1582" s="230">
        <f ca="1">IF($B1582="UNIDADE CONSTRUTIVA",OFFSET(F1582,-1,0)+1,LARGE(F$10:F1581,1))</f>
        <v>2</v>
      </c>
      <c r="G1582" s="228" t="str">
        <f t="shared" ca="1" si="1187"/>
        <v xml:space="preserve">   GERENCIAMENTO EXECUTIVO</v>
      </c>
      <c r="H1582" s="230">
        <f t="shared" ca="1" si="1188"/>
        <v>15</v>
      </c>
      <c r="I1582" s="228" t="str">
        <f t="shared" ca="1" si="1189"/>
        <v xml:space="preserve">   PISOS E PAVIMENTAÇÕES</v>
      </c>
      <c r="J1582" s="230">
        <f t="shared" ca="1" si="1190"/>
        <v>3</v>
      </c>
      <c r="K1582" s="228" t="str">
        <f t="shared" ca="1" si="1191"/>
        <v xml:space="preserve">   PISOS E PAVIMENTAÇÕES - 3º  ao 7º PAVIMENTO - TIPO</v>
      </c>
      <c r="L1582" s="231">
        <f t="shared" ca="1" si="1192"/>
        <v>1</v>
      </c>
      <c r="M1582" s="228" t="str">
        <f t="shared" ca="1" si="1193"/>
        <v xml:space="preserve">   Contrapiso</v>
      </c>
      <c r="N1582" s="231">
        <f t="shared" ca="1" si="1194"/>
        <v>1</v>
      </c>
      <c r="O1582" s="228" t="str">
        <f t="shared" ca="1" si="1195"/>
        <v>Contrapiso comum em argamassa estabilizada, nao aderido, espessura 8cm</v>
      </c>
      <c r="P1582" s="232" t="str">
        <f>IF(S1582="","",IF(Orçamento!$B1582="INSUMO",S1582,""))</f>
        <v/>
      </c>
      <c r="Q1582" s="244" t="str">
        <f t="shared" si="1196"/>
        <v>Contrapiso comum em argamassa estabilizada, nao aderido, espessura 8cm</v>
      </c>
      <c r="R1582" s="234">
        <f t="shared" ca="1" si="1197"/>
        <v>951.48</v>
      </c>
      <c r="S1582" s="233" t="s">
        <v>745</v>
      </c>
      <c r="T1582" s="242" t="s">
        <v>140</v>
      </c>
      <c r="U1582" s="235">
        <v>951.48</v>
      </c>
      <c r="V1582" s="320" t="s">
        <v>35</v>
      </c>
      <c r="W1582" s="236" t="str">
        <f>IFERROR(IF(B1582="INSUMO",_xlfn.XLOOKUP(S1582,Insumos!A:A,Insumos!C:C),""),"Inserir Preço")</f>
        <v/>
      </c>
      <c r="X1582" s="235">
        <f t="shared" ca="1" si="1198"/>
        <v>951.48</v>
      </c>
      <c r="Y1582" s="236">
        <f t="shared" ca="1" si="1184"/>
        <v>47.55</v>
      </c>
      <c r="Z1582" s="237">
        <f t="shared" ca="1" si="1161"/>
        <v>45242.873999999996</v>
      </c>
      <c r="AA1582" s="238"/>
      <c r="AB1582" s="233" t="str">
        <f>IF(B1582="insumo",_xlfn.XLOOKUP(S1582,Insumos!A:A,Insumos!D:D),"")</f>
        <v/>
      </c>
      <c r="AC1582" s="239">
        <f t="shared" ca="1" si="1162"/>
        <v>6.4905027638354302E-3</v>
      </c>
      <c r="AE1582" s="240">
        <f ca="1">IFERROR(IF(OR(Z1582="",Z1582=0),"",IF(AF1582="","",IF(AF1582="R$/mês",Z1582/OBRA!$D$12,IF(AF1582="R$/m²",Z1582/OBRA!$D$10,IF(AF1582="R$/apto",Orçamento!Z1582/OBRA!$D$11,""))))),"")</f>
        <v>23.28230523406905</v>
      </c>
      <c r="AF1582" s="241" t="s">
        <v>154</v>
      </c>
    </row>
    <row r="1583" spans="1:32" s="10" customFormat="1" ht="13.15" hidden="1" customHeight="1" outlineLevel="4" x14ac:dyDescent="0.2">
      <c r="A1583" s="227"/>
      <c r="B1583" s="228" t="s">
        <v>19</v>
      </c>
      <c r="C1583" s="229">
        <f t="shared" si="1160"/>
        <v>11</v>
      </c>
      <c r="D1583" s="227" t="str">
        <f t="shared" si="1185"/>
        <v/>
      </c>
      <c r="E1583" s="228" t="str">
        <f t="shared" ca="1" si="1186"/>
        <v>15.003.001.001</v>
      </c>
      <c r="F1583" s="230">
        <f ca="1">IF($B1583="UNIDADE CONSTRUTIVA",OFFSET(F1583,-1,0)+1,LARGE(F$10:F1582,1))</f>
        <v>2</v>
      </c>
      <c r="G1583" s="228" t="str">
        <f t="shared" ca="1" si="1187"/>
        <v xml:space="preserve">   GERENCIAMENTO EXECUTIVO</v>
      </c>
      <c r="H1583" s="230">
        <f t="shared" ca="1" si="1188"/>
        <v>15</v>
      </c>
      <c r="I1583" s="228" t="str">
        <f t="shared" ca="1" si="1189"/>
        <v xml:space="preserve">   PISOS E PAVIMENTAÇÕES</v>
      </c>
      <c r="J1583" s="230">
        <f t="shared" ca="1" si="1190"/>
        <v>3</v>
      </c>
      <c r="K1583" s="228" t="str">
        <f t="shared" ca="1" si="1191"/>
        <v xml:space="preserve">   PISOS E PAVIMENTAÇÕES - 3º  ao 7º PAVIMENTO - TIPO</v>
      </c>
      <c r="L1583" s="231">
        <f t="shared" ca="1" si="1192"/>
        <v>1</v>
      </c>
      <c r="M1583" s="228" t="str">
        <f t="shared" ca="1" si="1193"/>
        <v xml:space="preserve">   Contrapiso</v>
      </c>
      <c r="N1583" s="231">
        <f t="shared" ca="1" si="1194"/>
        <v>1</v>
      </c>
      <c r="O1583" s="228" t="str">
        <f t="shared" ca="1" si="1195"/>
        <v>Contrapiso comum em argamassa estabilizada, nao aderido, espessura 8cm</v>
      </c>
      <c r="P1583" s="232" t="str">
        <f>IF(S1583="","",IF(Orçamento!$B1583="INSUMO",S1583,""))</f>
        <v>ARGAMASSA ESTABILIZADA P/ CONTRAPISO</v>
      </c>
      <c r="Q1583" s="244" t="str">
        <f t="shared" si="1196"/>
        <v/>
      </c>
      <c r="R1583" s="234">
        <f t="shared" ca="1" si="1197"/>
        <v>951.48</v>
      </c>
      <c r="S1583" s="233" t="s">
        <v>277</v>
      </c>
      <c r="T1583" s="242" t="str">
        <f>_xlfn.XLOOKUP(S1583,Insumos!$A$3:$A$371,Insumos!$B$3:$B$371)</f>
        <v>M3</v>
      </c>
      <c r="U1583" s="235">
        <f ca="1">IF($B1583="insumo",R1583,"")</f>
        <v>951.48</v>
      </c>
      <c r="V1583" s="320">
        <v>8.7999999999999995E-2</v>
      </c>
      <c r="W1583" s="236">
        <f>IFERROR(IF(B1583="INSUMO",_xlfn.XLOOKUP(S1583,Insumos!A:A,Insumos!C:C),""),"Inserir Preço")</f>
        <v>425</v>
      </c>
      <c r="X1583" s="235">
        <f t="shared" ca="1" si="1198"/>
        <v>83.730239999999995</v>
      </c>
      <c r="Y1583" s="236">
        <f t="shared" si="1184"/>
        <v>37.4</v>
      </c>
      <c r="Z1583" s="237">
        <f t="shared" ca="1" si="1161"/>
        <v>35585.351999999999</v>
      </c>
      <c r="AA1583" s="238"/>
      <c r="AB1583" s="233" t="str">
        <f>IF(B1583="insumo",_xlfn.XLOOKUP(S1583,Insumos!A:A,Insumos!D:D),"")</f>
        <v xml:space="preserve"> </v>
      </c>
      <c r="AC1583" s="239">
        <f t="shared" ca="1" si="1162"/>
        <v>5.1050431833321785E-3</v>
      </c>
      <c r="AE1583" s="240">
        <f ca="1">IFERROR(IF(OR(Z1583="",Z1583=0),"",IF(AF1583="","",IF(AF1583="R$/mês",Z1583/OBRA!$D$12,IF(AF1583="R$/m²",Z1583/OBRA!$D$10,IF(AF1583="R$/apto",Orçamento!Z1583/OBRA!$D$11,""))))),"")</f>
        <v>18.31247562048754</v>
      </c>
      <c r="AF1583" s="241" t="s">
        <v>154</v>
      </c>
    </row>
    <row r="1584" spans="1:32" s="10" customFormat="1" ht="13.15" hidden="1" customHeight="1" outlineLevel="4" x14ac:dyDescent="0.2">
      <c r="A1584" s="227"/>
      <c r="B1584" s="228" t="s">
        <v>19</v>
      </c>
      <c r="C1584" s="229">
        <f t="shared" si="1160"/>
        <v>5</v>
      </c>
      <c r="D1584" s="227" t="str">
        <f t="shared" si="1185"/>
        <v/>
      </c>
      <c r="E1584" s="228" t="str">
        <f t="shared" ca="1" si="1186"/>
        <v>15.003.001.001</v>
      </c>
      <c r="F1584" s="230">
        <f ca="1">IF($B1584="UNIDADE CONSTRUTIVA",OFFSET(F1584,-1,0)+1,LARGE(F$10:F1583,1))</f>
        <v>2</v>
      </c>
      <c r="G1584" s="228" t="str">
        <f t="shared" ca="1" si="1187"/>
        <v xml:space="preserve">   GERENCIAMENTO EXECUTIVO</v>
      </c>
      <c r="H1584" s="230">
        <f t="shared" ca="1" si="1188"/>
        <v>15</v>
      </c>
      <c r="I1584" s="228" t="str">
        <f t="shared" ca="1" si="1189"/>
        <v xml:space="preserve">   PISOS E PAVIMENTAÇÕES</v>
      </c>
      <c r="J1584" s="230">
        <f t="shared" ca="1" si="1190"/>
        <v>3</v>
      </c>
      <c r="K1584" s="228" t="str">
        <f t="shared" ca="1" si="1191"/>
        <v xml:space="preserve">   PISOS E PAVIMENTAÇÕES - 3º  ao 7º PAVIMENTO - TIPO</v>
      </c>
      <c r="L1584" s="231">
        <f t="shared" ca="1" si="1192"/>
        <v>1</v>
      </c>
      <c r="M1584" s="228" t="str">
        <f t="shared" ca="1" si="1193"/>
        <v xml:space="preserve">   Contrapiso</v>
      </c>
      <c r="N1584" s="231">
        <f t="shared" ca="1" si="1194"/>
        <v>1</v>
      </c>
      <c r="O1584" s="228" t="str">
        <f t="shared" ca="1" si="1195"/>
        <v>Contrapiso comum em argamassa estabilizada, nao aderido, espessura 8cm</v>
      </c>
      <c r="P1584" s="232" t="str">
        <f>IF(S1584="","",IF(Orçamento!$B1584="INSUMO",S1584,""))</f>
        <v>MANTA ACÚSTICA DE POLIETILENO</v>
      </c>
      <c r="Q1584" s="244" t="str">
        <f t="shared" si="1196"/>
        <v/>
      </c>
      <c r="R1584" s="234">
        <f t="shared" ca="1" si="1197"/>
        <v>951.48</v>
      </c>
      <c r="S1584" s="233" t="s">
        <v>1158</v>
      </c>
      <c r="T1584" s="242" t="str">
        <f>_xlfn.XLOOKUP(S1584,Insumos!$A$3:$A$371,Insumos!$B$3:$B$371)</f>
        <v>M2</v>
      </c>
      <c r="U1584" s="235">
        <f ca="1">IF($B1584="insumo",R1584,"")</f>
        <v>951.48</v>
      </c>
      <c r="V1584" s="320">
        <v>1</v>
      </c>
      <c r="W1584" s="236">
        <f>IFERROR(IF(B1584="INSUMO",_xlfn.XLOOKUP(S1584,Insumos!A:A,Insumos!C:C),""),"Inserir Preço")</f>
        <v>10.15</v>
      </c>
      <c r="X1584" s="235">
        <f t="shared" ca="1" si="1198"/>
        <v>951.48</v>
      </c>
      <c r="Y1584" s="236">
        <f t="shared" si="1184"/>
        <v>10.15</v>
      </c>
      <c r="Z1584" s="237">
        <f t="shared" ca="1" si="1161"/>
        <v>9657.5220000000008</v>
      </c>
      <c r="AA1584" s="238"/>
      <c r="AB1584" s="233" t="str">
        <f>IF(B1584="insumo",_xlfn.XLOOKUP(S1584,Insumos!A:A,Insumos!D:D),"")</f>
        <v xml:space="preserve"> </v>
      </c>
      <c r="AC1584" s="239">
        <f t="shared" ca="1" si="1162"/>
        <v>1.3854595805032519E-3</v>
      </c>
      <c r="AE1584" s="240">
        <f ca="1">IFERROR(IF(OR(Z1584="",Z1584=0),"",IF(AF1584="","",IF(AF1584="R$/mês",Z1584/OBRA!$D$12,IF(AF1584="R$/m²",Z1584/OBRA!$D$10,IF(AF1584="R$/apto",Orçamento!Z1584/OBRA!$D$11,""))))),"")</f>
        <v>4.9698296135815117</v>
      </c>
      <c r="AF1584" s="241" t="s">
        <v>154</v>
      </c>
    </row>
    <row r="1585" spans="1:32" s="10" customFormat="1" ht="13.15" hidden="1" customHeight="1" outlineLevel="3" collapsed="1" x14ac:dyDescent="0.2">
      <c r="A1585" s="227"/>
      <c r="B1585" s="228" t="s">
        <v>3</v>
      </c>
      <c r="C1585" s="229" t="str">
        <f t="shared" si="1160"/>
        <v/>
      </c>
      <c r="D1585" s="227" t="str">
        <f t="shared" ca="1" si="1185"/>
        <v>15.003.002</v>
      </c>
      <c r="E1585" s="228" t="str">
        <f t="shared" ca="1" si="1186"/>
        <v>15.003.001.001</v>
      </c>
      <c r="F1585" s="230">
        <f ca="1">IF($B1585="UNIDADE CONSTRUTIVA",OFFSET(F1585,-1,0)+1,LARGE(F$10:F1584,1))</f>
        <v>2</v>
      </c>
      <c r="G1585" s="228" t="str">
        <f t="shared" ca="1" si="1187"/>
        <v xml:space="preserve">   GERENCIAMENTO EXECUTIVO</v>
      </c>
      <c r="H1585" s="230">
        <f t="shared" ca="1" si="1188"/>
        <v>15</v>
      </c>
      <c r="I1585" s="228" t="str">
        <f t="shared" ca="1" si="1189"/>
        <v xml:space="preserve">   PISOS E PAVIMENTAÇÕES</v>
      </c>
      <c r="J1585" s="230">
        <f t="shared" ca="1" si="1190"/>
        <v>3</v>
      </c>
      <c r="K1585" s="228" t="str">
        <f t="shared" ca="1" si="1191"/>
        <v xml:space="preserve">   PISOS E PAVIMENTAÇÕES - 3º  ao 7º PAVIMENTO - TIPO</v>
      </c>
      <c r="L1585" s="231">
        <f t="shared" ca="1" si="1192"/>
        <v>2</v>
      </c>
      <c r="M1585" s="228" t="str">
        <f t="shared" ca="1" si="1193"/>
        <v xml:space="preserve">   Acabamentos em Piso</v>
      </c>
      <c r="N1585" s="231">
        <f t="shared" ca="1" si="1194"/>
        <v>0</v>
      </c>
      <c r="O1585" s="228" t="str">
        <f t="shared" ca="1" si="1195"/>
        <v>Contrapiso comum em argamassa estabilizada, nao aderido, espessura 8cm</v>
      </c>
      <c r="P1585" s="232" t="str">
        <f>IF(S1585="","",IF(Orçamento!$B1585="INSUMO",S1585,""))</f>
        <v/>
      </c>
      <c r="Q1585" s="244" t="str">
        <f t="shared" si="1196"/>
        <v/>
      </c>
      <c r="R1585" s="234">
        <f t="shared" ca="1" si="1197"/>
        <v>951.48</v>
      </c>
      <c r="S1585" s="233" t="s">
        <v>488</v>
      </c>
      <c r="T1585" s="242" t="s">
        <v>35</v>
      </c>
      <c r="U1585" s="235" t="str">
        <f>IF($B1585="insumo",R1585,"")</f>
        <v/>
      </c>
      <c r="V1585" s="320" t="s">
        <v>35</v>
      </c>
      <c r="W1585" s="236" t="str">
        <f>IFERROR(IF(B1585="INSUMO",_xlfn.XLOOKUP(S1585,Insumos!A:A,Insumos!C:C),""),"Inserir Preço")</f>
        <v/>
      </c>
      <c r="X1585" s="235" t="str">
        <f t="shared" ca="1" si="1198"/>
        <v/>
      </c>
      <c r="Y1585" s="236" t="str">
        <f t="shared" si="1184"/>
        <v/>
      </c>
      <c r="Z1585" s="237">
        <f t="shared" ca="1" si="1161"/>
        <v>67773.097349999996</v>
      </c>
      <c r="AA1585" s="238"/>
      <c r="AB1585" s="233" t="str">
        <f>IF(B1585="insumo",_xlfn.XLOOKUP(S1585,Insumos!A:A,Insumos!D:D),"")</f>
        <v/>
      </c>
      <c r="AC1585" s="239">
        <f t="shared" ca="1" si="1162"/>
        <v>9.7226687160471437E-3</v>
      </c>
      <c r="AE1585" s="240">
        <f ca="1">IFERROR(IF(OR(Z1585="",Z1585=0),"",IF(AF1585="","",IF(AF1585="R$/mês",Z1585/OBRA!$D$12,IF(AF1585="R$/m²",Z1585/OBRA!$D$10,IF(AF1585="R$/apto",Orçamento!Z1585/OBRA!$D$11,""))))),"")</f>
        <v>34.876518657081249</v>
      </c>
      <c r="AF1585" s="241" t="s">
        <v>154</v>
      </c>
    </row>
    <row r="1586" spans="1:32" s="10" customFormat="1" ht="13.15" hidden="1" customHeight="1" outlineLevel="4" x14ac:dyDescent="0.2">
      <c r="A1586" s="227"/>
      <c r="B1586" s="228" t="s">
        <v>4</v>
      </c>
      <c r="C1586" s="229">
        <f t="shared" si="1160"/>
        <v>3</v>
      </c>
      <c r="D1586" s="227" t="str">
        <f t="shared" ca="1" si="1185"/>
        <v>15.003.002.001</v>
      </c>
      <c r="E1586" s="228" t="str">
        <f t="shared" ca="1" si="1186"/>
        <v>15.003.002.001</v>
      </c>
      <c r="F1586" s="230">
        <f ca="1">IF($B1586="UNIDADE CONSTRUTIVA",OFFSET(F1586,-1,0)+1,LARGE(F$10:F1585,1))</f>
        <v>2</v>
      </c>
      <c r="G1586" s="228" t="str">
        <f t="shared" ca="1" si="1187"/>
        <v xml:space="preserve">   GERENCIAMENTO EXECUTIVO</v>
      </c>
      <c r="H1586" s="230">
        <f t="shared" ca="1" si="1188"/>
        <v>15</v>
      </c>
      <c r="I1586" s="228" t="str">
        <f t="shared" ca="1" si="1189"/>
        <v xml:space="preserve">   PISOS E PAVIMENTAÇÕES</v>
      </c>
      <c r="J1586" s="230">
        <f t="shared" ca="1" si="1190"/>
        <v>3</v>
      </c>
      <c r="K1586" s="228" t="str">
        <f t="shared" ca="1" si="1191"/>
        <v xml:space="preserve">   PISOS E PAVIMENTAÇÕES - 3º  ao 7º PAVIMENTO - TIPO</v>
      </c>
      <c r="L1586" s="231">
        <f t="shared" ca="1" si="1192"/>
        <v>2</v>
      </c>
      <c r="M1586" s="228" t="str">
        <f t="shared" ca="1" si="1193"/>
        <v xml:space="preserve">   Acabamentos em Piso</v>
      </c>
      <c r="N1586" s="231">
        <f t="shared" ca="1" si="1194"/>
        <v>1</v>
      </c>
      <c r="O1586" s="228" t="str">
        <f t="shared" ca="1" si="1195"/>
        <v>Revestimento interno de piso Cerâmico placa 60x60cm - áreas Internas</v>
      </c>
      <c r="P1586" s="232" t="str">
        <f>IF(S1586="","",IF(Orçamento!$B1586="INSUMO",S1586,""))</f>
        <v/>
      </c>
      <c r="Q1586" s="244" t="str">
        <f t="shared" si="1196"/>
        <v>Revestimento interno de piso Cerâmico placa 60x60cm - áreas Internas</v>
      </c>
      <c r="R1586" s="234">
        <f t="shared" ca="1" si="1197"/>
        <v>57.43</v>
      </c>
      <c r="S1586" s="233" t="s">
        <v>1121</v>
      </c>
      <c r="T1586" s="242" t="s">
        <v>140</v>
      </c>
      <c r="U1586" s="235">
        <v>57.43</v>
      </c>
      <c r="V1586" s="320" t="s">
        <v>35</v>
      </c>
      <c r="W1586" s="236" t="str">
        <f>IFERROR(IF(B1586="INSUMO",_xlfn.XLOOKUP(S1586,Insumos!A:A,Insumos!C:C),""),"Inserir Preço")</f>
        <v/>
      </c>
      <c r="X1586" s="235">
        <f t="shared" ca="1" si="1198"/>
        <v>57.43</v>
      </c>
      <c r="Y1586" s="236">
        <f t="shared" ca="1" si="1184"/>
        <v>58.695000000000007</v>
      </c>
      <c r="Z1586" s="237">
        <f t="shared" ca="1" si="1161"/>
        <v>3370.8538500000004</v>
      </c>
      <c r="AA1586" s="238"/>
      <c r="AB1586" s="233" t="str">
        <f>IF(B1586="insumo",_xlfn.XLOOKUP(S1586,Insumos!A:A,Insumos!D:D),"")</f>
        <v/>
      </c>
      <c r="AC1586" s="239">
        <f t="shared" ca="1" si="1162"/>
        <v>4.8357971754646499E-4</v>
      </c>
      <c r="AE1586" s="240">
        <f ca="1">IFERROR(IF(OR(Z1586="",Z1586=0),"",IF(AF1586="","",IF(AF1586="R$/mês",Z1586/OBRA!$D$12,IF(AF1586="R$/m²",Z1586/OBRA!$D$10,IF(AF1586="R$/apto",Orçamento!Z1586/OBRA!$D$11,""))))),"")</f>
        <v>1.7346654024485009</v>
      </c>
      <c r="AF1586" s="241" t="s">
        <v>154</v>
      </c>
    </row>
    <row r="1587" spans="1:32" s="10" customFormat="1" ht="13.15" hidden="1" customHeight="1" outlineLevel="4" x14ac:dyDescent="0.2">
      <c r="A1587" s="227"/>
      <c r="B1587" s="228" t="s">
        <v>19</v>
      </c>
      <c r="C1587" s="229">
        <f t="shared" si="1160"/>
        <v>23</v>
      </c>
      <c r="D1587" s="227" t="str">
        <f t="shared" si="1185"/>
        <v/>
      </c>
      <c r="E1587" s="228" t="str">
        <f t="shared" ca="1" si="1186"/>
        <v>15.003.002.001</v>
      </c>
      <c r="F1587" s="230">
        <f ca="1">IF($B1587="UNIDADE CONSTRUTIVA",OFFSET(F1587,-1,0)+1,LARGE(F$10:F1586,1))</f>
        <v>2</v>
      </c>
      <c r="G1587" s="228" t="str">
        <f t="shared" ca="1" si="1187"/>
        <v xml:space="preserve">   GERENCIAMENTO EXECUTIVO</v>
      </c>
      <c r="H1587" s="230">
        <f t="shared" ca="1" si="1188"/>
        <v>15</v>
      </c>
      <c r="I1587" s="228" t="str">
        <f t="shared" ca="1" si="1189"/>
        <v xml:space="preserve">   PISOS E PAVIMENTAÇÕES</v>
      </c>
      <c r="J1587" s="230">
        <f t="shared" ca="1" si="1190"/>
        <v>3</v>
      </c>
      <c r="K1587" s="228" t="str">
        <f t="shared" ca="1" si="1191"/>
        <v xml:space="preserve">   PISOS E PAVIMENTAÇÕES - 3º  ao 7º PAVIMENTO - TIPO</v>
      </c>
      <c r="L1587" s="231">
        <f t="shared" ca="1" si="1192"/>
        <v>2</v>
      </c>
      <c r="M1587" s="228" t="str">
        <f t="shared" ca="1" si="1193"/>
        <v xml:space="preserve">   Acabamentos em Piso</v>
      </c>
      <c r="N1587" s="231">
        <f t="shared" ca="1" si="1194"/>
        <v>1</v>
      </c>
      <c r="O1587" s="228" t="str">
        <f t="shared" ca="1" si="1195"/>
        <v>Revestimento interno de piso Cerâmico placa 60x60cm - áreas Internas</v>
      </c>
      <c r="P1587" s="232" t="str">
        <f>IF(S1587="","",IF(Orçamento!$B1587="INSUMO",S1587,""))</f>
        <v>ARGAMASSA COLANTE AC II</v>
      </c>
      <c r="Q1587" s="244" t="str">
        <f t="shared" si="1196"/>
        <v/>
      </c>
      <c r="R1587" s="234">
        <f t="shared" ca="1" si="1197"/>
        <v>57.43</v>
      </c>
      <c r="S1587" s="233" t="s">
        <v>314</v>
      </c>
      <c r="T1587" s="242" t="str">
        <f>_xlfn.XLOOKUP(S1587,Insumos!$A$3:$A$371,Insumos!$B$3:$B$371)</f>
        <v>KG</v>
      </c>
      <c r="U1587" s="235">
        <f ca="1">IF($B1587="insumo",R1587,"")</f>
        <v>57.43</v>
      </c>
      <c r="V1587" s="320">
        <v>9</v>
      </c>
      <c r="W1587" s="236">
        <f>IFERROR(IF(B1587="INSUMO",_xlfn.XLOOKUP(S1587,Insumos!A:A,Insumos!C:C),""),"Inserir Preço")</f>
        <v>0.84000000000000008</v>
      </c>
      <c r="X1587" s="235">
        <f t="shared" ca="1" si="1198"/>
        <v>516.87</v>
      </c>
      <c r="Y1587" s="236">
        <f t="shared" si="1184"/>
        <v>7.5600000000000005</v>
      </c>
      <c r="Z1587" s="237">
        <f t="shared" ca="1" si="1161"/>
        <v>434.17080000000004</v>
      </c>
      <c r="AA1587" s="238"/>
      <c r="AB1587" s="233" t="str">
        <f>IF(B1587="insumo",_xlfn.XLOOKUP(S1587,Insumos!A:A,Insumos!D:D),"")</f>
        <v>Argabrus</v>
      </c>
      <c r="AC1587" s="239">
        <f t="shared" ca="1" si="1162"/>
        <v>6.2285759683981172E-5</v>
      </c>
      <c r="AE1587" s="240">
        <f ca="1">IFERROR(IF(OR(Z1587="",Z1587=0),"",IF(AF1587="","",IF(AF1587="R$/mês",Z1587/OBRA!$D$12,IF(AF1587="R$/m²",Z1587/OBRA!$D$10,IF(AF1587="R$/apto",Orçamento!Z1587/OBRA!$D$11,""))))),"")</f>
        <v>0.22342738636188203</v>
      </c>
      <c r="AF1587" s="241" t="s">
        <v>154</v>
      </c>
    </row>
    <row r="1588" spans="1:32" s="10" customFormat="1" ht="13.15" hidden="1" customHeight="1" outlineLevel="4" x14ac:dyDescent="0.2">
      <c r="A1588" s="227"/>
      <c r="B1588" s="228" t="s">
        <v>19</v>
      </c>
      <c r="C1588" s="229">
        <f t="shared" si="1160"/>
        <v>32</v>
      </c>
      <c r="D1588" s="227" t="str">
        <f t="shared" si="1185"/>
        <v/>
      </c>
      <c r="E1588" s="228" t="str">
        <f t="shared" ca="1" si="1186"/>
        <v>15.003.002.001</v>
      </c>
      <c r="F1588" s="230">
        <f ca="1">IF($B1588="UNIDADE CONSTRUTIVA",OFFSET(F1588,-1,0)+1,LARGE(F$10:F1587,1))</f>
        <v>2</v>
      </c>
      <c r="G1588" s="228" t="str">
        <f t="shared" ca="1" si="1187"/>
        <v xml:space="preserve">   GERENCIAMENTO EXECUTIVO</v>
      </c>
      <c r="H1588" s="230">
        <f t="shared" ca="1" si="1188"/>
        <v>15</v>
      </c>
      <c r="I1588" s="228" t="str">
        <f t="shared" ca="1" si="1189"/>
        <v xml:space="preserve">   PISOS E PAVIMENTAÇÕES</v>
      </c>
      <c r="J1588" s="230">
        <f t="shared" ca="1" si="1190"/>
        <v>3</v>
      </c>
      <c r="K1588" s="228" t="str">
        <f t="shared" ca="1" si="1191"/>
        <v xml:space="preserve">   PISOS E PAVIMENTAÇÕES - 3º  ao 7º PAVIMENTO - TIPO</v>
      </c>
      <c r="L1588" s="231">
        <f t="shared" ca="1" si="1192"/>
        <v>2</v>
      </c>
      <c r="M1588" s="228" t="str">
        <f t="shared" ca="1" si="1193"/>
        <v xml:space="preserve">   Acabamentos em Piso</v>
      </c>
      <c r="N1588" s="231">
        <f t="shared" ca="1" si="1194"/>
        <v>1</v>
      </c>
      <c r="O1588" s="228" t="str">
        <f t="shared" ca="1" si="1195"/>
        <v>Revestimento interno de piso Cerâmico placa 60x60cm - áreas Internas</v>
      </c>
      <c r="P1588" s="232" t="str">
        <f>IF(S1588="","",IF(Orçamento!$B1588="INSUMO",S1588,""))</f>
        <v>REJUNTE FLEXIVEL CIMENTICIO TIPO II NBR 14992</v>
      </c>
      <c r="Q1588" s="244" t="str">
        <f t="shared" si="1196"/>
        <v/>
      </c>
      <c r="R1588" s="234">
        <f t="shared" ca="1" si="1197"/>
        <v>57.43</v>
      </c>
      <c r="S1588" s="233" t="s">
        <v>734</v>
      </c>
      <c r="T1588" s="242" t="str">
        <f>_xlfn.XLOOKUP(S1588,Insumos!$A$3:$A$371,Insumos!$B$3:$B$371)</f>
        <v>KG</v>
      </c>
      <c r="U1588" s="235">
        <f ca="1">IF($B1588="insumo",R1588,"")</f>
        <v>57.43</v>
      </c>
      <c r="V1588" s="320">
        <v>0.13</v>
      </c>
      <c r="W1588" s="236">
        <f>IFERROR(IF(B1588="INSUMO",_xlfn.XLOOKUP(S1588,Insumos!A:A,Insumos!C:C),""),"Inserir Preço")</f>
        <v>4.2</v>
      </c>
      <c r="X1588" s="235">
        <f t="shared" ca="1" si="1198"/>
        <v>7.4659000000000004</v>
      </c>
      <c r="Y1588" s="236">
        <f t="shared" si="1184"/>
        <v>0.54600000000000004</v>
      </c>
      <c r="Z1588" s="237">
        <f t="shared" ca="1" si="1161"/>
        <v>31.356780000000004</v>
      </c>
      <c r="AA1588" s="238"/>
      <c r="AB1588" s="233" t="str">
        <f>IF(B1588="insumo",_xlfn.XLOOKUP(S1588,Insumos!A:A,Insumos!D:D),"")</f>
        <v>Distribuidora Sika</v>
      </c>
      <c r="AC1588" s="239">
        <f t="shared" ca="1" si="1162"/>
        <v>4.4984159771764182E-6</v>
      </c>
      <c r="AE1588" s="240">
        <f ca="1">IFERROR(IF(OR(Z1588="",Z1588=0),"",IF(AF1588="","",IF(AF1588="R$/mês",Z1588/OBRA!$D$12,IF(AF1588="R$/m²",Z1588/OBRA!$D$10,IF(AF1588="R$/apto",Orçamento!Z1588/OBRA!$D$11,""))))),"")</f>
        <v>1.6136422348358149E-2</v>
      </c>
      <c r="AF1588" s="241" t="s">
        <v>154</v>
      </c>
    </row>
    <row r="1589" spans="1:32" s="10" customFormat="1" ht="13.15" hidden="1" customHeight="1" outlineLevel="4" x14ac:dyDescent="0.2">
      <c r="A1589" s="227"/>
      <c r="B1589" s="228" t="s">
        <v>19</v>
      </c>
      <c r="C1589" s="229">
        <f t="shared" si="1160"/>
        <v>15</v>
      </c>
      <c r="D1589" s="227" t="str">
        <f t="shared" si="1185"/>
        <v/>
      </c>
      <c r="E1589" s="228" t="str">
        <f t="shared" ca="1" si="1186"/>
        <v>15.003.002.001</v>
      </c>
      <c r="F1589" s="230">
        <f ca="1">IF($B1589="UNIDADE CONSTRUTIVA",OFFSET(F1589,-1,0)+1,LARGE(F$10:F1588,1))</f>
        <v>2</v>
      </c>
      <c r="G1589" s="228" t="str">
        <f t="shared" ca="1" si="1187"/>
        <v xml:space="preserve">   GERENCIAMENTO EXECUTIVO</v>
      </c>
      <c r="H1589" s="230">
        <f t="shared" ca="1" si="1188"/>
        <v>15</v>
      </c>
      <c r="I1589" s="228" t="str">
        <f t="shared" ca="1" si="1189"/>
        <v xml:space="preserve">   PISOS E PAVIMENTAÇÕES</v>
      </c>
      <c r="J1589" s="230">
        <f t="shared" ca="1" si="1190"/>
        <v>3</v>
      </c>
      <c r="K1589" s="228" t="str">
        <f t="shared" ca="1" si="1191"/>
        <v xml:space="preserve">   PISOS E PAVIMENTAÇÕES - 3º  ao 7º PAVIMENTO - TIPO</v>
      </c>
      <c r="L1589" s="231">
        <f t="shared" ca="1" si="1192"/>
        <v>2</v>
      </c>
      <c r="M1589" s="228" t="str">
        <f t="shared" ca="1" si="1193"/>
        <v xml:space="preserve">   Acabamentos em Piso</v>
      </c>
      <c r="N1589" s="231">
        <f t="shared" ca="1" si="1194"/>
        <v>1</v>
      </c>
      <c r="O1589" s="228" t="str">
        <f t="shared" ca="1" si="1195"/>
        <v>Revestimento interno de piso Cerâmico placa 60x60cm - áreas Internas</v>
      </c>
      <c r="P1589" s="232" t="str">
        <f>IF(S1589="","",IF(Orçamento!$B1589="INSUMO",S1589,""))</f>
        <v>ESPACADOR PVC JUNTA PISO 3,0MM NBR 6118</v>
      </c>
      <c r="Q1589" s="244" t="str">
        <f t="shared" si="1196"/>
        <v/>
      </c>
      <c r="R1589" s="234">
        <f t="shared" ca="1" si="1197"/>
        <v>57.43</v>
      </c>
      <c r="S1589" s="233" t="s">
        <v>716</v>
      </c>
      <c r="T1589" s="242" t="str">
        <f>_xlfn.XLOOKUP(S1589,Insumos!$A$3:$A$371,Insumos!$B$3:$B$371)</f>
        <v>UN</v>
      </c>
      <c r="U1589" s="235">
        <f ca="1">IF($B1589="insumo",R1589,"")</f>
        <v>57.43</v>
      </c>
      <c r="V1589" s="320">
        <v>4</v>
      </c>
      <c r="W1589" s="236">
        <f>IFERROR(IF(B1589="INSUMO",_xlfn.XLOOKUP(S1589,Insumos!A:A,Insumos!C:C),""),"Inserir Preço")</f>
        <v>0.22</v>
      </c>
      <c r="X1589" s="235">
        <f t="shared" ca="1" si="1198"/>
        <v>229.72</v>
      </c>
      <c r="Y1589" s="236">
        <f t="shared" si="1184"/>
        <v>0.88</v>
      </c>
      <c r="Z1589" s="237">
        <f t="shared" ca="1" si="1161"/>
        <v>50.538400000000003</v>
      </c>
      <c r="AA1589" s="238"/>
      <c r="AB1589" s="233" t="str">
        <f>IF(B1589="insumo",_xlfn.XLOOKUP(S1589,Insumos!A:A,Insumos!D:D),"")</f>
        <v>Base de Dados</v>
      </c>
      <c r="AC1589" s="239">
        <f t="shared" ca="1" si="1162"/>
        <v>7.2501942489290257E-6</v>
      </c>
      <c r="AE1589" s="240">
        <f ca="1">IFERROR(IF(OR(Z1589="",Z1589=0),"",IF(AF1589="","",IF(AF1589="R$/mês",Z1589/OBRA!$D$12,IF(AF1589="R$/m²",Z1589/OBRA!$D$10,IF(AF1589="R$/apto",Orçamento!Z1589/OBRA!$D$11,""))))),"")</f>
        <v>2.6007420634716429E-2</v>
      </c>
      <c r="AF1589" s="241" t="s">
        <v>154</v>
      </c>
    </row>
    <row r="1590" spans="1:32" s="10" customFormat="1" ht="13.15" hidden="1" customHeight="1" outlineLevel="4" x14ac:dyDescent="0.2">
      <c r="A1590" s="227"/>
      <c r="B1590" s="228" t="s">
        <v>19</v>
      </c>
      <c r="C1590" s="229">
        <f t="shared" si="1160"/>
        <v>13</v>
      </c>
      <c r="D1590" s="227" t="str">
        <f t="shared" si="1185"/>
        <v/>
      </c>
      <c r="E1590" s="228" t="str">
        <f t="shared" ca="1" si="1186"/>
        <v>15.003.002.001</v>
      </c>
      <c r="F1590" s="230">
        <f ca="1">IF($B1590="UNIDADE CONSTRUTIVA",OFFSET(F1590,-1,0)+1,LARGE(F$10:F1589,1))</f>
        <v>2</v>
      </c>
      <c r="G1590" s="228" t="str">
        <f t="shared" ca="1" si="1187"/>
        <v xml:space="preserve">   GERENCIAMENTO EXECUTIVO</v>
      </c>
      <c r="H1590" s="230">
        <f t="shared" ca="1" si="1188"/>
        <v>15</v>
      </c>
      <c r="I1590" s="228" t="str">
        <f t="shared" ca="1" si="1189"/>
        <v xml:space="preserve">   PISOS E PAVIMENTAÇÕES</v>
      </c>
      <c r="J1590" s="230">
        <f t="shared" ca="1" si="1190"/>
        <v>3</v>
      </c>
      <c r="K1590" s="228" t="str">
        <f t="shared" ca="1" si="1191"/>
        <v xml:space="preserve">   PISOS E PAVIMENTAÇÕES - 3º  ao 7º PAVIMENTO - TIPO</v>
      </c>
      <c r="L1590" s="231">
        <f t="shared" ca="1" si="1192"/>
        <v>2</v>
      </c>
      <c r="M1590" s="228" t="str">
        <f t="shared" ca="1" si="1193"/>
        <v xml:space="preserve">   Acabamentos em Piso</v>
      </c>
      <c r="N1590" s="231">
        <f t="shared" ca="1" si="1194"/>
        <v>1</v>
      </c>
      <c r="O1590" s="228" t="str">
        <f t="shared" ca="1" si="1195"/>
        <v>Revestimento interno de piso Cerâmico placa 60x60cm - áreas Internas</v>
      </c>
      <c r="P1590" s="232" t="str">
        <f>IF(S1590="","",IF(Orçamento!$B1590="INSUMO",S1590,""))</f>
        <v>REVESTIMENTO - HANGAR CHICAGO 60X60 NAT BOLD</v>
      </c>
      <c r="Q1590" s="244" t="str">
        <f t="shared" si="1196"/>
        <v/>
      </c>
      <c r="R1590" s="234">
        <f t="shared" ca="1" si="1197"/>
        <v>57.43</v>
      </c>
      <c r="S1590" s="233" t="s">
        <v>912</v>
      </c>
      <c r="T1590" s="242" t="str">
        <f>_xlfn.XLOOKUP(S1590,Insumos!$A$3:$A$371,Insumos!$B$3:$B$371)</f>
        <v>M2</v>
      </c>
      <c r="U1590" s="235">
        <f ca="1">IF($B1590="insumo",R1590,"")</f>
        <v>57.43</v>
      </c>
      <c r="V1590" s="320">
        <v>1.1000000000000001</v>
      </c>
      <c r="W1590" s="236">
        <f>IFERROR(IF(B1590="INSUMO",_xlfn.XLOOKUP(S1590,Insumos!A:A,Insumos!C:C),""),"Inserir Preço")</f>
        <v>45.19</v>
      </c>
      <c r="X1590" s="235">
        <f t="shared" ca="1" si="1198"/>
        <v>63.173000000000002</v>
      </c>
      <c r="Y1590" s="236">
        <f t="shared" si="1184"/>
        <v>49.709000000000003</v>
      </c>
      <c r="Z1590" s="237">
        <f t="shared" ca="1" si="1161"/>
        <v>2854.7878700000001</v>
      </c>
      <c r="AA1590" s="238"/>
      <c r="AB1590" s="233" t="str">
        <f>IF(B1590="insumo",_xlfn.XLOOKUP(S1590,Insumos!A:A,Insumos!D:D),"")</f>
        <v>Portobelo</v>
      </c>
      <c r="AC1590" s="239">
        <f t="shared" ca="1" si="1162"/>
        <v>4.0954534763637833E-4</v>
      </c>
      <c r="AE1590" s="240">
        <f ca="1">IFERROR(IF(OR(Z1590="",Z1590=0),"",IF(AF1590="","",IF(AF1590="R$/mês",Z1590/OBRA!$D$12,IF(AF1590="R$/m²",Z1590/OBRA!$D$10,IF(AF1590="R$/apto",Orçamento!Z1590/OBRA!$D$11,""))))),"")</f>
        <v>1.4690941731035441</v>
      </c>
      <c r="AF1590" s="241" t="s">
        <v>154</v>
      </c>
    </row>
    <row r="1591" spans="1:32" s="10" customFormat="1" ht="13.15" hidden="1" customHeight="1" outlineLevel="4" x14ac:dyDescent="0.2">
      <c r="A1591" s="227"/>
      <c r="B1591" s="228" t="s">
        <v>4</v>
      </c>
      <c r="C1591" s="229">
        <f t="shared" si="1160"/>
        <v>3</v>
      </c>
      <c r="D1591" s="227" t="str">
        <f t="shared" ref="D1591:D1596" ca="1" si="1199">IF(B1591="Unidade Construtiva",TEXT(F1591,"00"),IF(B1591="Célula Construtiva",TEXT(H1591,"00"),IF(B1591="Etapa",CONCATENATE(TEXT(H1591,"00"),".",TEXT(J1591,"000")),IF(B1591="Subetapa",CONCATENATE(TEXT(H1591,"00"),".",TEXT(J1591,"000"),".",TEXT(L1591,"000")),IF(B1591="Serviço",CONCATENATE(TEXT(H1591,"00"),".",TEXT(J1591,"000"),".",TEXT(L1591,"000"),".",TEXT(N1591,"000")),"")))))</f>
        <v>15.003.002.002</v>
      </c>
      <c r="E1591" s="228" t="str">
        <f t="shared" ref="E1591:E1596" ca="1" si="1200">IF(B1591="*","",IFERROR(IF(B1591="SERVIÇO",D1591,OFFSET(E1591,-1,0)),""))</f>
        <v>15.003.002.002</v>
      </c>
      <c r="F1591" s="230">
        <f ca="1">IF($B1591="UNIDADE CONSTRUTIVA",OFFSET(F1591,-1,0)+1,LARGE(F$10:F1590,1))</f>
        <v>2</v>
      </c>
      <c r="G1591" s="228" t="str">
        <f t="shared" ref="G1591:G1596" ca="1" si="1201">IF(B1591="*","",IF(B1591="UNIDADE CONSTRUTIVA",S1591,OFFSET(G1591,-1,0)))</f>
        <v xml:space="preserve">   GERENCIAMENTO EXECUTIVO</v>
      </c>
      <c r="H1591" s="230">
        <f t="shared" ref="H1591:H1596" ca="1" si="1202">IF(B1591="UNIDADE CONSTRUTIVA",0,IF(B1591="CÉLULA CONSTRUTIVA",OFFSET(H1591,-1,0)+1,OFFSET(H1591,-1,0)))</f>
        <v>15</v>
      </c>
      <c r="I1591" s="228" t="str">
        <f t="shared" ref="I1591:I1596" ca="1" si="1203">IF(B1591="*","",IF(B1591="CÉLULA CONSTRUTIVA",S1591,OFFSET(I1591,-1,0)))</f>
        <v xml:space="preserve">   PISOS E PAVIMENTAÇÕES</v>
      </c>
      <c r="J1591" s="230">
        <f t="shared" ref="J1591:J1596" ca="1" si="1204">IF(B1591="CÉLULA CONSTRUTIVA",0,IF(B1591="ETAPA",OFFSET(J1591,-1,0)+1,OFFSET(J1591,-1,0)))</f>
        <v>3</v>
      </c>
      <c r="K1591" s="228" t="str">
        <f t="shared" ref="K1591:K1596" ca="1" si="1205">IF(B1591="*","",IF(B1591="ETAPA",S1591,OFFSET(K1591,-1,0)))</f>
        <v xml:space="preserve">   PISOS E PAVIMENTAÇÕES - 3º  ao 7º PAVIMENTO - TIPO</v>
      </c>
      <c r="L1591" s="231">
        <f t="shared" ref="L1591:L1596" ca="1" si="1206">IF(B1591="ETAPA",0,IF(B1591="SUBETAPA",OFFSET(L1591,-1,0)+1,OFFSET(L1591,-1,0)))</f>
        <v>2</v>
      </c>
      <c r="M1591" s="228" t="str">
        <f t="shared" ref="M1591:M1596" ca="1" si="1207">IF(B1591="*","",IF(B1591="SUBETAPA",S1591,OFFSET(M1591,-1,0)))</f>
        <v xml:space="preserve">   Acabamentos em Piso</v>
      </c>
      <c r="N1591" s="231">
        <f t="shared" ref="N1591:N1596" ca="1" si="1208">IF(B1591="Subetapa",0,IF(B1591="serviço",OFFSET(N1591,-1,0)+1,OFFSET(N1591,-1,0)))</f>
        <v>2</v>
      </c>
      <c r="O1591" s="228" t="str">
        <f t="shared" ref="O1591:O1596" ca="1" si="1209">IF(B1591="*","",IF(B1591="SERVIÇO",S1591,OFFSET(O1591,-1,0)))</f>
        <v>Revestimento interno de piso porcelanato placa 80x80cm - áreas internas</v>
      </c>
      <c r="P1591" s="232" t="str">
        <f>IF(S1591="","",IF(Orçamento!$B1591="INSUMO",S1591,""))</f>
        <v/>
      </c>
      <c r="Q1591" s="244" t="str">
        <f t="shared" ref="Q1591:Q1596" si="1210">IF(B1591="","",IF(B1591="Serviço",S1591,""))</f>
        <v>Revestimento interno de piso porcelanato placa 80x80cm - áreas internas</v>
      </c>
      <c r="R1591" s="234">
        <f t="shared" ref="R1591:R1596" ca="1" si="1211">IF(B1591="serviço",U1591,OFFSET(R1591,-1,0))</f>
        <v>738.6</v>
      </c>
      <c r="S1591" s="233" t="s">
        <v>1122</v>
      </c>
      <c r="T1591" s="242" t="s">
        <v>140</v>
      </c>
      <c r="U1591" s="235">
        <v>738.6</v>
      </c>
      <c r="V1591" s="320" t="s">
        <v>35</v>
      </c>
      <c r="W1591" s="236" t="str">
        <f>IFERROR(IF(B1591="INSUMO",_xlfn.XLOOKUP(S1591,Insumos!A:A,Insumos!C:C),""),"Inserir Preço")</f>
        <v/>
      </c>
      <c r="X1591" s="235">
        <f t="shared" ref="X1591:X1596" ca="1" si="1212">IF(B1591="Complemento do insumo",V1591,IF(R1591="","",IF(B1591="serviço",R1591,IF(OR(B1591="insumo"),V1591*R1591,""))))</f>
        <v>738.6</v>
      </c>
      <c r="Y1591" s="236">
        <f t="shared" ca="1" si="1184"/>
        <v>75.704999999999998</v>
      </c>
      <c r="Z1591" s="237">
        <f t="shared" ca="1" si="1161"/>
        <v>55915.713000000003</v>
      </c>
      <c r="AA1591" s="238"/>
      <c r="AB1591" s="233" t="str">
        <f>IF(B1591="insumo",_xlfn.XLOOKUP(S1591,Insumos!A:A,Insumos!D:D),"")</f>
        <v/>
      </c>
      <c r="AC1591" s="239">
        <f t="shared" ca="1" si="1162"/>
        <v>8.0216188248414273E-3</v>
      </c>
      <c r="AE1591" s="240">
        <f ca="1">IFERROR(IF(OR(Z1591="",Z1591=0),"",IF(AF1591="","",IF(AF1591="R$/mês",Z1591/OBRA!$D$12,IF(AF1591="R$/m²",Z1591/OBRA!$D$10,IF(AF1591="R$/apto",Orçamento!Z1591/OBRA!$D$11,""))))),"")</f>
        <v>28.774624208148289</v>
      </c>
      <c r="AF1591" s="241" t="s">
        <v>154</v>
      </c>
    </row>
    <row r="1592" spans="1:32" s="10" customFormat="1" ht="13.15" hidden="1" customHeight="1" outlineLevel="4" x14ac:dyDescent="0.2">
      <c r="A1592" s="227"/>
      <c r="B1592" s="228" t="s">
        <v>19</v>
      </c>
      <c r="C1592" s="229">
        <f t="shared" si="1160"/>
        <v>23</v>
      </c>
      <c r="D1592" s="227" t="str">
        <f t="shared" si="1199"/>
        <v/>
      </c>
      <c r="E1592" s="228" t="str">
        <f t="shared" ca="1" si="1200"/>
        <v>15.003.002.002</v>
      </c>
      <c r="F1592" s="230">
        <f ca="1">IF($B1592="UNIDADE CONSTRUTIVA",OFFSET(F1592,-1,0)+1,LARGE(F$10:F1591,1))</f>
        <v>2</v>
      </c>
      <c r="G1592" s="228" t="str">
        <f t="shared" ca="1" si="1201"/>
        <v xml:space="preserve">   GERENCIAMENTO EXECUTIVO</v>
      </c>
      <c r="H1592" s="230">
        <f t="shared" ca="1" si="1202"/>
        <v>15</v>
      </c>
      <c r="I1592" s="228" t="str">
        <f t="shared" ca="1" si="1203"/>
        <v xml:space="preserve">   PISOS E PAVIMENTAÇÕES</v>
      </c>
      <c r="J1592" s="230">
        <f t="shared" ca="1" si="1204"/>
        <v>3</v>
      </c>
      <c r="K1592" s="228" t="str">
        <f t="shared" ca="1" si="1205"/>
        <v xml:space="preserve">   PISOS E PAVIMENTAÇÕES - 3º  ao 7º PAVIMENTO - TIPO</v>
      </c>
      <c r="L1592" s="231">
        <f t="shared" ca="1" si="1206"/>
        <v>2</v>
      </c>
      <c r="M1592" s="228" t="str">
        <f t="shared" ca="1" si="1207"/>
        <v xml:space="preserve">   Acabamentos em Piso</v>
      </c>
      <c r="N1592" s="231">
        <f t="shared" ca="1" si="1208"/>
        <v>2</v>
      </c>
      <c r="O1592" s="228" t="str">
        <f t="shared" ca="1" si="1209"/>
        <v>Revestimento interno de piso porcelanato placa 80x80cm - áreas internas</v>
      </c>
      <c r="P1592" s="232" t="str">
        <f>IF(S1592="","",IF(Orçamento!$B1592="INSUMO",S1592,""))</f>
        <v>ARGAMASSA COLANTE AC II</v>
      </c>
      <c r="Q1592" s="244" t="str">
        <f t="shared" si="1210"/>
        <v/>
      </c>
      <c r="R1592" s="234">
        <f t="shared" ca="1" si="1211"/>
        <v>738.6</v>
      </c>
      <c r="S1592" s="233" t="s">
        <v>314</v>
      </c>
      <c r="T1592" s="242" t="str">
        <f>_xlfn.XLOOKUP(S1592,Insumos!$A$3:$A$371,Insumos!$B$3:$B$371)</f>
        <v>KG</v>
      </c>
      <c r="U1592" s="235">
        <f ca="1">IF($B1592="insumo",R1592,"")</f>
        <v>738.6</v>
      </c>
      <c r="V1592" s="320">
        <v>9</v>
      </c>
      <c r="W1592" s="236">
        <f>IFERROR(IF(B1592="INSUMO",_xlfn.XLOOKUP(S1592,Insumos!A:A,Insumos!C:C),""),"Inserir Preço")</f>
        <v>0.84000000000000008</v>
      </c>
      <c r="X1592" s="235">
        <f t="shared" ca="1" si="1212"/>
        <v>6647.4000000000005</v>
      </c>
      <c r="Y1592" s="236">
        <f t="shared" si="1184"/>
        <v>7.5600000000000005</v>
      </c>
      <c r="Z1592" s="237">
        <f t="shared" ca="1" si="1161"/>
        <v>5583.8160000000007</v>
      </c>
      <c r="AA1592" s="238"/>
      <c r="AB1592" s="233" t="str">
        <f>IF(B1592="insumo",_xlfn.XLOOKUP(S1592,Insumos!A:A,Insumos!D:D),"")</f>
        <v>Argabrus</v>
      </c>
      <c r="AC1592" s="239">
        <f t="shared" ca="1" si="1162"/>
        <v>8.0104931399248649E-4</v>
      </c>
      <c r="AE1592" s="240">
        <f ca="1">IFERROR(IF(OR(Z1592="",Z1592=0),"",IF(AF1592="","",IF(AF1592="R$/mês",Z1592/OBRA!$D$12,IF(AF1592="R$/m²",Z1592/OBRA!$D$10,IF(AF1592="R$/apto",Orçamento!Z1592/OBRA!$D$11,""))))),"")</f>
        <v>2.8734714881923398</v>
      </c>
      <c r="AF1592" s="241" t="s">
        <v>154</v>
      </c>
    </row>
    <row r="1593" spans="1:32" s="10" customFormat="1" ht="13.15" hidden="1" customHeight="1" outlineLevel="4" x14ac:dyDescent="0.2">
      <c r="A1593" s="227"/>
      <c r="B1593" s="228" t="s">
        <v>19</v>
      </c>
      <c r="C1593" s="229">
        <f t="shared" si="1160"/>
        <v>32</v>
      </c>
      <c r="D1593" s="227" t="str">
        <f t="shared" si="1199"/>
        <v/>
      </c>
      <c r="E1593" s="228" t="str">
        <f t="shared" ca="1" si="1200"/>
        <v>15.003.002.002</v>
      </c>
      <c r="F1593" s="230">
        <f ca="1">IF($B1593="UNIDADE CONSTRUTIVA",OFFSET(F1593,-1,0)+1,LARGE(F$10:F1592,1))</f>
        <v>2</v>
      </c>
      <c r="G1593" s="228" t="str">
        <f t="shared" ca="1" si="1201"/>
        <v xml:space="preserve">   GERENCIAMENTO EXECUTIVO</v>
      </c>
      <c r="H1593" s="230">
        <f t="shared" ca="1" si="1202"/>
        <v>15</v>
      </c>
      <c r="I1593" s="228" t="str">
        <f t="shared" ca="1" si="1203"/>
        <v xml:space="preserve">   PISOS E PAVIMENTAÇÕES</v>
      </c>
      <c r="J1593" s="230">
        <f t="shared" ca="1" si="1204"/>
        <v>3</v>
      </c>
      <c r="K1593" s="228" t="str">
        <f t="shared" ca="1" si="1205"/>
        <v xml:space="preserve">   PISOS E PAVIMENTAÇÕES - 3º  ao 7º PAVIMENTO - TIPO</v>
      </c>
      <c r="L1593" s="231">
        <f t="shared" ca="1" si="1206"/>
        <v>2</v>
      </c>
      <c r="M1593" s="228" t="str">
        <f t="shared" ca="1" si="1207"/>
        <v xml:space="preserve">   Acabamentos em Piso</v>
      </c>
      <c r="N1593" s="231">
        <f t="shared" ca="1" si="1208"/>
        <v>2</v>
      </c>
      <c r="O1593" s="228" t="str">
        <f t="shared" ca="1" si="1209"/>
        <v>Revestimento interno de piso porcelanato placa 80x80cm - áreas internas</v>
      </c>
      <c r="P1593" s="232" t="str">
        <f>IF(S1593="","",IF(Orçamento!$B1593="INSUMO",S1593,""))</f>
        <v>REJUNTE FLEXIVEL CIMENTICIO TIPO II NBR 14992</v>
      </c>
      <c r="Q1593" s="244" t="str">
        <f t="shared" si="1210"/>
        <v/>
      </c>
      <c r="R1593" s="234">
        <f t="shared" ca="1" si="1211"/>
        <v>738.6</v>
      </c>
      <c r="S1593" s="233" t="s">
        <v>734</v>
      </c>
      <c r="T1593" s="242" t="str">
        <f>_xlfn.XLOOKUP(S1593,Insumos!$A$3:$A$371,Insumos!$B$3:$B$371)</f>
        <v>KG</v>
      </c>
      <c r="U1593" s="235">
        <f ca="1">IF($B1593="insumo",R1593,"")</f>
        <v>738.6</v>
      </c>
      <c r="V1593" s="320">
        <v>0.13</v>
      </c>
      <c r="W1593" s="236">
        <f>IFERROR(IF(B1593="INSUMO",_xlfn.XLOOKUP(S1593,Insumos!A:A,Insumos!C:C),""),"Inserir Preço")</f>
        <v>4.2</v>
      </c>
      <c r="X1593" s="235">
        <f t="shared" ca="1" si="1212"/>
        <v>96.018000000000001</v>
      </c>
      <c r="Y1593" s="236">
        <f t="shared" si="1184"/>
        <v>0.54600000000000004</v>
      </c>
      <c r="Z1593" s="237">
        <f t="shared" ca="1" si="1161"/>
        <v>403.2756</v>
      </c>
      <c r="AA1593" s="238"/>
      <c r="AB1593" s="233" t="str">
        <f>IF(B1593="insumo",_xlfn.XLOOKUP(S1593,Insumos!A:A,Insumos!D:D),"")</f>
        <v>Distribuidora Sika</v>
      </c>
      <c r="AC1593" s="239">
        <f t="shared" ca="1" si="1162"/>
        <v>5.7853561566124016E-5</v>
      </c>
      <c r="AE1593" s="240">
        <f ca="1">IFERROR(IF(OR(Z1593="",Z1593=0),"",IF(AF1593="","",IF(AF1593="R$/mês",Z1593/OBRA!$D$12,IF(AF1593="R$/m²",Z1593/OBRA!$D$10,IF(AF1593="R$/apto",Orçamento!Z1593/OBRA!$D$11,""))))),"")</f>
        <v>0.20752849636944673</v>
      </c>
      <c r="AF1593" s="241" t="s">
        <v>154</v>
      </c>
    </row>
    <row r="1594" spans="1:32" s="10" customFormat="1" ht="13.15" hidden="1" customHeight="1" outlineLevel="4" x14ac:dyDescent="0.2">
      <c r="A1594" s="227"/>
      <c r="B1594" s="228" t="s">
        <v>19</v>
      </c>
      <c r="C1594" s="229">
        <f t="shared" si="1160"/>
        <v>14</v>
      </c>
      <c r="D1594" s="227" t="str">
        <f>IF(B1594="Unidade Construtiva",TEXT(F1594,"00"),IF(B1594="Célula Construtiva",TEXT(H1594,"00"),IF(B1594="Etapa",CONCATENATE(TEXT(H1594,"00"),".",TEXT(J1594,"000")),IF(B1594="Subetapa",CONCATENATE(TEXT(H1594,"00"),".",TEXT(J1594,"000"),".",TEXT(L1594,"000")),IF(B1594="Serviço",CONCATENATE(TEXT(H1594,"00"),".",TEXT(J1594,"000"),".",TEXT(L1594,"000"),".",TEXT(N1594,"000")),"")))))</f>
        <v/>
      </c>
      <c r="E1594" s="228" t="str">
        <f ca="1">IF(B1594="*","",IFERROR(IF(B1594="SERVIÇO",D1594,OFFSET(E1594,-1,0)),""))</f>
        <v>15.003.002.002</v>
      </c>
      <c r="F1594" s="230">
        <f ca="1">IF($B1594="UNIDADE CONSTRUTIVA",OFFSET(F1594,-1,0)+1,LARGE(F$10:F1593,1))</f>
        <v>2</v>
      </c>
      <c r="G1594" s="228" t="str">
        <f ca="1">IF(B1594="*","",IF(B1594="UNIDADE CONSTRUTIVA",S1594,OFFSET(G1594,-1,0)))</f>
        <v xml:space="preserve">   GERENCIAMENTO EXECUTIVO</v>
      </c>
      <c r="H1594" s="230">
        <f ca="1">IF(B1594="UNIDADE CONSTRUTIVA",0,IF(B1594="CÉLULA CONSTRUTIVA",OFFSET(H1594,-1,0)+1,OFFSET(H1594,-1,0)))</f>
        <v>15</v>
      </c>
      <c r="I1594" s="228" t="str">
        <f ca="1">IF(B1594="*","",IF(B1594="CÉLULA CONSTRUTIVA",S1594,OFFSET(I1594,-1,0)))</f>
        <v xml:space="preserve">   PISOS E PAVIMENTAÇÕES</v>
      </c>
      <c r="J1594" s="230">
        <f ca="1">IF(B1594="CÉLULA CONSTRUTIVA",0,IF(B1594="ETAPA",OFFSET(J1594,-1,0)+1,OFFSET(J1594,-1,0)))</f>
        <v>3</v>
      </c>
      <c r="K1594" s="228" t="str">
        <f ca="1">IF(B1594="*","",IF(B1594="ETAPA",S1594,OFFSET(K1594,-1,0)))</f>
        <v xml:space="preserve">   PISOS E PAVIMENTAÇÕES - 3º  ao 7º PAVIMENTO - TIPO</v>
      </c>
      <c r="L1594" s="231">
        <f ca="1">IF(B1594="ETAPA",0,IF(B1594="SUBETAPA",OFFSET(L1594,-1,0)+1,OFFSET(L1594,-1,0)))</f>
        <v>2</v>
      </c>
      <c r="M1594" s="228" t="str">
        <f ca="1">IF(B1594="*","",IF(B1594="SUBETAPA",S1594,OFFSET(M1594,-1,0)))</f>
        <v xml:space="preserve">   Acabamentos em Piso</v>
      </c>
      <c r="N1594" s="231">
        <f ca="1">IF(B1594="Subetapa",0,IF(B1594="serviço",OFFSET(N1594,-1,0)+1,OFFSET(N1594,-1,0)))</f>
        <v>2</v>
      </c>
      <c r="O1594" s="228" t="str">
        <f ca="1">IF(B1594="*","",IF(B1594="SERVIÇO",S1594,OFFSET(O1594,-1,0)))</f>
        <v>Revestimento interno de piso porcelanato placa 80x80cm - áreas internas</v>
      </c>
      <c r="P1594" s="232" t="str">
        <f>IF(S1594="","",IF(Orçamento!$B1594="INSUMO",S1594,""))</f>
        <v>CUNHA PVC P/NIVELAMENTO PISO NBR 6118</v>
      </c>
      <c r="Q1594" s="244" t="str">
        <f>IF(B1594="","",IF(B1594="Serviço",S1594,""))</f>
        <v/>
      </c>
      <c r="R1594" s="234">
        <f ca="1">IF(B1594="serviço",U1594,OFFSET(R1594,-1,0))</f>
        <v>738.6</v>
      </c>
      <c r="S1594" s="233" t="s">
        <v>717</v>
      </c>
      <c r="T1594" s="242" t="str">
        <f>_xlfn.XLOOKUP(S1594,Insumos!$A$3:$A$371,Insumos!$B$3:$B$371)</f>
        <v>UN</v>
      </c>
      <c r="U1594" s="235">
        <f ca="1">IF($B1594="insumo",R1594,"")</f>
        <v>738.6</v>
      </c>
      <c r="V1594" s="320">
        <v>2</v>
      </c>
      <c r="W1594" s="236">
        <f>IFERROR(IF(B1594="INSUMO",_xlfn.XLOOKUP(S1594,Insumos!A:A,Insumos!C:C),""),"Inserir Preço")</f>
        <v>0.2</v>
      </c>
      <c r="X1594" s="235">
        <f t="shared" ca="1" si="1212"/>
        <v>1477.2</v>
      </c>
      <c r="Y1594" s="236">
        <f t="shared" si="1184"/>
        <v>0.4</v>
      </c>
      <c r="Z1594" s="237">
        <f t="shared" ca="1" si="1161"/>
        <v>295.44</v>
      </c>
      <c r="AA1594" s="238"/>
      <c r="AB1594" s="233" t="str">
        <f>IF(B1594="insumo",_xlfn.XLOOKUP(S1594,Insumos!A:A,Insumos!D:D),"")</f>
        <v>Base de Dados</v>
      </c>
      <c r="AC1594" s="239">
        <f t="shared" ca="1" si="1162"/>
        <v>4.2383561586904039E-5</v>
      </c>
      <c r="AE1594" s="240">
        <f ca="1">IFERROR(IF(OR(Z1594="",Z1594=0),"",IF(AF1594="","",IF(AF1594="R$/mês",Z1594/OBRA!$D$12,IF(AF1594="R$/m²",Z1594/OBRA!$D$10,IF(AF1594="R$/apto",Orçamento!Z1594/OBRA!$D$11,""))))),"")</f>
        <v>0.15203552847578516</v>
      </c>
      <c r="AF1594" s="241" t="s">
        <v>154</v>
      </c>
    </row>
    <row r="1595" spans="1:32" s="10" customFormat="1" ht="13.15" hidden="1" customHeight="1" outlineLevel="4" x14ac:dyDescent="0.2">
      <c r="A1595" s="227"/>
      <c r="B1595" s="228" t="s">
        <v>19</v>
      </c>
      <c r="C1595" s="229">
        <f t="shared" si="1160"/>
        <v>14</v>
      </c>
      <c r="D1595" s="227" t="str">
        <f>IF(B1595="Unidade Construtiva",TEXT(F1595,"00"),IF(B1595="Célula Construtiva",TEXT(H1595,"00"),IF(B1595="Etapa",CONCATENATE(TEXT(H1595,"00"),".",TEXT(J1595,"000")),IF(B1595="Subetapa",CONCATENATE(TEXT(H1595,"00"),".",TEXT(J1595,"000"),".",TEXT(L1595,"000")),IF(B1595="Serviço",CONCATENATE(TEXT(H1595,"00"),".",TEXT(J1595,"000"),".",TEXT(L1595,"000"),".",TEXT(N1595,"000")),"")))))</f>
        <v/>
      </c>
      <c r="E1595" s="228" t="str">
        <f ca="1">IF(B1595="*","",IFERROR(IF(B1595="SERVIÇO",D1595,OFFSET(E1595,-1,0)),""))</f>
        <v>15.003.002.002</v>
      </c>
      <c r="F1595" s="230">
        <f ca="1">IF($B1595="UNIDADE CONSTRUTIVA",OFFSET(F1595,-1,0)+1,LARGE(F$10:F1594,1))</f>
        <v>2</v>
      </c>
      <c r="G1595" s="228" t="str">
        <f ca="1">IF(B1595="*","",IF(B1595="UNIDADE CONSTRUTIVA",S1595,OFFSET(G1595,-1,0)))</f>
        <v xml:space="preserve">   GERENCIAMENTO EXECUTIVO</v>
      </c>
      <c r="H1595" s="230">
        <f ca="1">IF(B1595="UNIDADE CONSTRUTIVA",0,IF(B1595="CÉLULA CONSTRUTIVA",OFFSET(H1595,-1,0)+1,OFFSET(H1595,-1,0)))</f>
        <v>15</v>
      </c>
      <c r="I1595" s="228" t="str">
        <f ca="1">IF(B1595="*","",IF(B1595="CÉLULA CONSTRUTIVA",S1595,OFFSET(I1595,-1,0)))</f>
        <v xml:space="preserve">   PISOS E PAVIMENTAÇÕES</v>
      </c>
      <c r="J1595" s="230">
        <f ca="1">IF(B1595="CÉLULA CONSTRUTIVA",0,IF(B1595="ETAPA",OFFSET(J1595,-1,0)+1,OFFSET(J1595,-1,0)))</f>
        <v>3</v>
      </c>
      <c r="K1595" s="228" t="str">
        <f ca="1">IF(B1595="*","",IF(B1595="ETAPA",S1595,OFFSET(K1595,-1,0)))</f>
        <v xml:space="preserve">   PISOS E PAVIMENTAÇÕES - 3º  ao 7º PAVIMENTO - TIPO</v>
      </c>
      <c r="L1595" s="231">
        <f ca="1">IF(B1595="ETAPA",0,IF(B1595="SUBETAPA",OFFSET(L1595,-1,0)+1,OFFSET(L1595,-1,0)))</f>
        <v>2</v>
      </c>
      <c r="M1595" s="228" t="str">
        <f ca="1">IF(B1595="*","",IF(B1595="SUBETAPA",S1595,OFFSET(M1595,-1,0)))</f>
        <v xml:space="preserve">   Acabamentos em Piso</v>
      </c>
      <c r="N1595" s="231">
        <f ca="1">IF(B1595="Subetapa",0,IF(B1595="serviço",OFFSET(N1595,-1,0)+1,OFFSET(N1595,-1,0)))</f>
        <v>2</v>
      </c>
      <c r="O1595" s="228" t="str">
        <f ca="1">IF(B1595="*","",IF(B1595="SERVIÇO",S1595,OFFSET(O1595,-1,0)))</f>
        <v>Revestimento interno de piso porcelanato placa 80x80cm - áreas internas</v>
      </c>
      <c r="P1595" s="232" t="str">
        <f>IF(S1595="","",IF(Orçamento!$B1595="INSUMO",S1595,""))</f>
        <v>ESPACADOR PVC NIVELAMENTO REVESTIMENTO 1,0MM NBR 6118</v>
      </c>
      <c r="Q1595" s="244" t="str">
        <f>IF(B1595="","",IF(B1595="Serviço",S1595,""))</f>
        <v/>
      </c>
      <c r="R1595" s="234">
        <f ca="1">IF(B1595="serviço",U1595,OFFSET(R1595,-1,0))</f>
        <v>738.6</v>
      </c>
      <c r="S1595" s="233" t="s">
        <v>715</v>
      </c>
      <c r="T1595" s="242" t="str">
        <f>_xlfn.XLOOKUP(S1595,Insumos!$A$3:$A$371,Insumos!$B$3:$B$371)</f>
        <v>UN</v>
      </c>
      <c r="U1595" s="235">
        <f ca="1">IF($B1595="insumo",R1595,"")</f>
        <v>738.6</v>
      </c>
      <c r="V1595" s="320">
        <v>4</v>
      </c>
      <c r="W1595" s="236">
        <f>IFERROR(IF(B1595="INSUMO",_xlfn.XLOOKUP(S1595,Insumos!A:A,Insumos!C:C),""),"Inserir Preço")</f>
        <v>0.22</v>
      </c>
      <c r="X1595" s="235">
        <f t="shared" ca="1" si="1212"/>
        <v>2954.4</v>
      </c>
      <c r="Y1595" s="236">
        <f t="shared" si="1184"/>
        <v>0.88</v>
      </c>
      <c r="Z1595" s="237">
        <f t="shared" ca="1" si="1161"/>
        <v>649.96800000000007</v>
      </c>
      <c r="AA1595" s="238"/>
      <c r="AB1595" s="233" t="str">
        <f>IF(B1595="insumo",_xlfn.XLOOKUP(S1595,Insumos!A:A,Insumos!D:D),"")</f>
        <v>Base de Dados</v>
      </c>
      <c r="AC1595" s="239">
        <f t="shared" ca="1" si="1162"/>
        <v>9.3243835491188903E-5</v>
      </c>
      <c r="AE1595" s="240">
        <f ca="1">IFERROR(IF(OR(Z1595="",Z1595=0),"",IF(AF1595="","",IF(AF1595="R$/mês",Z1595/OBRA!$D$12,IF(AF1595="R$/m²",Z1595/OBRA!$D$10,IF(AF1595="R$/apto",Orçamento!Z1595/OBRA!$D$11,""))))),"")</f>
        <v>0.33447816264672742</v>
      </c>
      <c r="AF1595" s="241" t="s">
        <v>154</v>
      </c>
    </row>
    <row r="1596" spans="1:32" s="10" customFormat="1" ht="13.15" hidden="1" customHeight="1" outlineLevel="4" x14ac:dyDescent="0.2">
      <c r="A1596" s="227"/>
      <c r="B1596" s="228" t="s">
        <v>19</v>
      </c>
      <c r="C1596" s="229">
        <f t="shared" si="1160"/>
        <v>6</v>
      </c>
      <c r="D1596" s="227" t="str">
        <f t="shared" si="1199"/>
        <v/>
      </c>
      <c r="E1596" s="228" t="str">
        <f t="shared" ca="1" si="1200"/>
        <v>15.003.002.002</v>
      </c>
      <c r="F1596" s="230">
        <f ca="1">IF($B1596="UNIDADE CONSTRUTIVA",OFFSET(F1596,-1,0)+1,LARGE(F$10:F1595,1))</f>
        <v>2</v>
      </c>
      <c r="G1596" s="228" t="str">
        <f t="shared" ca="1" si="1201"/>
        <v xml:space="preserve">   GERENCIAMENTO EXECUTIVO</v>
      </c>
      <c r="H1596" s="230">
        <f t="shared" ca="1" si="1202"/>
        <v>15</v>
      </c>
      <c r="I1596" s="228" t="str">
        <f t="shared" ca="1" si="1203"/>
        <v xml:space="preserve">   PISOS E PAVIMENTAÇÕES</v>
      </c>
      <c r="J1596" s="230">
        <f t="shared" ca="1" si="1204"/>
        <v>3</v>
      </c>
      <c r="K1596" s="228" t="str">
        <f t="shared" ca="1" si="1205"/>
        <v xml:space="preserve">   PISOS E PAVIMENTAÇÕES - 3º  ao 7º PAVIMENTO - TIPO</v>
      </c>
      <c r="L1596" s="231">
        <f t="shared" ca="1" si="1206"/>
        <v>2</v>
      </c>
      <c r="M1596" s="228" t="str">
        <f t="shared" ca="1" si="1207"/>
        <v xml:space="preserve">   Acabamentos em Piso</v>
      </c>
      <c r="N1596" s="231">
        <f t="shared" ca="1" si="1208"/>
        <v>2</v>
      </c>
      <c r="O1596" s="228" t="str">
        <f t="shared" ca="1" si="1209"/>
        <v>Revestimento interno de piso porcelanato placa 80x80cm - áreas internas</v>
      </c>
      <c r="P1596" s="232" t="str">
        <f>IF(S1596="","",IF(Orçamento!$B1596="INSUMO",S1596,""))</f>
        <v>REVESTIMENTO - HIT GRIS 80X80 NAT RET</v>
      </c>
      <c r="Q1596" s="244" t="str">
        <f t="shared" si="1210"/>
        <v/>
      </c>
      <c r="R1596" s="234">
        <f t="shared" ca="1" si="1211"/>
        <v>738.6</v>
      </c>
      <c r="S1596" s="233" t="s">
        <v>911</v>
      </c>
      <c r="T1596" s="242" t="str">
        <f>_xlfn.XLOOKUP(S1596,Insumos!$A$3:$A$371,Insumos!$B$3:$B$371)</f>
        <v>M2</v>
      </c>
      <c r="U1596" s="235">
        <f ca="1">IF($B1596="insumo",R1596,"")</f>
        <v>738.6</v>
      </c>
      <c r="V1596" s="320">
        <v>1.1000000000000001</v>
      </c>
      <c r="W1596" s="236">
        <f>IFERROR(IF(B1596="INSUMO",_xlfn.XLOOKUP(S1596,Insumos!A:A,Insumos!C:C),""),"Inserir Preço")</f>
        <v>60.29</v>
      </c>
      <c r="X1596" s="235">
        <f t="shared" ca="1" si="1212"/>
        <v>812.46</v>
      </c>
      <c r="Y1596" s="236">
        <f t="shared" si="1184"/>
        <v>66.319000000000003</v>
      </c>
      <c r="Z1596" s="237">
        <f t="shared" ca="1" si="1161"/>
        <v>48983.213400000001</v>
      </c>
      <c r="AA1596" s="238"/>
      <c r="AB1596" s="233" t="str">
        <f>IF(B1596="insumo",_xlfn.XLOOKUP(S1596,Insumos!A:A,Insumos!D:D),"")</f>
        <v>Portobelo</v>
      </c>
      <c r="AC1596" s="239">
        <f t="shared" ca="1" si="1162"/>
        <v>7.0270885522047228E-3</v>
      </c>
      <c r="AE1596" s="240">
        <f ca="1">IFERROR(IF(OR(Z1596="",Z1596=0),"",IF(AF1596="","",IF(AF1596="R$/mês",Z1596/OBRA!$D$12,IF(AF1596="R$/m²",Z1596/OBRA!$D$10,IF(AF1596="R$/apto",Orçamento!Z1596/OBRA!$D$11,""))))),"")</f>
        <v>25.207110532463989</v>
      </c>
      <c r="AF1596" s="241" t="s">
        <v>154</v>
      </c>
    </row>
    <row r="1597" spans="1:32" s="10" customFormat="1" ht="13.15" hidden="1" customHeight="1" outlineLevel="4" x14ac:dyDescent="0.2">
      <c r="A1597" s="227"/>
      <c r="B1597" s="228" t="s">
        <v>4</v>
      </c>
      <c r="C1597" s="229">
        <f t="shared" si="1160"/>
        <v>4</v>
      </c>
      <c r="D1597" s="227" t="str">
        <f t="shared" ref="D1597:D1602" ca="1" si="1213">IF(B1597="Unidade Construtiva",TEXT(F1597,"00"),IF(B1597="Célula Construtiva",TEXT(H1597,"00"),IF(B1597="Etapa",CONCATENATE(TEXT(H1597,"00"),".",TEXT(J1597,"000")),IF(B1597="Subetapa",CONCATENATE(TEXT(H1597,"00"),".",TEXT(J1597,"000"),".",TEXT(L1597,"000")),IF(B1597="Serviço",CONCATENATE(TEXT(H1597,"00"),".",TEXT(J1597,"000"),".",TEXT(L1597,"000"),".",TEXT(N1597,"000")),"")))))</f>
        <v>15.003.002.003</v>
      </c>
      <c r="E1597" s="228" t="str">
        <f t="shared" ref="E1597:E1602" ca="1" si="1214">IF(B1597="*","",IFERROR(IF(B1597="SERVIÇO",D1597,OFFSET(E1597,-1,0)),""))</f>
        <v>15.003.002.003</v>
      </c>
      <c r="F1597" s="230">
        <f ca="1">IF($B1597="UNIDADE CONSTRUTIVA",OFFSET(F1597,-1,0)+1,LARGE(F$10:F1596,1))</f>
        <v>2</v>
      </c>
      <c r="G1597" s="228" t="str">
        <f t="shared" ref="G1597:G1602" ca="1" si="1215">IF(B1597="*","",IF(B1597="UNIDADE CONSTRUTIVA",S1597,OFFSET(G1597,-1,0)))</f>
        <v xml:space="preserve">   GERENCIAMENTO EXECUTIVO</v>
      </c>
      <c r="H1597" s="230">
        <f t="shared" ref="H1597:H1602" ca="1" si="1216">IF(B1597="UNIDADE CONSTRUTIVA",0,IF(B1597="CÉLULA CONSTRUTIVA",OFFSET(H1597,-1,0)+1,OFFSET(H1597,-1,0)))</f>
        <v>15</v>
      </c>
      <c r="I1597" s="228" t="str">
        <f t="shared" ref="I1597:I1602" ca="1" si="1217">IF(B1597="*","",IF(B1597="CÉLULA CONSTRUTIVA",S1597,OFFSET(I1597,-1,0)))</f>
        <v xml:space="preserve">   PISOS E PAVIMENTAÇÕES</v>
      </c>
      <c r="J1597" s="230">
        <f t="shared" ref="J1597:J1602" ca="1" si="1218">IF(B1597="CÉLULA CONSTRUTIVA",0,IF(B1597="ETAPA",OFFSET(J1597,-1,0)+1,OFFSET(J1597,-1,0)))</f>
        <v>3</v>
      </c>
      <c r="K1597" s="228" t="str">
        <f t="shared" ref="K1597:K1602" ca="1" si="1219">IF(B1597="*","",IF(B1597="ETAPA",S1597,OFFSET(K1597,-1,0)))</f>
        <v xml:space="preserve">   PISOS E PAVIMENTAÇÕES - 3º  ao 7º PAVIMENTO - TIPO</v>
      </c>
      <c r="L1597" s="231">
        <f t="shared" ref="L1597:L1602" ca="1" si="1220">IF(B1597="ETAPA",0,IF(B1597="SUBETAPA",OFFSET(L1597,-1,0)+1,OFFSET(L1597,-1,0)))</f>
        <v>2</v>
      </c>
      <c r="M1597" s="228" t="str">
        <f t="shared" ref="M1597:M1602" ca="1" si="1221">IF(B1597="*","",IF(B1597="SUBETAPA",S1597,OFFSET(M1597,-1,0)))</f>
        <v xml:space="preserve">   Acabamentos em Piso</v>
      </c>
      <c r="N1597" s="231">
        <f t="shared" ref="N1597:N1602" ca="1" si="1222">IF(B1597="Subetapa",0,IF(B1597="serviço",OFFSET(N1597,-1,0)+1,OFFSET(N1597,-1,0)))</f>
        <v>3</v>
      </c>
      <c r="O1597" s="228" t="str">
        <f t="shared" ref="O1597:O1602" ca="1" si="1223">IF(B1597="*","",IF(B1597="SERVIÇO",S1597,OFFSET(O1597,-1,0)))</f>
        <v>Revestimento interno de piso porcelanato placa 80x80cm - áreas Externas</v>
      </c>
      <c r="P1597" s="232" t="str">
        <f>IF(S1597="","",IF(Orçamento!$B1597="INSUMO",S1597,""))</f>
        <v/>
      </c>
      <c r="Q1597" s="244" t="str">
        <f t="shared" ref="Q1597:Q1602" si="1224">IF(B1597="","",IF(B1597="Serviço",S1597,""))</f>
        <v>Revestimento interno de piso porcelanato placa 80x80cm - áreas Externas</v>
      </c>
      <c r="R1597" s="234">
        <f t="shared" ref="R1597:R1602" ca="1" si="1225">IF(B1597="serviço",U1597,OFFSET(R1597,-1,0))</f>
        <v>112.10000000000001</v>
      </c>
      <c r="S1597" s="233" t="s">
        <v>1123</v>
      </c>
      <c r="T1597" s="242" t="s">
        <v>140</v>
      </c>
      <c r="U1597" s="235">
        <v>112.10000000000001</v>
      </c>
      <c r="V1597" s="320" t="s">
        <v>35</v>
      </c>
      <c r="W1597" s="236" t="str">
        <f>IFERROR(IF(B1597="INSUMO",_xlfn.XLOOKUP(S1597,Insumos!A:A,Insumos!C:C),""),"Inserir Preço")</f>
        <v/>
      </c>
      <c r="X1597" s="235">
        <f t="shared" ref="X1597:X1602" ca="1" si="1226">IF(B1597="Complemento do insumo",V1597,IF(R1597="","",IF(B1597="serviço",R1597,IF(OR(B1597="insumo"),V1597*R1597,""))))</f>
        <v>112.10000000000001</v>
      </c>
      <c r="Y1597" s="236">
        <f t="shared" ca="1" si="1184"/>
        <v>75.704999999999998</v>
      </c>
      <c r="Z1597" s="237">
        <f t="shared" ca="1" si="1161"/>
        <v>8486.5305000000008</v>
      </c>
      <c r="AA1597" s="238"/>
      <c r="AB1597" s="233" t="str">
        <f>IF(B1597="insumo",_xlfn.XLOOKUP(S1597,Insumos!A:A,Insumos!D:D),"")</f>
        <v/>
      </c>
      <c r="AC1597" s="239">
        <f t="shared" ca="1" si="1162"/>
        <v>1.2174701736592526E-3</v>
      </c>
      <c r="AE1597" s="240">
        <f ca="1">IFERROR(IF(OR(Z1597="",Z1597=0),"",IF(AF1597="","",IF(AF1597="R$/mês",Z1597/OBRA!$D$12,IF(AF1597="R$/m²",Z1597/OBRA!$D$10,IF(AF1597="R$/apto",Orçamento!Z1597/OBRA!$D$11,""))))),"")</f>
        <v>4.3672290464844616</v>
      </c>
      <c r="AF1597" s="241" t="s">
        <v>154</v>
      </c>
    </row>
    <row r="1598" spans="1:32" s="10" customFormat="1" ht="13.15" hidden="1" customHeight="1" outlineLevel="4" x14ac:dyDescent="0.2">
      <c r="A1598" s="227"/>
      <c r="B1598" s="228" t="s">
        <v>19</v>
      </c>
      <c r="C1598" s="229">
        <f t="shared" si="1160"/>
        <v>23</v>
      </c>
      <c r="D1598" s="227" t="str">
        <f t="shared" si="1213"/>
        <v/>
      </c>
      <c r="E1598" s="228" t="str">
        <f t="shared" ca="1" si="1214"/>
        <v>15.003.002.003</v>
      </c>
      <c r="F1598" s="230">
        <f ca="1">IF($B1598="UNIDADE CONSTRUTIVA",OFFSET(F1598,-1,0)+1,LARGE(F$10:F1597,1))</f>
        <v>2</v>
      </c>
      <c r="G1598" s="228" t="str">
        <f t="shared" ca="1" si="1215"/>
        <v xml:space="preserve">   GERENCIAMENTO EXECUTIVO</v>
      </c>
      <c r="H1598" s="230">
        <f t="shared" ca="1" si="1216"/>
        <v>15</v>
      </c>
      <c r="I1598" s="228" t="str">
        <f t="shared" ca="1" si="1217"/>
        <v xml:space="preserve">   PISOS E PAVIMENTAÇÕES</v>
      </c>
      <c r="J1598" s="230">
        <f t="shared" ca="1" si="1218"/>
        <v>3</v>
      </c>
      <c r="K1598" s="228" t="str">
        <f t="shared" ca="1" si="1219"/>
        <v xml:space="preserve">   PISOS E PAVIMENTAÇÕES - 3º  ao 7º PAVIMENTO - TIPO</v>
      </c>
      <c r="L1598" s="231">
        <f t="shared" ca="1" si="1220"/>
        <v>2</v>
      </c>
      <c r="M1598" s="228" t="str">
        <f t="shared" ca="1" si="1221"/>
        <v xml:space="preserve">   Acabamentos em Piso</v>
      </c>
      <c r="N1598" s="231">
        <f t="shared" ca="1" si="1222"/>
        <v>3</v>
      </c>
      <c r="O1598" s="228" t="str">
        <f t="shared" ca="1" si="1223"/>
        <v>Revestimento interno de piso porcelanato placa 80x80cm - áreas Externas</v>
      </c>
      <c r="P1598" s="232" t="str">
        <f>IF(S1598="","",IF(Orçamento!$B1598="INSUMO",S1598,""))</f>
        <v>ARGAMASSA COLANTE AC II</v>
      </c>
      <c r="Q1598" s="244" t="str">
        <f t="shared" si="1224"/>
        <v/>
      </c>
      <c r="R1598" s="234">
        <f t="shared" ca="1" si="1225"/>
        <v>112.10000000000001</v>
      </c>
      <c r="S1598" s="233" t="s">
        <v>314</v>
      </c>
      <c r="T1598" s="242" t="str">
        <f>_xlfn.XLOOKUP(S1598,Insumos!$A$3:$A$371,Insumos!$B$3:$B$371)</f>
        <v>KG</v>
      </c>
      <c r="U1598" s="235">
        <f t="shared" ref="U1598:U1603" ca="1" si="1227">IF($B1598="insumo",R1598,"")</f>
        <v>112.10000000000001</v>
      </c>
      <c r="V1598" s="320">
        <v>9</v>
      </c>
      <c r="W1598" s="236">
        <f>IFERROR(IF(B1598="INSUMO",_xlfn.XLOOKUP(S1598,Insumos!A:A,Insumos!C:C),""),"Inserir Preço")</f>
        <v>0.84000000000000008</v>
      </c>
      <c r="X1598" s="235">
        <f t="shared" ca="1" si="1226"/>
        <v>1008.9000000000001</v>
      </c>
      <c r="Y1598" s="236">
        <f t="shared" si="1184"/>
        <v>7.5600000000000005</v>
      </c>
      <c r="Z1598" s="237">
        <f t="shared" ca="1" si="1161"/>
        <v>847.47600000000011</v>
      </c>
      <c r="AA1598" s="238"/>
      <c r="AB1598" s="233" t="str">
        <f>IF(B1598="insumo",_xlfn.XLOOKUP(S1598,Insumos!A:A,Insumos!D:D),"")</f>
        <v>Argabrus</v>
      </c>
      <c r="AC1598" s="239">
        <f t="shared" ca="1" si="1162"/>
        <v>1.2157815881201968E-4</v>
      </c>
      <c r="AE1598" s="240">
        <f ca="1">IFERROR(IF(OR(Z1598="",Z1598=0),"",IF(AF1598="","",IF(AF1598="R$/mês",Z1598/OBRA!$D$12,IF(AF1598="R$/m²",Z1598/OBRA!$D$10,IF(AF1598="R$/apto",Orçamento!Z1598/OBRA!$D$11,""))))),"")</f>
        <v>0.4361171863340933</v>
      </c>
      <c r="AF1598" s="241" t="s">
        <v>154</v>
      </c>
    </row>
    <row r="1599" spans="1:32" s="10" customFormat="1" ht="13.15" hidden="1" customHeight="1" outlineLevel="4" x14ac:dyDescent="0.2">
      <c r="A1599" s="227"/>
      <c r="B1599" s="228" t="s">
        <v>19</v>
      </c>
      <c r="C1599" s="229">
        <f t="shared" si="1160"/>
        <v>32</v>
      </c>
      <c r="D1599" s="227" t="str">
        <f t="shared" si="1213"/>
        <v/>
      </c>
      <c r="E1599" s="228" t="str">
        <f t="shared" ca="1" si="1214"/>
        <v>15.003.002.003</v>
      </c>
      <c r="F1599" s="230">
        <f ca="1">IF($B1599="UNIDADE CONSTRUTIVA",OFFSET(F1599,-1,0)+1,LARGE(F$10:F1598,1))</f>
        <v>2</v>
      </c>
      <c r="G1599" s="228" t="str">
        <f t="shared" ca="1" si="1215"/>
        <v xml:space="preserve">   GERENCIAMENTO EXECUTIVO</v>
      </c>
      <c r="H1599" s="230">
        <f t="shared" ca="1" si="1216"/>
        <v>15</v>
      </c>
      <c r="I1599" s="228" t="str">
        <f t="shared" ca="1" si="1217"/>
        <v xml:space="preserve">   PISOS E PAVIMENTAÇÕES</v>
      </c>
      <c r="J1599" s="230">
        <f t="shared" ca="1" si="1218"/>
        <v>3</v>
      </c>
      <c r="K1599" s="228" t="str">
        <f t="shared" ca="1" si="1219"/>
        <v xml:space="preserve">   PISOS E PAVIMENTAÇÕES - 3º  ao 7º PAVIMENTO - TIPO</v>
      </c>
      <c r="L1599" s="231">
        <f t="shared" ca="1" si="1220"/>
        <v>2</v>
      </c>
      <c r="M1599" s="228" t="str">
        <f t="shared" ca="1" si="1221"/>
        <v xml:space="preserve">   Acabamentos em Piso</v>
      </c>
      <c r="N1599" s="231">
        <f t="shared" ca="1" si="1222"/>
        <v>3</v>
      </c>
      <c r="O1599" s="228" t="str">
        <f t="shared" ca="1" si="1223"/>
        <v>Revestimento interno de piso porcelanato placa 80x80cm - áreas Externas</v>
      </c>
      <c r="P1599" s="232" t="str">
        <f>IF(S1599="","",IF(Orçamento!$B1599="INSUMO",S1599,""))</f>
        <v>REJUNTE FLEXIVEL CIMENTICIO TIPO II NBR 14992</v>
      </c>
      <c r="Q1599" s="244" t="str">
        <f t="shared" si="1224"/>
        <v/>
      </c>
      <c r="R1599" s="234">
        <f t="shared" ca="1" si="1225"/>
        <v>112.10000000000001</v>
      </c>
      <c r="S1599" s="233" t="s">
        <v>734</v>
      </c>
      <c r="T1599" s="242" t="str">
        <f>_xlfn.XLOOKUP(S1599,Insumos!$A$3:$A$371,Insumos!$B$3:$B$371)</f>
        <v>KG</v>
      </c>
      <c r="U1599" s="235">
        <f t="shared" ca="1" si="1227"/>
        <v>112.10000000000001</v>
      </c>
      <c r="V1599" s="320">
        <v>0.13</v>
      </c>
      <c r="W1599" s="236">
        <f>IFERROR(IF(B1599="INSUMO",_xlfn.XLOOKUP(S1599,Insumos!A:A,Insumos!C:C),""),"Inserir Preço")</f>
        <v>4.2</v>
      </c>
      <c r="X1599" s="235">
        <f t="shared" ca="1" si="1226"/>
        <v>14.573000000000002</v>
      </c>
      <c r="Y1599" s="236">
        <f t="shared" si="1184"/>
        <v>0.54600000000000004</v>
      </c>
      <c r="Z1599" s="237">
        <f t="shared" ca="1" si="1161"/>
        <v>61.206600000000009</v>
      </c>
      <c r="AA1599" s="238"/>
      <c r="AB1599" s="233" t="str">
        <f>IF(B1599="insumo",_xlfn.XLOOKUP(S1599,Insumos!A:A,Insumos!D:D),"")</f>
        <v>Distribuidora Sika</v>
      </c>
      <c r="AC1599" s="239">
        <f t="shared" ca="1" si="1162"/>
        <v>8.7806448030903101E-6</v>
      </c>
      <c r="AE1599" s="240">
        <f ca="1">IFERROR(IF(OR(Z1599="",Z1599=0),"",IF(AF1599="","",IF(AF1599="R$/mês",Z1599/OBRA!$D$12,IF(AF1599="R$/m²",Z1599/OBRA!$D$10,IF(AF1599="R$/apto",Orçamento!Z1599/OBRA!$D$11,""))))),"")</f>
        <v>3.1497352346351183E-2</v>
      </c>
      <c r="AF1599" s="241" t="s">
        <v>154</v>
      </c>
    </row>
    <row r="1600" spans="1:32" s="10" customFormat="1" ht="13.15" hidden="1" customHeight="1" outlineLevel="4" x14ac:dyDescent="0.2">
      <c r="A1600" s="227"/>
      <c r="B1600" s="228" t="s">
        <v>19</v>
      </c>
      <c r="C1600" s="229">
        <f t="shared" si="1160"/>
        <v>14</v>
      </c>
      <c r="D1600" s="227" t="str">
        <f t="shared" si="1213"/>
        <v/>
      </c>
      <c r="E1600" s="228" t="str">
        <f t="shared" ca="1" si="1214"/>
        <v>15.003.002.003</v>
      </c>
      <c r="F1600" s="230">
        <f ca="1">IF($B1600="UNIDADE CONSTRUTIVA",OFFSET(F1600,-1,0)+1,LARGE(F$10:F1599,1))</f>
        <v>2</v>
      </c>
      <c r="G1600" s="228" t="str">
        <f t="shared" ca="1" si="1215"/>
        <v xml:space="preserve">   GERENCIAMENTO EXECUTIVO</v>
      </c>
      <c r="H1600" s="230">
        <f t="shared" ca="1" si="1216"/>
        <v>15</v>
      </c>
      <c r="I1600" s="228" t="str">
        <f t="shared" ca="1" si="1217"/>
        <v xml:space="preserve">   PISOS E PAVIMENTAÇÕES</v>
      </c>
      <c r="J1600" s="230">
        <f t="shared" ca="1" si="1218"/>
        <v>3</v>
      </c>
      <c r="K1600" s="228" t="str">
        <f t="shared" ca="1" si="1219"/>
        <v xml:space="preserve">   PISOS E PAVIMENTAÇÕES - 3º  ao 7º PAVIMENTO - TIPO</v>
      </c>
      <c r="L1600" s="231">
        <f t="shared" ca="1" si="1220"/>
        <v>2</v>
      </c>
      <c r="M1600" s="228" t="str">
        <f t="shared" ca="1" si="1221"/>
        <v xml:space="preserve">   Acabamentos em Piso</v>
      </c>
      <c r="N1600" s="231">
        <f t="shared" ca="1" si="1222"/>
        <v>3</v>
      </c>
      <c r="O1600" s="228" t="str">
        <f t="shared" ca="1" si="1223"/>
        <v>Revestimento interno de piso porcelanato placa 80x80cm - áreas Externas</v>
      </c>
      <c r="P1600" s="232" t="str">
        <f>IF(S1600="","",IF(Orçamento!$B1600="INSUMO",S1600,""))</f>
        <v>CUNHA PVC P/NIVELAMENTO PISO NBR 6118</v>
      </c>
      <c r="Q1600" s="244" t="str">
        <f t="shared" si="1224"/>
        <v/>
      </c>
      <c r="R1600" s="234">
        <f t="shared" ca="1" si="1225"/>
        <v>112.10000000000001</v>
      </c>
      <c r="S1600" s="233" t="s">
        <v>717</v>
      </c>
      <c r="T1600" s="242" t="str">
        <f>_xlfn.XLOOKUP(S1600,Insumos!$A$3:$A$371,Insumos!$B$3:$B$371)</f>
        <v>UN</v>
      </c>
      <c r="U1600" s="235">
        <f t="shared" ca="1" si="1227"/>
        <v>112.10000000000001</v>
      </c>
      <c r="V1600" s="320">
        <v>2</v>
      </c>
      <c r="W1600" s="236">
        <f>IFERROR(IF(B1600="INSUMO",_xlfn.XLOOKUP(S1600,Insumos!A:A,Insumos!C:C),""),"Inserir Preço")</f>
        <v>0.2</v>
      </c>
      <c r="X1600" s="235">
        <f t="shared" ca="1" si="1226"/>
        <v>224.20000000000002</v>
      </c>
      <c r="Y1600" s="236">
        <f t="shared" si="1184"/>
        <v>0.4</v>
      </c>
      <c r="Z1600" s="237">
        <f t="shared" ca="1" si="1161"/>
        <v>44.84</v>
      </c>
      <c r="AA1600" s="238"/>
      <c r="AB1600" s="233" t="str">
        <f>IF(B1600="insumo",_xlfn.XLOOKUP(S1600,Insumos!A:A,Insumos!D:D),"")</f>
        <v>Base de Dados</v>
      </c>
      <c r="AC1600" s="239">
        <f t="shared" ca="1" si="1162"/>
        <v>6.4327068154507766E-6</v>
      </c>
      <c r="AE1600" s="240">
        <f ca="1">IFERROR(IF(OR(Z1600="",Z1600=0),"",IF(AF1600="","",IF(AF1600="R$/mês",Z1600/OBRA!$D$12,IF(AF1600="R$/m²",Z1600/OBRA!$D$10,IF(AF1600="R$/apto",Orçamento!Z1600/OBRA!$D$11,""))))),"")</f>
        <v>2.3074983403920279E-2</v>
      </c>
      <c r="AF1600" s="241" t="s">
        <v>154</v>
      </c>
    </row>
    <row r="1601" spans="1:32" s="10" customFormat="1" ht="13.15" hidden="1" customHeight="1" outlineLevel="4" x14ac:dyDescent="0.2">
      <c r="A1601" s="227"/>
      <c r="B1601" s="228" t="s">
        <v>19</v>
      </c>
      <c r="C1601" s="229">
        <f t="shared" si="1160"/>
        <v>14</v>
      </c>
      <c r="D1601" s="227" t="str">
        <f t="shared" si="1213"/>
        <v/>
      </c>
      <c r="E1601" s="228" t="str">
        <f t="shared" ca="1" si="1214"/>
        <v>15.003.002.003</v>
      </c>
      <c r="F1601" s="230">
        <f ca="1">IF($B1601="UNIDADE CONSTRUTIVA",OFFSET(F1601,-1,0)+1,LARGE(F$10:F1600,1))</f>
        <v>2</v>
      </c>
      <c r="G1601" s="228" t="str">
        <f t="shared" ca="1" si="1215"/>
        <v xml:space="preserve">   GERENCIAMENTO EXECUTIVO</v>
      </c>
      <c r="H1601" s="230">
        <f t="shared" ca="1" si="1216"/>
        <v>15</v>
      </c>
      <c r="I1601" s="228" t="str">
        <f t="shared" ca="1" si="1217"/>
        <v xml:space="preserve">   PISOS E PAVIMENTAÇÕES</v>
      </c>
      <c r="J1601" s="230">
        <f t="shared" ca="1" si="1218"/>
        <v>3</v>
      </c>
      <c r="K1601" s="228" t="str">
        <f t="shared" ca="1" si="1219"/>
        <v xml:space="preserve">   PISOS E PAVIMENTAÇÕES - 3º  ao 7º PAVIMENTO - TIPO</v>
      </c>
      <c r="L1601" s="231">
        <f t="shared" ca="1" si="1220"/>
        <v>2</v>
      </c>
      <c r="M1601" s="228" t="str">
        <f t="shared" ca="1" si="1221"/>
        <v xml:space="preserve">   Acabamentos em Piso</v>
      </c>
      <c r="N1601" s="231">
        <f t="shared" ca="1" si="1222"/>
        <v>3</v>
      </c>
      <c r="O1601" s="228" t="str">
        <f t="shared" ca="1" si="1223"/>
        <v>Revestimento interno de piso porcelanato placa 80x80cm - áreas Externas</v>
      </c>
      <c r="P1601" s="232" t="str">
        <f>IF(S1601="","",IF(Orçamento!$B1601="INSUMO",S1601,""))</f>
        <v>ESPACADOR PVC NIVELAMENTO REVESTIMENTO 1,0MM NBR 6118</v>
      </c>
      <c r="Q1601" s="244" t="str">
        <f t="shared" si="1224"/>
        <v/>
      </c>
      <c r="R1601" s="234">
        <f t="shared" ca="1" si="1225"/>
        <v>112.10000000000001</v>
      </c>
      <c r="S1601" s="233" t="s">
        <v>715</v>
      </c>
      <c r="T1601" s="242" t="str">
        <f>_xlfn.XLOOKUP(S1601,Insumos!$A$3:$A$371,Insumos!$B$3:$B$371)</f>
        <v>UN</v>
      </c>
      <c r="U1601" s="235">
        <f t="shared" ca="1" si="1227"/>
        <v>112.10000000000001</v>
      </c>
      <c r="V1601" s="320">
        <v>4</v>
      </c>
      <c r="W1601" s="236">
        <f>IFERROR(IF(B1601="INSUMO",_xlfn.XLOOKUP(S1601,Insumos!A:A,Insumos!C:C),""),"Inserir Preço")</f>
        <v>0.22</v>
      </c>
      <c r="X1601" s="235">
        <f t="shared" ca="1" si="1226"/>
        <v>448.40000000000003</v>
      </c>
      <c r="Y1601" s="236">
        <f t="shared" si="1184"/>
        <v>0.88</v>
      </c>
      <c r="Z1601" s="237">
        <f t="shared" ca="1" si="1161"/>
        <v>98.64800000000001</v>
      </c>
      <c r="AA1601" s="238"/>
      <c r="AB1601" s="233" t="str">
        <f>IF(B1601="insumo",_xlfn.XLOOKUP(S1601,Insumos!A:A,Insumos!D:D),"")</f>
        <v>Base de Dados</v>
      </c>
      <c r="AC1601" s="239">
        <f t="shared" ca="1" si="1162"/>
        <v>1.4151954993991709E-5</v>
      </c>
      <c r="AE1601" s="240">
        <f ca="1">IFERROR(IF(OR(Z1601="",Z1601=0),"",IF(AF1601="","",IF(AF1601="R$/mês",Z1601/OBRA!$D$12,IF(AF1601="R$/m²",Z1601/OBRA!$D$10,IF(AF1601="R$/apto",Orçamento!Z1601/OBRA!$D$11,""))))),"")</f>
        <v>5.0764963488624616E-2</v>
      </c>
      <c r="AF1601" s="241" t="s">
        <v>154</v>
      </c>
    </row>
    <row r="1602" spans="1:32" s="10" customFormat="1" ht="13.15" hidden="1" customHeight="1" outlineLevel="4" x14ac:dyDescent="0.2">
      <c r="A1602" s="227"/>
      <c r="B1602" s="228" t="s">
        <v>19</v>
      </c>
      <c r="C1602" s="229">
        <f t="shared" si="1160"/>
        <v>7</v>
      </c>
      <c r="D1602" s="227" t="str">
        <f t="shared" si="1213"/>
        <v/>
      </c>
      <c r="E1602" s="228" t="str">
        <f t="shared" ca="1" si="1214"/>
        <v>15.003.002.003</v>
      </c>
      <c r="F1602" s="230">
        <f ca="1">IF($B1602="UNIDADE CONSTRUTIVA",OFFSET(F1602,-1,0)+1,LARGE(F$10:F1601,1))</f>
        <v>2</v>
      </c>
      <c r="G1602" s="228" t="str">
        <f t="shared" ca="1" si="1215"/>
        <v xml:space="preserve">   GERENCIAMENTO EXECUTIVO</v>
      </c>
      <c r="H1602" s="230">
        <f t="shared" ca="1" si="1216"/>
        <v>15</v>
      </c>
      <c r="I1602" s="228" t="str">
        <f t="shared" ca="1" si="1217"/>
        <v xml:space="preserve">   PISOS E PAVIMENTAÇÕES</v>
      </c>
      <c r="J1602" s="230">
        <f t="shared" ca="1" si="1218"/>
        <v>3</v>
      </c>
      <c r="K1602" s="228" t="str">
        <f t="shared" ca="1" si="1219"/>
        <v xml:space="preserve">   PISOS E PAVIMENTAÇÕES - 3º  ao 7º PAVIMENTO - TIPO</v>
      </c>
      <c r="L1602" s="231">
        <f t="shared" ca="1" si="1220"/>
        <v>2</v>
      </c>
      <c r="M1602" s="228" t="str">
        <f t="shared" ca="1" si="1221"/>
        <v xml:space="preserve">   Acabamentos em Piso</v>
      </c>
      <c r="N1602" s="231">
        <f t="shared" ca="1" si="1222"/>
        <v>3</v>
      </c>
      <c r="O1602" s="228" t="str">
        <f t="shared" ca="1" si="1223"/>
        <v>Revestimento interno de piso porcelanato placa 80x80cm - áreas Externas</v>
      </c>
      <c r="P1602" s="232" t="str">
        <f>IF(S1602="","",IF(Orçamento!$B1602="INSUMO",S1602,""))</f>
        <v>REVESTIMENTO - HIT GRIS 80X80 EXT RET</v>
      </c>
      <c r="Q1602" s="244" t="str">
        <f t="shared" si="1224"/>
        <v/>
      </c>
      <c r="R1602" s="234">
        <f t="shared" ca="1" si="1225"/>
        <v>112.10000000000001</v>
      </c>
      <c r="S1602" s="233" t="s">
        <v>910</v>
      </c>
      <c r="T1602" s="242" t="str">
        <f>_xlfn.XLOOKUP(S1602,Insumos!$A$3:$A$371,Insumos!$B$3:$B$371)</f>
        <v>M2</v>
      </c>
      <c r="U1602" s="235">
        <f t="shared" ca="1" si="1227"/>
        <v>112.10000000000001</v>
      </c>
      <c r="V1602" s="320">
        <v>1.1000000000000001</v>
      </c>
      <c r="W1602" s="236">
        <f>IFERROR(IF(B1602="INSUMO",_xlfn.XLOOKUP(S1602,Insumos!A:A,Insumos!C:C),""),"Inserir Preço")</f>
        <v>60.29</v>
      </c>
      <c r="X1602" s="235">
        <f t="shared" ca="1" si="1226"/>
        <v>123.31000000000002</v>
      </c>
      <c r="Y1602" s="236">
        <f t="shared" si="1184"/>
        <v>66.319000000000003</v>
      </c>
      <c r="Z1602" s="237">
        <f t="shared" ca="1" si="1161"/>
        <v>7434.3599000000013</v>
      </c>
      <c r="AA1602" s="238"/>
      <c r="AB1602" s="233" t="str">
        <f>IF(B1602="insumo",_xlfn.XLOOKUP(S1602,Insumos!A:A,Insumos!D:D),"")</f>
        <v>Portobelo</v>
      </c>
      <c r="AC1602" s="239">
        <f t="shared" ca="1" si="1162"/>
        <v>1.0665267082347002E-3</v>
      </c>
      <c r="AE1602" s="240">
        <f ca="1">IFERROR(IF(OR(Z1602="",Z1602=0),"",IF(AF1602="","",IF(AF1602="R$/mês",Z1602/OBRA!$D$12,IF(AF1602="R$/m²",Z1602/OBRA!$D$10,IF(AF1602="R$/apto",Orçamento!Z1602/OBRA!$D$11,""))))),"")</f>
        <v>3.8257745609114728</v>
      </c>
      <c r="AF1602" s="241" t="s">
        <v>154</v>
      </c>
    </row>
    <row r="1603" spans="1:32" s="10" customFormat="1" ht="13.15" hidden="1" customHeight="1" outlineLevel="3" collapsed="1" x14ac:dyDescent="0.2">
      <c r="A1603" s="227"/>
      <c r="B1603" s="228" t="s">
        <v>3</v>
      </c>
      <c r="C1603" s="229" t="str">
        <f t="shared" si="1160"/>
        <v/>
      </c>
      <c r="D1603" s="227" t="str">
        <f t="shared" ref="D1603:D1608" ca="1" si="1228">IF(B1603="Unidade Construtiva",TEXT(F1603,"00"),IF(B1603="Célula Construtiva",TEXT(H1603,"00"),IF(B1603="Etapa",CONCATENATE(TEXT(H1603,"00"),".",TEXT(J1603,"000")),IF(B1603="Subetapa",CONCATENATE(TEXT(H1603,"00"),".",TEXT(J1603,"000"),".",TEXT(L1603,"000")),IF(B1603="Serviço",CONCATENATE(TEXT(H1603,"00"),".",TEXT(J1603,"000"),".",TEXT(L1603,"000"),".",TEXT(N1603,"000")),"")))))</f>
        <v>15.003.003</v>
      </c>
      <c r="E1603" s="228" t="str">
        <f t="shared" ref="E1603:E1608" ca="1" si="1229">IF(B1603="*","",IFERROR(IF(B1603="SERVIÇO",D1603,OFFSET(E1603,-1,0)),""))</f>
        <v>15.003.002.003</v>
      </c>
      <c r="F1603" s="230">
        <f ca="1">IF($B1603="UNIDADE CONSTRUTIVA",OFFSET(F1603,-1,0)+1,LARGE(F$10:F1602,1))</f>
        <v>2</v>
      </c>
      <c r="G1603" s="228" t="str">
        <f t="shared" ref="G1603:G1608" ca="1" si="1230">IF(B1603="*","",IF(B1603="UNIDADE CONSTRUTIVA",S1603,OFFSET(G1603,-1,0)))</f>
        <v xml:space="preserve">   GERENCIAMENTO EXECUTIVO</v>
      </c>
      <c r="H1603" s="230">
        <f t="shared" ref="H1603:H1608" ca="1" si="1231">IF(B1603="UNIDADE CONSTRUTIVA",0,IF(B1603="CÉLULA CONSTRUTIVA",OFFSET(H1603,-1,0)+1,OFFSET(H1603,-1,0)))</f>
        <v>15</v>
      </c>
      <c r="I1603" s="228" t="str">
        <f t="shared" ref="I1603:I1608" ca="1" si="1232">IF(B1603="*","",IF(B1603="CÉLULA CONSTRUTIVA",S1603,OFFSET(I1603,-1,0)))</f>
        <v xml:space="preserve">   PISOS E PAVIMENTAÇÕES</v>
      </c>
      <c r="J1603" s="230">
        <f t="shared" ref="J1603:J1608" ca="1" si="1233">IF(B1603="CÉLULA CONSTRUTIVA",0,IF(B1603="ETAPA",OFFSET(J1603,-1,0)+1,OFFSET(J1603,-1,0)))</f>
        <v>3</v>
      </c>
      <c r="K1603" s="228" t="str">
        <f t="shared" ref="K1603:K1608" ca="1" si="1234">IF(B1603="*","",IF(B1603="ETAPA",S1603,OFFSET(K1603,-1,0)))</f>
        <v xml:space="preserve">   PISOS E PAVIMENTAÇÕES - 3º  ao 7º PAVIMENTO - TIPO</v>
      </c>
      <c r="L1603" s="231">
        <f t="shared" ref="L1603:L1608" ca="1" si="1235">IF(B1603="ETAPA",0,IF(B1603="SUBETAPA",OFFSET(L1603,-1,0)+1,OFFSET(L1603,-1,0)))</f>
        <v>3</v>
      </c>
      <c r="M1603" s="228" t="str">
        <f t="shared" ref="M1603:M1608" ca="1" si="1236">IF(B1603="*","",IF(B1603="SUBETAPA",S1603,OFFSET(M1603,-1,0)))</f>
        <v xml:space="preserve">   Rodapés</v>
      </c>
      <c r="N1603" s="231">
        <f t="shared" ref="N1603:N1608" ca="1" si="1237">IF(B1603="Subetapa",0,IF(B1603="serviço",OFFSET(N1603,-1,0)+1,OFFSET(N1603,-1,0)))</f>
        <v>0</v>
      </c>
      <c r="O1603" s="228" t="str">
        <f t="shared" ref="O1603:O1608" ca="1" si="1238">IF(B1603="*","",IF(B1603="SERVIÇO",S1603,OFFSET(O1603,-1,0)))</f>
        <v>Revestimento interno de piso porcelanato placa 80x80cm - áreas Externas</v>
      </c>
      <c r="P1603" s="232" t="str">
        <f>IF(S1603="","",IF(Orçamento!$B1603="INSUMO",S1603,""))</f>
        <v/>
      </c>
      <c r="Q1603" s="244" t="str">
        <f t="shared" ref="Q1603:Q1628" si="1239">IF(B1603="","",IF(B1603="Serviço",S1603,""))</f>
        <v/>
      </c>
      <c r="R1603" s="234">
        <f t="shared" ref="R1603:R1608" ca="1" si="1240">IF(B1603="serviço",U1603,OFFSET(R1603,-1,0))</f>
        <v>112.10000000000001</v>
      </c>
      <c r="S1603" s="233" t="s">
        <v>489</v>
      </c>
      <c r="T1603" s="242" t="s">
        <v>35</v>
      </c>
      <c r="U1603" s="235" t="str">
        <f t="shared" si="1227"/>
        <v/>
      </c>
      <c r="V1603" s="320" t="s">
        <v>35</v>
      </c>
      <c r="W1603" s="236" t="str">
        <f>IFERROR(IF(B1603="INSUMO",_xlfn.XLOOKUP(S1603,Insumos!A:A,Insumos!C:C),""),"Inserir Preço")</f>
        <v/>
      </c>
      <c r="X1603" s="235" t="str">
        <f ca="1">IF(B1603="Complemento do insumo",V1603,IF(R1603="","",IF(B1603="serviço",R1603,IF(OR(B1603="insumo"),V1603*R1603,""))))</f>
        <v/>
      </c>
      <c r="Y1603" s="236" t="str">
        <f t="shared" si="1184"/>
        <v/>
      </c>
      <c r="Z1603" s="237">
        <f t="shared" ca="1" si="1161"/>
        <v>26132.562228000003</v>
      </c>
      <c r="AA1603" s="238"/>
      <c r="AB1603" s="233" t="str">
        <f>IF(B1603="insumo",_xlfn.XLOOKUP(S1603,Insumos!A:A,Insumos!D:D),"")</f>
        <v/>
      </c>
      <c r="AC1603" s="239">
        <f t="shared" ca="1" si="1162"/>
        <v>3.7489543075211224E-3</v>
      </c>
      <c r="AE1603" s="240">
        <f ca="1">IFERROR(IF(OR(Z1603="",Z1603=0),"",IF(AF1603="","",IF(AF1603="R$/mês",Z1603/OBRA!$D$12,IF(AF1603="R$/m²",Z1603/OBRA!$D$10,IF(AF1603="R$/apto",Orçamento!Z1603/OBRA!$D$11,""))))),"")</f>
        <v>13.448002669781756</v>
      </c>
      <c r="AF1603" s="241" t="s">
        <v>154</v>
      </c>
    </row>
    <row r="1604" spans="1:32" s="10" customFormat="1" ht="13.15" hidden="1" customHeight="1" outlineLevel="4" x14ac:dyDescent="0.2">
      <c r="A1604" s="227"/>
      <c r="B1604" s="228" t="s">
        <v>4</v>
      </c>
      <c r="C1604" s="229">
        <f t="shared" si="1160"/>
        <v>4</v>
      </c>
      <c r="D1604" s="227" t="str">
        <f t="shared" ca="1" si="1228"/>
        <v>15.003.003.001</v>
      </c>
      <c r="E1604" s="228" t="str">
        <f t="shared" ca="1" si="1229"/>
        <v>15.003.003.001</v>
      </c>
      <c r="F1604" s="230">
        <f ca="1">IF($B1604="UNIDADE CONSTRUTIVA",OFFSET(F1604,-1,0)+1,LARGE(F$10:F1603,1))</f>
        <v>2</v>
      </c>
      <c r="G1604" s="228" t="str">
        <f t="shared" ca="1" si="1230"/>
        <v xml:space="preserve">   GERENCIAMENTO EXECUTIVO</v>
      </c>
      <c r="H1604" s="230">
        <f t="shared" ca="1" si="1231"/>
        <v>15</v>
      </c>
      <c r="I1604" s="228" t="str">
        <f t="shared" ca="1" si="1232"/>
        <v xml:space="preserve">   PISOS E PAVIMENTAÇÕES</v>
      </c>
      <c r="J1604" s="230">
        <f t="shared" ca="1" si="1233"/>
        <v>3</v>
      </c>
      <c r="K1604" s="228" t="str">
        <f t="shared" ca="1" si="1234"/>
        <v xml:space="preserve">   PISOS E PAVIMENTAÇÕES - 3º  ao 7º PAVIMENTO - TIPO</v>
      </c>
      <c r="L1604" s="231">
        <f t="shared" ca="1" si="1235"/>
        <v>3</v>
      </c>
      <c r="M1604" s="228" t="str">
        <f t="shared" ca="1" si="1236"/>
        <v xml:space="preserve">   Rodapés</v>
      </c>
      <c r="N1604" s="231">
        <f t="shared" ca="1" si="1237"/>
        <v>1</v>
      </c>
      <c r="O1604" s="228" t="str">
        <f t="shared" ca="1" si="1238"/>
        <v>Revestimento interno de Rodapé Cerâmico h=0,07cm</v>
      </c>
      <c r="P1604" s="232" t="str">
        <f>IF(S1604="","",IF(Orçamento!$B1604="INSUMO",S1604,""))</f>
        <v/>
      </c>
      <c r="Q1604" s="244" t="str">
        <f>IF(B1604="","",IF(B1604="Serviço",S1604,""))</f>
        <v>Revestimento interno de Rodapé Cerâmico h=0,07cm</v>
      </c>
      <c r="R1604" s="234">
        <f t="shared" ca="1" si="1240"/>
        <v>103.35000000000001</v>
      </c>
      <c r="S1604" s="233" t="s">
        <v>1108</v>
      </c>
      <c r="T1604" s="242" t="s">
        <v>158</v>
      </c>
      <c r="U1604" s="235">
        <v>103.35000000000001</v>
      </c>
      <c r="V1604" s="320" t="s">
        <v>35</v>
      </c>
      <c r="W1604" s="236" t="str">
        <f>IFERROR(IF(B1604="INSUMO",_xlfn.XLOOKUP(S1604,Insumos!A:A,Insumos!C:C),""),"Inserir Preço")</f>
        <v/>
      </c>
      <c r="X1604" s="235">
        <f t="shared" ref="X1604:X1614" ca="1" si="1241">IF(B1604="Complemento do insumo",V1604,IF(R1604="","",IF(B1604="serviço",R1604,IF(OR(B1604="insumo"),V1604*R1604,""))))</f>
        <v>103.35000000000001</v>
      </c>
      <c r="Y1604" s="236">
        <f t="shared" ca="1" si="1184"/>
        <v>4.1086499999999999</v>
      </c>
      <c r="Z1604" s="237">
        <f t="shared" ca="1" si="1161"/>
        <v>424.62897750000002</v>
      </c>
      <c r="AA1604" s="238"/>
      <c r="AB1604" s="233" t="str">
        <f>IF(B1604="insumo",_xlfn.XLOOKUP(S1604,Insumos!A:A,Insumos!D:D),"")</f>
        <v/>
      </c>
      <c r="AC1604" s="239">
        <f t="shared" ca="1" si="1162"/>
        <v>6.0916898251608929E-5</v>
      </c>
      <c r="AE1604" s="240">
        <f ca="1">IFERROR(IF(OR(Z1604="",Z1604=0),"",IF(AF1604="","",IF(AF1604="R$/mês",Z1604/OBRA!$D$12,IF(AF1604="R$/m²",Z1604/OBRA!$D$10,IF(AF1604="R$/apto",Orçamento!Z1604/OBRA!$D$11,""))))),"")</f>
        <v>0.21851709653515025</v>
      </c>
      <c r="AF1604" s="241" t="s">
        <v>154</v>
      </c>
    </row>
    <row r="1605" spans="1:32" s="10" customFormat="1" ht="13.15" hidden="1" customHeight="1" outlineLevel="4" x14ac:dyDescent="0.2">
      <c r="A1605" s="227"/>
      <c r="B1605" s="228" t="s">
        <v>19</v>
      </c>
      <c r="C1605" s="229">
        <f t="shared" si="1160"/>
        <v>23</v>
      </c>
      <c r="D1605" s="227" t="str">
        <f t="shared" si="1228"/>
        <v/>
      </c>
      <c r="E1605" s="228" t="str">
        <f t="shared" ca="1" si="1229"/>
        <v>15.003.003.001</v>
      </c>
      <c r="F1605" s="230">
        <f ca="1">IF($B1605="UNIDADE CONSTRUTIVA",OFFSET(F1605,-1,0)+1,LARGE(F$10:F1604,1))</f>
        <v>2</v>
      </c>
      <c r="G1605" s="228" t="str">
        <f t="shared" ca="1" si="1230"/>
        <v xml:space="preserve">   GERENCIAMENTO EXECUTIVO</v>
      </c>
      <c r="H1605" s="230">
        <f t="shared" ca="1" si="1231"/>
        <v>15</v>
      </c>
      <c r="I1605" s="228" t="str">
        <f t="shared" ca="1" si="1232"/>
        <v xml:space="preserve">   PISOS E PAVIMENTAÇÕES</v>
      </c>
      <c r="J1605" s="230">
        <f t="shared" ca="1" si="1233"/>
        <v>3</v>
      </c>
      <c r="K1605" s="228" t="str">
        <f t="shared" ca="1" si="1234"/>
        <v xml:space="preserve">   PISOS E PAVIMENTAÇÕES - 3º  ao 7º PAVIMENTO - TIPO</v>
      </c>
      <c r="L1605" s="231">
        <f t="shared" ca="1" si="1235"/>
        <v>3</v>
      </c>
      <c r="M1605" s="228" t="str">
        <f t="shared" ca="1" si="1236"/>
        <v xml:space="preserve">   Rodapés</v>
      </c>
      <c r="N1605" s="231">
        <f t="shared" ca="1" si="1237"/>
        <v>1</v>
      </c>
      <c r="O1605" s="228" t="str">
        <f t="shared" ca="1" si="1238"/>
        <v>Revestimento interno de Rodapé Cerâmico h=0,07cm</v>
      </c>
      <c r="P1605" s="232" t="str">
        <f>IF(S1605="","",IF(Orçamento!$B1605="INSUMO",S1605,""))</f>
        <v>ARGAMASSA COLANTE AC II</v>
      </c>
      <c r="Q1605" s="244" t="str">
        <f>IF(B1605="","",IF(B1605="Serviço",S1605,""))</f>
        <v/>
      </c>
      <c r="R1605" s="234">
        <f t="shared" ca="1" si="1240"/>
        <v>103.35000000000001</v>
      </c>
      <c r="S1605" s="233" t="s">
        <v>314</v>
      </c>
      <c r="T1605" s="242" t="str">
        <f>_xlfn.XLOOKUP(S1605,Insumos!$A$3:$A$371,Insumos!$B$3:$B$371)</f>
        <v>KG</v>
      </c>
      <c r="U1605" s="235">
        <f ca="1">IF($B1605="insumo",R1605,"")</f>
        <v>103.35000000000001</v>
      </c>
      <c r="V1605" s="320">
        <f>ROUNDUP(9*0.07,4)</f>
        <v>0.63</v>
      </c>
      <c r="W1605" s="236">
        <f>IFERROR(IF(B1605="INSUMO",_xlfn.XLOOKUP(S1605,Insumos!A:A,Insumos!C:C),""),"Inserir Preço")</f>
        <v>0.84000000000000008</v>
      </c>
      <c r="X1605" s="235">
        <f t="shared" ca="1" si="1241"/>
        <v>65.110500000000002</v>
      </c>
      <c r="Y1605" s="236">
        <f t="shared" si="1184"/>
        <v>0.5292</v>
      </c>
      <c r="Z1605" s="237">
        <f t="shared" ca="1" si="1161"/>
        <v>54.692820000000005</v>
      </c>
      <c r="AA1605" s="238"/>
      <c r="AB1605" s="233" t="str">
        <f>IF(B1605="insumo",_xlfn.XLOOKUP(S1605,Insumos!A:A,Insumos!D:D),"")</f>
        <v>Argabrus</v>
      </c>
      <c r="AC1605" s="239">
        <f t="shared" ca="1" si="1162"/>
        <v>7.8461836746258364E-6</v>
      </c>
      <c r="AE1605" s="240">
        <f ca="1">IFERROR(IF(OR(Z1605="",Z1605=0),"",IF(AF1605="","",IF(AF1605="R$/mês",Z1605/OBRA!$D$12,IF(AF1605="R$/m²",Z1605/OBRA!$D$10,IF(AF1605="R$/apto",Orçamento!Z1605/OBRA!$D$11,""))))),"")</f>
        <v>2.8145314759446902E-2</v>
      </c>
      <c r="AF1605" s="241" t="s">
        <v>154</v>
      </c>
    </row>
    <row r="1606" spans="1:32" s="10" customFormat="1" ht="13.15" hidden="1" customHeight="1" outlineLevel="4" x14ac:dyDescent="0.2">
      <c r="A1606" s="227"/>
      <c r="B1606" s="228" t="s">
        <v>19</v>
      </c>
      <c r="C1606" s="229">
        <f t="shared" si="1160"/>
        <v>32</v>
      </c>
      <c r="D1606" s="227" t="str">
        <f t="shared" si="1228"/>
        <v/>
      </c>
      <c r="E1606" s="228" t="str">
        <f t="shared" ca="1" si="1229"/>
        <v>15.003.003.001</v>
      </c>
      <c r="F1606" s="230">
        <f ca="1">IF($B1606="UNIDADE CONSTRUTIVA",OFFSET(F1606,-1,0)+1,LARGE(F$10:F1605,1))</f>
        <v>2</v>
      </c>
      <c r="G1606" s="228" t="str">
        <f t="shared" ca="1" si="1230"/>
        <v xml:space="preserve">   GERENCIAMENTO EXECUTIVO</v>
      </c>
      <c r="H1606" s="230">
        <f t="shared" ca="1" si="1231"/>
        <v>15</v>
      </c>
      <c r="I1606" s="228" t="str">
        <f t="shared" ca="1" si="1232"/>
        <v xml:space="preserve">   PISOS E PAVIMENTAÇÕES</v>
      </c>
      <c r="J1606" s="230">
        <f t="shared" ca="1" si="1233"/>
        <v>3</v>
      </c>
      <c r="K1606" s="228" t="str">
        <f t="shared" ca="1" si="1234"/>
        <v xml:space="preserve">   PISOS E PAVIMENTAÇÕES - 3º  ao 7º PAVIMENTO - TIPO</v>
      </c>
      <c r="L1606" s="231">
        <f t="shared" ca="1" si="1235"/>
        <v>3</v>
      </c>
      <c r="M1606" s="228" t="str">
        <f t="shared" ca="1" si="1236"/>
        <v xml:space="preserve">   Rodapés</v>
      </c>
      <c r="N1606" s="231">
        <f t="shared" ca="1" si="1237"/>
        <v>1</v>
      </c>
      <c r="O1606" s="228" t="str">
        <f t="shared" ca="1" si="1238"/>
        <v>Revestimento interno de Rodapé Cerâmico h=0,07cm</v>
      </c>
      <c r="P1606" s="232" t="str">
        <f>IF(S1606="","",IF(Orçamento!$B1606="INSUMO",S1606,""))</f>
        <v>REJUNTE FLEXIVEL CIMENTICIO TIPO II NBR 14992</v>
      </c>
      <c r="Q1606" s="244" t="str">
        <f>IF(B1606="","",IF(B1606="Serviço",S1606,""))</f>
        <v/>
      </c>
      <c r="R1606" s="234">
        <f t="shared" ca="1" si="1240"/>
        <v>103.35000000000001</v>
      </c>
      <c r="S1606" s="233" t="s">
        <v>734</v>
      </c>
      <c r="T1606" s="242" t="str">
        <f>_xlfn.XLOOKUP(S1606,Insumos!$A$3:$A$371,Insumos!$B$3:$B$371)</f>
        <v>KG</v>
      </c>
      <c r="U1606" s="235">
        <f ca="1">IF($B1606="insumo",R1606,"")</f>
        <v>103.35000000000001</v>
      </c>
      <c r="V1606" s="320">
        <f>ROUNDUP(0.13*0.07,4)</f>
        <v>9.1000000000000004E-3</v>
      </c>
      <c r="W1606" s="236">
        <f>IFERROR(IF(B1606="INSUMO",_xlfn.XLOOKUP(S1606,Insumos!A:A,Insumos!C:C),""),"Inserir Preço")</f>
        <v>4.2</v>
      </c>
      <c r="X1606" s="235">
        <f t="shared" ca="1" si="1241"/>
        <v>0.94048500000000013</v>
      </c>
      <c r="Y1606" s="236">
        <f t="shared" si="1184"/>
        <v>3.8220000000000004E-2</v>
      </c>
      <c r="Z1606" s="237">
        <f t="shared" ca="1" si="1161"/>
        <v>3.9500370000000009</v>
      </c>
      <c r="AA1606" s="238"/>
      <c r="AB1606" s="233" t="str">
        <f>IF(B1606="insumo",_xlfn.XLOOKUP(S1606,Insumos!A:A,Insumos!D:D),"")</f>
        <v>Distribuidora Sika</v>
      </c>
      <c r="AC1606" s="239">
        <f t="shared" ca="1" si="1162"/>
        <v>5.6666882094519939E-7</v>
      </c>
      <c r="AE1606" s="240">
        <f ca="1">IFERROR(IF(OR(Z1606="",Z1606=0),"",IF(AF1606="","",IF(AF1606="R$/mês",Z1606/OBRA!$D$12,IF(AF1606="R$/m²",Z1606/OBRA!$D$10,IF(AF1606="R$/apto",Orçamento!Z1606/OBRA!$D$11,""))))),"")</f>
        <v>2.0327171770711653E-3</v>
      </c>
      <c r="AF1606" s="241" t="s">
        <v>154</v>
      </c>
    </row>
    <row r="1607" spans="1:32" s="10" customFormat="1" ht="13.15" hidden="1" customHeight="1" outlineLevel="4" x14ac:dyDescent="0.2">
      <c r="A1607" s="227"/>
      <c r="B1607" s="228" t="s">
        <v>19</v>
      </c>
      <c r="C1607" s="229">
        <f t="shared" si="1160"/>
        <v>15</v>
      </c>
      <c r="D1607" s="227" t="str">
        <f t="shared" si="1228"/>
        <v/>
      </c>
      <c r="E1607" s="228" t="str">
        <f t="shared" ca="1" si="1229"/>
        <v>15.003.003.001</v>
      </c>
      <c r="F1607" s="230">
        <f ca="1">IF($B1607="UNIDADE CONSTRUTIVA",OFFSET(F1607,-1,0)+1,LARGE(F$10:F1606,1))</f>
        <v>2</v>
      </c>
      <c r="G1607" s="228" t="str">
        <f t="shared" ca="1" si="1230"/>
        <v xml:space="preserve">   GERENCIAMENTO EXECUTIVO</v>
      </c>
      <c r="H1607" s="230">
        <f t="shared" ca="1" si="1231"/>
        <v>15</v>
      </c>
      <c r="I1607" s="228" t="str">
        <f t="shared" ca="1" si="1232"/>
        <v xml:space="preserve">   PISOS E PAVIMENTAÇÕES</v>
      </c>
      <c r="J1607" s="230">
        <f t="shared" ca="1" si="1233"/>
        <v>3</v>
      </c>
      <c r="K1607" s="228" t="str">
        <f t="shared" ca="1" si="1234"/>
        <v xml:space="preserve">   PISOS E PAVIMENTAÇÕES - 3º  ao 7º PAVIMENTO - TIPO</v>
      </c>
      <c r="L1607" s="231">
        <f t="shared" ca="1" si="1235"/>
        <v>3</v>
      </c>
      <c r="M1607" s="228" t="str">
        <f t="shared" ca="1" si="1236"/>
        <v xml:space="preserve">   Rodapés</v>
      </c>
      <c r="N1607" s="231">
        <f t="shared" ca="1" si="1237"/>
        <v>1</v>
      </c>
      <c r="O1607" s="228" t="str">
        <f t="shared" ca="1" si="1238"/>
        <v>Revestimento interno de Rodapé Cerâmico h=0,07cm</v>
      </c>
      <c r="P1607" s="232" t="str">
        <f>IF(S1607="","",IF(Orçamento!$B1607="INSUMO",S1607,""))</f>
        <v>ESPACADOR PVC JUNTA PISO 3,0MM NBR 6118</v>
      </c>
      <c r="Q1607" s="244" t="str">
        <f>IF(B1607="","",IF(B1607="Serviço",S1607,""))</f>
        <v/>
      </c>
      <c r="R1607" s="234">
        <f t="shared" ca="1" si="1240"/>
        <v>103.35000000000001</v>
      </c>
      <c r="S1607" s="233" t="s">
        <v>716</v>
      </c>
      <c r="T1607" s="242" t="str">
        <f>_xlfn.XLOOKUP(S1607,Insumos!$A$3:$A$371,Insumos!$B$3:$B$371)</f>
        <v>UN</v>
      </c>
      <c r="U1607" s="235">
        <f ca="1">IF($B1607="insumo",R1607,"")</f>
        <v>103.35000000000001</v>
      </c>
      <c r="V1607" s="320">
        <f>ROUNDUP(4*0.07,4)</f>
        <v>0.28000000000000003</v>
      </c>
      <c r="W1607" s="236">
        <f>IFERROR(IF(B1607="INSUMO",_xlfn.XLOOKUP(S1607,Insumos!A:A,Insumos!C:C),""),"Inserir Preço")</f>
        <v>0.22</v>
      </c>
      <c r="X1607" s="235">
        <f t="shared" ca="1" si="1241"/>
        <v>28.938000000000006</v>
      </c>
      <c r="Y1607" s="236">
        <f t="shared" si="1184"/>
        <v>6.1600000000000009E-2</v>
      </c>
      <c r="Z1607" s="237">
        <f t="shared" ca="1" si="1161"/>
        <v>6.3663600000000011</v>
      </c>
      <c r="AA1607" s="238"/>
      <c r="AB1607" s="233" t="str">
        <f>IF(B1607="insumo",_xlfn.XLOOKUP(S1607,Insumos!A:A,Insumos!D:D),"")</f>
        <v>Base de Dados</v>
      </c>
      <c r="AC1607" s="239">
        <f t="shared" ca="1" si="1162"/>
        <v>9.133123854061822E-7</v>
      </c>
      <c r="AE1607" s="240">
        <f ca="1">IFERROR(IF(OR(Z1607="",Z1607=0),"",IF(AF1607="","",IF(AF1607="R$/mês",Z1607/OBRA!$D$12,IF(AF1607="R$/m²",Z1607/OBRA!$D$10,IF(AF1607="R$/apto",Orçamento!Z1607/OBRA!$D$11,""))))),"")</f>
        <v>3.2761742048033433E-3</v>
      </c>
      <c r="AF1607" s="241" t="s">
        <v>154</v>
      </c>
    </row>
    <row r="1608" spans="1:32" s="10" customFormat="1" ht="13.15" hidden="1" customHeight="1" outlineLevel="4" x14ac:dyDescent="0.2">
      <c r="A1608" s="227"/>
      <c r="B1608" s="228" t="s">
        <v>19</v>
      </c>
      <c r="C1608" s="229">
        <f t="shared" si="1160"/>
        <v>13</v>
      </c>
      <c r="D1608" s="227" t="str">
        <f t="shared" si="1228"/>
        <v/>
      </c>
      <c r="E1608" s="228" t="str">
        <f t="shared" ca="1" si="1229"/>
        <v>15.003.003.001</v>
      </c>
      <c r="F1608" s="230">
        <f ca="1">IF($B1608="UNIDADE CONSTRUTIVA",OFFSET(F1608,-1,0)+1,LARGE(F$10:F1607,1))</f>
        <v>2</v>
      </c>
      <c r="G1608" s="228" t="str">
        <f t="shared" ca="1" si="1230"/>
        <v xml:space="preserve">   GERENCIAMENTO EXECUTIVO</v>
      </c>
      <c r="H1608" s="230">
        <f t="shared" ca="1" si="1231"/>
        <v>15</v>
      </c>
      <c r="I1608" s="228" t="str">
        <f t="shared" ca="1" si="1232"/>
        <v xml:space="preserve">   PISOS E PAVIMENTAÇÕES</v>
      </c>
      <c r="J1608" s="230">
        <f t="shared" ca="1" si="1233"/>
        <v>3</v>
      </c>
      <c r="K1608" s="228" t="str">
        <f t="shared" ca="1" si="1234"/>
        <v xml:space="preserve">   PISOS E PAVIMENTAÇÕES - 3º  ao 7º PAVIMENTO - TIPO</v>
      </c>
      <c r="L1608" s="231">
        <f t="shared" ca="1" si="1235"/>
        <v>3</v>
      </c>
      <c r="M1608" s="228" t="str">
        <f t="shared" ca="1" si="1236"/>
        <v xml:space="preserve">   Rodapés</v>
      </c>
      <c r="N1608" s="231">
        <f t="shared" ca="1" si="1237"/>
        <v>1</v>
      </c>
      <c r="O1608" s="228" t="str">
        <f t="shared" ca="1" si="1238"/>
        <v>Revestimento interno de Rodapé Cerâmico h=0,07cm</v>
      </c>
      <c r="P1608" s="232" t="str">
        <f>IF(S1608="","",IF(Orçamento!$B1608="INSUMO",S1608,""))</f>
        <v>REVESTIMENTO - HANGAR CHICAGO 60X60 NAT BOLD</v>
      </c>
      <c r="Q1608" s="244" t="str">
        <f>IF(B1608="","",IF(B1608="Serviço",S1608,""))</f>
        <v/>
      </c>
      <c r="R1608" s="234">
        <f t="shared" ca="1" si="1240"/>
        <v>103.35000000000001</v>
      </c>
      <c r="S1608" s="233" t="s">
        <v>912</v>
      </c>
      <c r="T1608" s="242" t="str">
        <f>_xlfn.XLOOKUP(S1608,Insumos!$A$3:$A$371,Insumos!$B$3:$B$371)</f>
        <v>M2</v>
      </c>
      <c r="U1608" s="235">
        <f ca="1">IF($B1608="insumo",R1608,"")</f>
        <v>103.35000000000001</v>
      </c>
      <c r="V1608" s="320">
        <f>ROUNDUP(1.1*0.07,4)</f>
        <v>7.6999999999999999E-2</v>
      </c>
      <c r="W1608" s="236">
        <f>IFERROR(IF(B1608="INSUMO",_xlfn.XLOOKUP(S1608,Insumos!A:A,Insumos!C:C),""),"Inserir Preço")</f>
        <v>45.19</v>
      </c>
      <c r="X1608" s="235">
        <f t="shared" ca="1" si="1241"/>
        <v>7.9579500000000003</v>
      </c>
      <c r="Y1608" s="236">
        <f t="shared" si="1184"/>
        <v>3.4796299999999998</v>
      </c>
      <c r="Z1608" s="237">
        <f t="shared" ca="1" si="1161"/>
        <v>359.61976049999998</v>
      </c>
      <c r="AA1608" s="238"/>
      <c r="AB1608" s="233" t="str">
        <f>IF(B1608="insumo",_xlfn.XLOOKUP(S1608,Insumos!A:A,Insumos!D:D),"")</f>
        <v>Portobelo</v>
      </c>
      <c r="AC1608" s="239">
        <f t="shared" ca="1" si="1162"/>
        <v>5.1590733370631705E-5</v>
      </c>
      <c r="AE1608" s="240">
        <f ca="1">IFERROR(IF(OR(Z1608="",Z1608=0),"",IF(AF1608="","",IF(AF1608="R$/mês",Z1608/OBRA!$D$12,IF(AF1608="R$/m²",Z1608/OBRA!$D$10,IF(AF1608="R$/apto",Orçamento!Z1608/OBRA!$D$11,""))))),"")</f>
        <v>0.18506289039382881</v>
      </c>
      <c r="AF1608" s="241" t="s">
        <v>154</v>
      </c>
    </row>
    <row r="1609" spans="1:32" s="10" customFormat="1" ht="13.15" hidden="1" customHeight="1" outlineLevel="4" x14ac:dyDescent="0.2">
      <c r="A1609" s="227"/>
      <c r="B1609" s="228" t="s">
        <v>4</v>
      </c>
      <c r="C1609" s="229">
        <f t="shared" si="1160"/>
        <v>3</v>
      </c>
      <c r="D1609" s="227" t="str">
        <f t="shared" ref="D1609:D1614" ca="1" si="1242">IF(B1609="Unidade Construtiva",TEXT(F1609,"00"),IF(B1609="Célula Construtiva",TEXT(H1609,"00"),IF(B1609="Etapa",CONCATENATE(TEXT(H1609,"00"),".",TEXT(J1609,"000")),IF(B1609="Subetapa",CONCATENATE(TEXT(H1609,"00"),".",TEXT(J1609,"000"),".",TEXT(L1609,"000")),IF(B1609="Serviço",CONCATENATE(TEXT(H1609,"00"),".",TEXT(J1609,"000"),".",TEXT(L1609,"000"),".",TEXT(N1609,"000")),"")))))</f>
        <v>15.003.003.002</v>
      </c>
      <c r="E1609" s="228" t="str">
        <f t="shared" ref="E1609:E1614" ca="1" si="1243">IF(B1609="*","",IFERROR(IF(B1609="SERVIÇO",D1609,OFFSET(E1609,-1,0)),""))</f>
        <v>15.003.003.002</v>
      </c>
      <c r="F1609" s="230">
        <f ca="1">IF($B1609="UNIDADE CONSTRUTIVA",OFFSET(F1609,-1,0)+1,LARGE(F$10:F1608,1))</f>
        <v>2</v>
      </c>
      <c r="G1609" s="228" t="str">
        <f t="shared" ref="G1609:G1614" ca="1" si="1244">IF(B1609="*","",IF(B1609="UNIDADE CONSTRUTIVA",S1609,OFFSET(G1609,-1,0)))</f>
        <v xml:space="preserve">   GERENCIAMENTO EXECUTIVO</v>
      </c>
      <c r="H1609" s="230">
        <f t="shared" ref="H1609:H1614" ca="1" si="1245">IF(B1609="UNIDADE CONSTRUTIVA",0,IF(B1609="CÉLULA CONSTRUTIVA",OFFSET(H1609,-1,0)+1,OFFSET(H1609,-1,0)))</f>
        <v>15</v>
      </c>
      <c r="I1609" s="228" t="str">
        <f t="shared" ref="I1609:I1614" ca="1" si="1246">IF(B1609="*","",IF(B1609="CÉLULA CONSTRUTIVA",S1609,OFFSET(I1609,-1,0)))</f>
        <v xml:space="preserve">   PISOS E PAVIMENTAÇÕES</v>
      </c>
      <c r="J1609" s="230">
        <f t="shared" ref="J1609:J1614" ca="1" si="1247">IF(B1609="CÉLULA CONSTRUTIVA",0,IF(B1609="ETAPA",OFFSET(J1609,-1,0)+1,OFFSET(J1609,-1,0)))</f>
        <v>3</v>
      </c>
      <c r="K1609" s="228" t="str">
        <f t="shared" ref="K1609:K1614" ca="1" si="1248">IF(B1609="*","",IF(B1609="ETAPA",S1609,OFFSET(K1609,-1,0)))</f>
        <v xml:space="preserve">   PISOS E PAVIMENTAÇÕES - 3º  ao 7º PAVIMENTO - TIPO</v>
      </c>
      <c r="L1609" s="231">
        <f t="shared" ref="L1609:L1614" ca="1" si="1249">IF(B1609="ETAPA",0,IF(B1609="SUBETAPA",OFFSET(L1609,-1,0)+1,OFFSET(L1609,-1,0)))</f>
        <v>3</v>
      </c>
      <c r="M1609" s="228" t="str">
        <f t="shared" ref="M1609:M1614" ca="1" si="1250">IF(B1609="*","",IF(B1609="SUBETAPA",S1609,OFFSET(M1609,-1,0)))</f>
        <v xml:space="preserve">   Rodapés</v>
      </c>
      <c r="N1609" s="231">
        <f t="shared" ref="N1609:N1614" ca="1" si="1251">IF(B1609="Subetapa",0,IF(B1609="serviço",OFFSET(N1609,-1,0)+1,OFFSET(N1609,-1,0)))</f>
        <v>2</v>
      </c>
      <c r="O1609" s="228" t="str">
        <f t="shared" ref="O1609:O1614" ca="1" si="1252">IF(B1609="*","",IF(B1609="SERVIÇO",S1609,OFFSET(O1609,-1,0)))</f>
        <v>Revestimento interno de Rodapé Porcelanato h=0,07cm</v>
      </c>
      <c r="P1609" s="232" t="str">
        <f>IF(S1609="","",IF(Orçamento!$B1609="INSUMO",S1609,""))</f>
        <v/>
      </c>
      <c r="Q1609" s="244" t="str">
        <f t="shared" ref="Q1609:Q1614" si="1253">IF(B1609="","",IF(B1609="Serviço",S1609,""))</f>
        <v>Revestimento interno de Rodapé Porcelanato h=0,07cm</v>
      </c>
      <c r="R1609" s="234">
        <f t="shared" ref="R1609:R1614" ca="1" si="1254">IF(B1609="serviço",U1609,OFFSET(R1609,-1,0))</f>
        <v>5.3500000000000005</v>
      </c>
      <c r="S1609" s="233" t="s">
        <v>1120</v>
      </c>
      <c r="T1609" s="242" t="s">
        <v>158</v>
      </c>
      <c r="U1609" s="235">
        <v>5.3500000000000005</v>
      </c>
      <c r="V1609" s="320" t="s">
        <v>35</v>
      </c>
      <c r="W1609" s="236" t="str">
        <f>IFERROR(IF(B1609="INSUMO",_xlfn.XLOOKUP(S1609,Insumos!A:A,Insumos!C:C),""),"Inserir Preço")</f>
        <v/>
      </c>
      <c r="X1609" s="235">
        <f t="shared" ca="1" si="1241"/>
        <v>5.3500000000000005</v>
      </c>
      <c r="Y1609" s="236">
        <f t="shared" ca="1" si="1184"/>
        <v>5.2993500000000004</v>
      </c>
      <c r="Z1609" s="237">
        <f t="shared" ca="1" si="1161"/>
        <v>28.351522500000005</v>
      </c>
      <c r="AA1609" s="238"/>
      <c r="AB1609" s="233" t="str">
        <f>IF(B1609="insumo",_xlfn.XLOOKUP(S1609,Insumos!A:A,Insumos!D:D),"")</f>
        <v/>
      </c>
      <c r="AC1609" s="239">
        <f t="shared" ca="1" si="1162"/>
        <v>4.0672843892541489E-6</v>
      </c>
      <c r="AE1609" s="240">
        <f ca="1">IFERROR(IF(OR(Z1609="",Z1609=0),"",IF(AF1609="","",IF(AF1609="R$/mês",Z1609/OBRA!$D$12,IF(AF1609="R$/m²",Z1609/OBRA!$D$10,IF(AF1609="R$/apto",Orçamento!Z1609/OBRA!$D$11,""))))),"")</f>
        <v>1.458989543183257E-2</v>
      </c>
      <c r="AF1609" s="241" t="s">
        <v>154</v>
      </c>
    </row>
    <row r="1610" spans="1:32" s="10" customFormat="1" ht="13.15" hidden="1" customHeight="1" outlineLevel="4" x14ac:dyDescent="0.2">
      <c r="A1610" s="227"/>
      <c r="B1610" s="228" t="s">
        <v>19</v>
      </c>
      <c r="C1610" s="229">
        <f t="shared" si="1160"/>
        <v>23</v>
      </c>
      <c r="D1610" s="227" t="str">
        <f t="shared" si="1242"/>
        <v/>
      </c>
      <c r="E1610" s="228" t="str">
        <f t="shared" ca="1" si="1243"/>
        <v>15.003.003.002</v>
      </c>
      <c r="F1610" s="230">
        <f ca="1">IF($B1610="UNIDADE CONSTRUTIVA",OFFSET(F1610,-1,0)+1,LARGE(F$10:F1609,1))</f>
        <v>2</v>
      </c>
      <c r="G1610" s="228" t="str">
        <f t="shared" ca="1" si="1244"/>
        <v xml:space="preserve">   GERENCIAMENTO EXECUTIVO</v>
      </c>
      <c r="H1610" s="230">
        <f t="shared" ca="1" si="1245"/>
        <v>15</v>
      </c>
      <c r="I1610" s="228" t="str">
        <f t="shared" ca="1" si="1246"/>
        <v xml:space="preserve">   PISOS E PAVIMENTAÇÕES</v>
      </c>
      <c r="J1610" s="230">
        <f t="shared" ca="1" si="1247"/>
        <v>3</v>
      </c>
      <c r="K1610" s="228" t="str">
        <f t="shared" ca="1" si="1248"/>
        <v xml:space="preserve">   PISOS E PAVIMENTAÇÕES - 3º  ao 7º PAVIMENTO - TIPO</v>
      </c>
      <c r="L1610" s="231">
        <f t="shared" ca="1" si="1249"/>
        <v>3</v>
      </c>
      <c r="M1610" s="228" t="str">
        <f t="shared" ca="1" si="1250"/>
        <v xml:space="preserve">   Rodapés</v>
      </c>
      <c r="N1610" s="231">
        <f t="shared" ca="1" si="1251"/>
        <v>2</v>
      </c>
      <c r="O1610" s="228" t="str">
        <f t="shared" ca="1" si="1252"/>
        <v>Revestimento interno de Rodapé Porcelanato h=0,07cm</v>
      </c>
      <c r="P1610" s="232" t="str">
        <f>IF(S1610="","",IF(Orçamento!$B1610="INSUMO",S1610,""))</f>
        <v>ARGAMASSA COLANTE AC II</v>
      </c>
      <c r="Q1610" s="244" t="str">
        <f t="shared" si="1253"/>
        <v/>
      </c>
      <c r="R1610" s="234">
        <f t="shared" ca="1" si="1254"/>
        <v>5.3500000000000005</v>
      </c>
      <c r="S1610" s="233" t="s">
        <v>314</v>
      </c>
      <c r="T1610" s="242" t="str">
        <f>_xlfn.XLOOKUP(S1610,Insumos!$A$3:$A$371,Insumos!$B$3:$B$371)</f>
        <v>KG</v>
      </c>
      <c r="U1610" s="235">
        <f ca="1">IF($B1610="insumo",R1610,"")</f>
        <v>5.3500000000000005</v>
      </c>
      <c r="V1610" s="320">
        <f>ROUNDUP(9*0.07,4)</f>
        <v>0.63</v>
      </c>
      <c r="W1610" s="236">
        <f>IFERROR(IF(B1610="INSUMO",_xlfn.XLOOKUP(S1610,Insumos!A:A,Insumos!C:C),""),"Inserir Preço")</f>
        <v>0.84000000000000008</v>
      </c>
      <c r="X1610" s="235">
        <f t="shared" ca="1" si="1241"/>
        <v>3.3705000000000003</v>
      </c>
      <c r="Y1610" s="236">
        <f t="shared" si="1184"/>
        <v>0.5292</v>
      </c>
      <c r="Z1610" s="237">
        <f t="shared" ca="1" si="1161"/>
        <v>2.8312200000000005</v>
      </c>
      <c r="AA1610" s="238"/>
      <c r="AB1610" s="233" t="str">
        <f>IF(B1610="insumo",_xlfn.XLOOKUP(S1610,Insumos!A:A,Insumos!D:D),"")</f>
        <v>Argabrus</v>
      </c>
      <c r="AC1610" s="239">
        <f t="shared" ca="1" si="1162"/>
        <v>4.0616432181178747E-7</v>
      </c>
      <c r="AE1610" s="240">
        <f ca="1">IFERROR(IF(OR(Z1610="",Z1610=0),"",IF(AF1610="","",IF(AF1610="R$/mês",Z1610/OBRA!$D$12,IF(AF1610="R$/m²",Z1610/OBRA!$D$10,IF(AF1610="R$/apto",Orçamento!Z1610/OBRA!$D$11,""))))),"")</f>
        <v>1.4569659793230861E-3</v>
      </c>
      <c r="AF1610" s="241" t="s">
        <v>154</v>
      </c>
    </row>
    <row r="1611" spans="1:32" s="10" customFormat="1" ht="13.15" hidden="1" customHeight="1" outlineLevel="4" x14ac:dyDescent="0.2">
      <c r="A1611" s="227"/>
      <c r="B1611" s="228" t="s">
        <v>19</v>
      </c>
      <c r="C1611" s="229">
        <f t="shared" si="1160"/>
        <v>32</v>
      </c>
      <c r="D1611" s="227" t="str">
        <f t="shared" si="1242"/>
        <v/>
      </c>
      <c r="E1611" s="228" t="str">
        <f t="shared" ca="1" si="1243"/>
        <v>15.003.003.002</v>
      </c>
      <c r="F1611" s="230">
        <f ca="1">IF($B1611="UNIDADE CONSTRUTIVA",OFFSET(F1611,-1,0)+1,LARGE(F$10:F1610,1))</f>
        <v>2</v>
      </c>
      <c r="G1611" s="228" t="str">
        <f t="shared" ca="1" si="1244"/>
        <v xml:space="preserve">   GERENCIAMENTO EXECUTIVO</v>
      </c>
      <c r="H1611" s="230">
        <f t="shared" ca="1" si="1245"/>
        <v>15</v>
      </c>
      <c r="I1611" s="228" t="str">
        <f t="shared" ca="1" si="1246"/>
        <v xml:space="preserve">   PISOS E PAVIMENTAÇÕES</v>
      </c>
      <c r="J1611" s="230">
        <f t="shared" ca="1" si="1247"/>
        <v>3</v>
      </c>
      <c r="K1611" s="228" t="str">
        <f t="shared" ca="1" si="1248"/>
        <v xml:space="preserve">   PISOS E PAVIMENTAÇÕES - 3º  ao 7º PAVIMENTO - TIPO</v>
      </c>
      <c r="L1611" s="231">
        <f t="shared" ca="1" si="1249"/>
        <v>3</v>
      </c>
      <c r="M1611" s="228" t="str">
        <f t="shared" ca="1" si="1250"/>
        <v xml:space="preserve">   Rodapés</v>
      </c>
      <c r="N1611" s="231">
        <f t="shared" ca="1" si="1251"/>
        <v>2</v>
      </c>
      <c r="O1611" s="228" t="str">
        <f t="shared" ca="1" si="1252"/>
        <v>Revestimento interno de Rodapé Porcelanato h=0,07cm</v>
      </c>
      <c r="P1611" s="232" t="str">
        <f>IF(S1611="","",IF(Orçamento!$B1611="INSUMO",S1611,""))</f>
        <v>REJUNTE FLEXIVEL CIMENTICIO TIPO II NBR 14992</v>
      </c>
      <c r="Q1611" s="244" t="str">
        <f t="shared" si="1253"/>
        <v/>
      </c>
      <c r="R1611" s="234">
        <f t="shared" ca="1" si="1254"/>
        <v>5.3500000000000005</v>
      </c>
      <c r="S1611" s="233" t="s">
        <v>734</v>
      </c>
      <c r="T1611" s="242" t="str">
        <f>_xlfn.XLOOKUP(S1611,Insumos!$A$3:$A$371,Insumos!$B$3:$B$371)</f>
        <v>KG</v>
      </c>
      <c r="U1611" s="235">
        <f ca="1">IF($B1611="insumo",R1611,"")</f>
        <v>5.3500000000000005</v>
      </c>
      <c r="V1611" s="320">
        <f>ROUNDUP(0.13*0.07,4)</f>
        <v>9.1000000000000004E-3</v>
      </c>
      <c r="W1611" s="236">
        <f>IFERROR(IF(B1611="INSUMO",_xlfn.XLOOKUP(S1611,Insumos!A:A,Insumos!C:C),""),"Inserir Preço")</f>
        <v>4.2</v>
      </c>
      <c r="X1611" s="235">
        <f t="shared" ca="1" si="1241"/>
        <v>4.8685000000000006E-2</v>
      </c>
      <c r="Y1611" s="236">
        <f t="shared" si="1184"/>
        <v>3.8220000000000004E-2</v>
      </c>
      <c r="Z1611" s="237">
        <f t="shared" ca="1" si="1161"/>
        <v>0.20447700000000005</v>
      </c>
      <c r="AA1611" s="238"/>
      <c r="AB1611" s="233" t="str">
        <f>IF(B1611="insumo",_xlfn.XLOOKUP(S1611,Insumos!A:A,Insumos!D:D),"")</f>
        <v>Distribuidora Sika</v>
      </c>
      <c r="AC1611" s="239">
        <f t="shared" ca="1" si="1162"/>
        <v>2.9334089908629096E-8</v>
      </c>
      <c r="AE1611" s="240">
        <f ca="1">IFERROR(IF(OR(Z1611="",Z1611=0),"",IF(AF1611="","",IF(AF1611="R$/mês",Z1611/OBRA!$D$12,IF(AF1611="R$/m²",Z1611/OBRA!$D$10,IF(AF1611="R$/apto",Orçamento!Z1611/OBRA!$D$11,""))))),"")</f>
        <v>1.0522532072888956E-4</v>
      </c>
      <c r="AF1611" s="241" t="s">
        <v>154</v>
      </c>
    </row>
    <row r="1612" spans="1:32" s="10" customFormat="1" ht="13.15" hidden="1" customHeight="1" outlineLevel="4" x14ac:dyDescent="0.2">
      <c r="A1612" s="227"/>
      <c r="B1612" s="228" t="s">
        <v>19</v>
      </c>
      <c r="C1612" s="229">
        <f t="shared" ref="C1612:C1675" si="1255">IF(B1612="INSUMO",COUNTIFS(B:B,"INSUMO",S:S,S1612),IF(B1612="SERVIÇO",COUNTIFS(B:B,"SERVIÇO",S:S,S1612),""))</f>
        <v>14</v>
      </c>
      <c r="D1612" s="227" t="str">
        <f t="shared" si="1242"/>
        <v/>
      </c>
      <c r="E1612" s="228" t="str">
        <f t="shared" ca="1" si="1243"/>
        <v>15.003.003.002</v>
      </c>
      <c r="F1612" s="230">
        <f ca="1">IF($B1612="UNIDADE CONSTRUTIVA",OFFSET(F1612,-1,0)+1,LARGE(F$10:F1611,1))</f>
        <v>2</v>
      </c>
      <c r="G1612" s="228" t="str">
        <f t="shared" ca="1" si="1244"/>
        <v xml:space="preserve">   GERENCIAMENTO EXECUTIVO</v>
      </c>
      <c r="H1612" s="230">
        <f t="shared" ca="1" si="1245"/>
        <v>15</v>
      </c>
      <c r="I1612" s="228" t="str">
        <f t="shared" ca="1" si="1246"/>
        <v xml:space="preserve">   PISOS E PAVIMENTAÇÕES</v>
      </c>
      <c r="J1612" s="230">
        <f t="shared" ca="1" si="1247"/>
        <v>3</v>
      </c>
      <c r="K1612" s="228" t="str">
        <f t="shared" ca="1" si="1248"/>
        <v xml:space="preserve">   PISOS E PAVIMENTAÇÕES - 3º  ao 7º PAVIMENTO - TIPO</v>
      </c>
      <c r="L1612" s="231">
        <f t="shared" ca="1" si="1249"/>
        <v>3</v>
      </c>
      <c r="M1612" s="228" t="str">
        <f t="shared" ca="1" si="1250"/>
        <v xml:space="preserve">   Rodapés</v>
      </c>
      <c r="N1612" s="231">
        <f t="shared" ca="1" si="1251"/>
        <v>2</v>
      </c>
      <c r="O1612" s="228" t="str">
        <f t="shared" ca="1" si="1252"/>
        <v>Revestimento interno de Rodapé Porcelanato h=0,07cm</v>
      </c>
      <c r="P1612" s="232" t="str">
        <f>IF(S1612="","",IF(Orçamento!$B1612="INSUMO",S1612,""))</f>
        <v>CUNHA PVC P/NIVELAMENTO PISO NBR 6118</v>
      </c>
      <c r="Q1612" s="244" t="str">
        <f t="shared" si="1253"/>
        <v/>
      </c>
      <c r="R1612" s="234">
        <f t="shared" ca="1" si="1254"/>
        <v>5.3500000000000005</v>
      </c>
      <c r="S1612" s="233" t="s">
        <v>717</v>
      </c>
      <c r="T1612" s="242" t="str">
        <f>_xlfn.XLOOKUP(S1612,Insumos!$A$3:$A$371,Insumos!$B$3:$B$371)</f>
        <v>UN</v>
      </c>
      <c r="U1612" s="235">
        <f ca="1">IF($B1612="insumo",R1612,"")</f>
        <v>5.3500000000000005</v>
      </c>
      <c r="V1612" s="320">
        <f>ROUNDUP(2*0.07,4)</f>
        <v>0.14000000000000001</v>
      </c>
      <c r="W1612" s="236">
        <f>IFERROR(IF(B1612="INSUMO",_xlfn.XLOOKUP(S1612,Insumos!A:A,Insumos!C:C),""),"Inserir Preço")</f>
        <v>0.2</v>
      </c>
      <c r="X1612" s="235">
        <f t="shared" ca="1" si="1241"/>
        <v>0.74900000000000011</v>
      </c>
      <c r="Y1612" s="236">
        <f t="shared" si="1184"/>
        <v>2.8000000000000004E-2</v>
      </c>
      <c r="Z1612" s="237">
        <f t="shared" ref="Z1612:Z1675" ca="1" si="1256">IFERROR(IF(B1612="Unidade Construtiva",SUMIFS(Z:Z,B:B,"Célula Construtiva",G:G,G1612),IF(B1612="célula construtiva",SUMIFS(Z:Z,B:B,"Insumo",I:I,I1612,G:G,G1612),IF(B1612="ETAPA",SUMIFS(Z:Z,B:B,"Insumo",K:K,K1612,I:I,I1612,G:G,G1612),IF(B1612="subetapa",SUMIFS(Z:Z,M:M,M1612,B:B,"insumo",K:K,K1612,I:I,I1612,G:G,G1612),IF(B1612="complemento do insumo",V1612*W1612,IF(B1612="INSUMO",R1612*V1612*W1612,X1612*Y1612)))))),"")</f>
        <v>0.14980000000000002</v>
      </c>
      <c r="AA1612" s="238"/>
      <c r="AB1612" s="233" t="str">
        <f>IF(B1612="insumo",_xlfn.XLOOKUP(S1612,Insumos!A:A,Insumos!D:D),"")</f>
        <v>Base de Dados</v>
      </c>
      <c r="AC1612" s="239">
        <f t="shared" ref="AC1612:AC1675" ca="1" si="1257">IFERROR(IF(B1612="","",Z1612/SUMIF(B:B,"INSUMO",Z:Z)),0)</f>
        <v>2.1490175757237428E-8</v>
      </c>
      <c r="AE1612" s="240">
        <f ca="1">IFERROR(IF(OR(Z1612="",Z1612=0),"",IF(AF1612="","",IF(AF1612="R$/mês",Z1612/OBRA!$D$12,IF(AF1612="R$/m²",Z1612/OBRA!$D$10,IF(AF1612="R$/apto",Orçamento!Z1612/OBRA!$D$11,""))))),"")</f>
        <v>7.7088147054131531E-5</v>
      </c>
      <c r="AF1612" s="241" t="s">
        <v>154</v>
      </c>
    </row>
    <row r="1613" spans="1:32" s="10" customFormat="1" ht="13.15" hidden="1" customHeight="1" outlineLevel="4" x14ac:dyDescent="0.2">
      <c r="A1613" s="227"/>
      <c r="B1613" s="228" t="s">
        <v>19</v>
      </c>
      <c r="C1613" s="229">
        <f t="shared" si="1255"/>
        <v>14</v>
      </c>
      <c r="D1613" s="227" t="str">
        <f t="shared" si="1242"/>
        <v/>
      </c>
      <c r="E1613" s="228" t="str">
        <f t="shared" ca="1" si="1243"/>
        <v>15.003.003.002</v>
      </c>
      <c r="F1613" s="230">
        <f ca="1">IF($B1613="UNIDADE CONSTRUTIVA",OFFSET(F1613,-1,0)+1,LARGE(F$10:F1612,1))</f>
        <v>2</v>
      </c>
      <c r="G1613" s="228" t="str">
        <f t="shared" ca="1" si="1244"/>
        <v xml:space="preserve">   GERENCIAMENTO EXECUTIVO</v>
      </c>
      <c r="H1613" s="230">
        <f t="shared" ca="1" si="1245"/>
        <v>15</v>
      </c>
      <c r="I1613" s="228" t="str">
        <f t="shared" ca="1" si="1246"/>
        <v xml:space="preserve">   PISOS E PAVIMENTAÇÕES</v>
      </c>
      <c r="J1613" s="230">
        <f t="shared" ca="1" si="1247"/>
        <v>3</v>
      </c>
      <c r="K1613" s="228" t="str">
        <f t="shared" ca="1" si="1248"/>
        <v xml:space="preserve">   PISOS E PAVIMENTAÇÕES - 3º  ao 7º PAVIMENTO - TIPO</v>
      </c>
      <c r="L1613" s="231">
        <f t="shared" ca="1" si="1249"/>
        <v>3</v>
      </c>
      <c r="M1613" s="228" t="str">
        <f t="shared" ca="1" si="1250"/>
        <v xml:space="preserve">   Rodapés</v>
      </c>
      <c r="N1613" s="231">
        <f t="shared" ca="1" si="1251"/>
        <v>2</v>
      </c>
      <c r="O1613" s="228" t="str">
        <f t="shared" ca="1" si="1252"/>
        <v>Revestimento interno de Rodapé Porcelanato h=0,07cm</v>
      </c>
      <c r="P1613" s="232" t="str">
        <f>IF(S1613="","",IF(Orçamento!$B1613="INSUMO",S1613,""))</f>
        <v>ESPACADOR PVC NIVELAMENTO REVESTIMENTO 1,0MM NBR 6118</v>
      </c>
      <c r="Q1613" s="244" t="str">
        <f t="shared" si="1253"/>
        <v/>
      </c>
      <c r="R1613" s="234">
        <f t="shared" ca="1" si="1254"/>
        <v>5.3500000000000005</v>
      </c>
      <c r="S1613" s="233" t="s">
        <v>715</v>
      </c>
      <c r="T1613" s="242" t="str">
        <f>_xlfn.XLOOKUP(S1613,Insumos!$A$3:$A$371,Insumos!$B$3:$B$371)</f>
        <v>UN</v>
      </c>
      <c r="U1613" s="235">
        <f ca="1">IF($B1613="insumo",R1613,"")</f>
        <v>5.3500000000000005</v>
      </c>
      <c r="V1613" s="320">
        <f>ROUNDUP(4*0.07,4)</f>
        <v>0.28000000000000003</v>
      </c>
      <c r="W1613" s="236">
        <f>IFERROR(IF(B1613="INSUMO",_xlfn.XLOOKUP(S1613,Insumos!A:A,Insumos!C:C),""),"Inserir Preço")</f>
        <v>0.22</v>
      </c>
      <c r="X1613" s="235">
        <f t="shared" ca="1" si="1241"/>
        <v>1.4980000000000002</v>
      </c>
      <c r="Y1613" s="236">
        <f t="shared" si="1184"/>
        <v>6.1600000000000009E-2</v>
      </c>
      <c r="Z1613" s="237">
        <f t="shared" ca="1" si="1256"/>
        <v>0.32956000000000008</v>
      </c>
      <c r="AA1613" s="238"/>
      <c r="AB1613" s="233" t="str">
        <f>IF(B1613="insumo",_xlfn.XLOOKUP(S1613,Insumos!A:A,Insumos!D:D),"")</f>
        <v>Base de Dados</v>
      </c>
      <c r="AC1613" s="239">
        <f t="shared" ca="1" si="1257"/>
        <v>4.7278386665922353E-8</v>
      </c>
      <c r="AE1613" s="240">
        <f ca="1">IFERROR(IF(OR(Z1613="",Z1613=0),"",IF(AF1613="","",IF(AF1613="R$/mês",Z1613/OBRA!$D$12,IF(AF1613="R$/m²",Z1613/OBRA!$D$10,IF(AF1613="R$/apto",Orçamento!Z1613/OBRA!$D$11,""))))),"")</f>
        <v>1.6959392351908938E-4</v>
      </c>
      <c r="AF1613" s="241" t="s">
        <v>154</v>
      </c>
    </row>
    <row r="1614" spans="1:32" s="10" customFormat="1" ht="13.15" hidden="1" customHeight="1" outlineLevel="4" x14ac:dyDescent="0.2">
      <c r="A1614" s="227"/>
      <c r="B1614" s="228" t="s">
        <v>19</v>
      </c>
      <c r="C1614" s="229">
        <f t="shared" si="1255"/>
        <v>7</v>
      </c>
      <c r="D1614" s="227" t="str">
        <f t="shared" si="1242"/>
        <v/>
      </c>
      <c r="E1614" s="228" t="str">
        <f t="shared" ca="1" si="1243"/>
        <v>15.003.003.002</v>
      </c>
      <c r="F1614" s="230">
        <f ca="1">IF($B1614="UNIDADE CONSTRUTIVA",OFFSET(F1614,-1,0)+1,LARGE(F$10:F1613,1))</f>
        <v>2</v>
      </c>
      <c r="G1614" s="228" t="str">
        <f t="shared" ca="1" si="1244"/>
        <v xml:space="preserve">   GERENCIAMENTO EXECUTIVO</v>
      </c>
      <c r="H1614" s="230">
        <f t="shared" ca="1" si="1245"/>
        <v>15</v>
      </c>
      <c r="I1614" s="228" t="str">
        <f t="shared" ca="1" si="1246"/>
        <v xml:space="preserve">   PISOS E PAVIMENTAÇÕES</v>
      </c>
      <c r="J1614" s="230">
        <f t="shared" ca="1" si="1247"/>
        <v>3</v>
      </c>
      <c r="K1614" s="228" t="str">
        <f t="shared" ca="1" si="1248"/>
        <v xml:space="preserve">   PISOS E PAVIMENTAÇÕES - 3º  ao 7º PAVIMENTO - TIPO</v>
      </c>
      <c r="L1614" s="231">
        <f t="shared" ca="1" si="1249"/>
        <v>3</v>
      </c>
      <c r="M1614" s="228" t="str">
        <f t="shared" ca="1" si="1250"/>
        <v xml:space="preserve">   Rodapés</v>
      </c>
      <c r="N1614" s="231">
        <f t="shared" ca="1" si="1251"/>
        <v>2</v>
      </c>
      <c r="O1614" s="228" t="str">
        <f t="shared" ca="1" si="1252"/>
        <v>Revestimento interno de Rodapé Porcelanato h=0,07cm</v>
      </c>
      <c r="P1614" s="232" t="str">
        <f>IF(S1614="","",IF(Orçamento!$B1614="INSUMO",S1614,""))</f>
        <v>REVESTIMENTO - HIT GRIS 80X80 EXT RET</v>
      </c>
      <c r="Q1614" s="244" t="str">
        <f t="shared" si="1253"/>
        <v/>
      </c>
      <c r="R1614" s="234">
        <f t="shared" ca="1" si="1254"/>
        <v>5.3500000000000005</v>
      </c>
      <c r="S1614" s="233" t="s">
        <v>910</v>
      </c>
      <c r="T1614" s="242" t="str">
        <f>_xlfn.XLOOKUP(S1614,Insumos!$A$3:$A$371,Insumos!$B$3:$B$371)</f>
        <v>M2</v>
      </c>
      <c r="U1614" s="235">
        <f ca="1">IF($B1614="insumo",R1614,"")</f>
        <v>5.3500000000000005</v>
      </c>
      <c r="V1614" s="320">
        <f>ROUNDUP(1.1*0.07,4)</f>
        <v>7.6999999999999999E-2</v>
      </c>
      <c r="W1614" s="236">
        <f>IFERROR(IF(B1614="INSUMO",_xlfn.XLOOKUP(S1614,Insumos!A:A,Insumos!C:C),""),"Inserir Preço")</f>
        <v>60.29</v>
      </c>
      <c r="X1614" s="235">
        <f t="shared" ca="1" si="1241"/>
        <v>0.41195000000000004</v>
      </c>
      <c r="Y1614" s="236">
        <f t="shared" si="1184"/>
        <v>4.6423300000000003</v>
      </c>
      <c r="Z1614" s="237">
        <f t="shared" ca="1" si="1256"/>
        <v>24.836465500000003</v>
      </c>
      <c r="AA1614" s="238"/>
      <c r="AB1614" s="233" t="str">
        <f>IF(B1614="insumo",_xlfn.XLOOKUP(S1614,Insumos!A:A,Insumos!D:D),"")</f>
        <v>Portobelo</v>
      </c>
      <c r="AC1614" s="239">
        <f t="shared" ca="1" si="1257"/>
        <v>3.5630174151105727E-6</v>
      </c>
      <c r="AE1614" s="240">
        <f ca="1">IFERROR(IF(OR(Z1614="",Z1614=0),"",IF(AF1614="","",IF(AF1614="R$/mês",Z1614/OBRA!$D$12,IF(AF1614="R$/m²",Z1614/OBRA!$D$10,IF(AF1614="R$/apto",Orçamento!Z1614/OBRA!$D$11,""))))),"")</f>
        <v>1.2781022061207372E-2</v>
      </c>
      <c r="AF1614" s="241" t="s">
        <v>154</v>
      </c>
    </row>
    <row r="1615" spans="1:32" s="10" customFormat="1" ht="13.15" hidden="1" customHeight="1" outlineLevel="4" x14ac:dyDescent="0.2">
      <c r="A1615" s="227"/>
      <c r="B1615" s="228" t="s">
        <v>4</v>
      </c>
      <c r="C1615" s="229">
        <f t="shared" si="1255"/>
        <v>3</v>
      </c>
      <c r="D1615" s="227" t="str">
        <f ca="1">IF(B1615="Unidade Construtiva",TEXT(F1615,"00"),IF(B1615="Célula Construtiva",TEXT(H1615,"00"),IF(B1615="Etapa",CONCATENATE(TEXT(H1615,"00"),".",TEXT(J1615,"000")),IF(B1615="Subetapa",CONCATENATE(TEXT(H1615,"00"),".",TEXT(J1615,"000"),".",TEXT(L1615,"000")),IF(B1615="Serviço",CONCATENATE(TEXT(H1615,"00"),".",TEXT(J1615,"000"),".",TEXT(L1615,"000"),".",TEXT(N1615,"000")),"")))))</f>
        <v>15.003.003.003</v>
      </c>
      <c r="E1615" s="228" t="str">
        <f ca="1">IF(B1615="*","",IFERROR(IF(B1615="SERVIÇO",D1615,OFFSET(E1615,-1,0)),""))</f>
        <v>15.003.003.003</v>
      </c>
      <c r="F1615" s="230">
        <f ca="1">IF($B1615="UNIDADE CONSTRUTIVA",OFFSET(F1615,-1,0)+1,LARGE(F$10:F1614,1))</f>
        <v>2</v>
      </c>
      <c r="G1615" s="228" t="str">
        <f ca="1">IF(B1615="*","",IF(B1615="UNIDADE CONSTRUTIVA",S1615,OFFSET(G1615,-1,0)))</f>
        <v xml:space="preserve">   GERENCIAMENTO EXECUTIVO</v>
      </c>
      <c r="H1615" s="230">
        <f ca="1">IF(B1615="UNIDADE CONSTRUTIVA",0,IF(B1615="CÉLULA CONSTRUTIVA",OFFSET(H1615,-1,0)+1,OFFSET(H1615,-1,0)))</f>
        <v>15</v>
      </c>
      <c r="I1615" s="228" t="str">
        <f ca="1">IF(B1615="*","",IF(B1615="CÉLULA CONSTRUTIVA",S1615,OFFSET(I1615,-1,0)))</f>
        <v xml:space="preserve">   PISOS E PAVIMENTAÇÕES</v>
      </c>
      <c r="J1615" s="230">
        <f ca="1">IF(B1615="CÉLULA CONSTRUTIVA",0,IF(B1615="ETAPA",OFFSET(J1615,-1,0)+1,OFFSET(J1615,-1,0)))</f>
        <v>3</v>
      </c>
      <c r="K1615" s="228" t="str">
        <f ca="1">IF(B1615="*","",IF(B1615="ETAPA",S1615,OFFSET(K1615,-1,0)))</f>
        <v xml:space="preserve">   PISOS E PAVIMENTAÇÕES - 3º  ao 7º PAVIMENTO - TIPO</v>
      </c>
      <c r="L1615" s="231">
        <f ca="1">IF(B1615="ETAPA",0,IF(B1615="SUBETAPA",OFFSET(L1615,-1,0)+1,OFFSET(L1615,-1,0)))</f>
        <v>3</v>
      </c>
      <c r="M1615" s="228" t="str">
        <f ca="1">IF(B1615="*","",IF(B1615="SUBETAPA",S1615,OFFSET(M1615,-1,0)))</f>
        <v xml:space="preserve">   Rodapés</v>
      </c>
      <c r="N1615" s="231">
        <f ca="1">IF(B1615="Subetapa",0,IF(B1615="serviço",OFFSET(N1615,-1,0)+1,OFFSET(N1615,-1,0)))</f>
        <v>3</v>
      </c>
      <c r="O1615" s="228" t="str">
        <f ca="1">IF(B1615="*","",IF(B1615="SERVIÇO",S1615,OFFSET(O1615,-1,0)))</f>
        <v>Rodape de poliestireno 10cm</v>
      </c>
      <c r="P1615" s="232" t="str">
        <f>IF(S1615="","",IF(Orçamento!$B1615="INSUMO",S1615,""))</f>
        <v/>
      </c>
      <c r="Q1615" s="244" t="str">
        <f t="shared" si="1239"/>
        <v>Rodape de poliestireno 10cm</v>
      </c>
      <c r="R1615" s="234">
        <f ca="1">IF(B1615="serviço",U1615,OFFSET(R1615,-1,0))</f>
        <v>476.8</v>
      </c>
      <c r="S1615" s="233" t="s">
        <v>490</v>
      </c>
      <c r="T1615" s="242" t="s">
        <v>158</v>
      </c>
      <c r="U1615" s="235">
        <v>476.8</v>
      </c>
      <c r="V1615" s="320" t="s">
        <v>35</v>
      </c>
      <c r="W1615" s="236" t="str">
        <f>IFERROR(IF(B1615="INSUMO",_xlfn.XLOOKUP(S1615,Insumos!A:A,Insumos!C:C),""),"Inserir Preço")</f>
        <v/>
      </c>
      <c r="X1615" s="235">
        <f ca="1">IF(B1615="Complemento do insumo",V1615,IF(R1615="","",IF(B1615="serviço",R1615,IF(OR(B1615="insumo"),V1615*R1615,""))))</f>
        <v>476.8</v>
      </c>
      <c r="Y1615" s="236">
        <f t="shared" ca="1" si="1184"/>
        <v>46.634840000000011</v>
      </c>
      <c r="Z1615" s="237">
        <f t="shared" ca="1" si="1256"/>
        <v>22235.491712000006</v>
      </c>
      <c r="AA1615" s="238"/>
      <c r="AB1615" s="233" t="str">
        <f>IF(B1615="insumo",_xlfn.XLOOKUP(S1615,Insumos!A:A,Insumos!D:D),"")</f>
        <v/>
      </c>
      <c r="AC1615" s="239">
        <f t="shared" ca="1" si="1257"/>
        <v>3.1898840116119909E-3</v>
      </c>
      <c r="AE1615" s="240">
        <f ca="1">IFERROR(IF(OR(Z1615="",Z1615=0),"",IF(AF1615="","",IF(AF1615="R$/mês",Z1615/OBRA!$D$12,IF(AF1615="R$/m²",Z1615/OBRA!$D$10,IF(AF1615="R$/apto",Orçamento!Z1615/OBRA!$D$11,""))))),"")</f>
        <v>11.442542422667417</v>
      </c>
      <c r="AF1615" s="241" t="s">
        <v>154</v>
      </c>
    </row>
    <row r="1616" spans="1:32" s="10" customFormat="1" ht="13.15" hidden="1" customHeight="1" outlineLevel="4" x14ac:dyDescent="0.2">
      <c r="A1616" s="227"/>
      <c r="B1616" s="228" t="s">
        <v>19</v>
      </c>
      <c r="C1616" s="229">
        <f t="shared" si="1255"/>
        <v>5</v>
      </c>
      <c r="D1616" s="227" t="str">
        <f>IF(B1616="Unidade Construtiva",TEXT(F1616,"00"),IF(B1616="Célula Construtiva",TEXT(H1616,"00"),IF(B1616="Etapa",CONCATENATE(TEXT(H1616,"00"),".",TEXT(J1616,"000")),IF(B1616="Subetapa",CONCATENATE(TEXT(H1616,"00"),".",TEXT(J1616,"000"),".",TEXT(L1616,"000")),IF(B1616="Serviço",CONCATENATE(TEXT(H1616,"00"),".",TEXT(J1616,"000"),".",TEXT(L1616,"000"),".",TEXT(N1616,"000")),"")))))</f>
        <v/>
      </c>
      <c r="E1616" s="228" t="str">
        <f ca="1">IF(B1616="*","",IFERROR(IF(B1616="SERVIÇO",D1616,OFFSET(E1616,-1,0)),""))</f>
        <v>15.003.003.003</v>
      </c>
      <c r="F1616" s="230">
        <f ca="1">IF($B1616="UNIDADE CONSTRUTIVA",OFFSET(F1616,-1,0)+1,LARGE(F$10:F1615,1))</f>
        <v>2</v>
      </c>
      <c r="G1616" s="228" t="str">
        <f ca="1">IF(B1616="*","",IF(B1616="UNIDADE CONSTRUTIVA",S1616,OFFSET(G1616,-1,0)))</f>
        <v xml:space="preserve">   GERENCIAMENTO EXECUTIVO</v>
      </c>
      <c r="H1616" s="230">
        <f ca="1">IF(B1616="UNIDADE CONSTRUTIVA",0,IF(B1616="CÉLULA CONSTRUTIVA",OFFSET(H1616,-1,0)+1,OFFSET(H1616,-1,0)))</f>
        <v>15</v>
      </c>
      <c r="I1616" s="228" t="str">
        <f ca="1">IF(B1616="*","",IF(B1616="CÉLULA CONSTRUTIVA",S1616,OFFSET(I1616,-1,0)))</f>
        <v xml:space="preserve">   PISOS E PAVIMENTAÇÕES</v>
      </c>
      <c r="J1616" s="230">
        <f ca="1">IF(B1616="CÉLULA CONSTRUTIVA",0,IF(B1616="ETAPA",OFFSET(J1616,-1,0)+1,OFFSET(J1616,-1,0)))</f>
        <v>3</v>
      </c>
      <c r="K1616" s="228" t="str">
        <f ca="1">IF(B1616="*","",IF(B1616="ETAPA",S1616,OFFSET(K1616,-1,0)))</f>
        <v xml:space="preserve">   PISOS E PAVIMENTAÇÕES - 3º  ao 7º PAVIMENTO - TIPO</v>
      </c>
      <c r="L1616" s="231">
        <f ca="1">IF(B1616="ETAPA",0,IF(B1616="SUBETAPA",OFFSET(L1616,-1,0)+1,OFFSET(L1616,-1,0)))</f>
        <v>3</v>
      </c>
      <c r="M1616" s="228" t="str">
        <f ca="1">IF(B1616="*","",IF(B1616="SUBETAPA",S1616,OFFSET(M1616,-1,0)))</f>
        <v xml:space="preserve">   Rodapés</v>
      </c>
      <c r="N1616" s="231">
        <f ca="1">IF(B1616="Subetapa",0,IF(B1616="serviço",OFFSET(N1616,-1,0)+1,OFFSET(N1616,-1,0)))</f>
        <v>3</v>
      </c>
      <c r="O1616" s="228" t="str">
        <f ca="1">IF(B1616="*","",IF(B1616="SERVIÇO",S1616,OFFSET(O1616,-1,0)))</f>
        <v>Rodape de poliestireno 10cm</v>
      </c>
      <c r="P1616" s="232" t="str">
        <f>IF(S1616="","",IF(Orçamento!$B1616="INSUMO",S1616,""))</f>
        <v>COLA PARA RODAPE DE POLIESTIRENO</v>
      </c>
      <c r="Q1616" s="244" t="str">
        <f t="shared" si="1239"/>
        <v/>
      </c>
      <c r="R1616" s="234">
        <f ca="1">IF(B1616="serviço",U1616,OFFSET(R1616,-1,0))</f>
        <v>476.8</v>
      </c>
      <c r="S1616" s="233" t="s">
        <v>369</v>
      </c>
      <c r="T1616" s="242" t="str">
        <f>_xlfn.XLOOKUP(S1616,Insumos!$A$3:$A$371,Insumos!$B$3:$B$371)</f>
        <v>KG</v>
      </c>
      <c r="U1616" s="235">
        <f ca="1">IF($B1616="insumo",R1616,"")</f>
        <v>476.8</v>
      </c>
      <c r="V1616" s="320">
        <v>4.6300000000000001E-2</v>
      </c>
      <c r="W1616" s="236">
        <f>IFERROR(IF(B1616="INSUMO",_xlfn.XLOOKUP(S1616,Insumos!A:A,Insumos!C:C),""),"Inserir Preço")</f>
        <v>31.8</v>
      </c>
      <c r="X1616" s="235">
        <f ca="1">IF(B1616="Complemento do insumo",V1616,IF(R1616="","",IF(B1616="serviço",R1616,IF(OR(B1616="insumo"),V1616*R1616,""))))</f>
        <v>22.075839999999999</v>
      </c>
      <c r="Y1616" s="236">
        <f t="shared" si="1184"/>
        <v>1.47234</v>
      </c>
      <c r="Z1616" s="237">
        <f t="shared" ca="1" si="1256"/>
        <v>702.01171199999999</v>
      </c>
      <c r="AA1616" s="238"/>
      <c r="AB1616" s="233" t="str">
        <f>IF(B1616="insumo",_xlfn.XLOOKUP(S1616,Insumos!A:A,Insumos!D:D),"")</f>
        <v xml:space="preserve"> </v>
      </c>
      <c r="AC1616" s="239">
        <f t="shared" ca="1" si="1257"/>
        <v>1.0070998047075529E-4</v>
      </c>
      <c r="AE1616" s="240">
        <f ca="1">IFERROR(IF(OR(Z1616="",Z1616=0),"",IF(AF1616="","",IF(AF1616="R$/mês",Z1616/OBRA!$D$12,IF(AF1616="R$/m²",Z1616/OBRA!$D$10,IF(AF1616="R$/apto",Orçamento!Z1616/OBRA!$D$11,""))))),"")</f>
        <v>0.36126022755926984</v>
      </c>
      <c r="AF1616" s="241" t="s">
        <v>154</v>
      </c>
    </row>
    <row r="1617" spans="1:32" s="10" customFormat="1" ht="13.15" hidden="1" customHeight="1" outlineLevel="4" x14ac:dyDescent="0.2">
      <c r="A1617" s="227"/>
      <c r="B1617" s="228" t="s">
        <v>19</v>
      </c>
      <c r="C1617" s="229">
        <f t="shared" si="1255"/>
        <v>5</v>
      </c>
      <c r="D1617" s="227" t="str">
        <f>IF(B1617="Unidade Construtiva",TEXT(F1617,"00"),IF(B1617="Célula Construtiva",TEXT(H1617,"00"),IF(B1617="Etapa",CONCATENATE(TEXT(H1617,"00"),".",TEXT(J1617,"000")),IF(B1617="Subetapa",CONCATENATE(TEXT(H1617,"00"),".",TEXT(J1617,"000"),".",TEXT(L1617,"000")),IF(B1617="Serviço",CONCATENATE(TEXT(H1617,"00"),".",TEXT(J1617,"000"),".",TEXT(L1617,"000"),".",TEXT(N1617,"000")),"")))))</f>
        <v/>
      </c>
      <c r="E1617" s="228" t="str">
        <f ca="1">IF(B1617="*","",IFERROR(IF(B1617="SERVIÇO",D1617,OFFSET(E1617,-1,0)),""))</f>
        <v>15.003.003.003</v>
      </c>
      <c r="F1617" s="230">
        <f ca="1">IF($B1617="UNIDADE CONSTRUTIVA",OFFSET(F1617,-1,0)+1,LARGE(F$10:F1616,1))</f>
        <v>2</v>
      </c>
      <c r="G1617" s="228" t="str">
        <f ca="1">IF(B1617="*","",IF(B1617="UNIDADE CONSTRUTIVA",S1617,OFFSET(G1617,-1,0)))</f>
        <v xml:space="preserve">   GERENCIAMENTO EXECUTIVO</v>
      </c>
      <c r="H1617" s="230">
        <f ca="1">IF(B1617="UNIDADE CONSTRUTIVA",0,IF(B1617="CÉLULA CONSTRUTIVA",OFFSET(H1617,-1,0)+1,OFFSET(H1617,-1,0)))</f>
        <v>15</v>
      </c>
      <c r="I1617" s="228" t="str">
        <f ca="1">IF(B1617="*","",IF(B1617="CÉLULA CONSTRUTIVA",S1617,OFFSET(I1617,-1,0)))</f>
        <v xml:space="preserve">   PISOS E PAVIMENTAÇÕES</v>
      </c>
      <c r="J1617" s="230">
        <f ca="1">IF(B1617="CÉLULA CONSTRUTIVA",0,IF(B1617="ETAPA",OFFSET(J1617,-1,0)+1,OFFSET(J1617,-1,0)))</f>
        <v>3</v>
      </c>
      <c r="K1617" s="228" t="str">
        <f ca="1">IF(B1617="*","",IF(B1617="ETAPA",S1617,OFFSET(K1617,-1,0)))</f>
        <v xml:space="preserve">   PISOS E PAVIMENTAÇÕES - 3º  ao 7º PAVIMENTO - TIPO</v>
      </c>
      <c r="L1617" s="231">
        <f ca="1">IF(B1617="ETAPA",0,IF(B1617="SUBETAPA",OFFSET(L1617,-1,0)+1,OFFSET(L1617,-1,0)))</f>
        <v>3</v>
      </c>
      <c r="M1617" s="228" t="str">
        <f ca="1">IF(B1617="*","",IF(B1617="SUBETAPA",S1617,OFFSET(M1617,-1,0)))</f>
        <v xml:space="preserve">   Rodapés</v>
      </c>
      <c r="N1617" s="231">
        <f ca="1">IF(B1617="Subetapa",0,IF(B1617="serviço",OFFSET(N1617,-1,0)+1,OFFSET(N1617,-1,0)))</f>
        <v>3</v>
      </c>
      <c r="O1617" s="228" t="str">
        <f ca="1">IF(B1617="*","",IF(B1617="SERVIÇO",S1617,OFFSET(O1617,-1,0)))</f>
        <v>Rodape de poliestireno 10cm</v>
      </c>
      <c r="P1617" s="232" t="str">
        <f>IF(S1617="","",IF(Orçamento!$B1617="INSUMO",S1617,""))</f>
        <v>BUCHA T PARA RODAPE</v>
      </c>
      <c r="Q1617" s="244" t="str">
        <f t="shared" si="1239"/>
        <v/>
      </c>
      <c r="R1617" s="234">
        <f ca="1">IF(B1617="serviço",U1617,OFFSET(R1617,-1,0))</f>
        <v>476.8</v>
      </c>
      <c r="S1617" s="233" t="s">
        <v>390</v>
      </c>
      <c r="T1617" s="242" t="str">
        <f>_xlfn.XLOOKUP(S1617,Insumos!$A$3:$A$371,Insumos!$B$3:$B$371)</f>
        <v>UN</v>
      </c>
      <c r="U1617" s="235">
        <f ca="1">IF($B1617="insumo",R1617,"")</f>
        <v>476.8</v>
      </c>
      <c r="V1617" s="320">
        <v>2.5</v>
      </c>
      <c r="W1617" s="236">
        <f>IFERROR(IF(B1617="INSUMO",_xlfn.XLOOKUP(S1617,Insumos!A:A,Insumos!C:C),""),"Inserir Preço")</f>
        <v>0.157</v>
      </c>
      <c r="X1617" s="235">
        <f ca="1">IF(B1617="Complemento do insumo",V1617,IF(R1617="","",IF(B1617="serviço",R1617,IF(OR(B1617="insumo"),V1617*R1617,""))))</f>
        <v>1192</v>
      </c>
      <c r="Y1617" s="236">
        <f t="shared" si="1184"/>
        <v>0.39250000000000002</v>
      </c>
      <c r="Z1617" s="237">
        <f t="shared" ca="1" si="1256"/>
        <v>187.14400000000001</v>
      </c>
      <c r="AA1617" s="238"/>
      <c r="AB1617" s="233" t="str">
        <f>IF(B1617="insumo",_xlfn.XLOOKUP(S1617,Insumos!A:A,Insumos!D:D),"")</f>
        <v xml:space="preserve"> </v>
      </c>
      <c r="AC1617" s="239">
        <f t="shared" ca="1" si="1257"/>
        <v>2.6847513030123106E-5</v>
      </c>
      <c r="AE1617" s="240">
        <f ca="1">IFERROR(IF(OR(Z1617="",Z1617=0),"",IF(AF1617="","",IF(AF1617="R$/mês",Z1617/OBRA!$D$12,IF(AF1617="R$/m²",Z1617/OBRA!$D$10,IF(AF1617="R$/apto",Orçamento!Z1617/OBRA!$D$11,""))))),"")</f>
        <v>9.6305635462606079E-2</v>
      </c>
      <c r="AF1617" s="241" t="s">
        <v>154</v>
      </c>
    </row>
    <row r="1618" spans="1:32" s="10" customFormat="1" ht="13.15" hidden="1" customHeight="1" outlineLevel="4" x14ac:dyDescent="0.2">
      <c r="A1618" s="227"/>
      <c r="B1618" s="228" t="s">
        <v>19</v>
      </c>
      <c r="C1618" s="229">
        <f t="shared" si="1255"/>
        <v>3</v>
      </c>
      <c r="D1618" s="227" t="str">
        <f>IF(B1618="Unidade Construtiva",TEXT(F1618,"00"),IF(B1618="Célula Construtiva",TEXT(H1618,"00"),IF(B1618="Etapa",CONCATENATE(TEXT(H1618,"00"),".",TEXT(J1618,"000")),IF(B1618="Subetapa",CONCATENATE(TEXT(H1618,"00"),".",TEXT(J1618,"000"),".",TEXT(L1618,"000")),IF(B1618="Serviço",CONCATENATE(TEXT(H1618,"00"),".",TEXT(J1618,"000"),".",TEXT(L1618,"000"),".",TEXT(N1618,"000")),"")))))</f>
        <v/>
      </c>
      <c r="E1618" s="228" t="str">
        <f ca="1">IF(B1618="*","",IFERROR(IF(B1618="SERVIÇO",D1618,OFFSET(E1618,-1,0)),""))</f>
        <v>15.003.003.003</v>
      </c>
      <c r="F1618" s="230">
        <f ca="1">IF($B1618="UNIDADE CONSTRUTIVA",OFFSET(F1618,-1,0)+1,LARGE(F$10:F1617,1))</f>
        <v>2</v>
      </c>
      <c r="G1618" s="228" t="str">
        <f ca="1">IF(B1618="*","",IF(B1618="UNIDADE CONSTRUTIVA",S1618,OFFSET(G1618,-1,0)))</f>
        <v xml:space="preserve">   GERENCIAMENTO EXECUTIVO</v>
      </c>
      <c r="H1618" s="230">
        <f ca="1">IF(B1618="UNIDADE CONSTRUTIVA",0,IF(B1618="CÉLULA CONSTRUTIVA",OFFSET(H1618,-1,0)+1,OFFSET(H1618,-1,0)))</f>
        <v>15</v>
      </c>
      <c r="I1618" s="228" t="str">
        <f ca="1">IF(B1618="*","",IF(B1618="CÉLULA CONSTRUTIVA",S1618,OFFSET(I1618,-1,0)))</f>
        <v xml:space="preserve">   PISOS E PAVIMENTAÇÕES</v>
      </c>
      <c r="J1618" s="230">
        <f ca="1">IF(B1618="CÉLULA CONSTRUTIVA",0,IF(B1618="ETAPA",OFFSET(J1618,-1,0)+1,OFFSET(J1618,-1,0)))</f>
        <v>3</v>
      </c>
      <c r="K1618" s="228" t="str">
        <f ca="1">IF(B1618="*","",IF(B1618="ETAPA",S1618,OFFSET(K1618,-1,0)))</f>
        <v xml:space="preserve">   PISOS E PAVIMENTAÇÕES - 3º  ao 7º PAVIMENTO - TIPO</v>
      </c>
      <c r="L1618" s="231">
        <f ca="1">IF(B1618="ETAPA",0,IF(B1618="SUBETAPA",OFFSET(L1618,-1,0)+1,OFFSET(L1618,-1,0)))</f>
        <v>3</v>
      </c>
      <c r="M1618" s="228" t="str">
        <f ca="1">IF(B1618="*","",IF(B1618="SUBETAPA",S1618,OFFSET(M1618,-1,0)))</f>
        <v xml:space="preserve">   Rodapés</v>
      </c>
      <c r="N1618" s="231">
        <f ca="1">IF(B1618="Subetapa",0,IF(B1618="serviço",OFFSET(N1618,-1,0)+1,OFFSET(N1618,-1,0)))</f>
        <v>3</v>
      </c>
      <c r="O1618" s="228" t="str">
        <f ca="1">IF(B1618="*","",IF(B1618="SERVIÇO",S1618,OFFSET(O1618,-1,0)))</f>
        <v>Rodape de poliestireno 10cm</v>
      </c>
      <c r="P1618" s="232" t="str">
        <f>IF(S1618="","",IF(Orçamento!$B1618="INSUMO",S1618,""))</f>
        <v>RODAPÉ EM POLIESTIRENO PU 10CM</v>
      </c>
      <c r="Q1618" s="244" t="str">
        <f t="shared" si="1239"/>
        <v/>
      </c>
      <c r="R1618" s="234">
        <f ca="1">IF(B1618="serviço",U1618,OFFSET(R1618,-1,0))</f>
        <v>476.8</v>
      </c>
      <c r="S1618" s="233" t="s">
        <v>281</v>
      </c>
      <c r="T1618" s="242" t="str">
        <f>_xlfn.XLOOKUP(S1618,Insumos!$A$3:$A$371,Insumos!$B$3:$B$371)</f>
        <v>M</v>
      </c>
      <c r="U1618" s="235">
        <f ca="1">IF($B1618="insumo",R1618,"")</f>
        <v>476.8</v>
      </c>
      <c r="V1618" s="320">
        <v>1.1000000000000001</v>
      </c>
      <c r="W1618" s="236">
        <f>IFERROR(IF(B1618="INSUMO",_xlfn.XLOOKUP(S1618,Insumos!A:A,Insumos!C:C),""),"Inserir Preço")</f>
        <v>40.700000000000003</v>
      </c>
      <c r="X1618" s="235">
        <f ca="1">IF(B1618="Complemento do insumo",V1618,IF(R1618="","",IF(B1618="serviço",R1618,IF(OR(B1618="insumo"),V1618*R1618,""))))</f>
        <v>524.48</v>
      </c>
      <c r="Y1618" s="236">
        <f t="shared" si="1184"/>
        <v>44.77000000000001</v>
      </c>
      <c r="Z1618" s="237">
        <f t="shared" ca="1" si="1256"/>
        <v>21346.336000000003</v>
      </c>
      <c r="AA1618" s="238"/>
      <c r="AB1618" s="233" t="str">
        <f>IF(B1618="insumo",_xlfn.XLOOKUP(S1618,Insumos!A:A,Insumos!D:D),"")</f>
        <v xml:space="preserve"> </v>
      </c>
      <c r="AC1618" s="239">
        <f t="shared" ca="1" si="1257"/>
        <v>3.0623265181111124E-3</v>
      </c>
      <c r="AE1618" s="240">
        <f ca="1">IFERROR(IF(OR(Z1618="",Z1618=0),"",IF(AF1618="","",IF(AF1618="R$/mês",Z1618/OBRA!$D$12,IF(AF1618="R$/m²",Z1618/OBRA!$D$10,IF(AF1618="R$/apto",Orçamento!Z1618/OBRA!$D$11,""))))),"")</f>
        <v>10.98497655964554</v>
      </c>
      <c r="AF1618" s="241" t="s">
        <v>154</v>
      </c>
    </row>
    <row r="1619" spans="1:32" s="10" customFormat="1" ht="13.15" hidden="1" customHeight="1" outlineLevel="4" x14ac:dyDescent="0.2">
      <c r="A1619" s="227"/>
      <c r="B1619" s="228" t="s">
        <v>4</v>
      </c>
      <c r="C1619" s="229">
        <f t="shared" si="1255"/>
        <v>2</v>
      </c>
      <c r="D1619" s="227" t="str">
        <f t="shared" ref="D1619:D1628" ca="1" si="1258">IF(B1619="Unidade Construtiva",TEXT(F1619,"00"),IF(B1619="Célula Construtiva",TEXT(H1619,"00"),IF(B1619="Etapa",CONCATENATE(TEXT(H1619,"00"),".",TEXT(J1619,"000")),IF(B1619="Subetapa",CONCATENATE(TEXT(H1619,"00"),".",TEXT(J1619,"000"),".",TEXT(L1619,"000")),IF(B1619="Serviço",CONCATENATE(TEXT(H1619,"00"),".",TEXT(J1619,"000"),".",TEXT(L1619,"000"),".",TEXT(N1619,"000")),"")))))</f>
        <v>15.003.003.004</v>
      </c>
      <c r="E1619" s="228" t="str">
        <f t="shared" ref="E1619:E1628" ca="1" si="1259">IF(B1619="*","",IFERROR(IF(B1619="SERVIÇO",D1619,OFFSET(E1619,-1,0)),""))</f>
        <v>15.003.003.004</v>
      </c>
      <c r="F1619" s="230">
        <f ca="1">IF($B1619="UNIDADE CONSTRUTIVA",OFFSET(F1619,-1,0)+1,LARGE(F$10:F1618,1))</f>
        <v>2</v>
      </c>
      <c r="G1619" s="228" t="str">
        <f t="shared" ref="G1619:G1628" ca="1" si="1260">IF(B1619="*","",IF(B1619="UNIDADE CONSTRUTIVA",S1619,OFFSET(G1619,-1,0)))</f>
        <v xml:space="preserve">   GERENCIAMENTO EXECUTIVO</v>
      </c>
      <c r="H1619" s="230">
        <f t="shared" ref="H1619:H1628" ca="1" si="1261">IF(B1619="UNIDADE CONSTRUTIVA",0,IF(B1619="CÉLULA CONSTRUTIVA",OFFSET(H1619,-1,0)+1,OFFSET(H1619,-1,0)))</f>
        <v>15</v>
      </c>
      <c r="I1619" s="228" t="str">
        <f t="shared" ref="I1619:I1628" ca="1" si="1262">IF(B1619="*","",IF(B1619="CÉLULA CONSTRUTIVA",S1619,OFFSET(I1619,-1,0)))</f>
        <v xml:space="preserve">   PISOS E PAVIMENTAÇÕES</v>
      </c>
      <c r="J1619" s="230">
        <f t="shared" ref="J1619:J1628" ca="1" si="1263">IF(B1619="CÉLULA CONSTRUTIVA",0,IF(B1619="ETAPA",OFFSET(J1619,-1,0)+1,OFFSET(J1619,-1,0)))</f>
        <v>3</v>
      </c>
      <c r="K1619" s="228" t="str">
        <f t="shared" ref="K1619:K1628" ca="1" si="1264">IF(B1619="*","",IF(B1619="ETAPA",S1619,OFFSET(K1619,-1,0)))</f>
        <v xml:space="preserve">   PISOS E PAVIMENTAÇÕES - 3º  ao 7º PAVIMENTO - TIPO</v>
      </c>
      <c r="L1619" s="231">
        <f t="shared" ref="L1619:L1628" ca="1" si="1265">IF(B1619="ETAPA",0,IF(B1619="SUBETAPA",OFFSET(L1619,-1,0)+1,OFFSET(L1619,-1,0)))</f>
        <v>3</v>
      </c>
      <c r="M1619" s="228" t="str">
        <f t="shared" ref="M1619:M1628" ca="1" si="1266">IF(B1619="*","",IF(B1619="SUBETAPA",S1619,OFFSET(M1619,-1,0)))</f>
        <v xml:space="preserve">   Rodapés</v>
      </c>
      <c r="N1619" s="231">
        <f t="shared" ref="N1619:N1628" ca="1" si="1267">IF(B1619="Subetapa",0,IF(B1619="serviço",OFFSET(N1619,-1,0)+1,OFFSET(N1619,-1,0)))</f>
        <v>4</v>
      </c>
      <c r="O1619" s="228" t="str">
        <f t="shared" ref="O1619:O1628" ca="1" si="1268">IF(B1619="*","",IF(B1619="SERVIÇO",S1619,OFFSET(O1619,-1,0)))</f>
        <v>Rodape de poliestireno 15cm</v>
      </c>
      <c r="P1619" s="232" t="str">
        <f>IF(S1619="","",IF(Orçamento!$B1619="INSUMO",S1619,""))</f>
        <v/>
      </c>
      <c r="Q1619" s="244" t="str">
        <f t="shared" si="1239"/>
        <v>Rodape de poliestireno 15cm</v>
      </c>
      <c r="R1619" s="234">
        <f t="shared" ref="R1619:R1628" ca="1" si="1269">IF(B1619="serviço",U1619,OFFSET(R1619,-1,0))</f>
        <v>49.900000000000006</v>
      </c>
      <c r="S1619" s="233" t="s">
        <v>747</v>
      </c>
      <c r="T1619" s="242" t="s">
        <v>158</v>
      </c>
      <c r="U1619" s="235">
        <v>49.900000000000006</v>
      </c>
      <c r="V1619" s="320" t="s">
        <v>35</v>
      </c>
      <c r="W1619" s="236" t="str">
        <f>IFERROR(IF(B1619="INSUMO",_xlfn.XLOOKUP(S1619,Insumos!A:A,Insumos!C:C),""),"Inserir Preço")</f>
        <v/>
      </c>
      <c r="X1619" s="235">
        <f t="shared" ref="X1619:X1628" ca="1" si="1270">IF(B1619="Complemento do insumo",V1619,IF(R1619="","",IF(B1619="serviço",R1619,IF(OR(B1619="insumo"),V1619*R1619,""))))</f>
        <v>49.900000000000006</v>
      </c>
      <c r="Y1619" s="236">
        <f t="shared" ca="1" si="1184"/>
        <v>69.019840000000016</v>
      </c>
      <c r="Z1619" s="237">
        <f t="shared" ca="1" si="1256"/>
        <v>3444.090016000001</v>
      </c>
      <c r="AA1619" s="238"/>
      <c r="AB1619" s="233" t="str">
        <f>IF(B1619="insumo",_xlfn.XLOOKUP(S1619,Insumos!A:A,Insumos!D:D),"")</f>
        <v/>
      </c>
      <c r="AC1619" s="239">
        <f t="shared" ca="1" si="1257"/>
        <v>4.9408611326826892E-4</v>
      </c>
      <c r="AE1619" s="240">
        <f ca="1">IFERROR(IF(OR(Z1619="",Z1619=0),"",IF(AF1619="","",IF(AF1619="R$/mês",Z1619/OBRA!$D$12,IF(AF1619="R$/m²",Z1619/OBRA!$D$10,IF(AF1619="R$/apto",Orçamento!Z1619/OBRA!$D$11,""))))),"")</f>
        <v>1.7723532551473582</v>
      </c>
      <c r="AF1619" s="241" t="s">
        <v>154</v>
      </c>
    </row>
    <row r="1620" spans="1:32" s="10" customFormat="1" ht="13.15" hidden="1" customHeight="1" outlineLevel="4" x14ac:dyDescent="0.2">
      <c r="A1620" s="227"/>
      <c r="B1620" s="228" t="s">
        <v>19</v>
      </c>
      <c r="C1620" s="229">
        <f t="shared" si="1255"/>
        <v>5</v>
      </c>
      <c r="D1620" s="227" t="str">
        <f t="shared" si="1258"/>
        <v/>
      </c>
      <c r="E1620" s="228" t="str">
        <f t="shared" ca="1" si="1259"/>
        <v>15.003.003.004</v>
      </c>
      <c r="F1620" s="230">
        <f ca="1">IF($B1620="UNIDADE CONSTRUTIVA",OFFSET(F1620,-1,0)+1,LARGE(F$10:F1619,1))</f>
        <v>2</v>
      </c>
      <c r="G1620" s="228" t="str">
        <f t="shared" ca="1" si="1260"/>
        <v xml:space="preserve">   GERENCIAMENTO EXECUTIVO</v>
      </c>
      <c r="H1620" s="230">
        <f t="shared" ca="1" si="1261"/>
        <v>15</v>
      </c>
      <c r="I1620" s="228" t="str">
        <f t="shared" ca="1" si="1262"/>
        <v xml:space="preserve">   PISOS E PAVIMENTAÇÕES</v>
      </c>
      <c r="J1620" s="230">
        <f t="shared" ca="1" si="1263"/>
        <v>3</v>
      </c>
      <c r="K1620" s="228" t="str">
        <f t="shared" ca="1" si="1264"/>
        <v xml:space="preserve">   PISOS E PAVIMENTAÇÕES - 3º  ao 7º PAVIMENTO - TIPO</v>
      </c>
      <c r="L1620" s="231">
        <f t="shared" ca="1" si="1265"/>
        <v>3</v>
      </c>
      <c r="M1620" s="228" t="str">
        <f t="shared" ca="1" si="1266"/>
        <v xml:space="preserve">   Rodapés</v>
      </c>
      <c r="N1620" s="231">
        <f t="shared" ca="1" si="1267"/>
        <v>4</v>
      </c>
      <c r="O1620" s="228" t="str">
        <f t="shared" ca="1" si="1268"/>
        <v>Rodape de poliestireno 15cm</v>
      </c>
      <c r="P1620" s="232" t="str">
        <f>IF(S1620="","",IF(Orçamento!$B1620="INSUMO",S1620,""))</f>
        <v>COLA PARA RODAPE DE POLIESTIRENO</v>
      </c>
      <c r="Q1620" s="244" t="str">
        <f t="shared" si="1239"/>
        <v/>
      </c>
      <c r="R1620" s="234">
        <f t="shared" ca="1" si="1269"/>
        <v>49.900000000000006</v>
      </c>
      <c r="S1620" s="233" t="s">
        <v>369</v>
      </c>
      <c r="T1620" s="242" t="str">
        <f>_xlfn.XLOOKUP(S1620,Insumos!$A$3:$A$371,Insumos!$B$3:$B$371)</f>
        <v>KG</v>
      </c>
      <c r="U1620" s="235">
        <f ca="1">IF($B1620="insumo",R1620,"")</f>
        <v>49.900000000000006</v>
      </c>
      <c r="V1620" s="320">
        <v>4.6300000000000001E-2</v>
      </c>
      <c r="W1620" s="236">
        <f>IFERROR(IF(B1620="INSUMO",_xlfn.XLOOKUP(S1620,Insumos!A:A,Insumos!C:C),""),"Inserir Preço")</f>
        <v>31.8</v>
      </c>
      <c r="X1620" s="235">
        <f t="shared" ca="1" si="1270"/>
        <v>2.3103700000000003</v>
      </c>
      <c r="Y1620" s="236">
        <f t="shared" si="1184"/>
        <v>1.47234</v>
      </c>
      <c r="Z1620" s="237">
        <f t="shared" ca="1" si="1256"/>
        <v>73.469766000000007</v>
      </c>
      <c r="AA1620" s="238"/>
      <c r="AB1620" s="233" t="str">
        <f>IF(B1620="insumo",_xlfn.XLOOKUP(S1620,Insumos!A:A,Insumos!D:D),"")</f>
        <v xml:space="preserve"> </v>
      </c>
      <c r="AC1620" s="239">
        <f t="shared" ca="1" si="1257"/>
        <v>1.0539907771582821E-5</v>
      </c>
      <c r="AE1620" s="240">
        <f ca="1">IFERROR(IF(OR(Z1620="",Z1620=0),"",IF(AF1620="","",IF(AF1620="R$/mês",Z1620/OBRA!$D$12,IF(AF1620="R$/m²",Z1620/OBRA!$D$10,IF(AF1620="R$/apto",Orçamento!Z1620/OBRA!$D$11,""))))),"")</f>
        <v>3.7808064922834665E-2</v>
      </c>
      <c r="AF1620" s="241" t="s">
        <v>154</v>
      </c>
    </row>
    <row r="1621" spans="1:32" s="10" customFormat="1" ht="13.15" hidden="1" customHeight="1" outlineLevel="4" x14ac:dyDescent="0.2">
      <c r="A1621" s="227"/>
      <c r="B1621" s="228" t="s">
        <v>19</v>
      </c>
      <c r="C1621" s="229">
        <f t="shared" si="1255"/>
        <v>5</v>
      </c>
      <c r="D1621" s="227" t="str">
        <f t="shared" si="1258"/>
        <v/>
      </c>
      <c r="E1621" s="228" t="str">
        <f t="shared" ca="1" si="1259"/>
        <v>15.003.003.004</v>
      </c>
      <c r="F1621" s="230">
        <f ca="1">IF($B1621="UNIDADE CONSTRUTIVA",OFFSET(F1621,-1,0)+1,LARGE(F$10:F1620,1))</f>
        <v>2</v>
      </c>
      <c r="G1621" s="228" t="str">
        <f t="shared" ca="1" si="1260"/>
        <v xml:space="preserve">   GERENCIAMENTO EXECUTIVO</v>
      </c>
      <c r="H1621" s="230">
        <f t="shared" ca="1" si="1261"/>
        <v>15</v>
      </c>
      <c r="I1621" s="228" t="str">
        <f t="shared" ca="1" si="1262"/>
        <v xml:space="preserve">   PISOS E PAVIMENTAÇÕES</v>
      </c>
      <c r="J1621" s="230">
        <f t="shared" ca="1" si="1263"/>
        <v>3</v>
      </c>
      <c r="K1621" s="228" t="str">
        <f t="shared" ca="1" si="1264"/>
        <v xml:space="preserve">   PISOS E PAVIMENTAÇÕES - 3º  ao 7º PAVIMENTO - TIPO</v>
      </c>
      <c r="L1621" s="231">
        <f t="shared" ca="1" si="1265"/>
        <v>3</v>
      </c>
      <c r="M1621" s="228" t="str">
        <f t="shared" ca="1" si="1266"/>
        <v xml:space="preserve">   Rodapés</v>
      </c>
      <c r="N1621" s="231">
        <f t="shared" ca="1" si="1267"/>
        <v>4</v>
      </c>
      <c r="O1621" s="228" t="str">
        <f t="shared" ca="1" si="1268"/>
        <v>Rodape de poliestireno 15cm</v>
      </c>
      <c r="P1621" s="232" t="str">
        <f>IF(S1621="","",IF(Orçamento!$B1621="INSUMO",S1621,""))</f>
        <v>BUCHA T PARA RODAPE</v>
      </c>
      <c r="Q1621" s="244" t="str">
        <f t="shared" si="1239"/>
        <v/>
      </c>
      <c r="R1621" s="234">
        <f t="shared" ca="1" si="1269"/>
        <v>49.900000000000006</v>
      </c>
      <c r="S1621" s="233" t="s">
        <v>390</v>
      </c>
      <c r="T1621" s="242" t="str">
        <f>_xlfn.XLOOKUP(S1621,Insumos!$A$3:$A$371,Insumos!$B$3:$B$371)</f>
        <v>UN</v>
      </c>
      <c r="U1621" s="235">
        <f ca="1">IF($B1621="insumo",R1621,"")</f>
        <v>49.900000000000006</v>
      </c>
      <c r="V1621" s="320">
        <v>2.5</v>
      </c>
      <c r="W1621" s="236">
        <f>IFERROR(IF(B1621="INSUMO",_xlfn.XLOOKUP(S1621,Insumos!A:A,Insumos!C:C),""),"Inserir Preço")</f>
        <v>0.157</v>
      </c>
      <c r="X1621" s="235">
        <f t="shared" ca="1" si="1270"/>
        <v>124.75000000000001</v>
      </c>
      <c r="Y1621" s="236">
        <f t="shared" si="1184"/>
        <v>0.39250000000000002</v>
      </c>
      <c r="Z1621" s="237">
        <f t="shared" ca="1" si="1256"/>
        <v>19.585750000000001</v>
      </c>
      <c r="AA1621" s="238"/>
      <c r="AB1621" s="233" t="str">
        <f>IF(B1621="insumo",_xlfn.XLOOKUP(S1621,Insumos!A:A,Insumos!D:D),"")</f>
        <v xml:space="preserve"> </v>
      </c>
      <c r="AC1621" s="239">
        <f t="shared" ca="1" si="1257"/>
        <v>2.8097544047884712E-6</v>
      </c>
      <c r="AE1621" s="240">
        <f ca="1">IFERROR(IF(OR(Z1621="",Z1621=0),"",IF(AF1621="","",IF(AF1621="R$/mês",Z1621/OBRA!$D$12,IF(AF1621="R$/m²",Z1621/OBRA!$D$10,IF(AF1621="R$/apto",Orçamento!Z1621/OBRA!$D$11,""))))),"")</f>
        <v>1.0078966463053783E-2</v>
      </c>
      <c r="AF1621" s="241" t="s">
        <v>154</v>
      </c>
    </row>
    <row r="1622" spans="1:32" s="10" customFormat="1" ht="13.15" hidden="1" customHeight="1" outlineLevel="4" x14ac:dyDescent="0.2">
      <c r="A1622" s="227"/>
      <c r="B1622" s="228" t="s">
        <v>19</v>
      </c>
      <c r="C1622" s="229">
        <f t="shared" si="1255"/>
        <v>2</v>
      </c>
      <c r="D1622" s="227" t="str">
        <f t="shared" si="1258"/>
        <v/>
      </c>
      <c r="E1622" s="228" t="str">
        <f t="shared" ca="1" si="1259"/>
        <v>15.003.003.004</v>
      </c>
      <c r="F1622" s="230">
        <f ca="1">IF($B1622="UNIDADE CONSTRUTIVA",OFFSET(F1622,-1,0)+1,LARGE(F$10:F1621,1))</f>
        <v>2</v>
      </c>
      <c r="G1622" s="228" t="str">
        <f t="shared" ca="1" si="1260"/>
        <v xml:space="preserve">   GERENCIAMENTO EXECUTIVO</v>
      </c>
      <c r="H1622" s="230">
        <f t="shared" ca="1" si="1261"/>
        <v>15</v>
      </c>
      <c r="I1622" s="228" t="str">
        <f t="shared" ca="1" si="1262"/>
        <v xml:space="preserve">   PISOS E PAVIMENTAÇÕES</v>
      </c>
      <c r="J1622" s="230">
        <f t="shared" ca="1" si="1263"/>
        <v>3</v>
      </c>
      <c r="K1622" s="228" t="str">
        <f t="shared" ca="1" si="1264"/>
        <v xml:space="preserve">   PISOS E PAVIMENTAÇÕES - 3º  ao 7º PAVIMENTO - TIPO</v>
      </c>
      <c r="L1622" s="231">
        <f t="shared" ca="1" si="1265"/>
        <v>3</v>
      </c>
      <c r="M1622" s="228" t="str">
        <f t="shared" ca="1" si="1266"/>
        <v xml:space="preserve">   Rodapés</v>
      </c>
      <c r="N1622" s="231">
        <f t="shared" ca="1" si="1267"/>
        <v>4</v>
      </c>
      <c r="O1622" s="228" t="str">
        <f t="shared" ca="1" si="1268"/>
        <v>Rodape de poliestireno 15cm</v>
      </c>
      <c r="P1622" s="232" t="str">
        <f>IF(S1622="","",IF(Orçamento!$B1622="INSUMO",S1622,""))</f>
        <v>RODAPÉ EM POLIESTIRENO PU 15CM</v>
      </c>
      <c r="Q1622" s="244" t="str">
        <f t="shared" si="1239"/>
        <v/>
      </c>
      <c r="R1622" s="234">
        <f t="shared" ca="1" si="1269"/>
        <v>49.900000000000006</v>
      </c>
      <c r="S1622" s="233" t="s">
        <v>748</v>
      </c>
      <c r="T1622" s="242" t="str">
        <f>_xlfn.XLOOKUP(S1622,Insumos!$A$3:$A$371,Insumos!$B$3:$B$371)</f>
        <v>M</v>
      </c>
      <c r="U1622" s="235">
        <f ca="1">IF($B1622="insumo",R1622,"")</f>
        <v>49.900000000000006</v>
      </c>
      <c r="V1622" s="320">
        <v>1.1000000000000001</v>
      </c>
      <c r="W1622" s="236">
        <f>IFERROR(IF(B1622="INSUMO",_xlfn.XLOOKUP(S1622,Insumos!A:A,Insumos!C:C),""),"Inserir Preço")</f>
        <v>61.050000000000004</v>
      </c>
      <c r="X1622" s="235">
        <f t="shared" ca="1" si="1270"/>
        <v>54.890000000000008</v>
      </c>
      <c r="Y1622" s="236">
        <f t="shared" si="1184"/>
        <v>67.155000000000015</v>
      </c>
      <c r="Z1622" s="237">
        <f t="shared" ca="1" si="1256"/>
        <v>3351.0345000000007</v>
      </c>
      <c r="AA1622" s="238"/>
      <c r="AB1622" s="233" t="str">
        <f>IF(B1622="insumo",_xlfn.XLOOKUP(S1622,Insumos!A:A,Insumos!D:D),"")</f>
        <v xml:space="preserve"> </v>
      </c>
      <c r="AC1622" s="239">
        <f t="shared" ca="1" si="1257"/>
        <v>4.8073645109189756E-4</v>
      </c>
      <c r="AE1622" s="240">
        <f ca="1">IFERROR(IF(OR(Z1622="",Z1622=0),"",IF(AF1622="","",IF(AF1622="R$/mês",Z1622/OBRA!$D$12,IF(AF1622="R$/m²",Z1622/OBRA!$D$10,IF(AF1622="R$/apto",Orçamento!Z1622/OBRA!$D$11,""))))),"")</f>
        <v>1.7244662237614696</v>
      </c>
      <c r="AF1622" s="241" t="s">
        <v>154</v>
      </c>
    </row>
    <row r="1623" spans="1:32" s="10" customFormat="1" ht="13.15" hidden="1" customHeight="1" outlineLevel="3" collapsed="1" x14ac:dyDescent="0.2">
      <c r="A1623" s="227"/>
      <c r="B1623" s="228" t="s">
        <v>3</v>
      </c>
      <c r="C1623" s="229" t="str">
        <f t="shared" si="1255"/>
        <v/>
      </c>
      <c r="D1623" s="227" t="str">
        <f t="shared" ca="1" si="1258"/>
        <v>15.003.004</v>
      </c>
      <c r="E1623" s="228" t="str">
        <f t="shared" ca="1" si="1259"/>
        <v>15.003.003.004</v>
      </c>
      <c r="F1623" s="230">
        <f ca="1">IF($B1623="UNIDADE CONSTRUTIVA",OFFSET(F1623,-1,0)+1,LARGE(F$10:F1622,1))</f>
        <v>2</v>
      </c>
      <c r="G1623" s="228" t="str">
        <f t="shared" ca="1" si="1260"/>
        <v xml:space="preserve">   GERENCIAMENTO EXECUTIVO</v>
      </c>
      <c r="H1623" s="230">
        <f t="shared" ca="1" si="1261"/>
        <v>15</v>
      </c>
      <c r="I1623" s="228" t="str">
        <f t="shared" ca="1" si="1262"/>
        <v xml:space="preserve">   PISOS E PAVIMENTAÇÕES</v>
      </c>
      <c r="J1623" s="230">
        <f t="shared" ca="1" si="1263"/>
        <v>3</v>
      </c>
      <c r="K1623" s="228" t="str">
        <f t="shared" ca="1" si="1264"/>
        <v xml:space="preserve">   PISOS E PAVIMENTAÇÕES - 3º  ao 7º PAVIMENTO - TIPO</v>
      </c>
      <c r="L1623" s="231">
        <f t="shared" ca="1" si="1265"/>
        <v>4</v>
      </c>
      <c r="M1623" s="228" t="str">
        <f t="shared" ca="1" si="1266"/>
        <v xml:space="preserve">   Soleiras</v>
      </c>
      <c r="N1623" s="231">
        <f t="shared" ca="1" si="1267"/>
        <v>0</v>
      </c>
      <c r="O1623" s="228" t="str">
        <f t="shared" ca="1" si="1268"/>
        <v>Rodape de poliestireno 15cm</v>
      </c>
      <c r="P1623" s="232" t="str">
        <f>IF(S1623="","",IF(Orçamento!$B1623="INSUMO",S1623,""))</f>
        <v/>
      </c>
      <c r="Q1623" s="244" t="str">
        <f t="shared" si="1239"/>
        <v/>
      </c>
      <c r="R1623" s="234">
        <f t="shared" ca="1" si="1269"/>
        <v>49.900000000000006</v>
      </c>
      <c r="S1623" s="233" t="s">
        <v>491</v>
      </c>
      <c r="T1623" s="242" t="s">
        <v>35</v>
      </c>
      <c r="U1623" s="235" t="str">
        <f>IF($B1623="insumo",R1623,"")</f>
        <v/>
      </c>
      <c r="V1623" s="320" t="s">
        <v>35</v>
      </c>
      <c r="W1623" s="236" t="str">
        <f>IFERROR(IF(B1623="INSUMO",_xlfn.XLOOKUP(S1623,Insumos!A:A,Insumos!C:C),""),"Inserir Preço")</f>
        <v/>
      </c>
      <c r="X1623" s="235" t="str">
        <f t="shared" ca="1" si="1270"/>
        <v/>
      </c>
      <c r="Y1623" s="236" t="str">
        <f t="shared" si="1184"/>
        <v/>
      </c>
      <c r="Z1623" s="237">
        <f t="shared" ca="1" si="1256"/>
        <v>8610.3809999999994</v>
      </c>
      <c r="AA1623" s="238"/>
      <c r="AB1623" s="233" t="str">
        <f>IF(B1623="insumo",_xlfn.XLOOKUP(S1623,Insumos!A:A,Insumos!D:D),"")</f>
        <v/>
      </c>
      <c r="AC1623" s="239">
        <f t="shared" ca="1" si="1257"/>
        <v>1.235237657054591E-3</v>
      </c>
      <c r="AE1623" s="240">
        <f ca="1">IFERROR(IF(OR(Z1623="",Z1623=0),"",IF(AF1623="","",IF(AF1623="R$/mês",Z1623/OBRA!$D$12,IF(AF1623="R$/m²",Z1623/OBRA!$D$10,IF(AF1623="R$/apto",Orçamento!Z1623/OBRA!$D$11,""))))),"")</f>
        <v>4.4309633959953274</v>
      </c>
      <c r="AF1623" s="241" t="s">
        <v>154</v>
      </c>
    </row>
    <row r="1624" spans="1:32" s="10" customFormat="1" ht="13.15" hidden="1" customHeight="1" outlineLevel="4" x14ac:dyDescent="0.2">
      <c r="A1624" s="227"/>
      <c r="B1624" s="228" t="s">
        <v>4</v>
      </c>
      <c r="C1624" s="229">
        <f t="shared" si="1255"/>
        <v>5</v>
      </c>
      <c r="D1624" s="227" t="str">
        <f t="shared" ca="1" si="1258"/>
        <v>15.003.004.001</v>
      </c>
      <c r="E1624" s="228" t="str">
        <f t="shared" ca="1" si="1259"/>
        <v>15.003.004.001</v>
      </c>
      <c r="F1624" s="230">
        <f ca="1">IF($B1624="UNIDADE CONSTRUTIVA",OFFSET(F1624,-1,0)+1,LARGE(F$10:F1623,1))</f>
        <v>2</v>
      </c>
      <c r="G1624" s="228" t="str">
        <f t="shared" ca="1" si="1260"/>
        <v xml:space="preserve">   GERENCIAMENTO EXECUTIVO</v>
      </c>
      <c r="H1624" s="230">
        <f t="shared" ca="1" si="1261"/>
        <v>15</v>
      </c>
      <c r="I1624" s="228" t="str">
        <f t="shared" ca="1" si="1262"/>
        <v xml:space="preserve">   PISOS E PAVIMENTAÇÕES</v>
      </c>
      <c r="J1624" s="230">
        <f t="shared" ca="1" si="1263"/>
        <v>3</v>
      </c>
      <c r="K1624" s="228" t="str">
        <f t="shared" ca="1" si="1264"/>
        <v xml:space="preserve">   PISOS E PAVIMENTAÇÕES - 3º  ao 7º PAVIMENTO - TIPO</v>
      </c>
      <c r="L1624" s="231">
        <f t="shared" ca="1" si="1265"/>
        <v>4</v>
      </c>
      <c r="M1624" s="228" t="str">
        <f t="shared" ca="1" si="1266"/>
        <v xml:space="preserve">   Soleiras</v>
      </c>
      <c r="N1624" s="231">
        <f t="shared" ca="1" si="1267"/>
        <v>1</v>
      </c>
      <c r="O1624" s="228" t="str">
        <f t="shared" ca="1" si="1268"/>
        <v>Soleira em granito, acabamento polido, espessura 2cm</v>
      </c>
      <c r="P1624" s="232" t="str">
        <f>IF(S1624="","",IF(Orçamento!$B1624="INSUMO",S1624,""))</f>
        <v/>
      </c>
      <c r="Q1624" s="244" t="str">
        <f t="shared" si="1239"/>
        <v>Soleira em granito, acabamento polido, espessura 2cm</v>
      </c>
      <c r="R1624" s="234">
        <f t="shared" ca="1" si="1269"/>
        <v>13.26</v>
      </c>
      <c r="S1624" s="233" t="s">
        <v>492</v>
      </c>
      <c r="T1624" s="242" t="s">
        <v>140</v>
      </c>
      <c r="U1624" s="235">
        <v>13.26</v>
      </c>
      <c r="V1624" s="320" t="s">
        <v>35</v>
      </c>
      <c r="W1624" s="236" t="str">
        <f>IFERROR(IF(B1624="INSUMO",_xlfn.XLOOKUP(S1624,Insumos!A:A,Insumos!C:C),""),"Inserir Preço")</f>
        <v/>
      </c>
      <c r="X1624" s="235">
        <f t="shared" ca="1" si="1270"/>
        <v>13.26</v>
      </c>
      <c r="Y1624" s="236">
        <f t="shared" ca="1" si="1184"/>
        <v>649.35</v>
      </c>
      <c r="Z1624" s="237">
        <f t="shared" ca="1" si="1256"/>
        <v>8610.3809999999994</v>
      </c>
      <c r="AA1624" s="238"/>
      <c r="AB1624" s="233" t="str">
        <f>IF(B1624="insumo",_xlfn.XLOOKUP(S1624,Insumos!A:A,Insumos!D:D),"")</f>
        <v/>
      </c>
      <c r="AC1624" s="239">
        <f t="shared" ca="1" si="1257"/>
        <v>1.235237657054591E-3</v>
      </c>
      <c r="AE1624" s="240">
        <f ca="1">IFERROR(IF(OR(Z1624="",Z1624=0),"",IF(AF1624="","",IF(AF1624="R$/mês",Z1624/OBRA!$D$12,IF(AF1624="R$/m²",Z1624/OBRA!$D$10,IF(AF1624="R$/apto",Orçamento!Z1624/OBRA!$D$11,""))))),"")</f>
        <v>4.4309633959953274</v>
      </c>
      <c r="AF1624" s="241" t="s">
        <v>154</v>
      </c>
    </row>
    <row r="1625" spans="1:32" s="10" customFormat="1" ht="13.15" hidden="1" customHeight="1" outlineLevel="4" x14ac:dyDescent="0.2">
      <c r="A1625" s="227"/>
      <c r="B1625" s="228" t="s">
        <v>19</v>
      </c>
      <c r="C1625" s="229">
        <f t="shared" si="1255"/>
        <v>16</v>
      </c>
      <c r="D1625" s="227" t="str">
        <f t="shared" si="1258"/>
        <v/>
      </c>
      <c r="E1625" s="228" t="str">
        <f t="shared" ca="1" si="1259"/>
        <v>15.003.004.001</v>
      </c>
      <c r="F1625" s="230">
        <f ca="1">IF($B1625="UNIDADE CONSTRUTIVA",OFFSET(F1625,-1,0)+1,LARGE(F$10:F1624,1))</f>
        <v>2</v>
      </c>
      <c r="G1625" s="228" t="str">
        <f t="shared" ca="1" si="1260"/>
        <v xml:space="preserve">   GERENCIAMENTO EXECUTIVO</v>
      </c>
      <c r="H1625" s="230">
        <f t="shared" ca="1" si="1261"/>
        <v>15</v>
      </c>
      <c r="I1625" s="228" t="str">
        <f t="shared" ca="1" si="1262"/>
        <v xml:space="preserve">   PISOS E PAVIMENTAÇÕES</v>
      </c>
      <c r="J1625" s="230">
        <f t="shared" ca="1" si="1263"/>
        <v>3</v>
      </c>
      <c r="K1625" s="228" t="str">
        <f t="shared" ca="1" si="1264"/>
        <v xml:space="preserve">   PISOS E PAVIMENTAÇÕES - 3º  ao 7º PAVIMENTO - TIPO</v>
      </c>
      <c r="L1625" s="231">
        <f t="shared" ca="1" si="1265"/>
        <v>4</v>
      </c>
      <c r="M1625" s="228" t="str">
        <f t="shared" ca="1" si="1266"/>
        <v xml:space="preserve">   Soleiras</v>
      </c>
      <c r="N1625" s="231">
        <f t="shared" ca="1" si="1267"/>
        <v>1</v>
      </c>
      <c r="O1625" s="228" t="str">
        <f t="shared" ca="1" si="1268"/>
        <v>Soleira em granito, acabamento polido, espessura 2cm</v>
      </c>
      <c r="P1625" s="232" t="str">
        <f>IF(S1625="","",IF(Orçamento!$B1625="INSUMO",S1625,""))</f>
        <v>ARGAMASSA COLANTE AC III</v>
      </c>
      <c r="Q1625" s="244" t="str">
        <f t="shared" si="1239"/>
        <v/>
      </c>
      <c r="R1625" s="234">
        <f t="shared" ca="1" si="1269"/>
        <v>13.26</v>
      </c>
      <c r="S1625" s="233" t="s">
        <v>357</v>
      </c>
      <c r="T1625" s="242" t="str">
        <f>_xlfn.XLOOKUP(S1625,Insumos!$A$3:$A$371,Insumos!$B$3:$B$371)</f>
        <v>KG</v>
      </c>
      <c r="U1625" s="235">
        <f ca="1">IF($B1625="insumo",R1625,"")</f>
        <v>13.26</v>
      </c>
      <c r="V1625" s="320">
        <v>10</v>
      </c>
      <c r="W1625" s="236">
        <f>IFERROR(IF(B1625="INSUMO",_xlfn.XLOOKUP(S1625,Insumos!A:A,Insumos!C:C),""),"Inserir Preço")</f>
        <v>0.92500000000000004</v>
      </c>
      <c r="X1625" s="235">
        <f t="shared" ca="1" si="1270"/>
        <v>132.6</v>
      </c>
      <c r="Y1625" s="236">
        <f t="shared" si="1184"/>
        <v>9.25</v>
      </c>
      <c r="Z1625" s="237">
        <f t="shared" ca="1" si="1256"/>
        <v>122.655</v>
      </c>
      <c r="AA1625" s="238"/>
      <c r="AB1625" s="233" t="str">
        <f>IF(B1625="insumo",_xlfn.XLOOKUP(S1625,Insumos!A:A,Insumos!D:D),"")</f>
        <v>Argabrus</v>
      </c>
      <c r="AC1625" s="239">
        <f t="shared" ca="1" si="1257"/>
        <v>1.7595978020720671E-5</v>
      </c>
      <c r="AE1625" s="240">
        <f ca="1">IFERROR(IF(OR(Z1625="",Z1625=0),"",IF(AF1625="","",IF(AF1625="R$/mês",Z1625/OBRA!$D$12,IF(AF1625="R$/m²",Z1625/OBRA!$D$10,IF(AF1625="R$/apto",Orçamento!Z1625/OBRA!$D$11,""))))),"")</f>
        <v>6.3119136695090131E-2</v>
      </c>
      <c r="AF1625" s="241" t="s">
        <v>154</v>
      </c>
    </row>
    <row r="1626" spans="1:32" s="10" customFormat="1" ht="13.15" hidden="1" customHeight="1" outlineLevel="4" x14ac:dyDescent="0.2">
      <c r="A1626" s="227"/>
      <c r="B1626" s="228" t="s">
        <v>19</v>
      </c>
      <c r="C1626" s="229">
        <f t="shared" si="1255"/>
        <v>32</v>
      </c>
      <c r="D1626" s="227" t="str">
        <f t="shared" si="1258"/>
        <v/>
      </c>
      <c r="E1626" s="228" t="str">
        <f t="shared" ca="1" si="1259"/>
        <v>15.003.004.001</v>
      </c>
      <c r="F1626" s="230">
        <f ca="1">IF($B1626="UNIDADE CONSTRUTIVA",OFFSET(F1626,-1,0)+1,LARGE(F$10:F1625,1))</f>
        <v>2</v>
      </c>
      <c r="G1626" s="228" t="str">
        <f t="shared" ca="1" si="1260"/>
        <v xml:space="preserve">   GERENCIAMENTO EXECUTIVO</v>
      </c>
      <c r="H1626" s="230">
        <f t="shared" ca="1" si="1261"/>
        <v>15</v>
      </c>
      <c r="I1626" s="228" t="str">
        <f t="shared" ca="1" si="1262"/>
        <v xml:space="preserve">   PISOS E PAVIMENTAÇÕES</v>
      </c>
      <c r="J1626" s="230">
        <f t="shared" ca="1" si="1263"/>
        <v>3</v>
      </c>
      <c r="K1626" s="228" t="str">
        <f t="shared" ca="1" si="1264"/>
        <v xml:space="preserve">   PISOS E PAVIMENTAÇÕES - 3º  ao 7º PAVIMENTO - TIPO</v>
      </c>
      <c r="L1626" s="231">
        <f t="shared" ca="1" si="1265"/>
        <v>4</v>
      </c>
      <c r="M1626" s="228" t="str">
        <f t="shared" ca="1" si="1266"/>
        <v xml:space="preserve">   Soleiras</v>
      </c>
      <c r="N1626" s="231">
        <f t="shared" ca="1" si="1267"/>
        <v>1</v>
      </c>
      <c r="O1626" s="228" t="str">
        <f t="shared" ca="1" si="1268"/>
        <v>Soleira em granito, acabamento polido, espessura 2cm</v>
      </c>
      <c r="P1626" s="232" t="str">
        <f>IF(S1626="","",IF(Orçamento!$B1626="INSUMO",S1626,""))</f>
        <v>REJUNTE FLEXIVEL CIMENTICIO TIPO II NBR 14992</v>
      </c>
      <c r="Q1626" s="244" t="str">
        <f t="shared" si="1239"/>
        <v/>
      </c>
      <c r="R1626" s="234">
        <f t="shared" ca="1" si="1269"/>
        <v>13.26</v>
      </c>
      <c r="S1626" s="233" t="s">
        <v>734</v>
      </c>
      <c r="T1626" s="242" t="str">
        <f>_xlfn.XLOOKUP(S1626,Insumos!$A$3:$A$371,Insumos!$B$3:$B$371)</f>
        <v>KG</v>
      </c>
      <c r="U1626" s="235">
        <f ca="1">IF($B1626="insumo",R1626,"")</f>
        <v>13.26</v>
      </c>
      <c r="V1626" s="320">
        <v>0.5</v>
      </c>
      <c r="W1626" s="236">
        <f>IFERROR(IF(B1626="INSUMO",_xlfn.XLOOKUP(S1626,Insumos!A:A,Insumos!C:C),""),"Inserir Preço")</f>
        <v>4.2</v>
      </c>
      <c r="X1626" s="235">
        <f t="shared" ca="1" si="1270"/>
        <v>6.63</v>
      </c>
      <c r="Y1626" s="236">
        <f t="shared" si="1184"/>
        <v>2.1</v>
      </c>
      <c r="Z1626" s="237">
        <f t="shared" ca="1" si="1256"/>
        <v>27.846</v>
      </c>
      <c r="AA1626" s="238"/>
      <c r="AB1626" s="233" t="str">
        <f>IF(B1626="insumo",_xlfn.XLOOKUP(S1626,Insumos!A:A,Insumos!D:D),"")</f>
        <v>Distribuidora Sika</v>
      </c>
      <c r="AC1626" s="239">
        <f t="shared" ca="1" si="1257"/>
        <v>3.9947625776771253E-6</v>
      </c>
      <c r="AE1626" s="240">
        <f ca="1">IFERROR(IF(OR(Z1626="",Z1626=0),"",IF(AF1626="","",IF(AF1626="R$/mês",Z1626/OBRA!$D$12,IF(AF1626="R$/m²",Z1626/OBRA!$D$10,IF(AF1626="R$/apto",Orçamento!Z1626/OBRA!$D$11,""))))),"")</f>
        <v>1.4329749952398841E-2</v>
      </c>
      <c r="AF1626" s="241" t="s">
        <v>154</v>
      </c>
    </row>
    <row r="1627" spans="1:32" s="10" customFormat="1" ht="13.15" hidden="1" customHeight="1" outlineLevel="4" x14ac:dyDescent="0.2">
      <c r="A1627" s="227"/>
      <c r="B1627" s="228" t="s">
        <v>19</v>
      </c>
      <c r="C1627" s="229">
        <f t="shared" si="1255"/>
        <v>11</v>
      </c>
      <c r="D1627" s="227" t="str">
        <f t="shared" si="1258"/>
        <v/>
      </c>
      <c r="E1627" s="228" t="str">
        <f t="shared" ca="1" si="1259"/>
        <v>15.003.004.001</v>
      </c>
      <c r="F1627" s="230">
        <f ca="1">IF($B1627="UNIDADE CONSTRUTIVA",OFFSET(F1627,-1,0)+1,LARGE(F$10:F1626,1))</f>
        <v>2</v>
      </c>
      <c r="G1627" s="228" t="str">
        <f t="shared" ca="1" si="1260"/>
        <v xml:space="preserve">   GERENCIAMENTO EXECUTIVO</v>
      </c>
      <c r="H1627" s="230">
        <f t="shared" ca="1" si="1261"/>
        <v>15</v>
      </c>
      <c r="I1627" s="228" t="str">
        <f t="shared" ca="1" si="1262"/>
        <v xml:space="preserve">   PISOS E PAVIMENTAÇÕES</v>
      </c>
      <c r="J1627" s="230">
        <f t="shared" ca="1" si="1263"/>
        <v>3</v>
      </c>
      <c r="K1627" s="228" t="str">
        <f t="shared" ca="1" si="1264"/>
        <v xml:space="preserve">   PISOS E PAVIMENTAÇÕES - 3º  ao 7º PAVIMENTO - TIPO</v>
      </c>
      <c r="L1627" s="231">
        <f t="shared" ca="1" si="1265"/>
        <v>4</v>
      </c>
      <c r="M1627" s="228" t="str">
        <f t="shared" ca="1" si="1266"/>
        <v xml:space="preserve">   Soleiras</v>
      </c>
      <c r="N1627" s="231">
        <f t="shared" ca="1" si="1267"/>
        <v>1</v>
      </c>
      <c r="O1627" s="228" t="str">
        <f t="shared" ca="1" si="1268"/>
        <v>Soleira em granito, acabamento polido, espessura 2cm</v>
      </c>
      <c r="P1627" s="232" t="str">
        <f>IF(S1627="","",IF(Orçamento!$B1627="INSUMO",S1627,""))</f>
        <v>GRANITO POLIDO</v>
      </c>
      <c r="Q1627" s="244" t="str">
        <f t="shared" si="1239"/>
        <v/>
      </c>
      <c r="R1627" s="234">
        <f t="shared" ca="1" si="1269"/>
        <v>13.26</v>
      </c>
      <c r="S1627" s="233" t="s">
        <v>286</v>
      </c>
      <c r="T1627" s="242" t="str">
        <f>_xlfn.XLOOKUP(S1627,Insumos!$A$3:$A$371,Insumos!$B$3:$B$371)</f>
        <v>M2</v>
      </c>
      <c r="U1627" s="235">
        <f ca="1">IF($B1627="insumo",R1627,"")</f>
        <v>13.26</v>
      </c>
      <c r="V1627" s="320">
        <v>1</v>
      </c>
      <c r="W1627" s="236">
        <f>IFERROR(IF(B1627="INSUMO",_xlfn.XLOOKUP(S1627,Insumos!A:A,Insumos!C:C),""),"Inserir Preço")</f>
        <v>638</v>
      </c>
      <c r="X1627" s="235">
        <f t="shared" ca="1" si="1270"/>
        <v>13.26</v>
      </c>
      <c r="Y1627" s="236">
        <f t="shared" si="1184"/>
        <v>638</v>
      </c>
      <c r="Z1627" s="237">
        <f t="shared" ca="1" si="1256"/>
        <v>8459.8799999999992</v>
      </c>
      <c r="AA1627" s="238"/>
      <c r="AB1627" s="233" t="str">
        <f>IF(B1627="insumo",_xlfn.XLOOKUP(S1627,Insumos!A:A,Insumos!D:D),"")</f>
        <v xml:space="preserve"> </v>
      </c>
      <c r="AC1627" s="239">
        <f t="shared" ca="1" si="1257"/>
        <v>1.2136469164561931E-3</v>
      </c>
      <c r="AE1627" s="240">
        <f ca="1">IFERROR(IF(OR(Z1627="",Z1627=0),"",IF(AF1627="","",IF(AF1627="R$/mês",Z1627/OBRA!$D$12,IF(AF1627="R$/m²",Z1627/OBRA!$D$10,IF(AF1627="R$/apto",Orçamento!Z1627/OBRA!$D$11,""))))),"")</f>
        <v>4.3535145093478382</v>
      </c>
      <c r="AF1627" s="241" t="s">
        <v>154</v>
      </c>
    </row>
    <row r="1628" spans="1:32" s="10" customFormat="1" ht="13.15" hidden="1" customHeight="1" outlineLevel="3" collapsed="1" x14ac:dyDescent="0.2">
      <c r="A1628" s="227"/>
      <c r="B1628" s="228" t="s">
        <v>3</v>
      </c>
      <c r="C1628" s="229" t="str">
        <f t="shared" si="1255"/>
        <v/>
      </c>
      <c r="D1628" s="227" t="str">
        <f t="shared" ca="1" si="1258"/>
        <v>15.003.005</v>
      </c>
      <c r="E1628" s="228" t="str">
        <f t="shared" ca="1" si="1259"/>
        <v>15.003.004.001</v>
      </c>
      <c r="F1628" s="230">
        <f ca="1">IF($B1628="UNIDADE CONSTRUTIVA",OFFSET(F1628,-1,0)+1,LARGE(F$10:F1627,1))</f>
        <v>2</v>
      </c>
      <c r="G1628" s="228" t="str">
        <f t="shared" ca="1" si="1260"/>
        <v xml:space="preserve">   GERENCIAMENTO EXECUTIVO</v>
      </c>
      <c r="H1628" s="230">
        <f t="shared" ca="1" si="1261"/>
        <v>15</v>
      </c>
      <c r="I1628" s="228" t="str">
        <f t="shared" ca="1" si="1262"/>
        <v xml:space="preserve">   PISOS E PAVIMENTAÇÕES</v>
      </c>
      <c r="J1628" s="230">
        <f t="shared" ca="1" si="1263"/>
        <v>3</v>
      </c>
      <c r="K1628" s="228" t="str">
        <f t="shared" ca="1" si="1264"/>
        <v xml:space="preserve">   PISOS E PAVIMENTAÇÕES - 3º  ao 7º PAVIMENTO - TIPO</v>
      </c>
      <c r="L1628" s="231">
        <f t="shared" ca="1" si="1265"/>
        <v>5</v>
      </c>
      <c r="M1628" s="228" t="str">
        <f t="shared" ca="1" si="1266"/>
        <v xml:space="preserve">   Mão de Obra</v>
      </c>
      <c r="N1628" s="231">
        <f t="shared" ca="1" si="1267"/>
        <v>0</v>
      </c>
      <c r="O1628" s="228" t="str">
        <f t="shared" ca="1" si="1268"/>
        <v>Soleira em granito, acabamento polido, espessura 2cm</v>
      </c>
      <c r="P1628" s="232" t="str">
        <f>IF(S1628="","",IF(Orçamento!$B1628="INSUMO",S1628,""))</f>
        <v/>
      </c>
      <c r="Q1628" s="244" t="str">
        <f t="shared" si="1239"/>
        <v/>
      </c>
      <c r="R1628" s="234">
        <f t="shared" ca="1" si="1269"/>
        <v>13.26</v>
      </c>
      <c r="S1628" s="233" t="s">
        <v>438</v>
      </c>
      <c r="T1628" s="242" t="s">
        <v>35</v>
      </c>
      <c r="U1628" s="235" t="str">
        <f>IF($B1628="insumo",R1628,"")</f>
        <v/>
      </c>
      <c r="V1628" s="320" t="s">
        <v>35</v>
      </c>
      <c r="W1628" s="236" t="str">
        <f>IFERROR(IF(B1628="INSUMO",_xlfn.XLOOKUP(S1628,Insumos!A:A,Insumos!C:C),""),"Inserir Preço")</f>
        <v/>
      </c>
      <c r="X1628" s="235" t="str">
        <f t="shared" ca="1" si="1270"/>
        <v/>
      </c>
      <c r="Y1628" s="236" t="str">
        <f t="shared" si="1184"/>
        <v/>
      </c>
      <c r="Z1628" s="237">
        <f t="shared" ca="1" si="1256"/>
        <v>101650.87533704985</v>
      </c>
      <c r="AA1628" s="238"/>
      <c r="AB1628" s="233" t="str">
        <f>IF(B1628="insumo",_xlfn.XLOOKUP(S1628,Insumos!A:A,Insumos!D:D),"")</f>
        <v/>
      </c>
      <c r="AC1628" s="239">
        <f t="shared" ca="1" si="1257"/>
        <v>1.458274483892011E-2</v>
      </c>
      <c r="AE1628" s="240">
        <f ca="1">IFERROR(IF(OR(Z1628="",Z1628=0),"",IF(AF1628="","",IF(AF1628="R$/mês",Z1628/OBRA!$D$12,IF(AF1628="R$/m²",Z1628/OBRA!$D$10,IF(AF1628="R$/apto",Orçamento!Z1628/OBRA!$D$11,""))))),"")</f>
        <v>52.310264527127437</v>
      </c>
      <c r="AF1628" s="241" t="s">
        <v>154</v>
      </c>
    </row>
    <row r="1629" spans="1:32" s="10" customFormat="1" ht="13.15" hidden="1" customHeight="1" outlineLevel="4" x14ac:dyDescent="0.2">
      <c r="A1629" s="227"/>
      <c r="B1629" s="228" t="s">
        <v>4</v>
      </c>
      <c r="C1629" s="229">
        <f t="shared" si="1255"/>
        <v>5</v>
      </c>
      <c r="D1629" s="227" t="str">
        <f t="shared" ref="D1629:D1636" ca="1" si="1271">IF(B1629="Unidade Construtiva",TEXT(F1629,"00"),IF(B1629="Célula Construtiva",TEXT(H1629,"00"),IF(B1629="Etapa",CONCATENATE(TEXT(H1629,"00"),".",TEXT(J1629,"000")),IF(B1629="Subetapa",CONCATENATE(TEXT(H1629,"00"),".",TEXT(J1629,"000"),".",TEXT(L1629,"000")),IF(B1629="Serviço",CONCATENATE(TEXT(H1629,"00"),".",TEXT(J1629,"000"),".",TEXT(L1629,"000"),".",TEXT(N1629,"000")),"")))))</f>
        <v>15.003.005.001</v>
      </c>
      <c r="E1629" s="228" t="str">
        <f t="shared" ref="E1629:E1636" ca="1" si="1272">IF(B1629="*","",IFERROR(IF(B1629="SERVIÇO",D1629,OFFSET(E1629,-1,0)),""))</f>
        <v>15.003.005.001</v>
      </c>
      <c r="F1629" s="230">
        <f ca="1">IF($B1629="UNIDADE CONSTRUTIVA",OFFSET(F1629,-1,0)+1,LARGE(F$10:F1628,1))</f>
        <v>2</v>
      </c>
      <c r="G1629" s="228" t="str">
        <f t="shared" ref="G1629:G1636" ca="1" si="1273">IF(B1629="*","",IF(B1629="UNIDADE CONSTRUTIVA",S1629,OFFSET(G1629,-1,0)))</f>
        <v xml:space="preserve">   GERENCIAMENTO EXECUTIVO</v>
      </c>
      <c r="H1629" s="230">
        <f t="shared" ref="H1629:H1636" ca="1" si="1274">IF(B1629="UNIDADE CONSTRUTIVA",0,IF(B1629="CÉLULA CONSTRUTIVA",OFFSET(H1629,-1,0)+1,OFFSET(H1629,-1,0)))</f>
        <v>15</v>
      </c>
      <c r="I1629" s="228" t="str">
        <f t="shared" ref="I1629:I1636" ca="1" si="1275">IF(B1629="*","",IF(B1629="CÉLULA CONSTRUTIVA",S1629,OFFSET(I1629,-1,0)))</f>
        <v xml:space="preserve">   PISOS E PAVIMENTAÇÕES</v>
      </c>
      <c r="J1629" s="230">
        <f t="shared" ref="J1629:J1636" ca="1" si="1276">IF(B1629="CÉLULA CONSTRUTIVA",0,IF(B1629="ETAPA",OFFSET(J1629,-1,0)+1,OFFSET(J1629,-1,0)))</f>
        <v>3</v>
      </c>
      <c r="K1629" s="228" t="str">
        <f t="shared" ref="K1629:K1636" ca="1" si="1277">IF(B1629="*","",IF(B1629="ETAPA",S1629,OFFSET(K1629,-1,0)))</f>
        <v xml:space="preserve">   PISOS E PAVIMENTAÇÕES - 3º  ao 7º PAVIMENTO - TIPO</v>
      </c>
      <c r="L1629" s="231">
        <f t="shared" ref="L1629:L1636" ca="1" si="1278">IF(B1629="ETAPA",0,IF(B1629="SUBETAPA",OFFSET(L1629,-1,0)+1,OFFSET(L1629,-1,0)))</f>
        <v>5</v>
      </c>
      <c r="M1629" s="228" t="str">
        <f t="shared" ref="M1629:M1636" ca="1" si="1279">IF(B1629="*","",IF(B1629="SUBETAPA",S1629,OFFSET(M1629,-1,0)))</f>
        <v xml:space="preserve">   Mão de Obra</v>
      </c>
      <c r="N1629" s="231">
        <f t="shared" ref="N1629:N1636" ca="1" si="1280">IF(B1629="Subetapa",0,IF(B1629="serviço",OFFSET(N1629,-1,0)+1,OFFSET(N1629,-1,0)))</f>
        <v>1</v>
      </c>
      <c r="O1629" s="228" t="str">
        <f t="shared" ref="O1629:O1636" ca="1" si="1281">IF(B1629="*","",IF(B1629="SERVIÇO",S1629,OFFSET(O1629,-1,0)))</f>
        <v>Mao de obra para execucao de contrapiso comum e acústico</v>
      </c>
      <c r="P1629" s="232" t="str">
        <f>IF(S1629="","",IF(Orçamento!$B1629="INSUMO",S1629,""))</f>
        <v/>
      </c>
      <c r="Q1629" s="244" t="str">
        <f t="shared" ref="Q1629:Q1636" si="1282">IF(B1629="","",IF(B1629="Serviço",S1629,""))</f>
        <v>Mao de obra para execucao de contrapiso comum e acústico</v>
      </c>
      <c r="R1629" s="234">
        <f t="shared" ref="R1629:R1636" ca="1" si="1283">IF(B1629="serviço",U1629,OFFSET(R1629,-1,0))</f>
        <v>951.48</v>
      </c>
      <c r="S1629" s="233" t="s">
        <v>484</v>
      </c>
      <c r="T1629" s="242" t="s">
        <v>140</v>
      </c>
      <c r="U1629" s="235">
        <f>U1582</f>
        <v>951.48</v>
      </c>
      <c r="V1629" s="320" t="s">
        <v>35</v>
      </c>
      <c r="W1629" s="236" t="str">
        <f>IFERROR(IF(B1629="INSUMO",_xlfn.XLOOKUP(S1629,Insumos!A:A,Insumos!C:C),""),"Inserir Preço")</f>
        <v/>
      </c>
      <c r="X1629" s="235">
        <f t="shared" ref="X1629:X1636" ca="1" si="1284">IF(B1629="Complemento do insumo",V1629,IF(R1629="","",IF(B1629="serviço",R1629,IF(OR(B1629="insumo"),V1629*R1629,""))))</f>
        <v>951.48</v>
      </c>
      <c r="Y1629" s="236">
        <f t="shared" ca="1" si="1184"/>
        <v>21.975617726721353</v>
      </c>
      <c r="Z1629" s="237">
        <f t="shared" ca="1" si="1256"/>
        <v>20909.360754620833</v>
      </c>
      <c r="AA1629" s="238"/>
      <c r="AB1629" s="233" t="str">
        <f>IF(B1629="insumo",_xlfn.XLOOKUP(S1629,Insumos!A:A,Insumos!D:D),"")</f>
        <v/>
      </c>
      <c r="AC1629" s="239">
        <f t="shared" ca="1" si="1257"/>
        <v>2.9996384351687871E-3</v>
      </c>
      <c r="AE1629" s="240">
        <f ca="1">IFERROR(IF(OR(Z1629="",Z1629=0),"",IF(AF1629="","",IF(AF1629="R$/mês",Z1629/OBRA!$D$12,IF(AF1629="R$/m²",Z1629/OBRA!$D$10,IF(AF1629="R$/apto",Orçamento!Z1629/OBRA!$D$11,""))))),"")</f>
        <v>10.760105985714935</v>
      </c>
      <c r="AF1629" s="241" t="s">
        <v>154</v>
      </c>
    </row>
    <row r="1630" spans="1:32" s="10" customFormat="1" ht="13.15" hidden="1" customHeight="1" outlineLevel="4" x14ac:dyDescent="0.2">
      <c r="A1630" s="227"/>
      <c r="B1630" s="228" t="s">
        <v>19</v>
      </c>
      <c r="C1630" s="229">
        <f t="shared" si="1255"/>
        <v>5</v>
      </c>
      <c r="D1630" s="227" t="str">
        <f t="shared" si="1271"/>
        <v/>
      </c>
      <c r="E1630" s="228" t="str">
        <f t="shared" ca="1" si="1272"/>
        <v>15.003.005.001</v>
      </c>
      <c r="F1630" s="230">
        <f ca="1">IF($B1630="UNIDADE CONSTRUTIVA",OFFSET(F1630,-1,0)+1,LARGE(F$10:F1629,1))</f>
        <v>2</v>
      </c>
      <c r="G1630" s="228" t="str">
        <f t="shared" ca="1" si="1273"/>
        <v xml:space="preserve">   GERENCIAMENTO EXECUTIVO</v>
      </c>
      <c r="H1630" s="230">
        <f t="shared" ca="1" si="1274"/>
        <v>15</v>
      </c>
      <c r="I1630" s="228" t="str">
        <f t="shared" ca="1" si="1275"/>
        <v xml:space="preserve">   PISOS E PAVIMENTAÇÕES</v>
      </c>
      <c r="J1630" s="230">
        <f t="shared" ca="1" si="1276"/>
        <v>3</v>
      </c>
      <c r="K1630" s="228" t="str">
        <f t="shared" ca="1" si="1277"/>
        <v xml:space="preserve">   PISOS E PAVIMENTAÇÕES - 3º  ao 7º PAVIMENTO - TIPO</v>
      </c>
      <c r="L1630" s="231">
        <f t="shared" ca="1" si="1278"/>
        <v>5</v>
      </c>
      <c r="M1630" s="228" t="str">
        <f t="shared" ca="1" si="1279"/>
        <v xml:space="preserve">   Mão de Obra</v>
      </c>
      <c r="N1630" s="231">
        <f t="shared" ca="1" si="1280"/>
        <v>1</v>
      </c>
      <c r="O1630" s="228" t="str">
        <f t="shared" ca="1" si="1281"/>
        <v>Mao de obra para execucao de contrapiso comum e acústico</v>
      </c>
      <c r="P1630" s="232" t="str">
        <f>IF(S1630="","",IF(Orçamento!$B1630="INSUMO",S1630,""))</f>
        <v>MAO DE OBRA EXECUCAO CONTRAPISO COMUM</v>
      </c>
      <c r="Q1630" s="244" t="str">
        <f t="shared" si="1282"/>
        <v/>
      </c>
      <c r="R1630" s="234">
        <f t="shared" ca="1" si="1283"/>
        <v>951.48</v>
      </c>
      <c r="S1630" s="233" t="s">
        <v>272</v>
      </c>
      <c r="T1630" s="242" t="str">
        <f>_xlfn.XLOOKUP(S1630,Insumos!$A$3:$A$371,Insumos!$B$3:$B$371)</f>
        <v>M2</v>
      </c>
      <c r="U1630" s="235">
        <f ca="1">IF($B1630="insumo",R1630,"")</f>
        <v>951.48</v>
      </c>
      <c r="V1630" s="320">
        <v>1</v>
      </c>
      <c r="W1630" s="236">
        <f>IFERROR(IF(B1630="INSUMO",_xlfn.XLOOKUP(S1630,Insumos!A:A,Insumos!C:C),""),"Inserir Preço")</f>
        <v>21.975617726721353</v>
      </c>
      <c r="X1630" s="235">
        <f t="shared" ca="1" si="1284"/>
        <v>951.48</v>
      </c>
      <c r="Y1630" s="236">
        <f t="shared" si="1184"/>
        <v>21.975617726721353</v>
      </c>
      <c r="Z1630" s="237">
        <f t="shared" ca="1" si="1256"/>
        <v>20909.360754620833</v>
      </c>
      <c r="AA1630" s="238"/>
      <c r="AB1630" s="233" t="str">
        <f>IF(B1630="insumo",_xlfn.XLOOKUP(S1630,Insumos!A:A,Insumos!D:D),"")</f>
        <v>Aba Custo Serviços</v>
      </c>
      <c r="AC1630" s="239">
        <f t="shared" ca="1" si="1257"/>
        <v>2.9996384351687871E-3</v>
      </c>
      <c r="AE1630" s="240">
        <f ca="1">IFERROR(IF(OR(Z1630="",Z1630=0),"",IF(AF1630="","",IF(AF1630="R$/mês",Z1630/OBRA!$D$12,IF(AF1630="R$/m²",Z1630/OBRA!$D$10,IF(AF1630="R$/apto",Orçamento!Z1630/OBRA!$D$11,""))))),"")</f>
        <v>10.760105985714935</v>
      </c>
      <c r="AF1630" s="241" t="s">
        <v>154</v>
      </c>
    </row>
    <row r="1631" spans="1:32" s="10" customFormat="1" ht="13.15" hidden="1" customHeight="1" outlineLevel="4" x14ac:dyDescent="0.2">
      <c r="A1631" s="227"/>
      <c r="B1631" s="228" t="s">
        <v>4</v>
      </c>
      <c r="C1631" s="229">
        <f t="shared" si="1255"/>
        <v>4</v>
      </c>
      <c r="D1631" s="227" t="str">
        <f t="shared" ca="1" si="1271"/>
        <v>15.003.005.002</v>
      </c>
      <c r="E1631" s="228" t="str">
        <f t="shared" ca="1" si="1272"/>
        <v>15.003.005.002</v>
      </c>
      <c r="F1631" s="230">
        <f ca="1">IF($B1631="UNIDADE CONSTRUTIVA",OFFSET(F1631,-1,0)+1,LARGE(F$10:F1630,1))</f>
        <v>2</v>
      </c>
      <c r="G1631" s="228" t="str">
        <f t="shared" ca="1" si="1273"/>
        <v xml:space="preserve">   GERENCIAMENTO EXECUTIVO</v>
      </c>
      <c r="H1631" s="230">
        <f t="shared" ca="1" si="1274"/>
        <v>15</v>
      </c>
      <c r="I1631" s="228" t="str">
        <f t="shared" ca="1" si="1275"/>
        <v xml:space="preserve">   PISOS E PAVIMENTAÇÕES</v>
      </c>
      <c r="J1631" s="230">
        <f t="shared" ca="1" si="1276"/>
        <v>3</v>
      </c>
      <c r="K1631" s="228" t="str">
        <f t="shared" ca="1" si="1277"/>
        <v xml:space="preserve">   PISOS E PAVIMENTAÇÕES - 3º  ao 7º PAVIMENTO - TIPO</v>
      </c>
      <c r="L1631" s="231">
        <f t="shared" ca="1" si="1278"/>
        <v>5</v>
      </c>
      <c r="M1631" s="228" t="str">
        <f t="shared" ca="1" si="1279"/>
        <v xml:space="preserve">   Mão de Obra</v>
      </c>
      <c r="N1631" s="231">
        <f t="shared" ca="1" si="1280"/>
        <v>2</v>
      </c>
      <c r="O1631" s="228" t="str">
        <f t="shared" ca="1" si="1281"/>
        <v>Mao de obra para colocacao e rejuntamento de piso Cerâmico</v>
      </c>
      <c r="P1631" s="232" t="str">
        <f>IF(S1631="","",IF(Orçamento!$B1631="INSUMO",S1631,""))</f>
        <v/>
      </c>
      <c r="Q1631" s="244" t="str">
        <f t="shared" si="1282"/>
        <v>Mao de obra para colocacao e rejuntamento de piso Cerâmico</v>
      </c>
      <c r="R1631" s="234">
        <f t="shared" ca="1" si="1283"/>
        <v>57.43</v>
      </c>
      <c r="S1631" s="233" t="s">
        <v>780</v>
      </c>
      <c r="T1631" s="242" t="s">
        <v>140</v>
      </c>
      <c r="U1631" s="235">
        <f>U1586</f>
        <v>57.43</v>
      </c>
      <c r="V1631" s="320" t="s">
        <v>35</v>
      </c>
      <c r="W1631" s="236" t="str">
        <f>IFERROR(IF(B1631="INSUMO",_xlfn.XLOOKUP(S1631,Insumos!A:A,Insumos!C:C),""),"Inserir Preço")</f>
        <v/>
      </c>
      <c r="X1631" s="235">
        <f t="shared" ca="1" si="1284"/>
        <v>57.43</v>
      </c>
      <c r="Y1631" s="236">
        <f t="shared" ca="1" si="1184"/>
        <v>73.511069535391329</v>
      </c>
      <c r="Z1631" s="237">
        <f t="shared" ca="1" si="1256"/>
        <v>4221.7407234175244</v>
      </c>
      <c r="AA1631" s="238"/>
      <c r="AB1631" s="233" t="str">
        <f>IF(B1631="insumo",_xlfn.XLOOKUP(S1631,Insumos!A:A,Insumos!D:D),"")</f>
        <v/>
      </c>
      <c r="AC1631" s="239">
        <f t="shared" ca="1" si="1257"/>
        <v>6.0564719724785895E-4</v>
      </c>
      <c r="AE1631" s="240">
        <f ca="1">IFERROR(IF(OR(Z1631="",Z1631=0),"",IF(AF1631="","",IF(AF1631="R$/mês",Z1631/OBRA!$D$12,IF(AF1631="R$/m²",Z1631/OBRA!$D$10,IF(AF1631="R$/apto",Orçamento!Z1631/OBRA!$D$11,""))))),"")</f>
        <v>2.1725378485395574</v>
      </c>
      <c r="AF1631" s="241" t="s">
        <v>154</v>
      </c>
    </row>
    <row r="1632" spans="1:32" s="10" customFormat="1" ht="13.15" hidden="1" customHeight="1" outlineLevel="4" x14ac:dyDescent="0.2">
      <c r="A1632" s="227"/>
      <c r="B1632" s="228" t="s">
        <v>19</v>
      </c>
      <c r="C1632" s="229">
        <f t="shared" si="1255"/>
        <v>4</v>
      </c>
      <c r="D1632" s="227" t="str">
        <f t="shared" si="1271"/>
        <v/>
      </c>
      <c r="E1632" s="228" t="str">
        <f t="shared" ca="1" si="1272"/>
        <v>15.003.005.002</v>
      </c>
      <c r="F1632" s="230">
        <f ca="1">IF($B1632="UNIDADE CONSTRUTIVA",OFFSET(F1632,-1,0)+1,LARGE(F$10:F1631,1))</f>
        <v>2</v>
      </c>
      <c r="G1632" s="228" t="str">
        <f t="shared" ca="1" si="1273"/>
        <v xml:space="preserve">   GERENCIAMENTO EXECUTIVO</v>
      </c>
      <c r="H1632" s="230">
        <f t="shared" ca="1" si="1274"/>
        <v>15</v>
      </c>
      <c r="I1632" s="228" t="str">
        <f t="shared" ca="1" si="1275"/>
        <v xml:space="preserve">   PISOS E PAVIMENTAÇÕES</v>
      </c>
      <c r="J1632" s="230">
        <f t="shared" ca="1" si="1276"/>
        <v>3</v>
      </c>
      <c r="K1632" s="228" t="str">
        <f t="shared" ca="1" si="1277"/>
        <v xml:space="preserve">   PISOS E PAVIMENTAÇÕES - 3º  ao 7º PAVIMENTO - TIPO</v>
      </c>
      <c r="L1632" s="231">
        <f t="shared" ca="1" si="1278"/>
        <v>5</v>
      </c>
      <c r="M1632" s="228" t="str">
        <f t="shared" ca="1" si="1279"/>
        <v xml:space="preserve">   Mão de Obra</v>
      </c>
      <c r="N1632" s="231">
        <f t="shared" ca="1" si="1280"/>
        <v>2</v>
      </c>
      <c r="O1632" s="228" t="str">
        <f t="shared" ca="1" si="1281"/>
        <v>Mao de obra para colocacao e rejuntamento de piso Cerâmico</v>
      </c>
      <c r="P1632" s="232" t="str">
        <f>IF(S1632="","",IF(Orçamento!$B1632="INSUMO",S1632,""))</f>
        <v>MAO DE OBRA PARA COLOCACAO E REJUNTAMENTO DE PISO CERAMICO</v>
      </c>
      <c r="Q1632" s="244" t="str">
        <f t="shared" si="1282"/>
        <v/>
      </c>
      <c r="R1632" s="234">
        <f t="shared" ca="1" si="1283"/>
        <v>57.43</v>
      </c>
      <c r="S1632" s="233" t="s">
        <v>395</v>
      </c>
      <c r="T1632" s="242" t="str">
        <f>_xlfn.XLOOKUP(S1632,Insumos!$A$3:$A$371,Insumos!$B$3:$B$371)</f>
        <v>M2</v>
      </c>
      <c r="U1632" s="235">
        <f ca="1">IF($B1632="insumo",R1632,"")</f>
        <v>57.43</v>
      </c>
      <c r="V1632" s="320">
        <v>1</v>
      </c>
      <c r="W1632" s="236">
        <f>IFERROR(IF(B1632="INSUMO",_xlfn.XLOOKUP(S1632,Insumos!A:A,Insumos!C:C),""),"Inserir Preço")</f>
        <v>73.511069535391329</v>
      </c>
      <c r="X1632" s="235">
        <f t="shared" ca="1" si="1284"/>
        <v>57.43</v>
      </c>
      <c r="Y1632" s="236">
        <f t="shared" si="1184"/>
        <v>73.511069535391329</v>
      </c>
      <c r="Z1632" s="237">
        <f t="shared" ca="1" si="1256"/>
        <v>4221.7407234175244</v>
      </c>
      <c r="AA1632" s="238"/>
      <c r="AB1632" s="233" t="str">
        <f>IF(B1632="insumo",_xlfn.XLOOKUP(S1632,Insumos!A:A,Insumos!D:D),"")</f>
        <v>Aba Custo Serviços</v>
      </c>
      <c r="AC1632" s="239">
        <f t="shared" ca="1" si="1257"/>
        <v>6.0564719724785895E-4</v>
      </c>
      <c r="AE1632" s="240">
        <f ca="1">IFERROR(IF(OR(Z1632="",Z1632=0),"",IF(AF1632="","",IF(AF1632="R$/mês",Z1632/OBRA!$D$12,IF(AF1632="R$/m²",Z1632/OBRA!$D$10,IF(AF1632="R$/apto",Orçamento!Z1632/OBRA!$D$11,""))))),"")</f>
        <v>2.1725378485395574</v>
      </c>
      <c r="AF1632" s="241" t="s">
        <v>154</v>
      </c>
    </row>
    <row r="1633" spans="1:32" s="10" customFormat="1" ht="13.15" hidden="1" customHeight="1" outlineLevel="4" x14ac:dyDescent="0.2">
      <c r="A1633" s="227"/>
      <c r="B1633" s="228" t="s">
        <v>4</v>
      </c>
      <c r="C1633" s="229">
        <f t="shared" si="1255"/>
        <v>4</v>
      </c>
      <c r="D1633" s="227" t="str">
        <f t="shared" ca="1" si="1271"/>
        <v>15.003.005.003</v>
      </c>
      <c r="E1633" s="228" t="str">
        <f t="shared" ca="1" si="1272"/>
        <v>15.003.005.003</v>
      </c>
      <c r="F1633" s="230">
        <f ca="1">IF($B1633="UNIDADE CONSTRUTIVA",OFFSET(F1633,-1,0)+1,LARGE(F$10:F1632,1))</f>
        <v>2</v>
      </c>
      <c r="G1633" s="228" t="str">
        <f t="shared" ca="1" si="1273"/>
        <v xml:space="preserve">   GERENCIAMENTO EXECUTIVO</v>
      </c>
      <c r="H1633" s="230">
        <f t="shared" ca="1" si="1274"/>
        <v>15</v>
      </c>
      <c r="I1633" s="228" t="str">
        <f t="shared" ca="1" si="1275"/>
        <v xml:space="preserve">   PISOS E PAVIMENTAÇÕES</v>
      </c>
      <c r="J1633" s="230">
        <f t="shared" ca="1" si="1276"/>
        <v>3</v>
      </c>
      <c r="K1633" s="228" t="str">
        <f t="shared" ca="1" si="1277"/>
        <v xml:space="preserve">   PISOS E PAVIMENTAÇÕES - 3º  ao 7º PAVIMENTO - TIPO</v>
      </c>
      <c r="L1633" s="231">
        <f t="shared" ca="1" si="1278"/>
        <v>5</v>
      </c>
      <c r="M1633" s="228" t="str">
        <f t="shared" ca="1" si="1279"/>
        <v xml:space="preserve">   Mão de Obra</v>
      </c>
      <c r="N1633" s="231">
        <f t="shared" ca="1" si="1280"/>
        <v>3</v>
      </c>
      <c r="O1633" s="228" t="str">
        <f t="shared" ca="1" si="1281"/>
        <v>Mao de obra para colocacao e rejuntamento de piso porcelanato</v>
      </c>
      <c r="P1633" s="232" t="str">
        <f>IF(S1633="","",IF(Orçamento!$B1633="INSUMO",S1633,""))</f>
        <v/>
      </c>
      <c r="Q1633" s="244" t="str">
        <f t="shared" si="1282"/>
        <v>Mao de obra para colocacao e rejuntamento de piso porcelanato</v>
      </c>
      <c r="R1633" s="234">
        <f t="shared" ca="1" si="1283"/>
        <v>850.7</v>
      </c>
      <c r="S1633" s="233" t="s">
        <v>781</v>
      </c>
      <c r="T1633" s="242" t="s">
        <v>140</v>
      </c>
      <c r="U1633" s="235">
        <f>U1591+U1597</f>
        <v>850.7</v>
      </c>
      <c r="V1633" s="320" t="s">
        <v>35</v>
      </c>
      <c r="W1633" s="236" t="str">
        <f>IFERROR(IF(B1633="INSUMO",_xlfn.XLOOKUP(S1633,Insumos!A:A,Insumos!C:C),""),"Inserir Preço")</f>
        <v/>
      </c>
      <c r="X1633" s="235">
        <f t="shared" ca="1" si="1284"/>
        <v>850.7</v>
      </c>
      <c r="Y1633" s="236">
        <f t="shared" ca="1" si="1184"/>
        <v>73.511069535391329</v>
      </c>
      <c r="Z1633" s="237">
        <f t="shared" ca="1" si="1256"/>
        <v>62535.866853757405</v>
      </c>
      <c r="AA1633" s="238"/>
      <c r="AB1633" s="233" t="str">
        <f>IF(B1633="insumo",_xlfn.XLOOKUP(S1633,Insumos!A:A,Insumos!D:D),"")</f>
        <v/>
      </c>
      <c r="AC1633" s="239">
        <f t="shared" ca="1" si="1257"/>
        <v>8.9713402524595788E-3</v>
      </c>
      <c r="AE1633" s="240">
        <f ca="1">IFERROR(IF(OR(Z1633="",Z1633=0),"",IF(AF1633="","",IF(AF1633="R$/mês",Z1633/OBRA!$D$12,IF(AF1633="R$/m²",Z1633/OBRA!$D$10,IF(AF1633="R$/apto",Orçamento!Z1633/OBRA!$D$11,""))))),"")</f>
        <v>32.181402537917492</v>
      </c>
      <c r="AF1633" s="241" t="s">
        <v>154</v>
      </c>
    </row>
    <row r="1634" spans="1:32" s="10" customFormat="1" ht="13.15" hidden="1" customHeight="1" outlineLevel="4" x14ac:dyDescent="0.2">
      <c r="A1634" s="227"/>
      <c r="B1634" s="228" t="s">
        <v>19</v>
      </c>
      <c r="C1634" s="229">
        <f t="shared" si="1255"/>
        <v>4</v>
      </c>
      <c r="D1634" s="227" t="str">
        <f t="shared" si="1271"/>
        <v/>
      </c>
      <c r="E1634" s="228" t="str">
        <f t="shared" ca="1" si="1272"/>
        <v>15.003.005.003</v>
      </c>
      <c r="F1634" s="230">
        <f ca="1">IF($B1634="UNIDADE CONSTRUTIVA",OFFSET(F1634,-1,0)+1,LARGE(F$10:F1633,1))</f>
        <v>2</v>
      </c>
      <c r="G1634" s="228" t="str">
        <f t="shared" ca="1" si="1273"/>
        <v xml:space="preserve">   GERENCIAMENTO EXECUTIVO</v>
      </c>
      <c r="H1634" s="230">
        <f t="shared" ca="1" si="1274"/>
        <v>15</v>
      </c>
      <c r="I1634" s="228" t="str">
        <f t="shared" ca="1" si="1275"/>
        <v xml:space="preserve">   PISOS E PAVIMENTAÇÕES</v>
      </c>
      <c r="J1634" s="230">
        <f t="shared" ca="1" si="1276"/>
        <v>3</v>
      </c>
      <c r="K1634" s="228" t="str">
        <f t="shared" ca="1" si="1277"/>
        <v xml:space="preserve">   PISOS E PAVIMENTAÇÕES - 3º  ao 7º PAVIMENTO - TIPO</v>
      </c>
      <c r="L1634" s="231">
        <f t="shared" ca="1" si="1278"/>
        <v>5</v>
      </c>
      <c r="M1634" s="228" t="str">
        <f t="shared" ca="1" si="1279"/>
        <v xml:space="preserve">   Mão de Obra</v>
      </c>
      <c r="N1634" s="231">
        <f t="shared" ca="1" si="1280"/>
        <v>3</v>
      </c>
      <c r="O1634" s="228" t="str">
        <f t="shared" ca="1" si="1281"/>
        <v>Mao de obra para colocacao e rejuntamento de piso porcelanato</v>
      </c>
      <c r="P1634" s="232" t="str">
        <f>IF(S1634="","",IF(Orçamento!$B1634="INSUMO",S1634,""))</f>
        <v>MAO DE OBRA PARA COLOCACAO E REJUNTAMENTO DE PORCELANATO</v>
      </c>
      <c r="Q1634" s="244" t="str">
        <f t="shared" si="1282"/>
        <v/>
      </c>
      <c r="R1634" s="234">
        <f t="shared" ca="1" si="1283"/>
        <v>850.7</v>
      </c>
      <c r="S1634" s="233" t="s">
        <v>274</v>
      </c>
      <c r="T1634" s="242" t="str">
        <f>_xlfn.XLOOKUP(S1634,Insumos!$A$3:$A$371,Insumos!$B$3:$B$371)</f>
        <v>M2</v>
      </c>
      <c r="U1634" s="235">
        <f ca="1">IF($B1634="insumo",R1634,"")</f>
        <v>850.7</v>
      </c>
      <c r="V1634" s="320">
        <v>1</v>
      </c>
      <c r="W1634" s="236">
        <f>IFERROR(IF(B1634="INSUMO",_xlfn.XLOOKUP(S1634,Insumos!A:A,Insumos!C:C),""),"Inserir Preço")</f>
        <v>73.511069535391329</v>
      </c>
      <c r="X1634" s="235">
        <f t="shared" ca="1" si="1284"/>
        <v>850.7</v>
      </c>
      <c r="Y1634" s="236">
        <f t="shared" si="1184"/>
        <v>73.511069535391329</v>
      </c>
      <c r="Z1634" s="237">
        <f t="shared" ca="1" si="1256"/>
        <v>62535.866853757405</v>
      </c>
      <c r="AA1634" s="238"/>
      <c r="AB1634" s="233" t="str">
        <f>IF(B1634="insumo",_xlfn.XLOOKUP(S1634,Insumos!A:A,Insumos!D:D),"")</f>
        <v>Aba Custo Serviços</v>
      </c>
      <c r="AC1634" s="239">
        <f t="shared" ca="1" si="1257"/>
        <v>8.9713402524595788E-3</v>
      </c>
      <c r="AE1634" s="240">
        <f ca="1">IFERROR(IF(OR(Z1634="",Z1634=0),"",IF(AF1634="","",IF(AF1634="R$/mês",Z1634/OBRA!$D$12,IF(AF1634="R$/m²",Z1634/OBRA!$D$10,IF(AF1634="R$/apto",Orçamento!Z1634/OBRA!$D$11,""))))),"")</f>
        <v>32.181402537917492</v>
      </c>
      <c r="AF1634" s="241" t="s">
        <v>154</v>
      </c>
    </row>
    <row r="1635" spans="1:32" s="10" customFormat="1" ht="13.15" hidden="1" customHeight="1" outlineLevel="4" x14ac:dyDescent="0.2">
      <c r="A1635" s="227"/>
      <c r="B1635" s="228" t="s">
        <v>4</v>
      </c>
      <c r="C1635" s="229">
        <f t="shared" si="1255"/>
        <v>4</v>
      </c>
      <c r="D1635" s="227" t="str">
        <f t="shared" ca="1" si="1271"/>
        <v>15.003.005.004</v>
      </c>
      <c r="E1635" s="228" t="str">
        <f t="shared" ca="1" si="1272"/>
        <v>15.003.005.004</v>
      </c>
      <c r="F1635" s="230">
        <f ca="1">IF($B1635="UNIDADE CONSTRUTIVA",OFFSET(F1635,-1,0)+1,LARGE(F$10:F1634,1))</f>
        <v>2</v>
      </c>
      <c r="G1635" s="228" t="str">
        <f t="shared" ca="1" si="1273"/>
        <v xml:space="preserve">   GERENCIAMENTO EXECUTIVO</v>
      </c>
      <c r="H1635" s="230">
        <f t="shared" ca="1" si="1274"/>
        <v>15</v>
      </c>
      <c r="I1635" s="228" t="str">
        <f t="shared" ca="1" si="1275"/>
        <v xml:space="preserve">   PISOS E PAVIMENTAÇÕES</v>
      </c>
      <c r="J1635" s="230">
        <f t="shared" ca="1" si="1276"/>
        <v>3</v>
      </c>
      <c r="K1635" s="228" t="str">
        <f t="shared" ca="1" si="1277"/>
        <v xml:space="preserve">   PISOS E PAVIMENTAÇÕES - 3º  ao 7º PAVIMENTO - TIPO</v>
      </c>
      <c r="L1635" s="231">
        <f t="shared" ca="1" si="1278"/>
        <v>5</v>
      </c>
      <c r="M1635" s="228" t="str">
        <f t="shared" ca="1" si="1279"/>
        <v xml:space="preserve">   Mão de Obra</v>
      </c>
      <c r="N1635" s="231">
        <f t="shared" ca="1" si="1280"/>
        <v>4</v>
      </c>
      <c r="O1635" s="228" t="str">
        <f t="shared" ca="1" si="1281"/>
        <v>Mao de obra para colocacao de rodape cerâmico e porcelanato</v>
      </c>
      <c r="P1635" s="232" t="str">
        <f>IF(S1635="","",IF(Orçamento!$B1635="INSUMO",S1635,""))</f>
        <v/>
      </c>
      <c r="Q1635" s="244" t="str">
        <f t="shared" si="1282"/>
        <v>Mao de obra para colocacao de rodape cerâmico e porcelanato</v>
      </c>
      <c r="R1635" s="234">
        <f t="shared" ca="1" si="1283"/>
        <v>108.7</v>
      </c>
      <c r="S1635" s="233" t="s">
        <v>1111</v>
      </c>
      <c r="T1635" s="242" t="s">
        <v>158</v>
      </c>
      <c r="U1635" s="235">
        <f>U1604+U1609</f>
        <v>108.7</v>
      </c>
      <c r="V1635" s="320" t="s">
        <v>35</v>
      </c>
      <c r="W1635" s="236" t="str">
        <f>IFERROR(IF(B1635="INSUMO",_xlfn.XLOOKUP(S1635,Insumos!A:A,Insumos!C:C),""),"Inserir Preço")</f>
        <v/>
      </c>
      <c r="X1635" s="235">
        <f t="shared" ca="1" si="1284"/>
        <v>108.7</v>
      </c>
      <c r="Y1635" s="236">
        <f t="shared" ca="1" si="1184"/>
        <v>20.778316515676838</v>
      </c>
      <c r="Z1635" s="237">
        <f t="shared" ca="1" si="1256"/>
        <v>2258.6030052540723</v>
      </c>
      <c r="AA1635" s="238"/>
      <c r="AB1635" s="233" t="str">
        <f>IF(B1635="insumo",_xlfn.XLOOKUP(S1635,Insumos!A:A,Insumos!D:D),"")</f>
        <v/>
      </c>
      <c r="AC1635" s="239">
        <f t="shared" ca="1" si="1257"/>
        <v>3.2401719324923005E-4</v>
      </c>
      <c r="AE1635" s="240">
        <f ca="1">IFERROR(IF(OR(Z1635="",Z1635=0),"",IF(AF1635="","",IF(AF1635="R$/mês",Z1635/OBRA!$D$12,IF(AF1635="R$/m²",Z1635/OBRA!$D$10,IF(AF1635="R$/apto",Orçamento!Z1635/OBRA!$D$11,""))))),"")</f>
        <v>1.1622931949661504</v>
      </c>
      <c r="AF1635" s="241" t="s">
        <v>154</v>
      </c>
    </row>
    <row r="1636" spans="1:32" s="10" customFormat="1" ht="13.15" hidden="1" customHeight="1" outlineLevel="4" x14ac:dyDescent="0.2">
      <c r="A1636" s="227"/>
      <c r="B1636" s="228" t="s">
        <v>19</v>
      </c>
      <c r="C1636" s="229">
        <f t="shared" si="1255"/>
        <v>4</v>
      </c>
      <c r="D1636" s="227" t="str">
        <f t="shared" si="1271"/>
        <v/>
      </c>
      <c r="E1636" s="228" t="str">
        <f t="shared" ca="1" si="1272"/>
        <v>15.003.005.004</v>
      </c>
      <c r="F1636" s="230">
        <f ca="1">IF($B1636="UNIDADE CONSTRUTIVA",OFFSET(F1636,-1,0)+1,LARGE(F$10:F1635,1))</f>
        <v>2</v>
      </c>
      <c r="G1636" s="228" t="str">
        <f t="shared" ca="1" si="1273"/>
        <v xml:space="preserve">   GERENCIAMENTO EXECUTIVO</v>
      </c>
      <c r="H1636" s="230">
        <f t="shared" ca="1" si="1274"/>
        <v>15</v>
      </c>
      <c r="I1636" s="228" t="str">
        <f t="shared" ca="1" si="1275"/>
        <v xml:space="preserve">   PISOS E PAVIMENTAÇÕES</v>
      </c>
      <c r="J1636" s="230">
        <f t="shared" ca="1" si="1276"/>
        <v>3</v>
      </c>
      <c r="K1636" s="228" t="str">
        <f t="shared" ca="1" si="1277"/>
        <v xml:space="preserve">   PISOS E PAVIMENTAÇÕES - 3º  ao 7º PAVIMENTO - TIPO</v>
      </c>
      <c r="L1636" s="231">
        <f t="shared" ca="1" si="1278"/>
        <v>5</v>
      </c>
      <c r="M1636" s="228" t="str">
        <f t="shared" ca="1" si="1279"/>
        <v xml:space="preserve">   Mão de Obra</v>
      </c>
      <c r="N1636" s="231">
        <f t="shared" ca="1" si="1280"/>
        <v>4</v>
      </c>
      <c r="O1636" s="228" t="str">
        <f t="shared" ca="1" si="1281"/>
        <v>Mao de obra para colocacao de rodape cerâmico e porcelanato</v>
      </c>
      <c r="P1636" s="232" t="str">
        <f>IF(S1636="","",IF(Orçamento!$B1636="INSUMO",S1636,""))</f>
        <v>MAO DE OBRA PARA COLOCACAO DE RODAPE CERAMICO E PORCELANATO</v>
      </c>
      <c r="Q1636" s="244" t="str">
        <f t="shared" si="1282"/>
        <v/>
      </c>
      <c r="R1636" s="234">
        <f t="shared" ca="1" si="1283"/>
        <v>108.7</v>
      </c>
      <c r="S1636" s="233" t="s">
        <v>1113</v>
      </c>
      <c r="T1636" s="242" t="s">
        <v>1112</v>
      </c>
      <c r="U1636" s="235">
        <f ca="1">IF($B1636="insumo",R1636,"")</f>
        <v>108.7</v>
      </c>
      <c r="V1636" s="320">
        <v>1</v>
      </c>
      <c r="W1636" s="236">
        <f>IFERROR(IF(B1636="INSUMO",_xlfn.XLOOKUP(S1636,Insumos!A:A,Insumos!C:C),""),"Inserir Preço")</f>
        <v>20.778316515676838</v>
      </c>
      <c r="X1636" s="235">
        <f t="shared" ca="1" si="1284"/>
        <v>108.7</v>
      </c>
      <c r="Y1636" s="236">
        <f t="shared" si="1184"/>
        <v>20.778316515676838</v>
      </c>
      <c r="Z1636" s="237">
        <f t="shared" ca="1" si="1256"/>
        <v>2258.6030052540723</v>
      </c>
      <c r="AA1636" s="238"/>
      <c r="AB1636" s="233" t="str">
        <f>IF(B1636="insumo",_xlfn.XLOOKUP(S1636,Insumos!A:A,Insumos!D:D),"")</f>
        <v>Aba Custo Serviços</v>
      </c>
      <c r="AC1636" s="239">
        <f t="shared" ca="1" si="1257"/>
        <v>3.2401719324923005E-4</v>
      </c>
      <c r="AE1636" s="240">
        <f ca="1">IFERROR(IF(OR(Z1636="",Z1636=0),"",IF(AF1636="","",IF(AF1636="R$/mês",Z1636/OBRA!$D$12,IF(AF1636="R$/m²",Z1636/OBRA!$D$10,IF(AF1636="R$/apto",Orçamento!Z1636/OBRA!$D$11,""))))),"")</f>
        <v>1.1622931949661504</v>
      </c>
      <c r="AF1636" s="241" t="s">
        <v>154</v>
      </c>
    </row>
    <row r="1637" spans="1:32" s="10" customFormat="1" ht="13.15" hidden="1" customHeight="1" outlineLevel="4" x14ac:dyDescent="0.2">
      <c r="A1637" s="227"/>
      <c r="B1637" s="228" t="s">
        <v>4</v>
      </c>
      <c r="C1637" s="229">
        <f t="shared" si="1255"/>
        <v>3</v>
      </c>
      <c r="D1637" s="227" t="str">
        <f ca="1">IF(B1637="Unidade Construtiva",TEXT(F1637,"00"),IF(B1637="Célula Construtiva",TEXT(H1637,"00"),IF(B1637="Etapa",CONCATENATE(TEXT(H1637,"00"),".",TEXT(J1637,"000")),IF(B1637="Subetapa",CONCATENATE(TEXT(H1637,"00"),".",TEXT(J1637,"000"),".",TEXT(L1637,"000")),IF(B1637="Serviço",CONCATENATE(TEXT(H1637,"00"),".",TEXT(J1637,"000"),".",TEXT(L1637,"000"),".",TEXT(N1637,"000")),"")))))</f>
        <v>15.003.005.005</v>
      </c>
      <c r="E1637" s="228" t="str">
        <f ca="1">IF(B1637="*","",IFERROR(IF(B1637="SERVIÇO",D1637,OFFSET(E1637,-1,0)),""))</f>
        <v>15.003.005.005</v>
      </c>
      <c r="F1637" s="230">
        <f ca="1">IF($B1637="UNIDADE CONSTRUTIVA",OFFSET(F1637,-1,0)+1,LARGE(F$10:F1636,1))</f>
        <v>2</v>
      </c>
      <c r="G1637" s="228" t="str">
        <f ca="1">IF(B1637="*","",IF(B1637="UNIDADE CONSTRUTIVA",S1637,OFFSET(G1637,-1,0)))</f>
        <v xml:space="preserve">   GERENCIAMENTO EXECUTIVO</v>
      </c>
      <c r="H1637" s="230">
        <f ca="1">IF(B1637="UNIDADE CONSTRUTIVA",0,IF(B1637="CÉLULA CONSTRUTIVA",OFFSET(H1637,-1,0)+1,OFFSET(H1637,-1,0)))</f>
        <v>15</v>
      </c>
      <c r="I1637" s="228" t="str">
        <f ca="1">IF(B1637="*","",IF(B1637="CÉLULA CONSTRUTIVA",S1637,OFFSET(I1637,-1,0)))</f>
        <v xml:space="preserve">   PISOS E PAVIMENTAÇÕES</v>
      </c>
      <c r="J1637" s="230">
        <f ca="1">IF(B1637="CÉLULA CONSTRUTIVA",0,IF(B1637="ETAPA",OFFSET(J1637,-1,0)+1,OFFSET(J1637,-1,0)))</f>
        <v>3</v>
      </c>
      <c r="K1637" s="228" t="str">
        <f ca="1">IF(B1637="*","",IF(B1637="ETAPA",S1637,OFFSET(K1637,-1,0)))</f>
        <v xml:space="preserve">   PISOS E PAVIMENTAÇÕES - 3º  ao 7º PAVIMENTO - TIPO</v>
      </c>
      <c r="L1637" s="231">
        <f ca="1">IF(B1637="ETAPA",0,IF(B1637="SUBETAPA",OFFSET(L1637,-1,0)+1,OFFSET(L1637,-1,0)))</f>
        <v>5</v>
      </c>
      <c r="M1637" s="228" t="str">
        <f ca="1">IF(B1637="*","",IF(B1637="SUBETAPA",S1637,OFFSET(M1637,-1,0)))</f>
        <v xml:space="preserve">   Mão de Obra</v>
      </c>
      <c r="N1637" s="231">
        <f ca="1">IF(B1637="Subetapa",0,IF(B1637="serviço",OFFSET(N1637,-1,0)+1,OFFSET(N1637,-1,0)))</f>
        <v>5</v>
      </c>
      <c r="O1637" s="228" t="str">
        <f ca="1">IF(B1637="*","",IF(B1637="SERVIÇO",S1637,OFFSET(O1637,-1,0)))</f>
        <v>Mao de obra para colocacao de rodape de poliestireno</v>
      </c>
      <c r="P1637" s="232" t="str">
        <f>IF(S1637="","",IF(Orçamento!$B1637="INSUMO",S1637,""))</f>
        <v/>
      </c>
      <c r="Q1637" s="244" t="str">
        <f>IF(B1637="","",IF(B1637="Serviço",S1637,""))</f>
        <v>Mao de obra para colocacao de rodape de poliestireno</v>
      </c>
      <c r="R1637" s="234">
        <f ca="1">IF(B1637="serviço",U1637,OFFSET(R1637,-1,0))</f>
        <v>526.70000000000005</v>
      </c>
      <c r="S1637" s="233" t="s">
        <v>495</v>
      </c>
      <c r="T1637" s="242" t="s">
        <v>158</v>
      </c>
      <c r="U1637" s="235">
        <f>U1619+U1615</f>
        <v>526.70000000000005</v>
      </c>
      <c r="V1637" s="320" t="s">
        <v>35</v>
      </c>
      <c r="W1637" s="236" t="str">
        <f>IFERROR(IF(B1637="INSUMO",_xlfn.XLOOKUP(S1637,Insumos!A:A,Insumos!C:C),""),"Inserir Preço")</f>
        <v/>
      </c>
      <c r="X1637" s="235">
        <f ca="1">IF(B1637="Complemento do insumo",V1637,IF(R1637="","",IF(B1637="serviço",R1637,IF(OR(B1637="insumo"),V1637*R1637,""))))</f>
        <v>526.70000000000005</v>
      </c>
      <c r="Y1637" s="236">
        <f t="shared" ca="1" si="1184"/>
        <v>22</v>
      </c>
      <c r="Z1637" s="237">
        <f t="shared" ca="1" si="1256"/>
        <v>11587.400000000001</v>
      </c>
      <c r="AA1637" s="238"/>
      <c r="AB1637" s="233" t="str">
        <f>IF(B1637="insumo",_xlfn.XLOOKUP(S1637,Insumos!A:A,Insumos!D:D),"")</f>
        <v/>
      </c>
      <c r="AC1637" s="239">
        <f t="shared" ca="1" si="1257"/>
        <v>1.6623181746956807E-3</v>
      </c>
      <c r="AE1637" s="240">
        <f ca="1">IFERROR(IF(OR(Z1637="",Z1637=0),"",IF(AF1637="","",IF(AF1637="R$/mês",Z1637/OBRA!$D$12,IF(AF1637="R$/m²",Z1637/OBRA!$D$10,IF(AF1637="R$/apto",Orçamento!Z1637/OBRA!$D$11,""))))),"")</f>
        <v>5.9629585792726552</v>
      </c>
      <c r="AF1637" s="241" t="s">
        <v>154</v>
      </c>
    </row>
    <row r="1638" spans="1:32" s="10" customFormat="1" ht="13.15" hidden="1" customHeight="1" outlineLevel="4" x14ac:dyDescent="0.2">
      <c r="A1638" s="227"/>
      <c r="B1638" s="228" t="s">
        <v>19</v>
      </c>
      <c r="C1638" s="229">
        <f t="shared" si="1255"/>
        <v>3</v>
      </c>
      <c r="D1638" s="227" t="str">
        <f>IF(B1638="Unidade Construtiva",TEXT(F1638,"00"),IF(B1638="Célula Construtiva",TEXT(H1638,"00"),IF(B1638="Etapa",CONCATENATE(TEXT(H1638,"00"),".",TEXT(J1638,"000")),IF(B1638="Subetapa",CONCATENATE(TEXT(H1638,"00"),".",TEXT(J1638,"000"),".",TEXT(L1638,"000")),IF(B1638="Serviço",CONCATENATE(TEXT(H1638,"00"),".",TEXT(J1638,"000"),".",TEXT(L1638,"000"),".",TEXT(N1638,"000")),"")))))</f>
        <v/>
      </c>
      <c r="E1638" s="228" t="str">
        <f ca="1">IF(B1638="*","",IFERROR(IF(B1638="SERVIÇO",D1638,OFFSET(E1638,-1,0)),""))</f>
        <v>15.003.005.005</v>
      </c>
      <c r="F1638" s="230">
        <f ca="1">IF($B1638="UNIDADE CONSTRUTIVA",OFFSET(F1638,-1,0)+1,LARGE(F$10:F1637,1))</f>
        <v>2</v>
      </c>
      <c r="G1638" s="228" t="str">
        <f ca="1">IF(B1638="*","",IF(B1638="UNIDADE CONSTRUTIVA",S1638,OFFSET(G1638,-1,0)))</f>
        <v xml:space="preserve">   GERENCIAMENTO EXECUTIVO</v>
      </c>
      <c r="H1638" s="230">
        <f ca="1">IF(B1638="UNIDADE CONSTRUTIVA",0,IF(B1638="CÉLULA CONSTRUTIVA",OFFSET(H1638,-1,0)+1,OFFSET(H1638,-1,0)))</f>
        <v>15</v>
      </c>
      <c r="I1638" s="228" t="str">
        <f ca="1">IF(B1638="*","",IF(B1638="CÉLULA CONSTRUTIVA",S1638,OFFSET(I1638,-1,0)))</f>
        <v xml:space="preserve">   PISOS E PAVIMENTAÇÕES</v>
      </c>
      <c r="J1638" s="230">
        <f ca="1">IF(B1638="CÉLULA CONSTRUTIVA",0,IF(B1638="ETAPA",OFFSET(J1638,-1,0)+1,OFFSET(J1638,-1,0)))</f>
        <v>3</v>
      </c>
      <c r="K1638" s="228" t="str">
        <f ca="1">IF(B1638="*","",IF(B1638="ETAPA",S1638,OFFSET(K1638,-1,0)))</f>
        <v xml:space="preserve">   PISOS E PAVIMENTAÇÕES - 3º  ao 7º PAVIMENTO - TIPO</v>
      </c>
      <c r="L1638" s="231">
        <f ca="1">IF(B1638="ETAPA",0,IF(B1638="SUBETAPA",OFFSET(L1638,-1,0)+1,OFFSET(L1638,-1,0)))</f>
        <v>5</v>
      </c>
      <c r="M1638" s="228" t="str">
        <f ca="1">IF(B1638="*","",IF(B1638="SUBETAPA",S1638,OFFSET(M1638,-1,0)))</f>
        <v xml:space="preserve">   Mão de Obra</v>
      </c>
      <c r="N1638" s="231">
        <f ca="1">IF(B1638="Subetapa",0,IF(B1638="serviço",OFFSET(N1638,-1,0)+1,OFFSET(N1638,-1,0)))</f>
        <v>5</v>
      </c>
      <c r="O1638" s="228" t="str">
        <f ca="1">IF(B1638="*","",IF(B1638="SERVIÇO",S1638,OFFSET(O1638,-1,0)))</f>
        <v>Mao de obra para colocacao de rodape de poliestireno</v>
      </c>
      <c r="P1638" s="232" t="str">
        <f>IF(S1638="","",IF(Orçamento!$B1638="INSUMO",S1638,""))</f>
        <v>MAO DE OBRA PARA COLOCACAO DE RODAPE DE POLIESTIRENO</v>
      </c>
      <c r="Q1638" s="244" t="str">
        <f>IF(B1638="","",IF(B1638="Serviço",S1638,""))</f>
        <v/>
      </c>
      <c r="R1638" s="234">
        <f ca="1">IF(B1638="serviço",U1638,OFFSET(R1638,-1,0))</f>
        <v>526.70000000000005</v>
      </c>
      <c r="S1638" s="233" t="s">
        <v>300</v>
      </c>
      <c r="T1638" s="242" t="str">
        <f>_xlfn.XLOOKUP(S1638,Insumos!$A$3:$A$371,Insumos!$B$3:$B$371)</f>
        <v>M</v>
      </c>
      <c r="U1638" s="235">
        <f ca="1">IF($B1638="insumo",R1638,"")</f>
        <v>526.70000000000005</v>
      </c>
      <c r="V1638" s="320">
        <v>1</v>
      </c>
      <c r="W1638" s="236">
        <f>IFERROR(IF(B1638="INSUMO",_xlfn.XLOOKUP(S1638,Insumos!A:A,Insumos!C:C),""),"Inserir Preço")</f>
        <v>22</v>
      </c>
      <c r="X1638" s="235">
        <f ca="1">IF(B1638="Complemento do insumo",V1638,IF(R1638="","",IF(B1638="serviço",R1638,IF(OR(B1638="insumo"),V1638*R1638,""))))</f>
        <v>526.70000000000005</v>
      </c>
      <c r="Y1638" s="236">
        <f t="shared" si="1184"/>
        <v>22</v>
      </c>
      <c r="Z1638" s="237">
        <f t="shared" ca="1" si="1256"/>
        <v>11587.400000000001</v>
      </c>
      <c r="AA1638" s="238"/>
      <c r="AB1638" s="233" t="str">
        <f>IF(B1638="insumo",_xlfn.XLOOKUP(S1638,Insumos!A:A,Insumos!D:D),"")</f>
        <v xml:space="preserve"> </v>
      </c>
      <c r="AC1638" s="239">
        <f t="shared" ca="1" si="1257"/>
        <v>1.6623181746956807E-3</v>
      </c>
      <c r="AE1638" s="240">
        <f ca="1">IFERROR(IF(OR(Z1638="",Z1638=0),"",IF(AF1638="","",IF(AF1638="R$/mês",Z1638/OBRA!$D$12,IF(AF1638="R$/m²",Z1638/OBRA!$D$10,IF(AF1638="R$/apto",Orçamento!Z1638/OBRA!$D$11,""))))),"")</f>
        <v>5.9629585792726552</v>
      </c>
      <c r="AF1638" s="241" t="s">
        <v>154</v>
      </c>
    </row>
    <row r="1639" spans="1:32" s="10" customFormat="1" ht="13.15" hidden="1" customHeight="1" outlineLevel="4" x14ac:dyDescent="0.2">
      <c r="A1639" s="227"/>
      <c r="B1639" s="228" t="s">
        <v>4</v>
      </c>
      <c r="C1639" s="229">
        <f t="shared" si="1255"/>
        <v>5</v>
      </c>
      <c r="D1639" s="227" t="str">
        <f ca="1">IF(B1639="Unidade Construtiva",TEXT(F1639,"00"),IF(B1639="Célula Construtiva",TEXT(H1639,"00"),IF(B1639="Etapa",CONCATENATE(TEXT(H1639,"00"),".",TEXT(J1639,"000")),IF(B1639="Subetapa",CONCATENATE(TEXT(H1639,"00"),".",TEXT(J1639,"000"),".",TEXT(L1639,"000")),IF(B1639="Serviço",CONCATENATE(TEXT(H1639,"00"),".",TEXT(J1639,"000"),".",TEXT(L1639,"000"),".",TEXT(N1639,"000")),"")))))</f>
        <v>15.003.005.006</v>
      </c>
      <c r="E1639" s="228" t="str">
        <f ca="1">IF(B1639="*","",IFERROR(IF(B1639="SERVIÇO",D1639,OFFSET(E1639,-1,0)),""))</f>
        <v>15.003.005.006</v>
      </c>
      <c r="F1639" s="230">
        <f ca="1">IF($B1639="UNIDADE CONSTRUTIVA",OFFSET(F1639,-1,0)+1,LARGE(F$10:F1638,1))</f>
        <v>2</v>
      </c>
      <c r="G1639" s="228" t="str">
        <f ca="1">IF(B1639="*","",IF(B1639="UNIDADE CONSTRUTIVA",S1639,OFFSET(G1639,-1,0)))</f>
        <v xml:space="preserve">   GERENCIAMENTO EXECUTIVO</v>
      </c>
      <c r="H1639" s="230">
        <f ca="1">IF(B1639="UNIDADE CONSTRUTIVA",0,IF(B1639="CÉLULA CONSTRUTIVA",OFFSET(H1639,-1,0)+1,OFFSET(H1639,-1,0)))</f>
        <v>15</v>
      </c>
      <c r="I1639" s="228" t="str">
        <f ca="1">IF(B1639="*","",IF(B1639="CÉLULA CONSTRUTIVA",S1639,OFFSET(I1639,-1,0)))</f>
        <v xml:space="preserve">   PISOS E PAVIMENTAÇÕES</v>
      </c>
      <c r="J1639" s="230">
        <f ca="1">IF(B1639="CÉLULA CONSTRUTIVA",0,IF(B1639="ETAPA",OFFSET(J1639,-1,0)+1,OFFSET(J1639,-1,0)))</f>
        <v>3</v>
      </c>
      <c r="K1639" s="228" t="str">
        <f ca="1">IF(B1639="*","",IF(B1639="ETAPA",S1639,OFFSET(K1639,-1,0)))</f>
        <v xml:space="preserve">   PISOS E PAVIMENTAÇÕES - 3º  ao 7º PAVIMENTO - TIPO</v>
      </c>
      <c r="L1639" s="231">
        <f ca="1">IF(B1639="ETAPA",0,IF(B1639="SUBETAPA",OFFSET(L1639,-1,0)+1,OFFSET(L1639,-1,0)))</f>
        <v>5</v>
      </c>
      <c r="M1639" s="228" t="str">
        <f ca="1">IF(B1639="*","",IF(B1639="SUBETAPA",S1639,OFFSET(M1639,-1,0)))</f>
        <v xml:space="preserve">   Mão de Obra</v>
      </c>
      <c r="N1639" s="231">
        <f ca="1">IF(B1639="Subetapa",0,IF(B1639="serviço",OFFSET(N1639,-1,0)+1,OFFSET(N1639,-1,0)))</f>
        <v>6</v>
      </c>
      <c r="O1639" s="228" t="str">
        <f ca="1">IF(B1639="*","",IF(B1639="SERVIÇO",S1639,OFFSET(O1639,-1,0)))</f>
        <v>Mao de obra para colocacao de soleiras em granito</v>
      </c>
      <c r="P1639" s="232" t="str">
        <f>IF(S1639="","",IF(Orçamento!$B1639="INSUMO",S1639,""))</f>
        <v/>
      </c>
      <c r="Q1639" s="244" t="str">
        <f>IF(B1639="","",IF(B1639="Serviço",S1639,""))</f>
        <v>Mao de obra para colocacao de soleiras em granito</v>
      </c>
      <c r="R1639" s="234">
        <f ca="1">IF(B1639="serviço",U1639,OFFSET(R1639,-1,0))</f>
        <v>13.26</v>
      </c>
      <c r="S1639" s="233" t="s">
        <v>496</v>
      </c>
      <c r="T1639" s="242" t="s">
        <v>158</v>
      </c>
      <c r="U1639" s="235">
        <f>U1624</f>
        <v>13.26</v>
      </c>
      <c r="V1639" s="320" t="s">
        <v>35</v>
      </c>
      <c r="W1639" s="236" t="str">
        <f>IFERROR(IF(B1639="INSUMO",_xlfn.XLOOKUP(S1639,Insumos!A:A,Insumos!C:C),""),"Inserir Preço")</f>
        <v/>
      </c>
      <c r="X1639" s="235">
        <f ca="1">IF(B1639="Complemento do insumo",V1639,IF(R1639="","",IF(B1639="serviço",R1639,IF(OR(B1639="insumo"),V1639*R1639,""))))</f>
        <v>13.26</v>
      </c>
      <c r="Y1639" s="236">
        <f t="shared" ca="1" si="1184"/>
        <v>10.4</v>
      </c>
      <c r="Z1639" s="237">
        <f t="shared" ca="1" si="1256"/>
        <v>137.904</v>
      </c>
      <c r="AA1639" s="238"/>
      <c r="AB1639" s="233" t="str">
        <f>IF(B1639="insumo",_xlfn.XLOOKUP(S1639,Insumos!A:A,Insumos!D:D),"")</f>
        <v/>
      </c>
      <c r="AC1639" s="239">
        <f t="shared" ca="1" si="1257"/>
        <v>1.9783586098972432E-5</v>
      </c>
      <c r="AE1639" s="240">
        <f ca="1">IFERROR(IF(OR(Z1639="",Z1639=0),"",IF(AF1639="","",IF(AF1639="R$/mês",Z1639/OBRA!$D$12,IF(AF1639="R$/m²",Z1639/OBRA!$D$10,IF(AF1639="R$/apto",Orçamento!Z1639/OBRA!$D$11,""))))),"")</f>
        <v>7.096638071664188E-2</v>
      </c>
      <c r="AF1639" s="241" t="s">
        <v>154</v>
      </c>
    </row>
    <row r="1640" spans="1:32" s="10" customFormat="1" ht="13.15" hidden="1" customHeight="1" outlineLevel="4" x14ac:dyDescent="0.2">
      <c r="A1640" s="227"/>
      <c r="B1640" s="228" t="s">
        <v>19</v>
      </c>
      <c r="C1640" s="229">
        <f t="shared" si="1255"/>
        <v>5</v>
      </c>
      <c r="D1640" s="227" t="str">
        <f>IF(B1640="Unidade Construtiva",TEXT(F1640,"00"),IF(B1640="Célula Construtiva",TEXT(H1640,"00"),IF(B1640="Etapa",CONCATENATE(TEXT(H1640,"00"),".",TEXT(J1640,"000")),IF(B1640="Subetapa",CONCATENATE(TEXT(H1640,"00"),".",TEXT(J1640,"000"),".",TEXT(L1640,"000")),IF(B1640="Serviço",CONCATENATE(TEXT(H1640,"00"),".",TEXT(J1640,"000"),".",TEXT(L1640,"000"),".",TEXT(N1640,"000")),"")))))</f>
        <v/>
      </c>
      <c r="E1640" s="228" t="str">
        <f ca="1">IF(B1640="*","",IFERROR(IF(B1640="SERVIÇO",D1640,OFFSET(E1640,-1,0)),""))</f>
        <v>15.003.005.006</v>
      </c>
      <c r="F1640" s="230">
        <f ca="1">IF($B1640="UNIDADE CONSTRUTIVA",OFFSET(F1640,-1,0)+1,LARGE(F$10:F1639,1))</f>
        <v>2</v>
      </c>
      <c r="G1640" s="228" t="str">
        <f ca="1">IF(B1640="*","",IF(B1640="UNIDADE CONSTRUTIVA",S1640,OFFSET(G1640,-1,0)))</f>
        <v xml:space="preserve">   GERENCIAMENTO EXECUTIVO</v>
      </c>
      <c r="H1640" s="230">
        <f ca="1">IF(B1640="UNIDADE CONSTRUTIVA",0,IF(B1640="CÉLULA CONSTRUTIVA",OFFSET(H1640,-1,0)+1,OFFSET(H1640,-1,0)))</f>
        <v>15</v>
      </c>
      <c r="I1640" s="228" t="str">
        <f ca="1">IF(B1640="*","",IF(B1640="CÉLULA CONSTRUTIVA",S1640,OFFSET(I1640,-1,0)))</f>
        <v xml:space="preserve">   PISOS E PAVIMENTAÇÕES</v>
      </c>
      <c r="J1640" s="230">
        <f ca="1">IF(B1640="CÉLULA CONSTRUTIVA",0,IF(B1640="ETAPA",OFFSET(J1640,-1,0)+1,OFFSET(J1640,-1,0)))</f>
        <v>3</v>
      </c>
      <c r="K1640" s="228" t="str">
        <f ca="1">IF(B1640="*","",IF(B1640="ETAPA",S1640,OFFSET(K1640,-1,0)))</f>
        <v xml:space="preserve">   PISOS E PAVIMENTAÇÕES - 3º  ao 7º PAVIMENTO - TIPO</v>
      </c>
      <c r="L1640" s="231">
        <f ca="1">IF(B1640="ETAPA",0,IF(B1640="SUBETAPA",OFFSET(L1640,-1,0)+1,OFFSET(L1640,-1,0)))</f>
        <v>5</v>
      </c>
      <c r="M1640" s="228" t="str">
        <f ca="1">IF(B1640="*","",IF(B1640="SUBETAPA",S1640,OFFSET(M1640,-1,0)))</f>
        <v xml:space="preserve">   Mão de Obra</v>
      </c>
      <c r="N1640" s="231">
        <f ca="1">IF(B1640="Subetapa",0,IF(B1640="serviço",OFFSET(N1640,-1,0)+1,OFFSET(N1640,-1,0)))</f>
        <v>6</v>
      </c>
      <c r="O1640" s="228" t="str">
        <f ca="1">IF(B1640="*","",IF(B1640="SERVIÇO",S1640,OFFSET(O1640,-1,0)))</f>
        <v>Mao de obra para colocacao de soleiras em granito</v>
      </c>
      <c r="P1640" s="232" t="str">
        <f>IF(S1640="","",IF(Orçamento!$B1640="INSUMO",S1640,""))</f>
        <v>MAO DE OBRA PARA COLOCACAO DE SOLEIRAS EM GRANITO - m²</v>
      </c>
      <c r="Q1640" s="244" t="str">
        <f>IF(B1640="","",IF(B1640="Serviço",S1640,""))</f>
        <v/>
      </c>
      <c r="R1640" s="234">
        <f ca="1">IF(B1640="serviço",U1640,OFFSET(R1640,-1,0))</f>
        <v>13.26</v>
      </c>
      <c r="S1640" s="233" t="s">
        <v>364</v>
      </c>
      <c r="T1640" s="242" t="str">
        <f>_xlfn.XLOOKUP(S1640,Insumos!$A$3:$A$371,Insumos!$B$3:$B$371)</f>
        <v>M2</v>
      </c>
      <c r="U1640" s="235">
        <f ca="1">IF($B1640="insumo",R1640,"")</f>
        <v>13.26</v>
      </c>
      <c r="V1640" s="320">
        <v>1</v>
      </c>
      <c r="W1640" s="236">
        <f>IFERROR(IF(B1640="INSUMO",_xlfn.XLOOKUP(S1640,Insumos!A:A,Insumos!C:C),""),"Inserir Preço")</f>
        <v>10.4</v>
      </c>
      <c r="X1640" s="235">
        <f ca="1">IF(B1640="Complemento do insumo",V1640,IF(R1640="","",IF(B1640="serviço",R1640,IF(OR(B1640="insumo"),V1640*R1640,""))))</f>
        <v>13.26</v>
      </c>
      <c r="Y1640" s="236">
        <f t="shared" ref="Y1640:Y1703" si="1285">IF(B1640="insumo",W1640*V1640,IF(B1640="serviço",SUMIFS(Y:Y,B:B,"insumo",E:E,E1640,I:I,I1640),""))</f>
        <v>10.4</v>
      </c>
      <c r="Z1640" s="237">
        <f t="shared" ca="1" si="1256"/>
        <v>137.904</v>
      </c>
      <c r="AA1640" s="238"/>
      <c r="AB1640" s="233" t="str">
        <f>IF(B1640="insumo",_xlfn.XLOOKUP(S1640,Insumos!A:A,Insumos!D:D),"")</f>
        <v xml:space="preserve"> </v>
      </c>
      <c r="AC1640" s="239">
        <f t="shared" ca="1" si="1257"/>
        <v>1.9783586098972432E-5</v>
      </c>
      <c r="AE1640" s="240">
        <f ca="1">IFERROR(IF(OR(Z1640="",Z1640=0),"",IF(AF1640="","",IF(AF1640="R$/mês",Z1640/OBRA!$D$12,IF(AF1640="R$/m²",Z1640/OBRA!$D$10,IF(AF1640="R$/apto",Orçamento!Z1640/OBRA!$D$11,""))))),"")</f>
        <v>7.096638071664188E-2</v>
      </c>
      <c r="AF1640" s="241" t="s">
        <v>154</v>
      </c>
    </row>
    <row r="1641" spans="1:32" s="10" customFormat="1" ht="13.15" customHeight="1" outlineLevel="2" collapsed="1" x14ac:dyDescent="0.2">
      <c r="A1641" s="227"/>
      <c r="B1641" s="228" t="s">
        <v>2</v>
      </c>
      <c r="C1641" s="229" t="str">
        <f t="shared" si="1255"/>
        <v/>
      </c>
      <c r="D1641" s="227" t="str">
        <f ca="1">IF(B1641="Unidade Construtiva",TEXT(F1641,"00"),IF(B1641="Célula Construtiva",TEXT(H1641,"00"),IF(B1641="Etapa",CONCATENATE(TEXT(H1641,"00"),".",TEXT(J1641,"000")),IF(B1641="Subetapa",CONCATENATE(TEXT(H1641,"00"),".",TEXT(J1641,"000"),".",TEXT(L1641,"000")),IF(B1641="Serviço",CONCATENATE(TEXT(H1641,"00"),".",TEXT(J1641,"000"),".",TEXT(L1641,"000"),".",TEXT(N1641,"000")),"")))))</f>
        <v>15.004</v>
      </c>
      <c r="E1641" s="228" t="str">
        <f ca="1">IF(B1641="*","",IFERROR(IF(B1641="SERVIÇO",D1641,OFFSET(E1641,-1,0)),""))</f>
        <v>15.003.005.006</v>
      </c>
      <c r="F1641" s="230">
        <f ca="1">IF($B1641="UNIDADE CONSTRUTIVA",OFFSET(F1641,-1,0)+1,LARGE(F$10:F1640,1))</f>
        <v>2</v>
      </c>
      <c r="G1641" s="228" t="str">
        <f ca="1">IF(B1641="*","",IF(B1641="UNIDADE CONSTRUTIVA",S1641,OFFSET(G1641,-1,0)))</f>
        <v xml:space="preserve">   GERENCIAMENTO EXECUTIVO</v>
      </c>
      <c r="H1641" s="230">
        <f ca="1">IF(B1641="UNIDADE CONSTRUTIVA",0,IF(B1641="CÉLULA CONSTRUTIVA",OFFSET(H1641,-1,0)+1,OFFSET(H1641,-1,0)))</f>
        <v>15</v>
      </c>
      <c r="I1641" s="228" t="str">
        <f ca="1">IF(B1641="*","",IF(B1641="CÉLULA CONSTRUTIVA",S1641,OFFSET(I1641,-1,0)))</f>
        <v xml:space="preserve">   PISOS E PAVIMENTAÇÕES</v>
      </c>
      <c r="J1641" s="230">
        <f ca="1">IF(B1641="CÉLULA CONSTRUTIVA",0,IF(B1641="ETAPA",OFFSET(J1641,-1,0)+1,OFFSET(J1641,-1,0)))</f>
        <v>4</v>
      </c>
      <c r="K1641" s="228" t="str">
        <f ca="1">IF(B1641="*","",IF(B1641="ETAPA",S1641,OFFSET(K1641,-1,0)))</f>
        <v xml:space="preserve">   PISOS E PAVIMENTAÇÕES - 8º PAVIMENTO - COBERTURA</v>
      </c>
      <c r="L1641" s="231">
        <f ca="1">IF(B1641="ETAPA",0,IF(B1641="SUBETAPA",OFFSET(L1641,-1,0)+1,OFFSET(L1641,-1,0)))</f>
        <v>0</v>
      </c>
      <c r="M1641" s="228" t="str">
        <f ca="1">IF(B1641="*","",IF(B1641="SUBETAPA",S1641,OFFSET(M1641,-1,0)))</f>
        <v xml:space="preserve">   Mão de Obra</v>
      </c>
      <c r="N1641" s="231">
        <f ca="1">IF(B1641="Subetapa",0,IF(B1641="serviço",OFFSET(N1641,-1,0)+1,OFFSET(N1641,-1,0)))</f>
        <v>6</v>
      </c>
      <c r="O1641" s="228" t="str">
        <f ca="1">IF(B1641="*","",IF(B1641="SERVIÇO",S1641,OFFSET(O1641,-1,0)))</f>
        <v>Mao de obra para colocacao de soleiras em granito</v>
      </c>
      <c r="P1641" s="232" t="str">
        <f>IF(S1641="","",IF(Orçamento!$B1641="INSUMO",S1641,""))</f>
        <v/>
      </c>
      <c r="Q1641" s="244" t="str">
        <f>IF(B1641="","",IF(B1641="Serviço",S1641,""))</f>
        <v/>
      </c>
      <c r="R1641" s="234">
        <f ca="1">IF(B1641="serviço",U1641,OFFSET(R1641,-1,0))</f>
        <v>13.26</v>
      </c>
      <c r="S1641" s="233" t="s">
        <v>723</v>
      </c>
      <c r="T1641" s="242" t="s">
        <v>35</v>
      </c>
      <c r="U1641" s="235" t="str">
        <f>IF($B1641="insumo",R1641,"")</f>
        <v/>
      </c>
      <c r="V1641" s="320" t="s">
        <v>35</v>
      </c>
      <c r="W1641" s="236" t="str">
        <f>IFERROR(IF(B1641="INSUMO",_xlfn.XLOOKUP(S1641,Insumos!A:A,Insumos!C:C),""),"Inserir Preço")</f>
        <v/>
      </c>
      <c r="X1641" s="235" t="str">
        <f ca="1">IF(B1641="Complemento do insumo",V1641,IF(R1641="","",IF(B1641="serviço",R1641,IF(OR(B1641="insumo"),V1641*R1641,""))))</f>
        <v/>
      </c>
      <c r="Y1641" s="236" t="str">
        <f t="shared" si="1285"/>
        <v/>
      </c>
      <c r="Z1641" s="237">
        <f t="shared" ca="1" si="1256"/>
        <v>38897.478344849762</v>
      </c>
      <c r="AA1641" s="238"/>
      <c r="AB1641" s="233" t="str">
        <f>IF(B1641="insumo",_xlfn.XLOOKUP(S1641,Insumos!A:A,Insumos!D:D),"")</f>
        <v/>
      </c>
      <c r="AC1641" s="239">
        <f t="shared" ca="1" si="1257"/>
        <v>5.5801979048341662E-3</v>
      </c>
      <c r="AE1641" s="240">
        <f ca="1">IFERROR(IF(OR(Z1641="",Z1641=0),"",IF(AF1641="","",IF(AF1641="R$/mês",Z1641/OBRA!$D$12,IF(AF1641="R$/m²",Z1641/OBRA!$D$10,IF(AF1641="R$/apto",Orçamento!Z1641/OBRA!$D$11,""))))),"")</f>
        <v>20.016919430458444</v>
      </c>
      <c r="AF1641" s="241" t="s">
        <v>154</v>
      </c>
    </row>
    <row r="1642" spans="1:32" s="10" customFormat="1" ht="13.15" hidden="1" customHeight="1" outlineLevel="3" collapsed="1" x14ac:dyDescent="0.2">
      <c r="A1642" s="227"/>
      <c r="B1642" s="228" t="s">
        <v>3</v>
      </c>
      <c r="C1642" s="229" t="str">
        <f t="shared" si="1255"/>
        <v/>
      </c>
      <c r="D1642" s="227" t="str">
        <f t="shared" ref="D1642:D1651" ca="1" si="1286">IF(B1642="Unidade Construtiva",TEXT(F1642,"00"),IF(B1642="Célula Construtiva",TEXT(H1642,"00"),IF(B1642="Etapa",CONCATENATE(TEXT(H1642,"00"),".",TEXT(J1642,"000")),IF(B1642="Subetapa",CONCATENATE(TEXT(H1642,"00"),".",TEXT(J1642,"000"),".",TEXT(L1642,"000")),IF(B1642="Serviço",CONCATENATE(TEXT(H1642,"00"),".",TEXT(J1642,"000"),".",TEXT(L1642,"000"),".",TEXT(N1642,"000")),"")))))</f>
        <v>15.004.001</v>
      </c>
      <c r="E1642" s="228" t="str">
        <f t="shared" ref="E1642:E1651" ca="1" si="1287">IF(B1642="*","",IFERROR(IF(B1642="SERVIÇO",D1642,OFFSET(E1642,-1,0)),""))</f>
        <v>15.003.005.006</v>
      </c>
      <c r="F1642" s="230">
        <f ca="1">IF($B1642="UNIDADE CONSTRUTIVA",OFFSET(F1642,-1,0)+1,LARGE(F$10:F1641,1))</f>
        <v>2</v>
      </c>
      <c r="G1642" s="228" t="str">
        <f t="shared" ref="G1642:G1651" ca="1" si="1288">IF(B1642="*","",IF(B1642="UNIDADE CONSTRUTIVA",S1642,OFFSET(G1642,-1,0)))</f>
        <v xml:space="preserve">   GERENCIAMENTO EXECUTIVO</v>
      </c>
      <c r="H1642" s="230">
        <f t="shared" ref="H1642:H1651" ca="1" si="1289">IF(B1642="UNIDADE CONSTRUTIVA",0,IF(B1642="CÉLULA CONSTRUTIVA",OFFSET(H1642,-1,0)+1,OFFSET(H1642,-1,0)))</f>
        <v>15</v>
      </c>
      <c r="I1642" s="228" t="str">
        <f t="shared" ref="I1642:I1651" ca="1" si="1290">IF(B1642="*","",IF(B1642="CÉLULA CONSTRUTIVA",S1642,OFFSET(I1642,-1,0)))</f>
        <v xml:space="preserve">   PISOS E PAVIMENTAÇÕES</v>
      </c>
      <c r="J1642" s="230">
        <f t="shared" ref="J1642:J1651" ca="1" si="1291">IF(B1642="CÉLULA CONSTRUTIVA",0,IF(B1642="ETAPA",OFFSET(J1642,-1,0)+1,OFFSET(J1642,-1,0)))</f>
        <v>4</v>
      </c>
      <c r="K1642" s="228" t="str">
        <f t="shared" ref="K1642:K1651" ca="1" si="1292">IF(B1642="*","",IF(B1642="ETAPA",S1642,OFFSET(K1642,-1,0)))</f>
        <v xml:space="preserve">   PISOS E PAVIMENTAÇÕES - 8º PAVIMENTO - COBERTURA</v>
      </c>
      <c r="L1642" s="231">
        <f t="shared" ref="L1642:L1651" ca="1" si="1293">IF(B1642="ETAPA",0,IF(B1642="SUBETAPA",OFFSET(L1642,-1,0)+1,OFFSET(L1642,-1,0)))</f>
        <v>1</v>
      </c>
      <c r="M1642" s="228" t="str">
        <f t="shared" ref="M1642:M1651" ca="1" si="1294">IF(B1642="*","",IF(B1642="SUBETAPA",S1642,OFFSET(M1642,-1,0)))</f>
        <v xml:space="preserve">   Contrapiso</v>
      </c>
      <c r="N1642" s="231">
        <f t="shared" ref="N1642:N1651" ca="1" si="1295">IF(B1642="Subetapa",0,IF(B1642="serviço",OFFSET(N1642,-1,0)+1,OFFSET(N1642,-1,0)))</f>
        <v>0</v>
      </c>
      <c r="O1642" s="228" t="str">
        <f t="shared" ref="O1642:O1651" ca="1" si="1296">IF(B1642="*","",IF(B1642="SERVIÇO",S1642,OFFSET(O1642,-1,0)))</f>
        <v>Mao de obra para colocacao de soleiras em granito</v>
      </c>
      <c r="P1642" s="232" t="str">
        <f>IF(S1642="","",IF(Orçamento!$B1642="INSUMO",S1642,""))</f>
        <v/>
      </c>
      <c r="Q1642" s="244" t="str">
        <f t="shared" ref="Q1642:Q1651" si="1297">IF(B1642="","",IF(B1642="Serviço",S1642,""))</f>
        <v/>
      </c>
      <c r="R1642" s="234">
        <f t="shared" ref="R1642:R1651" ca="1" si="1298">IF(B1642="serviço",U1642,OFFSET(R1642,-1,0))</f>
        <v>13.26</v>
      </c>
      <c r="S1642" s="233" t="s">
        <v>476</v>
      </c>
      <c r="T1642" s="242" t="s">
        <v>35</v>
      </c>
      <c r="U1642" s="235" t="str">
        <f>IF($B1642="insumo",R1642,"")</f>
        <v/>
      </c>
      <c r="V1642" s="320" t="s">
        <v>35</v>
      </c>
      <c r="W1642" s="236" t="str">
        <f>IFERROR(IF(B1642="INSUMO",_xlfn.XLOOKUP(S1642,Insumos!A:A,Insumos!C:C),""),"Inserir Preço")</f>
        <v/>
      </c>
      <c r="X1642" s="235" t="str">
        <f t="shared" ref="X1642:X1651" ca="1" si="1299">IF(B1642="Complemento do insumo",V1642,IF(R1642="","",IF(B1642="serviço",R1642,IF(OR(B1642="insumo"),V1642*R1642,""))))</f>
        <v/>
      </c>
      <c r="Y1642" s="236" t="str">
        <f t="shared" si="1285"/>
        <v/>
      </c>
      <c r="Z1642" s="237">
        <f t="shared" ca="1" si="1256"/>
        <v>4192.0079999999998</v>
      </c>
      <c r="AA1642" s="238"/>
      <c r="AB1642" s="233" t="str">
        <f>IF(B1642="insumo",_xlfn.XLOOKUP(S1642,Insumos!A:A,Insumos!D:D),"")</f>
        <v/>
      </c>
      <c r="AC1642" s="239">
        <f t="shared" ca="1" si="1257"/>
        <v>6.0138176699429469E-4</v>
      </c>
      <c r="AE1642" s="240">
        <f ca="1">IFERROR(IF(OR(Z1642="",Z1642=0),"",IF(AF1642="","",IF(AF1642="R$/mês",Z1642/OBRA!$D$12,IF(AF1642="R$/m²",Z1642/OBRA!$D$10,IF(AF1642="R$/apto",Orçamento!Z1642/OBRA!$D$11,""))))),"")</f>
        <v>2.1572371772770076</v>
      </c>
      <c r="AF1642" s="241" t="s">
        <v>154</v>
      </c>
    </row>
    <row r="1643" spans="1:32" s="10" customFormat="1" ht="13.15" hidden="1" customHeight="1" outlineLevel="4" x14ac:dyDescent="0.2">
      <c r="A1643" s="227"/>
      <c r="B1643" s="228" t="s">
        <v>4</v>
      </c>
      <c r="C1643" s="229">
        <f t="shared" si="1255"/>
        <v>5</v>
      </c>
      <c r="D1643" s="227" t="str">
        <f t="shared" ca="1" si="1286"/>
        <v>15.004.001.001</v>
      </c>
      <c r="E1643" s="228" t="str">
        <f t="shared" ca="1" si="1287"/>
        <v>15.004.001.001</v>
      </c>
      <c r="F1643" s="230">
        <f ca="1">IF($B1643="UNIDADE CONSTRUTIVA",OFFSET(F1643,-1,0)+1,LARGE(F$10:F1642,1))</f>
        <v>2</v>
      </c>
      <c r="G1643" s="228" t="str">
        <f t="shared" ca="1" si="1288"/>
        <v xml:space="preserve">   GERENCIAMENTO EXECUTIVO</v>
      </c>
      <c r="H1643" s="230">
        <f t="shared" ca="1" si="1289"/>
        <v>15</v>
      </c>
      <c r="I1643" s="228" t="str">
        <f t="shared" ca="1" si="1290"/>
        <v xml:space="preserve">   PISOS E PAVIMENTAÇÕES</v>
      </c>
      <c r="J1643" s="230">
        <f t="shared" ca="1" si="1291"/>
        <v>4</v>
      </c>
      <c r="K1643" s="228" t="str">
        <f t="shared" ca="1" si="1292"/>
        <v xml:space="preserve">   PISOS E PAVIMENTAÇÕES - 8º PAVIMENTO - COBERTURA</v>
      </c>
      <c r="L1643" s="231">
        <f t="shared" ca="1" si="1293"/>
        <v>1</v>
      </c>
      <c r="M1643" s="228" t="str">
        <f t="shared" ca="1" si="1294"/>
        <v xml:space="preserve">   Contrapiso</v>
      </c>
      <c r="N1643" s="231">
        <f t="shared" ca="1" si="1295"/>
        <v>1</v>
      </c>
      <c r="O1643" s="228" t="str">
        <f t="shared" ca="1" si="1296"/>
        <v>Contrapiso comum em argamassa estabilizada, nao aderido, espessura 8cm</v>
      </c>
      <c r="P1643" s="232" t="str">
        <f>IF(S1643="","",IF(Orçamento!$B1643="INSUMO",S1643,""))</f>
        <v/>
      </c>
      <c r="Q1643" s="244" t="str">
        <f t="shared" si="1297"/>
        <v>Contrapiso comum em argamassa estabilizada, nao aderido, espessura 8cm</v>
      </c>
      <c r="R1643" s="234">
        <f t="shared" ca="1" si="1298"/>
        <v>88.16</v>
      </c>
      <c r="S1643" s="233" t="s">
        <v>745</v>
      </c>
      <c r="T1643" s="242" t="s">
        <v>140</v>
      </c>
      <c r="U1643" s="235">
        <v>88.16</v>
      </c>
      <c r="V1643" s="320" t="s">
        <v>35</v>
      </c>
      <c r="W1643" s="236" t="str">
        <f>IFERROR(IF(B1643="INSUMO",_xlfn.XLOOKUP(S1643,Insumos!A:A,Insumos!C:C),""),"Inserir Preço")</f>
        <v/>
      </c>
      <c r="X1643" s="235">
        <f t="shared" ca="1" si="1299"/>
        <v>88.16</v>
      </c>
      <c r="Y1643" s="236">
        <f t="shared" ca="1" si="1285"/>
        <v>47.55</v>
      </c>
      <c r="Z1643" s="237">
        <f t="shared" ca="1" si="1256"/>
        <v>4192.0079999999998</v>
      </c>
      <c r="AA1643" s="238"/>
      <c r="AB1643" s="233" t="str">
        <f>IF(B1643="insumo",_xlfn.XLOOKUP(S1643,Insumos!A:A,Insumos!D:D),"")</f>
        <v/>
      </c>
      <c r="AC1643" s="239">
        <f t="shared" ca="1" si="1257"/>
        <v>6.0138176699429469E-4</v>
      </c>
      <c r="AE1643" s="240">
        <f ca="1">IFERROR(IF(OR(Z1643="",Z1643=0),"",IF(AF1643="","",IF(AF1643="R$/mês",Z1643/OBRA!$D$12,IF(AF1643="R$/m²",Z1643/OBRA!$D$10,IF(AF1643="R$/apto",Orçamento!Z1643/OBRA!$D$11,""))))),"")</f>
        <v>2.1572371772770076</v>
      </c>
      <c r="AF1643" s="241" t="s">
        <v>154</v>
      </c>
    </row>
    <row r="1644" spans="1:32" s="10" customFormat="1" ht="13.15" hidden="1" customHeight="1" outlineLevel="4" x14ac:dyDescent="0.2">
      <c r="A1644" s="227"/>
      <c r="B1644" s="228" t="s">
        <v>19</v>
      </c>
      <c r="C1644" s="229">
        <f t="shared" si="1255"/>
        <v>11</v>
      </c>
      <c r="D1644" s="227" t="str">
        <f t="shared" si="1286"/>
        <v/>
      </c>
      <c r="E1644" s="228" t="str">
        <f t="shared" ca="1" si="1287"/>
        <v>15.004.001.001</v>
      </c>
      <c r="F1644" s="230">
        <f ca="1">IF($B1644="UNIDADE CONSTRUTIVA",OFFSET(F1644,-1,0)+1,LARGE(F$10:F1643,1))</f>
        <v>2</v>
      </c>
      <c r="G1644" s="228" t="str">
        <f t="shared" ca="1" si="1288"/>
        <v xml:space="preserve">   GERENCIAMENTO EXECUTIVO</v>
      </c>
      <c r="H1644" s="230">
        <f t="shared" ca="1" si="1289"/>
        <v>15</v>
      </c>
      <c r="I1644" s="228" t="str">
        <f t="shared" ca="1" si="1290"/>
        <v xml:space="preserve">   PISOS E PAVIMENTAÇÕES</v>
      </c>
      <c r="J1644" s="230">
        <f t="shared" ca="1" si="1291"/>
        <v>4</v>
      </c>
      <c r="K1644" s="228" t="str">
        <f t="shared" ca="1" si="1292"/>
        <v xml:space="preserve">   PISOS E PAVIMENTAÇÕES - 8º PAVIMENTO - COBERTURA</v>
      </c>
      <c r="L1644" s="231">
        <f t="shared" ca="1" si="1293"/>
        <v>1</v>
      </c>
      <c r="M1644" s="228" t="str">
        <f t="shared" ca="1" si="1294"/>
        <v xml:space="preserve">   Contrapiso</v>
      </c>
      <c r="N1644" s="231">
        <f t="shared" ca="1" si="1295"/>
        <v>1</v>
      </c>
      <c r="O1644" s="228" t="str">
        <f t="shared" ca="1" si="1296"/>
        <v>Contrapiso comum em argamassa estabilizada, nao aderido, espessura 8cm</v>
      </c>
      <c r="P1644" s="232" t="str">
        <f>IF(S1644="","",IF(Orçamento!$B1644="INSUMO",S1644,""))</f>
        <v>ARGAMASSA ESTABILIZADA P/ CONTRAPISO</v>
      </c>
      <c r="Q1644" s="244" t="str">
        <f t="shared" si="1297"/>
        <v/>
      </c>
      <c r="R1644" s="234">
        <f t="shared" ca="1" si="1298"/>
        <v>88.16</v>
      </c>
      <c r="S1644" s="233" t="s">
        <v>277</v>
      </c>
      <c r="T1644" s="242" t="str">
        <f>_xlfn.XLOOKUP(S1644,Insumos!$A$3:$A$371,Insumos!$B$3:$B$371)</f>
        <v>M3</v>
      </c>
      <c r="U1644" s="235">
        <f ca="1">IF($B1644="insumo",R1644,"")</f>
        <v>88.16</v>
      </c>
      <c r="V1644" s="320">
        <v>8.7999999999999995E-2</v>
      </c>
      <c r="W1644" s="236">
        <f>IFERROR(IF(B1644="INSUMO",_xlfn.XLOOKUP(S1644,Insumos!A:A,Insumos!C:C),""),"Inserir Preço")</f>
        <v>425</v>
      </c>
      <c r="X1644" s="235">
        <f t="shared" ca="1" si="1299"/>
        <v>7.7580799999999996</v>
      </c>
      <c r="Y1644" s="236">
        <f t="shared" si="1285"/>
        <v>37.4</v>
      </c>
      <c r="Z1644" s="237">
        <f t="shared" ca="1" si="1256"/>
        <v>3297.1839999999997</v>
      </c>
      <c r="AA1644" s="238"/>
      <c r="AB1644" s="233" t="str">
        <f>IF(B1644="insumo",_xlfn.XLOOKUP(S1644,Insumos!A:A,Insumos!D:D),"")</f>
        <v xml:space="preserve"> </v>
      </c>
      <c r="AC1644" s="239">
        <f t="shared" ca="1" si="1257"/>
        <v>4.7301110590087532E-4</v>
      </c>
      <c r="AE1644" s="240">
        <f ca="1">IFERROR(IF(OR(Z1644="",Z1644=0),"",IF(AF1644="","",IF(AF1644="R$/mês",Z1644/OBRA!$D$12,IF(AF1644="R$/m²",Z1644/OBRA!$D$10,IF(AF1644="R$/apto",Orçamento!Z1644/OBRA!$D$11,""))))),"")</f>
        <v>1.6967543728740291</v>
      </c>
      <c r="AF1644" s="241" t="s">
        <v>154</v>
      </c>
    </row>
    <row r="1645" spans="1:32" s="10" customFormat="1" ht="13.15" hidden="1" customHeight="1" outlineLevel="4" x14ac:dyDescent="0.2">
      <c r="A1645" s="227"/>
      <c r="B1645" s="228" t="s">
        <v>19</v>
      </c>
      <c r="C1645" s="229">
        <f t="shared" si="1255"/>
        <v>5</v>
      </c>
      <c r="D1645" s="227" t="str">
        <f t="shared" si="1286"/>
        <v/>
      </c>
      <c r="E1645" s="228" t="str">
        <f t="shared" ca="1" si="1287"/>
        <v>15.004.001.001</v>
      </c>
      <c r="F1645" s="230">
        <f ca="1">IF($B1645="UNIDADE CONSTRUTIVA",OFFSET(F1645,-1,0)+1,LARGE(F$10:F1644,1))</f>
        <v>2</v>
      </c>
      <c r="G1645" s="228" t="str">
        <f t="shared" ca="1" si="1288"/>
        <v xml:space="preserve">   GERENCIAMENTO EXECUTIVO</v>
      </c>
      <c r="H1645" s="230">
        <f t="shared" ca="1" si="1289"/>
        <v>15</v>
      </c>
      <c r="I1645" s="228" t="str">
        <f t="shared" ca="1" si="1290"/>
        <v xml:space="preserve">   PISOS E PAVIMENTAÇÕES</v>
      </c>
      <c r="J1645" s="230">
        <f t="shared" ca="1" si="1291"/>
        <v>4</v>
      </c>
      <c r="K1645" s="228" t="str">
        <f t="shared" ca="1" si="1292"/>
        <v xml:space="preserve">   PISOS E PAVIMENTAÇÕES - 8º PAVIMENTO - COBERTURA</v>
      </c>
      <c r="L1645" s="231">
        <f t="shared" ca="1" si="1293"/>
        <v>1</v>
      </c>
      <c r="M1645" s="228" t="str">
        <f t="shared" ca="1" si="1294"/>
        <v xml:space="preserve">   Contrapiso</v>
      </c>
      <c r="N1645" s="231">
        <f t="shared" ca="1" si="1295"/>
        <v>1</v>
      </c>
      <c r="O1645" s="228" t="str">
        <f t="shared" ca="1" si="1296"/>
        <v>Contrapiso comum em argamassa estabilizada, nao aderido, espessura 8cm</v>
      </c>
      <c r="P1645" s="232" t="str">
        <f>IF(S1645="","",IF(Orçamento!$B1645="INSUMO",S1645,""))</f>
        <v>MANTA ACÚSTICA DE POLIETILENO</v>
      </c>
      <c r="Q1645" s="244" t="str">
        <f t="shared" si="1297"/>
        <v/>
      </c>
      <c r="R1645" s="234">
        <f t="shared" ca="1" si="1298"/>
        <v>88.16</v>
      </c>
      <c r="S1645" s="233" t="s">
        <v>1158</v>
      </c>
      <c r="T1645" s="242" t="str">
        <f>_xlfn.XLOOKUP(S1645,Insumos!$A$3:$A$371,Insumos!$B$3:$B$371)</f>
        <v>M2</v>
      </c>
      <c r="U1645" s="235">
        <f ca="1">IF($B1645="insumo",R1645,"")</f>
        <v>88.16</v>
      </c>
      <c r="V1645" s="320">
        <v>1</v>
      </c>
      <c r="W1645" s="236">
        <f>IFERROR(IF(B1645="INSUMO",_xlfn.XLOOKUP(S1645,Insumos!A:A,Insumos!C:C),""),"Inserir Preço")</f>
        <v>10.15</v>
      </c>
      <c r="X1645" s="235">
        <f t="shared" ca="1" si="1299"/>
        <v>88.16</v>
      </c>
      <c r="Y1645" s="236">
        <f t="shared" si="1285"/>
        <v>10.15</v>
      </c>
      <c r="Z1645" s="237">
        <f t="shared" ca="1" si="1256"/>
        <v>894.82399999999996</v>
      </c>
      <c r="AA1645" s="238"/>
      <c r="AB1645" s="233" t="str">
        <f>IF(B1645="insumo",_xlfn.XLOOKUP(S1645,Insumos!A:A,Insumos!D:D),"")</f>
        <v xml:space="preserve"> </v>
      </c>
      <c r="AC1645" s="239">
        <f t="shared" ca="1" si="1257"/>
        <v>1.2837066109341937E-4</v>
      </c>
      <c r="AE1645" s="240">
        <f ca="1">IFERROR(IF(OR(Z1645="",Z1645=0),"",IF(AF1645="","",IF(AF1645="R$/mês",Z1645/OBRA!$D$12,IF(AF1645="R$/m²",Z1645/OBRA!$D$10,IF(AF1645="R$/apto",Orçamento!Z1645/OBRA!$D$11,""))))),"")</f>
        <v>0.46048280440297851</v>
      </c>
      <c r="AF1645" s="241" t="s">
        <v>154</v>
      </c>
    </row>
    <row r="1646" spans="1:32" s="10" customFormat="1" ht="13.15" hidden="1" customHeight="1" outlineLevel="3" collapsed="1" x14ac:dyDescent="0.2">
      <c r="A1646" s="227"/>
      <c r="B1646" s="228" t="s">
        <v>3</v>
      </c>
      <c r="C1646" s="229" t="str">
        <f t="shared" si="1255"/>
        <v/>
      </c>
      <c r="D1646" s="227" t="str">
        <f t="shared" ca="1" si="1286"/>
        <v>15.004.002</v>
      </c>
      <c r="E1646" s="228" t="str">
        <f t="shared" ca="1" si="1287"/>
        <v>15.004.001.001</v>
      </c>
      <c r="F1646" s="230">
        <f ca="1">IF($B1646="UNIDADE CONSTRUTIVA",OFFSET(F1646,-1,0)+1,LARGE(F$10:F1645,1))</f>
        <v>2</v>
      </c>
      <c r="G1646" s="228" t="str">
        <f t="shared" ca="1" si="1288"/>
        <v xml:space="preserve">   GERENCIAMENTO EXECUTIVO</v>
      </c>
      <c r="H1646" s="230">
        <f t="shared" ca="1" si="1289"/>
        <v>15</v>
      </c>
      <c r="I1646" s="228" t="str">
        <f t="shared" ca="1" si="1290"/>
        <v xml:space="preserve">   PISOS E PAVIMENTAÇÕES</v>
      </c>
      <c r="J1646" s="230">
        <f t="shared" ca="1" si="1291"/>
        <v>4</v>
      </c>
      <c r="K1646" s="228" t="str">
        <f t="shared" ca="1" si="1292"/>
        <v xml:space="preserve">   PISOS E PAVIMENTAÇÕES - 8º PAVIMENTO - COBERTURA</v>
      </c>
      <c r="L1646" s="231">
        <f t="shared" ca="1" si="1293"/>
        <v>2</v>
      </c>
      <c r="M1646" s="228" t="str">
        <f t="shared" ca="1" si="1294"/>
        <v xml:space="preserve">   Acabamentos em Piso</v>
      </c>
      <c r="N1646" s="231">
        <f t="shared" ca="1" si="1295"/>
        <v>0</v>
      </c>
      <c r="O1646" s="228" t="str">
        <f t="shared" ca="1" si="1296"/>
        <v>Contrapiso comum em argamassa estabilizada, nao aderido, espessura 8cm</v>
      </c>
      <c r="P1646" s="232" t="str">
        <f>IF(S1646="","",IF(Orçamento!$B1646="INSUMO",S1646,""))</f>
        <v/>
      </c>
      <c r="Q1646" s="244" t="str">
        <f t="shared" si="1297"/>
        <v/>
      </c>
      <c r="R1646" s="234">
        <f t="shared" ca="1" si="1298"/>
        <v>88.16</v>
      </c>
      <c r="S1646" s="233" t="s">
        <v>488</v>
      </c>
      <c r="T1646" s="242" t="s">
        <v>35</v>
      </c>
      <c r="U1646" s="235" t="str">
        <f>IF($B1646="insumo",R1646,"")</f>
        <v/>
      </c>
      <c r="V1646" s="320" t="s">
        <v>35</v>
      </c>
      <c r="W1646" s="236" t="str">
        <f>IFERROR(IF(B1646="INSUMO",_xlfn.XLOOKUP(S1646,Insumos!A:A,Insumos!C:C),""),"Inserir Preço")</f>
        <v/>
      </c>
      <c r="X1646" s="235" t="str">
        <f t="shared" ca="1" si="1299"/>
        <v/>
      </c>
      <c r="Y1646" s="236" t="str">
        <f t="shared" si="1285"/>
        <v/>
      </c>
      <c r="Z1646" s="237">
        <f t="shared" ca="1" si="1256"/>
        <v>16266.577650000003</v>
      </c>
      <c r="AA1646" s="238"/>
      <c r="AB1646" s="233" t="str">
        <f>IF(B1646="insumo",_xlfn.XLOOKUP(S1646,Insumos!A:A,Insumos!D:D),"")</f>
        <v/>
      </c>
      <c r="AC1646" s="239">
        <f t="shared" ca="1" si="1257"/>
        <v>2.3335888696078117E-3</v>
      </c>
      <c r="AE1646" s="240">
        <f ca="1">IFERROR(IF(OR(Z1646="",Z1646=0),"",IF(AF1646="","",IF(AF1646="R$/mês",Z1646/OBRA!$D$12,IF(AF1646="R$/m²",Z1646/OBRA!$D$10,IF(AF1646="R$/apto",Orçamento!Z1646/OBRA!$D$11,""))))),"")</f>
        <v>8.3708967286425189</v>
      </c>
      <c r="AF1646" s="241" t="s">
        <v>154</v>
      </c>
    </row>
    <row r="1647" spans="1:32" s="10" customFormat="1" ht="13.15" hidden="1" customHeight="1" outlineLevel="4" x14ac:dyDescent="0.2">
      <c r="A1647" s="227"/>
      <c r="B1647" s="228" t="s">
        <v>4</v>
      </c>
      <c r="C1647" s="229">
        <f t="shared" si="1255"/>
        <v>3</v>
      </c>
      <c r="D1647" s="227" t="str">
        <f t="shared" ca="1" si="1286"/>
        <v>15.004.002.001</v>
      </c>
      <c r="E1647" s="228" t="str">
        <f t="shared" ca="1" si="1287"/>
        <v>15.004.002.001</v>
      </c>
      <c r="F1647" s="230">
        <f ca="1">IF($B1647="UNIDADE CONSTRUTIVA",OFFSET(F1647,-1,0)+1,LARGE(F$10:F1646,1))</f>
        <v>2</v>
      </c>
      <c r="G1647" s="228" t="str">
        <f t="shared" ca="1" si="1288"/>
        <v xml:space="preserve">   GERENCIAMENTO EXECUTIVO</v>
      </c>
      <c r="H1647" s="230">
        <f t="shared" ca="1" si="1289"/>
        <v>15</v>
      </c>
      <c r="I1647" s="228" t="str">
        <f t="shared" ca="1" si="1290"/>
        <v xml:space="preserve">   PISOS E PAVIMENTAÇÕES</v>
      </c>
      <c r="J1647" s="230">
        <f t="shared" ca="1" si="1291"/>
        <v>4</v>
      </c>
      <c r="K1647" s="228" t="str">
        <f t="shared" ca="1" si="1292"/>
        <v xml:space="preserve">   PISOS E PAVIMENTAÇÕES - 8º PAVIMENTO - COBERTURA</v>
      </c>
      <c r="L1647" s="231">
        <f t="shared" ca="1" si="1293"/>
        <v>2</v>
      </c>
      <c r="M1647" s="228" t="str">
        <f t="shared" ca="1" si="1294"/>
        <v xml:space="preserve">   Acabamentos em Piso</v>
      </c>
      <c r="N1647" s="231">
        <f t="shared" ca="1" si="1295"/>
        <v>1</v>
      </c>
      <c r="O1647" s="228" t="str">
        <f t="shared" ca="1" si="1296"/>
        <v>Revestimento interno de piso Cerâmico placa 60x60cm - áreas Internas</v>
      </c>
      <c r="P1647" s="232" t="str">
        <f>IF(S1647="","",IF(Orçamento!$B1647="INSUMO",S1647,""))</f>
        <v/>
      </c>
      <c r="Q1647" s="244" t="str">
        <f t="shared" si="1297"/>
        <v>Revestimento interno de piso Cerâmico placa 60x60cm - áreas Internas</v>
      </c>
      <c r="R1647" s="234">
        <f t="shared" ca="1" si="1298"/>
        <v>26.01</v>
      </c>
      <c r="S1647" s="233" t="s">
        <v>1121</v>
      </c>
      <c r="T1647" s="242" t="s">
        <v>140</v>
      </c>
      <c r="U1647" s="235">
        <v>26.01</v>
      </c>
      <c r="V1647" s="320" t="s">
        <v>35</v>
      </c>
      <c r="W1647" s="236" t="str">
        <f>IFERROR(IF(B1647="INSUMO",_xlfn.XLOOKUP(S1647,Insumos!A:A,Insumos!C:C),""),"Inserir Preço")</f>
        <v/>
      </c>
      <c r="X1647" s="235">
        <f t="shared" ca="1" si="1299"/>
        <v>26.01</v>
      </c>
      <c r="Y1647" s="236">
        <f t="shared" ca="1" si="1285"/>
        <v>58.695000000000007</v>
      </c>
      <c r="Z1647" s="237">
        <f t="shared" ca="1" si="1256"/>
        <v>1526.6569500000003</v>
      </c>
      <c r="AA1647" s="238"/>
      <c r="AB1647" s="233" t="str">
        <f>IF(B1647="insumo",_xlfn.XLOOKUP(S1647,Insumos!A:A,Insumos!D:D),"")</f>
        <v/>
      </c>
      <c r="AC1647" s="239">
        <f t="shared" ca="1" si="1257"/>
        <v>2.1901285832114843E-4</v>
      </c>
      <c r="AE1647" s="240">
        <f ca="1">IFERROR(IF(OR(Z1647="",Z1647=0),"",IF(AF1647="","",IF(AF1647="R$/mês",Z1647/OBRA!$D$12,IF(AF1647="R$/m²",Z1647/OBRA!$D$10,IF(AF1647="R$/apto",Orçamento!Z1647/OBRA!$D$11,""))))),"")</f>
        <v>0.78562854114026659</v>
      </c>
      <c r="AF1647" s="241" t="s">
        <v>154</v>
      </c>
    </row>
    <row r="1648" spans="1:32" s="10" customFormat="1" ht="13.15" hidden="1" customHeight="1" outlineLevel="4" x14ac:dyDescent="0.2">
      <c r="A1648" s="227"/>
      <c r="B1648" s="228" t="s">
        <v>19</v>
      </c>
      <c r="C1648" s="229">
        <f t="shared" si="1255"/>
        <v>23</v>
      </c>
      <c r="D1648" s="227" t="str">
        <f t="shared" si="1286"/>
        <v/>
      </c>
      <c r="E1648" s="228" t="str">
        <f t="shared" ca="1" si="1287"/>
        <v>15.004.002.001</v>
      </c>
      <c r="F1648" s="230">
        <f ca="1">IF($B1648="UNIDADE CONSTRUTIVA",OFFSET(F1648,-1,0)+1,LARGE(F$10:F1647,1))</f>
        <v>2</v>
      </c>
      <c r="G1648" s="228" t="str">
        <f t="shared" ca="1" si="1288"/>
        <v xml:space="preserve">   GERENCIAMENTO EXECUTIVO</v>
      </c>
      <c r="H1648" s="230">
        <f t="shared" ca="1" si="1289"/>
        <v>15</v>
      </c>
      <c r="I1648" s="228" t="str">
        <f t="shared" ca="1" si="1290"/>
        <v xml:space="preserve">   PISOS E PAVIMENTAÇÕES</v>
      </c>
      <c r="J1648" s="230">
        <f t="shared" ca="1" si="1291"/>
        <v>4</v>
      </c>
      <c r="K1648" s="228" t="str">
        <f t="shared" ca="1" si="1292"/>
        <v xml:space="preserve">   PISOS E PAVIMENTAÇÕES - 8º PAVIMENTO - COBERTURA</v>
      </c>
      <c r="L1648" s="231">
        <f t="shared" ca="1" si="1293"/>
        <v>2</v>
      </c>
      <c r="M1648" s="228" t="str">
        <f t="shared" ca="1" si="1294"/>
        <v xml:space="preserve">   Acabamentos em Piso</v>
      </c>
      <c r="N1648" s="231">
        <f t="shared" ca="1" si="1295"/>
        <v>1</v>
      </c>
      <c r="O1648" s="228" t="str">
        <f t="shared" ca="1" si="1296"/>
        <v>Revestimento interno de piso Cerâmico placa 60x60cm - áreas Internas</v>
      </c>
      <c r="P1648" s="232" t="str">
        <f>IF(S1648="","",IF(Orçamento!$B1648="INSUMO",S1648,""))</f>
        <v>ARGAMASSA COLANTE AC II</v>
      </c>
      <c r="Q1648" s="244" t="str">
        <f t="shared" si="1297"/>
        <v/>
      </c>
      <c r="R1648" s="234">
        <f t="shared" ca="1" si="1298"/>
        <v>26.01</v>
      </c>
      <c r="S1648" s="233" t="s">
        <v>314</v>
      </c>
      <c r="T1648" s="242" t="str">
        <f>_xlfn.XLOOKUP(S1648,Insumos!$A$3:$A$371,Insumos!$B$3:$B$371)</f>
        <v>KG</v>
      </c>
      <c r="U1648" s="235">
        <f ca="1">IF($B1648="insumo",R1648,"")</f>
        <v>26.01</v>
      </c>
      <c r="V1648" s="320">
        <v>9</v>
      </c>
      <c r="W1648" s="236">
        <f>IFERROR(IF(B1648="INSUMO",_xlfn.XLOOKUP(S1648,Insumos!A:A,Insumos!C:C),""),"Inserir Preço")</f>
        <v>0.84000000000000008</v>
      </c>
      <c r="X1648" s="235">
        <f t="shared" ca="1" si="1299"/>
        <v>234.09</v>
      </c>
      <c r="Y1648" s="236">
        <f t="shared" si="1285"/>
        <v>7.5600000000000005</v>
      </c>
      <c r="Z1648" s="237">
        <f t="shared" ca="1" si="1256"/>
        <v>196.63560000000001</v>
      </c>
      <c r="AA1648" s="238"/>
      <c r="AB1648" s="233" t="str">
        <f>IF(B1648="insumo",_xlfn.XLOOKUP(S1648,Insumos!A:A,Insumos!D:D),"")</f>
        <v>Argabrus</v>
      </c>
      <c r="AC1648" s="239">
        <f t="shared" ca="1" si="1257"/>
        <v>2.820916958698155E-5</v>
      </c>
      <c r="AE1648" s="240">
        <f ca="1">IFERROR(IF(OR(Z1648="",Z1648=0),"",IF(AF1648="","",IF(AF1648="R$/mês",Z1648/OBRA!$D$12,IF(AF1648="R$/m²",Z1648/OBRA!$D$10,IF(AF1648="R$/apto",Orçamento!Z1648/OBRA!$D$11,""))))),"")</f>
        <v>0.10119008043309335</v>
      </c>
      <c r="AF1648" s="241" t="s">
        <v>154</v>
      </c>
    </row>
    <row r="1649" spans="1:32" s="10" customFormat="1" ht="13.15" hidden="1" customHeight="1" outlineLevel="4" x14ac:dyDescent="0.2">
      <c r="A1649" s="227"/>
      <c r="B1649" s="228" t="s">
        <v>19</v>
      </c>
      <c r="C1649" s="229">
        <f t="shared" si="1255"/>
        <v>32</v>
      </c>
      <c r="D1649" s="227" t="str">
        <f t="shared" si="1286"/>
        <v/>
      </c>
      <c r="E1649" s="228" t="str">
        <f t="shared" ca="1" si="1287"/>
        <v>15.004.002.001</v>
      </c>
      <c r="F1649" s="230">
        <f ca="1">IF($B1649="UNIDADE CONSTRUTIVA",OFFSET(F1649,-1,0)+1,LARGE(F$10:F1648,1))</f>
        <v>2</v>
      </c>
      <c r="G1649" s="228" t="str">
        <f t="shared" ca="1" si="1288"/>
        <v xml:space="preserve">   GERENCIAMENTO EXECUTIVO</v>
      </c>
      <c r="H1649" s="230">
        <f t="shared" ca="1" si="1289"/>
        <v>15</v>
      </c>
      <c r="I1649" s="228" t="str">
        <f t="shared" ca="1" si="1290"/>
        <v xml:space="preserve">   PISOS E PAVIMENTAÇÕES</v>
      </c>
      <c r="J1649" s="230">
        <f t="shared" ca="1" si="1291"/>
        <v>4</v>
      </c>
      <c r="K1649" s="228" t="str">
        <f t="shared" ca="1" si="1292"/>
        <v xml:space="preserve">   PISOS E PAVIMENTAÇÕES - 8º PAVIMENTO - COBERTURA</v>
      </c>
      <c r="L1649" s="231">
        <f t="shared" ca="1" si="1293"/>
        <v>2</v>
      </c>
      <c r="M1649" s="228" t="str">
        <f t="shared" ca="1" si="1294"/>
        <v xml:space="preserve">   Acabamentos em Piso</v>
      </c>
      <c r="N1649" s="231">
        <f t="shared" ca="1" si="1295"/>
        <v>1</v>
      </c>
      <c r="O1649" s="228" t="str">
        <f t="shared" ca="1" si="1296"/>
        <v>Revestimento interno de piso Cerâmico placa 60x60cm - áreas Internas</v>
      </c>
      <c r="P1649" s="232" t="str">
        <f>IF(S1649="","",IF(Orçamento!$B1649="INSUMO",S1649,""))</f>
        <v>REJUNTE FLEXIVEL CIMENTICIO TIPO II NBR 14992</v>
      </c>
      <c r="Q1649" s="244" t="str">
        <f t="shared" si="1297"/>
        <v/>
      </c>
      <c r="R1649" s="234">
        <f t="shared" ca="1" si="1298"/>
        <v>26.01</v>
      </c>
      <c r="S1649" s="233" t="s">
        <v>734</v>
      </c>
      <c r="T1649" s="242" t="str">
        <f>_xlfn.XLOOKUP(S1649,Insumos!$A$3:$A$371,Insumos!$B$3:$B$371)</f>
        <v>KG</v>
      </c>
      <c r="U1649" s="235">
        <f ca="1">IF($B1649="insumo",R1649,"")</f>
        <v>26.01</v>
      </c>
      <c r="V1649" s="320">
        <v>0.13</v>
      </c>
      <c r="W1649" s="236">
        <f>IFERROR(IF(B1649="INSUMO",_xlfn.XLOOKUP(S1649,Insumos!A:A,Insumos!C:C),""),"Inserir Preço")</f>
        <v>4.2</v>
      </c>
      <c r="X1649" s="235">
        <f t="shared" ca="1" si="1299"/>
        <v>3.3813000000000004</v>
      </c>
      <c r="Y1649" s="236">
        <f t="shared" si="1285"/>
        <v>0.54600000000000004</v>
      </c>
      <c r="Z1649" s="237">
        <f t="shared" ca="1" si="1256"/>
        <v>14.201460000000003</v>
      </c>
      <c r="AA1649" s="238"/>
      <c r="AB1649" s="233" t="str">
        <f>IF(B1649="insumo",_xlfn.XLOOKUP(S1649,Insumos!A:A,Insumos!D:D),"")</f>
        <v>Distribuidora Sika</v>
      </c>
      <c r="AC1649" s="239">
        <f t="shared" ca="1" si="1257"/>
        <v>2.0373289146153343E-6</v>
      </c>
      <c r="AE1649" s="240">
        <f ca="1">IFERROR(IF(OR(Z1649="",Z1649=0),"",IF(AF1649="","",IF(AF1649="R$/mês",Z1649/OBRA!$D$12,IF(AF1649="R$/m²",Z1649/OBRA!$D$10,IF(AF1649="R$/apto",Orçamento!Z1649/OBRA!$D$11,""))))),"")</f>
        <v>7.3081724757234102E-3</v>
      </c>
      <c r="AF1649" s="241" t="s">
        <v>154</v>
      </c>
    </row>
    <row r="1650" spans="1:32" s="10" customFormat="1" ht="13.15" hidden="1" customHeight="1" outlineLevel="4" x14ac:dyDescent="0.2">
      <c r="A1650" s="227"/>
      <c r="B1650" s="228" t="s">
        <v>19</v>
      </c>
      <c r="C1650" s="229">
        <f t="shared" si="1255"/>
        <v>15</v>
      </c>
      <c r="D1650" s="227" t="str">
        <f t="shared" si="1286"/>
        <v/>
      </c>
      <c r="E1650" s="228" t="str">
        <f t="shared" ca="1" si="1287"/>
        <v>15.004.002.001</v>
      </c>
      <c r="F1650" s="230">
        <f ca="1">IF($B1650="UNIDADE CONSTRUTIVA",OFFSET(F1650,-1,0)+1,LARGE(F$10:F1649,1))</f>
        <v>2</v>
      </c>
      <c r="G1650" s="228" t="str">
        <f t="shared" ca="1" si="1288"/>
        <v xml:space="preserve">   GERENCIAMENTO EXECUTIVO</v>
      </c>
      <c r="H1650" s="230">
        <f t="shared" ca="1" si="1289"/>
        <v>15</v>
      </c>
      <c r="I1650" s="228" t="str">
        <f t="shared" ca="1" si="1290"/>
        <v xml:space="preserve">   PISOS E PAVIMENTAÇÕES</v>
      </c>
      <c r="J1650" s="230">
        <f t="shared" ca="1" si="1291"/>
        <v>4</v>
      </c>
      <c r="K1650" s="228" t="str">
        <f t="shared" ca="1" si="1292"/>
        <v xml:space="preserve">   PISOS E PAVIMENTAÇÕES - 8º PAVIMENTO - COBERTURA</v>
      </c>
      <c r="L1650" s="231">
        <f t="shared" ca="1" si="1293"/>
        <v>2</v>
      </c>
      <c r="M1650" s="228" t="str">
        <f t="shared" ca="1" si="1294"/>
        <v xml:space="preserve">   Acabamentos em Piso</v>
      </c>
      <c r="N1650" s="231">
        <f t="shared" ca="1" si="1295"/>
        <v>1</v>
      </c>
      <c r="O1650" s="228" t="str">
        <f t="shared" ca="1" si="1296"/>
        <v>Revestimento interno de piso Cerâmico placa 60x60cm - áreas Internas</v>
      </c>
      <c r="P1650" s="232" t="str">
        <f>IF(S1650="","",IF(Orçamento!$B1650="INSUMO",S1650,""))</f>
        <v>ESPACADOR PVC JUNTA PISO 3,0MM NBR 6118</v>
      </c>
      <c r="Q1650" s="244" t="str">
        <f t="shared" si="1297"/>
        <v/>
      </c>
      <c r="R1650" s="234">
        <f t="shared" ca="1" si="1298"/>
        <v>26.01</v>
      </c>
      <c r="S1650" s="233" t="s">
        <v>716</v>
      </c>
      <c r="T1650" s="242" t="str">
        <f>_xlfn.XLOOKUP(S1650,Insumos!$A$3:$A$371,Insumos!$B$3:$B$371)</f>
        <v>UN</v>
      </c>
      <c r="U1650" s="235">
        <f ca="1">IF($B1650="insumo",R1650,"")</f>
        <v>26.01</v>
      </c>
      <c r="V1650" s="320">
        <v>4</v>
      </c>
      <c r="W1650" s="236">
        <f>IFERROR(IF(B1650="INSUMO",_xlfn.XLOOKUP(S1650,Insumos!A:A,Insumos!C:C),""),"Inserir Preço")</f>
        <v>0.22</v>
      </c>
      <c r="X1650" s="235">
        <f t="shared" ca="1" si="1299"/>
        <v>104.04</v>
      </c>
      <c r="Y1650" s="236">
        <f t="shared" si="1285"/>
        <v>0.88</v>
      </c>
      <c r="Z1650" s="237">
        <f t="shared" ca="1" si="1256"/>
        <v>22.8888</v>
      </c>
      <c r="AA1650" s="238"/>
      <c r="AB1650" s="233" t="str">
        <f>IF(B1650="insumo",_xlfn.XLOOKUP(S1650,Insumos!A:A,Insumos!D:D),"")</f>
        <v>Base de Dados</v>
      </c>
      <c r="AC1650" s="239">
        <f t="shared" ca="1" si="1257"/>
        <v>3.2836070418708678E-6</v>
      </c>
      <c r="AE1650" s="240">
        <f ca="1">IFERROR(IF(OR(Z1650="",Z1650=0),"",IF(AF1650="","",IF(AF1650="R$/mês",Z1650/OBRA!$D$12,IF(AF1650="R$/m²",Z1650/OBRA!$D$10,IF(AF1650="R$/apto",Orçamento!Z1650/OBRA!$D$11,""))))),"")</f>
        <v>1.1778739521312453E-2</v>
      </c>
      <c r="AF1650" s="241" t="s">
        <v>154</v>
      </c>
    </row>
    <row r="1651" spans="1:32" s="10" customFormat="1" ht="13.15" hidden="1" customHeight="1" outlineLevel="4" x14ac:dyDescent="0.2">
      <c r="A1651" s="227"/>
      <c r="B1651" s="228" t="s">
        <v>19</v>
      </c>
      <c r="C1651" s="229">
        <f t="shared" si="1255"/>
        <v>13</v>
      </c>
      <c r="D1651" s="227" t="str">
        <f t="shared" si="1286"/>
        <v/>
      </c>
      <c r="E1651" s="228" t="str">
        <f t="shared" ca="1" si="1287"/>
        <v>15.004.002.001</v>
      </c>
      <c r="F1651" s="230">
        <f ca="1">IF($B1651="UNIDADE CONSTRUTIVA",OFFSET(F1651,-1,0)+1,LARGE(F$10:F1650,1))</f>
        <v>2</v>
      </c>
      <c r="G1651" s="228" t="str">
        <f t="shared" ca="1" si="1288"/>
        <v xml:space="preserve">   GERENCIAMENTO EXECUTIVO</v>
      </c>
      <c r="H1651" s="230">
        <f t="shared" ca="1" si="1289"/>
        <v>15</v>
      </c>
      <c r="I1651" s="228" t="str">
        <f t="shared" ca="1" si="1290"/>
        <v xml:space="preserve">   PISOS E PAVIMENTAÇÕES</v>
      </c>
      <c r="J1651" s="230">
        <f t="shared" ca="1" si="1291"/>
        <v>4</v>
      </c>
      <c r="K1651" s="228" t="str">
        <f t="shared" ca="1" si="1292"/>
        <v xml:space="preserve">   PISOS E PAVIMENTAÇÕES - 8º PAVIMENTO - COBERTURA</v>
      </c>
      <c r="L1651" s="231">
        <f t="shared" ca="1" si="1293"/>
        <v>2</v>
      </c>
      <c r="M1651" s="228" t="str">
        <f t="shared" ca="1" si="1294"/>
        <v xml:space="preserve">   Acabamentos em Piso</v>
      </c>
      <c r="N1651" s="231">
        <f t="shared" ca="1" si="1295"/>
        <v>1</v>
      </c>
      <c r="O1651" s="228" t="str">
        <f t="shared" ca="1" si="1296"/>
        <v>Revestimento interno de piso Cerâmico placa 60x60cm - áreas Internas</v>
      </c>
      <c r="P1651" s="232" t="str">
        <f>IF(S1651="","",IF(Orçamento!$B1651="INSUMO",S1651,""))</f>
        <v>REVESTIMENTO - HANGAR CHICAGO 60X60 NAT BOLD</v>
      </c>
      <c r="Q1651" s="244" t="str">
        <f t="shared" si="1297"/>
        <v/>
      </c>
      <c r="R1651" s="234">
        <f t="shared" ca="1" si="1298"/>
        <v>26.01</v>
      </c>
      <c r="S1651" s="233" t="s">
        <v>912</v>
      </c>
      <c r="T1651" s="242" t="str">
        <f>_xlfn.XLOOKUP(S1651,Insumos!$A$3:$A$371,Insumos!$B$3:$B$371)</f>
        <v>M2</v>
      </c>
      <c r="U1651" s="235">
        <f ca="1">IF($B1651="insumo",R1651,"")</f>
        <v>26.01</v>
      </c>
      <c r="V1651" s="320">
        <v>1.1000000000000001</v>
      </c>
      <c r="W1651" s="236">
        <f>IFERROR(IF(B1651="INSUMO",_xlfn.XLOOKUP(S1651,Insumos!A:A,Insumos!C:C),""),"Inserir Preço")</f>
        <v>45.19</v>
      </c>
      <c r="X1651" s="235">
        <f t="shared" ca="1" si="1299"/>
        <v>28.611000000000004</v>
      </c>
      <c r="Y1651" s="236">
        <f t="shared" si="1285"/>
        <v>49.709000000000003</v>
      </c>
      <c r="Z1651" s="237">
        <f t="shared" ca="1" si="1256"/>
        <v>1292.93109</v>
      </c>
      <c r="AA1651" s="238"/>
      <c r="AB1651" s="233" t="str">
        <f>IF(B1651="insumo",_xlfn.XLOOKUP(S1651,Insumos!A:A,Insumos!D:D),"")</f>
        <v>Portobelo</v>
      </c>
      <c r="AC1651" s="239">
        <f t="shared" ca="1" si="1257"/>
        <v>1.8548275277768066E-4</v>
      </c>
      <c r="AE1651" s="240">
        <f ca="1">IFERROR(IF(OR(Z1651="",Z1651=0),"",IF(AF1651="","",IF(AF1651="R$/mês",Z1651/OBRA!$D$12,IF(AF1651="R$/m²",Z1651/OBRA!$D$10,IF(AF1651="R$/apto",Orçamento!Z1651/OBRA!$D$11,""))))),"")</f>
        <v>0.66535154871013724</v>
      </c>
      <c r="AF1651" s="241" t="s">
        <v>154</v>
      </c>
    </row>
    <row r="1652" spans="1:32" s="10" customFormat="1" ht="13.15" hidden="1" customHeight="1" outlineLevel="4" x14ac:dyDescent="0.2">
      <c r="A1652" s="227"/>
      <c r="B1652" s="228" t="s">
        <v>4</v>
      </c>
      <c r="C1652" s="229">
        <f t="shared" si="1255"/>
        <v>3</v>
      </c>
      <c r="D1652" s="227" t="str">
        <f t="shared" ref="D1652:D1657" ca="1" si="1300">IF(B1652="Unidade Construtiva",TEXT(F1652,"00"),IF(B1652="Célula Construtiva",TEXT(H1652,"00"),IF(B1652="Etapa",CONCATENATE(TEXT(H1652,"00"),".",TEXT(J1652,"000")),IF(B1652="Subetapa",CONCATENATE(TEXT(H1652,"00"),".",TEXT(J1652,"000"),".",TEXT(L1652,"000")),IF(B1652="Serviço",CONCATENATE(TEXT(H1652,"00"),".",TEXT(J1652,"000"),".",TEXT(L1652,"000"),".",TEXT(N1652,"000")),"")))))</f>
        <v>15.004.002.002</v>
      </c>
      <c r="E1652" s="228" t="str">
        <f t="shared" ref="E1652:E1657" ca="1" si="1301">IF(B1652="*","",IFERROR(IF(B1652="SERVIÇO",D1652,OFFSET(E1652,-1,0)),""))</f>
        <v>15.004.002.002</v>
      </c>
      <c r="F1652" s="230">
        <f ca="1">IF($B1652="UNIDADE CONSTRUTIVA",OFFSET(F1652,-1,0)+1,LARGE(F$10:F1651,1))</f>
        <v>2</v>
      </c>
      <c r="G1652" s="228" t="str">
        <f t="shared" ref="G1652:G1657" ca="1" si="1302">IF(B1652="*","",IF(B1652="UNIDADE CONSTRUTIVA",S1652,OFFSET(G1652,-1,0)))</f>
        <v xml:space="preserve">   GERENCIAMENTO EXECUTIVO</v>
      </c>
      <c r="H1652" s="230">
        <f t="shared" ref="H1652:H1657" ca="1" si="1303">IF(B1652="UNIDADE CONSTRUTIVA",0,IF(B1652="CÉLULA CONSTRUTIVA",OFFSET(H1652,-1,0)+1,OFFSET(H1652,-1,0)))</f>
        <v>15</v>
      </c>
      <c r="I1652" s="228" t="str">
        <f t="shared" ref="I1652:I1657" ca="1" si="1304">IF(B1652="*","",IF(B1652="CÉLULA CONSTRUTIVA",S1652,OFFSET(I1652,-1,0)))</f>
        <v xml:space="preserve">   PISOS E PAVIMENTAÇÕES</v>
      </c>
      <c r="J1652" s="230">
        <f t="shared" ref="J1652:J1657" ca="1" si="1305">IF(B1652="CÉLULA CONSTRUTIVA",0,IF(B1652="ETAPA",OFFSET(J1652,-1,0)+1,OFFSET(J1652,-1,0)))</f>
        <v>4</v>
      </c>
      <c r="K1652" s="228" t="str">
        <f t="shared" ref="K1652:K1657" ca="1" si="1306">IF(B1652="*","",IF(B1652="ETAPA",S1652,OFFSET(K1652,-1,0)))</f>
        <v xml:space="preserve">   PISOS E PAVIMENTAÇÕES - 8º PAVIMENTO - COBERTURA</v>
      </c>
      <c r="L1652" s="231">
        <f t="shared" ref="L1652:L1657" ca="1" si="1307">IF(B1652="ETAPA",0,IF(B1652="SUBETAPA",OFFSET(L1652,-1,0)+1,OFFSET(L1652,-1,0)))</f>
        <v>2</v>
      </c>
      <c r="M1652" s="228" t="str">
        <f t="shared" ref="M1652:M1657" ca="1" si="1308">IF(B1652="*","",IF(B1652="SUBETAPA",S1652,OFFSET(M1652,-1,0)))</f>
        <v xml:space="preserve">   Acabamentos em Piso</v>
      </c>
      <c r="N1652" s="231">
        <f t="shared" ref="N1652:N1657" ca="1" si="1309">IF(B1652="Subetapa",0,IF(B1652="serviço",OFFSET(N1652,-1,0)+1,OFFSET(N1652,-1,0)))</f>
        <v>2</v>
      </c>
      <c r="O1652" s="228" t="str">
        <f t="shared" ref="O1652:O1657" ca="1" si="1310">IF(B1652="*","",IF(B1652="SERVIÇO",S1652,OFFSET(O1652,-1,0)))</f>
        <v>Revestimento interno de piso porcelanato placa 80x80cm - áreas internas</v>
      </c>
      <c r="P1652" s="232" t="str">
        <f>IF(S1652="","",IF(Orçamento!$B1652="INSUMO",S1652,""))</f>
        <v/>
      </c>
      <c r="Q1652" s="244" t="str">
        <f t="shared" ref="Q1652:Q1657" si="1311">IF(B1652="","",IF(B1652="Serviço",S1652,""))</f>
        <v>Revestimento interno de piso porcelanato placa 80x80cm - áreas internas</v>
      </c>
      <c r="R1652" s="234">
        <f t="shared" ref="R1652:R1657" ca="1" si="1312">IF(B1652="serviço",U1652,OFFSET(R1652,-1,0))</f>
        <v>50.12</v>
      </c>
      <c r="S1652" s="233" t="s">
        <v>1122</v>
      </c>
      <c r="T1652" s="242" t="s">
        <v>140</v>
      </c>
      <c r="U1652" s="235">
        <v>50.12</v>
      </c>
      <c r="V1652" s="320" t="s">
        <v>35</v>
      </c>
      <c r="W1652" s="236" t="str">
        <f>IFERROR(IF(B1652="INSUMO",_xlfn.XLOOKUP(S1652,Insumos!A:A,Insumos!C:C),""),"Inserir Preço")</f>
        <v/>
      </c>
      <c r="X1652" s="235">
        <f t="shared" ref="X1652:X1657" ca="1" si="1313">IF(B1652="Complemento do insumo",V1652,IF(R1652="","",IF(B1652="serviço",R1652,IF(OR(B1652="insumo"),V1652*R1652,""))))</f>
        <v>50.12</v>
      </c>
      <c r="Y1652" s="236">
        <f t="shared" ca="1" si="1285"/>
        <v>75.704999999999998</v>
      </c>
      <c r="Z1652" s="237">
        <f t="shared" ca="1" si="1256"/>
        <v>3794.3345999999997</v>
      </c>
      <c r="AA1652" s="238"/>
      <c r="AB1652" s="233" t="str">
        <f>IF(B1652="insumo",_xlfn.XLOOKUP(S1652,Insumos!A:A,Insumos!D:D),"")</f>
        <v/>
      </c>
      <c r="AC1652" s="239">
        <f t="shared" ca="1" si="1257"/>
        <v>5.4433189209457389E-4</v>
      </c>
      <c r="AE1652" s="240">
        <f ca="1">IFERROR(IF(OR(Z1652="",Z1652=0),"",IF(AF1652="","",IF(AF1652="R$/mês",Z1652/OBRA!$D$12,IF(AF1652="R$/m²",Z1652/OBRA!$D$10,IF(AF1652="R$/apto",Orçamento!Z1652/OBRA!$D$11,""))))),"")</f>
        <v>1.952591612933106</v>
      </c>
      <c r="AF1652" s="241" t="s">
        <v>154</v>
      </c>
    </row>
    <row r="1653" spans="1:32" s="10" customFormat="1" ht="13.15" hidden="1" customHeight="1" outlineLevel="4" x14ac:dyDescent="0.2">
      <c r="A1653" s="227"/>
      <c r="B1653" s="228" t="s">
        <v>19</v>
      </c>
      <c r="C1653" s="229">
        <f t="shared" si="1255"/>
        <v>23</v>
      </c>
      <c r="D1653" s="227" t="str">
        <f t="shared" si="1300"/>
        <v/>
      </c>
      <c r="E1653" s="228" t="str">
        <f t="shared" ca="1" si="1301"/>
        <v>15.004.002.002</v>
      </c>
      <c r="F1653" s="230">
        <f ca="1">IF($B1653="UNIDADE CONSTRUTIVA",OFFSET(F1653,-1,0)+1,LARGE(F$10:F1652,1))</f>
        <v>2</v>
      </c>
      <c r="G1653" s="228" t="str">
        <f t="shared" ca="1" si="1302"/>
        <v xml:space="preserve">   GERENCIAMENTO EXECUTIVO</v>
      </c>
      <c r="H1653" s="230">
        <f t="shared" ca="1" si="1303"/>
        <v>15</v>
      </c>
      <c r="I1653" s="228" t="str">
        <f t="shared" ca="1" si="1304"/>
        <v xml:space="preserve">   PISOS E PAVIMENTAÇÕES</v>
      </c>
      <c r="J1653" s="230">
        <f t="shared" ca="1" si="1305"/>
        <v>4</v>
      </c>
      <c r="K1653" s="228" t="str">
        <f t="shared" ca="1" si="1306"/>
        <v xml:space="preserve">   PISOS E PAVIMENTAÇÕES - 8º PAVIMENTO - COBERTURA</v>
      </c>
      <c r="L1653" s="231">
        <f t="shared" ca="1" si="1307"/>
        <v>2</v>
      </c>
      <c r="M1653" s="228" t="str">
        <f t="shared" ca="1" si="1308"/>
        <v xml:space="preserve">   Acabamentos em Piso</v>
      </c>
      <c r="N1653" s="231">
        <f t="shared" ca="1" si="1309"/>
        <v>2</v>
      </c>
      <c r="O1653" s="228" t="str">
        <f t="shared" ca="1" si="1310"/>
        <v>Revestimento interno de piso porcelanato placa 80x80cm - áreas internas</v>
      </c>
      <c r="P1653" s="232" t="str">
        <f>IF(S1653="","",IF(Orçamento!$B1653="INSUMO",S1653,""))</f>
        <v>ARGAMASSA COLANTE AC II</v>
      </c>
      <c r="Q1653" s="244" t="str">
        <f t="shared" si="1311"/>
        <v/>
      </c>
      <c r="R1653" s="234">
        <f t="shared" ca="1" si="1312"/>
        <v>50.12</v>
      </c>
      <c r="S1653" s="233" t="s">
        <v>314</v>
      </c>
      <c r="T1653" s="242" t="str">
        <f>_xlfn.XLOOKUP(S1653,Insumos!$A$3:$A$371,Insumos!$B$3:$B$371)</f>
        <v>KG</v>
      </c>
      <c r="U1653" s="235">
        <f ca="1">IF($B1653="insumo",R1653,"")</f>
        <v>50.12</v>
      </c>
      <c r="V1653" s="320">
        <v>9</v>
      </c>
      <c r="W1653" s="236">
        <f>IFERROR(IF(B1653="INSUMO",_xlfn.XLOOKUP(S1653,Insumos!A:A,Insumos!C:C),""),"Inserir Preço")</f>
        <v>0.84000000000000008</v>
      </c>
      <c r="X1653" s="235">
        <f t="shared" ca="1" si="1313"/>
        <v>451.08</v>
      </c>
      <c r="Y1653" s="236">
        <f t="shared" si="1285"/>
        <v>7.5600000000000005</v>
      </c>
      <c r="Z1653" s="237">
        <f t="shared" ca="1" si="1256"/>
        <v>378.90720000000005</v>
      </c>
      <c r="AA1653" s="238"/>
      <c r="AB1653" s="233" t="str">
        <f>IF(B1653="insumo",_xlfn.XLOOKUP(S1653,Insumos!A:A,Insumos!D:D),"")</f>
        <v>Argabrus</v>
      </c>
      <c r="AC1653" s="239">
        <f t="shared" ca="1" si="1257"/>
        <v>5.4357692414437345E-5</v>
      </c>
      <c r="AE1653" s="240">
        <f ca="1">IFERROR(IF(OR(Z1653="",Z1653=0),"",IF(AF1653="","",IF(AF1653="R$/mês",Z1653/OBRA!$D$12,IF(AF1653="R$/m²",Z1653/OBRA!$D$10,IF(AF1653="R$/apto",Orçamento!Z1653/OBRA!$D$11,""))))),"")</f>
        <v>0.19498834414865973</v>
      </c>
      <c r="AF1653" s="241" t="s">
        <v>154</v>
      </c>
    </row>
    <row r="1654" spans="1:32" s="10" customFormat="1" ht="13.15" hidden="1" customHeight="1" outlineLevel="4" x14ac:dyDescent="0.2">
      <c r="A1654" s="227"/>
      <c r="B1654" s="228" t="s">
        <v>19</v>
      </c>
      <c r="C1654" s="229">
        <f t="shared" si="1255"/>
        <v>32</v>
      </c>
      <c r="D1654" s="227" t="str">
        <f t="shared" si="1300"/>
        <v/>
      </c>
      <c r="E1654" s="228" t="str">
        <f t="shared" ca="1" si="1301"/>
        <v>15.004.002.002</v>
      </c>
      <c r="F1654" s="230">
        <f ca="1">IF($B1654="UNIDADE CONSTRUTIVA",OFFSET(F1654,-1,0)+1,LARGE(F$10:F1653,1))</f>
        <v>2</v>
      </c>
      <c r="G1654" s="228" t="str">
        <f t="shared" ca="1" si="1302"/>
        <v xml:space="preserve">   GERENCIAMENTO EXECUTIVO</v>
      </c>
      <c r="H1654" s="230">
        <f t="shared" ca="1" si="1303"/>
        <v>15</v>
      </c>
      <c r="I1654" s="228" t="str">
        <f t="shared" ca="1" si="1304"/>
        <v xml:space="preserve">   PISOS E PAVIMENTAÇÕES</v>
      </c>
      <c r="J1654" s="230">
        <f t="shared" ca="1" si="1305"/>
        <v>4</v>
      </c>
      <c r="K1654" s="228" t="str">
        <f t="shared" ca="1" si="1306"/>
        <v xml:space="preserve">   PISOS E PAVIMENTAÇÕES - 8º PAVIMENTO - COBERTURA</v>
      </c>
      <c r="L1654" s="231">
        <f t="shared" ca="1" si="1307"/>
        <v>2</v>
      </c>
      <c r="M1654" s="228" t="str">
        <f t="shared" ca="1" si="1308"/>
        <v xml:space="preserve">   Acabamentos em Piso</v>
      </c>
      <c r="N1654" s="231">
        <f t="shared" ca="1" si="1309"/>
        <v>2</v>
      </c>
      <c r="O1654" s="228" t="str">
        <f t="shared" ca="1" si="1310"/>
        <v>Revestimento interno de piso porcelanato placa 80x80cm - áreas internas</v>
      </c>
      <c r="P1654" s="232" t="str">
        <f>IF(S1654="","",IF(Orçamento!$B1654="INSUMO",S1654,""))</f>
        <v>REJUNTE FLEXIVEL CIMENTICIO TIPO II NBR 14992</v>
      </c>
      <c r="Q1654" s="244" t="str">
        <f t="shared" si="1311"/>
        <v/>
      </c>
      <c r="R1654" s="234">
        <f t="shared" ca="1" si="1312"/>
        <v>50.12</v>
      </c>
      <c r="S1654" s="233" t="s">
        <v>734</v>
      </c>
      <c r="T1654" s="242" t="str">
        <f>_xlfn.XLOOKUP(S1654,Insumos!$A$3:$A$371,Insumos!$B$3:$B$371)</f>
        <v>KG</v>
      </c>
      <c r="U1654" s="235">
        <f ca="1">IF($B1654="insumo",R1654,"")</f>
        <v>50.12</v>
      </c>
      <c r="V1654" s="320">
        <v>0.13</v>
      </c>
      <c r="W1654" s="236">
        <f>IFERROR(IF(B1654="INSUMO",_xlfn.XLOOKUP(S1654,Insumos!A:A,Insumos!C:C),""),"Inserir Preço")</f>
        <v>4.2</v>
      </c>
      <c r="X1654" s="235">
        <f t="shared" ca="1" si="1313"/>
        <v>6.5156000000000001</v>
      </c>
      <c r="Y1654" s="236">
        <f t="shared" si="1285"/>
        <v>0.54600000000000004</v>
      </c>
      <c r="Z1654" s="237">
        <f t="shared" ca="1" si="1256"/>
        <v>27.36552</v>
      </c>
      <c r="AA1654" s="238"/>
      <c r="AB1654" s="233" t="str">
        <f>IF(B1654="insumo",_xlfn.XLOOKUP(S1654,Insumos!A:A,Insumos!D:D),"")</f>
        <v>Distribuidora Sika</v>
      </c>
      <c r="AC1654" s="239">
        <f t="shared" ca="1" si="1257"/>
        <v>3.9258333410426967E-6</v>
      </c>
      <c r="AE1654" s="240">
        <f ca="1">IFERROR(IF(OR(Z1654="",Z1654=0),"",IF(AF1654="","",IF(AF1654="R$/mês",Z1654/OBRA!$D$12,IF(AF1654="R$/m²",Z1654/OBRA!$D$10,IF(AF1654="R$/apto",Orçamento!Z1654/OBRA!$D$11,""))))),"")</f>
        <v>1.4082491521847646E-2</v>
      </c>
      <c r="AF1654" s="241" t="s">
        <v>154</v>
      </c>
    </row>
    <row r="1655" spans="1:32" s="10" customFormat="1" ht="13.15" hidden="1" customHeight="1" outlineLevel="4" x14ac:dyDescent="0.2">
      <c r="A1655" s="227"/>
      <c r="B1655" s="228" t="s">
        <v>19</v>
      </c>
      <c r="C1655" s="229">
        <f t="shared" si="1255"/>
        <v>14</v>
      </c>
      <c r="D1655" s="227" t="str">
        <f>IF(B1655="Unidade Construtiva",TEXT(F1655,"00"),IF(B1655="Célula Construtiva",TEXT(H1655,"00"),IF(B1655="Etapa",CONCATENATE(TEXT(H1655,"00"),".",TEXT(J1655,"000")),IF(B1655="Subetapa",CONCATENATE(TEXT(H1655,"00"),".",TEXT(J1655,"000"),".",TEXT(L1655,"000")),IF(B1655="Serviço",CONCATENATE(TEXT(H1655,"00"),".",TEXT(J1655,"000"),".",TEXT(L1655,"000"),".",TEXT(N1655,"000")),"")))))</f>
        <v/>
      </c>
      <c r="E1655" s="228" t="str">
        <f ca="1">IF(B1655="*","",IFERROR(IF(B1655="SERVIÇO",D1655,OFFSET(E1655,-1,0)),""))</f>
        <v>15.004.002.002</v>
      </c>
      <c r="F1655" s="230">
        <f ca="1">IF($B1655="UNIDADE CONSTRUTIVA",OFFSET(F1655,-1,0)+1,LARGE(F$10:F1654,1))</f>
        <v>2</v>
      </c>
      <c r="G1655" s="228" t="str">
        <f ca="1">IF(B1655="*","",IF(B1655="UNIDADE CONSTRUTIVA",S1655,OFFSET(G1655,-1,0)))</f>
        <v xml:space="preserve">   GERENCIAMENTO EXECUTIVO</v>
      </c>
      <c r="H1655" s="230">
        <f ca="1">IF(B1655="UNIDADE CONSTRUTIVA",0,IF(B1655="CÉLULA CONSTRUTIVA",OFFSET(H1655,-1,0)+1,OFFSET(H1655,-1,0)))</f>
        <v>15</v>
      </c>
      <c r="I1655" s="228" t="str">
        <f ca="1">IF(B1655="*","",IF(B1655="CÉLULA CONSTRUTIVA",S1655,OFFSET(I1655,-1,0)))</f>
        <v xml:space="preserve">   PISOS E PAVIMENTAÇÕES</v>
      </c>
      <c r="J1655" s="230">
        <f ca="1">IF(B1655="CÉLULA CONSTRUTIVA",0,IF(B1655="ETAPA",OFFSET(J1655,-1,0)+1,OFFSET(J1655,-1,0)))</f>
        <v>4</v>
      </c>
      <c r="K1655" s="228" t="str">
        <f ca="1">IF(B1655="*","",IF(B1655="ETAPA",S1655,OFFSET(K1655,-1,0)))</f>
        <v xml:space="preserve">   PISOS E PAVIMENTAÇÕES - 8º PAVIMENTO - COBERTURA</v>
      </c>
      <c r="L1655" s="231">
        <f ca="1">IF(B1655="ETAPA",0,IF(B1655="SUBETAPA",OFFSET(L1655,-1,0)+1,OFFSET(L1655,-1,0)))</f>
        <v>2</v>
      </c>
      <c r="M1655" s="228" t="str">
        <f ca="1">IF(B1655="*","",IF(B1655="SUBETAPA",S1655,OFFSET(M1655,-1,0)))</f>
        <v xml:space="preserve">   Acabamentos em Piso</v>
      </c>
      <c r="N1655" s="231">
        <f ca="1">IF(B1655="Subetapa",0,IF(B1655="serviço",OFFSET(N1655,-1,0)+1,OFFSET(N1655,-1,0)))</f>
        <v>2</v>
      </c>
      <c r="O1655" s="228" t="str">
        <f ca="1">IF(B1655="*","",IF(B1655="SERVIÇO",S1655,OFFSET(O1655,-1,0)))</f>
        <v>Revestimento interno de piso porcelanato placa 80x80cm - áreas internas</v>
      </c>
      <c r="P1655" s="232" t="str">
        <f>IF(S1655="","",IF(Orçamento!$B1655="INSUMO",S1655,""))</f>
        <v>CUNHA PVC P/NIVELAMENTO PISO NBR 6118</v>
      </c>
      <c r="Q1655" s="244" t="str">
        <f>IF(B1655="","",IF(B1655="Serviço",S1655,""))</f>
        <v/>
      </c>
      <c r="R1655" s="234">
        <f ca="1">IF(B1655="serviço",U1655,OFFSET(R1655,-1,0))</f>
        <v>50.12</v>
      </c>
      <c r="S1655" s="233" t="s">
        <v>717</v>
      </c>
      <c r="T1655" s="242" t="str">
        <f>_xlfn.XLOOKUP(S1655,Insumos!$A$3:$A$371,Insumos!$B$3:$B$371)</f>
        <v>UN</v>
      </c>
      <c r="U1655" s="235">
        <f ca="1">IF($B1655="insumo",R1655,"")</f>
        <v>50.12</v>
      </c>
      <c r="V1655" s="320">
        <v>2</v>
      </c>
      <c r="W1655" s="236">
        <f>IFERROR(IF(B1655="INSUMO",_xlfn.XLOOKUP(S1655,Insumos!A:A,Insumos!C:C),""),"Inserir Preço")</f>
        <v>0.2</v>
      </c>
      <c r="X1655" s="235">
        <f t="shared" ca="1" si="1313"/>
        <v>100.24</v>
      </c>
      <c r="Y1655" s="236">
        <f t="shared" si="1285"/>
        <v>0.4</v>
      </c>
      <c r="Z1655" s="237">
        <f t="shared" ca="1" si="1256"/>
        <v>20.048000000000002</v>
      </c>
      <c r="AA1655" s="238"/>
      <c r="AB1655" s="233" t="str">
        <f>IF(B1655="insumo",_xlfn.XLOOKUP(S1655,Insumos!A:A,Insumos!D:D),"")</f>
        <v>Base de Dados</v>
      </c>
      <c r="AC1655" s="239">
        <f t="shared" ca="1" si="1257"/>
        <v>2.8760683817162615E-6</v>
      </c>
      <c r="AE1655" s="240">
        <f ca="1">IFERROR(IF(OR(Z1655="",Z1655=0),"",IF(AF1655="","",IF(AF1655="R$/mês",Z1655/OBRA!$D$12,IF(AF1655="R$/m²",Z1655/OBRA!$D$10,IF(AF1655="R$/apto",Orçamento!Z1655/OBRA!$D$11,""))))),"")</f>
        <v>1.0316843605749191E-2</v>
      </c>
      <c r="AF1655" s="241" t="s">
        <v>154</v>
      </c>
    </row>
    <row r="1656" spans="1:32" s="10" customFormat="1" ht="13.15" hidden="1" customHeight="1" outlineLevel="4" x14ac:dyDescent="0.2">
      <c r="A1656" s="227"/>
      <c r="B1656" s="228" t="s">
        <v>19</v>
      </c>
      <c r="C1656" s="229">
        <f t="shared" si="1255"/>
        <v>14</v>
      </c>
      <c r="D1656" s="227" t="str">
        <f t="shared" si="1300"/>
        <v/>
      </c>
      <c r="E1656" s="228" t="str">
        <f t="shared" ca="1" si="1301"/>
        <v>15.004.002.002</v>
      </c>
      <c r="F1656" s="230">
        <f ca="1">IF($B1656="UNIDADE CONSTRUTIVA",OFFSET(F1656,-1,0)+1,LARGE(F$10:F1655,1))</f>
        <v>2</v>
      </c>
      <c r="G1656" s="228" t="str">
        <f t="shared" ca="1" si="1302"/>
        <v xml:space="preserve">   GERENCIAMENTO EXECUTIVO</v>
      </c>
      <c r="H1656" s="230">
        <f t="shared" ca="1" si="1303"/>
        <v>15</v>
      </c>
      <c r="I1656" s="228" t="str">
        <f t="shared" ca="1" si="1304"/>
        <v xml:space="preserve">   PISOS E PAVIMENTAÇÕES</v>
      </c>
      <c r="J1656" s="230">
        <f t="shared" ca="1" si="1305"/>
        <v>4</v>
      </c>
      <c r="K1656" s="228" t="str">
        <f t="shared" ca="1" si="1306"/>
        <v xml:space="preserve">   PISOS E PAVIMENTAÇÕES - 8º PAVIMENTO - COBERTURA</v>
      </c>
      <c r="L1656" s="231">
        <f t="shared" ca="1" si="1307"/>
        <v>2</v>
      </c>
      <c r="M1656" s="228" t="str">
        <f t="shared" ca="1" si="1308"/>
        <v xml:space="preserve">   Acabamentos em Piso</v>
      </c>
      <c r="N1656" s="231">
        <f t="shared" ca="1" si="1309"/>
        <v>2</v>
      </c>
      <c r="O1656" s="228" t="str">
        <f t="shared" ca="1" si="1310"/>
        <v>Revestimento interno de piso porcelanato placa 80x80cm - áreas internas</v>
      </c>
      <c r="P1656" s="232" t="str">
        <f>IF(S1656="","",IF(Orçamento!$B1656="INSUMO",S1656,""))</f>
        <v>ESPACADOR PVC NIVELAMENTO REVESTIMENTO 1,0MM NBR 6118</v>
      </c>
      <c r="Q1656" s="244" t="str">
        <f t="shared" si="1311"/>
        <v/>
      </c>
      <c r="R1656" s="234">
        <f t="shared" ca="1" si="1312"/>
        <v>50.12</v>
      </c>
      <c r="S1656" s="233" t="s">
        <v>715</v>
      </c>
      <c r="T1656" s="242" t="str">
        <f>_xlfn.XLOOKUP(S1656,Insumos!$A$3:$A$371,Insumos!$B$3:$B$371)</f>
        <v>UN</v>
      </c>
      <c r="U1656" s="235">
        <f ca="1">IF($B1656="insumo",R1656,"")</f>
        <v>50.12</v>
      </c>
      <c r="V1656" s="320">
        <v>4</v>
      </c>
      <c r="W1656" s="236">
        <f>IFERROR(IF(B1656="INSUMO",_xlfn.XLOOKUP(S1656,Insumos!A:A,Insumos!C:C),""),"Inserir Preço")</f>
        <v>0.22</v>
      </c>
      <c r="X1656" s="235">
        <f t="shared" ca="1" si="1313"/>
        <v>200.48</v>
      </c>
      <c r="Y1656" s="236">
        <f t="shared" si="1285"/>
        <v>0.88</v>
      </c>
      <c r="Z1656" s="237">
        <f t="shared" ca="1" si="1256"/>
        <v>44.105599999999995</v>
      </c>
      <c r="AA1656" s="238"/>
      <c r="AB1656" s="233" t="str">
        <f>IF(B1656="insumo",_xlfn.XLOOKUP(S1656,Insumos!A:A,Insumos!D:D),"")</f>
        <v>Base de Dados</v>
      </c>
      <c r="AC1656" s="239">
        <f t="shared" ca="1" si="1257"/>
        <v>6.3273504397757738E-6</v>
      </c>
      <c r="AE1656" s="240">
        <f ca="1">IFERROR(IF(OR(Z1656="",Z1656=0),"",IF(AF1656="","",IF(AF1656="R$/mês",Z1656/OBRA!$D$12,IF(AF1656="R$/m²",Z1656/OBRA!$D$10,IF(AF1656="R$/apto",Orçamento!Z1656/OBRA!$D$11,""))))),"")</f>
        <v>2.2697055932648216E-2</v>
      </c>
      <c r="AF1656" s="241" t="s">
        <v>154</v>
      </c>
    </row>
    <row r="1657" spans="1:32" s="10" customFormat="1" ht="13.15" hidden="1" customHeight="1" outlineLevel="4" x14ac:dyDescent="0.2">
      <c r="A1657" s="227"/>
      <c r="B1657" s="228" t="s">
        <v>19</v>
      </c>
      <c r="C1657" s="229">
        <f t="shared" si="1255"/>
        <v>6</v>
      </c>
      <c r="D1657" s="227" t="str">
        <f t="shared" si="1300"/>
        <v/>
      </c>
      <c r="E1657" s="228" t="str">
        <f t="shared" ca="1" si="1301"/>
        <v>15.004.002.002</v>
      </c>
      <c r="F1657" s="230">
        <f ca="1">IF($B1657="UNIDADE CONSTRUTIVA",OFFSET(F1657,-1,0)+1,LARGE(F$10:F1656,1))</f>
        <v>2</v>
      </c>
      <c r="G1657" s="228" t="str">
        <f t="shared" ca="1" si="1302"/>
        <v xml:space="preserve">   GERENCIAMENTO EXECUTIVO</v>
      </c>
      <c r="H1657" s="230">
        <f t="shared" ca="1" si="1303"/>
        <v>15</v>
      </c>
      <c r="I1657" s="228" t="str">
        <f t="shared" ca="1" si="1304"/>
        <v xml:space="preserve">   PISOS E PAVIMENTAÇÕES</v>
      </c>
      <c r="J1657" s="230">
        <f t="shared" ca="1" si="1305"/>
        <v>4</v>
      </c>
      <c r="K1657" s="228" t="str">
        <f t="shared" ca="1" si="1306"/>
        <v xml:space="preserve">   PISOS E PAVIMENTAÇÕES - 8º PAVIMENTO - COBERTURA</v>
      </c>
      <c r="L1657" s="231">
        <f t="shared" ca="1" si="1307"/>
        <v>2</v>
      </c>
      <c r="M1657" s="228" t="str">
        <f t="shared" ca="1" si="1308"/>
        <v xml:space="preserve">   Acabamentos em Piso</v>
      </c>
      <c r="N1657" s="231">
        <f t="shared" ca="1" si="1309"/>
        <v>2</v>
      </c>
      <c r="O1657" s="228" t="str">
        <f t="shared" ca="1" si="1310"/>
        <v>Revestimento interno de piso porcelanato placa 80x80cm - áreas internas</v>
      </c>
      <c r="P1657" s="232" t="str">
        <f>IF(S1657="","",IF(Orçamento!$B1657="INSUMO",S1657,""))</f>
        <v>REVESTIMENTO - HIT GRIS 80X80 NAT RET</v>
      </c>
      <c r="Q1657" s="244" t="str">
        <f t="shared" si="1311"/>
        <v/>
      </c>
      <c r="R1657" s="234">
        <f t="shared" ca="1" si="1312"/>
        <v>50.12</v>
      </c>
      <c r="S1657" s="233" t="s">
        <v>911</v>
      </c>
      <c r="T1657" s="242" t="str">
        <f>_xlfn.XLOOKUP(S1657,Insumos!$A$3:$A$371,Insumos!$B$3:$B$371)</f>
        <v>M2</v>
      </c>
      <c r="U1657" s="235">
        <f ca="1">IF($B1657="insumo",R1657,"")</f>
        <v>50.12</v>
      </c>
      <c r="V1657" s="320">
        <v>1.1000000000000001</v>
      </c>
      <c r="W1657" s="236">
        <f>IFERROR(IF(B1657="INSUMO",_xlfn.XLOOKUP(S1657,Insumos!A:A,Insumos!C:C),""),"Inserir Preço")</f>
        <v>60.29</v>
      </c>
      <c r="X1657" s="235">
        <f t="shared" ca="1" si="1313"/>
        <v>55.132000000000005</v>
      </c>
      <c r="Y1657" s="236">
        <f t="shared" si="1285"/>
        <v>66.319000000000003</v>
      </c>
      <c r="Z1657" s="237">
        <f t="shared" ca="1" si="1256"/>
        <v>3323.9082800000001</v>
      </c>
      <c r="AA1657" s="238"/>
      <c r="AB1657" s="233" t="str">
        <f>IF(B1657="insumo",_xlfn.XLOOKUP(S1657,Insumos!A:A,Insumos!D:D),"")</f>
        <v>Portobelo</v>
      </c>
      <c r="AC1657" s="239">
        <f t="shared" ca="1" si="1257"/>
        <v>4.7684494751760184E-4</v>
      </c>
      <c r="AE1657" s="240">
        <f ca="1">IFERROR(IF(OR(Z1657="",Z1657=0),"",IF(AF1657="","",IF(AF1657="R$/mês",Z1657/OBRA!$D$12,IF(AF1657="R$/m²",Z1657/OBRA!$D$10,IF(AF1657="R$/apto",Orçamento!Z1657/OBRA!$D$11,""))))),"")</f>
        <v>1.7105068777242014</v>
      </c>
      <c r="AF1657" s="241" t="s">
        <v>154</v>
      </c>
    </row>
    <row r="1658" spans="1:32" s="10" customFormat="1" ht="13.15" hidden="1" customHeight="1" outlineLevel="4" x14ac:dyDescent="0.2">
      <c r="A1658" s="227"/>
      <c r="B1658" s="228" t="s">
        <v>4</v>
      </c>
      <c r="C1658" s="229">
        <f t="shared" si="1255"/>
        <v>4</v>
      </c>
      <c r="D1658" s="227" t="str">
        <f t="shared" ref="D1658:D1668" ca="1" si="1314">IF(B1658="Unidade Construtiva",TEXT(F1658,"00"),IF(B1658="Célula Construtiva",TEXT(H1658,"00"),IF(B1658="Etapa",CONCATENATE(TEXT(H1658,"00"),".",TEXT(J1658,"000")),IF(B1658="Subetapa",CONCATENATE(TEXT(H1658,"00"),".",TEXT(J1658,"000"),".",TEXT(L1658,"000")),IF(B1658="Serviço",CONCATENATE(TEXT(H1658,"00"),".",TEXT(J1658,"000"),".",TEXT(L1658,"000"),".",TEXT(N1658,"000")),"")))))</f>
        <v>15.004.002.003</v>
      </c>
      <c r="E1658" s="228" t="str">
        <f t="shared" ref="E1658:E1668" ca="1" si="1315">IF(B1658="*","",IFERROR(IF(B1658="SERVIÇO",D1658,OFFSET(E1658,-1,0)),""))</f>
        <v>15.004.002.003</v>
      </c>
      <c r="F1658" s="230">
        <f ca="1">IF($B1658="UNIDADE CONSTRUTIVA",OFFSET(F1658,-1,0)+1,LARGE(F$10:F1657,1))</f>
        <v>2</v>
      </c>
      <c r="G1658" s="228" t="str">
        <f t="shared" ref="G1658:G1668" ca="1" si="1316">IF(B1658="*","",IF(B1658="UNIDADE CONSTRUTIVA",S1658,OFFSET(G1658,-1,0)))</f>
        <v xml:space="preserve">   GERENCIAMENTO EXECUTIVO</v>
      </c>
      <c r="H1658" s="230">
        <f t="shared" ref="H1658:H1668" ca="1" si="1317">IF(B1658="UNIDADE CONSTRUTIVA",0,IF(B1658="CÉLULA CONSTRUTIVA",OFFSET(H1658,-1,0)+1,OFFSET(H1658,-1,0)))</f>
        <v>15</v>
      </c>
      <c r="I1658" s="228" t="str">
        <f t="shared" ref="I1658:I1668" ca="1" si="1318">IF(B1658="*","",IF(B1658="CÉLULA CONSTRUTIVA",S1658,OFFSET(I1658,-1,0)))</f>
        <v xml:space="preserve">   PISOS E PAVIMENTAÇÕES</v>
      </c>
      <c r="J1658" s="230">
        <f t="shared" ref="J1658:J1668" ca="1" si="1319">IF(B1658="CÉLULA CONSTRUTIVA",0,IF(B1658="ETAPA",OFFSET(J1658,-1,0)+1,OFFSET(J1658,-1,0)))</f>
        <v>4</v>
      </c>
      <c r="K1658" s="228" t="str">
        <f t="shared" ref="K1658:K1668" ca="1" si="1320">IF(B1658="*","",IF(B1658="ETAPA",S1658,OFFSET(K1658,-1,0)))</f>
        <v xml:space="preserve">   PISOS E PAVIMENTAÇÕES - 8º PAVIMENTO - COBERTURA</v>
      </c>
      <c r="L1658" s="231">
        <f t="shared" ref="L1658:L1668" ca="1" si="1321">IF(B1658="ETAPA",0,IF(B1658="SUBETAPA",OFFSET(L1658,-1,0)+1,OFFSET(L1658,-1,0)))</f>
        <v>2</v>
      </c>
      <c r="M1658" s="228" t="str">
        <f t="shared" ref="M1658:M1668" ca="1" si="1322">IF(B1658="*","",IF(B1658="SUBETAPA",S1658,OFFSET(M1658,-1,0)))</f>
        <v xml:space="preserve">   Acabamentos em Piso</v>
      </c>
      <c r="N1658" s="231">
        <f t="shared" ref="N1658:N1668" ca="1" si="1323">IF(B1658="Subetapa",0,IF(B1658="serviço",OFFSET(N1658,-1,0)+1,OFFSET(N1658,-1,0)))</f>
        <v>3</v>
      </c>
      <c r="O1658" s="228" t="str">
        <f t="shared" ref="O1658:O1668" ca="1" si="1324">IF(B1658="*","",IF(B1658="SERVIÇO",S1658,OFFSET(O1658,-1,0)))</f>
        <v>Revestimento interno de piso porcelanato placa 80x80cm - áreas Externas</v>
      </c>
      <c r="P1658" s="232" t="str">
        <f>IF(S1658="","",IF(Orçamento!$B1658="INSUMO",S1658,""))</f>
        <v/>
      </c>
      <c r="Q1658" s="244" t="str">
        <f t="shared" ref="Q1658:Q1668" si="1325">IF(B1658="","",IF(B1658="Serviço",S1658,""))</f>
        <v>Revestimento interno de piso porcelanato placa 80x80cm - áreas Externas</v>
      </c>
      <c r="R1658" s="234">
        <f t="shared" ref="R1658:R1668" ca="1" si="1326">IF(B1658="serviço",U1658,OFFSET(R1658,-1,0))</f>
        <v>85.46</v>
      </c>
      <c r="S1658" s="233" t="s">
        <v>1123</v>
      </c>
      <c r="T1658" s="242" t="s">
        <v>140</v>
      </c>
      <c r="U1658" s="235">
        <v>85.46</v>
      </c>
      <c r="V1658" s="320" t="s">
        <v>35</v>
      </c>
      <c r="W1658" s="236" t="str">
        <f>IFERROR(IF(B1658="INSUMO",_xlfn.XLOOKUP(S1658,Insumos!A:A,Insumos!C:C),""),"Inserir Preço")</f>
        <v/>
      </c>
      <c r="X1658" s="235">
        <f t="shared" ref="X1658:X1668" ca="1" si="1327">IF(B1658="Complemento do insumo",V1658,IF(R1658="","",IF(B1658="serviço",R1658,IF(OR(B1658="insumo"),V1658*R1658,""))))</f>
        <v>85.46</v>
      </c>
      <c r="Y1658" s="236">
        <f t="shared" ca="1" si="1285"/>
        <v>75.704999999999998</v>
      </c>
      <c r="Z1658" s="237">
        <f t="shared" ca="1" si="1256"/>
        <v>6469.7492999999995</v>
      </c>
      <c r="AA1658" s="238"/>
      <c r="AB1658" s="233" t="str">
        <f>IF(B1658="insumo",_xlfn.XLOOKUP(S1658,Insumos!A:A,Insumos!D:D),"")</f>
        <v/>
      </c>
      <c r="AC1658" s="239">
        <f t="shared" ca="1" si="1257"/>
        <v>9.281445231125755E-4</v>
      </c>
      <c r="AE1658" s="240">
        <f ca="1">IFERROR(IF(OR(Z1658="",Z1658=0),"",IF(AF1658="","",IF(AF1658="R$/mês",Z1658/OBRA!$D$12,IF(AF1658="R$/m²",Z1658/OBRA!$D$10,IF(AF1658="R$/apto",Orçamento!Z1658/OBRA!$D$11,""))))),"")</f>
        <v>3.3293790750451566</v>
      </c>
      <c r="AF1658" s="241" t="s">
        <v>154</v>
      </c>
    </row>
    <row r="1659" spans="1:32" s="10" customFormat="1" ht="13.15" hidden="1" customHeight="1" outlineLevel="4" x14ac:dyDescent="0.2">
      <c r="A1659" s="227"/>
      <c r="B1659" s="228" t="s">
        <v>19</v>
      </c>
      <c r="C1659" s="229">
        <f t="shared" si="1255"/>
        <v>23</v>
      </c>
      <c r="D1659" s="227" t="str">
        <f t="shared" si="1314"/>
        <v/>
      </c>
      <c r="E1659" s="228" t="str">
        <f t="shared" ca="1" si="1315"/>
        <v>15.004.002.003</v>
      </c>
      <c r="F1659" s="230">
        <f ca="1">IF($B1659="UNIDADE CONSTRUTIVA",OFFSET(F1659,-1,0)+1,LARGE(F$10:F1658,1))</f>
        <v>2</v>
      </c>
      <c r="G1659" s="228" t="str">
        <f t="shared" ca="1" si="1316"/>
        <v xml:space="preserve">   GERENCIAMENTO EXECUTIVO</v>
      </c>
      <c r="H1659" s="230">
        <f t="shared" ca="1" si="1317"/>
        <v>15</v>
      </c>
      <c r="I1659" s="228" t="str">
        <f t="shared" ca="1" si="1318"/>
        <v xml:space="preserve">   PISOS E PAVIMENTAÇÕES</v>
      </c>
      <c r="J1659" s="230">
        <f t="shared" ca="1" si="1319"/>
        <v>4</v>
      </c>
      <c r="K1659" s="228" t="str">
        <f t="shared" ca="1" si="1320"/>
        <v xml:space="preserve">   PISOS E PAVIMENTAÇÕES - 8º PAVIMENTO - COBERTURA</v>
      </c>
      <c r="L1659" s="231">
        <f t="shared" ca="1" si="1321"/>
        <v>2</v>
      </c>
      <c r="M1659" s="228" t="str">
        <f t="shared" ca="1" si="1322"/>
        <v xml:space="preserve">   Acabamentos em Piso</v>
      </c>
      <c r="N1659" s="231">
        <f t="shared" ca="1" si="1323"/>
        <v>3</v>
      </c>
      <c r="O1659" s="228" t="str">
        <f t="shared" ca="1" si="1324"/>
        <v>Revestimento interno de piso porcelanato placa 80x80cm - áreas Externas</v>
      </c>
      <c r="P1659" s="232" t="str">
        <f>IF(S1659="","",IF(Orçamento!$B1659="INSUMO",S1659,""))</f>
        <v>ARGAMASSA COLANTE AC II</v>
      </c>
      <c r="Q1659" s="244" t="str">
        <f t="shared" si="1325"/>
        <v/>
      </c>
      <c r="R1659" s="234">
        <f t="shared" ca="1" si="1326"/>
        <v>85.46</v>
      </c>
      <c r="S1659" s="233" t="s">
        <v>314</v>
      </c>
      <c r="T1659" s="242" t="str">
        <f>_xlfn.XLOOKUP(S1659,Insumos!$A$3:$A$371,Insumos!$B$3:$B$371)</f>
        <v>KG</v>
      </c>
      <c r="U1659" s="235">
        <f ca="1">IF($B1659="insumo",R1659,"")</f>
        <v>85.46</v>
      </c>
      <c r="V1659" s="320">
        <v>9</v>
      </c>
      <c r="W1659" s="236">
        <f>IFERROR(IF(B1659="INSUMO",_xlfn.XLOOKUP(S1659,Insumos!A:A,Insumos!C:C),""),"Inserir Preço")</f>
        <v>0.84000000000000008</v>
      </c>
      <c r="X1659" s="235">
        <f t="shared" ca="1" si="1327"/>
        <v>769.14</v>
      </c>
      <c r="Y1659" s="236">
        <f t="shared" si="1285"/>
        <v>7.5600000000000005</v>
      </c>
      <c r="Z1659" s="237">
        <f t="shared" ca="1" si="1256"/>
        <v>646.07760000000007</v>
      </c>
      <c r="AA1659" s="238"/>
      <c r="AB1659" s="233" t="str">
        <f>IF(B1659="insumo",_xlfn.XLOOKUP(S1659,Insumos!A:A,Insumos!D:D),"")</f>
        <v>Argabrus</v>
      </c>
      <c r="AC1659" s="239">
        <f t="shared" ca="1" si="1257"/>
        <v>9.2685722141616427E-5</v>
      </c>
      <c r="AE1659" s="240">
        <f ca="1">IFERROR(IF(OR(Z1659="",Z1659=0),"",IF(AF1659="","",IF(AF1659="R$/mês",Z1659/OBRA!$D$12,IF(AF1659="R$/m²",Z1659/OBRA!$D$10,IF(AF1659="R$/apto",Orçamento!Z1659/OBRA!$D$11,""))))),"")</f>
        <v>0.33247613509466201</v>
      </c>
      <c r="AF1659" s="241" t="s">
        <v>154</v>
      </c>
    </row>
    <row r="1660" spans="1:32" s="10" customFormat="1" ht="13.15" hidden="1" customHeight="1" outlineLevel="4" x14ac:dyDescent="0.2">
      <c r="A1660" s="227"/>
      <c r="B1660" s="228" t="s">
        <v>19</v>
      </c>
      <c r="C1660" s="229">
        <f t="shared" si="1255"/>
        <v>32</v>
      </c>
      <c r="D1660" s="227" t="str">
        <f t="shared" si="1314"/>
        <v/>
      </c>
      <c r="E1660" s="228" t="str">
        <f t="shared" ca="1" si="1315"/>
        <v>15.004.002.003</v>
      </c>
      <c r="F1660" s="230">
        <f ca="1">IF($B1660="UNIDADE CONSTRUTIVA",OFFSET(F1660,-1,0)+1,LARGE(F$10:F1659,1))</f>
        <v>2</v>
      </c>
      <c r="G1660" s="228" t="str">
        <f t="shared" ca="1" si="1316"/>
        <v xml:space="preserve">   GERENCIAMENTO EXECUTIVO</v>
      </c>
      <c r="H1660" s="230">
        <f t="shared" ca="1" si="1317"/>
        <v>15</v>
      </c>
      <c r="I1660" s="228" t="str">
        <f t="shared" ca="1" si="1318"/>
        <v xml:space="preserve">   PISOS E PAVIMENTAÇÕES</v>
      </c>
      <c r="J1660" s="230">
        <f t="shared" ca="1" si="1319"/>
        <v>4</v>
      </c>
      <c r="K1660" s="228" t="str">
        <f t="shared" ca="1" si="1320"/>
        <v xml:space="preserve">   PISOS E PAVIMENTAÇÕES - 8º PAVIMENTO - COBERTURA</v>
      </c>
      <c r="L1660" s="231">
        <f t="shared" ca="1" si="1321"/>
        <v>2</v>
      </c>
      <c r="M1660" s="228" t="str">
        <f t="shared" ca="1" si="1322"/>
        <v xml:space="preserve">   Acabamentos em Piso</v>
      </c>
      <c r="N1660" s="231">
        <f t="shared" ca="1" si="1323"/>
        <v>3</v>
      </c>
      <c r="O1660" s="228" t="str">
        <f t="shared" ca="1" si="1324"/>
        <v>Revestimento interno de piso porcelanato placa 80x80cm - áreas Externas</v>
      </c>
      <c r="P1660" s="232" t="str">
        <f>IF(S1660="","",IF(Orçamento!$B1660="INSUMO",S1660,""))</f>
        <v>REJUNTE FLEXIVEL CIMENTICIO TIPO II NBR 14992</v>
      </c>
      <c r="Q1660" s="244" t="str">
        <f t="shared" si="1325"/>
        <v/>
      </c>
      <c r="R1660" s="234">
        <f t="shared" ca="1" si="1326"/>
        <v>85.46</v>
      </c>
      <c r="S1660" s="233" t="s">
        <v>734</v>
      </c>
      <c r="T1660" s="242" t="str">
        <f>_xlfn.XLOOKUP(S1660,Insumos!$A$3:$A$371,Insumos!$B$3:$B$371)</f>
        <v>KG</v>
      </c>
      <c r="U1660" s="235">
        <f ca="1">IF($B1660="insumo",R1660,"")</f>
        <v>85.46</v>
      </c>
      <c r="V1660" s="320">
        <v>0.13</v>
      </c>
      <c r="W1660" s="236">
        <f>IFERROR(IF(B1660="INSUMO",_xlfn.XLOOKUP(S1660,Insumos!A:A,Insumos!C:C),""),"Inserir Preço")</f>
        <v>4.2</v>
      </c>
      <c r="X1660" s="235">
        <f t="shared" ca="1" si="1327"/>
        <v>11.1098</v>
      </c>
      <c r="Y1660" s="236">
        <f t="shared" si="1285"/>
        <v>0.54600000000000004</v>
      </c>
      <c r="Z1660" s="237">
        <f t="shared" ca="1" si="1256"/>
        <v>46.661160000000002</v>
      </c>
      <c r="AA1660" s="238"/>
      <c r="AB1660" s="233" t="str">
        <f>IF(B1660="insumo",_xlfn.XLOOKUP(S1660,Insumos!A:A,Insumos!D:D),"")</f>
        <v>Distribuidora Sika</v>
      </c>
      <c r="AC1660" s="239">
        <f t="shared" ca="1" si="1257"/>
        <v>6.693968821338964E-6</v>
      </c>
      <c r="AE1660" s="240">
        <f ca="1">IFERROR(IF(OR(Z1660="",Z1660=0),"",IF(AF1660="","",IF(AF1660="R$/mês",Z1660/OBRA!$D$12,IF(AF1660="R$/m²",Z1660/OBRA!$D$10,IF(AF1660="R$/apto",Orçamento!Z1660/OBRA!$D$11,""))))),"")</f>
        <v>2.4012165312392256E-2</v>
      </c>
      <c r="AF1660" s="241" t="s">
        <v>154</v>
      </c>
    </row>
    <row r="1661" spans="1:32" s="10" customFormat="1" ht="13.15" hidden="1" customHeight="1" outlineLevel="4" x14ac:dyDescent="0.2">
      <c r="A1661" s="227"/>
      <c r="B1661" s="228" t="s">
        <v>19</v>
      </c>
      <c r="C1661" s="229">
        <f t="shared" si="1255"/>
        <v>14</v>
      </c>
      <c r="D1661" s="227" t="str">
        <f t="shared" si="1314"/>
        <v/>
      </c>
      <c r="E1661" s="228" t="str">
        <f t="shared" ca="1" si="1315"/>
        <v>15.004.002.003</v>
      </c>
      <c r="F1661" s="230">
        <f ca="1">IF($B1661="UNIDADE CONSTRUTIVA",OFFSET(F1661,-1,0)+1,LARGE(F$10:F1660,1))</f>
        <v>2</v>
      </c>
      <c r="G1661" s="228" t="str">
        <f t="shared" ca="1" si="1316"/>
        <v xml:space="preserve">   GERENCIAMENTO EXECUTIVO</v>
      </c>
      <c r="H1661" s="230">
        <f t="shared" ca="1" si="1317"/>
        <v>15</v>
      </c>
      <c r="I1661" s="228" t="str">
        <f t="shared" ca="1" si="1318"/>
        <v xml:space="preserve">   PISOS E PAVIMENTAÇÕES</v>
      </c>
      <c r="J1661" s="230">
        <f t="shared" ca="1" si="1319"/>
        <v>4</v>
      </c>
      <c r="K1661" s="228" t="str">
        <f t="shared" ca="1" si="1320"/>
        <v xml:space="preserve">   PISOS E PAVIMENTAÇÕES - 8º PAVIMENTO - COBERTURA</v>
      </c>
      <c r="L1661" s="231">
        <f t="shared" ca="1" si="1321"/>
        <v>2</v>
      </c>
      <c r="M1661" s="228" t="str">
        <f t="shared" ca="1" si="1322"/>
        <v xml:space="preserve">   Acabamentos em Piso</v>
      </c>
      <c r="N1661" s="231">
        <f t="shared" ca="1" si="1323"/>
        <v>3</v>
      </c>
      <c r="O1661" s="228" t="str">
        <f t="shared" ca="1" si="1324"/>
        <v>Revestimento interno de piso porcelanato placa 80x80cm - áreas Externas</v>
      </c>
      <c r="P1661" s="232" t="str">
        <f>IF(S1661="","",IF(Orçamento!$B1661="INSUMO",S1661,""))</f>
        <v>CUNHA PVC P/NIVELAMENTO PISO NBR 6118</v>
      </c>
      <c r="Q1661" s="244" t="str">
        <f t="shared" si="1325"/>
        <v/>
      </c>
      <c r="R1661" s="234">
        <f t="shared" ca="1" si="1326"/>
        <v>85.46</v>
      </c>
      <c r="S1661" s="233" t="s">
        <v>717</v>
      </c>
      <c r="T1661" s="242" t="str">
        <f>_xlfn.XLOOKUP(S1661,Insumos!$A$3:$A$371,Insumos!$B$3:$B$371)</f>
        <v>UN</v>
      </c>
      <c r="U1661" s="235">
        <f ca="1">IF($B1661="insumo",R1661,"")</f>
        <v>85.46</v>
      </c>
      <c r="V1661" s="320">
        <v>2</v>
      </c>
      <c r="W1661" s="236">
        <f>IFERROR(IF(B1661="INSUMO",_xlfn.XLOOKUP(S1661,Insumos!A:A,Insumos!C:C),""),"Inserir Preço")</f>
        <v>0.2</v>
      </c>
      <c r="X1661" s="235">
        <f t="shared" ca="1" si="1327"/>
        <v>170.92</v>
      </c>
      <c r="Y1661" s="236">
        <f t="shared" si="1285"/>
        <v>0.4</v>
      </c>
      <c r="Z1661" s="237">
        <f t="shared" ca="1" si="1256"/>
        <v>34.183999999999997</v>
      </c>
      <c r="AA1661" s="238"/>
      <c r="AB1661" s="233" t="str">
        <f>IF(B1661="insumo",_xlfn.XLOOKUP(S1661,Insumos!A:A,Insumos!D:D),"")</f>
        <v>Base de Dados</v>
      </c>
      <c r="AC1661" s="239">
        <f t="shared" ca="1" si="1257"/>
        <v>4.904006462519387E-6</v>
      </c>
      <c r="AE1661" s="240">
        <f ca="1">IFERROR(IF(OR(Z1661="",Z1661=0),"",IF(AF1661="","",IF(AF1661="R$/mês",Z1661/OBRA!$D$12,IF(AF1661="R$/m²",Z1661/OBRA!$D$10,IF(AF1661="R$/apto",Orçamento!Z1661/OBRA!$D$11,""))))),"")</f>
        <v>1.7591329899188463E-2</v>
      </c>
      <c r="AF1661" s="241" t="s">
        <v>154</v>
      </c>
    </row>
    <row r="1662" spans="1:32" s="10" customFormat="1" ht="13.15" hidden="1" customHeight="1" outlineLevel="4" x14ac:dyDescent="0.2">
      <c r="A1662" s="227"/>
      <c r="B1662" s="228" t="s">
        <v>19</v>
      </c>
      <c r="C1662" s="229">
        <f t="shared" si="1255"/>
        <v>14</v>
      </c>
      <c r="D1662" s="227" t="str">
        <f t="shared" si="1314"/>
        <v/>
      </c>
      <c r="E1662" s="228" t="str">
        <f t="shared" ca="1" si="1315"/>
        <v>15.004.002.003</v>
      </c>
      <c r="F1662" s="230">
        <f ca="1">IF($B1662="UNIDADE CONSTRUTIVA",OFFSET(F1662,-1,0)+1,LARGE(F$10:F1661,1))</f>
        <v>2</v>
      </c>
      <c r="G1662" s="228" t="str">
        <f t="shared" ca="1" si="1316"/>
        <v xml:space="preserve">   GERENCIAMENTO EXECUTIVO</v>
      </c>
      <c r="H1662" s="230">
        <f t="shared" ca="1" si="1317"/>
        <v>15</v>
      </c>
      <c r="I1662" s="228" t="str">
        <f t="shared" ca="1" si="1318"/>
        <v xml:space="preserve">   PISOS E PAVIMENTAÇÕES</v>
      </c>
      <c r="J1662" s="230">
        <f t="shared" ca="1" si="1319"/>
        <v>4</v>
      </c>
      <c r="K1662" s="228" t="str">
        <f t="shared" ca="1" si="1320"/>
        <v xml:space="preserve">   PISOS E PAVIMENTAÇÕES - 8º PAVIMENTO - COBERTURA</v>
      </c>
      <c r="L1662" s="231">
        <f t="shared" ca="1" si="1321"/>
        <v>2</v>
      </c>
      <c r="M1662" s="228" t="str">
        <f t="shared" ca="1" si="1322"/>
        <v xml:space="preserve">   Acabamentos em Piso</v>
      </c>
      <c r="N1662" s="231">
        <f t="shared" ca="1" si="1323"/>
        <v>3</v>
      </c>
      <c r="O1662" s="228" t="str">
        <f t="shared" ca="1" si="1324"/>
        <v>Revestimento interno de piso porcelanato placa 80x80cm - áreas Externas</v>
      </c>
      <c r="P1662" s="232" t="str">
        <f>IF(S1662="","",IF(Orçamento!$B1662="INSUMO",S1662,""))</f>
        <v>ESPACADOR PVC NIVELAMENTO REVESTIMENTO 1,0MM NBR 6118</v>
      </c>
      <c r="Q1662" s="244" t="str">
        <f t="shared" si="1325"/>
        <v/>
      </c>
      <c r="R1662" s="234">
        <f t="shared" ca="1" si="1326"/>
        <v>85.46</v>
      </c>
      <c r="S1662" s="233" t="s">
        <v>715</v>
      </c>
      <c r="T1662" s="242" t="str">
        <f>_xlfn.XLOOKUP(S1662,Insumos!$A$3:$A$371,Insumos!$B$3:$B$371)</f>
        <v>UN</v>
      </c>
      <c r="U1662" s="235">
        <f ca="1">IF($B1662="insumo",R1662,"")</f>
        <v>85.46</v>
      </c>
      <c r="V1662" s="320">
        <v>4</v>
      </c>
      <c r="W1662" s="236">
        <f>IFERROR(IF(B1662="INSUMO",_xlfn.XLOOKUP(S1662,Insumos!A:A,Insumos!C:C),""),"Inserir Preço")</f>
        <v>0.22</v>
      </c>
      <c r="X1662" s="235">
        <f t="shared" ca="1" si="1327"/>
        <v>341.84</v>
      </c>
      <c r="Y1662" s="236">
        <f t="shared" si="1285"/>
        <v>0.88</v>
      </c>
      <c r="Z1662" s="237">
        <f t="shared" ca="1" si="1256"/>
        <v>75.204799999999992</v>
      </c>
      <c r="AA1662" s="238"/>
      <c r="AB1662" s="233" t="str">
        <f>IF(B1662="insumo",_xlfn.XLOOKUP(S1662,Insumos!A:A,Insumos!D:D),"")</f>
        <v>Base de Dados</v>
      </c>
      <c r="AC1662" s="239">
        <f t="shared" ca="1" si="1257"/>
        <v>1.0788814217542651E-5</v>
      </c>
      <c r="AE1662" s="240">
        <f ca="1">IFERROR(IF(OR(Z1662="",Z1662=0),"",IF(AF1662="","",IF(AF1662="R$/mês",Z1662/OBRA!$D$12,IF(AF1662="R$/m²",Z1662/OBRA!$D$10,IF(AF1662="R$/apto",Orçamento!Z1662/OBRA!$D$11,""))))),"")</f>
        <v>3.8700925778214615E-2</v>
      </c>
      <c r="AF1662" s="241" t="s">
        <v>154</v>
      </c>
    </row>
    <row r="1663" spans="1:32" s="10" customFormat="1" ht="13.15" hidden="1" customHeight="1" outlineLevel="4" x14ac:dyDescent="0.2">
      <c r="A1663" s="227"/>
      <c r="B1663" s="228" t="s">
        <v>19</v>
      </c>
      <c r="C1663" s="229">
        <f t="shared" si="1255"/>
        <v>7</v>
      </c>
      <c r="D1663" s="227" t="str">
        <f t="shared" si="1314"/>
        <v/>
      </c>
      <c r="E1663" s="228" t="str">
        <f t="shared" ca="1" si="1315"/>
        <v>15.004.002.003</v>
      </c>
      <c r="F1663" s="230">
        <f ca="1">IF($B1663="UNIDADE CONSTRUTIVA",OFFSET(F1663,-1,0)+1,LARGE(F$10:F1662,1))</f>
        <v>2</v>
      </c>
      <c r="G1663" s="228" t="str">
        <f t="shared" ca="1" si="1316"/>
        <v xml:space="preserve">   GERENCIAMENTO EXECUTIVO</v>
      </c>
      <c r="H1663" s="230">
        <f t="shared" ca="1" si="1317"/>
        <v>15</v>
      </c>
      <c r="I1663" s="228" t="str">
        <f t="shared" ca="1" si="1318"/>
        <v xml:space="preserve">   PISOS E PAVIMENTAÇÕES</v>
      </c>
      <c r="J1663" s="230">
        <f t="shared" ca="1" si="1319"/>
        <v>4</v>
      </c>
      <c r="K1663" s="228" t="str">
        <f t="shared" ca="1" si="1320"/>
        <v xml:space="preserve">   PISOS E PAVIMENTAÇÕES - 8º PAVIMENTO - COBERTURA</v>
      </c>
      <c r="L1663" s="231">
        <f t="shared" ca="1" si="1321"/>
        <v>2</v>
      </c>
      <c r="M1663" s="228" t="str">
        <f t="shared" ca="1" si="1322"/>
        <v xml:space="preserve">   Acabamentos em Piso</v>
      </c>
      <c r="N1663" s="231">
        <f t="shared" ca="1" si="1323"/>
        <v>3</v>
      </c>
      <c r="O1663" s="228" t="str">
        <f t="shared" ca="1" si="1324"/>
        <v>Revestimento interno de piso porcelanato placa 80x80cm - áreas Externas</v>
      </c>
      <c r="P1663" s="232" t="str">
        <f>IF(S1663="","",IF(Orçamento!$B1663="INSUMO",S1663,""))</f>
        <v>REVESTIMENTO - HIT GRIS 80X80 EXT RET</v>
      </c>
      <c r="Q1663" s="244" t="str">
        <f t="shared" si="1325"/>
        <v/>
      </c>
      <c r="R1663" s="234">
        <f t="shared" ca="1" si="1326"/>
        <v>85.46</v>
      </c>
      <c r="S1663" s="233" t="s">
        <v>910</v>
      </c>
      <c r="T1663" s="242" t="str">
        <f>_xlfn.XLOOKUP(S1663,Insumos!$A$3:$A$371,Insumos!$B$3:$B$371)</f>
        <v>M2</v>
      </c>
      <c r="U1663" s="235">
        <f ca="1">IF($B1663="insumo",R1663,"")</f>
        <v>85.46</v>
      </c>
      <c r="V1663" s="320">
        <v>1.1000000000000001</v>
      </c>
      <c r="W1663" s="236">
        <f>IFERROR(IF(B1663="INSUMO",_xlfn.XLOOKUP(S1663,Insumos!A:A,Insumos!C:C),""),"Inserir Preço")</f>
        <v>60.29</v>
      </c>
      <c r="X1663" s="235">
        <f t="shared" ca="1" si="1327"/>
        <v>94.006</v>
      </c>
      <c r="Y1663" s="236">
        <f t="shared" si="1285"/>
        <v>66.319000000000003</v>
      </c>
      <c r="Z1663" s="237">
        <f t="shared" ca="1" si="1256"/>
        <v>5667.6217399999996</v>
      </c>
      <c r="AA1663" s="238"/>
      <c r="AB1663" s="233" t="str">
        <f>IF(B1663="insumo",_xlfn.XLOOKUP(S1663,Insumos!A:A,Insumos!D:D),"")</f>
        <v>Portobelo</v>
      </c>
      <c r="AC1663" s="239">
        <f t="shared" ca="1" si="1257"/>
        <v>8.1307201146955802E-4</v>
      </c>
      <c r="AE1663" s="240">
        <f ca="1">IFERROR(IF(OR(Z1663="",Z1663=0),"",IF(AF1663="","",IF(AF1663="R$/mês",Z1663/OBRA!$D$12,IF(AF1663="R$/m²",Z1663/OBRA!$D$10,IF(AF1663="R$/apto",Orçamento!Z1663/OBRA!$D$11,""))))),"")</f>
        <v>2.9165985189606993</v>
      </c>
      <c r="AF1663" s="241" t="s">
        <v>154</v>
      </c>
    </row>
    <row r="1664" spans="1:32" s="10" customFormat="1" ht="13.15" hidden="1" customHeight="1" outlineLevel="4" x14ac:dyDescent="0.2">
      <c r="A1664" s="227"/>
      <c r="B1664" s="228" t="s">
        <v>4</v>
      </c>
      <c r="C1664" s="229">
        <f t="shared" si="1255"/>
        <v>1</v>
      </c>
      <c r="D1664" s="227" t="str">
        <f t="shared" ca="1" si="1314"/>
        <v>15.004.002.004</v>
      </c>
      <c r="E1664" s="228" t="str">
        <f t="shared" ca="1" si="1315"/>
        <v>15.004.002.004</v>
      </c>
      <c r="F1664" s="230">
        <f ca="1">IF($B1664="UNIDADE CONSTRUTIVA",OFFSET(F1664,-1,0)+1,LARGE(F$10:F1663,1))</f>
        <v>2</v>
      </c>
      <c r="G1664" s="228" t="str">
        <f t="shared" ca="1" si="1316"/>
        <v xml:space="preserve">   GERENCIAMENTO EXECUTIVO</v>
      </c>
      <c r="H1664" s="230">
        <f t="shared" ca="1" si="1317"/>
        <v>15</v>
      </c>
      <c r="I1664" s="228" t="str">
        <f t="shared" ca="1" si="1318"/>
        <v xml:space="preserve">   PISOS E PAVIMENTAÇÕES</v>
      </c>
      <c r="J1664" s="230">
        <f t="shared" ca="1" si="1319"/>
        <v>4</v>
      </c>
      <c r="K1664" s="228" t="str">
        <f t="shared" ca="1" si="1320"/>
        <v xml:space="preserve">   PISOS E PAVIMENTAÇÕES - 8º PAVIMENTO - COBERTURA</v>
      </c>
      <c r="L1664" s="231">
        <f t="shared" ca="1" si="1321"/>
        <v>2</v>
      </c>
      <c r="M1664" s="228" t="str">
        <f t="shared" ca="1" si="1322"/>
        <v xml:space="preserve">   Acabamentos em Piso</v>
      </c>
      <c r="N1664" s="231">
        <f t="shared" ca="1" si="1323"/>
        <v>4</v>
      </c>
      <c r="O1664" s="228" t="str">
        <f t="shared" ca="1" si="1324"/>
        <v>Revestimento interno de piso Ladrilho Piscina - áreas Externas</v>
      </c>
      <c r="P1664" s="232" t="str">
        <f>IF(S1664="","",IF(Orçamento!$B1664="INSUMO",S1664,""))</f>
        <v/>
      </c>
      <c r="Q1664" s="244" t="str">
        <f t="shared" si="1325"/>
        <v>Revestimento interno de piso Ladrilho Piscina - áreas Externas</v>
      </c>
      <c r="R1664" s="234">
        <f t="shared" ca="1" si="1326"/>
        <v>36.799999999999997</v>
      </c>
      <c r="S1664" s="233" t="s">
        <v>1131</v>
      </c>
      <c r="T1664" s="242" t="s">
        <v>140</v>
      </c>
      <c r="U1664" s="235">
        <v>36.799999999999997</v>
      </c>
      <c r="V1664" s="320" t="s">
        <v>35</v>
      </c>
      <c r="W1664" s="236" t="str">
        <f>IFERROR(IF(B1664="INSUMO",_xlfn.XLOOKUP(S1664,Insumos!A:A,Insumos!C:C),""),"Inserir Preço")</f>
        <v/>
      </c>
      <c r="X1664" s="235">
        <f t="shared" ca="1" si="1327"/>
        <v>36.799999999999997</v>
      </c>
      <c r="Y1664" s="236">
        <f t="shared" ca="1" si="1285"/>
        <v>121.62600000000002</v>
      </c>
      <c r="Z1664" s="237">
        <f t="shared" ca="1" si="1256"/>
        <v>4475.8368</v>
      </c>
      <c r="AA1664" s="238"/>
      <c r="AB1664" s="233" t="str">
        <f>IF(B1664="insumo",_xlfn.XLOOKUP(S1664,Insumos!A:A,Insumos!D:D),"")</f>
        <v/>
      </c>
      <c r="AC1664" s="239">
        <f t="shared" ca="1" si="1257"/>
        <v>6.4209959607951369E-4</v>
      </c>
      <c r="AE1664" s="240">
        <f ca="1">IFERROR(IF(OR(Z1664="",Z1664=0),"",IF(AF1664="","",IF(AF1664="R$/mês",Z1664/OBRA!$D$12,IF(AF1664="R$/m²",Z1664/OBRA!$D$10,IF(AF1664="R$/apto",Orçamento!Z1664/OBRA!$D$11,""))))),"")</f>
        <v>2.3032974995239885</v>
      </c>
      <c r="AF1664" s="241" t="s">
        <v>154</v>
      </c>
    </row>
    <row r="1665" spans="1:32" s="10" customFormat="1" ht="13.15" hidden="1" customHeight="1" outlineLevel="4" x14ac:dyDescent="0.2">
      <c r="A1665" s="227"/>
      <c r="B1665" s="228" t="s">
        <v>19</v>
      </c>
      <c r="C1665" s="229">
        <f t="shared" si="1255"/>
        <v>23</v>
      </c>
      <c r="D1665" s="227" t="str">
        <f t="shared" si="1314"/>
        <v/>
      </c>
      <c r="E1665" s="228" t="str">
        <f t="shared" ca="1" si="1315"/>
        <v>15.004.002.004</v>
      </c>
      <c r="F1665" s="230">
        <f ca="1">IF($B1665="UNIDADE CONSTRUTIVA",OFFSET(F1665,-1,0)+1,LARGE(F$10:F1664,1))</f>
        <v>2</v>
      </c>
      <c r="G1665" s="228" t="str">
        <f t="shared" ca="1" si="1316"/>
        <v xml:space="preserve">   GERENCIAMENTO EXECUTIVO</v>
      </c>
      <c r="H1665" s="230">
        <f t="shared" ca="1" si="1317"/>
        <v>15</v>
      </c>
      <c r="I1665" s="228" t="str">
        <f t="shared" ca="1" si="1318"/>
        <v xml:space="preserve">   PISOS E PAVIMENTAÇÕES</v>
      </c>
      <c r="J1665" s="230">
        <f t="shared" ca="1" si="1319"/>
        <v>4</v>
      </c>
      <c r="K1665" s="228" t="str">
        <f t="shared" ca="1" si="1320"/>
        <v xml:space="preserve">   PISOS E PAVIMENTAÇÕES - 8º PAVIMENTO - COBERTURA</v>
      </c>
      <c r="L1665" s="231">
        <f t="shared" ca="1" si="1321"/>
        <v>2</v>
      </c>
      <c r="M1665" s="228" t="str">
        <f t="shared" ca="1" si="1322"/>
        <v xml:space="preserve">   Acabamentos em Piso</v>
      </c>
      <c r="N1665" s="231">
        <f t="shared" ca="1" si="1323"/>
        <v>4</v>
      </c>
      <c r="O1665" s="228" t="str">
        <f t="shared" ca="1" si="1324"/>
        <v>Revestimento interno de piso Ladrilho Piscina - áreas Externas</v>
      </c>
      <c r="P1665" s="232" t="str">
        <f>IF(S1665="","",IF(Orçamento!$B1665="INSUMO",S1665,""))</f>
        <v>ARGAMASSA COLANTE AC II</v>
      </c>
      <c r="Q1665" s="244" t="str">
        <f t="shared" si="1325"/>
        <v/>
      </c>
      <c r="R1665" s="234">
        <f t="shared" ca="1" si="1326"/>
        <v>36.799999999999997</v>
      </c>
      <c r="S1665" s="233" t="s">
        <v>314</v>
      </c>
      <c r="T1665" s="242" t="str">
        <f>_xlfn.XLOOKUP(S1665,Insumos!$A$3:$A$371,Insumos!$B$3:$B$371)</f>
        <v>KG</v>
      </c>
      <c r="U1665" s="235">
        <f ca="1">IF($B1665="insumo",R1665,"")</f>
        <v>36.799999999999997</v>
      </c>
      <c r="V1665" s="320">
        <v>9</v>
      </c>
      <c r="W1665" s="236">
        <f>IFERROR(IF(B1665="INSUMO",_xlfn.XLOOKUP(S1665,Insumos!A:A,Insumos!C:C),""),"Inserir Preço")</f>
        <v>0.84000000000000008</v>
      </c>
      <c r="X1665" s="235">
        <f t="shared" ca="1" si="1327"/>
        <v>331.2</v>
      </c>
      <c r="Y1665" s="236">
        <f t="shared" si="1285"/>
        <v>7.5600000000000005</v>
      </c>
      <c r="Z1665" s="237">
        <f t="shared" ca="1" si="1256"/>
        <v>278.20800000000003</v>
      </c>
      <c r="AA1665" s="238"/>
      <c r="AB1665" s="233" t="str">
        <f>IF(B1665="insumo",_xlfn.XLOOKUP(S1665,Insumos!A:A,Insumos!D:D),"")</f>
        <v>Argabrus</v>
      </c>
      <c r="AC1665" s="239">
        <f t="shared" ca="1" si="1257"/>
        <v>3.9911474079235719E-5</v>
      </c>
      <c r="AE1665" s="240">
        <f ca="1">IFERROR(IF(OR(Z1665="",Z1665=0),"",IF(AF1665="","",IF(AF1665="R$/mês",Z1665/OBRA!$D$12,IF(AF1665="R$/m²",Z1665/OBRA!$D$10,IF(AF1665="R$/apto",Orçamento!Z1665/OBRA!$D$11,""))))),"")</f>
        <v>0.14316781852894409</v>
      </c>
      <c r="AF1665" s="241" t="s">
        <v>154</v>
      </c>
    </row>
    <row r="1666" spans="1:32" s="10" customFormat="1" ht="13.15" hidden="1" customHeight="1" outlineLevel="4" x14ac:dyDescent="0.2">
      <c r="A1666" s="227"/>
      <c r="B1666" s="228" t="s">
        <v>19</v>
      </c>
      <c r="C1666" s="229">
        <f t="shared" si="1255"/>
        <v>32</v>
      </c>
      <c r="D1666" s="227" t="str">
        <f t="shared" si="1314"/>
        <v/>
      </c>
      <c r="E1666" s="228" t="str">
        <f t="shared" ca="1" si="1315"/>
        <v>15.004.002.004</v>
      </c>
      <c r="F1666" s="230">
        <f ca="1">IF($B1666="UNIDADE CONSTRUTIVA",OFFSET(F1666,-1,0)+1,LARGE(F$10:F1665,1))</f>
        <v>2</v>
      </c>
      <c r="G1666" s="228" t="str">
        <f t="shared" ca="1" si="1316"/>
        <v xml:space="preserve">   GERENCIAMENTO EXECUTIVO</v>
      </c>
      <c r="H1666" s="230">
        <f t="shared" ca="1" si="1317"/>
        <v>15</v>
      </c>
      <c r="I1666" s="228" t="str">
        <f t="shared" ca="1" si="1318"/>
        <v xml:space="preserve">   PISOS E PAVIMENTAÇÕES</v>
      </c>
      <c r="J1666" s="230">
        <f t="shared" ca="1" si="1319"/>
        <v>4</v>
      </c>
      <c r="K1666" s="228" t="str">
        <f t="shared" ca="1" si="1320"/>
        <v xml:space="preserve">   PISOS E PAVIMENTAÇÕES - 8º PAVIMENTO - COBERTURA</v>
      </c>
      <c r="L1666" s="231">
        <f t="shared" ca="1" si="1321"/>
        <v>2</v>
      </c>
      <c r="M1666" s="228" t="str">
        <f t="shared" ca="1" si="1322"/>
        <v xml:space="preserve">   Acabamentos em Piso</v>
      </c>
      <c r="N1666" s="231">
        <f t="shared" ca="1" si="1323"/>
        <v>4</v>
      </c>
      <c r="O1666" s="228" t="str">
        <f t="shared" ca="1" si="1324"/>
        <v>Revestimento interno de piso Ladrilho Piscina - áreas Externas</v>
      </c>
      <c r="P1666" s="232" t="str">
        <f>IF(S1666="","",IF(Orçamento!$B1666="INSUMO",S1666,""))</f>
        <v>REJUNTE FLEXIVEL CIMENTICIO TIPO II NBR 14992</v>
      </c>
      <c r="Q1666" s="244" t="str">
        <f t="shared" si="1325"/>
        <v/>
      </c>
      <c r="R1666" s="234">
        <f t="shared" ca="1" si="1326"/>
        <v>36.799999999999997</v>
      </c>
      <c r="S1666" s="233" t="s">
        <v>734</v>
      </c>
      <c r="T1666" s="242" t="str">
        <f>_xlfn.XLOOKUP(S1666,Insumos!$A$3:$A$371,Insumos!$B$3:$B$371)</f>
        <v>KG</v>
      </c>
      <c r="U1666" s="235">
        <f ca="1">IF($B1666="insumo",R1666,"")</f>
        <v>36.799999999999997</v>
      </c>
      <c r="V1666" s="320">
        <v>0.13</v>
      </c>
      <c r="W1666" s="236">
        <f>IFERROR(IF(B1666="INSUMO",_xlfn.XLOOKUP(S1666,Insumos!A:A,Insumos!C:C),""),"Inserir Preço")</f>
        <v>4.2</v>
      </c>
      <c r="X1666" s="235">
        <f t="shared" ca="1" si="1327"/>
        <v>4.7839999999999998</v>
      </c>
      <c r="Y1666" s="236">
        <f t="shared" si="1285"/>
        <v>0.54600000000000004</v>
      </c>
      <c r="Z1666" s="237">
        <f t="shared" ca="1" si="1256"/>
        <v>20.0928</v>
      </c>
      <c r="AA1666" s="238"/>
      <c r="AB1666" s="233" t="str">
        <f>IF(B1666="insumo",_xlfn.XLOOKUP(S1666,Insumos!A:A,Insumos!D:D),"")</f>
        <v>Distribuidora Sika</v>
      </c>
      <c r="AC1666" s="239">
        <f t="shared" ca="1" si="1257"/>
        <v>2.8824953501670241E-6</v>
      </c>
      <c r="AE1666" s="240">
        <f ca="1">IFERROR(IF(OR(Z1666="",Z1666=0),"",IF(AF1666="","",IF(AF1666="R$/mês",Z1666/OBRA!$D$12,IF(AF1666="R$/m²",Z1666/OBRA!$D$10,IF(AF1666="R$/apto",Orçamento!Z1666/OBRA!$D$11,""))))),"")</f>
        <v>1.0339898004868184E-2</v>
      </c>
      <c r="AF1666" s="241" t="s">
        <v>154</v>
      </c>
    </row>
    <row r="1667" spans="1:32" s="10" customFormat="1" ht="13.15" hidden="1" customHeight="1" outlineLevel="4" x14ac:dyDescent="0.2">
      <c r="A1667" s="227"/>
      <c r="B1667" s="228" t="s">
        <v>19</v>
      </c>
      <c r="C1667" s="229">
        <f t="shared" si="1255"/>
        <v>15</v>
      </c>
      <c r="D1667" s="227" t="str">
        <f t="shared" si="1314"/>
        <v/>
      </c>
      <c r="E1667" s="228" t="str">
        <f t="shared" ca="1" si="1315"/>
        <v>15.004.002.004</v>
      </c>
      <c r="F1667" s="230">
        <f ca="1">IF($B1667="UNIDADE CONSTRUTIVA",OFFSET(F1667,-1,0)+1,LARGE(F$10:F1666,1))</f>
        <v>2</v>
      </c>
      <c r="G1667" s="228" t="str">
        <f t="shared" ca="1" si="1316"/>
        <v xml:space="preserve">   GERENCIAMENTO EXECUTIVO</v>
      </c>
      <c r="H1667" s="230">
        <f t="shared" ca="1" si="1317"/>
        <v>15</v>
      </c>
      <c r="I1667" s="228" t="str">
        <f t="shared" ca="1" si="1318"/>
        <v xml:space="preserve">   PISOS E PAVIMENTAÇÕES</v>
      </c>
      <c r="J1667" s="230">
        <f t="shared" ca="1" si="1319"/>
        <v>4</v>
      </c>
      <c r="K1667" s="228" t="str">
        <f t="shared" ca="1" si="1320"/>
        <v xml:space="preserve">   PISOS E PAVIMENTAÇÕES - 8º PAVIMENTO - COBERTURA</v>
      </c>
      <c r="L1667" s="231">
        <f t="shared" ca="1" si="1321"/>
        <v>2</v>
      </c>
      <c r="M1667" s="228" t="str">
        <f t="shared" ca="1" si="1322"/>
        <v xml:space="preserve">   Acabamentos em Piso</v>
      </c>
      <c r="N1667" s="231">
        <f t="shared" ca="1" si="1323"/>
        <v>4</v>
      </c>
      <c r="O1667" s="228" t="str">
        <f t="shared" ca="1" si="1324"/>
        <v>Revestimento interno de piso Ladrilho Piscina - áreas Externas</v>
      </c>
      <c r="P1667" s="232" t="str">
        <f>IF(S1667="","",IF(Orçamento!$B1667="INSUMO",S1667,""))</f>
        <v>ESPACADOR PVC JUNTA PISO 3,0MM NBR 6118</v>
      </c>
      <c r="Q1667" s="244" t="str">
        <f t="shared" si="1325"/>
        <v/>
      </c>
      <c r="R1667" s="234">
        <f t="shared" ca="1" si="1326"/>
        <v>36.799999999999997</v>
      </c>
      <c r="S1667" s="233" t="s">
        <v>716</v>
      </c>
      <c r="T1667" s="242" t="str">
        <f>_xlfn.XLOOKUP(S1667,Insumos!$A$3:$A$371,Insumos!$B$3:$B$371)</f>
        <v>UN</v>
      </c>
      <c r="U1667" s="235">
        <f ca="1">IF($B1667="insumo",R1667,"")</f>
        <v>36.799999999999997</v>
      </c>
      <c r="V1667" s="320">
        <v>4</v>
      </c>
      <c r="W1667" s="236">
        <f>IFERROR(IF(B1667="INSUMO",_xlfn.XLOOKUP(S1667,Insumos!A:A,Insumos!C:C),""),"Inserir Preço")</f>
        <v>0.22</v>
      </c>
      <c r="X1667" s="235">
        <f t="shared" ca="1" si="1327"/>
        <v>147.19999999999999</v>
      </c>
      <c r="Y1667" s="236">
        <f t="shared" si="1285"/>
        <v>0.88</v>
      </c>
      <c r="Z1667" s="237">
        <f t="shared" ca="1" si="1256"/>
        <v>32.384</v>
      </c>
      <c r="AA1667" s="238"/>
      <c r="AB1667" s="233" t="str">
        <f>IF(B1667="insumo",_xlfn.XLOOKUP(S1667,Insumos!A:A,Insumos!D:D),"")</f>
        <v>Base de Dados</v>
      </c>
      <c r="AC1667" s="239">
        <f t="shared" ca="1" si="1257"/>
        <v>4.6457800515512476E-6</v>
      </c>
      <c r="AE1667" s="240">
        <f ca="1">IFERROR(IF(OR(Z1667="",Z1667=0),"",IF(AF1667="","",IF(AF1667="R$/mês",Z1667/OBRA!$D$12,IF(AF1667="R$/m²",Z1667/OBRA!$D$10,IF(AF1667="R$/apto",Orçamento!Z1667/OBRA!$D$11,""))))),"")</f>
        <v>1.6665037077443226E-2</v>
      </c>
      <c r="AF1667" s="241" t="s">
        <v>154</v>
      </c>
    </row>
    <row r="1668" spans="1:32" s="10" customFormat="1" ht="13.15" hidden="1" customHeight="1" outlineLevel="4" x14ac:dyDescent="0.2">
      <c r="A1668" s="227"/>
      <c r="B1668" s="228" t="s">
        <v>19</v>
      </c>
      <c r="C1668" s="229">
        <f t="shared" si="1255"/>
        <v>2</v>
      </c>
      <c r="D1668" s="227" t="str">
        <f t="shared" si="1314"/>
        <v/>
      </c>
      <c r="E1668" s="228" t="str">
        <f t="shared" ca="1" si="1315"/>
        <v>15.004.002.004</v>
      </c>
      <c r="F1668" s="230">
        <f ca="1">IF($B1668="UNIDADE CONSTRUTIVA",OFFSET(F1668,-1,0)+1,LARGE(F$10:F1667,1))</f>
        <v>2</v>
      </c>
      <c r="G1668" s="228" t="str">
        <f t="shared" ca="1" si="1316"/>
        <v xml:space="preserve">   GERENCIAMENTO EXECUTIVO</v>
      </c>
      <c r="H1668" s="230">
        <f t="shared" ca="1" si="1317"/>
        <v>15</v>
      </c>
      <c r="I1668" s="228" t="str">
        <f t="shared" ca="1" si="1318"/>
        <v xml:space="preserve">   PISOS E PAVIMENTAÇÕES</v>
      </c>
      <c r="J1668" s="230">
        <f t="shared" ca="1" si="1319"/>
        <v>4</v>
      </c>
      <c r="K1668" s="228" t="str">
        <f t="shared" ca="1" si="1320"/>
        <v xml:space="preserve">   PISOS E PAVIMENTAÇÕES - 8º PAVIMENTO - COBERTURA</v>
      </c>
      <c r="L1668" s="231">
        <f t="shared" ca="1" si="1321"/>
        <v>2</v>
      </c>
      <c r="M1668" s="228" t="str">
        <f t="shared" ca="1" si="1322"/>
        <v xml:space="preserve">   Acabamentos em Piso</v>
      </c>
      <c r="N1668" s="231">
        <f t="shared" ca="1" si="1323"/>
        <v>4</v>
      </c>
      <c r="O1668" s="228" t="str">
        <f t="shared" ca="1" si="1324"/>
        <v>Revestimento interno de piso Ladrilho Piscina - áreas Externas</v>
      </c>
      <c r="P1668" s="232" t="str">
        <f>IF(S1668="","",IF(Orçamento!$B1668="INSUMO",S1668,""))</f>
        <v>REVESTIMENTO - PASTILHA CERAMICA 5 X 5CM</v>
      </c>
      <c r="Q1668" s="244" t="str">
        <f t="shared" si="1325"/>
        <v/>
      </c>
      <c r="R1668" s="234">
        <f t="shared" ca="1" si="1326"/>
        <v>36.799999999999997</v>
      </c>
      <c r="S1668" s="233" t="s">
        <v>1130</v>
      </c>
      <c r="T1668" s="242" t="str">
        <f>_xlfn.XLOOKUP(S1668,Insumos!$A$3:$A$371,Insumos!$B$3:$B$371)</f>
        <v>M2</v>
      </c>
      <c r="U1668" s="235">
        <f ca="1">IF($B1668="insumo",R1668,"")</f>
        <v>36.799999999999997</v>
      </c>
      <c r="V1668" s="320">
        <v>1.1000000000000001</v>
      </c>
      <c r="W1668" s="236">
        <f>IFERROR(IF(B1668="INSUMO",_xlfn.XLOOKUP(S1668,Insumos!A:A,Insumos!C:C),""),"Inserir Preço")</f>
        <v>102.4</v>
      </c>
      <c r="X1668" s="235">
        <f t="shared" ca="1" si="1327"/>
        <v>40.479999999999997</v>
      </c>
      <c r="Y1668" s="236">
        <f t="shared" si="1285"/>
        <v>112.64000000000001</v>
      </c>
      <c r="Z1668" s="237">
        <f t="shared" ca="1" si="1256"/>
        <v>4145.152</v>
      </c>
      <c r="AA1668" s="238"/>
      <c r="AB1668" s="233" t="str">
        <f>IF(B1668="insumo",_xlfn.XLOOKUP(S1668,Insumos!A:A,Insumos!D:D),"")</f>
        <v>Base de Dados</v>
      </c>
      <c r="AC1668" s="239">
        <f t="shared" ca="1" si="1257"/>
        <v>5.9465984659855969E-4</v>
      </c>
      <c r="AE1668" s="240">
        <f ca="1">IFERROR(IF(OR(Z1668="",Z1668=0),"",IF(AF1668="","",IF(AF1668="R$/mês",Z1668/OBRA!$D$12,IF(AF1668="R$/m²",Z1668/OBRA!$D$10,IF(AF1668="R$/apto",Orçamento!Z1668/OBRA!$D$11,""))))),"")</f>
        <v>2.1331247459127329</v>
      </c>
      <c r="AF1668" s="241" t="s">
        <v>154</v>
      </c>
    </row>
    <row r="1669" spans="1:32" s="10" customFormat="1" ht="13.15" hidden="1" customHeight="1" outlineLevel="3" collapsed="1" x14ac:dyDescent="0.2">
      <c r="A1669" s="227"/>
      <c r="B1669" s="228" t="s">
        <v>3</v>
      </c>
      <c r="C1669" s="229" t="str">
        <f t="shared" si="1255"/>
        <v/>
      </c>
      <c r="D1669" s="227" t="str">
        <f t="shared" ref="D1669:D1674" ca="1" si="1328">IF(B1669="Unidade Construtiva",TEXT(F1669,"00"),IF(B1669="Célula Construtiva",TEXT(H1669,"00"),IF(B1669="Etapa",CONCATENATE(TEXT(H1669,"00"),".",TEXT(J1669,"000")),IF(B1669="Subetapa",CONCATENATE(TEXT(H1669,"00"),".",TEXT(J1669,"000"),".",TEXT(L1669,"000")),IF(B1669="Serviço",CONCATENATE(TEXT(H1669,"00"),".",TEXT(J1669,"000"),".",TEXT(L1669,"000"),".",TEXT(N1669,"000")),"")))))</f>
        <v>15.004.003</v>
      </c>
      <c r="E1669" s="228" t="str">
        <f t="shared" ref="E1669:E1674" ca="1" si="1329">IF(B1669="*","",IFERROR(IF(B1669="SERVIÇO",D1669,OFFSET(E1669,-1,0)),""))</f>
        <v>15.004.002.004</v>
      </c>
      <c r="F1669" s="230">
        <f ca="1">IF($B1669="UNIDADE CONSTRUTIVA",OFFSET(F1669,-1,0)+1,LARGE(F$10:F1668,1))</f>
        <v>2</v>
      </c>
      <c r="G1669" s="228" t="str">
        <f ca="1">IF(B1669="*","",IF(B1669="UNIDADE CONSTRUTIVA",S1669,OFFSET(G1669,-1,0)))</f>
        <v xml:space="preserve">   GERENCIAMENTO EXECUTIVO</v>
      </c>
      <c r="H1669" s="230">
        <f t="shared" ref="H1669:H1674" ca="1" si="1330">IF(B1669="UNIDADE CONSTRUTIVA",0,IF(B1669="CÉLULA CONSTRUTIVA",OFFSET(H1669,-1,0)+1,OFFSET(H1669,-1,0)))</f>
        <v>15</v>
      </c>
      <c r="I1669" s="228" t="str">
        <f ca="1">IF(B1669="*","",IF(B1669="CÉLULA CONSTRUTIVA",S1669,OFFSET(I1669,-1,0)))</f>
        <v xml:space="preserve">   PISOS E PAVIMENTAÇÕES</v>
      </c>
      <c r="J1669" s="230">
        <f t="shared" ref="J1669:J1674" ca="1" si="1331">IF(B1669="CÉLULA CONSTRUTIVA",0,IF(B1669="ETAPA",OFFSET(J1669,-1,0)+1,OFFSET(J1669,-1,0)))</f>
        <v>4</v>
      </c>
      <c r="K1669" s="228" t="str">
        <f ca="1">IF(B1669="*","",IF(B1669="ETAPA",S1669,OFFSET(K1669,-1,0)))</f>
        <v xml:space="preserve">   PISOS E PAVIMENTAÇÕES - 8º PAVIMENTO - COBERTURA</v>
      </c>
      <c r="L1669" s="231">
        <f t="shared" ref="L1669:L1674" ca="1" si="1332">IF(B1669="ETAPA",0,IF(B1669="SUBETAPA",OFFSET(L1669,-1,0)+1,OFFSET(L1669,-1,0)))</f>
        <v>3</v>
      </c>
      <c r="M1669" s="228" t="str">
        <f ca="1">IF(B1669="*","",IF(B1669="SUBETAPA",S1669,OFFSET(M1669,-1,0)))</f>
        <v xml:space="preserve">   Rodapés</v>
      </c>
      <c r="N1669" s="231">
        <f t="shared" ref="N1669:N1674" ca="1" si="1333">IF(B1669="Subetapa",0,IF(B1669="serviço",OFFSET(N1669,-1,0)+1,OFFSET(N1669,-1,0)))</f>
        <v>0</v>
      </c>
      <c r="O1669" s="228" t="str">
        <f ca="1">IF(B1669="*","",IF(B1669="SERVIÇO",S1669,OFFSET(O1669,-1,0)))</f>
        <v>Revestimento interno de piso Ladrilho Piscina - áreas Externas</v>
      </c>
      <c r="P1669" s="232" t="str">
        <f>IF(S1669="","",IF(Orçamento!$B1669="INSUMO",S1669,""))</f>
        <v/>
      </c>
      <c r="Q1669" s="244" t="str">
        <f t="shared" ref="Q1669:Q1674" si="1334">IF(B1669="","",IF(B1669="Serviço",S1669,""))</f>
        <v/>
      </c>
      <c r="R1669" s="234">
        <f ca="1">IF(B1669="serviço",U1669,OFFSET(R1669,-1,0))</f>
        <v>36.799999999999997</v>
      </c>
      <c r="S1669" s="233" t="s">
        <v>489</v>
      </c>
      <c r="T1669" s="242" t="s">
        <v>35</v>
      </c>
      <c r="U1669" s="235" t="str">
        <f>IF($B1669="insumo",R1669,"")</f>
        <v/>
      </c>
      <c r="V1669" s="320" t="s">
        <v>35</v>
      </c>
      <c r="W1669" s="236" t="str">
        <f>IFERROR(IF(B1669="INSUMO",_xlfn.XLOOKUP(S1669,Insumos!A:A,Insumos!C:C),""),"Inserir Preço")</f>
        <v/>
      </c>
      <c r="X1669" s="235" t="str">
        <f ca="1">IF(B1669="Complemento do insumo",V1669,IF(R1669="","",IF(B1669="serviço",R1669,IF(OR(B1669="insumo"),V1669*R1669,""))))</f>
        <v/>
      </c>
      <c r="Y1669" s="236" t="str">
        <f t="shared" si="1285"/>
        <v/>
      </c>
      <c r="Z1669" s="237">
        <f t="shared" ca="1" si="1256"/>
        <v>2420.3197152749999</v>
      </c>
      <c r="AA1669" s="238"/>
      <c r="AB1669" s="233" t="str">
        <f>IF(B1669="insumo",_xlfn.XLOOKUP(S1669,Insumos!A:A,Insumos!D:D),"")</f>
        <v/>
      </c>
      <c r="AC1669" s="239">
        <f t="shared" ca="1" si="1257"/>
        <v>3.4721692970605202E-4</v>
      </c>
      <c r="AE1669" s="240">
        <f ca="1">IFERROR(IF(OR(Z1669="",Z1669=0),"",IF(AF1669="","",IF(AF1669="R$/mês",Z1669/OBRA!$D$12,IF(AF1669="R$/m²",Z1669/OBRA!$D$10,IF(AF1669="R$/apto",Orçamento!Z1669/OBRA!$D$11,""))))),"")</f>
        <v>1.2455137658820623</v>
      </c>
      <c r="AF1669" s="241" t="s">
        <v>154</v>
      </c>
    </row>
    <row r="1670" spans="1:32" s="10" customFormat="1" ht="13.15" hidden="1" customHeight="1" outlineLevel="4" x14ac:dyDescent="0.2">
      <c r="A1670" s="227"/>
      <c r="B1670" s="228" t="s">
        <v>4</v>
      </c>
      <c r="C1670" s="229">
        <f t="shared" si="1255"/>
        <v>4</v>
      </c>
      <c r="D1670" s="227" t="str">
        <f t="shared" ca="1" si="1328"/>
        <v>15.004.003.001</v>
      </c>
      <c r="E1670" s="228" t="str">
        <f t="shared" ca="1" si="1329"/>
        <v>15.004.003.001</v>
      </c>
      <c r="F1670" s="230">
        <f ca="1">IF($B1670="UNIDADE CONSTRUTIVA",OFFSET(F1670,-1,0)+1,LARGE(F$10:F1669,1))</f>
        <v>2</v>
      </c>
      <c r="G1670" s="228" t="str">
        <f t="shared" ref="G1670:G1680" ca="1" si="1335">IF(B1670="*","",IF(B1670="UNIDADE CONSTRUTIVA",S1670,OFFSET(G1670,-1,0)))</f>
        <v xml:space="preserve">   GERENCIAMENTO EXECUTIVO</v>
      </c>
      <c r="H1670" s="230">
        <f t="shared" ca="1" si="1330"/>
        <v>15</v>
      </c>
      <c r="I1670" s="228" t="str">
        <f t="shared" ref="I1670:I1680" ca="1" si="1336">IF(B1670="*","",IF(B1670="CÉLULA CONSTRUTIVA",S1670,OFFSET(I1670,-1,0)))</f>
        <v xml:space="preserve">   PISOS E PAVIMENTAÇÕES</v>
      </c>
      <c r="J1670" s="230">
        <f t="shared" ca="1" si="1331"/>
        <v>4</v>
      </c>
      <c r="K1670" s="228" t="str">
        <f t="shared" ref="K1670:K1680" ca="1" si="1337">IF(B1670="*","",IF(B1670="ETAPA",S1670,OFFSET(K1670,-1,0)))</f>
        <v xml:space="preserve">   PISOS E PAVIMENTAÇÕES - 8º PAVIMENTO - COBERTURA</v>
      </c>
      <c r="L1670" s="231">
        <f t="shared" ca="1" si="1332"/>
        <v>3</v>
      </c>
      <c r="M1670" s="228" t="str">
        <f t="shared" ref="M1670:M1680" ca="1" si="1338">IF(B1670="*","",IF(B1670="SUBETAPA",S1670,OFFSET(M1670,-1,0)))</f>
        <v xml:space="preserve">   Rodapés</v>
      </c>
      <c r="N1670" s="231">
        <f t="shared" ca="1" si="1333"/>
        <v>1</v>
      </c>
      <c r="O1670" s="228" t="str">
        <f t="shared" ref="O1670:O1680" ca="1" si="1339">IF(B1670="*","",IF(B1670="SERVIÇO",S1670,OFFSET(O1670,-1,0)))</f>
        <v>Revestimento interno de Rodapé Cerâmico h=0,07cm</v>
      </c>
      <c r="P1670" s="232" t="str">
        <f>IF(S1670="","",IF(Orçamento!$B1670="INSUMO",S1670,""))</f>
        <v/>
      </c>
      <c r="Q1670" s="244" t="str">
        <f t="shared" si="1334"/>
        <v>Revestimento interno de Rodapé Cerâmico h=0,07cm</v>
      </c>
      <c r="R1670" s="234">
        <f t="shared" ref="R1670:R1680" ca="1" si="1340">IF(B1670="serviço",U1670,OFFSET(R1670,-1,0))</f>
        <v>12.92</v>
      </c>
      <c r="S1670" s="233" t="s">
        <v>1108</v>
      </c>
      <c r="T1670" s="242" t="s">
        <v>158</v>
      </c>
      <c r="U1670" s="235">
        <v>12.92</v>
      </c>
      <c r="V1670" s="320" t="s">
        <v>35</v>
      </c>
      <c r="W1670" s="236" t="str">
        <f>IFERROR(IF(B1670="INSUMO",_xlfn.XLOOKUP(S1670,Insumos!A:A,Insumos!C:C),""),"Inserir Preço")</f>
        <v/>
      </c>
      <c r="X1670" s="235">
        <f t="shared" ref="X1670:X1680" ca="1" si="1341">IF(B1670="Complemento do insumo",V1670,IF(R1670="","",IF(B1670="serviço",R1670,IF(OR(B1670="insumo"),V1670*R1670,""))))</f>
        <v>12.92</v>
      </c>
      <c r="Y1670" s="236">
        <f t="shared" ca="1" si="1285"/>
        <v>4.1086499999999999</v>
      </c>
      <c r="Z1670" s="237">
        <f t="shared" ca="1" si="1256"/>
        <v>53.083757999999996</v>
      </c>
      <c r="AA1670" s="238"/>
      <c r="AB1670" s="233" t="str">
        <f>IF(B1670="insumo",_xlfn.XLOOKUP(S1670,Insumos!A:A,Insumos!D:D),"")</f>
        <v/>
      </c>
      <c r="AC1670" s="239">
        <f t="shared" ca="1" si="1257"/>
        <v>7.6153490605784933E-6</v>
      </c>
      <c r="AE1670" s="240">
        <f ca="1">IFERROR(IF(OR(Z1670="",Z1670=0),"",IF(AF1670="","",IF(AF1670="R$/mês",Z1670/OBRA!$D$12,IF(AF1670="R$/m²",Z1670/OBRA!$D$10,IF(AF1670="R$/apto",Orçamento!Z1670/OBRA!$D$11,""))))),"")</f>
        <v>2.7317279992589656E-2</v>
      </c>
      <c r="AF1670" s="241" t="s">
        <v>154</v>
      </c>
    </row>
    <row r="1671" spans="1:32" s="10" customFormat="1" ht="13.15" hidden="1" customHeight="1" outlineLevel="4" x14ac:dyDescent="0.2">
      <c r="A1671" s="227"/>
      <c r="B1671" s="228" t="s">
        <v>19</v>
      </c>
      <c r="C1671" s="229">
        <f t="shared" si="1255"/>
        <v>23</v>
      </c>
      <c r="D1671" s="227" t="str">
        <f t="shared" si="1328"/>
        <v/>
      </c>
      <c r="E1671" s="228" t="str">
        <f t="shared" ca="1" si="1329"/>
        <v>15.004.003.001</v>
      </c>
      <c r="F1671" s="230">
        <f ca="1">IF($B1671="UNIDADE CONSTRUTIVA",OFFSET(F1671,-1,0)+1,LARGE(F$10:F1670,1))</f>
        <v>2</v>
      </c>
      <c r="G1671" s="228" t="str">
        <f t="shared" ca="1" si="1335"/>
        <v xml:space="preserve">   GERENCIAMENTO EXECUTIVO</v>
      </c>
      <c r="H1671" s="230">
        <f t="shared" ca="1" si="1330"/>
        <v>15</v>
      </c>
      <c r="I1671" s="228" t="str">
        <f t="shared" ca="1" si="1336"/>
        <v xml:space="preserve">   PISOS E PAVIMENTAÇÕES</v>
      </c>
      <c r="J1671" s="230">
        <f t="shared" ca="1" si="1331"/>
        <v>4</v>
      </c>
      <c r="K1671" s="228" t="str">
        <f t="shared" ca="1" si="1337"/>
        <v xml:space="preserve">   PISOS E PAVIMENTAÇÕES - 8º PAVIMENTO - COBERTURA</v>
      </c>
      <c r="L1671" s="231">
        <f t="shared" ca="1" si="1332"/>
        <v>3</v>
      </c>
      <c r="M1671" s="228" t="str">
        <f t="shared" ca="1" si="1338"/>
        <v xml:space="preserve">   Rodapés</v>
      </c>
      <c r="N1671" s="231">
        <f t="shared" ca="1" si="1333"/>
        <v>1</v>
      </c>
      <c r="O1671" s="228" t="str">
        <f t="shared" ca="1" si="1339"/>
        <v>Revestimento interno de Rodapé Cerâmico h=0,07cm</v>
      </c>
      <c r="P1671" s="232" t="str">
        <f>IF(S1671="","",IF(Orçamento!$B1671="INSUMO",S1671,""))</f>
        <v>ARGAMASSA COLANTE AC II</v>
      </c>
      <c r="Q1671" s="244" t="str">
        <f t="shared" si="1334"/>
        <v/>
      </c>
      <c r="R1671" s="234">
        <f t="shared" ca="1" si="1340"/>
        <v>12.92</v>
      </c>
      <c r="S1671" s="233" t="s">
        <v>314</v>
      </c>
      <c r="T1671" s="242" t="str">
        <f>_xlfn.XLOOKUP(S1671,Insumos!$A$3:$A$371,Insumos!$B$3:$B$371)</f>
        <v>KG</v>
      </c>
      <c r="U1671" s="235">
        <f ca="1">IF($B1671="insumo",R1671,"")</f>
        <v>12.92</v>
      </c>
      <c r="V1671" s="320">
        <f>ROUNDUP(9*0.07,4)</f>
        <v>0.63</v>
      </c>
      <c r="W1671" s="236">
        <f>IFERROR(IF(B1671="INSUMO",_xlfn.XLOOKUP(S1671,Insumos!A:A,Insumos!C:C),""),"Inserir Preço")</f>
        <v>0.84000000000000008</v>
      </c>
      <c r="X1671" s="235">
        <f t="shared" ca="1" si="1341"/>
        <v>8.1395999999999997</v>
      </c>
      <c r="Y1671" s="236">
        <f t="shared" si="1285"/>
        <v>0.5292</v>
      </c>
      <c r="Z1671" s="237">
        <f t="shared" ca="1" si="1256"/>
        <v>6.8372640000000002</v>
      </c>
      <c r="AA1671" s="238"/>
      <c r="AB1671" s="233" t="str">
        <f>IF(B1671="insumo",_xlfn.XLOOKUP(S1671,Insumos!A:A,Insumos!D:D),"")</f>
        <v>Argabrus</v>
      </c>
      <c r="AC1671" s="239">
        <f t="shared" ca="1" si="1257"/>
        <v>9.8086785753426029E-7</v>
      </c>
      <c r="AE1671" s="240">
        <f ca="1">IFERROR(IF(OR(Z1671="",Z1671=0),"",IF(AF1671="","",IF(AF1671="R$/mês",Z1671/OBRA!$D$12,IF(AF1671="R$/m²",Z1671/OBRA!$D$10,IF(AF1671="R$/apto",Orçamento!Z1671/OBRA!$D$11,""))))),"")</f>
        <v>3.518504757542854E-3</v>
      </c>
      <c r="AF1671" s="241" t="s">
        <v>154</v>
      </c>
    </row>
    <row r="1672" spans="1:32" s="10" customFormat="1" ht="13.15" hidden="1" customHeight="1" outlineLevel="4" x14ac:dyDescent="0.2">
      <c r="A1672" s="227"/>
      <c r="B1672" s="228" t="s">
        <v>19</v>
      </c>
      <c r="C1672" s="229">
        <f t="shared" si="1255"/>
        <v>32</v>
      </c>
      <c r="D1672" s="227" t="str">
        <f t="shared" si="1328"/>
        <v/>
      </c>
      <c r="E1672" s="228" t="str">
        <f t="shared" ca="1" si="1329"/>
        <v>15.004.003.001</v>
      </c>
      <c r="F1672" s="230">
        <f ca="1">IF($B1672="UNIDADE CONSTRUTIVA",OFFSET(F1672,-1,0)+1,LARGE(F$10:F1671,1))</f>
        <v>2</v>
      </c>
      <c r="G1672" s="228" t="str">
        <f t="shared" ca="1" si="1335"/>
        <v xml:space="preserve">   GERENCIAMENTO EXECUTIVO</v>
      </c>
      <c r="H1672" s="230">
        <f t="shared" ca="1" si="1330"/>
        <v>15</v>
      </c>
      <c r="I1672" s="228" t="str">
        <f t="shared" ca="1" si="1336"/>
        <v xml:space="preserve">   PISOS E PAVIMENTAÇÕES</v>
      </c>
      <c r="J1672" s="230">
        <f t="shared" ca="1" si="1331"/>
        <v>4</v>
      </c>
      <c r="K1672" s="228" t="str">
        <f t="shared" ca="1" si="1337"/>
        <v xml:space="preserve">   PISOS E PAVIMENTAÇÕES - 8º PAVIMENTO - COBERTURA</v>
      </c>
      <c r="L1672" s="231">
        <f t="shared" ca="1" si="1332"/>
        <v>3</v>
      </c>
      <c r="M1672" s="228" t="str">
        <f t="shared" ca="1" si="1338"/>
        <v xml:space="preserve">   Rodapés</v>
      </c>
      <c r="N1672" s="231">
        <f t="shared" ca="1" si="1333"/>
        <v>1</v>
      </c>
      <c r="O1672" s="228" t="str">
        <f t="shared" ca="1" si="1339"/>
        <v>Revestimento interno de Rodapé Cerâmico h=0,07cm</v>
      </c>
      <c r="P1672" s="232" t="str">
        <f>IF(S1672="","",IF(Orçamento!$B1672="INSUMO",S1672,""))</f>
        <v>REJUNTE FLEXIVEL CIMENTICIO TIPO II NBR 14992</v>
      </c>
      <c r="Q1672" s="244" t="str">
        <f t="shared" si="1334"/>
        <v/>
      </c>
      <c r="R1672" s="234">
        <f t="shared" ca="1" si="1340"/>
        <v>12.92</v>
      </c>
      <c r="S1672" s="233" t="s">
        <v>734</v>
      </c>
      <c r="T1672" s="242" t="str">
        <f>_xlfn.XLOOKUP(S1672,Insumos!$A$3:$A$371,Insumos!$B$3:$B$371)</f>
        <v>KG</v>
      </c>
      <c r="U1672" s="235">
        <f ca="1">IF($B1672="insumo",R1672,"")</f>
        <v>12.92</v>
      </c>
      <c r="V1672" s="320">
        <f>ROUNDUP(0.13*0.07,4)</f>
        <v>9.1000000000000004E-3</v>
      </c>
      <c r="W1672" s="236">
        <f>IFERROR(IF(B1672="INSUMO",_xlfn.XLOOKUP(S1672,Insumos!A:A,Insumos!C:C),""),"Inserir Preço")</f>
        <v>4.2</v>
      </c>
      <c r="X1672" s="235">
        <f t="shared" ca="1" si="1341"/>
        <v>0.11757200000000001</v>
      </c>
      <c r="Y1672" s="236">
        <f t="shared" si="1285"/>
        <v>3.8220000000000004E-2</v>
      </c>
      <c r="Z1672" s="237">
        <f t="shared" ca="1" si="1256"/>
        <v>0.49380240000000009</v>
      </c>
      <c r="AA1672" s="238"/>
      <c r="AB1672" s="233" t="str">
        <f>IF(B1672="insumo",_xlfn.XLOOKUP(S1672,Insumos!A:A,Insumos!D:D),"")</f>
        <v>Distribuidora Sika</v>
      </c>
      <c r="AC1672" s="239">
        <f t="shared" ca="1" si="1257"/>
        <v>7.0840456377474374E-8</v>
      </c>
      <c r="AE1672" s="240">
        <f ca="1">IFERROR(IF(OR(Z1672="",Z1672=0),"",IF(AF1672="","",IF(AF1672="R$/mês",Z1672/OBRA!$D$12,IF(AF1672="R$/m²",Z1672/OBRA!$D$10,IF(AF1672="R$/apto",Orçamento!Z1672/OBRA!$D$11,""))))),"")</f>
        <v>2.5411423248920616E-4</v>
      </c>
      <c r="AF1672" s="241" t="s">
        <v>154</v>
      </c>
    </row>
    <row r="1673" spans="1:32" s="10" customFormat="1" ht="13.15" hidden="1" customHeight="1" outlineLevel="4" x14ac:dyDescent="0.2">
      <c r="A1673" s="227"/>
      <c r="B1673" s="228" t="s">
        <v>19</v>
      </c>
      <c r="C1673" s="229">
        <f t="shared" si="1255"/>
        <v>15</v>
      </c>
      <c r="D1673" s="227" t="str">
        <f t="shared" si="1328"/>
        <v/>
      </c>
      <c r="E1673" s="228" t="str">
        <f t="shared" ca="1" si="1329"/>
        <v>15.004.003.001</v>
      </c>
      <c r="F1673" s="230">
        <f ca="1">IF($B1673="UNIDADE CONSTRUTIVA",OFFSET(F1673,-1,0)+1,LARGE(F$10:F1672,1))</f>
        <v>2</v>
      </c>
      <c r="G1673" s="228" t="str">
        <f t="shared" ca="1" si="1335"/>
        <v xml:space="preserve">   GERENCIAMENTO EXECUTIVO</v>
      </c>
      <c r="H1673" s="230">
        <f t="shared" ca="1" si="1330"/>
        <v>15</v>
      </c>
      <c r="I1673" s="228" t="str">
        <f t="shared" ca="1" si="1336"/>
        <v xml:space="preserve">   PISOS E PAVIMENTAÇÕES</v>
      </c>
      <c r="J1673" s="230">
        <f t="shared" ca="1" si="1331"/>
        <v>4</v>
      </c>
      <c r="K1673" s="228" t="str">
        <f t="shared" ca="1" si="1337"/>
        <v xml:space="preserve">   PISOS E PAVIMENTAÇÕES - 8º PAVIMENTO - COBERTURA</v>
      </c>
      <c r="L1673" s="231">
        <f t="shared" ca="1" si="1332"/>
        <v>3</v>
      </c>
      <c r="M1673" s="228" t="str">
        <f t="shared" ca="1" si="1338"/>
        <v xml:space="preserve">   Rodapés</v>
      </c>
      <c r="N1673" s="231">
        <f t="shared" ca="1" si="1333"/>
        <v>1</v>
      </c>
      <c r="O1673" s="228" t="str">
        <f t="shared" ca="1" si="1339"/>
        <v>Revestimento interno de Rodapé Cerâmico h=0,07cm</v>
      </c>
      <c r="P1673" s="232" t="str">
        <f>IF(S1673="","",IF(Orçamento!$B1673="INSUMO",S1673,""))</f>
        <v>ESPACADOR PVC JUNTA PISO 3,0MM NBR 6118</v>
      </c>
      <c r="Q1673" s="244" t="str">
        <f t="shared" si="1334"/>
        <v/>
      </c>
      <c r="R1673" s="234">
        <f t="shared" ca="1" si="1340"/>
        <v>12.92</v>
      </c>
      <c r="S1673" s="233" t="s">
        <v>716</v>
      </c>
      <c r="T1673" s="242" t="str">
        <f>_xlfn.XLOOKUP(S1673,Insumos!$A$3:$A$371,Insumos!$B$3:$B$371)</f>
        <v>UN</v>
      </c>
      <c r="U1673" s="235">
        <f ca="1">IF($B1673="insumo",R1673,"")</f>
        <v>12.92</v>
      </c>
      <c r="V1673" s="320">
        <f>ROUNDUP(4*0.07,4)</f>
        <v>0.28000000000000003</v>
      </c>
      <c r="W1673" s="236">
        <f>IFERROR(IF(B1673="INSUMO",_xlfn.XLOOKUP(S1673,Insumos!A:A,Insumos!C:C),""),"Inserir Preço")</f>
        <v>0.22</v>
      </c>
      <c r="X1673" s="235">
        <f t="shared" ca="1" si="1341"/>
        <v>3.6176000000000004</v>
      </c>
      <c r="Y1673" s="236">
        <f t="shared" si="1285"/>
        <v>6.1600000000000009E-2</v>
      </c>
      <c r="Z1673" s="237">
        <f t="shared" ca="1" si="1256"/>
        <v>0.79587200000000013</v>
      </c>
      <c r="AA1673" s="238"/>
      <c r="AB1673" s="233" t="str">
        <f>IF(B1673="insumo",_xlfn.XLOOKUP(S1673,Insumos!A:A,Insumos!D:D),"")</f>
        <v>Base de Dados</v>
      </c>
      <c r="AC1673" s="239">
        <f t="shared" ca="1" si="1257"/>
        <v>1.1417509452779752E-7</v>
      </c>
      <c r="AE1673" s="240">
        <f ca="1">IFERROR(IF(OR(Z1673="",Z1673=0),"",IF(AF1673="","",IF(AF1673="R$/mês",Z1673/OBRA!$D$12,IF(AF1673="R$/m²",Z1673/OBRA!$D$10,IF(AF1673="R$/apto",Orçamento!Z1673/OBRA!$D$11,""))))),"")</f>
        <v>4.0956140034890368E-4</v>
      </c>
      <c r="AF1673" s="241" t="s">
        <v>154</v>
      </c>
    </row>
    <row r="1674" spans="1:32" s="10" customFormat="1" ht="13.15" hidden="1" customHeight="1" outlineLevel="4" x14ac:dyDescent="0.2">
      <c r="A1674" s="227"/>
      <c r="B1674" s="228" t="s">
        <v>19</v>
      </c>
      <c r="C1674" s="229">
        <f t="shared" si="1255"/>
        <v>13</v>
      </c>
      <c r="D1674" s="227" t="str">
        <f t="shared" si="1328"/>
        <v/>
      </c>
      <c r="E1674" s="228" t="str">
        <f t="shared" ca="1" si="1329"/>
        <v>15.004.003.001</v>
      </c>
      <c r="F1674" s="230">
        <f ca="1">IF($B1674="UNIDADE CONSTRUTIVA",OFFSET(F1674,-1,0)+1,LARGE(F$10:F1673,1))</f>
        <v>2</v>
      </c>
      <c r="G1674" s="228" t="str">
        <f t="shared" ca="1" si="1335"/>
        <v xml:space="preserve">   GERENCIAMENTO EXECUTIVO</v>
      </c>
      <c r="H1674" s="230">
        <f t="shared" ca="1" si="1330"/>
        <v>15</v>
      </c>
      <c r="I1674" s="228" t="str">
        <f t="shared" ca="1" si="1336"/>
        <v xml:space="preserve">   PISOS E PAVIMENTAÇÕES</v>
      </c>
      <c r="J1674" s="230">
        <f t="shared" ca="1" si="1331"/>
        <v>4</v>
      </c>
      <c r="K1674" s="228" t="str">
        <f t="shared" ca="1" si="1337"/>
        <v xml:space="preserve">   PISOS E PAVIMENTAÇÕES - 8º PAVIMENTO - COBERTURA</v>
      </c>
      <c r="L1674" s="231">
        <f t="shared" ca="1" si="1332"/>
        <v>3</v>
      </c>
      <c r="M1674" s="228" t="str">
        <f t="shared" ca="1" si="1338"/>
        <v xml:space="preserve">   Rodapés</v>
      </c>
      <c r="N1674" s="231">
        <f t="shared" ca="1" si="1333"/>
        <v>1</v>
      </c>
      <c r="O1674" s="228" t="str">
        <f t="shared" ca="1" si="1339"/>
        <v>Revestimento interno de Rodapé Cerâmico h=0,07cm</v>
      </c>
      <c r="P1674" s="232" t="str">
        <f>IF(S1674="","",IF(Orçamento!$B1674="INSUMO",S1674,""))</f>
        <v>REVESTIMENTO - HANGAR CHICAGO 60X60 NAT BOLD</v>
      </c>
      <c r="Q1674" s="244" t="str">
        <f t="shared" si="1334"/>
        <v/>
      </c>
      <c r="R1674" s="234">
        <f t="shared" ca="1" si="1340"/>
        <v>12.92</v>
      </c>
      <c r="S1674" s="233" t="s">
        <v>912</v>
      </c>
      <c r="T1674" s="242" t="str">
        <f>_xlfn.XLOOKUP(S1674,Insumos!$A$3:$A$371,Insumos!$B$3:$B$371)</f>
        <v>M2</v>
      </c>
      <c r="U1674" s="235">
        <f ca="1">IF($B1674="insumo",R1674,"")</f>
        <v>12.92</v>
      </c>
      <c r="V1674" s="320">
        <f>ROUNDUP(1.1*0.07,4)</f>
        <v>7.6999999999999999E-2</v>
      </c>
      <c r="W1674" s="236">
        <f>IFERROR(IF(B1674="INSUMO",_xlfn.XLOOKUP(S1674,Insumos!A:A,Insumos!C:C),""),"Inserir Preço")</f>
        <v>45.19</v>
      </c>
      <c r="X1674" s="235">
        <f t="shared" ca="1" si="1341"/>
        <v>0.99483999999999995</v>
      </c>
      <c r="Y1674" s="236">
        <f t="shared" si="1285"/>
        <v>3.4796299999999998</v>
      </c>
      <c r="Z1674" s="237">
        <f t="shared" ca="1" si="1256"/>
        <v>44.956819599999996</v>
      </c>
      <c r="AA1674" s="238"/>
      <c r="AB1674" s="233" t="str">
        <f>IF(B1674="insumo",_xlfn.XLOOKUP(S1674,Insumos!A:A,Insumos!D:D),"")</f>
        <v>Portobelo</v>
      </c>
      <c r="AC1674" s="239">
        <f t="shared" ca="1" si="1257"/>
        <v>6.449465652138961E-6</v>
      </c>
      <c r="AE1674" s="240">
        <f ca="1">IFERROR(IF(OR(Z1674="",Z1674=0),"",IF(AF1674="","",IF(AF1674="R$/mês",Z1674/OBRA!$D$12,IF(AF1674="R$/m²",Z1674/OBRA!$D$10,IF(AF1674="R$/apto",Orçamento!Z1674/OBRA!$D$11,""))))),"")</f>
        <v>2.3135099602208692E-2</v>
      </c>
      <c r="AF1674" s="241" t="s">
        <v>154</v>
      </c>
    </row>
    <row r="1675" spans="1:32" s="10" customFormat="1" ht="13.15" hidden="1" customHeight="1" outlineLevel="4" x14ac:dyDescent="0.2">
      <c r="A1675" s="227"/>
      <c r="B1675" s="228" t="s">
        <v>4</v>
      </c>
      <c r="C1675" s="229">
        <f t="shared" si="1255"/>
        <v>3</v>
      </c>
      <c r="D1675" s="227" t="str">
        <f t="shared" ref="D1675:D1680" ca="1" si="1342">IF(B1675="Unidade Construtiva",TEXT(F1675,"00"),IF(B1675="Célula Construtiva",TEXT(H1675,"00"),IF(B1675="Etapa",CONCATENATE(TEXT(H1675,"00"),".",TEXT(J1675,"000")),IF(B1675="Subetapa",CONCATENATE(TEXT(H1675,"00"),".",TEXT(J1675,"000"),".",TEXT(L1675,"000")),IF(B1675="Serviço",CONCATENATE(TEXT(H1675,"00"),".",TEXT(J1675,"000"),".",TEXT(L1675,"000"),".",TEXT(N1675,"000")),"")))))</f>
        <v>15.004.003.002</v>
      </c>
      <c r="E1675" s="228" t="str">
        <f t="shared" ref="E1675:E1680" ca="1" si="1343">IF(B1675="*","",IFERROR(IF(B1675="SERVIÇO",D1675,OFFSET(E1675,-1,0)),""))</f>
        <v>15.004.003.002</v>
      </c>
      <c r="F1675" s="230">
        <f ca="1">IF($B1675="UNIDADE CONSTRUTIVA",OFFSET(F1675,-1,0)+1,LARGE(F$10:F1674,1))</f>
        <v>2</v>
      </c>
      <c r="G1675" s="228" t="str">
        <f t="shared" ca="1" si="1335"/>
        <v xml:space="preserve">   GERENCIAMENTO EXECUTIVO</v>
      </c>
      <c r="H1675" s="230">
        <f t="shared" ref="H1675:H1680" ca="1" si="1344">IF(B1675="UNIDADE CONSTRUTIVA",0,IF(B1675="CÉLULA CONSTRUTIVA",OFFSET(H1675,-1,0)+1,OFFSET(H1675,-1,0)))</f>
        <v>15</v>
      </c>
      <c r="I1675" s="228" t="str">
        <f t="shared" ca="1" si="1336"/>
        <v xml:space="preserve">   PISOS E PAVIMENTAÇÕES</v>
      </c>
      <c r="J1675" s="230">
        <f t="shared" ref="J1675:J1680" ca="1" si="1345">IF(B1675="CÉLULA CONSTRUTIVA",0,IF(B1675="ETAPA",OFFSET(J1675,-1,0)+1,OFFSET(J1675,-1,0)))</f>
        <v>4</v>
      </c>
      <c r="K1675" s="228" t="str">
        <f t="shared" ca="1" si="1337"/>
        <v xml:space="preserve">   PISOS E PAVIMENTAÇÕES - 8º PAVIMENTO - COBERTURA</v>
      </c>
      <c r="L1675" s="231">
        <f t="shared" ref="L1675:L1680" ca="1" si="1346">IF(B1675="ETAPA",0,IF(B1675="SUBETAPA",OFFSET(L1675,-1,0)+1,OFFSET(L1675,-1,0)))</f>
        <v>3</v>
      </c>
      <c r="M1675" s="228" t="str">
        <f t="shared" ca="1" si="1338"/>
        <v xml:space="preserve">   Rodapés</v>
      </c>
      <c r="N1675" s="231">
        <f t="shared" ref="N1675:N1680" ca="1" si="1347">IF(B1675="Subetapa",0,IF(B1675="serviço",OFFSET(N1675,-1,0)+1,OFFSET(N1675,-1,0)))</f>
        <v>2</v>
      </c>
      <c r="O1675" s="228" t="str">
        <f t="shared" ca="1" si="1339"/>
        <v>Revestimento interno de Rodapé Porcelanato h=0,07cm</v>
      </c>
      <c r="P1675" s="232" t="str">
        <f>IF(S1675="","",IF(Orçamento!$B1675="INSUMO",S1675,""))</f>
        <v/>
      </c>
      <c r="Q1675" s="244" t="str">
        <f t="shared" ref="Q1675:Q1680" si="1348">IF(B1675="","",IF(B1675="Serviço",S1675,""))</f>
        <v>Revestimento interno de Rodapé Porcelanato h=0,07cm</v>
      </c>
      <c r="R1675" s="234">
        <f t="shared" ca="1" si="1340"/>
        <v>24.9785</v>
      </c>
      <c r="S1675" s="233" t="s">
        <v>1120</v>
      </c>
      <c r="T1675" s="242" t="s">
        <v>158</v>
      </c>
      <c r="U1675" s="235">
        <v>24.9785</v>
      </c>
      <c r="V1675" s="320" t="s">
        <v>35</v>
      </c>
      <c r="W1675" s="236" t="str">
        <f>IFERROR(IF(B1675="INSUMO",_xlfn.XLOOKUP(S1675,Insumos!A:A,Insumos!C:C),""),"Inserir Preço")</f>
        <v/>
      </c>
      <c r="X1675" s="235">
        <f t="shared" ca="1" si="1341"/>
        <v>24.9785</v>
      </c>
      <c r="Y1675" s="236">
        <f t="shared" ca="1" si="1285"/>
        <v>5.2993500000000004</v>
      </c>
      <c r="Z1675" s="237">
        <f t="shared" ca="1" si="1256"/>
        <v>132.369813975</v>
      </c>
      <c r="AA1675" s="238"/>
      <c r="AB1675" s="233" t="str">
        <f>IF(B1675="insumo",_xlfn.XLOOKUP(S1675,Insumos!A:A,Insumos!D:D),"")</f>
        <v/>
      </c>
      <c r="AC1675" s="239">
        <f t="shared" ca="1" si="1257"/>
        <v>1.8989656657380327E-5</v>
      </c>
      <c r="AE1675" s="240">
        <f ca="1">IFERROR(IF(OR(Z1675="",Z1675=0),"",IF(AF1675="","",IF(AF1675="R$/mês",Z1675/OBRA!$D$12,IF(AF1675="R$/m²",Z1675/OBRA!$D$10,IF(AF1675="R$/apto",Orçamento!Z1675/OBRA!$D$11,""))))),"")</f>
        <v>6.8118449167108366E-2</v>
      </c>
      <c r="AF1675" s="241" t="s">
        <v>154</v>
      </c>
    </row>
    <row r="1676" spans="1:32" s="10" customFormat="1" ht="13.15" hidden="1" customHeight="1" outlineLevel="4" x14ac:dyDescent="0.2">
      <c r="A1676" s="227"/>
      <c r="B1676" s="228" t="s">
        <v>19</v>
      </c>
      <c r="C1676" s="229">
        <f t="shared" ref="C1676:C1739" si="1349">IF(B1676="INSUMO",COUNTIFS(B:B,"INSUMO",S:S,S1676),IF(B1676="SERVIÇO",COUNTIFS(B:B,"SERVIÇO",S:S,S1676),""))</f>
        <v>23</v>
      </c>
      <c r="D1676" s="227" t="str">
        <f t="shared" si="1342"/>
        <v/>
      </c>
      <c r="E1676" s="228" t="str">
        <f t="shared" ca="1" si="1343"/>
        <v>15.004.003.002</v>
      </c>
      <c r="F1676" s="230">
        <f ca="1">IF($B1676="UNIDADE CONSTRUTIVA",OFFSET(F1676,-1,0)+1,LARGE(F$10:F1675,1))</f>
        <v>2</v>
      </c>
      <c r="G1676" s="228" t="str">
        <f t="shared" ca="1" si="1335"/>
        <v xml:space="preserve">   GERENCIAMENTO EXECUTIVO</v>
      </c>
      <c r="H1676" s="230">
        <f t="shared" ca="1" si="1344"/>
        <v>15</v>
      </c>
      <c r="I1676" s="228" t="str">
        <f t="shared" ca="1" si="1336"/>
        <v xml:space="preserve">   PISOS E PAVIMENTAÇÕES</v>
      </c>
      <c r="J1676" s="230">
        <f t="shared" ca="1" si="1345"/>
        <v>4</v>
      </c>
      <c r="K1676" s="228" t="str">
        <f t="shared" ca="1" si="1337"/>
        <v xml:space="preserve">   PISOS E PAVIMENTAÇÕES - 8º PAVIMENTO - COBERTURA</v>
      </c>
      <c r="L1676" s="231">
        <f t="shared" ca="1" si="1346"/>
        <v>3</v>
      </c>
      <c r="M1676" s="228" t="str">
        <f t="shared" ca="1" si="1338"/>
        <v xml:space="preserve">   Rodapés</v>
      </c>
      <c r="N1676" s="231">
        <f t="shared" ca="1" si="1347"/>
        <v>2</v>
      </c>
      <c r="O1676" s="228" t="str">
        <f t="shared" ca="1" si="1339"/>
        <v>Revestimento interno de Rodapé Porcelanato h=0,07cm</v>
      </c>
      <c r="P1676" s="232" t="str">
        <f>IF(S1676="","",IF(Orçamento!$B1676="INSUMO",S1676,""))</f>
        <v>ARGAMASSA COLANTE AC II</v>
      </c>
      <c r="Q1676" s="244" t="str">
        <f t="shared" si="1348"/>
        <v/>
      </c>
      <c r="R1676" s="234">
        <f t="shared" ca="1" si="1340"/>
        <v>24.9785</v>
      </c>
      <c r="S1676" s="233" t="s">
        <v>314</v>
      </c>
      <c r="T1676" s="242" t="str">
        <f>_xlfn.XLOOKUP(S1676,Insumos!$A$3:$A$371,Insumos!$B$3:$B$371)</f>
        <v>KG</v>
      </c>
      <c r="U1676" s="235">
        <f ca="1">IF($B1676="insumo",R1676,"")</f>
        <v>24.9785</v>
      </c>
      <c r="V1676" s="320">
        <f>ROUNDUP(9*0.07,4)</f>
        <v>0.63</v>
      </c>
      <c r="W1676" s="236">
        <f>IFERROR(IF(B1676="INSUMO",_xlfn.XLOOKUP(S1676,Insumos!A:A,Insumos!C:C),""),"Inserir Preço")</f>
        <v>0.84000000000000008</v>
      </c>
      <c r="X1676" s="235">
        <f t="shared" ca="1" si="1341"/>
        <v>15.736455000000001</v>
      </c>
      <c r="Y1676" s="236">
        <f t="shared" si="1285"/>
        <v>0.5292</v>
      </c>
      <c r="Z1676" s="237">
        <f t="shared" ref="Z1676:Z1739" ca="1" si="1350">IFERROR(IF(B1676="Unidade Construtiva",SUMIFS(Z:Z,B:B,"Célula Construtiva",G:G,G1676),IF(B1676="célula construtiva",SUMIFS(Z:Z,B:B,"Insumo",I:I,I1676,G:G,G1676),IF(B1676="ETAPA",SUMIFS(Z:Z,B:B,"Insumo",K:K,K1676,I:I,I1676,G:G,G1676),IF(B1676="subetapa",SUMIFS(Z:Z,M:M,M1676,B:B,"insumo",K:K,K1676,I:I,I1676,G:G,G1676),IF(B1676="complemento do insumo",V1676*W1676,IF(B1676="INSUMO",R1676*V1676*W1676,X1676*Y1676)))))),"")</f>
        <v>13.218622200000002</v>
      </c>
      <c r="AA1676" s="238"/>
      <c r="AB1676" s="233" t="str">
        <f>IF(B1676="insumo",_xlfn.XLOOKUP(S1676,Insumos!A:A,Insumos!D:D),"")</f>
        <v>Argabrus</v>
      </c>
      <c r="AC1676" s="239">
        <f t="shared" ref="AC1676:AC1739" ca="1" si="1351">IFERROR(IF(B1676="","",Z1676/SUMIF(B:B,"INSUMO",Z:Z)),0)</f>
        <v>1.8963318714720996E-6</v>
      </c>
      <c r="AE1676" s="240">
        <f ca="1">IFERROR(IF(OR(Z1676="",Z1676=0),"",IF(AF1676="","",IF(AF1676="R$/mês",Z1676/OBRA!$D$12,IF(AF1676="R$/m²",Z1676/OBRA!$D$10,IF(AF1676="R$/apto",Orçamento!Z1676/OBRA!$D$11,""))))),"")</f>
        <v>6.8023971429012533E-3</v>
      </c>
      <c r="AF1676" s="241" t="s">
        <v>154</v>
      </c>
    </row>
    <row r="1677" spans="1:32" s="10" customFormat="1" ht="13.15" hidden="1" customHeight="1" outlineLevel="4" x14ac:dyDescent="0.2">
      <c r="A1677" s="227"/>
      <c r="B1677" s="228" t="s">
        <v>19</v>
      </c>
      <c r="C1677" s="229">
        <f t="shared" si="1349"/>
        <v>32</v>
      </c>
      <c r="D1677" s="227" t="str">
        <f t="shared" si="1342"/>
        <v/>
      </c>
      <c r="E1677" s="228" t="str">
        <f t="shared" ca="1" si="1343"/>
        <v>15.004.003.002</v>
      </c>
      <c r="F1677" s="230">
        <f ca="1">IF($B1677="UNIDADE CONSTRUTIVA",OFFSET(F1677,-1,0)+1,LARGE(F$10:F1676,1))</f>
        <v>2</v>
      </c>
      <c r="G1677" s="228" t="str">
        <f t="shared" ca="1" si="1335"/>
        <v xml:space="preserve">   GERENCIAMENTO EXECUTIVO</v>
      </c>
      <c r="H1677" s="230">
        <f t="shared" ca="1" si="1344"/>
        <v>15</v>
      </c>
      <c r="I1677" s="228" t="str">
        <f t="shared" ca="1" si="1336"/>
        <v xml:space="preserve">   PISOS E PAVIMENTAÇÕES</v>
      </c>
      <c r="J1677" s="230">
        <f t="shared" ca="1" si="1345"/>
        <v>4</v>
      </c>
      <c r="K1677" s="228" t="str">
        <f t="shared" ca="1" si="1337"/>
        <v xml:space="preserve">   PISOS E PAVIMENTAÇÕES - 8º PAVIMENTO - COBERTURA</v>
      </c>
      <c r="L1677" s="231">
        <f t="shared" ca="1" si="1346"/>
        <v>3</v>
      </c>
      <c r="M1677" s="228" t="str">
        <f t="shared" ca="1" si="1338"/>
        <v xml:space="preserve">   Rodapés</v>
      </c>
      <c r="N1677" s="231">
        <f t="shared" ca="1" si="1347"/>
        <v>2</v>
      </c>
      <c r="O1677" s="228" t="str">
        <f t="shared" ca="1" si="1339"/>
        <v>Revestimento interno de Rodapé Porcelanato h=0,07cm</v>
      </c>
      <c r="P1677" s="232" t="str">
        <f>IF(S1677="","",IF(Orçamento!$B1677="INSUMO",S1677,""))</f>
        <v>REJUNTE FLEXIVEL CIMENTICIO TIPO II NBR 14992</v>
      </c>
      <c r="Q1677" s="244" t="str">
        <f t="shared" si="1348"/>
        <v/>
      </c>
      <c r="R1677" s="234">
        <f t="shared" ca="1" si="1340"/>
        <v>24.9785</v>
      </c>
      <c r="S1677" s="233" t="s">
        <v>734</v>
      </c>
      <c r="T1677" s="242" t="str">
        <f>_xlfn.XLOOKUP(S1677,Insumos!$A$3:$A$371,Insumos!$B$3:$B$371)</f>
        <v>KG</v>
      </c>
      <c r="U1677" s="235">
        <f ca="1">IF($B1677="insumo",R1677,"")</f>
        <v>24.9785</v>
      </c>
      <c r="V1677" s="320">
        <f>ROUNDUP(0.13*0.07,4)</f>
        <v>9.1000000000000004E-3</v>
      </c>
      <c r="W1677" s="236">
        <f>IFERROR(IF(B1677="INSUMO",_xlfn.XLOOKUP(S1677,Insumos!A:A,Insumos!C:C),""),"Inserir Preço")</f>
        <v>4.2</v>
      </c>
      <c r="X1677" s="235">
        <f t="shared" ca="1" si="1341"/>
        <v>0.22730435000000002</v>
      </c>
      <c r="Y1677" s="236">
        <f t="shared" si="1285"/>
        <v>3.8220000000000004E-2</v>
      </c>
      <c r="Z1677" s="237">
        <f t="shared" ca="1" si="1350"/>
        <v>0.95467827000000016</v>
      </c>
      <c r="AA1677" s="238"/>
      <c r="AB1677" s="233" t="str">
        <f>IF(B1677="insumo",_xlfn.XLOOKUP(S1677,Insumos!A:A,Insumos!D:D),"")</f>
        <v>Distribuidora Sika</v>
      </c>
      <c r="AC1677" s="239">
        <f t="shared" ca="1" si="1351"/>
        <v>1.3695730182854053E-7</v>
      </c>
      <c r="AE1677" s="240">
        <f ca="1">IFERROR(IF(OR(Z1677="",Z1677=0),"",IF(AF1677="","",IF(AF1677="R$/mês",Z1677/OBRA!$D$12,IF(AF1677="R$/m²",Z1677/OBRA!$D$10,IF(AF1677="R$/apto",Orçamento!Z1677/OBRA!$D$11,""))))),"")</f>
        <v>4.9128423809842382E-4</v>
      </c>
      <c r="AF1677" s="241" t="s">
        <v>154</v>
      </c>
    </row>
    <row r="1678" spans="1:32" s="10" customFormat="1" ht="13.15" hidden="1" customHeight="1" outlineLevel="4" x14ac:dyDescent="0.2">
      <c r="A1678" s="227"/>
      <c r="B1678" s="228" t="s">
        <v>19</v>
      </c>
      <c r="C1678" s="229">
        <f t="shared" si="1349"/>
        <v>14</v>
      </c>
      <c r="D1678" s="227" t="str">
        <f t="shared" si="1342"/>
        <v/>
      </c>
      <c r="E1678" s="228" t="str">
        <f t="shared" ca="1" si="1343"/>
        <v>15.004.003.002</v>
      </c>
      <c r="F1678" s="230">
        <f ca="1">IF($B1678="UNIDADE CONSTRUTIVA",OFFSET(F1678,-1,0)+1,LARGE(F$10:F1677,1))</f>
        <v>2</v>
      </c>
      <c r="G1678" s="228" t="str">
        <f t="shared" ca="1" si="1335"/>
        <v xml:space="preserve">   GERENCIAMENTO EXECUTIVO</v>
      </c>
      <c r="H1678" s="230">
        <f t="shared" ca="1" si="1344"/>
        <v>15</v>
      </c>
      <c r="I1678" s="228" t="str">
        <f t="shared" ca="1" si="1336"/>
        <v xml:space="preserve">   PISOS E PAVIMENTAÇÕES</v>
      </c>
      <c r="J1678" s="230">
        <f t="shared" ca="1" si="1345"/>
        <v>4</v>
      </c>
      <c r="K1678" s="228" t="str">
        <f t="shared" ca="1" si="1337"/>
        <v xml:space="preserve">   PISOS E PAVIMENTAÇÕES - 8º PAVIMENTO - COBERTURA</v>
      </c>
      <c r="L1678" s="231">
        <f t="shared" ca="1" si="1346"/>
        <v>3</v>
      </c>
      <c r="M1678" s="228" t="str">
        <f t="shared" ca="1" si="1338"/>
        <v xml:space="preserve">   Rodapés</v>
      </c>
      <c r="N1678" s="231">
        <f t="shared" ca="1" si="1347"/>
        <v>2</v>
      </c>
      <c r="O1678" s="228" t="str">
        <f t="shared" ca="1" si="1339"/>
        <v>Revestimento interno de Rodapé Porcelanato h=0,07cm</v>
      </c>
      <c r="P1678" s="232" t="str">
        <f>IF(S1678="","",IF(Orçamento!$B1678="INSUMO",S1678,""))</f>
        <v>CUNHA PVC P/NIVELAMENTO PISO NBR 6118</v>
      </c>
      <c r="Q1678" s="244" t="str">
        <f t="shared" si="1348"/>
        <v/>
      </c>
      <c r="R1678" s="234">
        <f t="shared" ca="1" si="1340"/>
        <v>24.9785</v>
      </c>
      <c r="S1678" s="233" t="s">
        <v>717</v>
      </c>
      <c r="T1678" s="242" t="str">
        <f>_xlfn.XLOOKUP(S1678,Insumos!$A$3:$A$371,Insumos!$B$3:$B$371)</f>
        <v>UN</v>
      </c>
      <c r="U1678" s="235">
        <f ca="1">IF($B1678="insumo",R1678,"")</f>
        <v>24.9785</v>
      </c>
      <c r="V1678" s="320">
        <f>ROUNDUP(2*0.07,4)</f>
        <v>0.14000000000000001</v>
      </c>
      <c r="W1678" s="236">
        <f>IFERROR(IF(B1678="INSUMO",_xlfn.XLOOKUP(S1678,Insumos!A:A,Insumos!C:C),""),"Inserir Preço")</f>
        <v>0.2</v>
      </c>
      <c r="X1678" s="235">
        <f t="shared" ca="1" si="1341"/>
        <v>3.4969900000000003</v>
      </c>
      <c r="Y1678" s="236">
        <f t="shared" si="1285"/>
        <v>2.8000000000000004E-2</v>
      </c>
      <c r="Z1678" s="237">
        <f t="shared" ca="1" si="1350"/>
        <v>0.69939800000000008</v>
      </c>
      <c r="AA1678" s="238"/>
      <c r="AB1678" s="233" t="str">
        <f>IF(B1678="insumo",_xlfn.XLOOKUP(S1678,Insumos!A:A,Insumos!D:D),"")</f>
        <v>Base de Dados</v>
      </c>
      <c r="AC1678" s="239">
        <f t="shared" ca="1" si="1351"/>
        <v>1.0033501965460843E-7</v>
      </c>
      <c r="AE1678" s="240">
        <f ca="1">IFERROR(IF(OR(Z1678="",Z1678=0),"",IF(AF1678="","",IF(AF1678="R$/mês",Z1678/OBRA!$D$12,IF(AF1678="R$/m²",Z1678/OBRA!$D$10,IF(AF1678="R$/apto",Orçamento!Z1678/OBRA!$D$11,""))))),"")</f>
        <v>3.5991519274609804E-4</v>
      </c>
      <c r="AF1678" s="241" t="s">
        <v>154</v>
      </c>
    </row>
    <row r="1679" spans="1:32" s="10" customFormat="1" ht="13.15" hidden="1" customHeight="1" outlineLevel="4" x14ac:dyDescent="0.2">
      <c r="A1679" s="227"/>
      <c r="B1679" s="228" t="s">
        <v>19</v>
      </c>
      <c r="C1679" s="229">
        <f t="shared" si="1349"/>
        <v>14</v>
      </c>
      <c r="D1679" s="227" t="str">
        <f t="shared" si="1342"/>
        <v/>
      </c>
      <c r="E1679" s="228" t="str">
        <f t="shared" ca="1" si="1343"/>
        <v>15.004.003.002</v>
      </c>
      <c r="F1679" s="230">
        <f ca="1">IF($B1679="UNIDADE CONSTRUTIVA",OFFSET(F1679,-1,0)+1,LARGE(F$10:F1678,1))</f>
        <v>2</v>
      </c>
      <c r="G1679" s="228" t="str">
        <f t="shared" ca="1" si="1335"/>
        <v xml:space="preserve">   GERENCIAMENTO EXECUTIVO</v>
      </c>
      <c r="H1679" s="230">
        <f t="shared" ca="1" si="1344"/>
        <v>15</v>
      </c>
      <c r="I1679" s="228" t="str">
        <f t="shared" ca="1" si="1336"/>
        <v xml:space="preserve">   PISOS E PAVIMENTAÇÕES</v>
      </c>
      <c r="J1679" s="230">
        <f t="shared" ca="1" si="1345"/>
        <v>4</v>
      </c>
      <c r="K1679" s="228" t="str">
        <f t="shared" ca="1" si="1337"/>
        <v xml:space="preserve">   PISOS E PAVIMENTAÇÕES - 8º PAVIMENTO - COBERTURA</v>
      </c>
      <c r="L1679" s="231">
        <f t="shared" ca="1" si="1346"/>
        <v>3</v>
      </c>
      <c r="M1679" s="228" t="str">
        <f t="shared" ca="1" si="1338"/>
        <v xml:space="preserve">   Rodapés</v>
      </c>
      <c r="N1679" s="231">
        <f t="shared" ca="1" si="1347"/>
        <v>2</v>
      </c>
      <c r="O1679" s="228" t="str">
        <f t="shared" ca="1" si="1339"/>
        <v>Revestimento interno de Rodapé Porcelanato h=0,07cm</v>
      </c>
      <c r="P1679" s="232" t="str">
        <f>IF(S1679="","",IF(Orçamento!$B1679="INSUMO",S1679,""))</f>
        <v>ESPACADOR PVC NIVELAMENTO REVESTIMENTO 1,0MM NBR 6118</v>
      </c>
      <c r="Q1679" s="244" t="str">
        <f t="shared" si="1348"/>
        <v/>
      </c>
      <c r="R1679" s="234">
        <f t="shared" ca="1" si="1340"/>
        <v>24.9785</v>
      </c>
      <c r="S1679" s="233" t="s">
        <v>715</v>
      </c>
      <c r="T1679" s="242" t="str">
        <f>_xlfn.XLOOKUP(S1679,Insumos!$A$3:$A$371,Insumos!$B$3:$B$371)</f>
        <v>UN</v>
      </c>
      <c r="U1679" s="235">
        <f ca="1">IF($B1679="insumo",R1679,"")</f>
        <v>24.9785</v>
      </c>
      <c r="V1679" s="320">
        <f>ROUNDUP(4*0.07,4)</f>
        <v>0.28000000000000003</v>
      </c>
      <c r="W1679" s="236">
        <f>IFERROR(IF(B1679="INSUMO",_xlfn.XLOOKUP(S1679,Insumos!A:A,Insumos!C:C),""),"Inserir Preço")</f>
        <v>0.22</v>
      </c>
      <c r="X1679" s="235">
        <f t="shared" ca="1" si="1341"/>
        <v>6.9939800000000005</v>
      </c>
      <c r="Y1679" s="236">
        <f t="shared" si="1285"/>
        <v>6.1600000000000009E-2</v>
      </c>
      <c r="Z1679" s="237">
        <f t="shared" ca="1" si="1350"/>
        <v>1.5386756000000001</v>
      </c>
      <c r="AA1679" s="238"/>
      <c r="AB1679" s="233" t="str">
        <f>IF(B1679="insumo",_xlfn.XLOOKUP(S1679,Insumos!A:A,Insumos!D:D),"")</f>
        <v>Base de Dados</v>
      </c>
      <c r="AC1679" s="239">
        <f t="shared" ca="1" si="1351"/>
        <v>2.2073704324013855E-7</v>
      </c>
      <c r="AE1679" s="240">
        <f ca="1">IFERROR(IF(OR(Z1679="",Z1679=0),"",IF(AF1679="","",IF(AF1679="R$/mês",Z1679/OBRA!$D$12,IF(AF1679="R$/m²",Z1679/OBRA!$D$10,IF(AF1679="R$/apto",Orçamento!Z1679/OBRA!$D$11,""))))),"")</f>
        <v>7.9181342404141563E-4</v>
      </c>
      <c r="AF1679" s="241" t="s">
        <v>154</v>
      </c>
    </row>
    <row r="1680" spans="1:32" s="10" customFormat="1" ht="13.15" hidden="1" customHeight="1" outlineLevel="4" x14ac:dyDescent="0.2">
      <c r="A1680" s="227"/>
      <c r="B1680" s="228" t="s">
        <v>19</v>
      </c>
      <c r="C1680" s="229">
        <f t="shared" si="1349"/>
        <v>7</v>
      </c>
      <c r="D1680" s="227" t="str">
        <f t="shared" si="1342"/>
        <v/>
      </c>
      <c r="E1680" s="228" t="str">
        <f t="shared" ca="1" si="1343"/>
        <v>15.004.003.002</v>
      </c>
      <c r="F1680" s="230">
        <f ca="1">IF($B1680="UNIDADE CONSTRUTIVA",OFFSET(F1680,-1,0)+1,LARGE(F$10:F1679,1))</f>
        <v>2</v>
      </c>
      <c r="G1680" s="228" t="str">
        <f t="shared" ca="1" si="1335"/>
        <v xml:space="preserve">   GERENCIAMENTO EXECUTIVO</v>
      </c>
      <c r="H1680" s="230">
        <f t="shared" ca="1" si="1344"/>
        <v>15</v>
      </c>
      <c r="I1680" s="228" t="str">
        <f t="shared" ca="1" si="1336"/>
        <v xml:space="preserve">   PISOS E PAVIMENTAÇÕES</v>
      </c>
      <c r="J1680" s="230">
        <f t="shared" ca="1" si="1345"/>
        <v>4</v>
      </c>
      <c r="K1680" s="228" t="str">
        <f t="shared" ca="1" si="1337"/>
        <v xml:space="preserve">   PISOS E PAVIMENTAÇÕES - 8º PAVIMENTO - COBERTURA</v>
      </c>
      <c r="L1680" s="231">
        <f t="shared" ca="1" si="1346"/>
        <v>3</v>
      </c>
      <c r="M1680" s="228" t="str">
        <f t="shared" ca="1" si="1338"/>
        <v xml:space="preserve">   Rodapés</v>
      </c>
      <c r="N1680" s="231">
        <f t="shared" ca="1" si="1347"/>
        <v>2</v>
      </c>
      <c r="O1680" s="228" t="str">
        <f t="shared" ca="1" si="1339"/>
        <v>Revestimento interno de Rodapé Porcelanato h=0,07cm</v>
      </c>
      <c r="P1680" s="232" t="str">
        <f>IF(S1680="","",IF(Orçamento!$B1680="INSUMO",S1680,""))</f>
        <v>REVESTIMENTO - HIT GRIS 80X80 EXT RET</v>
      </c>
      <c r="Q1680" s="244" t="str">
        <f t="shared" si="1348"/>
        <v/>
      </c>
      <c r="R1680" s="234">
        <f t="shared" ca="1" si="1340"/>
        <v>24.9785</v>
      </c>
      <c r="S1680" s="233" t="s">
        <v>910</v>
      </c>
      <c r="T1680" s="242" t="str">
        <f>_xlfn.XLOOKUP(S1680,Insumos!$A$3:$A$371,Insumos!$B$3:$B$371)</f>
        <v>M2</v>
      </c>
      <c r="U1680" s="235">
        <f ca="1">IF($B1680="insumo",R1680,"")</f>
        <v>24.9785</v>
      </c>
      <c r="V1680" s="320">
        <f>ROUNDUP(1.1*0.07,4)</f>
        <v>7.6999999999999999E-2</v>
      </c>
      <c r="W1680" s="236">
        <f>IFERROR(IF(B1680="INSUMO",_xlfn.XLOOKUP(S1680,Insumos!A:A,Insumos!C:C),""),"Inserir Preço")</f>
        <v>60.29</v>
      </c>
      <c r="X1680" s="235">
        <f t="shared" ca="1" si="1341"/>
        <v>1.9233445</v>
      </c>
      <c r="Y1680" s="236">
        <f t="shared" si="1285"/>
        <v>4.6423300000000003</v>
      </c>
      <c r="Z1680" s="237">
        <f t="shared" ca="1" si="1350"/>
        <v>115.95843990500001</v>
      </c>
      <c r="AA1680" s="238"/>
      <c r="AB1680" s="233" t="str">
        <f>IF(B1680="insumo",_xlfn.XLOOKUP(S1680,Insumos!A:A,Insumos!D:D),"")</f>
        <v>Portobelo</v>
      </c>
      <c r="AC1680" s="239">
        <f t="shared" ca="1" si="1351"/>
        <v>1.663529542118494E-5</v>
      </c>
      <c r="AE1680" s="240">
        <f ca="1">IFERROR(IF(OR(Z1680="",Z1680=0),"",IF(AF1680="","",IF(AF1680="R$/mês",Z1680/OBRA!$D$12,IF(AF1680="R$/m²",Z1680/OBRA!$D$10,IF(AF1680="R$/apto",Orçamento!Z1680/OBRA!$D$11,""))))),"")</f>
        <v>5.9673039169321186E-2</v>
      </c>
      <c r="AF1680" s="241" t="s">
        <v>154</v>
      </c>
    </row>
    <row r="1681" spans="1:32" s="10" customFormat="1" ht="13.15" hidden="1" customHeight="1" outlineLevel="4" x14ac:dyDescent="0.2">
      <c r="A1681" s="227"/>
      <c r="B1681" s="228" t="s">
        <v>4</v>
      </c>
      <c r="C1681" s="229">
        <f t="shared" si="1349"/>
        <v>1</v>
      </c>
      <c r="D1681" s="227" t="str">
        <f t="shared" ref="D1681:D1686" ca="1" si="1352">IF(B1681="Unidade Construtiva",TEXT(F1681,"00"),IF(B1681="Célula Construtiva",TEXT(H1681,"00"),IF(B1681="Etapa",CONCATENATE(TEXT(H1681,"00"),".",TEXT(J1681,"000")),IF(B1681="Subetapa",CONCATENATE(TEXT(H1681,"00"),".",TEXT(J1681,"000"),".",TEXT(L1681,"000")),IF(B1681="Serviço",CONCATENATE(TEXT(H1681,"00"),".",TEXT(J1681,"000"),".",TEXT(L1681,"000"),".",TEXT(N1681,"000")),"")))))</f>
        <v>15.004.003.003</v>
      </c>
      <c r="E1681" s="228" t="str">
        <f t="shared" ref="E1681:E1686" ca="1" si="1353">IF(B1681="*","",IFERROR(IF(B1681="SERVIÇO",D1681,OFFSET(E1681,-1,0)),""))</f>
        <v>15.004.003.003</v>
      </c>
      <c r="F1681" s="230">
        <f ca="1">IF($B1681="UNIDADE CONSTRUTIVA",OFFSET(F1681,-1,0)+1,LARGE(F$10:F1680,1))</f>
        <v>2</v>
      </c>
      <c r="G1681" s="228" t="str">
        <f t="shared" ref="G1681:G1686" ca="1" si="1354">IF(B1681="*","",IF(B1681="UNIDADE CONSTRUTIVA",S1681,OFFSET(G1681,-1,0)))</f>
        <v xml:space="preserve">   GERENCIAMENTO EXECUTIVO</v>
      </c>
      <c r="H1681" s="230">
        <f t="shared" ref="H1681:H1686" ca="1" si="1355">IF(B1681="UNIDADE CONSTRUTIVA",0,IF(B1681="CÉLULA CONSTRUTIVA",OFFSET(H1681,-1,0)+1,OFFSET(H1681,-1,0)))</f>
        <v>15</v>
      </c>
      <c r="I1681" s="228" t="str">
        <f t="shared" ref="I1681:I1686" ca="1" si="1356">IF(B1681="*","",IF(B1681="CÉLULA CONSTRUTIVA",S1681,OFFSET(I1681,-1,0)))</f>
        <v xml:space="preserve">   PISOS E PAVIMENTAÇÕES</v>
      </c>
      <c r="J1681" s="230">
        <f t="shared" ref="J1681:J1686" ca="1" si="1357">IF(B1681="CÉLULA CONSTRUTIVA",0,IF(B1681="ETAPA",OFFSET(J1681,-1,0)+1,OFFSET(J1681,-1,0)))</f>
        <v>4</v>
      </c>
      <c r="K1681" s="228" t="str">
        <f t="shared" ref="K1681:K1686" ca="1" si="1358">IF(B1681="*","",IF(B1681="ETAPA",S1681,OFFSET(K1681,-1,0)))</f>
        <v xml:space="preserve">   PISOS E PAVIMENTAÇÕES - 8º PAVIMENTO - COBERTURA</v>
      </c>
      <c r="L1681" s="231">
        <f t="shared" ref="L1681:L1686" ca="1" si="1359">IF(B1681="ETAPA",0,IF(B1681="SUBETAPA",OFFSET(L1681,-1,0)+1,OFFSET(L1681,-1,0)))</f>
        <v>3</v>
      </c>
      <c r="M1681" s="228" t="str">
        <f t="shared" ref="M1681:M1686" ca="1" si="1360">IF(B1681="*","",IF(B1681="SUBETAPA",S1681,OFFSET(M1681,-1,0)))</f>
        <v xml:space="preserve">   Rodapés</v>
      </c>
      <c r="N1681" s="231">
        <f t="shared" ref="N1681:N1686" ca="1" si="1361">IF(B1681="Subetapa",0,IF(B1681="serviço",OFFSET(N1681,-1,0)+1,OFFSET(N1681,-1,0)))</f>
        <v>3</v>
      </c>
      <c r="O1681" s="228" t="str">
        <f t="shared" ref="O1681:O1686" ca="1" si="1362">IF(B1681="*","",IF(B1681="SERVIÇO",S1681,OFFSET(O1681,-1,0)))</f>
        <v>Revestimento interno de Rodapé Porcelanato h=0,15cm</v>
      </c>
      <c r="P1681" s="232" t="str">
        <f>IF(S1681="","",IF(Orçamento!$B1681="INSUMO",S1681,""))</f>
        <v/>
      </c>
      <c r="Q1681" s="244" t="str">
        <f t="shared" ref="Q1681:Q1686" si="1363">IF(B1681="","",IF(B1681="Serviço",S1681,""))</f>
        <v>Revestimento interno de Rodapé Porcelanato h=0,15cm</v>
      </c>
      <c r="R1681" s="234">
        <f t="shared" ref="R1681:R1686" ca="1" si="1364">IF(B1681="serviço",U1681,OFFSET(R1681,-1,0))</f>
        <v>29.99</v>
      </c>
      <c r="S1681" s="233" t="s">
        <v>1124</v>
      </c>
      <c r="T1681" s="242" t="s">
        <v>158</v>
      </c>
      <c r="U1681" s="235">
        <v>29.99</v>
      </c>
      <c r="V1681" s="320" t="s">
        <v>35</v>
      </c>
      <c r="W1681" s="236" t="str">
        <f>IFERROR(IF(B1681="INSUMO",_xlfn.XLOOKUP(S1681,Insumos!A:A,Insumos!C:C),""),"Inserir Preço")</f>
        <v/>
      </c>
      <c r="X1681" s="235">
        <f t="shared" ref="X1681:X1686" ca="1" si="1365">IF(B1681="Complemento do insumo",V1681,IF(R1681="","",IF(B1681="serviço",R1681,IF(OR(B1681="insumo"),V1681*R1681,""))))</f>
        <v>29.99</v>
      </c>
      <c r="Y1681" s="236">
        <f t="shared" ca="1" si="1285"/>
        <v>11.35575</v>
      </c>
      <c r="Z1681" s="237">
        <f t="shared" ca="1" si="1350"/>
        <v>340.5589425</v>
      </c>
      <c r="AA1681" s="238"/>
      <c r="AB1681" s="233" t="str">
        <f>IF(B1681="insumo",_xlfn.XLOOKUP(S1681,Insumos!A:A,Insumos!D:D),"")</f>
        <v/>
      </c>
      <c r="AC1681" s="239">
        <f t="shared" ca="1" si="1351"/>
        <v>4.8856285247155643E-5</v>
      </c>
      <c r="AE1681" s="240">
        <f ca="1">IFERROR(IF(OR(Z1681="",Z1681=0),"",IF(AF1681="","",IF(AF1681="R$/mês",Z1681/OBRA!$D$12,IF(AF1681="R$/m²",Z1681/OBRA!$D$10,IF(AF1681="R$/apto",Orçamento!Z1681/OBRA!$D$11,""))))),"")</f>
        <v>0.17525405767716637</v>
      </c>
      <c r="AF1681" s="241" t="s">
        <v>154</v>
      </c>
    </row>
    <row r="1682" spans="1:32" s="10" customFormat="1" ht="13.15" hidden="1" customHeight="1" outlineLevel="4" x14ac:dyDescent="0.2">
      <c r="A1682" s="227"/>
      <c r="B1682" s="228" t="s">
        <v>19</v>
      </c>
      <c r="C1682" s="229">
        <f t="shared" si="1349"/>
        <v>23</v>
      </c>
      <c r="D1682" s="227" t="str">
        <f t="shared" si="1352"/>
        <v/>
      </c>
      <c r="E1682" s="228" t="str">
        <f t="shared" ca="1" si="1353"/>
        <v>15.004.003.003</v>
      </c>
      <c r="F1682" s="230">
        <f ca="1">IF($B1682="UNIDADE CONSTRUTIVA",OFFSET(F1682,-1,0)+1,LARGE(F$10:F1681,1))</f>
        <v>2</v>
      </c>
      <c r="G1682" s="228" t="str">
        <f t="shared" ca="1" si="1354"/>
        <v xml:space="preserve">   GERENCIAMENTO EXECUTIVO</v>
      </c>
      <c r="H1682" s="230">
        <f t="shared" ca="1" si="1355"/>
        <v>15</v>
      </c>
      <c r="I1682" s="228" t="str">
        <f t="shared" ca="1" si="1356"/>
        <v xml:space="preserve">   PISOS E PAVIMENTAÇÕES</v>
      </c>
      <c r="J1682" s="230">
        <f t="shared" ca="1" si="1357"/>
        <v>4</v>
      </c>
      <c r="K1682" s="228" t="str">
        <f t="shared" ca="1" si="1358"/>
        <v xml:space="preserve">   PISOS E PAVIMENTAÇÕES - 8º PAVIMENTO - COBERTURA</v>
      </c>
      <c r="L1682" s="231">
        <f t="shared" ca="1" si="1359"/>
        <v>3</v>
      </c>
      <c r="M1682" s="228" t="str">
        <f t="shared" ca="1" si="1360"/>
        <v xml:space="preserve">   Rodapés</v>
      </c>
      <c r="N1682" s="231">
        <f t="shared" ca="1" si="1361"/>
        <v>3</v>
      </c>
      <c r="O1682" s="228" t="str">
        <f t="shared" ca="1" si="1362"/>
        <v>Revestimento interno de Rodapé Porcelanato h=0,15cm</v>
      </c>
      <c r="P1682" s="232" t="str">
        <f>IF(S1682="","",IF(Orçamento!$B1682="INSUMO",S1682,""))</f>
        <v>ARGAMASSA COLANTE AC II</v>
      </c>
      <c r="Q1682" s="244" t="str">
        <f t="shared" si="1363"/>
        <v/>
      </c>
      <c r="R1682" s="234">
        <f t="shared" ca="1" si="1364"/>
        <v>29.99</v>
      </c>
      <c r="S1682" s="233" t="s">
        <v>314</v>
      </c>
      <c r="T1682" s="242" t="str">
        <f>_xlfn.XLOOKUP(S1682,Insumos!$A$3:$A$371,Insumos!$B$3:$B$371)</f>
        <v>KG</v>
      </c>
      <c r="U1682" s="235">
        <f ca="1">IF($B1682="insumo",R1682,"")</f>
        <v>29.99</v>
      </c>
      <c r="V1682" s="320">
        <f>ROUNDUP(9*0.15,4)</f>
        <v>1.35</v>
      </c>
      <c r="W1682" s="236">
        <f>IFERROR(IF(B1682="INSUMO",_xlfn.XLOOKUP(S1682,Insumos!A:A,Insumos!C:C),""),"Inserir Preço")</f>
        <v>0.84000000000000008</v>
      </c>
      <c r="X1682" s="235">
        <f t="shared" ca="1" si="1365"/>
        <v>40.486499999999999</v>
      </c>
      <c r="Y1682" s="236">
        <f t="shared" si="1285"/>
        <v>1.1340000000000001</v>
      </c>
      <c r="Z1682" s="237">
        <f t="shared" ca="1" si="1350"/>
        <v>34.008660000000006</v>
      </c>
      <c r="AA1682" s="238"/>
      <c r="AB1682" s="233" t="str">
        <f>IF(B1682="insumo",_xlfn.XLOOKUP(S1682,Insumos!A:A,Insumos!D:D),"")</f>
        <v>Argabrus</v>
      </c>
      <c r="AC1682" s="239">
        <f t="shared" ca="1" si="1351"/>
        <v>4.8788523409087472E-6</v>
      </c>
      <c r="AE1682" s="240">
        <f ca="1">IFERROR(IF(OR(Z1682="",Z1682=0),"",IF(AF1682="","",IF(AF1682="R$/mês",Z1682/OBRA!$D$12,IF(AF1682="R$/m²",Z1682/OBRA!$D$10,IF(AF1682="R$/apto",Orçamento!Z1682/OBRA!$D$11,""))))),"")</f>
        <v>1.7501098686208017E-2</v>
      </c>
      <c r="AF1682" s="241" t="s">
        <v>154</v>
      </c>
    </row>
    <row r="1683" spans="1:32" s="10" customFormat="1" ht="13.15" hidden="1" customHeight="1" outlineLevel="4" x14ac:dyDescent="0.2">
      <c r="A1683" s="227"/>
      <c r="B1683" s="228" t="s">
        <v>19</v>
      </c>
      <c r="C1683" s="229">
        <f t="shared" si="1349"/>
        <v>32</v>
      </c>
      <c r="D1683" s="227" t="str">
        <f t="shared" si="1352"/>
        <v/>
      </c>
      <c r="E1683" s="228" t="str">
        <f t="shared" ca="1" si="1353"/>
        <v>15.004.003.003</v>
      </c>
      <c r="F1683" s="230">
        <f ca="1">IF($B1683="UNIDADE CONSTRUTIVA",OFFSET(F1683,-1,0)+1,LARGE(F$10:F1682,1))</f>
        <v>2</v>
      </c>
      <c r="G1683" s="228" t="str">
        <f t="shared" ca="1" si="1354"/>
        <v xml:space="preserve">   GERENCIAMENTO EXECUTIVO</v>
      </c>
      <c r="H1683" s="230">
        <f t="shared" ca="1" si="1355"/>
        <v>15</v>
      </c>
      <c r="I1683" s="228" t="str">
        <f t="shared" ca="1" si="1356"/>
        <v xml:space="preserve">   PISOS E PAVIMENTAÇÕES</v>
      </c>
      <c r="J1683" s="230">
        <f t="shared" ca="1" si="1357"/>
        <v>4</v>
      </c>
      <c r="K1683" s="228" t="str">
        <f t="shared" ca="1" si="1358"/>
        <v xml:space="preserve">   PISOS E PAVIMENTAÇÕES - 8º PAVIMENTO - COBERTURA</v>
      </c>
      <c r="L1683" s="231">
        <f t="shared" ca="1" si="1359"/>
        <v>3</v>
      </c>
      <c r="M1683" s="228" t="str">
        <f t="shared" ca="1" si="1360"/>
        <v xml:space="preserve">   Rodapés</v>
      </c>
      <c r="N1683" s="231">
        <f t="shared" ca="1" si="1361"/>
        <v>3</v>
      </c>
      <c r="O1683" s="228" t="str">
        <f t="shared" ca="1" si="1362"/>
        <v>Revestimento interno de Rodapé Porcelanato h=0,15cm</v>
      </c>
      <c r="P1683" s="232" t="str">
        <f>IF(S1683="","",IF(Orçamento!$B1683="INSUMO",S1683,""))</f>
        <v>REJUNTE FLEXIVEL CIMENTICIO TIPO II NBR 14992</v>
      </c>
      <c r="Q1683" s="244" t="str">
        <f t="shared" si="1363"/>
        <v/>
      </c>
      <c r="R1683" s="234">
        <f t="shared" ca="1" si="1364"/>
        <v>29.99</v>
      </c>
      <c r="S1683" s="233" t="s">
        <v>734</v>
      </c>
      <c r="T1683" s="242" t="str">
        <f>_xlfn.XLOOKUP(S1683,Insumos!$A$3:$A$371,Insumos!$B$3:$B$371)</f>
        <v>KG</v>
      </c>
      <c r="U1683" s="235">
        <f ca="1">IF($B1683="insumo",R1683,"")</f>
        <v>29.99</v>
      </c>
      <c r="V1683" s="320">
        <f>ROUNDUP(0.13*0.15,4)</f>
        <v>1.95E-2</v>
      </c>
      <c r="W1683" s="236">
        <f>IFERROR(IF(B1683="INSUMO",_xlfn.XLOOKUP(S1683,Insumos!A:A,Insumos!C:C),""),"Inserir Preço")</f>
        <v>4.2</v>
      </c>
      <c r="X1683" s="235">
        <f t="shared" ca="1" si="1365"/>
        <v>0.58480500000000002</v>
      </c>
      <c r="Y1683" s="236">
        <f t="shared" si="1285"/>
        <v>8.1900000000000001E-2</v>
      </c>
      <c r="Z1683" s="237">
        <f t="shared" ca="1" si="1350"/>
        <v>2.4561810000000004</v>
      </c>
      <c r="AA1683" s="238"/>
      <c r="AB1683" s="233" t="str">
        <f>IF(B1683="insumo",_xlfn.XLOOKUP(S1683,Insumos!A:A,Insumos!D:D),"")</f>
        <v>Distribuidora Sika</v>
      </c>
      <c r="AC1683" s="239">
        <f t="shared" ca="1" si="1351"/>
        <v>3.5236155795452063E-7</v>
      </c>
      <c r="AE1683" s="240">
        <f ca="1">IFERROR(IF(OR(Z1683="",Z1683=0),"",IF(AF1683="","",IF(AF1683="R$/mês",Z1683/OBRA!$D$12,IF(AF1683="R$/m²",Z1683/OBRA!$D$10,IF(AF1683="R$/apto",Orçamento!Z1683/OBRA!$D$11,""))))),"")</f>
        <v>1.2639682384483568E-3</v>
      </c>
      <c r="AF1683" s="241" t="s">
        <v>154</v>
      </c>
    </row>
    <row r="1684" spans="1:32" s="10" customFormat="1" ht="13.15" hidden="1" customHeight="1" outlineLevel="4" x14ac:dyDescent="0.2">
      <c r="A1684" s="227"/>
      <c r="B1684" s="228" t="s">
        <v>19</v>
      </c>
      <c r="C1684" s="229">
        <f t="shared" si="1349"/>
        <v>14</v>
      </c>
      <c r="D1684" s="227" t="str">
        <f t="shared" si="1352"/>
        <v/>
      </c>
      <c r="E1684" s="228" t="str">
        <f t="shared" ca="1" si="1353"/>
        <v>15.004.003.003</v>
      </c>
      <c r="F1684" s="230">
        <f ca="1">IF($B1684="UNIDADE CONSTRUTIVA",OFFSET(F1684,-1,0)+1,LARGE(F$10:F1683,1))</f>
        <v>2</v>
      </c>
      <c r="G1684" s="228" t="str">
        <f t="shared" ca="1" si="1354"/>
        <v xml:space="preserve">   GERENCIAMENTO EXECUTIVO</v>
      </c>
      <c r="H1684" s="230">
        <f t="shared" ca="1" si="1355"/>
        <v>15</v>
      </c>
      <c r="I1684" s="228" t="str">
        <f t="shared" ca="1" si="1356"/>
        <v xml:space="preserve">   PISOS E PAVIMENTAÇÕES</v>
      </c>
      <c r="J1684" s="230">
        <f t="shared" ca="1" si="1357"/>
        <v>4</v>
      </c>
      <c r="K1684" s="228" t="str">
        <f t="shared" ca="1" si="1358"/>
        <v xml:space="preserve">   PISOS E PAVIMENTAÇÕES - 8º PAVIMENTO - COBERTURA</v>
      </c>
      <c r="L1684" s="231">
        <f t="shared" ca="1" si="1359"/>
        <v>3</v>
      </c>
      <c r="M1684" s="228" t="str">
        <f t="shared" ca="1" si="1360"/>
        <v xml:space="preserve">   Rodapés</v>
      </c>
      <c r="N1684" s="231">
        <f t="shared" ca="1" si="1361"/>
        <v>3</v>
      </c>
      <c r="O1684" s="228" t="str">
        <f t="shared" ca="1" si="1362"/>
        <v>Revestimento interno de Rodapé Porcelanato h=0,15cm</v>
      </c>
      <c r="P1684" s="232" t="str">
        <f>IF(S1684="","",IF(Orçamento!$B1684="INSUMO",S1684,""))</f>
        <v>CUNHA PVC P/NIVELAMENTO PISO NBR 6118</v>
      </c>
      <c r="Q1684" s="244" t="str">
        <f t="shared" si="1363"/>
        <v/>
      </c>
      <c r="R1684" s="234">
        <f t="shared" ca="1" si="1364"/>
        <v>29.99</v>
      </c>
      <c r="S1684" s="233" t="s">
        <v>717</v>
      </c>
      <c r="T1684" s="242" t="str">
        <f>_xlfn.XLOOKUP(S1684,Insumos!$A$3:$A$371,Insumos!$B$3:$B$371)</f>
        <v>UN</v>
      </c>
      <c r="U1684" s="235">
        <f ca="1">IF($B1684="insumo",R1684,"")</f>
        <v>29.99</v>
      </c>
      <c r="V1684" s="320">
        <f>ROUNDUP(2*0.15,4)</f>
        <v>0.3</v>
      </c>
      <c r="W1684" s="236">
        <f>IFERROR(IF(B1684="INSUMO",_xlfn.XLOOKUP(S1684,Insumos!A:A,Insumos!C:C),""),"Inserir Preço")</f>
        <v>0.2</v>
      </c>
      <c r="X1684" s="235">
        <f t="shared" ca="1" si="1365"/>
        <v>8.9969999999999999</v>
      </c>
      <c r="Y1684" s="236">
        <f t="shared" si="1285"/>
        <v>0.06</v>
      </c>
      <c r="Z1684" s="237">
        <f t="shared" ca="1" si="1350"/>
        <v>1.7994000000000001</v>
      </c>
      <c r="AA1684" s="238"/>
      <c r="AB1684" s="233" t="str">
        <f>IF(B1684="insumo",_xlfn.XLOOKUP(S1684,Insumos!A:A,Insumos!D:D),"")</f>
        <v>Base de Dados</v>
      </c>
      <c r="AC1684" s="239">
        <f t="shared" ca="1" si="1351"/>
        <v>2.5814033549781726E-7</v>
      </c>
      <c r="AE1684" s="240">
        <f ca="1">IFERROR(IF(OR(Z1684="",Z1684=0),"",IF(AF1684="","",IF(AF1684="R$/mês",Z1684/OBRA!$D$12,IF(AF1684="R$/m²",Z1684/OBRA!$D$10,IF(AF1684="R$/apto",Orçamento!Z1684/OBRA!$D$11,""))))),"")</f>
        <v>9.2598405747132352E-4</v>
      </c>
      <c r="AF1684" s="241" t="s">
        <v>154</v>
      </c>
    </row>
    <row r="1685" spans="1:32" s="10" customFormat="1" ht="13.15" hidden="1" customHeight="1" outlineLevel="4" x14ac:dyDescent="0.2">
      <c r="A1685" s="227"/>
      <c r="B1685" s="228" t="s">
        <v>19</v>
      </c>
      <c r="C1685" s="229">
        <f t="shared" si="1349"/>
        <v>14</v>
      </c>
      <c r="D1685" s="227" t="str">
        <f t="shared" si="1352"/>
        <v/>
      </c>
      <c r="E1685" s="228" t="str">
        <f t="shared" ca="1" si="1353"/>
        <v>15.004.003.003</v>
      </c>
      <c r="F1685" s="230">
        <f ca="1">IF($B1685="UNIDADE CONSTRUTIVA",OFFSET(F1685,-1,0)+1,LARGE(F$10:F1684,1))</f>
        <v>2</v>
      </c>
      <c r="G1685" s="228" t="str">
        <f t="shared" ca="1" si="1354"/>
        <v xml:space="preserve">   GERENCIAMENTO EXECUTIVO</v>
      </c>
      <c r="H1685" s="230">
        <f t="shared" ca="1" si="1355"/>
        <v>15</v>
      </c>
      <c r="I1685" s="228" t="str">
        <f t="shared" ca="1" si="1356"/>
        <v xml:space="preserve">   PISOS E PAVIMENTAÇÕES</v>
      </c>
      <c r="J1685" s="230">
        <f t="shared" ca="1" si="1357"/>
        <v>4</v>
      </c>
      <c r="K1685" s="228" t="str">
        <f t="shared" ca="1" si="1358"/>
        <v xml:space="preserve">   PISOS E PAVIMENTAÇÕES - 8º PAVIMENTO - COBERTURA</v>
      </c>
      <c r="L1685" s="231">
        <f t="shared" ca="1" si="1359"/>
        <v>3</v>
      </c>
      <c r="M1685" s="228" t="str">
        <f t="shared" ca="1" si="1360"/>
        <v xml:space="preserve">   Rodapés</v>
      </c>
      <c r="N1685" s="231">
        <f t="shared" ca="1" si="1361"/>
        <v>3</v>
      </c>
      <c r="O1685" s="228" t="str">
        <f t="shared" ca="1" si="1362"/>
        <v>Revestimento interno de Rodapé Porcelanato h=0,15cm</v>
      </c>
      <c r="P1685" s="232" t="str">
        <f>IF(S1685="","",IF(Orçamento!$B1685="INSUMO",S1685,""))</f>
        <v>ESPACADOR PVC NIVELAMENTO REVESTIMENTO 1,0MM NBR 6118</v>
      </c>
      <c r="Q1685" s="244" t="str">
        <f t="shared" si="1363"/>
        <v/>
      </c>
      <c r="R1685" s="234">
        <f t="shared" ca="1" si="1364"/>
        <v>29.99</v>
      </c>
      <c r="S1685" s="233" t="s">
        <v>715</v>
      </c>
      <c r="T1685" s="242" t="str">
        <f>_xlfn.XLOOKUP(S1685,Insumos!$A$3:$A$371,Insumos!$B$3:$B$371)</f>
        <v>UN</v>
      </c>
      <c r="U1685" s="235">
        <f ca="1">IF($B1685="insumo",R1685,"")</f>
        <v>29.99</v>
      </c>
      <c r="V1685" s="320">
        <f>ROUNDUP(4*0.15,4)</f>
        <v>0.6</v>
      </c>
      <c r="W1685" s="236">
        <f>IFERROR(IF(B1685="INSUMO",_xlfn.XLOOKUP(S1685,Insumos!A:A,Insumos!C:C),""),"Inserir Preço")</f>
        <v>0.22</v>
      </c>
      <c r="X1685" s="235">
        <f t="shared" ca="1" si="1365"/>
        <v>17.994</v>
      </c>
      <c r="Y1685" s="236">
        <f t="shared" si="1285"/>
        <v>0.13200000000000001</v>
      </c>
      <c r="Z1685" s="237">
        <f t="shared" ca="1" si="1350"/>
        <v>3.9586799999999998</v>
      </c>
      <c r="AA1685" s="238"/>
      <c r="AB1685" s="233" t="str">
        <f>IF(B1685="insumo",_xlfn.XLOOKUP(S1685,Insumos!A:A,Insumos!D:D),"")</f>
        <v>Base de Dados</v>
      </c>
      <c r="AC1685" s="239">
        <f t="shared" ca="1" si="1351"/>
        <v>5.6790873809519796E-7</v>
      </c>
      <c r="AE1685" s="240">
        <f ca="1">IFERROR(IF(OR(Z1685="",Z1685=0),"",IF(AF1685="","",IF(AF1685="R$/mês",Z1685/OBRA!$D$12,IF(AF1685="R$/m²",Z1685/OBRA!$D$10,IF(AF1685="R$/apto",Orçamento!Z1685/OBRA!$D$11,""))))),"")</f>
        <v>2.0371649264369117E-3</v>
      </c>
      <c r="AF1685" s="241" t="s">
        <v>154</v>
      </c>
    </row>
    <row r="1686" spans="1:32" s="10" customFormat="1" ht="13.15" hidden="1" customHeight="1" outlineLevel="4" x14ac:dyDescent="0.2">
      <c r="A1686" s="227"/>
      <c r="B1686" s="228" t="s">
        <v>19</v>
      </c>
      <c r="C1686" s="229">
        <f t="shared" si="1349"/>
        <v>7</v>
      </c>
      <c r="D1686" s="227" t="str">
        <f t="shared" si="1352"/>
        <v/>
      </c>
      <c r="E1686" s="228" t="str">
        <f t="shared" ca="1" si="1353"/>
        <v>15.004.003.003</v>
      </c>
      <c r="F1686" s="230">
        <f ca="1">IF($B1686="UNIDADE CONSTRUTIVA",OFFSET(F1686,-1,0)+1,LARGE(F$10:F1685,1))</f>
        <v>2</v>
      </c>
      <c r="G1686" s="228" t="str">
        <f t="shared" ca="1" si="1354"/>
        <v xml:space="preserve">   GERENCIAMENTO EXECUTIVO</v>
      </c>
      <c r="H1686" s="230">
        <f t="shared" ca="1" si="1355"/>
        <v>15</v>
      </c>
      <c r="I1686" s="228" t="str">
        <f t="shared" ca="1" si="1356"/>
        <v xml:space="preserve">   PISOS E PAVIMENTAÇÕES</v>
      </c>
      <c r="J1686" s="230">
        <f t="shared" ca="1" si="1357"/>
        <v>4</v>
      </c>
      <c r="K1686" s="228" t="str">
        <f t="shared" ca="1" si="1358"/>
        <v xml:space="preserve">   PISOS E PAVIMENTAÇÕES - 8º PAVIMENTO - COBERTURA</v>
      </c>
      <c r="L1686" s="231">
        <f t="shared" ca="1" si="1359"/>
        <v>3</v>
      </c>
      <c r="M1686" s="228" t="str">
        <f t="shared" ca="1" si="1360"/>
        <v xml:space="preserve">   Rodapés</v>
      </c>
      <c r="N1686" s="231">
        <f t="shared" ca="1" si="1361"/>
        <v>3</v>
      </c>
      <c r="O1686" s="228" t="str">
        <f t="shared" ca="1" si="1362"/>
        <v>Revestimento interno de Rodapé Porcelanato h=0,15cm</v>
      </c>
      <c r="P1686" s="232" t="str">
        <f>IF(S1686="","",IF(Orçamento!$B1686="INSUMO",S1686,""))</f>
        <v>REVESTIMENTO - HIT GRIS 80X80 EXT RET</v>
      </c>
      <c r="Q1686" s="244" t="str">
        <f t="shared" si="1363"/>
        <v/>
      </c>
      <c r="R1686" s="234">
        <f t="shared" ca="1" si="1364"/>
        <v>29.99</v>
      </c>
      <c r="S1686" s="233" t="s">
        <v>910</v>
      </c>
      <c r="T1686" s="242" t="str">
        <f>_xlfn.XLOOKUP(S1686,Insumos!$A$3:$A$371,Insumos!$B$3:$B$371)</f>
        <v>M2</v>
      </c>
      <c r="U1686" s="235">
        <f ca="1">IF($B1686="insumo",R1686,"")</f>
        <v>29.99</v>
      </c>
      <c r="V1686" s="320">
        <f>ROUNDUP(1.1*0.15,4)</f>
        <v>0.16500000000000001</v>
      </c>
      <c r="W1686" s="236">
        <f>IFERROR(IF(B1686="INSUMO",_xlfn.XLOOKUP(S1686,Insumos!A:A,Insumos!C:C),""),"Inserir Preço")</f>
        <v>60.29</v>
      </c>
      <c r="X1686" s="235">
        <f t="shared" ca="1" si="1365"/>
        <v>4.9483499999999996</v>
      </c>
      <c r="Y1686" s="236">
        <f t="shared" si="1285"/>
        <v>9.9478500000000007</v>
      </c>
      <c r="Z1686" s="237">
        <f t="shared" ca="1" si="1350"/>
        <v>298.33602149999996</v>
      </c>
      <c r="AA1686" s="238"/>
      <c r="AB1686" s="233" t="str">
        <f>IF(B1686="insumo",_xlfn.XLOOKUP(S1686,Insumos!A:A,Insumos!D:D),"")</f>
        <v>Portobelo</v>
      </c>
      <c r="AC1686" s="239">
        <f t="shared" ca="1" si="1351"/>
        <v>4.2799022274699353E-5</v>
      </c>
      <c r="AE1686" s="240">
        <f ca="1">IFERROR(IF(OR(Z1686="",Z1686=0),"",IF(AF1686="","",IF(AF1686="R$/mês",Z1686/OBRA!$D$12,IF(AF1686="R$/m²",Z1686/OBRA!$D$10,IF(AF1686="R$/apto",Orçamento!Z1686/OBRA!$D$11,""))))),"")</f>
        <v>0.15352584176860173</v>
      </c>
      <c r="AF1686" s="241" t="s">
        <v>154</v>
      </c>
    </row>
    <row r="1687" spans="1:32" s="10" customFormat="1" ht="13.15" hidden="1" customHeight="1" outlineLevel="4" x14ac:dyDescent="0.2">
      <c r="A1687" s="227"/>
      <c r="B1687" s="228" t="s">
        <v>4</v>
      </c>
      <c r="C1687" s="229">
        <f t="shared" si="1349"/>
        <v>3</v>
      </c>
      <c r="D1687" s="227" t="str">
        <f ca="1">IF(B1687="Unidade Construtiva",TEXT(F1687,"00"),IF(B1687="Célula Construtiva",TEXT(H1687,"00"),IF(B1687="Etapa",CONCATENATE(TEXT(H1687,"00"),".",TEXT(J1687,"000")),IF(B1687="Subetapa",CONCATENATE(TEXT(H1687,"00"),".",TEXT(J1687,"000"),".",TEXT(L1687,"000")),IF(B1687="Serviço",CONCATENATE(TEXT(H1687,"00"),".",TEXT(J1687,"000"),".",TEXT(L1687,"000"),".",TEXT(N1687,"000")),"")))))</f>
        <v>15.004.003.004</v>
      </c>
      <c r="E1687" s="228" t="str">
        <f ca="1">IF(B1687="*","",IFERROR(IF(B1687="SERVIÇO",D1687,OFFSET(E1687,-1,0)),""))</f>
        <v>15.004.003.004</v>
      </c>
      <c r="F1687" s="230">
        <f ca="1">IF($B1687="UNIDADE CONSTRUTIVA",OFFSET(F1687,-1,0)+1,LARGE(F$10:F1686,1))</f>
        <v>2</v>
      </c>
      <c r="G1687" s="228" t="str">
        <f ca="1">IF(B1687="*","",IF(B1687="UNIDADE CONSTRUTIVA",S1687,OFFSET(G1687,-1,0)))</f>
        <v xml:space="preserve">   GERENCIAMENTO EXECUTIVO</v>
      </c>
      <c r="H1687" s="230">
        <f ca="1">IF(B1687="UNIDADE CONSTRUTIVA",0,IF(B1687="CÉLULA CONSTRUTIVA",OFFSET(H1687,-1,0)+1,OFFSET(H1687,-1,0)))</f>
        <v>15</v>
      </c>
      <c r="I1687" s="228" t="str">
        <f ca="1">IF(B1687="*","",IF(B1687="CÉLULA CONSTRUTIVA",S1687,OFFSET(I1687,-1,0)))</f>
        <v xml:space="preserve">   PISOS E PAVIMENTAÇÕES</v>
      </c>
      <c r="J1687" s="230">
        <f ca="1">IF(B1687="CÉLULA CONSTRUTIVA",0,IF(B1687="ETAPA",OFFSET(J1687,-1,0)+1,OFFSET(J1687,-1,0)))</f>
        <v>4</v>
      </c>
      <c r="K1687" s="228" t="str">
        <f ca="1">IF(B1687="*","",IF(B1687="ETAPA",S1687,OFFSET(K1687,-1,0)))</f>
        <v xml:space="preserve">   PISOS E PAVIMENTAÇÕES - 8º PAVIMENTO - COBERTURA</v>
      </c>
      <c r="L1687" s="231">
        <f ca="1">IF(B1687="ETAPA",0,IF(B1687="SUBETAPA",OFFSET(L1687,-1,0)+1,OFFSET(L1687,-1,0)))</f>
        <v>3</v>
      </c>
      <c r="M1687" s="228" t="str">
        <f ca="1">IF(B1687="*","",IF(B1687="SUBETAPA",S1687,OFFSET(M1687,-1,0)))</f>
        <v xml:space="preserve">   Rodapés</v>
      </c>
      <c r="N1687" s="231">
        <f ca="1">IF(B1687="Subetapa",0,IF(B1687="serviço",OFFSET(N1687,-1,0)+1,OFFSET(N1687,-1,0)))</f>
        <v>4</v>
      </c>
      <c r="O1687" s="228" t="str">
        <f ca="1">IF(B1687="*","",IF(B1687="SERVIÇO",S1687,OFFSET(O1687,-1,0)))</f>
        <v>Rodape de poliestireno 10cm</v>
      </c>
      <c r="P1687" s="232" t="str">
        <f>IF(S1687="","",IF(Orçamento!$B1687="INSUMO",S1687,""))</f>
        <v/>
      </c>
      <c r="Q1687" s="244" t="str">
        <f t="shared" ref="Q1687:Q1696" si="1366">IF(B1687="","",IF(B1687="Serviço",S1687,""))</f>
        <v>Rodape de poliestireno 10cm</v>
      </c>
      <c r="R1687" s="234">
        <f ca="1">IF(B1687="serviço",U1687,OFFSET(R1687,-1,0))</f>
        <v>40.619999999999997</v>
      </c>
      <c r="S1687" s="233" t="s">
        <v>490</v>
      </c>
      <c r="T1687" s="242" t="s">
        <v>158</v>
      </c>
      <c r="U1687" s="235">
        <v>40.619999999999997</v>
      </c>
      <c r="V1687" s="320" t="s">
        <v>35</v>
      </c>
      <c r="W1687" s="236" t="str">
        <f>IFERROR(IF(B1687="INSUMO",_xlfn.XLOOKUP(S1687,Insumos!A:A,Insumos!C:C),""),"Inserir Preço")</f>
        <v/>
      </c>
      <c r="X1687" s="235">
        <f ca="1">IF(B1687="Complemento do insumo",V1687,IF(R1687="","",IF(B1687="serviço",R1687,IF(OR(B1687="insumo"),V1687*R1687,""))))</f>
        <v>40.619999999999997</v>
      </c>
      <c r="Y1687" s="236">
        <f t="shared" ca="1" si="1285"/>
        <v>46.634840000000011</v>
      </c>
      <c r="Z1687" s="237">
        <f t="shared" ca="1" si="1350"/>
        <v>1894.3072008000004</v>
      </c>
      <c r="AA1687" s="238"/>
      <c r="AB1687" s="233" t="str">
        <f>IF(B1687="insumo",_xlfn.XLOOKUP(S1687,Insumos!A:A,Insumos!D:D),"")</f>
        <v/>
      </c>
      <c r="AC1687" s="239">
        <f t="shared" ca="1" si="1351"/>
        <v>2.7175563874093763E-4</v>
      </c>
      <c r="AE1687" s="240">
        <f ca="1">IFERROR(IF(OR(Z1687="",Z1687=0),"",IF(AF1687="","",IF(AF1687="R$/mês",Z1687/OBRA!$D$12,IF(AF1687="R$/m²",Z1687/OBRA!$D$10,IF(AF1687="R$/apto",Orçamento!Z1687/OBRA!$D$11,""))))),"")</f>
        <v>0.97482397904519813</v>
      </c>
      <c r="AF1687" s="241" t="s">
        <v>154</v>
      </c>
    </row>
    <row r="1688" spans="1:32" s="10" customFormat="1" ht="13.15" hidden="1" customHeight="1" outlineLevel="4" x14ac:dyDescent="0.2">
      <c r="A1688" s="227"/>
      <c r="B1688" s="228" t="s">
        <v>19</v>
      </c>
      <c r="C1688" s="229">
        <f t="shared" si="1349"/>
        <v>5</v>
      </c>
      <c r="D1688" s="227" t="str">
        <f>IF(B1688="Unidade Construtiva",TEXT(F1688,"00"),IF(B1688="Célula Construtiva",TEXT(H1688,"00"),IF(B1688="Etapa",CONCATENATE(TEXT(H1688,"00"),".",TEXT(J1688,"000")),IF(B1688="Subetapa",CONCATENATE(TEXT(H1688,"00"),".",TEXT(J1688,"000"),".",TEXT(L1688,"000")),IF(B1688="Serviço",CONCATENATE(TEXT(H1688,"00"),".",TEXT(J1688,"000"),".",TEXT(L1688,"000"),".",TEXT(N1688,"000")),"")))))</f>
        <v/>
      </c>
      <c r="E1688" s="228" t="str">
        <f ca="1">IF(B1688="*","",IFERROR(IF(B1688="SERVIÇO",D1688,OFFSET(E1688,-1,0)),""))</f>
        <v>15.004.003.004</v>
      </c>
      <c r="F1688" s="230">
        <f ca="1">IF($B1688="UNIDADE CONSTRUTIVA",OFFSET(F1688,-1,0)+1,LARGE(F$10:F1687,1))</f>
        <v>2</v>
      </c>
      <c r="G1688" s="228" t="str">
        <f ca="1">IF(B1688="*","",IF(B1688="UNIDADE CONSTRUTIVA",S1688,OFFSET(G1688,-1,0)))</f>
        <v xml:space="preserve">   GERENCIAMENTO EXECUTIVO</v>
      </c>
      <c r="H1688" s="230">
        <f ca="1">IF(B1688="UNIDADE CONSTRUTIVA",0,IF(B1688="CÉLULA CONSTRUTIVA",OFFSET(H1688,-1,0)+1,OFFSET(H1688,-1,0)))</f>
        <v>15</v>
      </c>
      <c r="I1688" s="228" t="str">
        <f ca="1">IF(B1688="*","",IF(B1688="CÉLULA CONSTRUTIVA",S1688,OFFSET(I1688,-1,0)))</f>
        <v xml:space="preserve">   PISOS E PAVIMENTAÇÕES</v>
      </c>
      <c r="J1688" s="230">
        <f ca="1">IF(B1688="CÉLULA CONSTRUTIVA",0,IF(B1688="ETAPA",OFFSET(J1688,-1,0)+1,OFFSET(J1688,-1,0)))</f>
        <v>4</v>
      </c>
      <c r="K1688" s="228" t="str">
        <f ca="1">IF(B1688="*","",IF(B1688="ETAPA",S1688,OFFSET(K1688,-1,0)))</f>
        <v xml:space="preserve">   PISOS E PAVIMENTAÇÕES - 8º PAVIMENTO - COBERTURA</v>
      </c>
      <c r="L1688" s="231">
        <f ca="1">IF(B1688="ETAPA",0,IF(B1688="SUBETAPA",OFFSET(L1688,-1,0)+1,OFFSET(L1688,-1,0)))</f>
        <v>3</v>
      </c>
      <c r="M1688" s="228" t="str">
        <f ca="1">IF(B1688="*","",IF(B1688="SUBETAPA",S1688,OFFSET(M1688,-1,0)))</f>
        <v xml:space="preserve">   Rodapés</v>
      </c>
      <c r="N1688" s="231">
        <f ca="1">IF(B1688="Subetapa",0,IF(B1688="serviço",OFFSET(N1688,-1,0)+1,OFFSET(N1688,-1,0)))</f>
        <v>4</v>
      </c>
      <c r="O1688" s="228" t="str">
        <f ca="1">IF(B1688="*","",IF(B1688="SERVIÇO",S1688,OFFSET(O1688,-1,0)))</f>
        <v>Rodape de poliestireno 10cm</v>
      </c>
      <c r="P1688" s="232" t="str">
        <f>IF(S1688="","",IF(Orçamento!$B1688="INSUMO",S1688,""))</f>
        <v>COLA PARA RODAPE DE POLIESTIRENO</v>
      </c>
      <c r="Q1688" s="244" t="str">
        <f t="shared" si="1366"/>
        <v/>
      </c>
      <c r="R1688" s="234">
        <f ca="1">IF(B1688="serviço",U1688,OFFSET(R1688,-1,0))</f>
        <v>40.619999999999997</v>
      </c>
      <c r="S1688" s="233" t="s">
        <v>369</v>
      </c>
      <c r="T1688" s="242" t="str">
        <f>_xlfn.XLOOKUP(S1688,Insumos!$A$3:$A$371,Insumos!$B$3:$B$371)</f>
        <v>KG</v>
      </c>
      <c r="U1688" s="235">
        <f ca="1">IF($B1688="insumo",R1688,"")</f>
        <v>40.619999999999997</v>
      </c>
      <c r="V1688" s="320">
        <v>4.6300000000000001E-2</v>
      </c>
      <c r="W1688" s="236">
        <f>IFERROR(IF(B1688="INSUMO",_xlfn.XLOOKUP(S1688,Insumos!A:A,Insumos!C:C),""),"Inserir Preço")</f>
        <v>31.8</v>
      </c>
      <c r="X1688" s="235">
        <f ca="1">IF(B1688="Complemento do insumo",V1688,IF(R1688="","",IF(B1688="serviço",R1688,IF(OR(B1688="insumo"),V1688*R1688,""))))</f>
        <v>1.880706</v>
      </c>
      <c r="Y1688" s="236">
        <f t="shared" si="1285"/>
        <v>1.47234</v>
      </c>
      <c r="Z1688" s="237">
        <f t="shared" ca="1" si="1350"/>
        <v>59.8064508</v>
      </c>
      <c r="AA1688" s="238"/>
      <c r="AB1688" s="233" t="str">
        <f>IF(B1688="insumo",_xlfn.XLOOKUP(S1688,Insumos!A:A,Insumos!D:D),"")</f>
        <v xml:space="preserve"> </v>
      </c>
      <c r="AC1688" s="239">
        <f t="shared" ca="1" si="1351"/>
        <v>8.5797806349036904E-6</v>
      </c>
      <c r="AE1688" s="240">
        <f ca="1">IFERROR(IF(OR(Z1688="",Z1688=0),"",IF(AF1688="","",IF(AF1688="R$/mês",Z1688/OBRA!$D$12,IF(AF1688="R$/m²",Z1688/OBRA!$D$10,IF(AF1688="R$/apto",Orçamento!Z1688/OBRA!$D$11,""))))),"")</f>
        <v>3.0776825594499881E-2</v>
      </c>
      <c r="AF1688" s="241" t="s">
        <v>154</v>
      </c>
    </row>
    <row r="1689" spans="1:32" s="10" customFormat="1" ht="13.15" hidden="1" customHeight="1" outlineLevel="4" x14ac:dyDescent="0.2">
      <c r="A1689" s="227"/>
      <c r="B1689" s="228" t="s">
        <v>19</v>
      </c>
      <c r="C1689" s="229">
        <f t="shared" si="1349"/>
        <v>5</v>
      </c>
      <c r="D1689" s="227" t="str">
        <f>IF(B1689="Unidade Construtiva",TEXT(F1689,"00"),IF(B1689="Célula Construtiva",TEXT(H1689,"00"),IF(B1689="Etapa",CONCATENATE(TEXT(H1689,"00"),".",TEXT(J1689,"000")),IF(B1689="Subetapa",CONCATENATE(TEXT(H1689,"00"),".",TEXT(J1689,"000"),".",TEXT(L1689,"000")),IF(B1689="Serviço",CONCATENATE(TEXT(H1689,"00"),".",TEXT(J1689,"000"),".",TEXT(L1689,"000"),".",TEXT(N1689,"000")),"")))))</f>
        <v/>
      </c>
      <c r="E1689" s="228" t="str">
        <f ca="1">IF(B1689="*","",IFERROR(IF(B1689="SERVIÇO",D1689,OFFSET(E1689,-1,0)),""))</f>
        <v>15.004.003.004</v>
      </c>
      <c r="F1689" s="230">
        <f ca="1">IF($B1689="UNIDADE CONSTRUTIVA",OFFSET(F1689,-1,0)+1,LARGE(F$10:F1688,1))</f>
        <v>2</v>
      </c>
      <c r="G1689" s="228" t="str">
        <f ca="1">IF(B1689="*","",IF(B1689="UNIDADE CONSTRUTIVA",S1689,OFFSET(G1689,-1,0)))</f>
        <v xml:space="preserve">   GERENCIAMENTO EXECUTIVO</v>
      </c>
      <c r="H1689" s="230">
        <f ca="1">IF(B1689="UNIDADE CONSTRUTIVA",0,IF(B1689="CÉLULA CONSTRUTIVA",OFFSET(H1689,-1,0)+1,OFFSET(H1689,-1,0)))</f>
        <v>15</v>
      </c>
      <c r="I1689" s="228" t="str">
        <f ca="1">IF(B1689="*","",IF(B1689="CÉLULA CONSTRUTIVA",S1689,OFFSET(I1689,-1,0)))</f>
        <v xml:space="preserve">   PISOS E PAVIMENTAÇÕES</v>
      </c>
      <c r="J1689" s="230">
        <f ca="1">IF(B1689="CÉLULA CONSTRUTIVA",0,IF(B1689="ETAPA",OFFSET(J1689,-1,0)+1,OFFSET(J1689,-1,0)))</f>
        <v>4</v>
      </c>
      <c r="K1689" s="228" t="str">
        <f ca="1">IF(B1689="*","",IF(B1689="ETAPA",S1689,OFFSET(K1689,-1,0)))</f>
        <v xml:space="preserve">   PISOS E PAVIMENTAÇÕES - 8º PAVIMENTO - COBERTURA</v>
      </c>
      <c r="L1689" s="231">
        <f ca="1">IF(B1689="ETAPA",0,IF(B1689="SUBETAPA",OFFSET(L1689,-1,0)+1,OFFSET(L1689,-1,0)))</f>
        <v>3</v>
      </c>
      <c r="M1689" s="228" t="str">
        <f ca="1">IF(B1689="*","",IF(B1689="SUBETAPA",S1689,OFFSET(M1689,-1,0)))</f>
        <v xml:space="preserve">   Rodapés</v>
      </c>
      <c r="N1689" s="231">
        <f ca="1">IF(B1689="Subetapa",0,IF(B1689="serviço",OFFSET(N1689,-1,0)+1,OFFSET(N1689,-1,0)))</f>
        <v>4</v>
      </c>
      <c r="O1689" s="228" t="str">
        <f ca="1">IF(B1689="*","",IF(B1689="SERVIÇO",S1689,OFFSET(O1689,-1,0)))</f>
        <v>Rodape de poliestireno 10cm</v>
      </c>
      <c r="P1689" s="232" t="str">
        <f>IF(S1689="","",IF(Orçamento!$B1689="INSUMO",S1689,""))</f>
        <v>BUCHA T PARA RODAPE</v>
      </c>
      <c r="Q1689" s="244" t="str">
        <f t="shared" si="1366"/>
        <v/>
      </c>
      <c r="R1689" s="234">
        <f ca="1">IF(B1689="serviço",U1689,OFFSET(R1689,-1,0))</f>
        <v>40.619999999999997</v>
      </c>
      <c r="S1689" s="233" t="s">
        <v>390</v>
      </c>
      <c r="T1689" s="242" t="str">
        <f>_xlfn.XLOOKUP(S1689,Insumos!$A$3:$A$371,Insumos!$B$3:$B$371)</f>
        <v>UN</v>
      </c>
      <c r="U1689" s="235">
        <f ca="1">IF($B1689="insumo",R1689,"")</f>
        <v>40.619999999999997</v>
      </c>
      <c r="V1689" s="320">
        <v>2.5</v>
      </c>
      <c r="W1689" s="236">
        <f>IFERROR(IF(B1689="INSUMO",_xlfn.XLOOKUP(S1689,Insumos!A:A,Insumos!C:C),""),"Inserir Preço")</f>
        <v>0.157</v>
      </c>
      <c r="X1689" s="235">
        <f ca="1">IF(B1689="Complemento do insumo",V1689,IF(R1689="","",IF(B1689="serviço",R1689,IF(OR(B1689="insumo"),V1689*R1689,""))))</f>
        <v>101.55</v>
      </c>
      <c r="Y1689" s="236">
        <f t="shared" si="1285"/>
        <v>0.39250000000000002</v>
      </c>
      <c r="Z1689" s="237">
        <f t="shared" ca="1" si="1350"/>
        <v>15.943349999999999</v>
      </c>
      <c r="AA1689" s="238"/>
      <c r="AB1689" s="233" t="str">
        <f>IF(B1689="insumo",_xlfn.XLOOKUP(S1689,Insumos!A:A,Insumos!D:D),"")</f>
        <v xml:space="preserve"> </v>
      </c>
      <c r="AC1689" s="239">
        <f t="shared" ca="1" si="1351"/>
        <v>2.2872189162827192E-6</v>
      </c>
      <c r="AE1689" s="240">
        <f ca="1">IFERROR(IF(OR(Z1689="",Z1689=0),"",IF(AF1689="","",IF(AF1689="R$/mês",Z1689/OBRA!$D$12,IF(AF1689="R$/m²",Z1689/OBRA!$D$10,IF(AF1689="R$/apto",Orçamento!Z1689/OBRA!$D$11,""))))),"")</f>
        <v>8.2045614775399719E-3</v>
      </c>
      <c r="AF1689" s="241" t="s">
        <v>154</v>
      </c>
    </row>
    <row r="1690" spans="1:32" s="10" customFormat="1" ht="13.15" hidden="1" customHeight="1" outlineLevel="4" x14ac:dyDescent="0.2">
      <c r="A1690" s="227"/>
      <c r="B1690" s="228" t="s">
        <v>19</v>
      </c>
      <c r="C1690" s="229">
        <f t="shared" si="1349"/>
        <v>3</v>
      </c>
      <c r="D1690" s="227" t="str">
        <f>IF(B1690="Unidade Construtiva",TEXT(F1690,"00"),IF(B1690="Célula Construtiva",TEXT(H1690,"00"),IF(B1690="Etapa",CONCATENATE(TEXT(H1690,"00"),".",TEXT(J1690,"000")),IF(B1690="Subetapa",CONCATENATE(TEXT(H1690,"00"),".",TEXT(J1690,"000"),".",TEXT(L1690,"000")),IF(B1690="Serviço",CONCATENATE(TEXT(H1690,"00"),".",TEXT(J1690,"000"),".",TEXT(L1690,"000"),".",TEXT(N1690,"000")),"")))))</f>
        <v/>
      </c>
      <c r="E1690" s="228" t="str">
        <f ca="1">IF(B1690="*","",IFERROR(IF(B1690="SERVIÇO",D1690,OFFSET(E1690,-1,0)),""))</f>
        <v>15.004.003.004</v>
      </c>
      <c r="F1690" s="230">
        <f ca="1">IF($B1690="UNIDADE CONSTRUTIVA",OFFSET(F1690,-1,0)+1,LARGE(F$10:F1689,1))</f>
        <v>2</v>
      </c>
      <c r="G1690" s="228" t="str">
        <f ca="1">IF(B1690="*","",IF(B1690="UNIDADE CONSTRUTIVA",S1690,OFFSET(G1690,-1,0)))</f>
        <v xml:space="preserve">   GERENCIAMENTO EXECUTIVO</v>
      </c>
      <c r="H1690" s="230">
        <f ca="1">IF(B1690="UNIDADE CONSTRUTIVA",0,IF(B1690="CÉLULA CONSTRUTIVA",OFFSET(H1690,-1,0)+1,OFFSET(H1690,-1,0)))</f>
        <v>15</v>
      </c>
      <c r="I1690" s="228" t="str">
        <f ca="1">IF(B1690="*","",IF(B1690="CÉLULA CONSTRUTIVA",S1690,OFFSET(I1690,-1,0)))</f>
        <v xml:space="preserve">   PISOS E PAVIMENTAÇÕES</v>
      </c>
      <c r="J1690" s="230">
        <f ca="1">IF(B1690="CÉLULA CONSTRUTIVA",0,IF(B1690="ETAPA",OFFSET(J1690,-1,0)+1,OFFSET(J1690,-1,0)))</f>
        <v>4</v>
      </c>
      <c r="K1690" s="228" t="str">
        <f ca="1">IF(B1690="*","",IF(B1690="ETAPA",S1690,OFFSET(K1690,-1,0)))</f>
        <v xml:space="preserve">   PISOS E PAVIMENTAÇÕES - 8º PAVIMENTO - COBERTURA</v>
      </c>
      <c r="L1690" s="231">
        <f ca="1">IF(B1690="ETAPA",0,IF(B1690="SUBETAPA",OFFSET(L1690,-1,0)+1,OFFSET(L1690,-1,0)))</f>
        <v>3</v>
      </c>
      <c r="M1690" s="228" t="str">
        <f ca="1">IF(B1690="*","",IF(B1690="SUBETAPA",S1690,OFFSET(M1690,-1,0)))</f>
        <v xml:space="preserve">   Rodapés</v>
      </c>
      <c r="N1690" s="231">
        <f ca="1">IF(B1690="Subetapa",0,IF(B1690="serviço",OFFSET(N1690,-1,0)+1,OFFSET(N1690,-1,0)))</f>
        <v>4</v>
      </c>
      <c r="O1690" s="228" t="str">
        <f ca="1">IF(B1690="*","",IF(B1690="SERVIÇO",S1690,OFFSET(O1690,-1,0)))</f>
        <v>Rodape de poliestireno 10cm</v>
      </c>
      <c r="P1690" s="232" t="str">
        <f>IF(S1690="","",IF(Orçamento!$B1690="INSUMO",S1690,""))</f>
        <v>RODAPÉ EM POLIESTIRENO PU 10CM</v>
      </c>
      <c r="Q1690" s="244" t="str">
        <f t="shared" si="1366"/>
        <v/>
      </c>
      <c r="R1690" s="234">
        <f ca="1">IF(B1690="serviço",U1690,OFFSET(R1690,-1,0))</f>
        <v>40.619999999999997</v>
      </c>
      <c r="S1690" s="233" t="s">
        <v>281</v>
      </c>
      <c r="T1690" s="242" t="str">
        <f>_xlfn.XLOOKUP(S1690,Insumos!$A$3:$A$371,Insumos!$B$3:$B$371)</f>
        <v>M</v>
      </c>
      <c r="U1690" s="235">
        <f ca="1">IF($B1690="insumo",R1690,"")</f>
        <v>40.619999999999997</v>
      </c>
      <c r="V1690" s="320">
        <v>1.1000000000000001</v>
      </c>
      <c r="W1690" s="236">
        <f>IFERROR(IF(B1690="INSUMO",_xlfn.XLOOKUP(S1690,Insumos!A:A,Insumos!C:C),""),"Inserir Preço")</f>
        <v>40.700000000000003</v>
      </c>
      <c r="X1690" s="235">
        <f ca="1">IF(B1690="Complemento do insumo",V1690,IF(R1690="","",IF(B1690="serviço",R1690,IF(OR(B1690="insumo"),V1690*R1690,""))))</f>
        <v>44.682000000000002</v>
      </c>
      <c r="Y1690" s="236">
        <f t="shared" si="1285"/>
        <v>44.77000000000001</v>
      </c>
      <c r="Z1690" s="237">
        <f t="shared" ca="1" si="1350"/>
        <v>1818.5574000000001</v>
      </c>
      <c r="AA1690" s="238"/>
      <c r="AB1690" s="233" t="str">
        <f>IF(B1690="insumo",_xlfn.XLOOKUP(S1690,Insumos!A:A,Insumos!D:D),"")</f>
        <v xml:space="preserve"> </v>
      </c>
      <c r="AC1690" s="239">
        <f t="shared" ca="1" si="1351"/>
        <v>2.6088863918975118E-4</v>
      </c>
      <c r="AE1690" s="240">
        <f ca="1">IFERROR(IF(OR(Z1690="",Z1690=0),"",IF(AF1690="","",IF(AF1690="R$/mês",Z1690/OBRA!$D$12,IF(AF1690="R$/m²",Z1690/OBRA!$D$10,IF(AF1690="R$/apto",Orçamento!Z1690/OBRA!$D$11,""))))),"")</f>
        <v>0.93584259197315811</v>
      </c>
      <c r="AF1690" s="241" t="s">
        <v>154</v>
      </c>
    </row>
    <row r="1691" spans="1:32" s="10" customFormat="1" ht="13.15" hidden="1" customHeight="1" outlineLevel="3" collapsed="1" x14ac:dyDescent="0.2">
      <c r="A1691" s="227"/>
      <c r="B1691" s="228" t="s">
        <v>3</v>
      </c>
      <c r="C1691" s="229" t="str">
        <f t="shared" si="1349"/>
        <v/>
      </c>
      <c r="D1691" s="227" t="str">
        <f t="shared" ref="D1691:D1696" ca="1" si="1367">IF(B1691="Unidade Construtiva",TEXT(F1691,"00"),IF(B1691="Célula Construtiva",TEXT(H1691,"00"),IF(B1691="Etapa",CONCATENATE(TEXT(H1691,"00"),".",TEXT(J1691,"000")),IF(B1691="Subetapa",CONCATENATE(TEXT(H1691,"00"),".",TEXT(J1691,"000"),".",TEXT(L1691,"000")),IF(B1691="Serviço",CONCATENATE(TEXT(H1691,"00"),".",TEXT(J1691,"000"),".",TEXT(L1691,"000"),".",TEXT(N1691,"000")),"")))))</f>
        <v>15.004.004</v>
      </c>
      <c r="E1691" s="228" t="str">
        <f t="shared" ref="E1691:E1696" ca="1" si="1368">IF(B1691="*","",IFERROR(IF(B1691="SERVIÇO",D1691,OFFSET(E1691,-1,0)),""))</f>
        <v>15.004.003.004</v>
      </c>
      <c r="F1691" s="230">
        <f ca="1">IF($B1691="UNIDADE CONSTRUTIVA",OFFSET(F1691,-1,0)+1,LARGE(F$10:F1690,1))</f>
        <v>2</v>
      </c>
      <c r="G1691" s="228" t="str">
        <f t="shared" ref="G1691:G1696" ca="1" si="1369">IF(B1691="*","",IF(B1691="UNIDADE CONSTRUTIVA",S1691,OFFSET(G1691,-1,0)))</f>
        <v xml:space="preserve">   GERENCIAMENTO EXECUTIVO</v>
      </c>
      <c r="H1691" s="230">
        <f t="shared" ref="H1691:H1696" ca="1" si="1370">IF(B1691="UNIDADE CONSTRUTIVA",0,IF(B1691="CÉLULA CONSTRUTIVA",OFFSET(H1691,-1,0)+1,OFFSET(H1691,-1,0)))</f>
        <v>15</v>
      </c>
      <c r="I1691" s="228" t="str">
        <f t="shared" ref="I1691:I1696" ca="1" si="1371">IF(B1691="*","",IF(B1691="CÉLULA CONSTRUTIVA",S1691,OFFSET(I1691,-1,0)))</f>
        <v xml:space="preserve">   PISOS E PAVIMENTAÇÕES</v>
      </c>
      <c r="J1691" s="230">
        <f t="shared" ref="J1691:J1696" ca="1" si="1372">IF(B1691="CÉLULA CONSTRUTIVA",0,IF(B1691="ETAPA",OFFSET(J1691,-1,0)+1,OFFSET(J1691,-1,0)))</f>
        <v>4</v>
      </c>
      <c r="K1691" s="228" t="str">
        <f t="shared" ref="K1691:K1696" ca="1" si="1373">IF(B1691="*","",IF(B1691="ETAPA",S1691,OFFSET(K1691,-1,0)))</f>
        <v xml:space="preserve">   PISOS E PAVIMENTAÇÕES - 8º PAVIMENTO - COBERTURA</v>
      </c>
      <c r="L1691" s="231">
        <f t="shared" ref="L1691:L1696" ca="1" si="1374">IF(B1691="ETAPA",0,IF(B1691="SUBETAPA",OFFSET(L1691,-1,0)+1,OFFSET(L1691,-1,0)))</f>
        <v>4</v>
      </c>
      <c r="M1691" s="228" t="str">
        <f t="shared" ref="M1691:M1696" ca="1" si="1375">IF(B1691="*","",IF(B1691="SUBETAPA",S1691,OFFSET(M1691,-1,0)))</f>
        <v xml:space="preserve">   Soleiras</v>
      </c>
      <c r="N1691" s="231">
        <f t="shared" ref="N1691:N1696" ca="1" si="1376">IF(B1691="Subetapa",0,IF(B1691="serviço",OFFSET(N1691,-1,0)+1,OFFSET(N1691,-1,0)))</f>
        <v>0</v>
      </c>
      <c r="O1691" s="228" t="str">
        <f t="shared" ref="O1691:O1696" ca="1" si="1377">IF(B1691="*","",IF(B1691="SERVIÇO",S1691,OFFSET(O1691,-1,0)))</f>
        <v>Rodape de poliestireno 10cm</v>
      </c>
      <c r="P1691" s="232" t="str">
        <f>IF(S1691="","",IF(Orçamento!$B1691="INSUMO",S1691,""))</f>
        <v/>
      </c>
      <c r="Q1691" s="244" t="str">
        <f t="shared" si="1366"/>
        <v/>
      </c>
      <c r="R1691" s="234">
        <f t="shared" ref="R1691:R1696" ca="1" si="1378">IF(B1691="serviço",U1691,OFFSET(R1691,-1,0))</f>
        <v>40.619999999999997</v>
      </c>
      <c r="S1691" s="233" t="s">
        <v>491</v>
      </c>
      <c r="T1691" s="242" t="s">
        <v>35</v>
      </c>
      <c r="U1691" s="235" t="str">
        <f>IF($B1691="insumo",R1691,"")</f>
        <v/>
      </c>
      <c r="V1691" s="320" t="s">
        <v>35</v>
      </c>
      <c r="W1691" s="236" t="str">
        <f>IFERROR(IF(B1691="INSUMO",_xlfn.XLOOKUP(S1691,Insumos!A:A,Insumos!C:C),""),"Inserir Preço")</f>
        <v/>
      </c>
      <c r="X1691" s="235" t="str">
        <f t="shared" ref="X1691:X1696" ca="1" si="1379">IF(B1691="Complemento do insumo",V1691,IF(R1691="","",IF(B1691="serviço",R1691,IF(OR(B1691="insumo"),V1691*R1691,""))))</f>
        <v/>
      </c>
      <c r="Y1691" s="236" t="str">
        <f t="shared" si="1285"/>
        <v/>
      </c>
      <c r="Z1691" s="237">
        <f t="shared" ca="1" si="1350"/>
        <v>863.63550000000009</v>
      </c>
      <c r="AA1691" s="238"/>
      <c r="AB1691" s="233" t="str">
        <f>IF(B1691="insumo",_xlfn.XLOOKUP(S1691,Insumos!A:A,Insumos!D:D),"")</f>
        <v/>
      </c>
      <c r="AC1691" s="239">
        <f t="shared" ca="1" si="1351"/>
        <v>1.2389638641648615E-4</v>
      </c>
      <c r="AE1691" s="240">
        <f ca="1">IFERROR(IF(OR(Z1691="",Z1691=0),"",IF(AF1691="","",IF(AF1691="R$/mês",Z1691/OBRA!$D$12,IF(AF1691="R$/m²",Z1691/OBRA!$D$10,IF(AF1691="R$/apto",Orçamento!Z1691/OBRA!$D$11,""))))),"")</f>
        <v>0.44443298014131116</v>
      </c>
      <c r="AF1691" s="241" t="s">
        <v>154</v>
      </c>
    </row>
    <row r="1692" spans="1:32" s="10" customFormat="1" ht="13.15" hidden="1" customHeight="1" outlineLevel="4" x14ac:dyDescent="0.2">
      <c r="A1692" s="227"/>
      <c r="B1692" s="228" t="s">
        <v>4</v>
      </c>
      <c r="C1692" s="229">
        <f t="shared" si="1349"/>
        <v>5</v>
      </c>
      <c r="D1692" s="227" t="str">
        <f t="shared" ca="1" si="1367"/>
        <v>15.004.004.001</v>
      </c>
      <c r="E1692" s="228" t="str">
        <f t="shared" ca="1" si="1368"/>
        <v>15.004.004.001</v>
      </c>
      <c r="F1692" s="230">
        <f ca="1">IF($B1692="UNIDADE CONSTRUTIVA",OFFSET(F1692,-1,0)+1,LARGE(F$10:F1691,1))</f>
        <v>2</v>
      </c>
      <c r="G1692" s="228" t="str">
        <f t="shared" ca="1" si="1369"/>
        <v xml:space="preserve">   GERENCIAMENTO EXECUTIVO</v>
      </c>
      <c r="H1692" s="230">
        <f t="shared" ca="1" si="1370"/>
        <v>15</v>
      </c>
      <c r="I1692" s="228" t="str">
        <f t="shared" ca="1" si="1371"/>
        <v xml:space="preserve">   PISOS E PAVIMENTAÇÕES</v>
      </c>
      <c r="J1692" s="230">
        <f t="shared" ca="1" si="1372"/>
        <v>4</v>
      </c>
      <c r="K1692" s="228" t="str">
        <f t="shared" ca="1" si="1373"/>
        <v xml:space="preserve">   PISOS E PAVIMENTAÇÕES - 8º PAVIMENTO - COBERTURA</v>
      </c>
      <c r="L1692" s="231">
        <f t="shared" ca="1" si="1374"/>
        <v>4</v>
      </c>
      <c r="M1692" s="228" t="str">
        <f t="shared" ca="1" si="1375"/>
        <v xml:space="preserve">   Soleiras</v>
      </c>
      <c r="N1692" s="231">
        <f t="shared" ca="1" si="1376"/>
        <v>1</v>
      </c>
      <c r="O1692" s="228" t="str">
        <f t="shared" ca="1" si="1377"/>
        <v>Soleira em granito, acabamento polido, espessura 2cm</v>
      </c>
      <c r="P1692" s="232" t="str">
        <f>IF(S1692="","",IF(Orçamento!$B1692="INSUMO",S1692,""))</f>
        <v/>
      </c>
      <c r="Q1692" s="244" t="str">
        <f t="shared" si="1366"/>
        <v>Soleira em granito, acabamento polido, espessura 2cm</v>
      </c>
      <c r="R1692" s="234">
        <f t="shared" ca="1" si="1378"/>
        <v>1.33</v>
      </c>
      <c r="S1692" s="233" t="s">
        <v>492</v>
      </c>
      <c r="T1692" s="242" t="s">
        <v>140</v>
      </c>
      <c r="U1692" s="235">
        <v>1.33</v>
      </c>
      <c r="V1692" s="320" t="s">
        <v>35</v>
      </c>
      <c r="W1692" s="236" t="str">
        <f>IFERROR(IF(B1692="INSUMO",_xlfn.XLOOKUP(S1692,Insumos!A:A,Insumos!C:C),""),"Inserir Preço")</f>
        <v/>
      </c>
      <c r="X1692" s="235">
        <f t="shared" ca="1" si="1379"/>
        <v>1.33</v>
      </c>
      <c r="Y1692" s="236">
        <f t="shared" ca="1" si="1285"/>
        <v>649.35</v>
      </c>
      <c r="Z1692" s="237">
        <f t="shared" ca="1" si="1350"/>
        <v>863.63550000000009</v>
      </c>
      <c r="AA1692" s="238"/>
      <c r="AB1692" s="233" t="str">
        <f>IF(B1692="insumo",_xlfn.XLOOKUP(S1692,Insumos!A:A,Insumos!D:D),"")</f>
        <v/>
      </c>
      <c r="AC1692" s="239">
        <f t="shared" ca="1" si="1351"/>
        <v>1.2389638641648615E-4</v>
      </c>
      <c r="AE1692" s="240">
        <f ca="1">IFERROR(IF(OR(Z1692="",Z1692=0),"",IF(AF1692="","",IF(AF1692="R$/mês",Z1692/OBRA!$D$12,IF(AF1692="R$/m²",Z1692/OBRA!$D$10,IF(AF1692="R$/apto",Orçamento!Z1692/OBRA!$D$11,""))))),"")</f>
        <v>0.44443298014131116</v>
      </c>
      <c r="AF1692" s="241" t="s">
        <v>154</v>
      </c>
    </row>
    <row r="1693" spans="1:32" s="10" customFormat="1" ht="13.15" hidden="1" customHeight="1" outlineLevel="4" x14ac:dyDescent="0.2">
      <c r="A1693" s="227"/>
      <c r="B1693" s="228" t="s">
        <v>19</v>
      </c>
      <c r="C1693" s="229">
        <f t="shared" si="1349"/>
        <v>16</v>
      </c>
      <c r="D1693" s="227" t="str">
        <f t="shared" si="1367"/>
        <v/>
      </c>
      <c r="E1693" s="228" t="str">
        <f t="shared" ca="1" si="1368"/>
        <v>15.004.004.001</v>
      </c>
      <c r="F1693" s="230">
        <f ca="1">IF($B1693="UNIDADE CONSTRUTIVA",OFFSET(F1693,-1,0)+1,LARGE(F$10:F1692,1))</f>
        <v>2</v>
      </c>
      <c r="G1693" s="228" t="str">
        <f t="shared" ca="1" si="1369"/>
        <v xml:space="preserve">   GERENCIAMENTO EXECUTIVO</v>
      </c>
      <c r="H1693" s="230">
        <f t="shared" ca="1" si="1370"/>
        <v>15</v>
      </c>
      <c r="I1693" s="228" t="str">
        <f t="shared" ca="1" si="1371"/>
        <v xml:space="preserve">   PISOS E PAVIMENTAÇÕES</v>
      </c>
      <c r="J1693" s="230">
        <f t="shared" ca="1" si="1372"/>
        <v>4</v>
      </c>
      <c r="K1693" s="228" t="str">
        <f t="shared" ca="1" si="1373"/>
        <v xml:space="preserve">   PISOS E PAVIMENTAÇÕES - 8º PAVIMENTO - COBERTURA</v>
      </c>
      <c r="L1693" s="231">
        <f t="shared" ca="1" si="1374"/>
        <v>4</v>
      </c>
      <c r="M1693" s="228" t="str">
        <f t="shared" ca="1" si="1375"/>
        <v xml:space="preserve">   Soleiras</v>
      </c>
      <c r="N1693" s="231">
        <f t="shared" ca="1" si="1376"/>
        <v>1</v>
      </c>
      <c r="O1693" s="228" t="str">
        <f t="shared" ca="1" si="1377"/>
        <v>Soleira em granito, acabamento polido, espessura 2cm</v>
      </c>
      <c r="P1693" s="232" t="str">
        <f>IF(S1693="","",IF(Orçamento!$B1693="INSUMO",S1693,""))</f>
        <v>ARGAMASSA COLANTE AC III</v>
      </c>
      <c r="Q1693" s="244" t="str">
        <f t="shared" si="1366"/>
        <v/>
      </c>
      <c r="R1693" s="234">
        <f t="shared" ca="1" si="1378"/>
        <v>1.33</v>
      </c>
      <c r="S1693" s="233" t="s">
        <v>357</v>
      </c>
      <c r="T1693" s="242" t="str">
        <f>_xlfn.XLOOKUP(S1693,Insumos!$A$3:$A$371,Insumos!$B$3:$B$371)</f>
        <v>KG</v>
      </c>
      <c r="U1693" s="235">
        <f ca="1">IF($B1693="insumo",R1693,"")</f>
        <v>1.33</v>
      </c>
      <c r="V1693" s="320">
        <v>10</v>
      </c>
      <c r="W1693" s="236">
        <f>IFERROR(IF(B1693="INSUMO",_xlfn.XLOOKUP(S1693,Insumos!A:A,Insumos!C:C),""),"Inserir Preço")</f>
        <v>0.92500000000000004</v>
      </c>
      <c r="X1693" s="235">
        <f t="shared" ca="1" si="1379"/>
        <v>13.3</v>
      </c>
      <c r="Y1693" s="236">
        <f t="shared" si="1285"/>
        <v>9.25</v>
      </c>
      <c r="Z1693" s="237">
        <f t="shared" ca="1" si="1350"/>
        <v>12.302500000000002</v>
      </c>
      <c r="AA1693" s="238"/>
      <c r="AB1693" s="233" t="str">
        <f>IF(B1693="insumo",_xlfn.XLOOKUP(S1693,Insumos!A:A,Insumos!D:D),"")</f>
        <v>Argabrus</v>
      </c>
      <c r="AC1693" s="239">
        <f t="shared" ca="1" si="1351"/>
        <v>1.7649057894086347E-6</v>
      </c>
      <c r="AE1693" s="240">
        <f ca="1">IFERROR(IF(OR(Z1693="",Z1693=0),"",IF(AF1693="","",IF(AF1693="R$/mês",Z1693/OBRA!$D$12,IF(AF1693="R$/m²",Z1693/OBRA!$D$10,IF(AF1693="R$/apto",Orçamento!Z1693/OBRA!$D$11,""))))),"")</f>
        <v>6.3309541330671109E-3</v>
      </c>
      <c r="AF1693" s="241" t="s">
        <v>154</v>
      </c>
    </row>
    <row r="1694" spans="1:32" s="10" customFormat="1" ht="13.15" hidden="1" customHeight="1" outlineLevel="4" x14ac:dyDescent="0.2">
      <c r="A1694" s="227"/>
      <c r="B1694" s="228" t="s">
        <v>19</v>
      </c>
      <c r="C1694" s="229">
        <f t="shared" si="1349"/>
        <v>32</v>
      </c>
      <c r="D1694" s="227" t="str">
        <f t="shared" si="1367"/>
        <v/>
      </c>
      <c r="E1694" s="228" t="str">
        <f t="shared" ca="1" si="1368"/>
        <v>15.004.004.001</v>
      </c>
      <c r="F1694" s="230">
        <f ca="1">IF($B1694="UNIDADE CONSTRUTIVA",OFFSET(F1694,-1,0)+1,LARGE(F$10:F1693,1))</f>
        <v>2</v>
      </c>
      <c r="G1694" s="228" t="str">
        <f t="shared" ca="1" si="1369"/>
        <v xml:space="preserve">   GERENCIAMENTO EXECUTIVO</v>
      </c>
      <c r="H1694" s="230">
        <f t="shared" ca="1" si="1370"/>
        <v>15</v>
      </c>
      <c r="I1694" s="228" t="str">
        <f t="shared" ca="1" si="1371"/>
        <v xml:space="preserve">   PISOS E PAVIMENTAÇÕES</v>
      </c>
      <c r="J1694" s="230">
        <f t="shared" ca="1" si="1372"/>
        <v>4</v>
      </c>
      <c r="K1694" s="228" t="str">
        <f t="shared" ca="1" si="1373"/>
        <v xml:space="preserve">   PISOS E PAVIMENTAÇÕES - 8º PAVIMENTO - COBERTURA</v>
      </c>
      <c r="L1694" s="231">
        <f t="shared" ca="1" si="1374"/>
        <v>4</v>
      </c>
      <c r="M1694" s="228" t="str">
        <f t="shared" ca="1" si="1375"/>
        <v xml:space="preserve">   Soleiras</v>
      </c>
      <c r="N1694" s="231">
        <f t="shared" ca="1" si="1376"/>
        <v>1</v>
      </c>
      <c r="O1694" s="228" t="str">
        <f t="shared" ca="1" si="1377"/>
        <v>Soleira em granito, acabamento polido, espessura 2cm</v>
      </c>
      <c r="P1694" s="232" t="str">
        <f>IF(S1694="","",IF(Orçamento!$B1694="INSUMO",S1694,""))</f>
        <v>REJUNTE FLEXIVEL CIMENTICIO TIPO II NBR 14992</v>
      </c>
      <c r="Q1694" s="244" t="str">
        <f t="shared" si="1366"/>
        <v/>
      </c>
      <c r="R1694" s="234">
        <f t="shared" ca="1" si="1378"/>
        <v>1.33</v>
      </c>
      <c r="S1694" s="233" t="s">
        <v>734</v>
      </c>
      <c r="T1694" s="242" t="str">
        <f>_xlfn.XLOOKUP(S1694,Insumos!$A$3:$A$371,Insumos!$B$3:$B$371)</f>
        <v>KG</v>
      </c>
      <c r="U1694" s="235">
        <f ca="1">IF($B1694="insumo",R1694,"")</f>
        <v>1.33</v>
      </c>
      <c r="V1694" s="320">
        <v>0.5</v>
      </c>
      <c r="W1694" s="236">
        <f>IFERROR(IF(B1694="INSUMO",_xlfn.XLOOKUP(S1694,Insumos!A:A,Insumos!C:C),""),"Inserir Preço")</f>
        <v>4.2</v>
      </c>
      <c r="X1694" s="235">
        <f t="shared" ca="1" si="1379"/>
        <v>0.66500000000000004</v>
      </c>
      <c r="Y1694" s="236">
        <f t="shared" si="1285"/>
        <v>2.1</v>
      </c>
      <c r="Z1694" s="237">
        <f t="shared" ca="1" si="1350"/>
        <v>2.7930000000000001</v>
      </c>
      <c r="AA1694" s="238"/>
      <c r="AB1694" s="233" t="str">
        <f>IF(B1694="insumo",_xlfn.XLOOKUP(S1694,Insumos!A:A,Insumos!D:D),"")</f>
        <v>Distribuidora Sika</v>
      </c>
      <c r="AC1694" s="239">
        <f t="shared" ca="1" si="1351"/>
        <v>4.0068131435223057E-7</v>
      </c>
      <c r="AE1694" s="240">
        <f ca="1">IFERROR(IF(OR(Z1694="",Z1694=0),"",IF(AF1694="","",IF(AF1694="R$/mês",Z1694/OBRA!$D$12,IF(AF1694="R$/m²",Z1694/OBRA!$D$10,IF(AF1694="R$/apto",Orçamento!Z1694/OBRA!$D$11,""))))),"")</f>
        <v>1.4372976950746952E-3</v>
      </c>
      <c r="AF1694" s="241" t="s">
        <v>154</v>
      </c>
    </row>
    <row r="1695" spans="1:32" s="10" customFormat="1" ht="13.15" hidden="1" customHeight="1" outlineLevel="4" x14ac:dyDescent="0.2">
      <c r="A1695" s="227"/>
      <c r="B1695" s="228" t="s">
        <v>19</v>
      </c>
      <c r="C1695" s="229">
        <f t="shared" si="1349"/>
        <v>11</v>
      </c>
      <c r="D1695" s="227" t="str">
        <f t="shared" si="1367"/>
        <v/>
      </c>
      <c r="E1695" s="228" t="str">
        <f t="shared" ca="1" si="1368"/>
        <v>15.004.004.001</v>
      </c>
      <c r="F1695" s="230">
        <f ca="1">IF($B1695="UNIDADE CONSTRUTIVA",OFFSET(F1695,-1,0)+1,LARGE(F$10:F1694,1))</f>
        <v>2</v>
      </c>
      <c r="G1695" s="228" t="str">
        <f t="shared" ca="1" si="1369"/>
        <v xml:space="preserve">   GERENCIAMENTO EXECUTIVO</v>
      </c>
      <c r="H1695" s="230">
        <f t="shared" ca="1" si="1370"/>
        <v>15</v>
      </c>
      <c r="I1695" s="228" t="str">
        <f t="shared" ca="1" si="1371"/>
        <v xml:space="preserve">   PISOS E PAVIMENTAÇÕES</v>
      </c>
      <c r="J1695" s="230">
        <f t="shared" ca="1" si="1372"/>
        <v>4</v>
      </c>
      <c r="K1695" s="228" t="str">
        <f t="shared" ca="1" si="1373"/>
        <v xml:space="preserve">   PISOS E PAVIMENTAÇÕES - 8º PAVIMENTO - COBERTURA</v>
      </c>
      <c r="L1695" s="231">
        <f t="shared" ca="1" si="1374"/>
        <v>4</v>
      </c>
      <c r="M1695" s="228" t="str">
        <f t="shared" ca="1" si="1375"/>
        <v xml:space="preserve">   Soleiras</v>
      </c>
      <c r="N1695" s="231">
        <f t="shared" ca="1" si="1376"/>
        <v>1</v>
      </c>
      <c r="O1695" s="228" t="str">
        <f t="shared" ca="1" si="1377"/>
        <v>Soleira em granito, acabamento polido, espessura 2cm</v>
      </c>
      <c r="P1695" s="232" t="str">
        <f>IF(S1695="","",IF(Orçamento!$B1695="INSUMO",S1695,""))</f>
        <v>GRANITO POLIDO</v>
      </c>
      <c r="Q1695" s="244" t="str">
        <f t="shared" si="1366"/>
        <v/>
      </c>
      <c r="R1695" s="234">
        <f t="shared" ca="1" si="1378"/>
        <v>1.33</v>
      </c>
      <c r="S1695" s="233" t="s">
        <v>286</v>
      </c>
      <c r="T1695" s="242" t="str">
        <f>_xlfn.XLOOKUP(S1695,Insumos!$A$3:$A$371,Insumos!$B$3:$B$371)</f>
        <v>M2</v>
      </c>
      <c r="U1695" s="235">
        <f ca="1">IF($B1695="insumo",R1695,"")</f>
        <v>1.33</v>
      </c>
      <c r="V1695" s="320">
        <v>1</v>
      </c>
      <c r="W1695" s="236">
        <f>IFERROR(IF(B1695="INSUMO",_xlfn.XLOOKUP(S1695,Insumos!A:A,Insumos!C:C),""),"Inserir Preço")</f>
        <v>638</v>
      </c>
      <c r="X1695" s="235">
        <f t="shared" ca="1" si="1379"/>
        <v>1.33</v>
      </c>
      <c r="Y1695" s="236">
        <f t="shared" si="1285"/>
        <v>638</v>
      </c>
      <c r="Z1695" s="237">
        <f t="shared" ca="1" si="1350"/>
        <v>848.54000000000008</v>
      </c>
      <c r="AA1695" s="238"/>
      <c r="AB1695" s="233" t="str">
        <f>IF(B1695="insumo",_xlfn.XLOOKUP(S1695,Insumos!A:A,Insumos!D:D),"")</f>
        <v xml:space="preserve"> </v>
      </c>
      <c r="AC1695" s="239">
        <f t="shared" ca="1" si="1351"/>
        <v>1.2173079931272529E-4</v>
      </c>
      <c r="AE1695" s="240">
        <f ca="1">IFERROR(IF(OR(Z1695="",Z1695=0),"",IF(AF1695="","",IF(AF1695="R$/mês",Z1695/OBRA!$D$12,IF(AF1695="R$/m²",Z1695/OBRA!$D$10,IF(AF1695="R$/apto",Orçamento!Z1695/OBRA!$D$11,""))))),"")</f>
        <v>0.43666472831316933</v>
      </c>
      <c r="AF1695" s="241" t="s">
        <v>154</v>
      </c>
    </row>
    <row r="1696" spans="1:32" s="10" customFormat="1" ht="13.15" hidden="1" customHeight="1" outlineLevel="3" collapsed="1" x14ac:dyDescent="0.2">
      <c r="A1696" s="227"/>
      <c r="B1696" s="228" t="s">
        <v>3</v>
      </c>
      <c r="C1696" s="229" t="str">
        <f t="shared" si="1349"/>
        <v/>
      </c>
      <c r="D1696" s="227" t="str">
        <f t="shared" ca="1" si="1367"/>
        <v>15.004.005</v>
      </c>
      <c r="E1696" s="228" t="str">
        <f t="shared" ca="1" si="1368"/>
        <v>15.004.004.001</v>
      </c>
      <c r="F1696" s="230">
        <f ca="1">IF($B1696="UNIDADE CONSTRUTIVA",OFFSET(F1696,-1,0)+1,LARGE(F$10:F1695,1))</f>
        <v>2</v>
      </c>
      <c r="G1696" s="228" t="str">
        <f t="shared" ca="1" si="1369"/>
        <v xml:space="preserve">   GERENCIAMENTO EXECUTIVO</v>
      </c>
      <c r="H1696" s="230">
        <f t="shared" ca="1" si="1370"/>
        <v>15</v>
      </c>
      <c r="I1696" s="228" t="str">
        <f t="shared" ca="1" si="1371"/>
        <v xml:space="preserve">   PISOS E PAVIMENTAÇÕES</v>
      </c>
      <c r="J1696" s="230">
        <f t="shared" ca="1" si="1372"/>
        <v>4</v>
      </c>
      <c r="K1696" s="228" t="str">
        <f t="shared" ca="1" si="1373"/>
        <v xml:space="preserve">   PISOS E PAVIMENTAÇÕES - 8º PAVIMENTO - COBERTURA</v>
      </c>
      <c r="L1696" s="231">
        <f t="shared" ca="1" si="1374"/>
        <v>5</v>
      </c>
      <c r="M1696" s="228" t="str">
        <f t="shared" ca="1" si="1375"/>
        <v xml:space="preserve">   Mão de Obra</v>
      </c>
      <c r="N1696" s="231">
        <f t="shared" ca="1" si="1376"/>
        <v>0</v>
      </c>
      <c r="O1696" s="228" t="str">
        <f t="shared" ca="1" si="1377"/>
        <v>Soleira em granito, acabamento polido, espessura 2cm</v>
      </c>
      <c r="P1696" s="232" t="str">
        <f>IF(S1696="","",IF(Orçamento!$B1696="INSUMO",S1696,""))</f>
        <v/>
      </c>
      <c r="Q1696" s="244" t="str">
        <f t="shared" si="1366"/>
        <v/>
      </c>
      <c r="R1696" s="234">
        <f t="shared" ca="1" si="1378"/>
        <v>1.33</v>
      </c>
      <c r="S1696" s="233" t="s">
        <v>438</v>
      </c>
      <c r="T1696" s="242" t="s">
        <v>35</v>
      </c>
      <c r="U1696" s="235" t="str">
        <f>IF($B1696="insumo",R1696,"")</f>
        <v/>
      </c>
      <c r="V1696" s="320" t="s">
        <v>35</v>
      </c>
      <c r="W1696" s="236" t="str">
        <f>IFERROR(IF(B1696="INSUMO",_xlfn.XLOOKUP(S1696,Insumos!A:A,Insumos!C:C),""),"Inserir Preço")</f>
        <v/>
      </c>
      <c r="X1696" s="235" t="str">
        <f t="shared" ca="1" si="1379"/>
        <v/>
      </c>
      <c r="Y1696" s="236" t="str">
        <f t="shared" si="1285"/>
        <v/>
      </c>
      <c r="Z1696" s="237">
        <f t="shared" ca="1" si="1350"/>
        <v>15154.937479574754</v>
      </c>
      <c r="AA1696" s="238"/>
      <c r="AB1696" s="233" t="str">
        <f>IF(B1696="insumo",_xlfn.XLOOKUP(S1696,Insumos!A:A,Insumos!D:D),"")</f>
        <v/>
      </c>
      <c r="AC1696" s="239">
        <f t="shared" ca="1" si="1351"/>
        <v>2.1741139521095211E-3</v>
      </c>
      <c r="AE1696" s="240">
        <f ca="1">IFERROR(IF(OR(Z1696="",Z1696=0),"",IF(AF1696="","",IF(AF1696="R$/mês",Z1696/OBRA!$D$12,IF(AF1696="R$/m²",Z1696/OBRA!$D$10,IF(AF1696="R$/apto",Orçamento!Z1696/OBRA!$D$11,""))))),"")</f>
        <v>7.79883877851554</v>
      </c>
      <c r="AF1696" s="241" t="s">
        <v>154</v>
      </c>
    </row>
    <row r="1697" spans="1:32" s="10" customFormat="1" ht="13.15" hidden="1" customHeight="1" outlineLevel="4" x14ac:dyDescent="0.2">
      <c r="A1697" s="227"/>
      <c r="B1697" s="228" t="s">
        <v>4</v>
      </c>
      <c r="C1697" s="229">
        <f t="shared" si="1349"/>
        <v>5</v>
      </c>
      <c r="D1697" s="227" t="str">
        <f t="shared" ref="D1697:D1704" ca="1" si="1380">IF(B1697="Unidade Construtiva",TEXT(F1697,"00"),IF(B1697="Célula Construtiva",TEXT(H1697,"00"),IF(B1697="Etapa",CONCATENATE(TEXT(H1697,"00"),".",TEXT(J1697,"000")),IF(B1697="Subetapa",CONCATENATE(TEXT(H1697,"00"),".",TEXT(J1697,"000"),".",TEXT(L1697,"000")),IF(B1697="Serviço",CONCATENATE(TEXT(H1697,"00"),".",TEXT(J1697,"000"),".",TEXT(L1697,"000"),".",TEXT(N1697,"000")),"")))))</f>
        <v>15.004.005.001</v>
      </c>
      <c r="E1697" s="228" t="str">
        <f t="shared" ref="E1697:E1704" ca="1" si="1381">IF(B1697="*","",IFERROR(IF(B1697="SERVIÇO",D1697,OFFSET(E1697,-1,0)),""))</f>
        <v>15.004.005.001</v>
      </c>
      <c r="F1697" s="230">
        <f ca="1">IF($B1697="UNIDADE CONSTRUTIVA",OFFSET(F1697,-1,0)+1,LARGE(F$10:F1696,1))</f>
        <v>2</v>
      </c>
      <c r="G1697" s="228" t="str">
        <f t="shared" ref="G1697:G1704" ca="1" si="1382">IF(B1697="*","",IF(B1697="UNIDADE CONSTRUTIVA",S1697,OFFSET(G1697,-1,0)))</f>
        <v xml:space="preserve">   GERENCIAMENTO EXECUTIVO</v>
      </c>
      <c r="H1697" s="230">
        <f t="shared" ref="H1697:H1704" ca="1" si="1383">IF(B1697="UNIDADE CONSTRUTIVA",0,IF(B1697="CÉLULA CONSTRUTIVA",OFFSET(H1697,-1,0)+1,OFFSET(H1697,-1,0)))</f>
        <v>15</v>
      </c>
      <c r="I1697" s="228" t="str">
        <f t="shared" ref="I1697:I1704" ca="1" si="1384">IF(B1697="*","",IF(B1697="CÉLULA CONSTRUTIVA",S1697,OFFSET(I1697,-1,0)))</f>
        <v xml:space="preserve">   PISOS E PAVIMENTAÇÕES</v>
      </c>
      <c r="J1697" s="230">
        <f t="shared" ref="J1697:J1704" ca="1" si="1385">IF(B1697="CÉLULA CONSTRUTIVA",0,IF(B1697="ETAPA",OFFSET(J1697,-1,0)+1,OFFSET(J1697,-1,0)))</f>
        <v>4</v>
      </c>
      <c r="K1697" s="228" t="str">
        <f t="shared" ref="K1697:K1704" ca="1" si="1386">IF(B1697="*","",IF(B1697="ETAPA",S1697,OFFSET(K1697,-1,0)))</f>
        <v xml:space="preserve">   PISOS E PAVIMENTAÇÕES - 8º PAVIMENTO - COBERTURA</v>
      </c>
      <c r="L1697" s="231">
        <f t="shared" ref="L1697:L1704" ca="1" si="1387">IF(B1697="ETAPA",0,IF(B1697="SUBETAPA",OFFSET(L1697,-1,0)+1,OFFSET(L1697,-1,0)))</f>
        <v>5</v>
      </c>
      <c r="M1697" s="228" t="str">
        <f t="shared" ref="M1697:M1704" ca="1" si="1388">IF(B1697="*","",IF(B1697="SUBETAPA",S1697,OFFSET(M1697,-1,0)))</f>
        <v xml:space="preserve">   Mão de Obra</v>
      </c>
      <c r="N1697" s="231">
        <f t="shared" ref="N1697:N1704" ca="1" si="1389">IF(B1697="Subetapa",0,IF(B1697="serviço",OFFSET(N1697,-1,0)+1,OFFSET(N1697,-1,0)))</f>
        <v>1</v>
      </c>
      <c r="O1697" s="228" t="str">
        <f t="shared" ref="O1697:O1704" ca="1" si="1390">IF(B1697="*","",IF(B1697="SERVIÇO",S1697,OFFSET(O1697,-1,0)))</f>
        <v>Mao de obra para execucao de contrapiso comum e acústico</v>
      </c>
      <c r="P1697" s="232" t="str">
        <f>IF(S1697="","",IF(Orçamento!$B1697="INSUMO",S1697,""))</f>
        <v/>
      </c>
      <c r="Q1697" s="244" t="str">
        <f t="shared" ref="Q1697:Q1704" si="1391">IF(B1697="","",IF(B1697="Serviço",S1697,""))</f>
        <v>Mao de obra para execucao de contrapiso comum e acústico</v>
      </c>
      <c r="R1697" s="234">
        <f t="shared" ref="R1697:R1704" ca="1" si="1392">IF(B1697="serviço",U1697,OFFSET(R1697,-1,0))</f>
        <v>88.16</v>
      </c>
      <c r="S1697" s="233" t="s">
        <v>484</v>
      </c>
      <c r="T1697" s="242" t="s">
        <v>140</v>
      </c>
      <c r="U1697" s="235">
        <f>U1643</f>
        <v>88.16</v>
      </c>
      <c r="V1697" s="320" t="s">
        <v>35</v>
      </c>
      <c r="W1697" s="236" t="str">
        <f>IFERROR(IF(B1697="INSUMO",_xlfn.XLOOKUP(S1697,Insumos!A:A,Insumos!C:C),""),"Inserir Preço")</f>
        <v/>
      </c>
      <c r="X1697" s="235">
        <f t="shared" ref="X1697:X1704" ca="1" si="1393">IF(B1697="Complemento do insumo",V1697,IF(R1697="","",IF(B1697="serviço",R1697,IF(OR(B1697="insumo"),V1697*R1697,""))))</f>
        <v>88.16</v>
      </c>
      <c r="Y1697" s="236">
        <f t="shared" ca="1" si="1285"/>
        <v>21.975617726721353</v>
      </c>
      <c r="Z1697" s="237">
        <f t="shared" ca="1" si="1350"/>
        <v>1937.3704587877544</v>
      </c>
      <c r="AA1697" s="238"/>
      <c r="AB1697" s="233" t="str">
        <f>IF(B1697="insumo",_xlfn.XLOOKUP(S1697,Insumos!A:A,Insumos!D:D),"")</f>
        <v/>
      </c>
      <c r="AC1697" s="239">
        <f t="shared" ca="1" si="1351"/>
        <v>2.779334557158114E-4</v>
      </c>
      <c r="AE1697" s="240">
        <f ca="1">IFERROR(IF(OR(Z1697="",Z1697=0),"",IF(AF1697="","",IF(AF1697="R$/mês",Z1697/OBRA!$D$12,IF(AF1697="R$/m²",Z1697/OBRA!$D$10,IF(AF1697="R$/apto",Orçamento!Z1697/OBRA!$D$11,""))))),"")</f>
        <v>0.99698463835354245</v>
      </c>
      <c r="AF1697" s="241" t="s">
        <v>154</v>
      </c>
    </row>
    <row r="1698" spans="1:32" s="10" customFormat="1" ht="13.15" hidden="1" customHeight="1" outlineLevel="4" x14ac:dyDescent="0.2">
      <c r="A1698" s="227"/>
      <c r="B1698" s="228" t="s">
        <v>19</v>
      </c>
      <c r="C1698" s="229">
        <f t="shared" si="1349"/>
        <v>5</v>
      </c>
      <c r="D1698" s="227" t="str">
        <f t="shared" si="1380"/>
        <v/>
      </c>
      <c r="E1698" s="228" t="str">
        <f t="shared" ca="1" si="1381"/>
        <v>15.004.005.001</v>
      </c>
      <c r="F1698" s="230">
        <f ca="1">IF($B1698="UNIDADE CONSTRUTIVA",OFFSET(F1698,-1,0)+1,LARGE(F$10:F1697,1))</f>
        <v>2</v>
      </c>
      <c r="G1698" s="228" t="str">
        <f t="shared" ca="1" si="1382"/>
        <v xml:space="preserve">   GERENCIAMENTO EXECUTIVO</v>
      </c>
      <c r="H1698" s="230">
        <f t="shared" ca="1" si="1383"/>
        <v>15</v>
      </c>
      <c r="I1698" s="228" t="str">
        <f t="shared" ca="1" si="1384"/>
        <v xml:space="preserve">   PISOS E PAVIMENTAÇÕES</v>
      </c>
      <c r="J1698" s="230">
        <f t="shared" ca="1" si="1385"/>
        <v>4</v>
      </c>
      <c r="K1698" s="228" t="str">
        <f t="shared" ca="1" si="1386"/>
        <v xml:space="preserve">   PISOS E PAVIMENTAÇÕES - 8º PAVIMENTO - COBERTURA</v>
      </c>
      <c r="L1698" s="231">
        <f t="shared" ca="1" si="1387"/>
        <v>5</v>
      </c>
      <c r="M1698" s="228" t="str">
        <f t="shared" ca="1" si="1388"/>
        <v xml:space="preserve">   Mão de Obra</v>
      </c>
      <c r="N1698" s="231">
        <f t="shared" ca="1" si="1389"/>
        <v>1</v>
      </c>
      <c r="O1698" s="228" t="str">
        <f t="shared" ca="1" si="1390"/>
        <v>Mao de obra para execucao de contrapiso comum e acústico</v>
      </c>
      <c r="P1698" s="232" t="str">
        <f>IF(S1698="","",IF(Orçamento!$B1698="INSUMO",S1698,""))</f>
        <v>MAO DE OBRA EXECUCAO CONTRAPISO COMUM</v>
      </c>
      <c r="Q1698" s="244" t="str">
        <f t="shared" si="1391"/>
        <v/>
      </c>
      <c r="R1698" s="234">
        <f t="shared" ca="1" si="1392"/>
        <v>88.16</v>
      </c>
      <c r="S1698" s="233" t="s">
        <v>272</v>
      </c>
      <c r="T1698" s="242" t="str">
        <f>_xlfn.XLOOKUP(S1698,Insumos!$A$3:$A$371,Insumos!$B$3:$B$371)</f>
        <v>M2</v>
      </c>
      <c r="U1698" s="235">
        <f ca="1">IF($B1698="insumo",R1698,"")</f>
        <v>88.16</v>
      </c>
      <c r="V1698" s="320">
        <v>1</v>
      </c>
      <c r="W1698" s="236">
        <f>IFERROR(IF(B1698="INSUMO",_xlfn.XLOOKUP(S1698,Insumos!A:A,Insumos!C:C),""),"Inserir Preço")</f>
        <v>21.975617726721353</v>
      </c>
      <c r="X1698" s="235">
        <f t="shared" ca="1" si="1393"/>
        <v>88.16</v>
      </c>
      <c r="Y1698" s="236">
        <f t="shared" si="1285"/>
        <v>21.975617726721353</v>
      </c>
      <c r="Z1698" s="237">
        <f t="shared" ca="1" si="1350"/>
        <v>1937.3704587877544</v>
      </c>
      <c r="AA1698" s="238"/>
      <c r="AB1698" s="233" t="str">
        <f>IF(B1698="insumo",_xlfn.XLOOKUP(S1698,Insumos!A:A,Insumos!D:D),"")</f>
        <v>Aba Custo Serviços</v>
      </c>
      <c r="AC1698" s="239">
        <f t="shared" ca="1" si="1351"/>
        <v>2.779334557158114E-4</v>
      </c>
      <c r="AE1698" s="240">
        <f ca="1">IFERROR(IF(OR(Z1698="",Z1698=0),"",IF(AF1698="","",IF(AF1698="R$/mês",Z1698/OBRA!$D$12,IF(AF1698="R$/m²",Z1698/OBRA!$D$10,IF(AF1698="R$/apto",Orçamento!Z1698/OBRA!$D$11,""))))),"")</f>
        <v>0.99698463835354245</v>
      </c>
      <c r="AF1698" s="241" t="s">
        <v>154</v>
      </c>
    </row>
    <row r="1699" spans="1:32" s="10" customFormat="1" ht="13.15" hidden="1" customHeight="1" outlineLevel="4" x14ac:dyDescent="0.2">
      <c r="A1699" s="227"/>
      <c r="B1699" s="228" t="s">
        <v>4</v>
      </c>
      <c r="C1699" s="229">
        <f t="shared" si="1349"/>
        <v>4</v>
      </c>
      <c r="D1699" s="227" t="str">
        <f t="shared" ca="1" si="1380"/>
        <v>15.004.005.002</v>
      </c>
      <c r="E1699" s="228" t="str">
        <f t="shared" ca="1" si="1381"/>
        <v>15.004.005.002</v>
      </c>
      <c r="F1699" s="230">
        <f ca="1">IF($B1699="UNIDADE CONSTRUTIVA",OFFSET(F1699,-1,0)+1,LARGE(F$10:F1698,1))</f>
        <v>2</v>
      </c>
      <c r="G1699" s="228" t="str">
        <f t="shared" ca="1" si="1382"/>
        <v xml:space="preserve">   GERENCIAMENTO EXECUTIVO</v>
      </c>
      <c r="H1699" s="230">
        <f t="shared" ca="1" si="1383"/>
        <v>15</v>
      </c>
      <c r="I1699" s="228" t="str">
        <f t="shared" ca="1" si="1384"/>
        <v xml:space="preserve">   PISOS E PAVIMENTAÇÕES</v>
      </c>
      <c r="J1699" s="230">
        <f t="shared" ca="1" si="1385"/>
        <v>4</v>
      </c>
      <c r="K1699" s="228" t="str">
        <f t="shared" ca="1" si="1386"/>
        <v xml:space="preserve">   PISOS E PAVIMENTAÇÕES - 8º PAVIMENTO - COBERTURA</v>
      </c>
      <c r="L1699" s="231">
        <f t="shared" ca="1" si="1387"/>
        <v>5</v>
      </c>
      <c r="M1699" s="228" t="str">
        <f t="shared" ca="1" si="1388"/>
        <v xml:space="preserve">   Mão de Obra</v>
      </c>
      <c r="N1699" s="231">
        <f t="shared" ca="1" si="1389"/>
        <v>2</v>
      </c>
      <c r="O1699" s="228" t="str">
        <f t="shared" ca="1" si="1390"/>
        <v>Mao de obra para colocacao e rejuntamento de piso Cerâmico</v>
      </c>
      <c r="P1699" s="232" t="str">
        <f>IF(S1699="","",IF(Orçamento!$B1699="INSUMO",S1699,""))</f>
        <v/>
      </c>
      <c r="Q1699" s="244" t="str">
        <f t="shared" si="1391"/>
        <v>Mao de obra para colocacao e rejuntamento de piso Cerâmico</v>
      </c>
      <c r="R1699" s="234">
        <f t="shared" ca="1" si="1392"/>
        <v>26.01</v>
      </c>
      <c r="S1699" s="233" t="s">
        <v>780</v>
      </c>
      <c r="T1699" s="242" t="s">
        <v>140</v>
      </c>
      <c r="U1699" s="235">
        <f>U1647</f>
        <v>26.01</v>
      </c>
      <c r="V1699" s="320" t="s">
        <v>35</v>
      </c>
      <c r="W1699" s="236" t="str">
        <f>IFERROR(IF(B1699="INSUMO",_xlfn.XLOOKUP(S1699,Insumos!A:A,Insumos!C:C),""),"Inserir Preço")</f>
        <v/>
      </c>
      <c r="X1699" s="235">
        <f t="shared" ca="1" si="1393"/>
        <v>26.01</v>
      </c>
      <c r="Y1699" s="236">
        <f t="shared" ca="1" si="1285"/>
        <v>73.511069535391329</v>
      </c>
      <c r="Z1699" s="237">
        <f t="shared" ca="1" si="1350"/>
        <v>1912.0229186155286</v>
      </c>
      <c r="AA1699" s="238"/>
      <c r="AB1699" s="233" t="str">
        <f>IF(B1699="insumo",_xlfn.XLOOKUP(S1699,Insumos!A:A,Insumos!D:D),"")</f>
        <v/>
      </c>
      <c r="AC1699" s="239">
        <f t="shared" ca="1" si="1351"/>
        <v>2.7429711997939773E-4</v>
      </c>
      <c r="AE1699" s="240">
        <f ca="1">IFERROR(IF(OR(Z1699="",Z1699=0),"",IF(AF1699="","",IF(AF1699="R$/mês",Z1699/OBRA!$D$12,IF(AF1699="R$/m²",Z1699/OBRA!$D$10,IF(AF1699="R$/apto",Orçamento!Z1699/OBRA!$D$11,""))))),"")</f>
        <v>0.98394061362552487</v>
      </c>
      <c r="AF1699" s="241" t="s">
        <v>154</v>
      </c>
    </row>
    <row r="1700" spans="1:32" s="10" customFormat="1" ht="13.15" hidden="1" customHeight="1" outlineLevel="4" x14ac:dyDescent="0.2">
      <c r="A1700" s="227"/>
      <c r="B1700" s="228" t="s">
        <v>19</v>
      </c>
      <c r="C1700" s="229">
        <f t="shared" si="1349"/>
        <v>4</v>
      </c>
      <c r="D1700" s="227" t="str">
        <f t="shared" si="1380"/>
        <v/>
      </c>
      <c r="E1700" s="228" t="str">
        <f t="shared" ca="1" si="1381"/>
        <v>15.004.005.002</v>
      </c>
      <c r="F1700" s="230">
        <f ca="1">IF($B1700="UNIDADE CONSTRUTIVA",OFFSET(F1700,-1,0)+1,LARGE(F$10:F1699,1))</f>
        <v>2</v>
      </c>
      <c r="G1700" s="228" t="str">
        <f t="shared" ca="1" si="1382"/>
        <v xml:space="preserve">   GERENCIAMENTO EXECUTIVO</v>
      </c>
      <c r="H1700" s="230">
        <f t="shared" ca="1" si="1383"/>
        <v>15</v>
      </c>
      <c r="I1700" s="228" t="str">
        <f t="shared" ca="1" si="1384"/>
        <v xml:space="preserve">   PISOS E PAVIMENTAÇÕES</v>
      </c>
      <c r="J1700" s="230">
        <f t="shared" ca="1" si="1385"/>
        <v>4</v>
      </c>
      <c r="K1700" s="228" t="str">
        <f t="shared" ca="1" si="1386"/>
        <v xml:space="preserve">   PISOS E PAVIMENTAÇÕES - 8º PAVIMENTO - COBERTURA</v>
      </c>
      <c r="L1700" s="231">
        <f t="shared" ca="1" si="1387"/>
        <v>5</v>
      </c>
      <c r="M1700" s="228" t="str">
        <f t="shared" ca="1" si="1388"/>
        <v xml:space="preserve">   Mão de Obra</v>
      </c>
      <c r="N1700" s="231">
        <f t="shared" ca="1" si="1389"/>
        <v>2</v>
      </c>
      <c r="O1700" s="228" t="str">
        <f t="shared" ca="1" si="1390"/>
        <v>Mao de obra para colocacao e rejuntamento de piso Cerâmico</v>
      </c>
      <c r="P1700" s="232" t="str">
        <f>IF(S1700="","",IF(Orçamento!$B1700="INSUMO",S1700,""))</f>
        <v>MAO DE OBRA PARA COLOCACAO E REJUNTAMENTO DE PISO CERAMICO</v>
      </c>
      <c r="Q1700" s="244" t="str">
        <f t="shared" si="1391"/>
        <v/>
      </c>
      <c r="R1700" s="234">
        <f t="shared" ca="1" si="1392"/>
        <v>26.01</v>
      </c>
      <c r="S1700" s="233" t="s">
        <v>395</v>
      </c>
      <c r="T1700" s="242" t="str">
        <f>_xlfn.XLOOKUP(S1700,Insumos!$A$3:$A$371,Insumos!$B$3:$B$371)</f>
        <v>M2</v>
      </c>
      <c r="U1700" s="235">
        <f ca="1">IF($B1700="insumo",R1700,"")</f>
        <v>26.01</v>
      </c>
      <c r="V1700" s="320">
        <v>1</v>
      </c>
      <c r="W1700" s="236">
        <f>IFERROR(IF(B1700="INSUMO",_xlfn.XLOOKUP(S1700,Insumos!A:A,Insumos!C:C),""),"Inserir Preço")</f>
        <v>73.511069535391329</v>
      </c>
      <c r="X1700" s="235">
        <f t="shared" ca="1" si="1393"/>
        <v>26.01</v>
      </c>
      <c r="Y1700" s="236">
        <f t="shared" si="1285"/>
        <v>73.511069535391329</v>
      </c>
      <c r="Z1700" s="237">
        <f t="shared" ca="1" si="1350"/>
        <v>1912.0229186155286</v>
      </c>
      <c r="AA1700" s="238"/>
      <c r="AB1700" s="233" t="str">
        <f>IF(B1700="insumo",_xlfn.XLOOKUP(S1700,Insumos!A:A,Insumos!D:D),"")</f>
        <v>Aba Custo Serviços</v>
      </c>
      <c r="AC1700" s="239">
        <f t="shared" ca="1" si="1351"/>
        <v>2.7429711997939773E-4</v>
      </c>
      <c r="AE1700" s="240">
        <f ca="1">IFERROR(IF(OR(Z1700="",Z1700=0),"",IF(AF1700="","",IF(AF1700="R$/mês",Z1700/OBRA!$D$12,IF(AF1700="R$/m²",Z1700/OBRA!$D$10,IF(AF1700="R$/apto",Orçamento!Z1700/OBRA!$D$11,""))))),"")</f>
        <v>0.98394061362552487</v>
      </c>
      <c r="AF1700" s="241" t="s">
        <v>154</v>
      </c>
    </row>
    <row r="1701" spans="1:32" s="10" customFormat="1" ht="13.15" hidden="1" customHeight="1" outlineLevel="4" x14ac:dyDescent="0.2">
      <c r="A1701" s="227"/>
      <c r="B1701" s="228" t="s">
        <v>4</v>
      </c>
      <c r="C1701" s="229">
        <f t="shared" si="1349"/>
        <v>4</v>
      </c>
      <c r="D1701" s="227" t="str">
        <f t="shared" ca="1" si="1380"/>
        <v>15.004.005.003</v>
      </c>
      <c r="E1701" s="228" t="str">
        <f t="shared" ca="1" si="1381"/>
        <v>15.004.005.003</v>
      </c>
      <c r="F1701" s="230">
        <f ca="1">IF($B1701="UNIDADE CONSTRUTIVA",OFFSET(F1701,-1,0)+1,LARGE(F$10:F1700,1))</f>
        <v>2</v>
      </c>
      <c r="G1701" s="228" t="str">
        <f t="shared" ca="1" si="1382"/>
        <v xml:space="preserve">   GERENCIAMENTO EXECUTIVO</v>
      </c>
      <c r="H1701" s="230">
        <f t="shared" ca="1" si="1383"/>
        <v>15</v>
      </c>
      <c r="I1701" s="228" t="str">
        <f t="shared" ca="1" si="1384"/>
        <v xml:space="preserve">   PISOS E PAVIMENTAÇÕES</v>
      </c>
      <c r="J1701" s="230">
        <f t="shared" ca="1" si="1385"/>
        <v>4</v>
      </c>
      <c r="K1701" s="228" t="str">
        <f t="shared" ca="1" si="1386"/>
        <v xml:space="preserve">   PISOS E PAVIMENTAÇÕES - 8º PAVIMENTO - COBERTURA</v>
      </c>
      <c r="L1701" s="231">
        <f t="shared" ca="1" si="1387"/>
        <v>5</v>
      </c>
      <c r="M1701" s="228" t="str">
        <f t="shared" ca="1" si="1388"/>
        <v xml:space="preserve">   Mão de Obra</v>
      </c>
      <c r="N1701" s="231">
        <f t="shared" ca="1" si="1389"/>
        <v>3</v>
      </c>
      <c r="O1701" s="228" t="str">
        <f t="shared" ca="1" si="1390"/>
        <v>Mao de obra para colocacao e rejuntamento de piso porcelanato</v>
      </c>
      <c r="P1701" s="232" t="str">
        <f>IF(S1701="","",IF(Orçamento!$B1701="INSUMO",S1701,""))</f>
        <v/>
      </c>
      <c r="Q1701" s="244" t="str">
        <f t="shared" si="1391"/>
        <v>Mao de obra para colocacao e rejuntamento de piso porcelanato</v>
      </c>
      <c r="R1701" s="234">
        <f t="shared" ca="1" si="1392"/>
        <v>122.25999999999999</v>
      </c>
      <c r="S1701" s="233" t="s">
        <v>781</v>
      </c>
      <c r="T1701" s="242" t="s">
        <v>140</v>
      </c>
      <c r="U1701" s="235">
        <f>U1658+U1664</f>
        <v>122.25999999999999</v>
      </c>
      <c r="V1701" s="320" t="s">
        <v>35</v>
      </c>
      <c r="W1701" s="236" t="str">
        <f>IFERROR(IF(B1701="INSUMO",_xlfn.XLOOKUP(S1701,Insumos!A:A,Insumos!C:C),""),"Inserir Preço")</f>
        <v/>
      </c>
      <c r="X1701" s="235">
        <f t="shared" ca="1" si="1393"/>
        <v>122.25999999999999</v>
      </c>
      <c r="Y1701" s="236">
        <f t="shared" ca="1" si="1285"/>
        <v>73.511069535391329</v>
      </c>
      <c r="Z1701" s="237">
        <f t="shared" ca="1" si="1350"/>
        <v>8987.4633613969436</v>
      </c>
      <c r="AA1701" s="238"/>
      <c r="AB1701" s="233" t="str">
        <f>IF(B1701="insumo",_xlfn.XLOOKUP(S1701,Insumos!A:A,Insumos!D:D),"")</f>
        <v/>
      </c>
      <c r="AC1701" s="239">
        <f t="shared" ca="1" si="1351"/>
        <v>1.2893335597339932E-3</v>
      </c>
      <c r="AE1701" s="240">
        <f ca="1">IFERROR(IF(OR(Z1701="",Z1701=0),"",IF(AF1701="","",IF(AF1701="R$/mês",Z1701/OBRA!$D$12,IF(AF1701="R$/m²",Z1701/OBRA!$D$10,IF(AF1701="R$/apto",Orçamento!Z1701/OBRA!$D$11,""))))),"")</f>
        <v>4.6250126652001784</v>
      </c>
      <c r="AF1701" s="241" t="s">
        <v>154</v>
      </c>
    </row>
    <row r="1702" spans="1:32" s="10" customFormat="1" ht="13.15" hidden="1" customHeight="1" outlineLevel="4" x14ac:dyDescent="0.2">
      <c r="A1702" s="227"/>
      <c r="B1702" s="228" t="s">
        <v>19</v>
      </c>
      <c r="C1702" s="229">
        <f t="shared" si="1349"/>
        <v>4</v>
      </c>
      <c r="D1702" s="227" t="str">
        <f t="shared" si="1380"/>
        <v/>
      </c>
      <c r="E1702" s="228" t="str">
        <f t="shared" ca="1" si="1381"/>
        <v>15.004.005.003</v>
      </c>
      <c r="F1702" s="230">
        <f ca="1">IF($B1702="UNIDADE CONSTRUTIVA",OFFSET(F1702,-1,0)+1,LARGE(F$10:F1701,1))</f>
        <v>2</v>
      </c>
      <c r="G1702" s="228" t="str">
        <f t="shared" ca="1" si="1382"/>
        <v xml:space="preserve">   GERENCIAMENTO EXECUTIVO</v>
      </c>
      <c r="H1702" s="230">
        <f t="shared" ca="1" si="1383"/>
        <v>15</v>
      </c>
      <c r="I1702" s="228" t="str">
        <f t="shared" ca="1" si="1384"/>
        <v xml:space="preserve">   PISOS E PAVIMENTAÇÕES</v>
      </c>
      <c r="J1702" s="230">
        <f t="shared" ca="1" si="1385"/>
        <v>4</v>
      </c>
      <c r="K1702" s="228" t="str">
        <f t="shared" ca="1" si="1386"/>
        <v xml:space="preserve">   PISOS E PAVIMENTAÇÕES - 8º PAVIMENTO - COBERTURA</v>
      </c>
      <c r="L1702" s="231">
        <f t="shared" ca="1" si="1387"/>
        <v>5</v>
      </c>
      <c r="M1702" s="228" t="str">
        <f t="shared" ca="1" si="1388"/>
        <v xml:space="preserve">   Mão de Obra</v>
      </c>
      <c r="N1702" s="231">
        <f t="shared" ca="1" si="1389"/>
        <v>3</v>
      </c>
      <c r="O1702" s="228" t="str">
        <f t="shared" ca="1" si="1390"/>
        <v>Mao de obra para colocacao e rejuntamento de piso porcelanato</v>
      </c>
      <c r="P1702" s="232" t="str">
        <f>IF(S1702="","",IF(Orçamento!$B1702="INSUMO",S1702,""))</f>
        <v>MAO DE OBRA PARA COLOCACAO E REJUNTAMENTO DE PORCELANATO</v>
      </c>
      <c r="Q1702" s="244" t="str">
        <f t="shared" si="1391"/>
        <v/>
      </c>
      <c r="R1702" s="234">
        <f t="shared" ca="1" si="1392"/>
        <v>122.25999999999999</v>
      </c>
      <c r="S1702" s="233" t="s">
        <v>274</v>
      </c>
      <c r="T1702" s="242" t="str">
        <f>_xlfn.XLOOKUP(S1702,Insumos!$A$3:$A$371,Insumos!$B$3:$B$371)</f>
        <v>M2</v>
      </c>
      <c r="U1702" s="235">
        <f ca="1">IF($B1702="insumo",R1702,"")</f>
        <v>122.25999999999999</v>
      </c>
      <c r="V1702" s="320">
        <v>1</v>
      </c>
      <c r="W1702" s="236">
        <f>IFERROR(IF(B1702="INSUMO",_xlfn.XLOOKUP(S1702,Insumos!A:A,Insumos!C:C),""),"Inserir Preço")</f>
        <v>73.511069535391329</v>
      </c>
      <c r="X1702" s="235">
        <f t="shared" ca="1" si="1393"/>
        <v>122.25999999999999</v>
      </c>
      <c r="Y1702" s="236">
        <f t="shared" si="1285"/>
        <v>73.511069535391329</v>
      </c>
      <c r="Z1702" s="237">
        <f t="shared" ca="1" si="1350"/>
        <v>8987.4633613969436</v>
      </c>
      <c r="AA1702" s="238"/>
      <c r="AB1702" s="233" t="str">
        <f>IF(B1702="insumo",_xlfn.XLOOKUP(S1702,Insumos!A:A,Insumos!D:D),"")</f>
        <v>Aba Custo Serviços</v>
      </c>
      <c r="AC1702" s="239">
        <f t="shared" ca="1" si="1351"/>
        <v>1.2893335597339932E-3</v>
      </c>
      <c r="AE1702" s="240">
        <f ca="1">IFERROR(IF(OR(Z1702="",Z1702=0),"",IF(AF1702="","",IF(AF1702="R$/mês",Z1702/OBRA!$D$12,IF(AF1702="R$/m²",Z1702/OBRA!$D$10,IF(AF1702="R$/apto",Orçamento!Z1702/OBRA!$D$11,""))))),"")</f>
        <v>4.6250126652001784</v>
      </c>
      <c r="AF1702" s="241" t="s">
        <v>154</v>
      </c>
    </row>
    <row r="1703" spans="1:32" s="10" customFormat="1" ht="13.15" hidden="1" customHeight="1" outlineLevel="4" x14ac:dyDescent="0.2">
      <c r="A1703" s="227"/>
      <c r="B1703" s="228" t="s">
        <v>4</v>
      </c>
      <c r="C1703" s="229">
        <f t="shared" si="1349"/>
        <v>4</v>
      </c>
      <c r="D1703" s="227" t="str">
        <f t="shared" ca="1" si="1380"/>
        <v>15.004.005.004</v>
      </c>
      <c r="E1703" s="228" t="str">
        <f t="shared" ca="1" si="1381"/>
        <v>15.004.005.004</v>
      </c>
      <c r="F1703" s="230">
        <f ca="1">IF($B1703="UNIDADE CONSTRUTIVA",OFFSET(F1703,-1,0)+1,LARGE(F$10:F1702,1))</f>
        <v>2</v>
      </c>
      <c r="G1703" s="228" t="str">
        <f t="shared" ca="1" si="1382"/>
        <v xml:space="preserve">   GERENCIAMENTO EXECUTIVO</v>
      </c>
      <c r="H1703" s="230">
        <f t="shared" ca="1" si="1383"/>
        <v>15</v>
      </c>
      <c r="I1703" s="228" t="str">
        <f t="shared" ca="1" si="1384"/>
        <v xml:space="preserve">   PISOS E PAVIMENTAÇÕES</v>
      </c>
      <c r="J1703" s="230">
        <f t="shared" ca="1" si="1385"/>
        <v>4</v>
      </c>
      <c r="K1703" s="228" t="str">
        <f t="shared" ca="1" si="1386"/>
        <v xml:space="preserve">   PISOS E PAVIMENTAÇÕES - 8º PAVIMENTO - COBERTURA</v>
      </c>
      <c r="L1703" s="231">
        <f t="shared" ca="1" si="1387"/>
        <v>5</v>
      </c>
      <c r="M1703" s="228" t="str">
        <f t="shared" ca="1" si="1388"/>
        <v xml:space="preserve">   Mão de Obra</v>
      </c>
      <c r="N1703" s="231">
        <f t="shared" ca="1" si="1389"/>
        <v>4</v>
      </c>
      <c r="O1703" s="228" t="str">
        <f t="shared" ca="1" si="1390"/>
        <v>Mao de obra para colocacao de rodape cerâmico e porcelanato</v>
      </c>
      <c r="P1703" s="232" t="str">
        <f>IF(S1703="","",IF(Orçamento!$B1703="INSUMO",S1703,""))</f>
        <v/>
      </c>
      <c r="Q1703" s="244" t="str">
        <f t="shared" si="1391"/>
        <v>Mao de obra para colocacao de rodape cerâmico e porcelanato</v>
      </c>
      <c r="R1703" s="234">
        <f t="shared" ca="1" si="1392"/>
        <v>67.888499999999993</v>
      </c>
      <c r="S1703" s="233" t="s">
        <v>1111</v>
      </c>
      <c r="T1703" s="242" t="s">
        <v>158</v>
      </c>
      <c r="U1703" s="235">
        <f>U1681+U1675+U1670</f>
        <v>67.888499999999993</v>
      </c>
      <c r="V1703" s="320" t="s">
        <v>35</v>
      </c>
      <c r="W1703" s="236" t="str">
        <f>IFERROR(IF(B1703="INSUMO",_xlfn.XLOOKUP(S1703,Insumos!A:A,Insumos!C:C),""),"Inserir Preço")</f>
        <v/>
      </c>
      <c r="X1703" s="235">
        <f t="shared" ca="1" si="1393"/>
        <v>67.888499999999993</v>
      </c>
      <c r="Y1703" s="236">
        <f t="shared" ca="1" si="1285"/>
        <v>20.778316515676838</v>
      </c>
      <c r="Z1703" s="237">
        <f t="shared" ca="1" si="1350"/>
        <v>1410.608740774527</v>
      </c>
      <c r="AA1703" s="238"/>
      <c r="AB1703" s="233" t="str">
        <f>IF(B1703="insumo",_xlfn.XLOOKUP(S1703,Insumos!A:A,Insumos!D:D),"")</f>
        <v/>
      </c>
      <c r="AC1703" s="239">
        <f t="shared" ca="1" si="1351"/>
        <v>2.0236468467249634E-4</v>
      </c>
      <c r="AE1703" s="240">
        <f ca="1">IFERROR(IF(OR(Z1703="",Z1703=0),"",IF(AF1703="","",IF(AF1703="R$/mês",Z1703/OBRA!$D$12,IF(AF1703="R$/m²",Z1703/OBRA!$D$10,IF(AF1703="R$/apto",Orçamento!Z1703/OBRA!$D$11,""))))),"")</f>
        <v>0.7259093060391858</v>
      </c>
      <c r="AF1703" s="241" t="s">
        <v>154</v>
      </c>
    </row>
    <row r="1704" spans="1:32" s="10" customFormat="1" ht="13.15" hidden="1" customHeight="1" outlineLevel="4" x14ac:dyDescent="0.2">
      <c r="A1704" s="227"/>
      <c r="B1704" s="228" t="s">
        <v>19</v>
      </c>
      <c r="C1704" s="229">
        <f t="shared" si="1349"/>
        <v>4</v>
      </c>
      <c r="D1704" s="227" t="str">
        <f t="shared" si="1380"/>
        <v/>
      </c>
      <c r="E1704" s="228" t="str">
        <f t="shared" ca="1" si="1381"/>
        <v>15.004.005.004</v>
      </c>
      <c r="F1704" s="230">
        <f ca="1">IF($B1704="UNIDADE CONSTRUTIVA",OFFSET(F1704,-1,0)+1,LARGE(F$10:F1703,1))</f>
        <v>2</v>
      </c>
      <c r="G1704" s="228" t="str">
        <f t="shared" ca="1" si="1382"/>
        <v xml:space="preserve">   GERENCIAMENTO EXECUTIVO</v>
      </c>
      <c r="H1704" s="230">
        <f t="shared" ca="1" si="1383"/>
        <v>15</v>
      </c>
      <c r="I1704" s="228" t="str">
        <f t="shared" ca="1" si="1384"/>
        <v xml:space="preserve">   PISOS E PAVIMENTAÇÕES</v>
      </c>
      <c r="J1704" s="230">
        <f t="shared" ca="1" si="1385"/>
        <v>4</v>
      </c>
      <c r="K1704" s="228" t="str">
        <f t="shared" ca="1" si="1386"/>
        <v xml:space="preserve">   PISOS E PAVIMENTAÇÕES - 8º PAVIMENTO - COBERTURA</v>
      </c>
      <c r="L1704" s="231">
        <f t="shared" ca="1" si="1387"/>
        <v>5</v>
      </c>
      <c r="M1704" s="228" t="str">
        <f t="shared" ca="1" si="1388"/>
        <v xml:space="preserve">   Mão de Obra</v>
      </c>
      <c r="N1704" s="231">
        <f t="shared" ca="1" si="1389"/>
        <v>4</v>
      </c>
      <c r="O1704" s="228" t="str">
        <f t="shared" ca="1" si="1390"/>
        <v>Mao de obra para colocacao de rodape cerâmico e porcelanato</v>
      </c>
      <c r="P1704" s="232" t="str">
        <f>IF(S1704="","",IF(Orçamento!$B1704="INSUMO",S1704,""))</f>
        <v>MAO DE OBRA PARA COLOCACAO DE RODAPE CERAMICO E PORCELANATO</v>
      </c>
      <c r="Q1704" s="244" t="str">
        <f t="shared" si="1391"/>
        <v/>
      </c>
      <c r="R1704" s="234">
        <f t="shared" ca="1" si="1392"/>
        <v>67.888499999999993</v>
      </c>
      <c r="S1704" s="233" t="s">
        <v>1113</v>
      </c>
      <c r="T1704" s="242" t="s">
        <v>1112</v>
      </c>
      <c r="U1704" s="235">
        <f ca="1">IF($B1704="insumo",R1704,"")</f>
        <v>67.888499999999993</v>
      </c>
      <c r="V1704" s="320">
        <v>1</v>
      </c>
      <c r="W1704" s="236">
        <f>IFERROR(IF(B1704="INSUMO",_xlfn.XLOOKUP(S1704,Insumos!A:A,Insumos!C:C),""),"Inserir Preço")</f>
        <v>20.778316515676838</v>
      </c>
      <c r="X1704" s="235">
        <f t="shared" ca="1" si="1393"/>
        <v>67.888499999999993</v>
      </c>
      <c r="Y1704" s="236">
        <f t="shared" ref="Y1704:Y1767" si="1394">IF(B1704="insumo",W1704*V1704,IF(B1704="serviço",SUMIFS(Y:Y,B:B,"insumo",E:E,E1704,I:I,I1704),""))</f>
        <v>20.778316515676838</v>
      </c>
      <c r="Z1704" s="237">
        <f t="shared" ca="1" si="1350"/>
        <v>1410.608740774527</v>
      </c>
      <c r="AA1704" s="238"/>
      <c r="AB1704" s="233" t="str">
        <f>IF(B1704="insumo",_xlfn.XLOOKUP(S1704,Insumos!A:A,Insumos!D:D),"")</f>
        <v>Aba Custo Serviços</v>
      </c>
      <c r="AC1704" s="239">
        <f t="shared" ca="1" si="1351"/>
        <v>2.0236468467249634E-4</v>
      </c>
      <c r="AE1704" s="240">
        <f ca="1">IFERROR(IF(OR(Z1704="",Z1704=0),"",IF(AF1704="","",IF(AF1704="R$/mês",Z1704/OBRA!$D$12,IF(AF1704="R$/m²",Z1704/OBRA!$D$10,IF(AF1704="R$/apto",Orçamento!Z1704/OBRA!$D$11,""))))),"")</f>
        <v>0.7259093060391858</v>
      </c>
      <c r="AF1704" s="241" t="s">
        <v>154</v>
      </c>
    </row>
    <row r="1705" spans="1:32" s="10" customFormat="1" ht="13.15" hidden="1" customHeight="1" outlineLevel="4" x14ac:dyDescent="0.2">
      <c r="A1705" s="227"/>
      <c r="B1705" s="228" t="s">
        <v>4</v>
      </c>
      <c r="C1705" s="229">
        <f t="shared" si="1349"/>
        <v>3</v>
      </c>
      <c r="D1705" s="227" t="str">
        <f ca="1">IF(B1705="Unidade Construtiva",TEXT(F1705,"00"),IF(B1705="Célula Construtiva",TEXT(H1705,"00"),IF(B1705="Etapa",CONCATENATE(TEXT(H1705,"00"),".",TEXT(J1705,"000")),IF(B1705="Subetapa",CONCATENATE(TEXT(H1705,"00"),".",TEXT(J1705,"000"),".",TEXT(L1705,"000")),IF(B1705="Serviço",CONCATENATE(TEXT(H1705,"00"),".",TEXT(J1705,"000"),".",TEXT(L1705,"000"),".",TEXT(N1705,"000")),"")))))</f>
        <v>15.004.005.005</v>
      </c>
      <c r="E1705" s="228" t="str">
        <f ca="1">IF(B1705="*","",IFERROR(IF(B1705="SERVIÇO",D1705,OFFSET(E1705,-1,0)),""))</f>
        <v>15.004.005.005</v>
      </c>
      <c r="F1705" s="230">
        <f ca="1">IF($B1705="UNIDADE CONSTRUTIVA",OFFSET(F1705,-1,0)+1,LARGE(F$10:F1704,1))</f>
        <v>2</v>
      </c>
      <c r="G1705" s="228" t="str">
        <f ca="1">IF(B1705="*","",IF(B1705="UNIDADE CONSTRUTIVA",S1705,OFFSET(G1705,-1,0)))</f>
        <v xml:space="preserve">   GERENCIAMENTO EXECUTIVO</v>
      </c>
      <c r="H1705" s="230">
        <f ca="1">IF(B1705="UNIDADE CONSTRUTIVA",0,IF(B1705="CÉLULA CONSTRUTIVA",OFFSET(H1705,-1,0)+1,OFFSET(H1705,-1,0)))</f>
        <v>15</v>
      </c>
      <c r="I1705" s="228" t="str">
        <f ca="1">IF(B1705="*","",IF(B1705="CÉLULA CONSTRUTIVA",S1705,OFFSET(I1705,-1,0)))</f>
        <v xml:space="preserve">   PISOS E PAVIMENTAÇÕES</v>
      </c>
      <c r="J1705" s="230">
        <f ca="1">IF(B1705="CÉLULA CONSTRUTIVA",0,IF(B1705="ETAPA",OFFSET(J1705,-1,0)+1,OFFSET(J1705,-1,0)))</f>
        <v>4</v>
      </c>
      <c r="K1705" s="228" t="str">
        <f ca="1">IF(B1705="*","",IF(B1705="ETAPA",S1705,OFFSET(K1705,-1,0)))</f>
        <v xml:space="preserve">   PISOS E PAVIMENTAÇÕES - 8º PAVIMENTO - COBERTURA</v>
      </c>
      <c r="L1705" s="231">
        <f ca="1">IF(B1705="ETAPA",0,IF(B1705="SUBETAPA",OFFSET(L1705,-1,0)+1,OFFSET(L1705,-1,0)))</f>
        <v>5</v>
      </c>
      <c r="M1705" s="228" t="str">
        <f ca="1">IF(B1705="*","",IF(B1705="SUBETAPA",S1705,OFFSET(M1705,-1,0)))</f>
        <v xml:space="preserve">   Mão de Obra</v>
      </c>
      <c r="N1705" s="231">
        <f ca="1">IF(B1705="Subetapa",0,IF(B1705="serviço",OFFSET(N1705,-1,0)+1,OFFSET(N1705,-1,0)))</f>
        <v>5</v>
      </c>
      <c r="O1705" s="228" t="str">
        <f ca="1">IF(B1705="*","",IF(B1705="SERVIÇO",S1705,OFFSET(O1705,-1,0)))</f>
        <v>Mao de obra para colocacao de rodape de poliestireno</v>
      </c>
      <c r="P1705" s="232" t="str">
        <f>IF(S1705="","",IF(Orçamento!$B1705="INSUMO",S1705,""))</f>
        <v/>
      </c>
      <c r="Q1705" s="244" t="str">
        <f>IF(B1705="","",IF(B1705="Serviço",S1705,""))</f>
        <v>Mao de obra para colocacao de rodape de poliestireno</v>
      </c>
      <c r="R1705" s="234">
        <f ca="1">IF(B1705="serviço",U1705,OFFSET(R1705,-1,0))</f>
        <v>40.619999999999997</v>
      </c>
      <c r="S1705" s="233" t="s">
        <v>495</v>
      </c>
      <c r="T1705" s="242" t="s">
        <v>158</v>
      </c>
      <c r="U1705" s="235">
        <f>U1687</f>
        <v>40.619999999999997</v>
      </c>
      <c r="V1705" s="320" t="s">
        <v>35</v>
      </c>
      <c r="W1705" s="236" t="str">
        <f>IFERROR(IF(B1705="INSUMO",_xlfn.XLOOKUP(S1705,Insumos!A:A,Insumos!C:C),""),"Inserir Preço")</f>
        <v/>
      </c>
      <c r="X1705" s="235">
        <f ca="1">IF(B1705="Complemento do insumo",V1705,IF(R1705="","",IF(B1705="serviço",R1705,IF(OR(B1705="insumo"),V1705*R1705,""))))</f>
        <v>40.619999999999997</v>
      </c>
      <c r="Y1705" s="236">
        <f t="shared" ca="1" si="1394"/>
        <v>22</v>
      </c>
      <c r="Z1705" s="237">
        <f t="shared" ca="1" si="1350"/>
        <v>893.64</v>
      </c>
      <c r="AA1705" s="238"/>
      <c r="AB1705" s="233" t="str">
        <f>IF(B1705="insumo",_xlfn.XLOOKUP(S1705,Insumos!A:A,Insumos!D:D),"")</f>
        <v/>
      </c>
      <c r="AC1705" s="239">
        <f t="shared" ca="1" si="1351"/>
        <v>1.2820080549864923E-4</v>
      </c>
      <c r="AE1705" s="240">
        <f ca="1">IFERROR(IF(OR(Z1705="",Z1705=0),"",IF(AF1705="","",IF(AF1705="R$/mês",Z1705/OBRA!$D$12,IF(AF1705="R$/m²",Z1705/OBRA!$D$10,IF(AF1705="R$/apto",Orçamento!Z1705/OBRA!$D$11,""))))),"")</f>
        <v>0.45987350956911943</v>
      </c>
      <c r="AF1705" s="241" t="s">
        <v>154</v>
      </c>
    </row>
    <row r="1706" spans="1:32" s="10" customFormat="1" ht="13.15" hidden="1" customHeight="1" outlineLevel="4" x14ac:dyDescent="0.2">
      <c r="A1706" s="227"/>
      <c r="B1706" s="228" t="s">
        <v>19</v>
      </c>
      <c r="C1706" s="229">
        <f t="shared" si="1349"/>
        <v>3</v>
      </c>
      <c r="D1706" s="227" t="str">
        <f>IF(B1706="Unidade Construtiva",TEXT(F1706,"00"),IF(B1706="Célula Construtiva",TEXT(H1706,"00"),IF(B1706="Etapa",CONCATENATE(TEXT(H1706,"00"),".",TEXT(J1706,"000")),IF(B1706="Subetapa",CONCATENATE(TEXT(H1706,"00"),".",TEXT(J1706,"000"),".",TEXT(L1706,"000")),IF(B1706="Serviço",CONCATENATE(TEXT(H1706,"00"),".",TEXT(J1706,"000"),".",TEXT(L1706,"000"),".",TEXT(N1706,"000")),"")))))</f>
        <v/>
      </c>
      <c r="E1706" s="228" t="str">
        <f ca="1">IF(B1706="*","",IFERROR(IF(B1706="SERVIÇO",D1706,OFFSET(E1706,-1,0)),""))</f>
        <v>15.004.005.005</v>
      </c>
      <c r="F1706" s="230">
        <f ca="1">IF($B1706="UNIDADE CONSTRUTIVA",OFFSET(F1706,-1,0)+1,LARGE(F$10:F1705,1))</f>
        <v>2</v>
      </c>
      <c r="G1706" s="228" t="str">
        <f ca="1">IF(B1706="*","",IF(B1706="UNIDADE CONSTRUTIVA",S1706,OFFSET(G1706,-1,0)))</f>
        <v xml:space="preserve">   GERENCIAMENTO EXECUTIVO</v>
      </c>
      <c r="H1706" s="230">
        <f ca="1">IF(B1706="UNIDADE CONSTRUTIVA",0,IF(B1706="CÉLULA CONSTRUTIVA",OFFSET(H1706,-1,0)+1,OFFSET(H1706,-1,0)))</f>
        <v>15</v>
      </c>
      <c r="I1706" s="228" t="str">
        <f ca="1">IF(B1706="*","",IF(B1706="CÉLULA CONSTRUTIVA",S1706,OFFSET(I1706,-1,0)))</f>
        <v xml:space="preserve">   PISOS E PAVIMENTAÇÕES</v>
      </c>
      <c r="J1706" s="230">
        <f ca="1">IF(B1706="CÉLULA CONSTRUTIVA",0,IF(B1706="ETAPA",OFFSET(J1706,-1,0)+1,OFFSET(J1706,-1,0)))</f>
        <v>4</v>
      </c>
      <c r="K1706" s="228" t="str">
        <f ca="1">IF(B1706="*","",IF(B1706="ETAPA",S1706,OFFSET(K1706,-1,0)))</f>
        <v xml:space="preserve">   PISOS E PAVIMENTAÇÕES - 8º PAVIMENTO - COBERTURA</v>
      </c>
      <c r="L1706" s="231">
        <f ca="1">IF(B1706="ETAPA",0,IF(B1706="SUBETAPA",OFFSET(L1706,-1,0)+1,OFFSET(L1706,-1,0)))</f>
        <v>5</v>
      </c>
      <c r="M1706" s="228" t="str">
        <f ca="1">IF(B1706="*","",IF(B1706="SUBETAPA",S1706,OFFSET(M1706,-1,0)))</f>
        <v xml:space="preserve">   Mão de Obra</v>
      </c>
      <c r="N1706" s="231">
        <f ca="1">IF(B1706="Subetapa",0,IF(B1706="serviço",OFFSET(N1706,-1,0)+1,OFFSET(N1706,-1,0)))</f>
        <v>5</v>
      </c>
      <c r="O1706" s="228" t="str">
        <f ca="1">IF(B1706="*","",IF(B1706="SERVIÇO",S1706,OFFSET(O1706,-1,0)))</f>
        <v>Mao de obra para colocacao de rodape de poliestireno</v>
      </c>
      <c r="P1706" s="232" t="str">
        <f>IF(S1706="","",IF(Orçamento!$B1706="INSUMO",S1706,""))</f>
        <v>MAO DE OBRA PARA COLOCACAO DE RODAPE DE POLIESTIRENO</v>
      </c>
      <c r="Q1706" s="244" t="str">
        <f>IF(B1706="","",IF(B1706="Serviço",S1706,""))</f>
        <v/>
      </c>
      <c r="R1706" s="234">
        <f ca="1">IF(B1706="serviço",U1706,OFFSET(R1706,-1,0))</f>
        <v>40.619999999999997</v>
      </c>
      <c r="S1706" s="233" t="s">
        <v>300</v>
      </c>
      <c r="T1706" s="242" t="str">
        <f>_xlfn.XLOOKUP(S1706,Insumos!$A$3:$A$371,Insumos!$B$3:$B$371)</f>
        <v>M</v>
      </c>
      <c r="U1706" s="235">
        <f ca="1">IF($B1706="insumo",R1706,"")</f>
        <v>40.619999999999997</v>
      </c>
      <c r="V1706" s="320">
        <v>1</v>
      </c>
      <c r="W1706" s="236">
        <f>IFERROR(IF(B1706="INSUMO",_xlfn.XLOOKUP(S1706,Insumos!A:A,Insumos!C:C),""),"Inserir Preço")</f>
        <v>22</v>
      </c>
      <c r="X1706" s="235">
        <f ca="1">IF(B1706="Complemento do insumo",V1706,IF(R1706="","",IF(B1706="serviço",R1706,IF(OR(B1706="insumo"),V1706*R1706,""))))</f>
        <v>40.619999999999997</v>
      </c>
      <c r="Y1706" s="236">
        <f t="shared" si="1394"/>
        <v>22</v>
      </c>
      <c r="Z1706" s="237">
        <f t="shared" ca="1" si="1350"/>
        <v>893.64</v>
      </c>
      <c r="AA1706" s="238"/>
      <c r="AB1706" s="233" t="str">
        <f>IF(B1706="insumo",_xlfn.XLOOKUP(S1706,Insumos!A:A,Insumos!D:D),"")</f>
        <v xml:space="preserve"> </v>
      </c>
      <c r="AC1706" s="239">
        <f t="shared" ca="1" si="1351"/>
        <v>1.2820080549864923E-4</v>
      </c>
      <c r="AE1706" s="240">
        <f ca="1">IFERROR(IF(OR(Z1706="",Z1706=0),"",IF(AF1706="","",IF(AF1706="R$/mês",Z1706/OBRA!$D$12,IF(AF1706="R$/m²",Z1706/OBRA!$D$10,IF(AF1706="R$/apto",Orçamento!Z1706/OBRA!$D$11,""))))),"")</f>
        <v>0.45987350956911943</v>
      </c>
      <c r="AF1706" s="241" t="s">
        <v>154</v>
      </c>
    </row>
    <row r="1707" spans="1:32" s="10" customFormat="1" ht="13.15" hidden="1" customHeight="1" outlineLevel="4" x14ac:dyDescent="0.2">
      <c r="A1707" s="227"/>
      <c r="B1707" s="228" t="s">
        <v>4</v>
      </c>
      <c r="C1707" s="229">
        <f t="shared" si="1349"/>
        <v>5</v>
      </c>
      <c r="D1707" s="227" t="str">
        <f ca="1">IF(B1707="Unidade Construtiva",TEXT(F1707,"00"),IF(B1707="Célula Construtiva",TEXT(H1707,"00"),IF(B1707="Etapa",CONCATENATE(TEXT(H1707,"00"),".",TEXT(J1707,"000")),IF(B1707="Subetapa",CONCATENATE(TEXT(H1707,"00"),".",TEXT(J1707,"000"),".",TEXT(L1707,"000")),IF(B1707="Serviço",CONCATENATE(TEXT(H1707,"00"),".",TEXT(J1707,"000"),".",TEXT(L1707,"000"),".",TEXT(N1707,"000")),"")))))</f>
        <v>15.004.005.006</v>
      </c>
      <c r="E1707" s="228" t="str">
        <f ca="1">IF(B1707="*","",IFERROR(IF(B1707="SERVIÇO",D1707,OFFSET(E1707,-1,0)),""))</f>
        <v>15.004.005.006</v>
      </c>
      <c r="F1707" s="230">
        <f ca="1">IF($B1707="UNIDADE CONSTRUTIVA",OFFSET(F1707,-1,0)+1,LARGE(F$10:F1706,1))</f>
        <v>2</v>
      </c>
      <c r="G1707" s="228" t="str">
        <f ca="1">IF(B1707="*","",IF(B1707="UNIDADE CONSTRUTIVA",S1707,OFFSET(G1707,-1,0)))</f>
        <v xml:space="preserve">   GERENCIAMENTO EXECUTIVO</v>
      </c>
      <c r="H1707" s="230">
        <f ca="1">IF(B1707="UNIDADE CONSTRUTIVA",0,IF(B1707="CÉLULA CONSTRUTIVA",OFFSET(H1707,-1,0)+1,OFFSET(H1707,-1,0)))</f>
        <v>15</v>
      </c>
      <c r="I1707" s="228" t="str">
        <f ca="1">IF(B1707="*","",IF(B1707="CÉLULA CONSTRUTIVA",S1707,OFFSET(I1707,-1,0)))</f>
        <v xml:space="preserve">   PISOS E PAVIMENTAÇÕES</v>
      </c>
      <c r="J1707" s="230">
        <f ca="1">IF(B1707="CÉLULA CONSTRUTIVA",0,IF(B1707="ETAPA",OFFSET(J1707,-1,0)+1,OFFSET(J1707,-1,0)))</f>
        <v>4</v>
      </c>
      <c r="K1707" s="228" t="str">
        <f ca="1">IF(B1707="*","",IF(B1707="ETAPA",S1707,OFFSET(K1707,-1,0)))</f>
        <v xml:space="preserve">   PISOS E PAVIMENTAÇÕES - 8º PAVIMENTO - COBERTURA</v>
      </c>
      <c r="L1707" s="231">
        <f ca="1">IF(B1707="ETAPA",0,IF(B1707="SUBETAPA",OFFSET(L1707,-1,0)+1,OFFSET(L1707,-1,0)))</f>
        <v>5</v>
      </c>
      <c r="M1707" s="228" t="str">
        <f ca="1">IF(B1707="*","",IF(B1707="SUBETAPA",S1707,OFFSET(M1707,-1,0)))</f>
        <v xml:space="preserve">   Mão de Obra</v>
      </c>
      <c r="N1707" s="231">
        <f ca="1">IF(B1707="Subetapa",0,IF(B1707="serviço",OFFSET(N1707,-1,0)+1,OFFSET(N1707,-1,0)))</f>
        <v>6</v>
      </c>
      <c r="O1707" s="228" t="str">
        <f ca="1">IF(B1707="*","",IF(B1707="SERVIÇO",S1707,OFFSET(O1707,-1,0)))</f>
        <v>Mao de obra para colocacao de soleiras em granito</v>
      </c>
      <c r="P1707" s="232" t="str">
        <f>IF(S1707="","",IF(Orçamento!$B1707="INSUMO",S1707,""))</f>
        <v/>
      </c>
      <c r="Q1707" s="244" t="str">
        <f>IF(B1707="","",IF(B1707="Serviço",S1707,""))</f>
        <v>Mao de obra para colocacao de soleiras em granito</v>
      </c>
      <c r="R1707" s="234">
        <f ca="1">IF(B1707="serviço",U1707,OFFSET(R1707,-1,0))</f>
        <v>1.33</v>
      </c>
      <c r="S1707" s="233" t="s">
        <v>496</v>
      </c>
      <c r="T1707" s="242" t="s">
        <v>158</v>
      </c>
      <c r="U1707" s="235">
        <f>U1692</f>
        <v>1.33</v>
      </c>
      <c r="V1707" s="320" t="s">
        <v>35</v>
      </c>
      <c r="W1707" s="236" t="str">
        <f>IFERROR(IF(B1707="INSUMO",_xlfn.XLOOKUP(S1707,Insumos!A:A,Insumos!C:C),""),"Inserir Preço")</f>
        <v/>
      </c>
      <c r="X1707" s="235">
        <f ca="1">IF(B1707="Complemento do insumo",V1707,IF(R1707="","",IF(B1707="serviço",R1707,IF(OR(B1707="insumo"),V1707*R1707,""))))</f>
        <v>1.33</v>
      </c>
      <c r="Y1707" s="236">
        <f t="shared" ca="1" si="1394"/>
        <v>10.4</v>
      </c>
      <c r="Z1707" s="237">
        <f t="shared" ca="1" si="1350"/>
        <v>13.832000000000001</v>
      </c>
      <c r="AA1707" s="238"/>
      <c r="AB1707" s="233" t="str">
        <f>IF(B1707="insumo",_xlfn.XLOOKUP(S1707,Insumos!A:A,Insumos!D:D),"")</f>
        <v/>
      </c>
      <c r="AC1707" s="239">
        <f t="shared" ca="1" si="1351"/>
        <v>1.9843265091729511E-6</v>
      </c>
      <c r="AE1707" s="240">
        <f ca="1">IFERROR(IF(OR(Z1707="",Z1707=0),"",IF(AF1707="","",IF(AF1707="R$/mês",Z1707/OBRA!$D$12,IF(AF1707="R$/m²",Z1707/OBRA!$D$10,IF(AF1707="R$/apto",Orçamento!Z1707/OBRA!$D$11,""))))),"")</f>
        <v>7.1180457279889668E-3</v>
      </c>
      <c r="AF1707" s="241" t="s">
        <v>154</v>
      </c>
    </row>
    <row r="1708" spans="1:32" s="10" customFormat="1" ht="13.15" hidden="1" customHeight="1" outlineLevel="4" x14ac:dyDescent="0.2">
      <c r="A1708" s="227"/>
      <c r="B1708" s="228" t="s">
        <v>19</v>
      </c>
      <c r="C1708" s="229">
        <f t="shared" si="1349"/>
        <v>5</v>
      </c>
      <c r="D1708" s="227" t="str">
        <f>IF(B1708="Unidade Construtiva",TEXT(F1708,"00"),IF(B1708="Célula Construtiva",TEXT(H1708,"00"),IF(B1708="Etapa",CONCATENATE(TEXT(H1708,"00"),".",TEXT(J1708,"000")),IF(B1708="Subetapa",CONCATENATE(TEXT(H1708,"00"),".",TEXT(J1708,"000"),".",TEXT(L1708,"000")),IF(B1708="Serviço",CONCATENATE(TEXT(H1708,"00"),".",TEXT(J1708,"000"),".",TEXT(L1708,"000"),".",TEXT(N1708,"000")),"")))))</f>
        <v/>
      </c>
      <c r="E1708" s="228" t="str">
        <f ca="1">IF(B1708="*","",IFERROR(IF(B1708="SERVIÇO",D1708,OFFSET(E1708,-1,0)),""))</f>
        <v>15.004.005.006</v>
      </c>
      <c r="F1708" s="230">
        <f ca="1">IF($B1708="UNIDADE CONSTRUTIVA",OFFSET(F1708,-1,0)+1,LARGE(F$10:F1707,1))</f>
        <v>2</v>
      </c>
      <c r="G1708" s="228" t="str">
        <f ca="1">IF(B1708="*","",IF(B1708="UNIDADE CONSTRUTIVA",S1708,OFFSET(G1708,-1,0)))</f>
        <v xml:space="preserve">   GERENCIAMENTO EXECUTIVO</v>
      </c>
      <c r="H1708" s="230">
        <f ca="1">IF(B1708="UNIDADE CONSTRUTIVA",0,IF(B1708="CÉLULA CONSTRUTIVA",OFFSET(H1708,-1,0)+1,OFFSET(H1708,-1,0)))</f>
        <v>15</v>
      </c>
      <c r="I1708" s="228" t="str">
        <f ca="1">IF(B1708="*","",IF(B1708="CÉLULA CONSTRUTIVA",S1708,OFFSET(I1708,-1,0)))</f>
        <v xml:space="preserve">   PISOS E PAVIMENTAÇÕES</v>
      </c>
      <c r="J1708" s="230">
        <f ca="1">IF(B1708="CÉLULA CONSTRUTIVA",0,IF(B1708="ETAPA",OFFSET(J1708,-1,0)+1,OFFSET(J1708,-1,0)))</f>
        <v>4</v>
      </c>
      <c r="K1708" s="228" t="str">
        <f ca="1">IF(B1708="*","",IF(B1708="ETAPA",S1708,OFFSET(K1708,-1,0)))</f>
        <v xml:space="preserve">   PISOS E PAVIMENTAÇÕES - 8º PAVIMENTO - COBERTURA</v>
      </c>
      <c r="L1708" s="231">
        <f ca="1">IF(B1708="ETAPA",0,IF(B1708="SUBETAPA",OFFSET(L1708,-1,0)+1,OFFSET(L1708,-1,0)))</f>
        <v>5</v>
      </c>
      <c r="M1708" s="228" t="str">
        <f ca="1">IF(B1708="*","",IF(B1708="SUBETAPA",S1708,OFFSET(M1708,-1,0)))</f>
        <v xml:space="preserve">   Mão de Obra</v>
      </c>
      <c r="N1708" s="231">
        <f ca="1">IF(B1708="Subetapa",0,IF(B1708="serviço",OFFSET(N1708,-1,0)+1,OFFSET(N1708,-1,0)))</f>
        <v>6</v>
      </c>
      <c r="O1708" s="228" t="str">
        <f ca="1">IF(B1708="*","",IF(B1708="SERVIÇO",S1708,OFFSET(O1708,-1,0)))</f>
        <v>Mao de obra para colocacao de soleiras em granito</v>
      </c>
      <c r="P1708" s="232" t="str">
        <f>IF(S1708="","",IF(Orçamento!$B1708="INSUMO",S1708,""))</f>
        <v>MAO DE OBRA PARA COLOCACAO DE SOLEIRAS EM GRANITO - m²</v>
      </c>
      <c r="Q1708" s="244" t="str">
        <f>IF(B1708="","",IF(B1708="Serviço",S1708,""))</f>
        <v/>
      </c>
      <c r="R1708" s="234">
        <f ca="1">IF(B1708="serviço",U1708,OFFSET(R1708,-1,0))</f>
        <v>1.33</v>
      </c>
      <c r="S1708" s="233" t="s">
        <v>364</v>
      </c>
      <c r="T1708" s="242" t="str">
        <f>_xlfn.XLOOKUP(S1708,Insumos!$A$3:$A$371,Insumos!$B$3:$B$371)</f>
        <v>M2</v>
      </c>
      <c r="U1708" s="235">
        <f ca="1">IF($B1708="insumo",R1708,"")</f>
        <v>1.33</v>
      </c>
      <c r="V1708" s="320">
        <v>1</v>
      </c>
      <c r="W1708" s="236">
        <f>IFERROR(IF(B1708="INSUMO",_xlfn.XLOOKUP(S1708,Insumos!A:A,Insumos!C:C),""),"Inserir Preço")</f>
        <v>10.4</v>
      </c>
      <c r="X1708" s="235">
        <f ca="1">IF(B1708="Complemento do insumo",V1708,IF(R1708="","",IF(B1708="serviço",R1708,IF(OR(B1708="insumo"),V1708*R1708,""))))</f>
        <v>1.33</v>
      </c>
      <c r="Y1708" s="236">
        <f t="shared" si="1394"/>
        <v>10.4</v>
      </c>
      <c r="Z1708" s="237">
        <f t="shared" ca="1" si="1350"/>
        <v>13.832000000000001</v>
      </c>
      <c r="AA1708" s="238"/>
      <c r="AB1708" s="233" t="str">
        <f>IF(B1708="insumo",_xlfn.XLOOKUP(S1708,Insumos!A:A,Insumos!D:D),"")</f>
        <v xml:space="preserve"> </v>
      </c>
      <c r="AC1708" s="239">
        <f t="shared" ca="1" si="1351"/>
        <v>1.9843265091729511E-6</v>
      </c>
      <c r="AE1708" s="240">
        <f ca="1">IFERROR(IF(OR(Z1708="",Z1708=0),"",IF(AF1708="","",IF(AF1708="R$/mês",Z1708/OBRA!$D$12,IF(AF1708="R$/m²",Z1708/OBRA!$D$10,IF(AF1708="R$/apto",Orçamento!Z1708/OBRA!$D$11,""))))),"")</f>
        <v>7.1180457279889668E-3</v>
      </c>
      <c r="AF1708" s="241" t="s">
        <v>154</v>
      </c>
    </row>
    <row r="1709" spans="1:32" s="10" customFormat="1" ht="13.15" customHeight="1" outlineLevel="2" collapsed="1" x14ac:dyDescent="0.2">
      <c r="A1709" s="227"/>
      <c r="B1709" s="228" t="s">
        <v>2</v>
      </c>
      <c r="C1709" s="229" t="str">
        <f t="shared" si="1349"/>
        <v/>
      </c>
      <c r="D1709" s="227" t="str">
        <f ca="1">IF(B1709="Unidade Construtiva",TEXT(F1709,"00"),IF(B1709="Célula Construtiva",TEXT(H1709,"00"),IF(B1709="Etapa",CONCATENATE(TEXT(H1709,"00"),".",TEXT(J1709,"000")),IF(B1709="Subetapa",CONCATENATE(TEXT(H1709,"00"),".",TEXT(J1709,"000"),".",TEXT(L1709,"000")),IF(B1709="Serviço",CONCATENATE(TEXT(H1709,"00"),".",TEXT(J1709,"000"),".",TEXT(L1709,"000"),".",TEXT(N1709,"000")),"")))))</f>
        <v>15.005</v>
      </c>
      <c r="E1709" s="228" t="str">
        <f ca="1">IF(B1709="*","",IFERROR(IF(B1709="SERVIÇO",D1709,OFFSET(E1709,-1,0)),""))</f>
        <v>15.004.005.006</v>
      </c>
      <c r="F1709" s="230">
        <f ca="1">IF($B1709="UNIDADE CONSTRUTIVA",OFFSET(F1709,-1,0)+1,LARGE(F$10:F1708,1))</f>
        <v>2</v>
      </c>
      <c r="G1709" s="228" t="str">
        <f ca="1">IF(B1709="*","",IF(B1709="UNIDADE CONSTRUTIVA",S1709,OFFSET(G1709,-1,0)))</f>
        <v xml:space="preserve">   GERENCIAMENTO EXECUTIVO</v>
      </c>
      <c r="H1709" s="230">
        <f ca="1">IF(B1709="UNIDADE CONSTRUTIVA",0,IF(B1709="CÉLULA CONSTRUTIVA",OFFSET(H1709,-1,0)+1,OFFSET(H1709,-1,0)))</f>
        <v>15</v>
      </c>
      <c r="I1709" s="228" t="str">
        <f ca="1">IF(B1709="*","",IF(B1709="CÉLULA CONSTRUTIVA",S1709,OFFSET(I1709,-1,0)))</f>
        <v xml:space="preserve">   PISOS E PAVIMENTAÇÕES</v>
      </c>
      <c r="J1709" s="230">
        <f ca="1">IF(B1709="CÉLULA CONSTRUTIVA",0,IF(B1709="ETAPA",OFFSET(J1709,-1,0)+1,OFFSET(J1709,-1,0)))</f>
        <v>5</v>
      </c>
      <c r="K1709" s="228" t="str">
        <f ca="1">IF(B1709="*","",IF(B1709="ETAPA",S1709,OFFSET(K1709,-1,0)))</f>
        <v xml:space="preserve">   PISOS E PAVIMENTAÇÕES - BARRILETE / CAIXA DÁGUA / CASA DE MÁQUINAS</v>
      </c>
      <c r="L1709" s="231">
        <f ca="1">IF(B1709="ETAPA",0,IF(B1709="SUBETAPA",OFFSET(L1709,-1,0)+1,OFFSET(L1709,-1,0)))</f>
        <v>0</v>
      </c>
      <c r="M1709" s="228" t="str">
        <f ca="1">IF(B1709="*","",IF(B1709="SUBETAPA",S1709,OFFSET(M1709,-1,0)))</f>
        <v xml:space="preserve">   Mão de Obra</v>
      </c>
      <c r="N1709" s="231">
        <f ca="1">IF(B1709="Subetapa",0,IF(B1709="serviço",OFFSET(N1709,-1,0)+1,OFFSET(N1709,-1,0)))</f>
        <v>6</v>
      </c>
      <c r="O1709" s="228" t="str">
        <f ca="1">IF(B1709="*","",IF(B1709="SERVIÇO",S1709,OFFSET(O1709,-1,0)))</f>
        <v>Mao de obra para colocacao de soleiras em granito</v>
      </c>
      <c r="P1709" s="232" t="str">
        <f>IF(S1709="","",IF(Orçamento!$B1709="INSUMO",S1709,""))</f>
        <v/>
      </c>
      <c r="Q1709" s="244" t="str">
        <f>IF(B1709="","",IF(B1709="Serviço",S1709,""))</f>
        <v/>
      </c>
      <c r="R1709" s="234">
        <f ca="1">IF(B1709="serviço",U1709,OFFSET(R1709,-1,0))</f>
        <v>1.33</v>
      </c>
      <c r="S1709" s="233" t="s">
        <v>724</v>
      </c>
      <c r="T1709" s="242" t="s">
        <v>35</v>
      </c>
      <c r="U1709" s="235" t="str">
        <f>IF($B1709="insumo",R1709,"")</f>
        <v/>
      </c>
      <c r="V1709" s="320" t="s">
        <v>35</v>
      </c>
      <c r="W1709" s="236" t="str">
        <f>IFERROR(IF(B1709="INSUMO",_xlfn.XLOOKUP(S1709,Insumos!A:A,Insumos!C:C),""),"Inserir Preço")</f>
        <v/>
      </c>
      <c r="X1709" s="235" t="str">
        <f ca="1">IF(B1709="Complemento do insumo",V1709,IF(R1709="","",IF(B1709="serviço",R1709,IF(OR(B1709="insumo"),V1709*R1709,""))))</f>
        <v/>
      </c>
      <c r="Y1709" s="236" t="str">
        <f t="shared" si="1394"/>
        <v/>
      </c>
      <c r="Z1709" s="237">
        <f t="shared" ca="1" si="1350"/>
        <v>7332.9927058784424</v>
      </c>
      <c r="AA1709" s="238"/>
      <c r="AB1709" s="233" t="str">
        <f>IF(B1709="insumo",_xlfn.XLOOKUP(S1709,Insumos!A:A,Insumos!D:D),"")</f>
        <v/>
      </c>
      <c r="AC1709" s="239">
        <f t="shared" ca="1" si="1351"/>
        <v>1.0519846600525219E-3</v>
      </c>
      <c r="AE1709" s="240">
        <f ca="1">IFERROR(IF(OR(Z1709="",Z1709=0),"",IF(AF1709="","",IF(AF1709="R$/mês",Z1709/OBRA!$D$12,IF(AF1709="R$/m²",Z1709/OBRA!$D$10,IF(AF1709="R$/apto",Orçamento!Z1709/OBRA!$D$11,""))))),"")</f>
        <v>3.7736102807585525</v>
      </c>
      <c r="AF1709" s="241" t="s">
        <v>154</v>
      </c>
    </row>
    <row r="1710" spans="1:32" s="10" customFormat="1" ht="13.15" hidden="1" customHeight="1" outlineLevel="3" collapsed="1" x14ac:dyDescent="0.2">
      <c r="A1710" s="227"/>
      <c r="B1710" s="228" t="s">
        <v>3</v>
      </c>
      <c r="C1710" s="229" t="str">
        <f t="shared" si="1349"/>
        <v/>
      </c>
      <c r="D1710" s="227" t="str">
        <f t="shared" ref="D1710:D1715" ca="1" si="1395">IF(B1710="Unidade Construtiva",TEXT(F1710,"00"),IF(B1710="Célula Construtiva",TEXT(H1710,"00"),IF(B1710="Etapa",CONCATENATE(TEXT(H1710,"00"),".",TEXT(J1710,"000")),IF(B1710="Subetapa",CONCATENATE(TEXT(H1710,"00"),".",TEXT(J1710,"000"),".",TEXT(L1710,"000")),IF(B1710="Serviço",CONCATENATE(TEXT(H1710,"00"),".",TEXT(J1710,"000"),".",TEXT(L1710,"000"),".",TEXT(N1710,"000")),"")))))</f>
        <v>15.005.001</v>
      </c>
      <c r="E1710" s="228" t="str">
        <f t="shared" ref="E1710:E1715" ca="1" si="1396">IF(B1710="*","",IFERROR(IF(B1710="SERVIÇO",D1710,OFFSET(E1710,-1,0)),""))</f>
        <v>15.004.005.006</v>
      </c>
      <c r="F1710" s="230">
        <f ca="1">IF($B1710="UNIDADE CONSTRUTIVA",OFFSET(F1710,-1,0)+1,LARGE(F$10:F1709,1))</f>
        <v>2</v>
      </c>
      <c r="G1710" s="228" t="str">
        <f t="shared" ref="G1710:G1715" ca="1" si="1397">IF(B1710="*","",IF(B1710="UNIDADE CONSTRUTIVA",S1710,OFFSET(G1710,-1,0)))</f>
        <v xml:space="preserve">   GERENCIAMENTO EXECUTIVO</v>
      </c>
      <c r="H1710" s="230">
        <f t="shared" ref="H1710:H1715" ca="1" si="1398">IF(B1710="UNIDADE CONSTRUTIVA",0,IF(B1710="CÉLULA CONSTRUTIVA",OFFSET(H1710,-1,0)+1,OFFSET(H1710,-1,0)))</f>
        <v>15</v>
      </c>
      <c r="I1710" s="228" t="str">
        <f t="shared" ref="I1710:I1715" ca="1" si="1399">IF(B1710="*","",IF(B1710="CÉLULA CONSTRUTIVA",S1710,OFFSET(I1710,-1,0)))</f>
        <v xml:space="preserve">   PISOS E PAVIMENTAÇÕES</v>
      </c>
      <c r="J1710" s="230">
        <f t="shared" ref="J1710:J1715" ca="1" si="1400">IF(B1710="CÉLULA CONSTRUTIVA",0,IF(B1710="ETAPA",OFFSET(J1710,-1,0)+1,OFFSET(J1710,-1,0)))</f>
        <v>5</v>
      </c>
      <c r="K1710" s="228" t="str">
        <f t="shared" ref="K1710:K1715" ca="1" si="1401">IF(B1710="*","",IF(B1710="ETAPA",S1710,OFFSET(K1710,-1,0)))</f>
        <v xml:space="preserve">   PISOS E PAVIMENTAÇÕES - BARRILETE / CAIXA DÁGUA / CASA DE MÁQUINAS</v>
      </c>
      <c r="L1710" s="231">
        <f t="shared" ref="L1710:L1715" ca="1" si="1402">IF(B1710="ETAPA",0,IF(B1710="SUBETAPA",OFFSET(L1710,-1,0)+1,OFFSET(L1710,-1,0)))</f>
        <v>1</v>
      </c>
      <c r="M1710" s="228" t="str">
        <f t="shared" ref="M1710:M1715" ca="1" si="1403">IF(B1710="*","",IF(B1710="SUBETAPA",S1710,OFFSET(M1710,-1,0)))</f>
        <v xml:space="preserve">   Contrapiso</v>
      </c>
      <c r="N1710" s="231">
        <f t="shared" ref="N1710:N1715" ca="1" si="1404">IF(B1710="Subetapa",0,IF(B1710="serviço",OFFSET(N1710,-1,0)+1,OFFSET(N1710,-1,0)))</f>
        <v>0</v>
      </c>
      <c r="O1710" s="228" t="str">
        <f t="shared" ref="O1710:O1715" ca="1" si="1405">IF(B1710="*","",IF(B1710="SERVIÇO",S1710,OFFSET(O1710,-1,0)))</f>
        <v>Mao de obra para colocacao de soleiras em granito</v>
      </c>
      <c r="P1710" s="232" t="str">
        <f>IF(S1710="","",IF(Orçamento!$B1710="INSUMO",S1710,""))</f>
        <v/>
      </c>
      <c r="Q1710" s="244" t="str">
        <f t="shared" ref="Q1710:Q1715" si="1406">IF(B1710="","",IF(B1710="Serviço",S1710,""))</f>
        <v/>
      </c>
      <c r="R1710" s="234">
        <f t="shared" ref="R1710:R1715" ca="1" si="1407">IF(B1710="serviço",U1710,OFFSET(R1710,-1,0))</f>
        <v>1.33</v>
      </c>
      <c r="S1710" s="233" t="s">
        <v>476</v>
      </c>
      <c r="T1710" s="242" t="s">
        <v>35</v>
      </c>
      <c r="U1710" s="235" t="str">
        <f>IF($B1710="insumo",R1710,"")</f>
        <v/>
      </c>
      <c r="V1710" s="320" t="s">
        <v>35</v>
      </c>
      <c r="W1710" s="236" t="str">
        <f>IFERROR(IF(B1710="INSUMO",_xlfn.XLOOKUP(S1710,Insumos!A:A,Insumos!C:C),""),"Inserir Preço")</f>
        <v/>
      </c>
      <c r="X1710" s="235" t="str">
        <f t="shared" ref="X1710:X1715" ca="1" si="1408">IF(B1710="Complemento do insumo",V1710,IF(R1710="","",IF(B1710="serviço",R1710,IF(OR(B1710="insumo"),V1710*R1710,""))))</f>
        <v/>
      </c>
      <c r="Y1710" s="236" t="str">
        <f t="shared" si="1394"/>
        <v/>
      </c>
      <c r="Z1710" s="237">
        <f t="shared" ca="1" si="1350"/>
        <v>5221.8944999999994</v>
      </c>
      <c r="AA1710" s="238"/>
      <c r="AB1710" s="233" t="str">
        <f>IF(B1710="insumo",_xlfn.XLOOKUP(S1710,Insumos!A:A,Insumos!D:D),"")</f>
        <v/>
      </c>
      <c r="AC1710" s="239">
        <f t="shared" ca="1" si="1351"/>
        <v>7.491283751051498E-4</v>
      </c>
      <c r="AE1710" s="240">
        <f ca="1">IFERROR(IF(OR(Z1710="",Z1710=0),"",IF(AF1710="","",IF(AF1710="R$/mês",Z1710/OBRA!$D$12,IF(AF1710="R$/m²",Z1710/OBRA!$D$10,IF(AF1710="R$/apto",Orçamento!Z1710/OBRA!$D$11,""))))),"")</f>
        <v>2.6872241062560787</v>
      </c>
      <c r="AF1710" s="241" t="s">
        <v>154</v>
      </c>
    </row>
    <row r="1711" spans="1:32" s="10" customFormat="1" ht="13.15" hidden="1" customHeight="1" outlineLevel="4" x14ac:dyDescent="0.2">
      <c r="A1711" s="227"/>
      <c r="B1711" s="228" t="s">
        <v>4</v>
      </c>
      <c r="C1711" s="229">
        <f t="shared" si="1349"/>
        <v>5</v>
      </c>
      <c r="D1711" s="227" t="str">
        <f t="shared" ca="1" si="1395"/>
        <v>15.005.001.001</v>
      </c>
      <c r="E1711" s="228" t="str">
        <f t="shared" ca="1" si="1396"/>
        <v>15.005.001.001</v>
      </c>
      <c r="F1711" s="230">
        <f ca="1">IF($B1711="UNIDADE CONSTRUTIVA",OFFSET(F1711,-1,0)+1,LARGE(F$10:F1710,1))</f>
        <v>2</v>
      </c>
      <c r="G1711" s="228" t="str">
        <f t="shared" ca="1" si="1397"/>
        <v xml:space="preserve">   GERENCIAMENTO EXECUTIVO</v>
      </c>
      <c r="H1711" s="230">
        <f t="shared" ca="1" si="1398"/>
        <v>15</v>
      </c>
      <c r="I1711" s="228" t="str">
        <f t="shared" ca="1" si="1399"/>
        <v xml:space="preserve">   PISOS E PAVIMENTAÇÕES</v>
      </c>
      <c r="J1711" s="230">
        <f t="shared" ca="1" si="1400"/>
        <v>5</v>
      </c>
      <c r="K1711" s="228" t="str">
        <f t="shared" ca="1" si="1401"/>
        <v xml:space="preserve">   PISOS E PAVIMENTAÇÕES - BARRILETE / CAIXA DÁGUA / CASA DE MÁQUINAS</v>
      </c>
      <c r="L1711" s="231">
        <f t="shared" ca="1" si="1402"/>
        <v>1</v>
      </c>
      <c r="M1711" s="228" t="str">
        <f t="shared" ca="1" si="1403"/>
        <v xml:space="preserve">   Contrapiso</v>
      </c>
      <c r="N1711" s="231">
        <f t="shared" ca="1" si="1404"/>
        <v>1</v>
      </c>
      <c r="O1711" s="228" t="str">
        <f t="shared" ca="1" si="1405"/>
        <v>Contrapiso comum em argamassa estabilizada, nao aderido, espessura 8cm</v>
      </c>
      <c r="P1711" s="232" t="str">
        <f>IF(S1711="","",IF(Orçamento!$B1711="INSUMO",S1711,""))</f>
        <v/>
      </c>
      <c r="Q1711" s="244" t="str">
        <f t="shared" si="1406"/>
        <v>Contrapiso comum em argamassa estabilizada, nao aderido, espessura 8cm</v>
      </c>
      <c r="R1711" s="234">
        <f t="shared" ca="1" si="1407"/>
        <v>16.739999999999998</v>
      </c>
      <c r="S1711" s="233" t="s">
        <v>745</v>
      </c>
      <c r="T1711" s="242" t="s">
        <v>140</v>
      </c>
      <c r="U1711" s="235">
        <v>16.739999999999998</v>
      </c>
      <c r="V1711" s="320" t="s">
        <v>35</v>
      </c>
      <c r="W1711" s="236" t="str">
        <f>IFERROR(IF(B1711="INSUMO",_xlfn.XLOOKUP(S1711,Insumos!A:A,Insumos!C:C),""),"Inserir Preço")</f>
        <v/>
      </c>
      <c r="X1711" s="235">
        <f t="shared" ca="1" si="1408"/>
        <v>16.739999999999998</v>
      </c>
      <c r="Y1711" s="236">
        <f t="shared" ca="1" si="1394"/>
        <v>47.55</v>
      </c>
      <c r="Z1711" s="237">
        <f t="shared" ca="1" si="1350"/>
        <v>795.98699999999985</v>
      </c>
      <c r="AA1711" s="238"/>
      <c r="AB1711" s="233" t="str">
        <f>IF(B1711="insumo",_xlfn.XLOOKUP(S1711,Insumos!A:A,Insumos!D:D),"")</f>
        <v/>
      </c>
      <c r="AC1711" s="239">
        <f t="shared" ca="1" si="1351"/>
        <v>1.14191592326276E-4</v>
      </c>
      <c r="AE1711" s="240">
        <f ca="1">IFERROR(IF(OR(Z1711="",Z1711=0),"",IF(AF1711="","",IF(AF1711="R$/mês",Z1711/OBRA!$D$12,IF(AF1711="R$/m²",Z1711/OBRA!$D$10,IF(AF1711="R$/apto",Orçamento!Z1711/OBRA!$D$11,""))))),"")</f>
        <v>0.40962058016807062</v>
      </c>
      <c r="AF1711" s="241" t="s">
        <v>154</v>
      </c>
    </row>
    <row r="1712" spans="1:32" s="10" customFormat="1" ht="13.15" hidden="1" customHeight="1" outlineLevel="4" x14ac:dyDescent="0.2">
      <c r="A1712" s="227"/>
      <c r="B1712" s="228" t="s">
        <v>19</v>
      </c>
      <c r="C1712" s="229">
        <f t="shared" si="1349"/>
        <v>11</v>
      </c>
      <c r="D1712" s="227" t="str">
        <f t="shared" si="1395"/>
        <v/>
      </c>
      <c r="E1712" s="228" t="str">
        <f t="shared" ca="1" si="1396"/>
        <v>15.005.001.001</v>
      </c>
      <c r="F1712" s="230">
        <f ca="1">IF($B1712="UNIDADE CONSTRUTIVA",OFFSET(F1712,-1,0)+1,LARGE(F$10:F1711,1))</f>
        <v>2</v>
      </c>
      <c r="G1712" s="228" t="str">
        <f t="shared" ca="1" si="1397"/>
        <v xml:space="preserve">   GERENCIAMENTO EXECUTIVO</v>
      </c>
      <c r="H1712" s="230">
        <f t="shared" ca="1" si="1398"/>
        <v>15</v>
      </c>
      <c r="I1712" s="228" t="str">
        <f t="shared" ca="1" si="1399"/>
        <v xml:space="preserve">   PISOS E PAVIMENTAÇÕES</v>
      </c>
      <c r="J1712" s="230">
        <f t="shared" ca="1" si="1400"/>
        <v>5</v>
      </c>
      <c r="K1712" s="228" t="str">
        <f t="shared" ca="1" si="1401"/>
        <v xml:space="preserve">   PISOS E PAVIMENTAÇÕES - BARRILETE / CAIXA DÁGUA / CASA DE MÁQUINAS</v>
      </c>
      <c r="L1712" s="231">
        <f t="shared" ca="1" si="1402"/>
        <v>1</v>
      </c>
      <c r="M1712" s="228" t="str">
        <f t="shared" ca="1" si="1403"/>
        <v xml:space="preserve">   Contrapiso</v>
      </c>
      <c r="N1712" s="231">
        <f t="shared" ca="1" si="1404"/>
        <v>1</v>
      </c>
      <c r="O1712" s="228" t="str">
        <f t="shared" ca="1" si="1405"/>
        <v>Contrapiso comum em argamassa estabilizada, nao aderido, espessura 8cm</v>
      </c>
      <c r="P1712" s="232" t="str">
        <f>IF(S1712="","",IF(Orçamento!$B1712="INSUMO",S1712,""))</f>
        <v>ARGAMASSA ESTABILIZADA P/ CONTRAPISO</v>
      </c>
      <c r="Q1712" s="244" t="str">
        <f t="shared" si="1406"/>
        <v/>
      </c>
      <c r="R1712" s="234">
        <f t="shared" ca="1" si="1407"/>
        <v>16.739999999999998</v>
      </c>
      <c r="S1712" s="233" t="s">
        <v>277</v>
      </c>
      <c r="T1712" s="242" t="str">
        <f>_xlfn.XLOOKUP(S1712,Insumos!$A$3:$A$371,Insumos!$B$3:$B$371)</f>
        <v>M3</v>
      </c>
      <c r="U1712" s="235">
        <f ca="1">IF($B1712="insumo",R1712,"")</f>
        <v>16.739999999999998</v>
      </c>
      <c r="V1712" s="320">
        <v>8.7999999999999995E-2</v>
      </c>
      <c r="W1712" s="236">
        <f>IFERROR(IF(B1712="INSUMO",_xlfn.XLOOKUP(S1712,Insumos!A:A,Insumos!C:C),""),"Inserir Preço")</f>
        <v>425</v>
      </c>
      <c r="X1712" s="235">
        <f t="shared" ca="1" si="1408"/>
        <v>1.4731199999999998</v>
      </c>
      <c r="Y1712" s="236">
        <f t="shared" si="1394"/>
        <v>37.4</v>
      </c>
      <c r="Z1712" s="237">
        <f t="shared" ca="1" si="1350"/>
        <v>626.07599999999991</v>
      </c>
      <c r="AA1712" s="238"/>
      <c r="AB1712" s="233" t="str">
        <f>IF(B1712="insumo",_xlfn.XLOOKUP(S1712,Insumos!A:A,Insumos!D:D),"")</f>
        <v xml:space="preserve"> </v>
      </c>
      <c r="AC1712" s="239">
        <f t="shared" ca="1" si="1351"/>
        <v>8.9816310262938437E-5</v>
      </c>
      <c r="AE1712" s="240">
        <f ca="1">IFERROR(IF(OR(Z1712="",Z1712=0),"",IF(AF1712="","",IF(AF1712="R$/mês",Z1712/OBRA!$D$12,IF(AF1712="R$/m²",Z1712/OBRA!$D$10,IF(AF1712="R$/apto",Orçamento!Z1712/OBRA!$D$11,""))))),"")</f>
        <v>0.32218316925942886</v>
      </c>
      <c r="AF1712" s="241" t="s">
        <v>154</v>
      </c>
    </row>
    <row r="1713" spans="1:32" s="10" customFormat="1" ht="13.15" hidden="1" customHeight="1" outlineLevel="4" x14ac:dyDescent="0.2">
      <c r="A1713" s="227"/>
      <c r="B1713" s="228" t="s">
        <v>19</v>
      </c>
      <c r="C1713" s="229">
        <f t="shared" si="1349"/>
        <v>5</v>
      </c>
      <c r="D1713" s="227" t="str">
        <f t="shared" si="1395"/>
        <v/>
      </c>
      <c r="E1713" s="228" t="str">
        <f t="shared" ca="1" si="1396"/>
        <v>15.005.001.001</v>
      </c>
      <c r="F1713" s="230">
        <f ca="1">IF($B1713="UNIDADE CONSTRUTIVA",OFFSET(F1713,-1,0)+1,LARGE(F$10:F1712,1))</f>
        <v>2</v>
      </c>
      <c r="G1713" s="228" t="str">
        <f t="shared" ca="1" si="1397"/>
        <v xml:space="preserve">   GERENCIAMENTO EXECUTIVO</v>
      </c>
      <c r="H1713" s="230">
        <f t="shared" ca="1" si="1398"/>
        <v>15</v>
      </c>
      <c r="I1713" s="228" t="str">
        <f t="shared" ca="1" si="1399"/>
        <v xml:space="preserve">   PISOS E PAVIMENTAÇÕES</v>
      </c>
      <c r="J1713" s="230">
        <f t="shared" ca="1" si="1400"/>
        <v>5</v>
      </c>
      <c r="K1713" s="228" t="str">
        <f t="shared" ca="1" si="1401"/>
        <v xml:space="preserve">   PISOS E PAVIMENTAÇÕES - BARRILETE / CAIXA DÁGUA / CASA DE MÁQUINAS</v>
      </c>
      <c r="L1713" s="231">
        <f t="shared" ca="1" si="1402"/>
        <v>1</v>
      </c>
      <c r="M1713" s="228" t="str">
        <f t="shared" ca="1" si="1403"/>
        <v xml:space="preserve">   Contrapiso</v>
      </c>
      <c r="N1713" s="231">
        <f t="shared" ca="1" si="1404"/>
        <v>1</v>
      </c>
      <c r="O1713" s="228" t="str">
        <f t="shared" ca="1" si="1405"/>
        <v>Contrapiso comum em argamassa estabilizada, nao aderido, espessura 8cm</v>
      </c>
      <c r="P1713" s="232" t="str">
        <f>IF(S1713="","",IF(Orçamento!$B1713="INSUMO",S1713,""))</f>
        <v>MANTA ACÚSTICA DE POLIETILENO</v>
      </c>
      <c r="Q1713" s="244" t="str">
        <f t="shared" si="1406"/>
        <v/>
      </c>
      <c r="R1713" s="234">
        <f t="shared" ca="1" si="1407"/>
        <v>16.739999999999998</v>
      </c>
      <c r="S1713" s="233" t="s">
        <v>1158</v>
      </c>
      <c r="T1713" s="242" t="str">
        <f>_xlfn.XLOOKUP(S1713,Insumos!$A$3:$A$371,Insumos!$B$3:$B$371)</f>
        <v>M2</v>
      </c>
      <c r="U1713" s="235">
        <f ca="1">IF($B1713="insumo",R1713,"")</f>
        <v>16.739999999999998</v>
      </c>
      <c r="V1713" s="320">
        <v>1</v>
      </c>
      <c r="W1713" s="236">
        <f>IFERROR(IF(B1713="INSUMO",_xlfn.XLOOKUP(S1713,Insumos!A:A,Insumos!C:C),""),"Inserir Preço")</f>
        <v>10.15</v>
      </c>
      <c r="X1713" s="235">
        <f t="shared" ca="1" si="1408"/>
        <v>16.739999999999998</v>
      </c>
      <c r="Y1713" s="236">
        <f t="shared" si="1394"/>
        <v>10.15</v>
      </c>
      <c r="Z1713" s="237">
        <f t="shared" ca="1" si="1350"/>
        <v>169.911</v>
      </c>
      <c r="AA1713" s="238"/>
      <c r="AB1713" s="233" t="str">
        <f>IF(B1713="insumo",_xlfn.XLOOKUP(S1713,Insumos!A:A,Insumos!D:D),"")</f>
        <v xml:space="preserve"> </v>
      </c>
      <c r="AC1713" s="239">
        <f t="shared" ca="1" si="1351"/>
        <v>2.4375282063337574E-5</v>
      </c>
      <c r="AE1713" s="240">
        <f ca="1">IFERROR(IF(OR(Z1713="",Z1713=0),"",IF(AF1713="","",IF(AF1713="R$/mês",Z1713/OBRA!$D$12,IF(AF1713="R$/m²",Z1713/OBRA!$D$10,IF(AF1713="R$/apto",Orçamento!Z1713/OBRA!$D$11,""))))),"")</f>
        <v>8.7437410908641794E-2</v>
      </c>
      <c r="AF1713" s="241" t="s">
        <v>154</v>
      </c>
    </row>
    <row r="1714" spans="1:32" s="10" customFormat="1" ht="13.15" hidden="1" customHeight="1" outlineLevel="4" x14ac:dyDescent="0.2">
      <c r="A1714" s="227"/>
      <c r="B1714" s="228" t="s">
        <v>4</v>
      </c>
      <c r="C1714" s="229">
        <f t="shared" si="1349"/>
        <v>1</v>
      </c>
      <c r="D1714" s="227" t="str">
        <f t="shared" ca="1" si="1395"/>
        <v>15.005.001.002</v>
      </c>
      <c r="E1714" s="228" t="str">
        <f t="shared" ca="1" si="1396"/>
        <v>15.005.001.002</v>
      </c>
      <c r="F1714" s="230">
        <f ca="1">IF($B1714="UNIDADE CONSTRUTIVA",OFFSET(F1714,-1,0)+1,LARGE(F$10:F1713,1))</f>
        <v>2</v>
      </c>
      <c r="G1714" s="228" t="str">
        <f t="shared" ca="1" si="1397"/>
        <v xml:space="preserve">   GERENCIAMENTO EXECUTIVO</v>
      </c>
      <c r="H1714" s="230">
        <f t="shared" ca="1" si="1398"/>
        <v>15</v>
      </c>
      <c r="I1714" s="228" t="str">
        <f t="shared" ca="1" si="1399"/>
        <v xml:space="preserve">   PISOS E PAVIMENTAÇÕES</v>
      </c>
      <c r="J1714" s="230">
        <f t="shared" ca="1" si="1400"/>
        <v>5</v>
      </c>
      <c r="K1714" s="228" t="str">
        <f t="shared" ca="1" si="1401"/>
        <v xml:space="preserve">   PISOS E PAVIMENTAÇÕES - BARRILETE / CAIXA DÁGUA / CASA DE MÁQUINAS</v>
      </c>
      <c r="L1714" s="231">
        <f t="shared" ca="1" si="1402"/>
        <v>1</v>
      </c>
      <c r="M1714" s="228" t="str">
        <f t="shared" ca="1" si="1403"/>
        <v xml:space="preserve">   Contrapiso</v>
      </c>
      <c r="N1714" s="231">
        <f t="shared" ca="1" si="1404"/>
        <v>2</v>
      </c>
      <c r="O1714" s="228" t="str">
        <f t="shared" ca="1" si="1405"/>
        <v>Contrapiso comum em argamassa estabilizada, nao aderido, espessura 14cm</v>
      </c>
      <c r="P1714" s="232" t="str">
        <f>IF(S1714="","",IF(Orçamento!$B1714="INSUMO",S1714,""))</f>
        <v/>
      </c>
      <c r="Q1714" s="244" t="str">
        <f t="shared" si="1406"/>
        <v>Contrapiso comum em argamassa estabilizada, nao aderido, espessura 14cm</v>
      </c>
      <c r="R1714" s="234">
        <f t="shared" ca="1" si="1407"/>
        <v>71.819999999999993</v>
      </c>
      <c r="S1714" s="233" t="s">
        <v>746</v>
      </c>
      <c r="T1714" s="242" t="s">
        <v>140</v>
      </c>
      <c r="U1714" s="235">
        <v>71.819999999999993</v>
      </c>
      <c r="V1714" s="320" t="s">
        <v>35</v>
      </c>
      <c r="W1714" s="236" t="str">
        <f>IFERROR(IF(B1714="INSUMO",_xlfn.XLOOKUP(S1714,Insumos!A:A,Insumos!C:C),""),"Inserir Preço")</f>
        <v/>
      </c>
      <c r="X1714" s="235">
        <f t="shared" ca="1" si="1408"/>
        <v>71.819999999999993</v>
      </c>
      <c r="Y1714" s="236">
        <f t="shared" ca="1" si="1394"/>
        <v>61.624999999999993</v>
      </c>
      <c r="Z1714" s="237">
        <f t="shared" ca="1" si="1350"/>
        <v>4425.9074999999993</v>
      </c>
      <c r="AA1714" s="238"/>
      <c r="AB1714" s="233" t="str">
        <f>IF(B1714="insumo",_xlfn.XLOOKUP(S1714,Insumos!A:A,Insumos!D:D),"")</f>
        <v/>
      </c>
      <c r="AC1714" s="239">
        <f t="shared" ca="1" si="1351"/>
        <v>6.3493678277887374E-4</v>
      </c>
      <c r="AE1714" s="240">
        <f ca="1">IFERROR(IF(OR(Z1714="",Z1714=0),"",IF(AF1714="","",IF(AF1714="R$/mês",Z1714/OBRA!$D$12,IF(AF1714="R$/m²",Z1714/OBRA!$D$10,IF(AF1714="R$/apto",Orçamento!Z1714/OBRA!$D$11,""))))),"")</f>
        <v>2.2776035260880079</v>
      </c>
      <c r="AF1714" s="241" t="s">
        <v>154</v>
      </c>
    </row>
    <row r="1715" spans="1:32" s="10" customFormat="1" ht="13.15" hidden="1" customHeight="1" outlineLevel="4" x14ac:dyDescent="0.2">
      <c r="A1715" s="227"/>
      <c r="B1715" s="228" t="s">
        <v>19</v>
      </c>
      <c r="C1715" s="229">
        <f t="shared" si="1349"/>
        <v>11</v>
      </c>
      <c r="D1715" s="227" t="str">
        <f t="shared" si="1395"/>
        <v/>
      </c>
      <c r="E1715" s="228" t="str">
        <f t="shared" ca="1" si="1396"/>
        <v>15.005.001.002</v>
      </c>
      <c r="F1715" s="230">
        <f ca="1">IF($B1715="UNIDADE CONSTRUTIVA",OFFSET(F1715,-1,0)+1,LARGE(F$10:F1714,1))</f>
        <v>2</v>
      </c>
      <c r="G1715" s="228" t="str">
        <f t="shared" ca="1" si="1397"/>
        <v xml:space="preserve">   GERENCIAMENTO EXECUTIVO</v>
      </c>
      <c r="H1715" s="230">
        <f t="shared" ca="1" si="1398"/>
        <v>15</v>
      </c>
      <c r="I1715" s="228" t="str">
        <f t="shared" ca="1" si="1399"/>
        <v xml:space="preserve">   PISOS E PAVIMENTAÇÕES</v>
      </c>
      <c r="J1715" s="230">
        <f t="shared" ca="1" si="1400"/>
        <v>5</v>
      </c>
      <c r="K1715" s="228" t="str">
        <f t="shared" ca="1" si="1401"/>
        <v xml:space="preserve">   PISOS E PAVIMENTAÇÕES - BARRILETE / CAIXA DÁGUA / CASA DE MÁQUINAS</v>
      </c>
      <c r="L1715" s="231">
        <f t="shared" ca="1" si="1402"/>
        <v>1</v>
      </c>
      <c r="M1715" s="228" t="str">
        <f t="shared" ca="1" si="1403"/>
        <v xml:space="preserve">   Contrapiso</v>
      </c>
      <c r="N1715" s="231">
        <f t="shared" ca="1" si="1404"/>
        <v>2</v>
      </c>
      <c r="O1715" s="228" t="str">
        <f t="shared" ca="1" si="1405"/>
        <v>Contrapiso comum em argamassa estabilizada, nao aderido, espessura 14cm</v>
      </c>
      <c r="P1715" s="232" t="str">
        <f>IF(S1715="","",IF(Orçamento!$B1715="INSUMO",S1715,""))</f>
        <v>ARGAMASSA ESTABILIZADA P/ CONTRAPISO</v>
      </c>
      <c r="Q1715" s="244" t="str">
        <f t="shared" si="1406"/>
        <v/>
      </c>
      <c r="R1715" s="234">
        <f t="shared" ca="1" si="1407"/>
        <v>71.819999999999993</v>
      </c>
      <c r="S1715" s="233" t="s">
        <v>277</v>
      </c>
      <c r="T1715" s="242" t="str">
        <f>_xlfn.XLOOKUP(S1715,Insumos!$A$3:$A$371,Insumos!$B$3:$B$371)</f>
        <v>M3</v>
      </c>
      <c r="U1715" s="235">
        <f ca="1">IF($B1715="insumo",R1715,"")</f>
        <v>71.819999999999993</v>
      </c>
      <c r="V1715" s="320">
        <v>0.14499999999999999</v>
      </c>
      <c r="W1715" s="236">
        <f>IFERROR(IF(B1715="INSUMO",_xlfn.XLOOKUP(S1715,Insumos!A:A,Insumos!C:C),""),"Inserir Preço")</f>
        <v>425</v>
      </c>
      <c r="X1715" s="235">
        <f t="shared" ca="1" si="1408"/>
        <v>10.413899999999998</v>
      </c>
      <c r="Y1715" s="236">
        <f t="shared" si="1394"/>
        <v>61.624999999999993</v>
      </c>
      <c r="Z1715" s="237">
        <f t="shared" ca="1" si="1350"/>
        <v>4425.9074999999993</v>
      </c>
      <c r="AA1715" s="238"/>
      <c r="AB1715" s="233" t="str">
        <f>IF(B1715="insumo",_xlfn.XLOOKUP(S1715,Insumos!A:A,Insumos!D:D),"")</f>
        <v xml:space="preserve"> </v>
      </c>
      <c r="AC1715" s="239">
        <f t="shared" ca="1" si="1351"/>
        <v>6.3493678277887374E-4</v>
      </c>
      <c r="AE1715" s="240">
        <f ca="1">IFERROR(IF(OR(Z1715="",Z1715=0),"",IF(AF1715="","",IF(AF1715="R$/mês",Z1715/OBRA!$D$12,IF(AF1715="R$/m²",Z1715/OBRA!$D$10,IF(AF1715="R$/apto",Orçamento!Z1715/OBRA!$D$11,""))))),"")</f>
        <v>2.2776035260880079</v>
      </c>
      <c r="AF1715" s="241" t="s">
        <v>154</v>
      </c>
    </row>
    <row r="1716" spans="1:32" s="10" customFormat="1" ht="13.15" hidden="1" customHeight="1" outlineLevel="3" collapsed="1" x14ac:dyDescent="0.2">
      <c r="A1716" s="227"/>
      <c r="B1716" s="228" t="s">
        <v>3</v>
      </c>
      <c r="C1716" s="229" t="str">
        <f t="shared" si="1349"/>
        <v/>
      </c>
      <c r="D1716" s="227" t="str">
        <f t="shared" ref="D1716:D1721" ca="1" si="1409">IF(B1716="Unidade Construtiva",TEXT(F1716,"00"),IF(B1716="Célula Construtiva",TEXT(H1716,"00"),IF(B1716="Etapa",CONCATENATE(TEXT(H1716,"00"),".",TEXT(J1716,"000")),IF(B1716="Subetapa",CONCATENATE(TEXT(H1716,"00"),".",TEXT(J1716,"000"),".",TEXT(L1716,"000")),IF(B1716="Serviço",CONCATENATE(TEXT(H1716,"00"),".",TEXT(J1716,"000"),".",TEXT(L1716,"000"),".",TEXT(N1716,"000")),"")))))</f>
        <v>15.005.002</v>
      </c>
      <c r="E1716" s="228" t="str">
        <f t="shared" ref="E1716:E1721" ca="1" si="1410">IF(B1716="*","",IFERROR(IF(B1716="SERVIÇO",D1716,OFFSET(E1716,-1,0)),""))</f>
        <v>15.005.001.002</v>
      </c>
      <c r="F1716" s="230">
        <f ca="1">IF($B1716="UNIDADE CONSTRUTIVA",OFFSET(F1716,-1,0)+1,LARGE(F$10:F1715,1))</f>
        <v>2</v>
      </c>
      <c r="G1716" s="228" t="str">
        <f t="shared" ref="G1716:G1721" ca="1" si="1411">IF(B1716="*","",IF(B1716="UNIDADE CONSTRUTIVA",S1716,OFFSET(G1716,-1,0)))</f>
        <v xml:space="preserve">   GERENCIAMENTO EXECUTIVO</v>
      </c>
      <c r="H1716" s="230">
        <f t="shared" ref="H1716:H1721" ca="1" si="1412">IF(B1716="UNIDADE CONSTRUTIVA",0,IF(B1716="CÉLULA CONSTRUTIVA",OFFSET(H1716,-1,0)+1,OFFSET(H1716,-1,0)))</f>
        <v>15</v>
      </c>
      <c r="I1716" s="228" t="str">
        <f t="shared" ref="I1716:I1721" ca="1" si="1413">IF(B1716="*","",IF(B1716="CÉLULA CONSTRUTIVA",S1716,OFFSET(I1716,-1,0)))</f>
        <v xml:space="preserve">   PISOS E PAVIMENTAÇÕES</v>
      </c>
      <c r="J1716" s="230">
        <f t="shared" ref="J1716:J1721" ca="1" si="1414">IF(B1716="CÉLULA CONSTRUTIVA",0,IF(B1716="ETAPA",OFFSET(J1716,-1,0)+1,OFFSET(J1716,-1,0)))</f>
        <v>5</v>
      </c>
      <c r="K1716" s="228" t="str">
        <f t="shared" ref="K1716:K1721" ca="1" si="1415">IF(B1716="*","",IF(B1716="ETAPA",S1716,OFFSET(K1716,-1,0)))</f>
        <v xml:space="preserve">   PISOS E PAVIMENTAÇÕES - BARRILETE / CAIXA DÁGUA / CASA DE MÁQUINAS</v>
      </c>
      <c r="L1716" s="231">
        <f t="shared" ref="L1716:L1721" ca="1" si="1416">IF(B1716="ETAPA",0,IF(B1716="SUBETAPA",OFFSET(L1716,-1,0)+1,OFFSET(L1716,-1,0)))</f>
        <v>2</v>
      </c>
      <c r="M1716" s="228" t="str">
        <f t="shared" ref="M1716:M1721" ca="1" si="1417">IF(B1716="*","",IF(B1716="SUBETAPA",S1716,OFFSET(M1716,-1,0)))</f>
        <v xml:space="preserve">   Soleiras</v>
      </c>
      <c r="N1716" s="231">
        <f t="shared" ref="N1716:N1721" ca="1" si="1418">IF(B1716="Subetapa",0,IF(B1716="serviço",OFFSET(N1716,-1,0)+1,OFFSET(N1716,-1,0)))</f>
        <v>0</v>
      </c>
      <c r="O1716" s="228" t="str">
        <f t="shared" ref="O1716:O1721" ca="1" si="1419">IF(B1716="*","",IF(B1716="SERVIÇO",S1716,OFFSET(O1716,-1,0)))</f>
        <v>Contrapiso comum em argamassa estabilizada, nao aderido, espessura 14cm</v>
      </c>
      <c r="P1716" s="232" t="str">
        <f>IF(S1716="","",IF(Orçamento!$B1716="INSUMO",S1716,""))</f>
        <v/>
      </c>
      <c r="Q1716" s="244" t="str">
        <f t="shared" ref="Q1716:Q1721" si="1420">IF(B1716="","",IF(B1716="Serviço",S1716,""))</f>
        <v/>
      </c>
      <c r="R1716" s="234">
        <f t="shared" ref="R1716:R1721" ca="1" si="1421">IF(B1716="serviço",U1716,OFFSET(R1716,-1,0))</f>
        <v>71.819999999999993</v>
      </c>
      <c r="S1716" s="233" t="s">
        <v>491</v>
      </c>
      <c r="T1716" s="242" t="s">
        <v>35</v>
      </c>
      <c r="U1716" s="235" t="str">
        <f>IF($B1716="insumo",R1716,"")</f>
        <v/>
      </c>
      <c r="V1716" s="320" t="s">
        <v>35</v>
      </c>
      <c r="W1716" s="236" t="str">
        <f>IFERROR(IF(B1716="INSUMO",_xlfn.XLOOKUP(S1716,Insumos!A:A,Insumos!C:C),""),"Inserir Preço")</f>
        <v/>
      </c>
      <c r="X1716" s="235" t="str">
        <f t="shared" ref="X1716:X1721" ca="1" si="1422">IF(B1716="Complemento do insumo",V1716,IF(R1716="","",IF(B1716="serviço",R1716,IF(OR(B1716="insumo"),V1716*R1716,""))))</f>
        <v/>
      </c>
      <c r="Y1716" s="236" t="str">
        <f t="shared" si="1394"/>
        <v/>
      </c>
      <c r="Z1716" s="237">
        <f t="shared" ca="1" si="1350"/>
        <v>162.33750000000001</v>
      </c>
      <c r="AA1716" s="238"/>
      <c r="AB1716" s="233" t="str">
        <f>IF(B1716="insumo",_xlfn.XLOOKUP(S1716,Insumos!A:A,Insumos!D:D),"")</f>
        <v/>
      </c>
      <c r="AC1716" s="239">
        <f t="shared" ca="1" si="1351"/>
        <v>2.3288794439189124E-5</v>
      </c>
      <c r="AE1716" s="240">
        <f ca="1">IFERROR(IF(OR(Z1716="",Z1716=0),"",IF(AF1716="","",IF(AF1716="R$/mês",Z1716/OBRA!$D$12,IF(AF1716="R$/m²",Z1716/OBRA!$D$10,IF(AF1716="R$/apto",Orçamento!Z1716/OBRA!$D$11,""))))),"")</f>
        <v>8.3540033861148708E-2</v>
      </c>
      <c r="AF1716" s="241" t="s">
        <v>154</v>
      </c>
    </row>
    <row r="1717" spans="1:32" s="10" customFormat="1" ht="13.15" hidden="1" customHeight="1" outlineLevel="4" x14ac:dyDescent="0.2">
      <c r="A1717" s="227"/>
      <c r="B1717" s="228" t="s">
        <v>4</v>
      </c>
      <c r="C1717" s="229">
        <f t="shared" si="1349"/>
        <v>5</v>
      </c>
      <c r="D1717" s="227" t="str">
        <f t="shared" ca="1" si="1409"/>
        <v>15.005.002.001</v>
      </c>
      <c r="E1717" s="228" t="str">
        <f t="shared" ca="1" si="1410"/>
        <v>15.005.002.001</v>
      </c>
      <c r="F1717" s="230">
        <f ca="1">IF($B1717="UNIDADE CONSTRUTIVA",OFFSET(F1717,-1,0)+1,LARGE(F$10:F1716,1))</f>
        <v>2</v>
      </c>
      <c r="G1717" s="228" t="str">
        <f t="shared" ca="1" si="1411"/>
        <v xml:space="preserve">   GERENCIAMENTO EXECUTIVO</v>
      </c>
      <c r="H1717" s="230">
        <f t="shared" ca="1" si="1412"/>
        <v>15</v>
      </c>
      <c r="I1717" s="228" t="str">
        <f t="shared" ca="1" si="1413"/>
        <v xml:space="preserve">   PISOS E PAVIMENTAÇÕES</v>
      </c>
      <c r="J1717" s="230">
        <f t="shared" ca="1" si="1414"/>
        <v>5</v>
      </c>
      <c r="K1717" s="228" t="str">
        <f t="shared" ca="1" si="1415"/>
        <v xml:space="preserve">   PISOS E PAVIMENTAÇÕES - BARRILETE / CAIXA DÁGUA / CASA DE MÁQUINAS</v>
      </c>
      <c r="L1717" s="231">
        <f t="shared" ca="1" si="1416"/>
        <v>2</v>
      </c>
      <c r="M1717" s="228" t="str">
        <f t="shared" ca="1" si="1417"/>
        <v xml:space="preserve">   Soleiras</v>
      </c>
      <c r="N1717" s="231">
        <f t="shared" ca="1" si="1418"/>
        <v>1</v>
      </c>
      <c r="O1717" s="228" t="str">
        <f t="shared" ca="1" si="1419"/>
        <v>Soleira em granito, acabamento polido, espessura 2cm</v>
      </c>
      <c r="P1717" s="232" t="str">
        <f>IF(S1717="","",IF(Orçamento!$B1717="INSUMO",S1717,""))</f>
        <v/>
      </c>
      <c r="Q1717" s="244" t="str">
        <f t="shared" si="1420"/>
        <v>Soleira em granito, acabamento polido, espessura 2cm</v>
      </c>
      <c r="R1717" s="234">
        <f t="shared" ca="1" si="1421"/>
        <v>0.25</v>
      </c>
      <c r="S1717" s="233" t="s">
        <v>492</v>
      </c>
      <c r="T1717" s="242" t="s">
        <v>140</v>
      </c>
      <c r="U1717" s="235">
        <v>0.25</v>
      </c>
      <c r="V1717" s="320" t="s">
        <v>35</v>
      </c>
      <c r="W1717" s="236" t="str">
        <f>IFERROR(IF(B1717="INSUMO",_xlfn.XLOOKUP(S1717,Insumos!A:A,Insumos!C:C),""),"Inserir Preço")</f>
        <v/>
      </c>
      <c r="X1717" s="235">
        <f t="shared" ca="1" si="1422"/>
        <v>0.25</v>
      </c>
      <c r="Y1717" s="236">
        <f t="shared" ca="1" si="1394"/>
        <v>649.35</v>
      </c>
      <c r="Z1717" s="237">
        <f t="shared" ca="1" si="1350"/>
        <v>162.33750000000001</v>
      </c>
      <c r="AA1717" s="238"/>
      <c r="AB1717" s="233" t="str">
        <f>IF(B1717="insumo",_xlfn.XLOOKUP(S1717,Insumos!A:A,Insumos!D:D),"")</f>
        <v/>
      </c>
      <c r="AC1717" s="239">
        <f t="shared" ca="1" si="1351"/>
        <v>2.3288794439189124E-5</v>
      </c>
      <c r="AE1717" s="240">
        <f ca="1">IFERROR(IF(OR(Z1717="",Z1717=0),"",IF(AF1717="","",IF(AF1717="R$/mês",Z1717/OBRA!$D$12,IF(AF1717="R$/m²",Z1717/OBRA!$D$10,IF(AF1717="R$/apto",Orçamento!Z1717/OBRA!$D$11,""))))),"")</f>
        <v>8.3540033861148708E-2</v>
      </c>
      <c r="AF1717" s="241" t="s">
        <v>154</v>
      </c>
    </row>
    <row r="1718" spans="1:32" s="10" customFormat="1" ht="13.15" hidden="1" customHeight="1" outlineLevel="4" x14ac:dyDescent="0.2">
      <c r="A1718" s="227"/>
      <c r="B1718" s="228" t="s">
        <v>19</v>
      </c>
      <c r="C1718" s="229">
        <f t="shared" si="1349"/>
        <v>16</v>
      </c>
      <c r="D1718" s="227" t="str">
        <f t="shared" si="1409"/>
        <v/>
      </c>
      <c r="E1718" s="228" t="str">
        <f t="shared" ca="1" si="1410"/>
        <v>15.005.002.001</v>
      </c>
      <c r="F1718" s="230">
        <f ca="1">IF($B1718="UNIDADE CONSTRUTIVA",OFFSET(F1718,-1,0)+1,LARGE(F$10:F1717,1))</f>
        <v>2</v>
      </c>
      <c r="G1718" s="228" t="str">
        <f t="shared" ca="1" si="1411"/>
        <v xml:space="preserve">   GERENCIAMENTO EXECUTIVO</v>
      </c>
      <c r="H1718" s="230">
        <f t="shared" ca="1" si="1412"/>
        <v>15</v>
      </c>
      <c r="I1718" s="228" t="str">
        <f t="shared" ca="1" si="1413"/>
        <v xml:space="preserve">   PISOS E PAVIMENTAÇÕES</v>
      </c>
      <c r="J1718" s="230">
        <f t="shared" ca="1" si="1414"/>
        <v>5</v>
      </c>
      <c r="K1718" s="228" t="str">
        <f t="shared" ca="1" si="1415"/>
        <v xml:space="preserve">   PISOS E PAVIMENTAÇÕES - BARRILETE / CAIXA DÁGUA / CASA DE MÁQUINAS</v>
      </c>
      <c r="L1718" s="231">
        <f t="shared" ca="1" si="1416"/>
        <v>2</v>
      </c>
      <c r="M1718" s="228" t="str">
        <f t="shared" ca="1" si="1417"/>
        <v xml:space="preserve">   Soleiras</v>
      </c>
      <c r="N1718" s="231">
        <f t="shared" ca="1" si="1418"/>
        <v>1</v>
      </c>
      <c r="O1718" s="228" t="str">
        <f t="shared" ca="1" si="1419"/>
        <v>Soleira em granito, acabamento polido, espessura 2cm</v>
      </c>
      <c r="P1718" s="232" t="str">
        <f>IF(S1718="","",IF(Orçamento!$B1718="INSUMO",S1718,""))</f>
        <v>ARGAMASSA COLANTE AC III</v>
      </c>
      <c r="Q1718" s="244" t="str">
        <f t="shared" si="1420"/>
        <v/>
      </c>
      <c r="R1718" s="234">
        <f t="shared" ca="1" si="1421"/>
        <v>0.25</v>
      </c>
      <c r="S1718" s="233" t="s">
        <v>357</v>
      </c>
      <c r="T1718" s="242" t="str">
        <f>_xlfn.XLOOKUP(S1718,Insumos!$A$3:$A$371,Insumos!$B$3:$B$371)</f>
        <v>KG</v>
      </c>
      <c r="U1718" s="235">
        <f ca="1">IF($B1718="insumo",R1718,"")</f>
        <v>0.25</v>
      </c>
      <c r="V1718" s="320">
        <v>10</v>
      </c>
      <c r="W1718" s="236">
        <f>IFERROR(IF(B1718="INSUMO",_xlfn.XLOOKUP(S1718,Insumos!A:A,Insumos!C:C),""),"Inserir Preço")</f>
        <v>0.92500000000000004</v>
      </c>
      <c r="X1718" s="235">
        <f t="shared" ca="1" si="1422"/>
        <v>2.5</v>
      </c>
      <c r="Y1718" s="236">
        <f t="shared" si="1394"/>
        <v>9.25</v>
      </c>
      <c r="Z1718" s="237">
        <f t="shared" ca="1" si="1350"/>
        <v>2.3125</v>
      </c>
      <c r="AA1718" s="238"/>
      <c r="AB1718" s="233" t="str">
        <f>IF(B1718="insumo",_xlfn.XLOOKUP(S1718,Insumos!A:A,Insumos!D:D),"")</f>
        <v>Argabrus</v>
      </c>
      <c r="AC1718" s="239">
        <f t="shared" ca="1" si="1351"/>
        <v>3.3174920853545762E-7</v>
      </c>
      <c r="AE1718" s="240">
        <f ca="1">IFERROR(IF(OR(Z1718="",Z1718=0),"",IF(AF1718="","",IF(AF1718="R$/mês",Z1718/OBRA!$D$12,IF(AF1718="R$/m²",Z1718/OBRA!$D$10,IF(AF1718="R$/apto",Orçamento!Z1718/OBRA!$D$11,""))))),"")</f>
        <v>1.1900289723810356E-3</v>
      </c>
      <c r="AF1718" s="241" t="s">
        <v>154</v>
      </c>
    </row>
    <row r="1719" spans="1:32" s="10" customFormat="1" ht="13.15" hidden="1" customHeight="1" outlineLevel="4" x14ac:dyDescent="0.2">
      <c r="A1719" s="227"/>
      <c r="B1719" s="228" t="s">
        <v>19</v>
      </c>
      <c r="C1719" s="229">
        <f t="shared" si="1349"/>
        <v>32</v>
      </c>
      <c r="D1719" s="227" t="str">
        <f t="shared" si="1409"/>
        <v/>
      </c>
      <c r="E1719" s="228" t="str">
        <f t="shared" ca="1" si="1410"/>
        <v>15.005.002.001</v>
      </c>
      <c r="F1719" s="230">
        <f ca="1">IF($B1719="UNIDADE CONSTRUTIVA",OFFSET(F1719,-1,0)+1,LARGE(F$10:F1718,1))</f>
        <v>2</v>
      </c>
      <c r="G1719" s="228" t="str">
        <f t="shared" ca="1" si="1411"/>
        <v xml:space="preserve">   GERENCIAMENTO EXECUTIVO</v>
      </c>
      <c r="H1719" s="230">
        <f t="shared" ca="1" si="1412"/>
        <v>15</v>
      </c>
      <c r="I1719" s="228" t="str">
        <f t="shared" ca="1" si="1413"/>
        <v xml:space="preserve">   PISOS E PAVIMENTAÇÕES</v>
      </c>
      <c r="J1719" s="230">
        <f t="shared" ca="1" si="1414"/>
        <v>5</v>
      </c>
      <c r="K1719" s="228" t="str">
        <f t="shared" ca="1" si="1415"/>
        <v xml:space="preserve">   PISOS E PAVIMENTAÇÕES - BARRILETE / CAIXA DÁGUA / CASA DE MÁQUINAS</v>
      </c>
      <c r="L1719" s="231">
        <f t="shared" ca="1" si="1416"/>
        <v>2</v>
      </c>
      <c r="M1719" s="228" t="str">
        <f t="shared" ca="1" si="1417"/>
        <v xml:space="preserve">   Soleiras</v>
      </c>
      <c r="N1719" s="231">
        <f t="shared" ca="1" si="1418"/>
        <v>1</v>
      </c>
      <c r="O1719" s="228" t="str">
        <f t="shared" ca="1" si="1419"/>
        <v>Soleira em granito, acabamento polido, espessura 2cm</v>
      </c>
      <c r="P1719" s="232" t="str">
        <f>IF(S1719="","",IF(Orçamento!$B1719="INSUMO",S1719,""))</f>
        <v>REJUNTE FLEXIVEL CIMENTICIO TIPO II NBR 14992</v>
      </c>
      <c r="Q1719" s="244" t="str">
        <f t="shared" si="1420"/>
        <v/>
      </c>
      <c r="R1719" s="234">
        <f t="shared" ca="1" si="1421"/>
        <v>0.25</v>
      </c>
      <c r="S1719" s="233" t="s">
        <v>734</v>
      </c>
      <c r="T1719" s="242" t="str">
        <f>_xlfn.XLOOKUP(S1719,Insumos!$A$3:$A$371,Insumos!$B$3:$B$371)</f>
        <v>KG</v>
      </c>
      <c r="U1719" s="235">
        <f ca="1">IF($B1719="insumo",R1719,"")</f>
        <v>0.25</v>
      </c>
      <c r="V1719" s="320">
        <v>0.5</v>
      </c>
      <c r="W1719" s="236">
        <f>IFERROR(IF(B1719="INSUMO",_xlfn.XLOOKUP(S1719,Insumos!A:A,Insumos!C:C),""),"Inserir Preço")</f>
        <v>4.2</v>
      </c>
      <c r="X1719" s="235">
        <f t="shared" ca="1" si="1422"/>
        <v>0.125</v>
      </c>
      <c r="Y1719" s="236">
        <f t="shared" si="1394"/>
        <v>2.1</v>
      </c>
      <c r="Z1719" s="237">
        <f t="shared" ca="1" si="1350"/>
        <v>0.52500000000000002</v>
      </c>
      <c r="AA1719" s="238"/>
      <c r="AB1719" s="233" t="str">
        <f>IF(B1719="insumo",_xlfn.XLOOKUP(S1719,Insumos!A:A,Insumos!D:D),"")</f>
        <v>Distribuidora Sika</v>
      </c>
      <c r="AC1719" s="239">
        <f t="shared" ca="1" si="1351"/>
        <v>7.5316036532374166E-8</v>
      </c>
      <c r="AE1719" s="240">
        <f ca="1">IFERROR(IF(OR(Z1719="",Z1719=0),"",IF(AF1719="","",IF(AF1719="R$/mês",Z1719/OBRA!$D$12,IF(AF1719="R$/m²",Z1719/OBRA!$D$10,IF(AF1719="R$/apto",Orçamento!Z1719/OBRA!$D$11,""))))),"")</f>
        <v>2.701687396756946E-4</v>
      </c>
      <c r="AF1719" s="241" t="s">
        <v>154</v>
      </c>
    </row>
    <row r="1720" spans="1:32" s="10" customFormat="1" ht="13.15" hidden="1" customHeight="1" outlineLevel="4" x14ac:dyDescent="0.2">
      <c r="A1720" s="227"/>
      <c r="B1720" s="228" t="s">
        <v>19</v>
      </c>
      <c r="C1720" s="229">
        <f t="shared" si="1349"/>
        <v>11</v>
      </c>
      <c r="D1720" s="227" t="str">
        <f t="shared" si="1409"/>
        <v/>
      </c>
      <c r="E1720" s="228" t="str">
        <f t="shared" ca="1" si="1410"/>
        <v>15.005.002.001</v>
      </c>
      <c r="F1720" s="230">
        <f ca="1">IF($B1720="UNIDADE CONSTRUTIVA",OFFSET(F1720,-1,0)+1,LARGE(F$10:F1719,1))</f>
        <v>2</v>
      </c>
      <c r="G1720" s="228" t="str">
        <f t="shared" ca="1" si="1411"/>
        <v xml:space="preserve">   GERENCIAMENTO EXECUTIVO</v>
      </c>
      <c r="H1720" s="230">
        <f t="shared" ca="1" si="1412"/>
        <v>15</v>
      </c>
      <c r="I1720" s="228" t="str">
        <f t="shared" ca="1" si="1413"/>
        <v xml:space="preserve">   PISOS E PAVIMENTAÇÕES</v>
      </c>
      <c r="J1720" s="230">
        <f t="shared" ca="1" si="1414"/>
        <v>5</v>
      </c>
      <c r="K1720" s="228" t="str">
        <f t="shared" ca="1" si="1415"/>
        <v xml:space="preserve">   PISOS E PAVIMENTAÇÕES - BARRILETE / CAIXA DÁGUA / CASA DE MÁQUINAS</v>
      </c>
      <c r="L1720" s="231">
        <f t="shared" ca="1" si="1416"/>
        <v>2</v>
      </c>
      <c r="M1720" s="228" t="str">
        <f t="shared" ca="1" si="1417"/>
        <v xml:space="preserve">   Soleiras</v>
      </c>
      <c r="N1720" s="231">
        <f t="shared" ca="1" si="1418"/>
        <v>1</v>
      </c>
      <c r="O1720" s="228" t="str">
        <f t="shared" ca="1" si="1419"/>
        <v>Soleira em granito, acabamento polido, espessura 2cm</v>
      </c>
      <c r="P1720" s="232" t="str">
        <f>IF(S1720="","",IF(Orçamento!$B1720="INSUMO",S1720,""))</f>
        <v>GRANITO POLIDO</v>
      </c>
      <c r="Q1720" s="244" t="str">
        <f t="shared" si="1420"/>
        <v/>
      </c>
      <c r="R1720" s="234">
        <f t="shared" ca="1" si="1421"/>
        <v>0.25</v>
      </c>
      <c r="S1720" s="233" t="s">
        <v>286</v>
      </c>
      <c r="T1720" s="242" t="str">
        <f>_xlfn.XLOOKUP(S1720,Insumos!$A$3:$A$371,Insumos!$B$3:$B$371)</f>
        <v>M2</v>
      </c>
      <c r="U1720" s="235">
        <f ca="1">IF($B1720="insumo",R1720,"")</f>
        <v>0.25</v>
      </c>
      <c r="V1720" s="320">
        <v>1</v>
      </c>
      <c r="W1720" s="236">
        <f>IFERROR(IF(B1720="INSUMO",_xlfn.XLOOKUP(S1720,Insumos!A:A,Insumos!C:C),""),"Inserir Preço")</f>
        <v>638</v>
      </c>
      <c r="X1720" s="235">
        <f t="shared" ca="1" si="1422"/>
        <v>0.25</v>
      </c>
      <c r="Y1720" s="236">
        <f t="shared" si="1394"/>
        <v>638</v>
      </c>
      <c r="Z1720" s="237">
        <f t="shared" ca="1" si="1350"/>
        <v>159.5</v>
      </c>
      <c r="AA1720" s="238"/>
      <c r="AB1720" s="233" t="str">
        <f>IF(B1720="insumo",_xlfn.XLOOKUP(S1720,Insumos!A:A,Insumos!D:D),"")</f>
        <v xml:space="preserve"> </v>
      </c>
      <c r="AC1720" s="239">
        <f t="shared" ca="1" si="1351"/>
        <v>2.2881729194121294E-5</v>
      </c>
      <c r="AE1720" s="240">
        <f ca="1">IFERROR(IF(OR(Z1720="",Z1720=0),"",IF(AF1720="","",IF(AF1720="R$/mês",Z1720/OBRA!$D$12,IF(AF1720="R$/m²",Z1720/OBRA!$D$10,IF(AF1720="R$/apto",Orçamento!Z1720/OBRA!$D$11,""))))),"")</f>
        <v>8.2079836149091978E-2</v>
      </c>
      <c r="AF1720" s="241" t="s">
        <v>154</v>
      </c>
    </row>
    <row r="1721" spans="1:32" s="10" customFormat="1" ht="13.15" hidden="1" customHeight="1" outlineLevel="3" collapsed="1" x14ac:dyDescent="0.2">
      <c r="A1721" s="227"/>
      <c r="B1721" s="228" t="s">
        <v>3</v>
      </c>
      <c r="C1721" s="229" t="str">
        <f t="shared" si="1349"/>
        <v/>
      </c>
      <c r="D1721" s="227" t="str">
        <f t="shared" ca="1" si="1409"/>
        <v>15.005.003</v>
      </c>
      <c r="E1721" s="228" t="str">
        <f t="shared" ca="1" si="1410"/>
        <v>15.005.002.001</v>
      </c>
      <c r="F1721" s="230">
        <f ca="1">IF($B1721="UNIDADE CONSTRUTIVA",OFFSET(F1721,-1,0)+1,LARGE(F$10:F1720,1))</f>
        <v>2</v>
      </c>
      <c r="G1721" s="228" t="str">
        <f t="shared" ca="1" si="1411"/>
        <v xml:space="preserve">   GERENCIAMENTO EXECUTIVO</v>
      </c>
      <c r="H1721" s="230">
        <f t="shared" ca="1" si="1412"/>
        <v>15</v>
      </c>
      <c r="I1721" s="228" t="str">
        <f t="shared" ca="1" si="1413"/>
        <v xml:space="preserve">   PISOS E PAVIMENTAÇÕES</v>
      </c>
      <c r="J1721" s="230">
        <f t="shared" ca="1" si="1414"/>
        <v>5</v>
      </c>
      <c r="K1721" s="228" t="str">
        <f t="shared" ca="1" si="1415"/>
        <v xml:space="preserve">   PISOS E PAVIMENTAÇÕES - BARRILETE / CAIXA DÁGUA / CASA DE MÁQUINAS</v>
      </c>
      <c r="L1721" s="231">
        <f t="shared" ca="1" si="1416"/>
        <v>3</v>
      </c>
      <c r="M1721" s="228" t="str">
        <f t="shared" ca="1" si="1417"/>
        <v xml:space="preserve">   Mão de Obra</v>
      </c>
      <c r="N1721" s="231">
        <f t="shared" ca="1" si="1418"/>
        <v>0</v>
      </c>
      <c r="O1721" s="228" t="str">
        <f t="shared" ca="1" si="1419"/>
        <v>Soleira em granito, acabamento polido, espessura 2cm</v>
      </c>
      <c r="P1721" s="232" t="str">
        <f>IF(S1721="","",IF(Orçamento!$B1721="INSUMO",S1721,""))</f>
        <v/>
      </c>
      <c r="Q1721" s="244" t="str">
        <f t="shared" si="1420"/>
        <v/>
      </c>
      <c r="R1721" s="234">
        <f t="shared" ca="1" si="1421"/>
        <v>0.25</v>
      </c>
      <c r="S1721" s="233" t="s">
        <v>438</v>
      </c>
      <c r="T1721" s="242" t="s">
        <v>35</v>
      </c>
      <c r="U1721" s="235" t="str">
        <f>IF($B1721="insumo",R1721,"")</f>
        <v/>
      </c>
      <c r="V1721" s="320" t="s">
        <v>35</v>
      </c>
      <c r="W1721" s="236" t="str">
        <f>IFERROR(IF(B1721="INSUMO",_xlfn.XLOOKUP(S1721,Insumos!A:A,Insumos!C:C),""),"Inserir Preço")</f>
        <v/>
      </c>
      <c r="X1721" s="235" t="str">
        <f t="shared" ca="1" si="1422"/>
        <v/>
      </c>
      <c r="Y1721" s="236" t="str">
        <f t="shared" si="1394"/>
        <v/>
      </c>
      <c r="Z1721" s="237">
        <f t="shared" ca="1" si="1350"/>
        <v>1948.7607058784426</v>
      </c>
      <c r="AA1721" s="238"/>
      <c r="AB1721" s="233" t="str">
        <f>IF(B1721="insumo",_xlfn.XLOOKUP(S1721,Insumos!A:A,Insumos!D:D),"")</f>
        <v/>
      </c>
      <c r="AC1721" s="239">
        <f t="shared" ca="1" si="1351"/>
        <v>2.7956749050818294E-4</v>
      </c>
      <c r="AE1721" s="240">
        <f ca="1">IFERROR(IF(OR(Z1721="",Z1721=0),"",IF(AF1721="","",IF(AF1721="R$/mês",Z1721/OBRA!$D$12,IF(AF1721="R$/m²",Z1721/OBRA!$D$10,IF(AF1721="R$/apto",Orçamento!Z1721/OBRA!$D$11,""))))),"")</f>
        <v>1.0028461406413254</v>
      </c>
      <c r="AF1721" s="241" t="s">
        <v>154</v>
      </c>
    </row>
    <row r="1722" spans="1:32" s="10" customFormat="1" ht="13.15" hidden="1" customHeight="1" outlineLevel="4" x14ac:dyDescent="0.2">
      <c r="A1722" s="227"/>
      <c r="B1722" s="228" t="s">
        <v>4</v>
      </c>
      <c r="C1722" s="229">
        <f t="shared" si="1349"/>
        <v>5</v>
      </c>
      <c r="D1722" s="227" t="str">
        <f t="shared" ref="D1722:D1727" ca="1" si="1423">IF(B1722="Unidade Construtiva",TEXT(F1722,"00"),IF(B1722="Célula Construtiva",TEXT(H1722,"00"),IF(B1722="Etapa",CONCATENATE(TEXT(H1722,"00"),".",TEXT(J1722,"000")),IF(B1722="Subetapa",CONCATENATE(TEXT(H1722,"00"),".",TEXT(J1722,"000"),".",TEXT(L1722,"000")),IF(B1722="Serviço",CONCATENATE(TEXT(H1722,"00"),".",TEXT(J1722,"000"),".",TEXT(L1722,"000"),".",TEXT(N1722,"000")),"")))))</f>
        <v>15.005.003.001</v>
      </c>
      <c r="E1722" s="228" t="str">
        <f t="shared" ref="E1722:E1727" ca="1" si="1424">IF(B1722="*","",IFERROR(IF(B1722="SERVIÇO",D1722,OFFSET(E1722,-1,0)),""))</f>
        <v>15.005.003.001</v>
      </c>
      <c r="F1722" s="230">
        <f ca="1">IF($B1722="UNIDADE CONSTRUTIVA",OFFSET(F1722,-1,0)+1,LARGE(F$10:F1721,1))</f>
        <v>2</v>
      </c>
      <c r="G1722" s="228" t="str">
        <f ca="1">IF(B1722="*","",IF(B1722="UNIDADE CONSTRUTIVA",S1722,OFFSET(G1722,-1,0)))</f>
        <v xml:space="preserve">   GERENCIAMENTO EXECUTIVO</v>
      </c>
      <c r="H1722" s="230">
        <f t="shared" ref="H1722:H1727" ca="1" si="1425">IF(B1722="UNIDADE CONSTRUTIVA",0,IF(B1722="CÉLULA CONSTRUTIVA",OFFSET(H1722,-1,0)+1,OFFSET(H1722,-1,0)))</f>
        <v>15</v>
      </c>
      <c r="I1722" s="228" t="str">
        <f ca="1">IF(B1722="*","",IF(B1722="CÉLULA CONSTRUTIVA",S1722,OFFSET(I1722,-1,0)))</f>
        <v xml:space="preserve">   PISOS E PAVIMENTAÇÕES</v>
      </c>
      <c r="J1722" s="230">
        <f t="shared" ref="J1722:J1727" ca="1" si="1426">IF(B1722="CÉLULA CONSTRUTIVA",0,IF(B1722="ETAPA",OFFSET(J1722,-1,0)+1,OFFSET(J1722,-1,0)))</f>
        <v>5</v>
      </c>
      <c r="K1722" s="228" t="str">
        <f ca="1">IF(B1722="*","",IF(B1722="ETAPA",S1722,OFFSET(K1722,-1,0)))</f>
        <v xml:space="preserve">   PISOS E PAVIMENTAÇÕES - BARRILETE / CAIXA DÁGUA / CASA DE MÁQUINAS</v>
      </c>
      <c r="L1722" s="231">
        <f t="shared" ref="L1722:L1727" ca="1" si="1427">IF(B1722="ETAPA",0,IF(B1722="SUBETAPA",OFFSET(L1722,-1,0)+1,OFFSET(L1722,-1,0)))</f>
        <v>3</v>
      </c>
      <c r="M1722" s="228" t="str">
        <f ca="1">IF(B1722="*","",IF(B1722="SUBETAPA",S1722,OFFSET(M1722,-1,0)))</f>
        <v xml:space="preserve">   Mão de Obra</v>
      </c>
      <c r="N1722" s="231">
        <f t="shared" ref="N1722:N1727" ca="1" si="1428">IF(B1722="Subetapa",0,IF(B1722="serviço",OFFSET(N1722,-1,0)+1,OFFSET(N1722,-1,0)))</f>
        <v>1</v>
      </c>
      <c r="O1722" s="228" t="str">
        <f ca="1">IF(B1722="*","",IF(B1722="SERVIÇO",S1722,OFFSET(O1722,-1,0)))</f>
        <v>Mao de obra para execucao de contrapiso comum e acústico</v>
      </c>
      <c r="P1722" s="232" t="str">
        <f>IF(S1722="","",IF(Orçamento!$B1722="INSUMO",S1722,""))</f>
        <v/>
      </c>
      <c r="Q1722" s="244" t="str">
        <f>IF(B1722="","",IF(B1722="Serviço",S1722,""))</f>
        <v>Mao de obra para execucao de contrapiso comum e acústico</v>
      </c>
      <c r="R1722" s="234">
        <f ca="1">IF(B1722="serviço",U1722,OFFSET(R1722,-1,0))</f>
        <v>88.559999999999988</v>
      </c>
      <c r="S1722" s="233" t="s">
        <v>484</v>
      </c>
      <c r="T1722" s="242" t="s">
        <v>140</v>
      </c>
      <c r="U1722" s="235">
        <f>U1711+U1714</f>
        <v>88.559999999999988</v>
      </c>
      <c r="V1722" s="320" t="s">
        <v>35</v>
      </c>
      <c r="W1722" s="236" t="str">
        <f>IFERROR(IF(B1722="INSUMO",_xlfn.XLOOKUP(S1722,Insumos!A:A,Insumos!C:C),""),"Inserir Preço")</f>
        <v/>
      </c>
      <c r="X1722" s="235">
        <f ca="1">IF(B1722="Complemento do insumo",V1722,IF(R1722="","",IF(B1722="serviço",R1722,IF(OR(B1722="insumo"),V1722*R1722,""))))</f>
        <v>88.559999999999988</v>
      </c>
      <c r="Y1722" s="236">
        <f t="shared" ca="1" si="1394"/>
        <v>21.975617726721353</v>
      </c>
      <c r="Z1722" s="237">
        <f t="shared" ca="1" si="1350"/>
        <v>1946.1607058784427</v>
      </c>
      <c r="AA1722" s="238"/>
      <c r="AB1722" s="233" t="str">
        <f>IF(B1722="insumo",_xlfn.XLOOKUP(S1722,Insumos!A:A,Insumos!D:D),"")</f>
        <v/>
      </c>
      <c r="AC1722" s="239">
        <f t="shared" ca="1" si="1351"/>
        <v>2.7919449680345121E-4</v>
      </c>
      <c r="AE1722" s="240">
        <f ca="1">IFERROR(IF(OR(Z1722="",Z1722=0),"",IF(AF1722="","",IF(AF1722="R$/mês",Z1722/OBRA!$D$12,IF(AF1722="R$/m²",Z1722/OBRA!$D$10,IF(AF1722="R$/apto",Orçamento!Z1722/OBRA!$D$11,""))))),"")</f>
        <v>1.0015081621210267</v>
      </c>
      <c r="AF1722" s="241" t="s">
        <v>154</v>
      </c>
    </row>
    <row r="1723" spans="1:32" s="10" customFormat="1" ht="13.15" hidden="1" customHeight="1" outlineLevel="4" x14ac:dyDescent="0.2">
      <c r="A1723" s="227"/>
      <c r="B1723" s="228" t="s">
        <v>19</v>
      </c>
      <c r="C1723" s="229">
        <f t="shared" si="1349"/>
        <v>5</v>
      </c>
      <c r="D1723" s="227" t="str">
        <f t="shared" si="1423"/>
        <v/>
      </c>
      <c r="E1723" s="228" t="str">
        <f t="shared" ca="1" si="1424"/>
        <v>15.005.003.001</v>
      </c>
      <c r="F1723" s="230">
        <f ca="1">IF($B1723="UNIDADE CONSTRUTIVA",OFFSET(F1723,-1,0)+1,LARGE(F$10:F1722,1))</f>
        <v>2</v>
      </c>
      <c r="G1723" s="228" t="str">
        <f ca="1">IF(B1723="*","",IF(B1723="UNIDADE CONSTRUTIVA",S1723,OFFSET(G1723,-1,0)))</f>
        <v xml:space="preserve">   GERENCIAMENTO EXECUTIVO</v>
      </c>
      <c r="H1723" s="230">
        <f t="shared" ca="1" si="1425"/>
        <v>15</v>
      </c>
      <c r="I1723" s="228" t="str">
        <f ca="1">IF(B1723="*","",IF(B1723="CÉLULA CONSTRUTIVA",S1723,OFFSET(I1723,-1,0)))</f>
        <v xml:space="preserve">   PISOS E PAVIMENTAÇÕES</v>
      </c>
      <c r="J1723" s="230">
        <f t="shared" ca="1" si="1426"/>
        <v>5</v>
      </c>
      <c r="K1723" s="228" t="str">
        <f ca="1">IF(B1723="*","",IF(B1723="ETAPA",S1723,OFFSET(K1723,-1,0)))</f>
        <v xml:space="preserve">   PISOS E PAVIMENTAÇÕES - BARRILETE / CAIXA DÁGUA / CASA DE MÁQUINAS</v>
      </c>
      <c r="L1723" s="231">
        <f t="shared" ca="1" si="1427"/>
        <v>3</v>
      </c>
      <c r="M1723" s="228" t="str">
        <f ca="1">IF(B1723="*","",IF(B1723="SUBETAPA",S1723,OFFSET(M1723,-1,0)))</f>
        <v xml:space="preserve">   Mão de Obra</v>
      </c>
      <c r="N1723" s="231">
        <f t="shared" ca="1" si="1428"/>
        <v>1</v>
      </c>
      <c r="O1723" s="228" t="str">
        <f ca="1">IF(B1723="*","",IF(B1723="SERVIÇO",S1723,OFFSET(O1723,-1,0)))</f>
        <v>Mao de obra para execucao de contrapiso comum e acústico</v>
      </c>
      <c r="P1723" s="232" t="str">
        <f>IF(S1723="","",IF(Orçamento!$B1723="INSUMO",S1723,""))</f>
        <v>MAO DE OBRA EXECUCAO CONTRAPISO COMUM</v>
      </c>
      <c r="Q1723" s="244" t="str">
        <f>IF(B1723="","",IF(B1723="Serviço",S1723,""))</f>
        <v/>
      </c>
      <c r="R1723" s="234">
        <f ca="1">IF(B1723="serviço",U1723,OFFSET(R1723,-1,0))</f>
        <v>88.559999999999988</v>
      </c>
      <c r="S1723" s="233" t="s">
        <v>272</v>
      </c>
      <c r="T1723" s="242" t="str">
        <f>_xlfn.XLOOKUP(S1723,Insumos!$A$3:$A$371,Insumos!$B$3:$B$371)</f>
        <v>M2</v>
      </c>
      <c r="U1723" s="235">
        <f ca="1">IF($B1723="insumo",R1723,"")</f>
        <v>88.559999999999988</v>
      </c>
      <c r="V1723" s="320">
        <v>1</v>
      </c>
      <c r="W1723" s="236">
        <f>IFERROR(IF(B1723="INSUMO",_xlfn.XLOOKUP(S1723,Insumos!A:A,Insumos!C:C),""),"Inserir Preço")</f>
        <v>21.975617726721353</v>
      </c>
      <c r="X1723" s="235">
        <f ca="1">IF(B1723="Complemento do insumo",V1723,IF(R1723="","",IF(B1723="serviço",R1723,IF(OR(B1723="insumo"),V1723*R1723,""))))</f>
        <v>88.559999999999988</v>
      </c>
      <c r="Y1723" s="236">
        <f t="shared" si="1394"/>
        <v>21.975617726721353</v>
      </c>
      <c r="Z1723" s="237">
        <f t="shared" ca="1" si="1350"/>
        <v>1946.1607058784427</v>
      </c>
      <c r="AA1723" s="238"/>
      <c r="AB1723" s="233" t="str">
        <f>IF(B1723="insumo",_xlfn.XLOOKUP(S1723,Insumos!A:A,Insumos!D:D),"")</f>
        <v>Aba Custo Serviços</v>
      </c>
      <c r="AC1723" s="239">
        <f t="shared" ca="1" si="1351"/>
        <v>2.7919449680345121E-4</v>
      </c>
      <c r="AE1723" s="240">
        <f ca="1">IFERROR(IF(OR(Z1723="",Z1723=0),"",IF(AF1723="","",IF(AF1723="R$/mês",Z1723/OBRA!$D$12,IF(AF1723="R$/m²",Z1723/OBRA!$D$10,IF(AF1723="R$/apto",Orçamento!Z1723/OBRA!$D$11,""))))),"")</f>
        <v>1.0015081621210267</v>
      </c>
      <c r="AF1723" s="241" t="s">
        <v>154</v>
      </c>
    </row>
    <row r="1724" spans="1:32" s="10" customFormat="1" ht="13.15" hidden="1" customHeight="1" outlineLevel="4" x14ac:dyDescent="0.2">
      <c r="A1724" s="227"/>
      <c r="B1724" s="228" t="s">
        <v>4</v>
      </c>
      <c r="C1724" s="229">
        <f t="shared" si="1349"/>
        <v>5</v>
      </c>
      <c r="D1724" s="227" t="str">
        <f t="shared" ca="1" si="1423"/>
        <v>15.005.003.002</v>
      </c>
      <c r="E1724" s="228" t="str">
        <f t="shared" ca="1" si="1424"/>
        <v>15.005.003.002</v>
      </c>
      <c r="F1724" s="230">
        <f ca="1">IF($B1724="UNIDADE CONSTRUTIVA",OFFSET(F1724,-1,0)+1,LARGE(F$10:F1723,1))</f>
        <v>2</v>
      </c>
      <c r="G1724" s="228" t="str">
        <f ca="1">IF(B1724="*","",IF(B1724="UNIDADE CONSTRUTIVA",S1724,OFFSET(G1724,-1,0)))</f>
        <v xml:space="preserve">   GERENCIAMENTO EXECUTIVO</v>
      </c>
      <c r="H1724" s="230">
        <f t="shared" ca="1" si="1425"/>
        <v>15</v>
      </c>
      <c r="I1724" s="228" t="str">
        <f ca="1">IF(B1724="*","",IF(B1724="CÉLULA CONSTRUTIVA",S1724,OFFSET(I1724,-1,0)))</f>
        <v xml:space="preserve">   PISOS E PAVIMENTAÇÕES</v>
      </c>
      <c r="J1724" s="230">
        <f t="shared" ca="1" si="1426"/>
        <v>5</v>
      </c>
      <c r="K1724" s="228" t="str">
        <f ca="1">IF(B1724="*","",IF(B1724="ETAPA",S1724,OFFSET(K1724,-1,0)))</f>
        <v xml:space="preserve">   PISOS E PAVIMENTAÇÕES - BARRILETE / CAIXA DÁGUA / CASA DE MÁQUINAS</v>
      </c>
      <c r="L1724" s="231">
        <f t="shared" ca="1" si="1427"/>
        <v>3</v>
      </c>
      <c r="M1724" s="228" t="str">
        <f ca="1">IF(B1724="*","",IF(B1724="SUBETAPA",S1724,OFFSET(M1724,-1,0)))</f>
        <v xml:space="preserve">   Mão de Obra</v>
      </c>
      <c r="N1724" s="231">
        <f t="shared" ca="1" si="1428"/>
        <v>2</v>
      </c>
      <c r="O1724" s="228" t="str">
        <f ca="1">IF(B1724="*","",IF(B1724="SERVIÇO",S1724,OFFSET(O1724,-1,0)))</f>
        <v>Mao de obra para colocacao de soleiras em granito</v>
      </c>
      <c r="P1724" s="232" t="str">
        <f>IF(S1724="","",IF(Orçamento!$B1724="INSUMO",S1724,""))</f>
        <v/>
      </c>
      <c r="Q1724" s="244" t="str">
        <f>IF(B1724="","",IF(B1724="Serviço",S1724,""))</f>
        <v>Mao de obra para colocacao de soleiras em granito</v>
      </c>
      <c r="R1724" s="234">
        <f ca="1">IF(B1724="serviço",U1724,OFFSET(R1724,-1,0))</f>
        <v>0.25</v>
      </c>
      <c r="S1724" s="233" t="s">
        <v>496</v>
      </c>
      <c r="T1724" s="242" t="s">
        <v>158</v>
      </c>
      <c r="U1724" s="235">
        <f>U1717</f>
        <v>0.25</v>
      </c>
      <c r="V1724" s="320" t="s">
        <v>35</v>
      </c>
      <c r="W1724" s="236" t="str">
        <f>IFERROR(IF(B1724="INSUMO",_xlfn.XLOOKUP(S1724,Insumos!A:A,Insumos!C:C),""),"Inserir Preço")</f>
        <v/>
      </c>
      <c r="X1724" s="235">
        <f ca="1">IF(B1724="Complemento do insumo",V1724,IF(R1724="","",IF(B1724="serviço",R1724,IF(OR(B1724="insumo"),V1724*R1724,""))))</f>
        <v>0.25</v>
      </c>
      <c r="Y1724" s="236">
        <f t="shared" ca="1" si="1394"/>
        <v>10.4</v>
      </c>
      <c r="Z1724" s="237">
        <f t="shared" ca="1" si="1350"/>
        <v>2.6</v>
      </c>
      <c r="AA1724" s="238"/>
      <c r="AB1724" s="233" t="str">
        <f>IF(B1724="insumo",_xlfn.XLOOKUP(S1724,Insumos!A:A,Insumos!D:D),"")</f>
        <v/>
      </c>
      <c r="AC1724" s="239">
        <f t="shared" ca="1" si="1351"/>
        <v>3.7299370473175774E-7</v>
      </c>
      <c r="AE1724" s="240">
        <f ca="1">IFERROR(IF(OR(Z1724="",Z1724=0),"",IF(AF1724="","",IF(AF1724="R$/mês",Z1724/OBRA!$D$12,IF(AF1724="R$/m²",Z1724/OBRA!$D$10,IF(AF1724="R$/apto",Orçamento!Z1724/OBRA!$D$11,""))))),"")</f>
        <v>1.3379785202986779E-3</v>
      </c>
      <c r="AF1724" s="241" t="s">
        <v>154</v>
      </c>
    </row>
    <row r="1725" spans="1:32" s="10" customFormat="1" ht="13.15" hidden="1" customHeight="1" outlineLevel="4" x14ac:dyDescent="0.2">
      <c r="A1725" s="227"/>
      <c r="B1725" s="228" t="s">
        <v>19</v>
      </c>
      <c r="C1725" s="229">
        <f t="shared" si="1349"/>
        <v>5</v>
      </c>
      <c r="D1725" s="227" t="str">
        <f t="shared" si="1423"/>
        <v/>
      </c>
      <c r="E1725" s="228" t="str">
        <f t="shared" ca="1" si="1424"/>
        <v>15.005.003.002</v>
      </c>
      <c r="F1725" s="230">
        <f ca="1">IF($B1725="UNIDADE CONSTRUTIVA",OFFSET(F1725,-1,0)+1,LARGE(F$10:F1724,1))</f>
        <v>2</v>
      </c>
      <c r="G1725" s="228" t="str">
        <f ca="1">IF(B1725="*","",IF(B1725="UNIDADE CONSTRUTIVA",S1725,OFFSET(G1725,-1,0)))</f>
        <v xml:space="preserve">   GERENCIAMENTO EXECUTIVO</v>
      </c>
      <c r="H1725" s="230">
        <f t="shared" ca="1" si="1425"/>
        <v>15</v>
      </c>
      <c r="I1725" s="228" t="str">
        <f ca="1">IF(B1725="*","",IF(B1725="CÉLULA CONSTRUTIVA",S1725,OFFSET(I1725,-1,0)))</f>
        <v xml:space="preserve">   PISOS E PAVIMENTAÇÕES</v>
      </c>
      <c r="J1725" s="230">
        <f t="shared" ca="1" si="1426"/>
        <v>5</v>
      </c>
      <c r="K1725" s="228" t="str">
        <f ca="1">IF(B1725="*","",IF(B1725="ETAPA",S1725,OFFSET(K1725,-1,0)))</f>
        <v xml:space="preserve">   PISOS E PAVIMENTAÇÕES - BARRILETE / CAIXA DÁGUA / CASA DE MÁQUINAS</v>
      </c>
      <c r="L1725" s="231">
        <f t="shared" ca="1" si="1427"/>
        <v>3</v>
      </c>
      <c r="M1725" s="228" t="str">
        <f ca="1">IF(B1725="*","",IF(B1725="SUBETAPA",S1725,OFFSET(M1725,-1,0)))</f>
        <v xml:space="preserve">   Mão de Obra</v>
      </c>
      <c r="N1725" s="231">
        <f t="shared" ca="1" si="1428"/>
        <v>2</v>
      </c>
      <c r="O1725" s="228" t="str">
        <f ca="1">IF(B1725="*","",IF(B1725="SERVIÇO",S1725,OFFSET(O1725,-1,0)))</f>
        <v>Mao de obra para colocacao de soleiras em granito</v>
      </c>
      <c r="P1725" s="232" t="str">
        <f>IF(S1725="","",IF(Orçamento!$B1725="INSUMO",S1725,""))</f>
        <v>MAO DE OBRA PARA COLOCACAO DE SOLEIRAS EM GRANITO - m²</v>
      </c>
      <c r="Q1725" s="244" t="str">
        <f>IF(B1725="","",IF(B1725="Serviço",S1725,""))</f>
        <v/>
      </c>
      <c r="R1725" s="234">
        <f ca="1">IF(B1725="serviço",U1725,OFFSET(R1725,-1,0))</f>
        <v>0.25</v>
      </c>
      <c r="S1725" s="233" t="s">
        <v>364</v>
      </c>
      <c r="T1725" s="242" t="str">
        <f>_xlfn.XLOOKUP(S1725,Insumos!$A$3:$A$371,Insumos!$B$3:$B$371)</f>
        <v>M2</v>
      </c>
      <c r="U1725" s="235">
        <f ca="1">IF($B1725="insumo",R1725,"")</f>
        <v>0.25</v>
      </c>
      <c r="V1725" s="320">
        <v>1</v>
      </c>
      <c r="W1725" s="236">
        <f>IFERROR(IF(B1725="INSUMO",_xlfn.XLOOKUP(S1725,Insumos!A:A,Insumos!C:C),""),"Inserir Preço")</f>
        <v>10.4</v>
      </c>
      <c r="X1725" s="235">
        <f ca="1">IF(B1725="Complemento do insumo",V1725,IF(R1725="","",IF(B1725="serviço",R1725,IF(OR(B1725="insumo"),V1725*R1725,""))))</f>
        <v>0.25</v>
      </c>
      <c r="Y1725" s="236">
        <f t="shared" si="1394"/>
        <v>10.4</v>
      </c>
      <c r="Z1725" s="237">
        <f t="shared" ca="1" si="1350"/>
        <v>2.6</v>
      </c>
      <c r="AA1725" s="238"/>
      <c r="AB1725" s="233" t="str">
        <f>IF(B1725="insumo",_xlfn.XLOOKUP(S1725,Insumos!A:A,Insumos!D:D),"")</f>
        <v xml:space="preserve"> </v>
      </c>
      <c r="AC1725" s="239">
        <f t="shared" ca="1" si="1351"/>
        <v>3.7299370473175774E-7</v>
      </c>
      <c r="AE1725" s="240">
        <f ca="1">IFERROR(IF(OR(Z1725="",Z1725=0),"",IF(AF1725="","",IF(AF1725="R$/mês",Z1725/OBRA!$D$12,IF(AF1725="R$/m²",Z1725/OBRA!$D$10,IF(AF1725="R$/apto",Orçamento!Z1725/OBRA!$D$11,""))))),"")</f>
        <v>1.3379785202986779E-3</v>
      </c>
      <c r="AF1725" s="241" t="s">
        <v>154</v>
      </c>
    </row>
    <row r="1726" spans="1:32" s="10" customFormat="1" ht="13.15" customHeight="1" outlineLevel="1" x14ac:dyDescent="0.2">
      <c r="A1726" s="227"/>
      <c r="B1726" s="228" t="s">
        <v>1</v>
      </c>
      <c r="C1726" s="229" t="str">
        <f t="shared" si="1349"/>
        <v/>
      </c>
      <c r="D1726" s="227" t="str">
        <f t="shared" ca="1" si="1423"/>
        <v>16</v>
      </c>
      <c r="E1726" s="228" t="str">
        <f ca="1">IF(B1726="*","",IFERROR(IF(B1726="SERVIÇO",D1726,OFFSET(E1726,-1,0)),""))</f>
        <v>15.005.003.002</v>
      </c>
      <c r="F1726" s="230">
        <f ca="1">IF($B1726="UNIDADE CONSTRUTIVA",OFFSET(F1726,-1,0)+1,LARGE(F$10:F1725,1))</f>
        <v>2</v>
      </c>
      <c r="G1726" s="228" t="str">
        <f t="shared" ref="G1726" ca="1" si="1429">IF(B1726="*","",IF(B1726="UNIDADE CONSTRUTIVA",S1726,OFFSET(G1726,-1,0)))</f>
        <v xml:space="preserve">   GERENCIAMENTO EXECUTIVO</v>
      </c>
      <c r="H1726" s="230">
        <f ca="1">IF(B1726="UNIDADE CONSTRUTIVA",0,IF(B1726="CÉLULA CONSTRUTIVA",OFFSET(H1726,-1,0)+1,OFFSET(H1726,-1,0)))</f>
        <v>16</v>
      </c>
      <c r="I1726" s="228" t="str">
        <f t="shared" ref="I1726" ca="1" si="1430">IF(B1726="*","",IF(B1726="CÉLULA CONSTRUTIVA",S1726,OFFSET(I1726,-1,0)))</f>
        <v xml:space="preserve">   SISTEMAS DE PINTURA INTERNA</v>
      </c>
      <c r="J1726" s="230">
        <f ca="1">IF(B1726="CÉLULA CONSTRUTIVA",0,IF(B1726="ETAPA",OFFSET(J1726,-1,0)+1,OFFSET(J1726,-1,0)))</f>
        <v>0</v>
      </c>
      <c r="K1726" s="228" t="str">
        <f t="shared" ref="K1726" ca="1" si="1431">IF(B1726="*","",IF(B1726="ETAPA",S1726,OFFSET(K1726,-1,0)))</f>
        <v xml:space="preserve">   PISOS E PAVIMENTAÇÕES - BARRILETE / CAIXA DÁGUA / CASA DE MÁQUINAS</v>
      </c>
      <c r="L1726" s="231">
        <f ca="1">IF(B1726="ETAPA",0,IF(B1726="SUBETAPA",OFFSET(L1726,-1,0)+1,OFFSET(L1726,-1,0)))</f>
        <v>3</v>
      </c>
      <c r="M1726" s="228" t="str">
        <f t="shared" ref="M1726" ca="1" si="1432">IF(B1726="*","",IF(B1726="SUBETAPA",S1726,OFFSET(M1726,-1,0)))</f>
        <v xml:space="preserve">   Mão de Obra</v>
      </c>
      <c r="N1726" s="231">
        <f ca="1">IF(B1726="Subetapa",0,IF(B1726="serviço",OFFSET(N1726,-1,0)+1,OFFSET(N1726,-1,0)))</f>
        <v>2</v>
      </c>
      <c r="O1726" s="228" t="str">
        <f t="shared" ref="O1726" ca="1" si="1433">IF(B1726="*","",IF(B1726="SERVIÇO",S1726,OFFSET(O1726,-1,0)))</f>
        <v>Mao de obra para colocacao de soleiras em granito</v>
      </c>
      <c r="P1726" s="232" t="str">
        <f>IF(S1726="","",IF(Orçamento!$B1726="INSUMO",S1726,""))</f>
        <v/>
      </c>
      <c r="Q1726" s="244" t="str">
        <f t="shared" ref="Q1726:Q1745" si="1434">IF(B1726="","",IF(B1726="Serviço",S1726,""))</f>
        <v/>
      </c>
      <c r="R1726" s="234">
        <f t="shared" ref="R1726:R1745" ca="1" si="1435">IF(B1726="serviço",U1726,OFFSET(R1726,-1,0))</f>
        <v>0.25</v>
      </c>
      <c r="S1726" s="233" t="s">
        <v>550</v>
      </c>
      <c r="T1726" s="242" t="s">
        <v>35</v>
      </c>
      <c r="U1726" s="235" t="str">
        <f>IF($B1726="insumo",R1726,"")</f>
        <v/>
      </c>
      <c r="V1726" s="320" t="s">
        <v>35</v>
      </c>
      <c r="W1726" s="236" t="str">
        <f>IFERROR(IF(B1726="INSUMO",_xlfn.XLOOKUP(S1726,Insumos!A:A,Insumos!C:C),""),"Inserir Preço")</f>
        <v/>
      </c>
      <c r="X1726" s="235" t="str">
        <f t="shared" ref="X1726:X1745" ca="1" si="1436">IF(B1726="Complemento do insumo",V1726,IF(R1726="","",IF(B1726="serviço",R1726,IF(OR(B1726="insumo"),V1726*R1726,""))))</f>
        <v/>
      </c>
      <c r="Y1726" s="236" t="str">
        <f t="shared" si="1394"/>
        <v/>
      </c>
      <c r="Z1726" s="237">
        <f t="shared" ca="1" si="1350"/>
        <v>303208.12447620806</v>
      </c>
      <c r="AA1726" s="238"/>
      <c r="AB1726" s="233" t="str">
        <f>IF(B1726="insumo",_xlfn.XLOOKUP(S1726,Insumos!A:A,Insumos!D:D),"")</f>
        <v/>
      </c>
      <c r="AC1726" s="239">
        <f t="shared" ca="1" si="1351"/>
        <v>4.3497969866595688E-2</v>
      </c>
      <c r="AE1726" s="240">
        <f ca="1">IFERROR(IF(OR(Z1726="",Z1726=0),"",IF(AF1726="","",IF(AF1726="R$/mês",Z1726/OBRA!$D$12,IF(AF1726="R$/m²",Z1726/OBRA!$D$10,IF(AF1726="R$/apto",Orçamento!Z1726/OBRA!$D$11,""))))),"")</f>
        <v>156.03306066508239</v>
      </c>
      <c r="AF1726" s="241" t="s">
        <v>154</v>
      </c>
    </row>
    <row r="1727" spans="1:32" s="10" customFormat="1" ht="13.15" customHeight="1" outlineLevel="2" collapsed="1" x14ac:dyDescent="0.2">
      <c r="A1727" s="227"/>
      <c r="B1727" s="228" t="s">
        <v>2</v>
      </c>
      <c r="C1727" s="229" t="str">
        <f t="shared" si="1349"/>
        <v/>
      </c>
      <c r="D1727" s="227" t="str">
        <f t="shared" ca="1" si="1423"/>
        <v>16.001</v>
      </c>
      <c r="E1727" s="228" t="str">
        <f t="shared" ca="1" si="1424"/>
        <v>15.005.003.002</v>
      </c>
      <c r="F1727" s="230">
        <f ca="1">IF($B1727="UNIDADE CONSTRUTIVA",OFFSET(F1727,-1,0)+1,LARGE(F$10:F1726,1))</f>
        <v>2</v>
      </c>
      <c r="G1727" s="228" t="str">
        <f t="shared" ref="G1727:G1745" ca="1" si="1437">IF(B1727="*","",IF(B1727="UNIDADE CONSTRUTIVA",S1727,OFFSET(G1727,-1,0)))</f>
        <v xml:space="preserve">   GERENCIAMENTO EXECUTIVO</v>
      </c>
      <c r="H1727" s="230">
        <f t="shared" ca="1" si="1425"/>
        <v>16</v>
      </c>
      <c r="I1727" s="228" t="str">
        <f t="shared" ref="I1727:I1745" ca="1" si="1438">IF(B1727="*","",IF(B1727="CÉLULA CONSTRUTIVA",S1727,OFFSET(I1727,-1,0)))</f>
        <v xml:space="preserve">   SISTEMAS DE PINTURA INTERNA</v>
      </c>
      <c r="J1727" s="230">
        <f t="shared" ca="1" si="1426"/>
        <v>1</v>
      </c>
      <c r="K1727" s="228" t="str">
        <f t="shared" ref="K1727:K1745" ca="1" si="1439">IF(B1727="*","",IF(B1727="ETAPA",S1727,OFFSET(K1727,-1,0)))</f>
        <v xml:space="preserve">   SISTEMAS DE PINTURA INTERNA - 1º PAVIMENTO - SUBSOLO</v>
      </c>
      <c r="L1727" s="231">
        <f t="shared" ca="1" si="1427"/>
        <v>0</v>
      </c>
      <c r="M1727" s="228" t="str">
        <f t="shared" ref="M1727:M1745" ca="1" si="1440">IF(B1727="*","",IF(B1727="SUBETAPA",S1727,OFFSET(M1727,-1,0)))</f>
        <v xml:space="preserve">   Mão de Obra</v>
      </c>
      <c r="N1727" s="231">
        <f t="shared" ca="1" si="1428"/>
        <v>2</v>
      </c>
      <c r="O1727" s="228" t="str">
        <f t="shared" ref="O1727:O1745" ca="1" si="1441">IF(B1727="*","",IF(B1727="SERVIÇO",S1727,OFFSET(O1727,-1,0)))</f>
        <v>Mao de obra para colocacao de soleiras em granito</v>
      </c>
      <c r="P1727" s="232" t="str">
        <f>IF(S1727="","",IF(Orçamento!$B1727="INSUMO",S1727,""))</f>
        <v/>
      </c>
      <c r="Q1727" s="244" t="str">
        <f t="shared" si="1434"/>
        <v/>
      </c>
      <c r="R1727" s="234">
        <f t="shared" ca="1" si="1435"/>
        <v>0.25</v>
      </c>
      <c r="S1727" s="233" t="s">
        <v>639</v>
      </c>
      <c r="T1727" s="242" t="s">
        <v>35</v>
      </c>
      <c r="U1727" s="235" t="str">
        <f>IF($B1727="insumo",R1727,"")</f>
        <v/>
      </c>
      <c r="V1727" s="320" t="s">
        <v>35</v>
      </c>
      <c r="W1727" s="236" t="str">
        <f>IFERROR(IF(B1727="INSUMO",_xlfn.XLOOKUP(S1727,Insumos!A:A,Insumos!C:C),""),"Inserir Preço")</f>
        <v/>
      </c>
      <c r="X1727" s="235" t="str">
        <f t="shared" ca="1" si="1436"/>
        <v/>
      </c>
      <c r="Y1727" s="236" t="str">
        <f t="shared" si="1394"/>
        <v/>
      </c>
      <c r="Z1727" s="237">
        <f t="shared" ca="1" si="1350"/>
        <v>48532.48119350346</v>
      </c>
      <c r="AA1727" s="238"/>
      <c r="AB1727" s="233" t="str">
        <f>IF(B1727="insumo",_xlfn.XLOOKUP(S1727,Insumos!A:A,Insumos!D:D),"")</f>
        <v/>
      </c>
      <c r="AC1727" s="239">
        <f t="shared" ca="1" si="1351"/>
        <v>6.9624269077650826E-3</v>
      </c>
      <c r="AE1727" s="240">
        <f ca="1">IFERROR(IF(OR(Z1727="",Z1727=0),"",IF(AF1727="","",IF(AF1727="R$/mês",Z1727/OBRA!$D$12,IF(AF1727="R$/m²",Z1727/OBRA!$D$10,IF(AF1727="R$/apto",Orçamento!Z1727/OBRA!$D$11,""))))),"")</f>
        <v>24.975160528348912</v>
      </c>
      <c r="AF1727" s="241" t="s">
        <v>154</v>
      </c>
    </row>
    <row r="1728" spans="1:32" s="10" customFormat="1" ht="13.15" hidden="1" customHeight="1" outlineLevel="3" collapsed="1" x14ac:dyDescent="0.2">
      <c r="A1728" s="227"/>
      <c r="B1728" s="228" t="s">
        <v>3</v>
      </c>
      <c r="C1728" s="229" t="str">
        <f t="shared" si="1349"/>
        <v/>
      </c>
      <c r="D1728" s="227" t="str">
        <f t="shared" ref="D1728:D1752" ca="1" si="1442">IF(B1728="Unidade Construtiva",TEXT(F1728,"00"),IF(B1728="Célula Construtiva",TEXT(H1728,"00"),IF(B1728="Etapa",CONCATENATE(TEXT(H1728,"00"),".",TEXT(J1728,"000")),IF(B1728="Subetapa",CONCATENATE(TEXT(H1728,"00"),".",TEXT(J1728,"000"),".",TEXT(L1728,"000")),IF(B1728="Serviço",CONCATENATE(TEXT(H1728,"00"),".",TEXT(J1728,"000"),".",TEXT(L1728,"000"),".",TEXT(N1728,"000")),"")))))</f>
        <v>16.001.001</v>
      </c>
      <c r="E1728" s="228" t="str">
        <f t="shared" ref="E1728:E1752" ca="1" si="1443">IF(B1728="*","",IFERROR(IF(B1728="SERVIÇO",D1728,OFFSET(E1728,-1,0)),""))</f>
        <v>15.005.003.002</v>
      </c>
      <c r="F1728" s="230">
        <f ca="1">IF($B1728="UNIDADE CONSTRUTIVA",OFFSET(F1728,-1,0)+1,LARGE(F$10:F1727,1))</f>
        <v>2</v>
      </c>
      <c r="G1728" s="228" t="str">
        <f t="shared" ca="1" si="1437"/>
        <v xml:space="preserve">   GERENCIAMENTO EXECUTIVO</v>
      </c>
      <c r="H1728" s="230">
        <f t="shared" ref="H1728:H1752" ca="1" si="1444">IF(B1728="UNIDADE CONSTRUTIVA",0,IF(B1728="CÉLULA CONSTRUTIVA",OFFSET(H1728,-1,0)+1,OFFSET(H1728,-1,0)))</f>
        <v>16</v>
      </c>
      <c r="I1728" s="228" t="str">
        <f t="shared" ca="1" si="1438"/>
        <v xml:space="preserve">   SISTEMAS DE PINTURA INTERNA</v>
      </c>
      <c r="J1728" s="230">
        <f t="shared" ref="J1728:J1752" ca="1" si="1445">IF(B1728="CÉLULA CONSTRUTIVA",0,IF(B1728="ETAPA",OFFSET(J1728,-1,0)+1,OFFSET(J1728,-1,0)))</f>
        <v>1</v>
      </c>
      <c r="K1728" s="228" t="str">
        <f t="shared" ca="1" si="1439"/>
        <v xml:space="preserve">   SISTEMAS DE PINTURA INTERNA - 1º PAVIMENTO - SUBSOLO</v>
      </c>
      <c r="L1728" s="231">
        <f t="shared" ref="L1728:L1752" ca="1" si="1446">IF(B1728="ETAPA",0,IF(B1728="SUBETAPA",OFFSET(L1728,-1,0)+1,OFFSET(L1728,-1,0)))</f>
        <v>1</v>
      </c>
      <c r="M1728" s="228" t="str">
        <f t="shared" ca="1" si="1440"/>
        <v xml:space="preserve">   Sistemas de Pintura Interna em Piso</v>
      </c>
      <c r="N1728" s="231">
        <f t="shared" ref="N1728:N1752" ca="1" si="1447">IF(B1728="Subetapa",0,IF(B1728="serviço",OFFSET(N1728,-1,0)+1,OFFSET(N1728,-1,0)))</f>
        <v>0</v>
      </c>
      <c r="O1728" s="228" t="str">
        <f t="shared" ca="1" si="1441"/>
        <v>Mao de obra para colocacao de soleiras em granito</v>
      </c>
      <c r="P1728" s="232" t="str">
        <f>IF(S1728="","",IF(Orçamento!$B1728="INSUMO",S1728,""))</f>
        <v/>
      </c>
      <c r="Q1728" s="244" t="str">
        <f t="shared" si="1434"/>
        <v/>
      </c>
      <c r="R1728" s="234">
        <f t="shared" ca="1" si="1435"/>
        <v>0.25</v>
      </c>
      <c r="S1728" s="233" t="s">
        <v>498</v>
      </c>
      <c r="T1728" s="242" t="s">
        <v>35</v>
      </c>
      <c r="U1728" s="235" t="str">
        <f>IF($B1728="insumo",R1728,"")</f>
        <v/>
      </c>
      <c r="V1728" s="320" t="s">
        <v>35</v>
      </c>
      <c r="W1728" s="236" t="str">
        <f>IFERROR(IF(B1728="INSUMO",_xlfn.XLOOKUP(S1728,Insumos!A:A,Insumos!C:C),""),"Inserir Preço")</f>
        <v/>
      </c>
      <c r="X1728" s="235" t="str">
        <f t="shared" ca="1" si="1436"/>
        <v/>
      </c>
      <c r="Y1728" s="236" t="str">
        <f t="shared" si="1394"/>
        <v/>
      </c>
      <c r="Z1728" s="237">
        <f t="shared" ca="1" si="1350"/>
        <v>1491.5890079999999</v>
      </c>
      <c r="AA1728" s="238"/>
      <c r="AB1728" s="233" t="str">
        <f>IF(B1728="insumo",_xlfn.XLOOKUP(S1728,Insumos!A:A,Insumos!D:D),"")</f>
        <v/>
      </c>
      <c r="AC1728" s="239">
        <f t="shared" ca="1" si="1351"/>
        <v>2.1398204231964899E-4</v>
      </c>
      <c r="AE1728" s="240">
        <f ca="1">IFERROR(IF(OR(Z1728="",Z1728=0),"",IF(AF1728="","",IF(AF1728="R$/mês",Z1728/OBRA!$D$12,IF(AF1728="R$/m²",Z1728/OBRA!$D$10,IF(AF1728="R$/apto",Orçamento!Z1728/OBRA!$D$11,""))))),"")</f>
        <v>0.76758232839138951</v>
      </c>
      <c r="AF1728" s="241" t="s">
        <v>154</v>
      </c>
    </row>
    <row r="1729" spans="1:32" s="10" customFormat="1" ht="13.15" hidden="1" customHeight="1" outlineLevel="4" x14ac:dyDescent="0.2">
      <c r="A1729" s="227"/>
      <c r="B1729" s="228" t="s">
        <v>4</v>
      </c>
      <c r="C1729" s="229">
        <f t="shared" si="1349"/>
        <v>1</v>
      </c>
      <c r="D1729" s="227" t="str">
        <f t="shared" ca="1" si="1442"/>
        <v>16.001.001.001</v>
      </c>
      <c r="E1729" s="228" t="str">
        <f t="shared" ca="1" si="1443"/>
        <v>16.001.001.001</v>
      </c>
      <c r="F1729" s="230">
        <f ca="1">IF($B1729="UNIDADE CONSTRUTIVA",OFFSET(F1729,-1,0)+1,LARGE(F$10:F1728,1))</f>
        <v>2</v>
      </c>
      <c r="G1729" s="228" t="str">
        <f t="shared" ca="1" si="1437"/>
        <v xml:space="preserve">   GERENCIAMENTO EXECUTIVO</v>
      </c>
      <c r="H1729" s="230">
        <f t="shared" ca="1" si="1444"/>
        <v>16</v>
      </c>
      <c r="I1729" s="228" t="str">
        <f t="shared" ca="1" si="1438"/>
        <v xml:space="preserve">   SISTEMAS DE PINTURA INTERNA</v>
      </c>
      <c r="J1729" s="230">
        <f t="shared" ca="1" si="1445"/>
        <v>1</v>
      </c>
      <c r="K1729" s="228" t="str">
        <f t="shared" ca="1" si="1439"/>
        <v xml:space="preserve">   SISTEMAS DE PINTURA INTERNA - 1º PAVIMENTO - SUBSOLO</v>
      </c>
      <c r="L1729" s="231">
        <f t="shared" ca="1" si="1446"/>
        <v>1</v>
      </c>
      <c r="M1729" s="228" t="str">
        <f t="shared" ca="1" si="1440"/>
        <v xml:space="preserve">   Sistemas de Pintura Interna em Piso</v>
      </c>
      <c r="N1729" s="231">
        <f t="shared" ca="1" si="1447"/>
        <v>1</v>
      </c>
      <c r="O1729" s="228" t="str">
        <f t="shared" ca="1" si="1441"/>
        <v xml:space="preserve">Pintura epoxi  2 demaos - aplicacao em faixas demarcatorias de garagens </v>
      </c>
      <c r="P1729" s="232" t="str">
        <f>IF(S1729="","",IF(Orçamento!$B1729="INSUMO",S1729,""))</f>
        <v/>
      </c>
      <c r="Q1729" s="244" t="str">
        <f t="shared" si="1434"/>
        <v xml:space="preserve">Pintura epoxi  2 demaos - aplicacao em faixas demarcatorias de garagens </v>
      </c>
      <c r="R1729" s="234">
        <f t="shared" ca="1" si="1435"/>
        <v>30.3</v>
      </c>
      <c r="S1729" s="233" t="s">
        <v>1176</v>
      </c>
      <c r="T1729" s="242" t="s">
        <v>140</v>
      </c>
      <c r="U1729" s="235">
        <v>30.3</v>
      </c>
      <c r="V1729" s="320" t="s">
        <v>35</v>
      </c>
      <c r="W1729" s="236" t="str">
        <f>IFERROR(IF(B1729="INSUMO",_xlfn.XLOOKUP(S1729,Insumos!A:A,Insumos!C:C),""),"Inserir Preço")</f>
        <v/>
      </c>
      <c r="X1729" s="235">
        <f t="shared" ca="1" si="1436"/>
        <v>30.3</v>
      </c>
      <c r="Y1729" s="236">
        <f t="shared" ca="1" si="1394"/>
        <v>49.227359999999997</v>
      </c>
      <c r="Z1729" s="237">
        <f t="shared" ca="1" si="1350"/>
        <v>1491.5890079999999</v>
      </c>
      <c r="AA1729" s="238"/>
      <c r="AB1729" s="233" t="str">
        <f>IF(B1729="insumo",_xlfn.XLOOKUP(S1729,Insumos!A:A,Insumos!D:D),"")</f>
        <v/>
      </c>
      <c r="AC1729" s="239">
        <f t="shared" ca="1" si="1351"/>
        <v>2.1398204231964899E-4</v>
      </c>
      <c r="AE1729" s="240">
        <f ca="1">IFERROR(IF(OR(Z1729="",Z1729=0),"",IF(AF1729="","",IF(AF1729="R$/mês",Z1729/OBRA!$D$12,IF(AF1729="R$/m²",Z1729/OBRA!$D$10,IF(AF1729="R$/apto",Orçamento!Z1729/OBRA!$D$11,""))))),"")</f>
        <v>0.76758232839138951</v>
      </c>
      <c r="AF1729" s="241" t="s">
        <v>154</v>
      </c>
    </row>
    <row r="1730" spans="1:32" s="10" customFormat="1" ht="13.15" hidden="1" customHeight="1" outlineLevel="4" x14ac:dyDescent="0.2">
      <c r="A1730" s="227"/>
      <c r="B1730" s="228" t="s">
        <v>19</v>
      </c>
      <c r="C1730" s="229">
        <f t="shared" si="1349"/>
        <v>2</v>
      </c>
      <c r="D1730" s="227" t="str">
        <f t="shared" si="1442"/>
        <v/>
      </c>
      <c r="E1730" s="228" t="str">
        <f t="shared" ca="1" si="1443"/>
        <v>16.001.001.001</v>
      </c>
      <c r="F1730" s="230">
        <f ca="1">IF($B1730="UNIDADE CONSTRUTIVA",OFFSET(F1730,-1,0)+1,LARGE(F$10:F1729,1))</f>
        <v>2</v>
      </c>
      <c r="G1730" s="228" t="str">
        <f t="shared" ca="1" si="1437"/>
        <v xml:space="preserve">   GERENCIAMENTO EXECUTIVO</v>
      </c>
      <c r="H1730" s="230">
        <f t="shared" ca="1" si="1444"/>
        <v>16</v>
      </c>
      <c r="I1730" s="228" t="str">
        <f t="shared" ca="1" si="1438"/>
        <v xml:space="preserve">   SISTEMAS DE PINTURA INTERNA</v>
      </c>
      <c r="J1730" s="230">
        <f t="shared" ca="1" si="1445"/>
        <v>1</v>
      </c>
      <c r="K1730" s="228" t="str">
        <f t="shared" ca="1" si="1439"/>
        <v xml:space="preserve">   SISTEMAS DE PINTURA INTERNA - 1º PAVIMENTO - SUBSOLO</v>
      </c>
      <c r="L1730" s="231">
        <f t="shared" ca="1" si="1446"/>
        <v>1</v>
      </c>
      <c r="M1730" s="228" t="str">
        <f t="shared" ca="1" si="1440"/>
        <v xml:space="preserve">   Sistemas de Pintura Interna em Piso</v>
      </c>
      <c r="N1730" s="231">
        <f t="shared" ca="1" si="1447"/>
        <v>1</v>
      </c>
      <c r="O1730" s="228" t="str">
        <f t="shared" ca="1" si="1441"/>
        <v xml:space="preserve">Pintura epoxi  2 demaos - aplicacao em faixas demarcatorias de garagens </v>
      </c>
      <c r="P1730" s="232" t="str">
        <f>IF(S1730="","",IF(Orçamento!$B1730="INSUMO",S1730,""))</f>
        <v>TINTA EPOXI PARA PISO</v>
      </c>
      <c r="Q1730" s="244" t="str">
        <f t="shared" si="1434"/>
        <v/>
      </c>
      <c r="R1730" s="234">
        <f t="shared" ca="1" si="1435"/>
        <v>30.3</v>
      </c>
      <c r="S1730" s="233" t="s">
        <v>289</v>
      </c>
      <c r="T1730" s="242" t="str">
        <f>_xlfn.XLOOKUP(S1730,Insumos!$A$3:$A$371,Insumos!$B$3:$B$371)</f>
        <v>L</v>
      </c>
      <c r="U1730" s="235">
        <f ca="1">IF($B1730="insumo",R1730,"")</f>
        <v>30.3</v>
      </c>
      <c r="V1730" s="320">
        <v>0.48299999999999998</v>
      </c>
      <c r="W1730" s="236">
        <f>IFERROR(IF(B1730="INSUMO",_xlfn.XLOOKUP(S1730,Insumos!A:A,Insumos!C:C),""),"Inserir Preço")</f>
        <v>101.92</v>
      </c>
      <c r="X1730" s="235">
        <f t="shared" ca="1" si="1436"/>
        <v>14.6349</v>
      </c>
      <c r="Y1730" s="236">
        <f t="shared" si="1394"/>
        <v>49.227359999999997</v>
      </c>
      <c r="Z1730" s="237">
        <f t="shared" ca="1" si="1350"/>
        <v>1491.5890079999999</v>
      </c>
      <c r="AA1730" s="238"/>
      <c r="AB1730" s="233" t="str">
        <f>IF(B1730="insumo",_xlfn.XLOOKUP(S1730,Insumos!A:A,Insumos!D:D),"")</f>
        <v xml:space="preserve"> </v>
      </c>
      <c r="AC1730" s="239">
        <f t="shared" ca="1" si="1351"/>
        <v>2.1398204231964899E-4</v>
      </c>
      <c r="AE1730" s="240">
        <f ca="1">IFERROR(IF(OR(Z1730="",Z1730=0),"",IF(AF1730="","",IF(AF1730="R$/mês",Z1730/OBRA!$D$12,IF(AF1730="R$/m²",Z1730/OBRA!$D$10,IF(AF1730="R$/apto",Orçamento!Z1730/OBRA!$D$11,""))))),"")</f>
        <v>0.76758232839138951</v>
      </c>
      <c r="AF1730" s="241" t="s">
        <v>154</v>
      </c>
    </row>
    <row r="1731" spans="1:32" s="10" customFormat="1" ht="13.15" hidden="1" customHeight="1" outlineLevel="3" collapsed="1" x14ac:dyDescent="0.2">
      <c r="A1731" s="227"/>
      <c r="B1731" s="228" t="s">
        <v>3</v>
      </c>
      <c r="C1731" s="229" t="str">
        <f t="shared" si="1349"/>
        <v/>
      </c>
      <c r="D1731" s="227" t="str">
        <f t="shared" ca="1" si="1442"/>
        <v>16.001.002</v>
      </c>
      <c r="E1731" s="228" t="str">
        <f t="shared" ca="1" si="1443"/>
        <v>16.001.001.001</v>
      </c>
      <c r="F1731" s="230">
        <f ca="1">IF($B1731="UNIDADE CONSTRUTIVA",OFFSET(F1731,-1,0)+1,LARGE(F$10:F1730,1))</f>
        <v>2</v>
      </c>
      <c r="G1731" s="228" t="str">
        <f t="shared" ca="1" si="1437"/>
        <v xml:space="preserve">   GERENCIAMENTO EXECUTIVO</v>
      </c>
      <c r="H1731" s="230">
        <f t="shared" ca="1" si="1444"/>
        <v>16</v>
      </c>
      <c r="I1731" s="228" t="str">
        <f t="shared" ca="1" si="1438"/>
        <v xml:space="preserve">   SISTEMAS DE PINTURA INTERNA</v>
      </c>
      <c r="J1731" s="230">
        <f t="shared" ca="1" si="1445"/>
        <v>1</v>
      </c>
      <c r="K1731" s="228" t="str">
        <f t="shared" ca="1" si="1439"/>
        <v xml:space="preserve">   SISTEMAS DE PINTURA INTERNA - 1º PAVIMENTO - SUBSOLO</v>
      </c>
      <c r="L1731" s="231">
        <f t="shared" ca="1" si="1446"/>
        <v>2</v>
      </c>
      <c r="M1731" s="228" t="str">
        <f t="shared" ca="1" si="1440"/>
        <v xml:space="preserve">   Sistemas de Pintura Interna em Parede</v>
      </c>
      <c r="N1731" s="231">
        <f t="shared" ca="1" si="1447"/>
        <v>0</v>
      </c>
      <c r="O1731" s="228" t="str">
        <f t="shared" ca="1" si="1441"/>
        <v xml:space="preserve">Pintura epoxi  2 demaos - aplicacao em faixas demarcatorias de garagens </v>
      </c>
      <c r="P1731" s="232" t="str">
        <f>IF(S1731="","",IF(Orçamento!$B1731="INSUMO",S1731,""))</f>
        <v/>
      </c>
      <c r="Q1731" s="244" t="str">
        <f t="shared" si="1434"/>
        <v/>
      </c>
      <c r="R1731" s="234">
        <f t="shared" ca="1" si="1435"/>
        <v>30.3</v>
      </c>
      <c r="S1731" s="233" t="s">
        <v>499</v>
      </c>
      <c r="T1731" s="242" t="s">
        <v>35</v>
      </c>
      <c r="U1731" s="235" t="str">
        <f>IF($B1731="insumo",R1731,"")</f>
        <v/>
      </c>
      <c r="V1731" s="320" t="s">
        <v>35</v>
      </c>
      <c r="W1731" s="236" t="str">
        <f>IFERROR(IF(B1731="INSUMO",_xlfn.XLOOKUP(S1731,Insumos!A:A,Insumos!C:C),""),"Inserir Preço")</f>
        <v/>
      </c>
      <c r="X1731" s="235" t="str">
        <f t="shared" ca="1" si="1436"/>
        <v/>
      </c>
      <c r="Y1731" s="236" t="str">
        <f t="shared" si="1394"/>
        <v/>
      </c>
      <c r="Z1731" s="237">
        <f t="shared" ca="1" si="1350"/>
        <v>8127.7432992000004</v>
      </c>
      <c r="AA1731" s="238"/>
      <c r="AB1731" s="233" t="str">
        <f>IF(B1731="insumo",_xlfn.XLOOKUP(S1731,Insumos!A:A,Insumos!D:D),"")</f>
        <v/>
      </c>
      <c r="AC1731" s="239">
        <f t="shared" ca="1" si="1351"/>
        <v>1.1659988785682029E-3</v>
      </c>
      <c r="AE1731" s="240">
        <f ca="1">IFERROR(IF(OR(Z1731="",Z1731=0),"",IF(AF1731="","",IF(AF1731="R$/mês",Z1731/OBRA!$D$12,IF(AF1731="R$/m²",Z1731/OBRA!$D$10,IF(AF1731="R$/apto",Orçamento!Z1731/OBRA!$D$11,""))))),"")</f>
        <v>4.1825945972427352</v>
      </c>
      <c r="AF1731" s="241" t="s">
        <v>154</v>
      </c>
    </row>
    <row r="1732" spans="1:32" s="10" customFormat="1" ht="13.15" hidden="1" customHeight="1" outlineLevel="4" x14ac:dyDescent="0.2">
      <c r="A1732" s="227"/>
      <c r="B1732" s="228" t="s">
        <v>4</v>
      </c>
      <c r="C1732" s="229">
        <f t="shared" si="1349"/>
        <v>5</v>
      </c>
      <c r="D1732" s="227" t="str">
        <f t="shared" ca="1" si="1442"/>
        <v>16.001.002.001</v>
      </c>
      <c r="E1732" s="228" t="str">
        <f t="shared" ca="1" si="1443"/>
        <v>16.001.002.001</v>
      </c>
      <c r="F1732" s="230">
        <f ca="1">IF($B1732="UNIDADE CONSTRUTIVA",OFFSET(F1732,-1,0)+1,LARGE(F$10:F1731,1))</f>
        <v>2</v>
      </c>
      <c r="G1732" s="228" t="str">
        <f t="shared" ca="1" si="1437"/>
        <v xml:space="preserve">   GERENCIAMENTO EXECUTIVO</v>
      </c>
      <c r="H1732" s="230">
        <f t="shared" ca="1" si="1444"/>
        <v>16</v>
      </c>
      <c r="I1732" s="228" t="str">
        <f t="shared" ca="1" si="1438"/>
        <v xml:space="preserve">   SISTEMAS DE PINTURA INTERNA</v>
      </c>
      <c r="J1732" s="230">
        <f t="shared" ca="1" si="1445"/>
        <v>1</v>
      </c>
      <c r="K1732" s="228" t="str">
        <f t="shared" ca="1" si="1439"/>
        <v xml:space="preserve">   SISTEMAS DE PINTURA INTERNA - 1º PAVIMENTO - SUBSOLO</v>
      </c>
      <c r="L1732" s="231">
        <f t="shared" ca="1" si="1446"/>
        <v>2</v>
      </c>
      <c r="M1732" s="228" t="str">
        <f t="shared" ca="1" si="1440"/>
        <v xml:space="preserve">   Sistemas de Pintura Interna em Parede</v>
      </c>
      <c r="N1732" s="231">
        <f t="shared" ca="1" si="1447"/>
        <v>1</v>
      </c>
      <c r="O1732" s="228" t="str">
        <f t="shared" ca="1" si="1441"/>
        <v>Pintura com tinta latex acrilica, acabamento fosco em paredes internas, 3 demaos Áreas Comuns</v>
      </c>
      <c r="P1732" s="232" t="str">
        <f>IF(S1732="","",IF(Orçamento!$B1732="INSUMO",S1732,""))</f>
        <v/>
      </c>
      <c r="Q1732" s="244" t="str">
        <f t="shared" si="1434"/>
        <v>Pintura com tinta latex acrilica, acabamento fosco em paredes internas, 3 demaos Áreas Comuns</v>
      </c>
      <c r="R1732" s="234">
        <f t="shared" ca="1" si="1435"/>
        <v>452.16</v>
      </c>
      <c r="S1732" s="233" t="s">
        <v>738</v>
      </c>
      <c r="T1732" s="242" t="s">
        <v>140</v>
      </c>
      <c r="U1732" s="235">
        <v>452.16</v>
      </c>
      <c r="V1732" s="320" t="s">
        <v>35</v>
      </c>
      <c r="W1732" s="236" t="str">
        <f>IFERROR(IF(B1732="INSUMO",_xlfn.XLOOKUP(S1732,Insumos!A:A,Insumos!C:C),""),"Inserir Preço")</f>
        <v/>
      </c>
      <c r="X1732" s="235">
        <f t="shared" ca="1" si="1436"/>
        <v>452.16</v>
      </c>
      <c r="Y1732" s="236">
        <f t="shared" ca="1" si="1394"/>
        <v>17.975370000000002</v>
      </c>
      <c r="Z1732" s="237">
        <f t="shared" ca="1" si="1350"/>
        <v>8127.7432992000013</v>
      </c>
      <c r="AA1732" s="238"/>
      <c r="AB1732" s="233" t="str">
        <f>IF(B1732="insumo",_xlfn.XLOOKUP(S1732,Insumos!A:A,Insumos!D:D),"")</f>
        <v/>
      </c>
      <c r="AC1732" s="239">
        <f t="shared" ca="1" si="1351"/>
        <v>1.1659988785682029E-3</v>
      </c>
      <c r="AE1732" s="240">
        <f ca="1">IFERROR(IF(OR(Z1732="",Z1732=0),"",IF(AF1732="","",IF(AF1732="R$/mês",Z1732/OBRA!$D$12,IF(AF1732="R$/m²",Z1732/OBRA!$D$10,IF(AF1732="R$/apto",Orçamento!Z1732/OBRA!$D$11,""))))),"")</f>
        <v>4.1825945972427361</v>
      </c>
      <c r="AF1732" s="241" t="s">
        <v>154</v>
      </c>
    </row>
    <row r="1733" spans="1:32" s="10" customFormat="1" ht="13.15" hidden="1" customHeight="1" outlineLevel="4" x14ac:dyDescent="0.2">
      <c r="A1733" s="227"/>
      <c r="B1733" s="228" t="s">
        <v>19</v>
      </c>
      <c r="C1733" s="229">
        <f t="shared" si="1349"/>
        <v>13</v>
      </c>
      <c r="D1733" s="227" t="str">
        <f t="shared" si="1442"/>
        <v/>
      </c>
      <c r="E1733" s="228" t="str">
        <f t="shared" ca="1" si="1443"/>
        <v>16.001.002.001</v>
      </c>
      <c r="F1733" s="230">
        <f ca="1">IF($B1733="UNIDADE CONSTRUTIVA",OFFSET(F1733,-1,0)+1,LARGE(F$10:F1732,1))</f>
        <v>2</v>
      </c>
      <c r="G1733" s="228" t="str">
        <f t="shared" ca="1" si="1437"/>
        <v xml:space="preserve">   GERENCIAMENTO EXECUTIVO</v>
      </c>
      <c r="H1733" s="230">
        <f t="shared" ca="1" si="1444"/>
        <v>16</v>
      </c>
      <c r="I1733" s="228" t="str">
        <f t="shared" ca="1" si="1438"/>
        <v xml:space="preserve">   SISTEMAS DE PINTURA INTERNA</v>
      </c>
      <c r="J1733" s="230">
        <f t="shared" ca="1" si="1445"/>
        <v>1</v>
      </c>
      <c r="K1733" s="228" t="str">
        <f t="shared" ca="1" si="1439"/>
        <v xml:space="preserve">   SISTEMAS DE PINTURA INTERNA - 1º PAVIMENTO - SUBSOLO</v>
      </c>
      <c r="L1733" s="231">
        <f t="shared" ca="1" si="1446"/>
        <v>2</v>
      </c>
      <c r="M1733" s="228" t="str">
        <f t="shared" ca="1" si="1440"/>
        <v xml:space="preserve">   Sistemas de Pintura Interna em Parede</v>
      </c>
      <c r="N1733" s="231">
        <f t="shared" ca="1" si="1447"/>
        <v>1</v>
      </c>
      <c r="O1733" s="228" t="str">
        <f t="shared" ca="1" si="1441"/>
        <v>Pintura com tinta latex acrilica, acabamento fosco em paredes internas, 3 demaos Áreas Comuns</v>
      </c>
      <c r="P1733" s="232" t="str">
        <f>IF(S1733="","",IF(Orçamento!$B1733="INSUMO",S1733,""))</f>
        <v>TINTA ACRILICO PREMIUM FOSCO</v>
      </c>
      <c r="Q1733" s="244" t="str">
        <f t="shared" si="1434"/>
        <v/>
      </c>
      <c r="R1733" s="234">
        <f t="shared" ca="1" si="1435"/>
        <v>452.16</v>
      </c>
      <c r="S1733" s="233" t="s">
        <v>264</v>
      </c>
      <c r="T1733" s="242" t="str">
        <f>_xlfn.XLOOKUP(S1733,Insumos!$A$3:$A$371,Insumos!$B$3:$B$371)</f>
        <v>L</v>
      </c>
      <c r="U1733" s="235">
        <f ca="1">IF($B1733="insumo",R1733,"")</f>
        <v>452.16</v>
      </c>
      <c r="V1733" s="320">
        <f>0.2678*2</f>
        <v>0.53559999999999997</v>
      </c>
      <c r="W1733" s="236">
        <f>IFERROR(IF(B1733="INSUMO",_xlfn.XLOOKUP(S1733,Insumos!A:A,Insumos!C:C),""),"Inserir Preço")</f>
        <v>29.17</v>
      </c>
      <c r="X1733" s="235">
        <f t="shared" ca="1" si="1436"/>
        <v>242.176896</v>
      </c>
      <c r="Y1733" s="236">
        <f t="shared" si="1394"/>
        <v>15.623452</v>
      </c>
      <c r="Z1733" s="237">
        <f t="shared" ca="1" si="1350"/>
        <v>7064.3000563200003</v>
      </c>
      <c r="AA1733" s="238"/>
      <c r="AB1733" s="233" t="str">
        <f>IF(B1733="insumo",_xlfn.XLOOKUP(S1733,Insumos!A:A,Insumos!D:D),"")</f>
        <v xml:space="preserve"> </v>
      </c>
      <c r="AC1733" s="239">
        <f t="shared" ca="1" si="1351"/>
        <v>1.0134382497475238E-3</v>
      </c>
      <c r="AE1733" s="240">
        <f ca="1">IFERROR(IF(OR(Z1733="",Z1733=0),"",IF(AF1733="","",IF(AF1733="R$/mês",Z1733/OBRA!$D$12,IF(AF1733="R$/m²",Z1733/OBRA!$D$10,IF(AF1733="R$/apto",Orçamento!Z1733/OBRA!$D$11,""))))),"")</f>
        <v>3.6353391293465007</v>
      </c>
      <c r="AF1733" s="241" t="s">
        <v>154</v>
      </c>
    </row>
    <row r="1734" spans="1:32" s="10" customFormat="1" ht="13.15" hidden="1" customHeight="1" outlineLevel="4" x14ac:dyDescent="0.2">
      <c r="A1734" s="227"/>
      <c r="B1734" s="228" t="s">
        <v>19</v>
      </c>
      <c r="C1734" s="229">
        <f t="shared" si="1349"/>
        <v>12</v>
      </c>
      <c r="D1734" s="227" t="str">
        <f>IF(B1734="Unidade Construtiva",TEXT(F1734,"00"),IF(B1734="Célula Construtiva",TEXT(H1734,"00"),IF(B1734="Etapa",CONCATENATE(TEXT(H1734,"00"),".",TEXT(J1734,"000")),IF(B1734="Subetapa",CONCATENATE(TEXT(H1734,"00"),".",TEXT(J1734,"000"),".",TEXT(L1734,"000")),IF(B1734="Serviço",CONCATENATE(TEXT(H1734,"00"),".",TEXT(J1734,"000"),".",TEXT(L1734,"000"),".",TEXT(N1734,"000")),"")))))</f>
        <v/>
      </c>
      <c r="E1734" s="228" t="str">
        <f ca="1">IF(B1734="*","",IFERROR(IF(B1734="SERVIÇO",D1734,OFFSET(E1734,-1,0)),""))</f>
        <v>16.001.002.001</v>
      </c>
      <c r="F1734" s="230">
        <f ca="1">IF($B1734="UNIDADE CONSTRUTIVA",OFFSET(F1734,-1,0)+1,LARGE(F$10:F1733,1))</f>
        <v>2</v>
      </c>
      <c r="G1734" s="228" t="str">
        <f ca="1">IF(B1734="*","",IF(B1734="UNIDADE CONSTRUTIVA",S1734,OFFSET(G1734,-1,0)))</f>
        <v xml:space="preserve">   GERENCIAMENTO EXECUTIVO</v>
      </c>
      <c r="H1734" s="230">
        <f ca="1">IF(B1734="UNIDADE CONSTRUTIVA",0,IF(B1734="CÉLULA CONSTRUTIVA",OFFSET(H1734,-1,0)+1,OFFSET(H1734,-1,0)))</f>
        <v>16</v>
      </c>
      <c r="I1734" s="228" t="str">
        <f ca="1">IF(B1734="*","",IF(B1734="CÉLULA CONSTRUTIVA",S1734,OFFSET(I1734,-1,0)))</f>
        <v xml:space="preserve">   SISTEMAS DE PINTURA INTERNA</v>
      </c>
      <c r="J1734" s="230">
        <f ca="1">IF(B1734="CÉLULA CONSTRUTIVA",0,IF(B1734="ETAPA",OFFSET(J1734,-1,0)+1,OFFSET(J1734,-1,0)))</f>
        <v>1</v>
      </c>
      <c r="K1734" s="228" t="str">
        <f ca="1">IF(B1734="*","",IF(B1734="ETAPA",S1734,OFFSET(K1734,-1,0)))</f>
        <v xml:space="preserve">   SISTEMAS DE PINTURA INTERNA - 1º PAVIMENTO - SUBSOLO</v>
      </c>
      <c r="L1734" s="231">
        <f ca="1">IF(B1734="ETAPA",0,IF(B1734="SUBETAPA",OFFSET(L1734,-1,0)+1,OFFSET(L1734,-1,0)))</f>
        <v>2</v>
      </c>
      <c r="M1734" s="228" t="str">
        <f ca="1">IF(B1734="*","",IF(B1734="SUBETAPA",S1734,OFFSET(M1734,-1,0)))</f>
        <v xml:space="preserve">   Sistemas de Pintura Interna em Parede</v>
      </c>
      <c r="N1734" s="231">
        <f ca="1">IF(B1734="Subetapa",0,IF(B1734="serviço",OFFSET(N1734,-1,0)+1,OFFSET(N1734,-1,0)))</f>
        <v>1</v>
      </c>
      <c r="O1734" s="228" t="str">
        <f ca="1">IF(B1734="*","",IF(B1734="SERVIÇO",S1734,OFFSET(O1734,-1,0)))</f>
        <v>Pintura com tinta latex acrilica, acabamento fosco em paredes internas, 3 demaos Áreas Comuns</v>
      </c>
      <c r="P1734" s="232" t="str">
        <f>IF(S1734="","",IF(Orçamento!$B1734="INSUMO",S1734,""))</f>
        <v>MASSA CORRIDA PVA</v>
      </c>
      <c r="Q1734" s="244" t="str">
        <f>IF(B1734="","",IF(B1734="Serviço",S1734,""))</f>
        <v/>
      </c>
      <c r="R1734" s="234">
        <f ca="1">IF(B1734="serviço",U1734,OFFSET(R1734,-1,0))</f>
        <v>452.16</v>
      </c>
      <c r="S1734" s="233" t="s">
        <v>338</v>
      </c>
      <c r="T1734" s="242" t="str">
        <f>_xlfn.XLOOKUP(S1734,Insumos!$A$3:$A$371,Insumos!$B$3:$B$371)</f>
        <v>L</v>
      </c>
      <c r="U1734" s="235">
        <f ca="1">IF($B1734="insumo",R1734,"")</f>
        <v>452.16</v>
      </c>
      <c r="V1734" s="320">
        <v>1.6868000000000001</v>
      </c>
      <c r="W1734" s="236">
        <f>IFERROR(IF(B1734="INSUMO",_xlfn.XLOOKUP(S1734,Insumos!A:A,Insumos!C:C),""),"Inserir Preço")</f>
        <v>1.26</v>
      </c>
      <c r="X1734" s="235">
        <f t="shared" ca="1" si="1436"/>
        <v>762.70348800000011</v>
      </c>
      <c r="Y1734" s="236">
        <f t="shared" si="1394"/>
        <v>2.1253679999999999</v>
      </c>
      <c r="Z1734" s="237">
        <f t="shared" ca="1" si="1350"/>
        <v>961.00639488000013</v>
      </c>
      <c r="AA1734" s="238"/>
      <c r="AB1734" s="233" t="str">
        <f>IF(B1734="insumo",_xlfn.XLOOKUP(S1734,Insumos!A:A,Insumos!D:D),"")</f>
        <v xml:space="preserve"> </v>
      </c>
      <c r="AC1734" s="239">
        <f t="shared" ca="1" si="1351"/>
        <v>1.3786512903738528E-4</v>
      </c>
      <c r="AE1734" s="240">
        <f ca="1">IFERROR(IF(OR(Z1734="",Z1734=0),"",IF(AF1734="","",IF(AF1734="R$/mês",Z1734/OBRA!$D$12,IF(AF1734="R$/m²",Z1734/OBRA!$D$10,IF(AF1734="R$/apto",Orçamento!Z1734/OBRA!$D$11,""))))),"")</f>
        <v>0.49454073623811906</v>
      </c>
      <c r="AF1734" s="241" t="s">
        <v>154</v>
      </c>
    </row>
    <row r="1735" spans="1:32" s="10" customFormat="1" ht="13.15" hidden="1" customHeight="1" outlineLevel="4" x14ac:dyDescent="0.2">
      <c r="A1735" s="227"/>
      <c r="B1735" s="228" t="s">
        <v>19</v>
      </c>
      <c r="C1735" s="229">
        <f t="shared" si="1349"/>
        <v>19</v>
      </c>
      <c r="D1735" s="227" t="str">
        <f>IF(B1735="Unidade Construtiva",TEXT(F1735,"00"),IF(B1735="Célula Construtiva",TEXT(H1735,"00"),IF(B1735="Etapa",CONCATENATE(TEXT(H1735,"00"),".",TEXT(J1735,"000")),IF(B1735="Subetapa",CONCATENATE(TEXT(H1735,"00"),".",TEXT(J1735,"000"),".",TEXT(L1735,"000")),IF(B1735="Serviço",CONCATENATE(TEXT(H1735,"00"),".",TEXT(J1735,"000"),".",TEXT(L1735,"000"),".",TEXT(N1735,"000")),"")))))</f>
        <v/>
      </c>
      <c r="E1735" s="228" t="str">
        <f ca="1">IF(B1735="*","",IFERROR(IF(B1735="SERVIÇO",D1735,OFFSET(E1735,-1,0)),""))</f>
        <v>16.001.002.001</v>
      </c>
      <c r="F1735" s="230">
        <f ca="1">IF($B1735="UNIDADE CONSTRUTIVA",OFFSET(F1735,-1,0)+1,LARGE(F$10:F1734,1))</f>
        <v>2</v>
      </c>
      <c r="G1735" s="228" t="str">
        <f ca="1">IF(B1735="*","",IF(B1735="UNIDADE CONSTRUTIVA",S1735,OFFSET(G1735,-1,0)))</f>
        <v xml:space="preserve">   GERENCIAMENTO EXECUTIVO</v>
      </c>
      <c r="H1735" s="230">
        <f ca="1">IF(B1735="UNIDADE CONSTRUTIVA",0,IF(B1735="CÉLULA CONSTRUTIVA",OFFSET(H1735,-1,0)+1,OFFSET(H1735,-1,0)))</f>
        <v>16</v>
      </c>
      <c r="I1735" s="228" t="str">
        <f ca="1">IF(B1735="*","",IF(B1735="CÉLULA CONSTRUTIVA",S1735,OFFSET(I1735,-1,0)))</f>
        <v xml:space="preserve">   SISTEMAS DE PINTURA INTERNA</v>
      </c>
      <c r="J1735" s="230">
        <f ca="1">IF(B1735="CÉLULA CONSTRUTIVA",0,IF(B1735="ETAPA",OFFSET(J1735,-1,0)+1,OFFSET(J1735,-1,0)))</f>
        <v>1</v>
      </c>
      <c r="K1735" s="228" t="str">
        <f ca="1">IF(B1735="*","",IF(B1735="ETAPA",S1735,OFFSET(K1735,-1,0)))</f>
        <v xml:space="preserve">   SISTEMAS DE PINTURA INTERNA - 1º PAVIMENTO - SUBSOLO</v>
      </c>
      <c r="L1735" s="231">
        <f ca="1">IF(B1735="ETAPA",0,IF(B1735="SUBETAPA",OFFSET(L1735,-1,0)+1,OFFSET(L1735,-1,0)))</f>
        <v>2</v>
      </c>
      <c r="M1735" s="228" t="str">
        <f ca="1">IF(B1735="*","",IF(B1735="SUBETAPA",S1735,OFFSET(M1735,-1,0)))</f>
        <v xml:space="preserve">   Sistemas de Pintura Interna em Parede</v>
      </c>
      <c r="N1735" s="231">
        <f ca="1">IF(B1735="Subetapa",0,IF(B1735="serviço",OFFSET(N1735,-1,0)+1,OFFSET(N1735,-1,0)))</f>
        <v>1</v>
      </c>
      <c r="O1735" s="228" t="str">
        <f ca="1">IF(B1735="*","",IF(B1735="SERVIÇO",S1735,OFFSET(O1735,-1,0)))</f>
        <v>Pintura com tinta latex acrilica, acabamento fosco em paredes internas, 3 demaos Áreas Comuns</v>
      </c>
      <c r="P1735" s="232" t="str">
        <f>IF(S1735="","",IF(Orçamento!$B1735="INSUMO",S1735,""))</f>
        <v>LIXA EM FOLHA PARA PAREDE OU MADEIRA N° 120</v>
      </c>
      <c r="Q1735" s="244" t="str">
        <f>IF(B1735="","",IF(B1735="Serviço",S1735,""))</f>
        <v/>
      </c>
      <c r="R1735" s="234">
        <f ca="1">IF(B1735="serviço",U1735,OFFSET(R1735,-1,0))</f>
        <v>452.16</v>
      </c>
      <c r="S1735" s="233" t="s">
        <v>922</v>
      </c>
      <c r="T1735" s="242" t="str">
        <f>_xlfn.XLOOKUP(S1735,Insumos!$A$3:$A$371,Insumos!$B$3:$B$371)</f>
        <v>UN</v>
      </c>
      <c r="U1735" s="235">
        <f ca="1">IF($B1735="insumo",R1735,"")</f>
        <v>452.16</v>
      </c>
      <c r="V1735" s="320">
        <v>9.8500000000000004E-2</v>
      </c>
      <c r="W1735" s="236">
        <f>IFERROR(IF(B1735="INSUMO",_xlfn.XLOOKUP(S1735,Insumos!A:A,Insumos!C:C),""),"Inserir Preço")</f>
        <v>2.2999999999999998</v>
      </c>
      <c r="X1735" s="235">
        <f t="shared" ca="1" si="1436"/>
        <v>44.537760000000006</v>
      </c>
      <c r="Y1735" s="236">
        <f t="shared" si="1394"/>
        <v>0.22655</v>
      </c>
      <c r="Z1735" s="237">
        <f t="shared" ca="1" si="1350"/>
        <v>102.43684800000001</v>
      </c>
      <c r="AA1735" s="238"/>
      <c r="AB1735" s="233" t="str">
        <f>IF(B1735="insumo",_xlfn.XLOOKUP(S1735,Insumos!A:A,Insumos!D:D),"")</f>
        <v xml:space="preserve"> </v>
      </c>
      <c r="AC1735" s="239">
        <f t="shared" ca="1" si="1351"/>
        <v>1.4695499783293829E-5</v>
      </c>
      <c r="AE1735" s="240">
        <f ca="1">IFERROR(IF(OR(Z1735="",Z1735=0),"",IF(AF1735="","",IF(AF1735="R$/mês",Z1735/OBRA!$D$12,IF(AF1735="R$/m²",Z1735/OBRA!$D$10,IF(AF1735="R$/apto",Orçamento!Z1735/OBRA!$D$11,""))))),"")</f>
        <v>5.2714731658115618E-2</v>
      </c>
      <c r="AF1735" s="241" t="s">
        <v>154</v>
      </c>
    </row>
    <row r="1736" spans="1:32" s="10" customFormat="1" ht="13.15" hidden="1" customHeight="1" outlineLevel="3" collapsed="1" x14ac:dyDescent="0.2">
      <c r="A1736" s="227"/>
      <c r="B1736" s="228" t="s">
        <v>3</v>
      </c>
      <c r="C1736" s="229" t="str">
        <f t="shared" si="1349"/>
        <v/>
      </c>
      <c r="D1736" s="227" t="str">
        <f t="shared" ca="1" si="1442"/>
        <v>16.001.003</v>
      </c>
      <c r="E1736" s="228" t="str">
        <f t="shared" ca="1" si="1443"/>
        <v>16.001.002.001</v>
      </c>
      <c r="F1736" s="230">
        <f ca="1">IF($B1736="UNIDADE CONSTRUTIVA",OFFSET(F1736,-1,0)+1,LARGE(F$10:F1735,1))</f>
        <v>2</v>
      </c>
      <c r="G1736" s="228" t="str">
        <f t="shared" ca="1" si="1437"/>
        <v xml:space="preserve">   GERENCIAMENTO EXECUTIVO</v>
      </c>
      <c r="H1736" s="230">
        <f t="shared" ca="1" si="1444"/>
        <v>16</v>
      </c>
      <c r="I1736" s="228" t="str">
        <f t="shared" ca="1" si="1438"/>
        <v xml:space="preserve">   SISTEMAS DE PINTURA INTERNA</v>
      </c>
      <c r="J1736" s="230">
        <f t="shared" ca="1" si="1445"/>
        <v>1</v>
      </c>
      <c r="K1736" s="228" t="str">
        <f t="shared" ca="1" si="1439"/>
        <v xml:space="preserve">   SISTEMAS DE PINTURA INTERNA - 1º PAVIMENTO - SUBSOLO</v>
      </c>
      <c r="L1736" s="231">
        <f t="shared" ca="1" si="1446"/>
        <v>3</v>
      </c>
      <c r="M1736" s="228" t="str">
        <f t="shared" ca="1" si="1440"/>
        <v xml:space="preserve">   Sistemas de Pintura Interna em Teto</v>
      </c>
      <c r="N1736" s="231">
        <f t="shared" ca="1" si="1447"/>
        <v>0</v>
      </c>
      <c r="O1736" s="228" t="str">
        <f t="shared" ca="1" si="1441"/>
        <v>Pintura com tinta latex acrilica, acabamento fosco em paredes internas, 3 demaos Áreas Comuns</v>
      </c>
      <c r="P1736" s="232" t="str">
        <f>IF(S1736="","",IF(Orçamento!$B1736="INSUMO",S1736,""))</f>
        <v/>
      </c>
      <c r="Q1736" s="244" t="str">
        <f t="shared" si="1434"/>
        <v/>
      </c>
      <c r="R1736" s="234">
        <f t="shared" ca="1" si="1435"/>
        <v>452.16</v>
      </c>
      <c r="S1736" s="233" t="s">
        <v>500</v>
      </c>
      <c r="T1736" s="242" t="s">
        <v>35</v>
      </c>
      <c r="U1736" s="235" t="str">
        <f>IF($B1736="insumo",R1736,"")</f>
        <v/>
      </c>
      <c r="V1736" s="320" t="s">
        <v>35</v>
      </c>
      <c r="W1736" s="236" t="str">
        <f>IFERROR(IF(B1736="INSUMO",_xlfn.XLOOKUP(S1736,Insumos!A:A,Insumos!C:C),""),"Inserir Preço")</f>
        <v/>
      </c>
      <c r="X1736" s="235" t="str">
        <f t="shared" ca="1" si="1436"/>
        <v/>
      </c>
      <c r="Y1736" s="236" t="str">
        <f t="shared" si="1394"/>
        <v/>
      </c>
      <c r="Z1736" s="237">
        <f t="shared" ca="1" si="1350"/>
        <v>4648.4160912200005</v>
      </c>
      <c r="AA1736" s="238"/>
      <c r="AB1736" s="233" t="str">
        <f>IF(B1736="insumo",_xlfn.XLOOKUP(S1736,Insumos!A:A,Insumos!D:D),"")</f>
        <v/>
      </c>
      <c r="AC1736" s="239">
        <f t="shared" ca="1" si="1351"/>
        <v>6.6685766884571707E-4</v>
      </c>
      <c r="AE1736" s="240">
        <f ca="1">IFERROR(IF(OR(Z1736="",Z1736=0),"",IF(AF1736="","",IF(AF1736="R$/mês",Z1736/OBRA!$D$12,IF(AF1736="R$/m²",Z1736/OBRA!$D$10,IF(AF1736="R$/apto",Orçamento!Z1736/OBRA!$D$11,""))))),"")</f>
        <v>2.3921080321011927</v>
      </c>
      <c r="AF1736" s="241" t="s">
        <v>154</v>
      </c>
    </row>
    <row r="1737" spans="1:32" s="10" customFormat="1" ht="13.15" hidden="1" customHeight="1" outlineLevel="4" x14ac:dyDescent="0.2">
      <c r="A1737" s="227"/>
      <c r="B1737" s="228" t="s">
        <v>4</v>
      </c>
      <c r="C1737" s="229">
        <f t="shared" si="1349"/>
        <v>5</v>
      </c>
      <c r="D1737" s="227" t="str">
        <f t="shared" ca="1" si="1442"/>
        <v>16.001.003.001</v>
      </c>
      <c r="E1737" s="228" t="str">
        <f t="shared" ca="1" si="1443"/>
        <v>16.001.003.001</v>
      </c>
      <c r="F1737" s="230">
        <f ca="1">IF($B1737="UNIDADE CONSTRUTIVA",OFFSET(F1737,-1,0)+1,LARGE(F$10:F1736,1))</f>
        <v>2</v>
      </c>
      <c r="G1737" s="228" t="str">
        <f t="shared" ca="1" si="1437"/>
        <v xml:space="preserve">   GERENCIAMENTO EXECUTIVO</v>
      </c>
      <c r="H1737" s="230">
        <f t="shared" ca="1" si="1444"/>
        <v>16</v>
      </c>
      <c r="I1737" s="228" t="str">
        <f t="shared" ca="1" si="1438"/>
        <v xml:space="preserve">   SISTEMAS DE PINTURA INTERNA</v>
      </c>
      <c r="J1737" s="230">
        <f t="shared" ca="1" si="1445"/>
        <v>1</v>
      </c>
      <c r="K1737" s="228" t="str">
        <f t="shared" ca="1" si="1439"/>
        <v xml:space="preserve">   SISTEMAS DE PINTURA INTERNA - 1º PAVIMENTO - SUBSOLO</v>
      </c>
      <c r="L1737" s="231">
        <f t="shared" ca="1" si="1446"/>
        <v>3</v>
      </c>
      <c r="M1737" s="228" t="str">
        <f t="shared" ca="1" si="1440"/>
        <v xml:space="preserve">   Sistemas de Pintura Interna em Teto</v>
      </c>
      <c r="N1737" s="231">
        <f t="shared" ca="1" si="1447"/>
        <v>1</v>
      </c>
      <c r="O1737" s="228" t="str">
        <f t="shared" ca="1" si="1441"/>
        <v>Pintura com tinta latex acrilica, acabamento fosco em teto, 3 demaos</v>
      </c>
      <c r="P1737" s="232" t="str">
        <f>IF(S1737="","",IF(Orçamento!$B1737="INSUMO",S1737,""))</f>
        <v/>
      </c>
      <c r="Q1737" s="244" t="str">
        <f t="shared" si="1434"/>
        <v>Pintura com tinta latex acrilica, acabamento fosco em teto, 3 demaos</v>
      </c>
      <c r="R1737" s="234">
        <f t="shared" ca="1" si="1435"/>
        <v>294.61</v>
      </c>
      <c r="S1737" s="233" t="s">
        <v>501</v>
      </c>
      <c r="T1737" s="242" t="s">
        <v>140</v>
      </c>
      <c r="U1737" s="235">
        <v>294.61</v>
      </c>
      <c r="V1737" s="320" t="s">
        <v>35</v>
      </c>
      <c r="W1737" s="236" t="str">
        <f>IFERROR(IF(B1737="INSUMO",_xlfn.XLOOKUP(S1737,Insumos!A:A,Insumos!C:C),""),"Inserir Preço")</f>
        <v/>
      </c>
      <c r="X1737" s="235">
        <f t="shared" ca="1" si="1436"/>
        <v>294.61</v>
      </c>
      <c r="Y1737" s="236">
        <f t="shared" ca="1" si="1394"/>
        <v>15.778202000000002</v>
      </c>
      <c r="Z1737" s="237">
        <f t="shared" ca="1" si="1350"/>
        <v>4648.4160912200005</v>
      </c>
      <c r="AA1737" s="238"/>
      <c r="AB1737" s="233" t="str">
        <f>IF(B1737="insumo",_xlfn.XLOOKUP(S1737,Insumos!A:A,Insumos!D:D),"")</f>
        <v/>
      </c>
      <c r="AC1737" s="239">
        <f t="shared" ca="1" si="1351"/>
        <v>6.6685766884571707E-4</v>
      </c>
      <c r="AE1737" s="240">
        <f ca="1">IFERROR(IF(OR(Z1737="",Z1737=0),"",IF(AF1737="","",IF(AF1737="R$/mês",Z1737/OBRA!$D$12,IF(AF1737="R$/m²",Z1737/OBRA!$D$10,IF(AF1737="R$/apto",Orçamento!Z1737/OBRA!$D$11,""))))),"")</f>
        <v>2.3921080321011927</v>
      </c>
      <c r="AF1737" s="241" t="s">
        <v>154</v>
      </c>
    </row>
    <row r="1738" spans="1:32" s="10" customFormat="1" ht="13.15" hidden="1" customHeight="1" outlineLevel="4" x14ac:dyDescent="0.2">
      <c r="A1738" s="227"/>
      <c r="B1738" s="228" t="s">
        <v>19</v>
      </c>
      <c r="C1738" s="229">
        <f t="shared" si="1349"/>
        <v>12</v>
      </c>
      <c r="D1738" s="227" t="str">
        <f>IF(B1738="Unidade Construtiva",TEXT(F1738,"00"),IF(B1738="Célula Construtiva",TEXT(H1738,"00"),IF(B1738="Etapa",CONCATENATE(TEXT(H1738,"00"),".",TEXT(J1738,"000")),IF(B1738="Subetapa",CONCATENATE(TEXT(H1738,"00"),".",TEXT(J1738,"000"),".",TEXT(L1738,"000")),IF(B1738="Serviço",CONCATENATE(TEXT(H1738,"00"),".",TEXT(J1738,"000"),".",TEXT(L1738,"000"),".",TEXT(N1738,"000")),"")))))</f>
        <v/>
      </c>
      <c r="E1738" s="228" t="str">
        <f ca="1">IF(B1738="*","",IFERROR(IF(B1738="SERVIÇO",D1738,OFFSET(E1738,-1,0)),""))</f>
        <v>16.001.003.001</v>
      </c>
      <c r="F1738" s="230">
        <f ca="1">IF($B1738="UNIDADE CONSTRUTIVA",OFFSET(F1738,-1,0)+1,LARGE(F$10:F1737,1))</f>
        <v>2</v>
      </c>
      <c r="G1738" s="228" t="str">
        <f ca="1">IF(B1738="*","",IF(B1738="UNIDADE CONSTRUTIVA",S1738,OFFSET(G1738,-1,0)))</f>
        <v xml:space="preserve">   GERENCIAMENTO EXECUTIVO</v>
      </c>
      <c r="H1738" s="230">
        <f ca="1">IF(B1738="UNIDADE CONSTRUTIVA",0,IF(B1738="CÉLULA CONSTRUTIVA",OFFSET(H1738,-1,0)+1,OFFSET(H1738,-1,0)))</f>
        <v>16</v>
      </c>
      <c r="I1738" s="228" t="str">
        <f ca="1">IF(B1738="*","",IF(B1738="CÉLULA CONSTRUTIVA",S1738,OFFSET(I1738,-1,0)))</f>
        <v xml:space="preserve">   SISTEMAS DE PINTURA INTERNA</v>
      </c>
      <c r="J1738" s="230">
        <f ca="1">IF(B1738="CÉLULA CONSTRUTIVA",0,IF(B1738="ETAPA",OFFSET(J1738,-1,0)+1,OFFSET(J1738,-1,0)))</f>
        <v>1</v>
      </c>
      <c r="K1738" s="228" t="str">
        <f ca="1">IF(B1738="*","",IF(B1738="ETAPA",S1738,OFFSET(K1738,-1,0)))</f>
        <v xml:space="preserve">   SISTEMAS DE PINTURA INTERNA - 1º PAVIMENTO - SUBSOLO</v>
      </c>
      <c r="L1738" s="231">
        <f ca="1">IF(B1738="ETAPA",0,IF(B1738="SUBETAPA",OFFSET(L1738,-1,0)+1,OFFSET(L1738,-1,0)))</f>
        <v>3</v>
      </c>
      <c r="M1738" s="228" t="str">
        <f ca="1">IF(B1738="*","",IF(B1738="SUBETAPA",S1738,OFFSET(M1738,-1,0)))</f>
        <v xml:space="preserve">   Sistemas de Pintura Interna em Teto</v>
      </c>
      <c r="N1738" s="231">
        <f ca="1">IF(B1738="Subetapa",0,IF(B1738="serviço",OFFSET(N1738,-1,0)+1,OFFSET(N1738,-1,0)))</f>
        <v>1</v>
      </c>
      <c r="O1738" s="228" t="str">
        <f ca="1">IF(B1738="*","",IF(B1738="SERVIÇO",S1738,OFFSET(O1738,-1,0)))</f>
        <v>Pintura com tinta latex acrilica, acabamento fosco em teto, 3 demaos</v>
      </c>
      <c r="P1738" s="232" t="str">
        <f>IF(S1738="","",IF(Orçamento!$B1738="INSUMO",S1738,""))</f>
        <v>MASSA CORRIDA PVA</v>
      </c>
      <c r="Q1738" s="244" t="str">
        <f>IF(B1738="","",IF(B1738="Serviço",S1738,""))</f>
        <v/>
      </c>
      <c r="R1738" s="234">
        <f ca="1">IF(B1738="serviço",U1738,OFFSET(R1738,-1,0))</f>
        <v>294.61</v>
      </c>
      <c r="S1738" s="233" t="s">
        <v>338</v>
      </c>
      <c r="T1738" s="242" t="str">
        <f>_xlfn.XLOOKUP(S1738,Insumos!$A$3:$A$371,Insumos!$B$3:$B$371)</f>
        <v>L</v>
      </c>
      <c r="U1738" s="235">
        <f ca="1">IF($B1738="insumo",R1738,"")</f>
        <v>294.61</v>
      </c>
      <c r="V1738" s="320">
        <v>0.88019999999999998</v>
      </c>
      <c r="W1738" s="236">
        <f>IFERROR(IF(B1738="INSUMO",_xlfn.XLOOKUP(S1738,Insumos!A:A,Insumos!C:C),""),"Inserir Preço")</f>
        <v>1.26</v>
      </c>
      <c r="X1738" s="235">
        <f t="shared" ca="1" si="1436"/>
        <v>259.31572199999999</v>
      </c>
      <c r="Y1738" s="236">
        <f t="shared" si="1394"/>
        <v>1.1090519999999999</v>
      </c>
      <c r="Z1738" s="237">
        <f t="shared" ca="1" si="1350"/>
        <v>326.73780971999997</v>
      </c>
      <c r="AA1738" s="238"/>
      <c r="AB1738" s="233" t="str">
        <f>IF(B1738="insumo",_xlfn.XLOOKUP(S1738,Insumos!A:A,Insumos!D:D),"")</f>
        <v xml:space="preserve"> </v>
      </c>
      <c r="AC1738" s="239">
        <f t="shared" ca="1" si="1351"/>
        <v>4.6873517739770351E-5</v>
      </c>
      <c r="AE1738" s="240">
        <f ca="1">IFERROR(IF(OR(Z1738="",Z1738=0),"",IF(AF1738="","",IF(AF1738="R$/mês",Z1738/OBRA!$D$12,IF(AF1738="R$/m²",Z1738/OBRA!$D$10,IF(AF1738="R$/apto",Orçamento!Z1738/OBRA!$D$11,""))))),"")</f>
        <v>0.16814160429799868</v>
      </c>
      <c r="AF1738" s="241" t="s">
        <v>154</v>
      </c>
    </row>
    <row r="1739" spans="1:32" s="10" customFormat="1" ht="13.15" hidden="1" customHeight="1" outlineLevel="4" x14ac:dyDescent="0.2">
      <c r="A1739" s="227"/>
      <c r="B1739" s="228" t="s">
        <v>19</v>
      </c>
      <c r="C1739" s="229">
        <f t="shared" si="1349"/>
        <v>19</v>
      </c>
      <c r="D1739" s="227" t="str">
        <f>IF(B1739="Unidade Construtiva",TEXT(F1739,"00"),IF(B1739="Célula Construtiva",TEXT(H1739,"00"),IF(B1739="Etapa",CONCATENATE(TEXT(H1739,"00"),".",TEXT(J1739,"000")),IF(B1739="Subetapa",CONCATENATE(TEXT(H1739,"00"),".",TEXT(J1739,"000"),".",TEXT(L1739,"000")),IF(B1739="Serviço",CONCATENATE(TEXT(H1739,"00"),".",TEXT(J1739,"000"),".",TEXT(L1739,"000"),".",TEXT(N1739,"000")),"")))))</f>
        <v/>
      </c>
      <c r="E1739" s="228" t="str">
        <f ca="1">IF(B1739="*","",IFERROR(IF(B1739="SERVIÇO",D1739,OFFSET(E1739,-1,0)),""))</f>
        <v>16.001.003.001</v>
      </c>
      <c r="F1739" s="230">
        <f ca="1">IF($B1739="UNIDADE CONSTRUTIVA",OFFSET(F1739,-1,0)+1,LARGE(F$10:F1738,1))</f>
        <v>2</v>
      </c>
      <c r="G1739" s="228" t="str">
        <f ca="1">IF(B1739="*","",IF(B1739="UNIDADE CONSTRUTIVA",S1739,OFFSET(G1739,-1,0)))</f>
        <v xml:space="preserve">   GERENCIAMENTO EXECUTIVO</v>
      </c>
      <c r="H1739" s="230">
        <f ca="1">IF(B1739="UNIDADE CONSTRUTIVA",0,IF(B1739="CÉLULA CONSTRUTIVA",OFFSET(H1739,-1,0)+1,OFFSET(H1739,-1,0)))</f>
        <v>16</v>
      </c>
      <c r="I1739" s="228" t="str">
        <f ca="1">IF(B1739="*","",IF(B1739="CÉLULA CONSTRUTIVA",S1739,OFFSET(I1739,-1,0)))</f>
        <v xml:space="preserve">   SISTEMAS DE PINTURA INTERNA</v>
      </c>
      <c r="J1739" s="230">
        <f ca="1">IF(B1739="CÉLULA CONSTRUTIVA",0,IF(B1739="ETAPA",OFFSET(J1739,-1,0)+1,OFFSET(J1739,-1,0)))</f>
        <v>1</v>
      </c>
      <c r="K1739" s="228" t="str">
        <f ca="1">IF(B1739="*","",IF(B1739="ETAPA",S1739,OFFSET(K1739,-1,0)))</f>
        <v xml:space="preserve">   SISTEMAS DE PINTURA INTERNA - 1º PAVIMENTO - SUBSOLO</v>
      </c>
      <c r="L1739" s="231">
        <f ca="1">IF(B1739="ETAPA",0,IF(B1739="SUBETAPA",OFFSET(L1739,-1,0)+1,OFFSET(L1739,-1,0)))</f>
        <v>3</v>
      </c>
      <c r="M1739" s="228" t="str">
        <f ca="1">IF(B1739="*","",IF(B1739="SUBETAPA",S1739,OFFSET(M1739,-1,0)))</f>
        <v xml:space="preserve">   Sistemas de Pintura Interna em Teto</v>
      </c>
      <c r="N1739" s="231">
        <f ca="1">IF(B1739="Subetapa",0,IF(B1739="serviço",OFFSET(N1739,-1,0)+1,OFFSET(N1739,-1,0)))</f>
        <v>1</v>
      </c>
      <c r="O1739" s="228" t="str">
        <f ca="1">IF(B1739="*","",IF(B1739="SERVIÇO",S1739,OFFSET(O1739,-1,0)))</f>
        <v>Pintura com tinta latex acrilica, acabamento fosco em teto, 3 demaos</v>
      </c>
      <c r="P1739" s="232" t="str">
        <f>IF(S1739="","",IF(Orçamento!$B1739="INSUMO",S1739,""))</f>
        <v>LIXA EM FOLHA PARA PAREDE OU MADEIRA N° 120</v>
      </c>
      <c r="Q1739" s="244" t="str">
        <f>IF(B1739="","",IF(B1739="Serviço",S1739,""))</f>
        <v/>
      </c>
      <c r="R1739" s="234">
        <f ca="1">IF(B1739="serviço",U1739,OFFSET(R1739,-1,0))</f>
        <v>294.61</v>
      </c>
      <c r="S1739" s="233" t="s">
        <v>922</v>
      </c>
      <c r="T1739" s="242" t="str">
        <f>_xlfn.XLOOKUP(S1739,Insumos!$A$3:$A$371,Insumos!$B$3:$B$371)</f>
        <v>UN</v>
      </c>
      <c r="U1739" s="235">
        <f ca="1">IF($B1739="insumo",R1739,"")</f>
        <v>294.61</v>
      </c>
      <c r="V1739" s="320">
        <v>0.1</v>
      </c>
      <c r="W1739" s="236">
        <f>IFERROR(IF(B1739="INSUMO",_xlfn.XLOOKUP(S1739,Insumos!A:A,Insumos!C:C),""),"Inserir Preço")</f>
        <v>2.2999999999999998</v>
      </c>
      <c r="X1739" s="235">
        <f t="shared" ca="1" si="1436"/>
        <v>29.461000000000002</v>
      </c>
      <c r="Y1739" s="236">
        <f t="shared" si="1394"/>
        <v>0.22999999999999998</v>
      </c>
      <c r="Z1739" s="237">
        <f t="shared" ca="1" si="1350"/>
        <v>67.760300000000001</v>
      </c>
      <c r="AA1739" s="238"/>
      <c r="AB1739" s="233" t="str">
        <f>IF(B1739="insumo",_xlfn.XLOOKUP(S1739,Insumos!A:A,Insumos!D:D),"")</f>
        <v xml:space="preserve"> </v>
      </c>
      <c r="AC1739" s="239">
        <f t="shared" ca="1" si="1351"/>
        <v>9.7208328195135865E-6</v>
      </c>
      <c r="AE1739" s="240">
        <f ca="1">IFERROR(IF(OR(Z1739="",Z1739=0),"",IF(AF1739="","",IF(AF1739="R$/mês",Z1739/OBRA!$D$12,IF(AF1739="R$/m²",Z1739/OBRA!$D$10,IF(AF1739="R$/apto",Orçamento!Z1739/OBRA!$D$11,""))))),"")</f>
        <v>3.4869933049613271E-2</v>
      </c>
      <c r="AF1739" s="241" t="s">
        <v>154</v>
      </c>
    </row>
    <row r="1740" spans="1:32" s="10" customFormat="1" ht="13.15" hidden="1" customHeight="1" outlineLevel="4" x14ac:dyDescent="0.2">
      <c r="A1740" s="227"/>
      <c r="B1740" s="228" t="s">
        <v>19</v>
      </c>
      <c r="C1740" s="229">
        <f t="shared" ref="C1740:C1803" si="1448">IF(B1740="INSUMO",COUNTIFS(B:B,"INSUMO",S:S,S1740),IF(B1740="SERVIÇO",COUNTIFS(B:B,"SERVIÇO",S:S,S1740),""))</f>
        <v>13</v>
      </c>
      <c r="D1740" s="227" t="str">
        <f t="shared" si="1442"/>
        <v/>
      </c>
      <c r="E1740" s="228" t="str">
        <f t="shared" ca="1" si="1443"/>
        <v>16.001.003.001</v>
      </c>
      <c r="F1740" s="230">
        <f ca="1">IF($B1740="UNIDADE CONSTRUTIVA",OFFSET(F1740,-1,0)+1,LARGE(F$10:F1739,1))</f>
        <v>2</v>
      </c>
      <c r="G1740" s="228" t="str">
        <f t="shared" ca="1" si="1437"/>
        <v xml:space="preserve">   GERENCIAMENTO EXECUTIVO</v>
      </c>
      <c r="H1740" s="230">
        <f t="shared" ca="1" si="1444"/>
        <v>16</v>
      </c>
      <c r="I1740" s="228" t="str">
        <f t="shared" ca="1" si="1438"/>
        <v xml:space="preserve">   SISTEMAS DE PINTURA INTERNA</v>
      </c>
      <c r="J1740" s="230">
        <f t="shared" ca="1" si="1445"/>
        <v>1</v>
      </c>
      <c r="K1740" s="228" t="str">
        <f t="shared" ca="1" si="1439"/>
        <v xml:space="preserve">   SISTEMAS DE PINTURA INTERNA - 1º PAVIMENTO - SUBSOLO</v>
      </c>
      <c r="L1740" s="231">
        <f t="shared" ca="1" si="1446"/>
        <v>3</v>
      </c>
      <c r="M1740" s="228" t="str">
        <f t="shared" ca="1" si="1440"/>
        <v xml:space="preserve">   Sistemas de Pintura Interna em Teto</v>
      </c>
      <c r="N1740" s="231">
        <f t="shared" ca="1" si="1447"/>
        <v>1</v>
      </c>
      <c r="O1740" s="228" t="str">
        <f t="shared" ca="1" si="1441"/>
        <v>Pintura com tinta latex acrilica, acabamento fosco em teto, 3 demaos</v>
      </c>
      <c r="P1740" s="232" t="str">
        <f>IF(S1740="","",IF(Orçamento!$B1740="INSUMO",S1740,""))</f>
        <v>TINTA ACRILICO PREMIUM FOSCO</v>
      </c>
      <c r="Q1740" s="244" t="str">
        <f t="shared" si="1434"/>
        <v/>
      </c>
      <c r="R1740" s="234">
        <f t="shared" ca="1" si="1435"/>
        <v>294.61</v>
      </c>
      <c r="S1740" s="233" t="s">
        <v>264</v>
      </c>
      <c r="T1740" s="242" t="str">
        <f>_xlfn.XLOOKUP(S1740,Insumos!$A$3:$A$371,Insumos!$B$3:$B$371)</f>
        <v>L</v>
      </c>
      <c r="U1740" s="235">
        <f ca="1">IF($B1740="insumo",R1740,"")</f>
        <v>294.61</v>
      </c>
      <c r="V1740" s="320">
        <v>0.495</v>
      </c>
      <c r="W1740" s="236">
        <f>IFERROR(IF(B1740="INSUMO",_xlfn.XLOOKUP(S1740,Insumos!A:A,Insumos!C:C),""),"Inserir Preço")</f>
        <v>29.17</v>
      </c>
      <c r="X1740" s="235">
        <f t="shared" ca="1" si="1436"/>
        <v>145.83195000000001</v>
      </c>
      <c r="Y1740" s="236">
        <f t="shared" si="1394"/>
        <v>14.439150000000001</v>
      </c>
      <c r="Z1740" s="237">
        <f t="shared" ref="Z1740:Z1803" ca="1" si="1449">IFERROR(IF(B1740="Unidade Construtiva",SUMIFS(Z:Z,B:B,"Célula Construtiva",G:G,G1740),IF(B1740="célula construtiva",SUMIFS(Z:Z,B:B,"Insumo",I:I,I1740,G:G,G1740),IF(B1740="ETAPA",SUMIFS(Z:Z,B:B,"Insumo",K:K,K1740,I:I,I1740,G:G,G1740),IF(B1740="subetapa",SUMIFS(Z:Z,M:M,M1740,B:B,"insumo",K:K,K1740,I:I,I1740,G:G,G1740),IF(B1740="complemento do insumo",V1740*W1740,IF(B1740="INSUMO",R1740*V1740*W1740,X1740*Y1740)))))),"")</f>
        <v>4253.9179815000007</v>
      </c>
      <c r="AA1740" s="238"/>
      <c r="AB1740" s="233" t="str">
        <f>IF(B1740="insumo",_xlfn.XLOOKUP(S1740,Insumos!A:A,Insumos!D:D),"")</f>
        <v xml:space="preserve"> </v>
      </c>
      <c r="AC1740" s="239">
        <f t="shared" ref="AC1740:AC1803" ca="1" si="1450">IFERROR(IF(B1740="","",Z1740/SUMIF(B:B,"INSUMO",Z:Z)),0)</f>
        <v>6.1026331828643312E-4</v>
      </c>
      <c r="AE1740" s="240">
        <f ca="1">IFERROR(IF(OR(Z1740="",Z1740=0),"",IF(AF1740="","",IF(AF1740="R$/mês",Z1740/OBRA!$D$12,IF(AF1740="R$/m²",Z1740/OBRA!$D$10,IF(AF1740="R$/apto",Orçamento!Z1740/OBRA!$D$11,""))))),"")</f>
        <v>2.1890964947535809</v>
      </c>
      <c r="AF1740" s="241" t="s">
        <v>154</v>
      </c>
    </row>
    <row r="1741" spans="1:32" s="10" customFormat="1" ht="13.15" hidden="1" customHeight="1" outlineLevel="3" collapsed="1" x14ac:dyDescent="0.2">
      <c r="A1741" s="227"/>
      <c r="B1741" s="228" t="s">
        <v>3</v>
      </c>
      <c r="C1741" s="229" t="str">
        <f t="shared" si="1448"/>
        <v/>
      </c>
      <c r="D1741" s="227" t="str">
        <f t="shared" ca="1" si="1442"/>
        <v>16.001.004</v>
      </c>
      <c r="E1741" s="228" t="str">
        <f t="shared" ca="1" si="1443"/>
        <v>16.001.003.001</v>
      </c>
      <c r="F1741" s="230">
        <f ca="1">IF($B1741="UNIDADE CONSTRUTIVA",OFFSET(F1741,-1,0)+1,LARGE(F$10:F1740,1))</f>
        <v>2</v>
      </c>
      <c r="G1741" s="228" t="str">
        <f t="shared" ca="1" si="1437"/>
        <v xml:space="preserve">   GERENCIAMENTO EXECUTIVO</v>
      </c>
      <c r="H1741" s="230">
        <f t="shared" ca="1" si="1444"/>
        <v>16</v>
      </c>
      <c r="I1741" s="228" t="str">
        <f t="shared" ca="1" si="1438"/>
        <v xml:space="preserve">   SISTEMAS DE PINTURA INTERNA</v>
      </c>
      <c r="J1741" s="230">
        <f t="shared" ca="1" si="1445"/>
        <v>1</v>
      </c>
      <c r="K1741" s="228" t="str">
        <f t="shared" ca="1" si="1439"/>
        <v xml:space="preserve">   SISTEMAS DE PINTURA INTERNA - 1º PAVIMENTO - SUBSOLO</v>
      </c>
      <c r="L1741" s="231">
        <f t="shared" ca="1" si="1446"/>
        <v>4</v>
      </c>
      <c r="M1741" s="228" t="str">
        <f t="shared" ca="1" si="1440"/>
        <v xml:space="preserve">   Mão de Obra</v>
      </c>
      <c r="N1741" s="231">
        <f t="shared" ca="1" si="1447"/>
        <v>0</v>
      </c>
      <c r="O1741" s="228" t="str">
        <f t="shared" ca="1" si="1441"/>
        <v>Pintura com tinta latex acrilica, acabamento fosco em teto, 3 demaos</v>
      </c>
      <c r="P1741" s="232" t="str">
        <f>IF(S1741="","",IF(Orçamento!$B1741="INSUMO",S1741,""))</f>
        <v/>
      </c>
      <c r="Q1741" s="244" t="str">
        <f t="shared" si="1434"/>
        <v/>
      </c>
      <c r="R1741" s="234">
        <f t="shared" ca="1" si="1435"/>
        <v>294.61</v>
      </c>
      <c r="S1741" s="233" t="s">
        <v>438</v>
      </c>
      <c r="T1741" s="242" t="s">
        <v>35</v>
      </c>
      <c r="U1741" s="235" t="str">
        <f>IF($B1741="insumo",R1741,"")</f>
        <v/>
      </c>
      <c r="V1741" s="320" t="s">
        <v>35</v>
      </c>
      <c r="W1741" s="236" t="str">
        <f>IFERROR(IF(B1741="INSUMO",_xlfn.XLOOKUP(S1741,Insumos!A:A,Insumos!C:C),""),"Inserir Preço")</f>
        <v/>
      </c>
      <c r="X1741" s="235" t="str">
        <f t="shared" ca="1" si="1436"/>
        <v/>
      </c>
      <c r="Y1741" s="236" t="str">
        <f t="shared" si="1394"/>
        <v/>
      </c>
      <c r="Z1741" s="237">
        <f t="shared" ca="1" si="1449"/>
        <v>34264.732795083466</v>
      </c>
      <c r="AA1741" s="238"/>
      <c r="AB1741" s="233" t="str">
        <f>IF(B1741="insumo",_xlfn.XLOOKUP(S1741,Insumos!A:A,Insumos!D:D),"")</f>
        <v/>
      </c>
      <c r="AC1741" s="239">
        <f t="shared" ca="1" si="1450"/>
        <v>4.9155883180315146E-3</v>
      </c>
      <c r="AE1741" s="240">
        <f ca="1">IFERROR(IF(OR(Z1741="",Z1741=0),"",IF(AF1741="","",IF(AF1741="R$/mês",Z1741/OBRA!$D$12,IF(AF1741="R$/m²",Z1741/OBRA!$D$10,IF(AF1741="R$/apto",Orçamento!Z1741/OBRA!$D$11,""))))),"")</f>
        <v>17.632875570613599</v>
      </c>
      <c r="AF1741" s="241" t="s">
        <v>154</v>
      </c>
    </row>
    <row r="1742" spans="1:32" s="10" customFormat="1" ht="13.15" hidden="1" customHeight="1" outlineLevel="4" x14ac:dyDescent="0.2">
      <c r="A1742" s="227"/>
      <c r="B1742" s="228" t="s">
        <v>4</v>
      </c>
      <c r="C1742" s="229">
        <f t="shared" si="1448"/>
        <v>5</v>
      </c>
      <c r="D1742" s="227" t="str">
        <f t="shared" ca="1" si="1442"/>
        <v>16.001.004.001</v>
      </c>
      <c r="E1742" s="228" t="str">
        <f t="shared" ca="1" si="1443"/>
        <v>16.001.004.001</v>
      </c>
      <c r="F1742" s="230">
        <f ca="1">IF($B1742="UNIDADE CONSTRUTIVA",OFFSET(F1742,-1,0)+1,LARGE(F$10:F1741,1))</f>
        <v>2</v>
      </c>
      <c r="G1742" s="228" t="str">
        <f t="shared" ca="1" si="1437"/>
        <v xml:space="preserve">   GERENCIAMENTO EXECUTIVO</v>
      </c>
      <c r="H1742" s="230">
        <f t="shared" ca="1" si="1444"/>
        <v>16</v>
      </c>
      <c r="I1742" s="228" t="str">
        <f t="shared" ca="1" si="1438"/>
        <v xml:space="preserve">   SISTEMAS DE PINTURA INTERNA</v>
      </c>
      <c r="J1742" s="230">
        <f t="shared" ca="1" si="1445"/>
        <v>1</v>
      </c>
      <c r="K1742" s="228" t="str">
        <f t="shared" ca="1" si="1439"/>
        <v xml:space="preserve">   SISTEMAS DE PINTURA INTERNA - 1º PAVIMENTO - SUBSOLO</v>
      </c>
      <c r="L1742" s="231">
        <f t="shared" ca="1" si="1446"/>
        <v>4</v>
      </c>
      <c r="M1742" s="228" t="str">
        <f t="shared" ca="1" si="1440"/>
        <v xml:space="preserve">   Mão de Obra</v>
      </c>
      <c r="N1742" s="231">
        <f t="shared" ca="1" si="1447"/>
        <v>1</v>
      </c>
      <c r="O1742" s="228" t="str">
        <f t="shared" ca="1" si="1441"/>
        <v>Mao de obra para pintura acrilica em paredes</v>
      </c>
      <c r="P1742" s="232" t="str">
        <f>IF(S1742="","",IF(Orçamento!$B1742="INSUMO",S1742,""))</f>
        <v/>
      </c>
      <c r="Q1742" s="244" t="str">
        <f t="shared" si="1434"/>
        <v>Mao de obra para pintura acrilica em paredes</v>
      </c>
      <c r="R1742" s="234">
        <f t="shared" ca="1" si="1435"/>
        <v>452.16</v>
      </c>
      <c r="S1742" s="233" t="s">
        <v>740</v>
      </c>
      <c r="T1742" s="242" t="s">
        <v>140</v>
      </c>
      <c r="U1742" s="235">
        <f>U1732</f>
        <v>452.16</v>
      </c>
      <c r="V1742" s="320" t="s">
        <v>35</v>
      </c>
      <c r="W1742" s="236" t="str">
        <f>IFERROR(IF(B1742="INSUMO",_xlfn.XLOOKUP(S1742,Insumos!A:A,Insumos!C:C),""),"Inserir Preço")</f>
        <v/>
      </c>
      <c r="X1742" s="235">
        <f t="shared" ca="1" si="1436"/>
        <v>452.16</v>
      </c>
      <c r="Y1742" s="236">
        <f t="shared" ca="1" si="1394"/>
        <v>38.187489622964783</v>
      </c>
      <c r="Z1742" s="237">
        <f t="shared" ca="1" si="1449"/>
        <v>17266.855307919759</v>
      </c>
      <c r="AA1742" s="238"/>
      <c r="AB1742" s="233" t="str">
        <f>IF(B1742="insumo",_xlfn.XLOOKUP(S1742,Insumos!A:A,Insumos!D:D),"")</f>
        <v/>
      </c>
      <c r="AC1742" s="239">
        <f t="shared" ca="1" si="1450"/>
        <v>2.477087819372387E-3</v>
      </c>
      <c r="AE1742" s="240">
        <f ca="1">IFERROR(IF(OR(Z1742="",Z1742=0),"",IF(AF1742="","",IF(AF1742="R$/mês",Z1742/OBRA!$D$12,IF(AF1742="R$/m²",Z1742/OBRA!$D$10,IF(AF1742="R$/apto",Orçamento!Z1742/OBRA!$D$11,""))))),"")</f>
        <v>8.8856467365776357</v>
      </c>
      <c r="AF1742" s="241" t="s">
        <v>154</v>
      </c>
    </row>
    <row r="1743" spans="1:32" s="10" customFormat="1" ht="13.15" hidden="1" customHeight="1" outlineLevel="4" x14ac:dyDescent="0.2">
      <c r="A1743" s="227"/>
      <c r="B1743" s="228" t="s">
        <v>19</v>
      </c>
      <c r="C1743" s="229">
        <f t="shared" si="1448"/>
        <v>5</v>
      </c>
      <c r="D1743" s="227" t="str">
        <f t="shared" si="1442"/>
        <v/>
      </c>
      <c r="E1743" s="228" t="str">
        <f t="shared" ca="1" si="1443"/>
        <v>16.001.004.001</v>
      </c>
      <c r="F1743" s="230">
        <f ca="1">IF($B1743="UNIDADE CONSTRUTIVA",OFFSET(F1743,-1,0)+1,LARGE(F$10:F1742,1))</f>
        <v>2</v>
      </c>
      <c r="G1743" s="228" t="str">
        <f t="shared" ca="1" si="1437"/>
        <v xml:space="preserve">   GERENCIAMENTO EXECUTIVO</v>
      </c>
      <c r="H1743" s="230">
        <f t="shared" ca="1" si="1444"/>
        <v>16</v>
      </c>
      <c r="I1743" s="228" t="str">
        <f t="shared" ca="1" si="1438"/>
        <v xml:space="preserve">   SISTEMAS DE PINTURA INTERNA</v>
      </c>
      <c r="J1743" s="230">
        <f t="shared" ca="1" si="1445"/>
        <v>1</v>
      </c>
      <c r="K1743" s="228" t="str">
        <f t="shared" ca="1" si="1439"/>
        <v xml:space="preserve">   SISTEMAS DE PINTURA INTERNA - 1º PAVIMENTO - SUBSOLO</v>
      </c>
      <c r="L1743" s="231">
        <f t="shared" ca="1" si="1446"/>
        <v>4</v>
      </c>
      <c r="M1743" s="228" t="str">
        <f t="shared" ca="1" si="1440"/>
        <v xml:space="preserve">   Mão de Obra</v>
      </c>
      <c r="N1743" s="231">
        <f t="shared" ca="1" si="1447"/>
        <v>1</v>
      </c>
      <c r="O1743" s="228" t="str">
        <f t="shared" ca="1" si="1441"/>
        <v>Mao de obra para pintura acrilica em paredes</v>
      </c>
      <c r="P1743" s="232" t="str">
        <f>IF(S1743="","",IF(Orçamento!$B1743="INSUMO",S1743,""))</f>
        <v>MAO DE OBRA APLICACAO DE PINTURA EM PAREDES - 3 DEMAO</v>
      </c>
      <c r="Q1743" s="244" t="str">
        <f t="shared" si="1434"/>
        <v/>
      </c>
      <c r="R1743" s="234">
        <f t="shared" ca="1" si="1435"/>
        <v>452.16</v>
      </c>
      <c r="S1743" s="233" t="s">
        <v>779</v>
      </c>
      <c r="T1743" s="242" t="str">
        <f>_xlfn.XLOOKUP(S1743,Insumos!$A$3:$A$371,Insumos!$B$3:$B$371)</f>
        <v>M2</v>
      </c>
      <c r="U1743" s="235">
        <f ca="1">IF($B1743="insumo",R1743,"")</f>
        <v>452.16</v>
      </c>
      <c r="V1743" s="320">
        <v>1</v>
      </c>
      <c r="W1743" s="236">
        <f>IFERROR(IF(B1743="INSUMO",_xlfn.XLOOKUP(S1743,Insumos!A:A,Insumos!C:C),""),"Inserir Preço")</f>
        <v>38.187489622964783</v>
      </c>
      <c r="X1743" s="235">
        <f t="shared" ca="1" si="1436"/>
        <v>452.16</v>
      </c>
      <c r="Y1743" s="236">
        <f t="shared" si="1394"/>
        <v>38.187489622964783</v>
      </c>
      <c r="Z1743" s="237">
        <f t="shared" ca="1" si="1449"/>
        <v>17266.855307919759</v>
      </c>
      <c r="AA1743" s="238"/>
      <c r="AB1743" s="233" t="str">
        <f>IF(B1743="insumo",_xlfn.XLOOKUP(S1743,Insumos!A:A,Insumos!D:D),"")</f>
        <v>Aba Custo Serviços</v>
      </c>
      <c r="AC1743" s="239">
        <f t="shared" ca="1" si="1450"/>
        <v>2.477087819372387E-3</v>
      </c>
      <c r="AE1743" s="240">
        <f ca="1">IFERROR(IF(OR(Z1743="",Z1743=0),"",IF(AF1743="","",IF(AF1743="R$/mês",Z1743/OBRA!$D$12,IF(AF1743="R$/m²",Z1743/OBRA!$D$10,IF(AF1743="R$/apto",Orçamento!Z1743/OBRA!$D$11,""))))),"")</f>
        <v>8.8856467365776357</v>
      </c>
      <c r="AF1743" s="241" t="s">
        <v>154</v>
      </c>
    </row>
    <row r="1744" spans="1:32" s="10" customFormat="1" ht="13.15" hidden="1" customHeight="1" outlineLevel="4" x14ac:dyDescent="0.2">
      <c r="A1744" s="227"/>
      <c r="B1744" s="228" t="s">
        <v>4</v>
      </c>
      <c r="C1744" s="229">
        <f t="shared" si="1448"/>
        <v>5</v>
      </c>
      <c r="D1744" s="227" t="str">
        <f t="shared" ca="1" si="1442"/>
        <v>16.001.004.002</v>
      </c>
      <c r="E1744" s="228" t="str">
        <f t="shared" ca="1" si="1443"/>
        <v>16.001.004.002</v>
      </c>
      <c r="F1744" s="230">
        <f ca="1">IF($B1744="UNIDADE CONSTRUTIVA",OFFSET(F1744,-1,0)+1,LARGE(F$10:F1743,1))</f>
        <v>2</v>
      </c>
      <c r="G1744" s="228" t="str">
        <f t="shared" ca="1" si="1437"/>
        <v xml:space="preserve">   GERENCIAMENTO EXECUTIVO</v>
      </c>
      <c r="H1744" s="230">
        <f t="shared" ca="1" si="1444"/>
        <v>16</v>
      </c>
      <c r="I1744" s="228" t="str">
        <f t="shared" ca="1" si="1438"/>
        <v xml:space="preserve">   SISTEMAS DE PINTURA INTERNA</v>
      </c>
      <c r="J1744" s="230">
        <f t="shared" ca="1" si="1445"/>
        <v>1</v>
      </c>
      <c r="K1744" s="228" t="str">
        <f t="shared" ca="1" si="1439"/>
        <v xml:space="preserve">   SISTEMAS DE PINTURA INTERNA - 1º PAVIMENTO - SUBSOLO</v>
      </c>
      <c r="L1744" s="231">
        <f t="shared" ca="1" si="1446"/>
        <v>4</v>
      </c>
      <c r="M1744" s="228" t="str">
        <f t="shared" ca="1" si="1440"/>
        <v xml:space="preserve">   Mão de Obra</v>
      </c>
      <c r="N1744" s="231">
        <f t="shared" ca="1" si="1447"/>
        <v>2</v>
      </c>
      <c r="O1744" s="228" t="str">
        <f t="shared" ca="1" si="1441"/>
        <v>Mao de obra para pintura acrílica em teto</v>
      </c>
      <c r="P1744" s="232" t="str">
        <f>IF(S1744="","",IF(Orçamento!$B1744="INSUMO",S1744,""))</f>
        <v/>
      </c>
      <c r="Q1744" s="244" t="str">
        <f t="shared" si="1434"/>
        <v>Mao de obra para pintura acrílica em teto</v>
      </c>
      <c r="R1744" s="234">
        <f t="shared" ca="1" si="1435"/>
        <v>294.61</v>
      </c>
      <c r="S1744" s="233" t="s">
        <v>741</v>
      </c>
      <c r="T1744" s="242" t="s">
        <v>140</v>
      </c>
      <c r="U1744" s="235">
        <f>U1737</f>
        <v>294.61</v>
      </c>
      <c r="V1744" s="320" t="s">
        <v>35</v>
      </c>
      <c r="W1744" s="236" t="str">
        <f>IFERROR(IF(B1744="INSUMO",_xlfn.XLOOKUP(S1744,Insumos!A:A,Insumos!C:C),""),"Inserir Preço")</f>
        <v/>
      </c>
      <c r="X1744" s="235">
        <f t="shared" ca="1" si="1436"/>
        <v>294.61</v>
      </c>
      <c r="Y1744" s="236">
        <f t="shared" ca="1" si="1394"/>
        <v>53.07250036855902</v>
      </c>
      <c r="Z1744" s="237">
        <f t="shared" ca="1" si="1449"/>
        <v>15635.689333581173</v>
      </c>
      <c r="AA1744" s="238"/>
      <c r="AB1744" s="233" t="str">
        <f>IF(B1744="insumo",_xlfn.XLOOKUP(S1744,Insumos!A:A,Insumos!D:D),"")</f>
        <v/>
      </c>
      <c r="AC1744" s="239">
        <f t="shared" ca="1" si="1450"/>
        <v>2.2430821886797194E-3</v>
      </c>
      <c r="AE1744" s="240">
        <f ca="1">IFERROR(IF(OR(Z1744="",Z1744=0),"",IF(AF1744="","",IF(AF1744="R$/mês",Z1744/OBRA!$D$12,IF(AF1744="R$/m²",Z1744/OBRA!$D$10,IF(AF1744="R$/apto",Orçamento!Z1744/OBRA!$D$11,""))))),"")</f>
        <v>8.0462371070749068</v>
      </c>
      <c r="AF1744" s="241" t="s">
        <v>154</v>
      </c>
    </row>
    <row r="1745" spans="1:32" s="10" customFormat="1" ht="13.15" hidden="1" customHeight="1" outlineLevel="4" x14ac:dyDescent="0.2">
      <c r="A1745" s="227"/>
      <c r="B1745" s="228" t="s">
        <v>19</v>
      </c>
      <c r="C1745" s="229">
        <f t="shared" si="1448"/>
        <v>5</v>
      </c>
      <c r="D1745" s="227" t="str">
        <f t="shared" si="1442"/>
        <v/>
      </c>
      <c r="E1745" s="228" t="str">
        <f t="shared" ca="1" si="1443"/>
        <v>16.001.004.002</v>
      </c>
      <c r="F1745" s="230">
        <f ca="1">IF($B1745="UNIDADE CONSTRUTIVA",OFFSET(F1745,-1,0)+1,LARGE(F$10:F1744,1))</f>
        <v>2</v>
      </c>
      <c r="G1745" s="228" t="str">
        <f t="shared" ca="1" si="1437"/>
        <v xml:space="preserve">   GERENCIAMENTO EXECUTIVO</v>
      </c>
      <c r="H1745" s="230">
        <f t="shared" ca="1" si="1444"/>
        <v>16</v>
      </c>
      <c r="I1745" s="228" t="str">
        <f t="shared" ca="1" si="1438"/>
        <v xml:space="preserve">   SISTEMAS DE PINTURA INTERNA</v>
      </c>
      <c r="J1745" s="230">
        <f t="shared" ca="1" si="1445"/>
        <v>1</v>
      </c>
      <c r="K1745" s="228" t="str">
        <f t="shared" ca="1" si="1439"/>
        <v xml:space="preserve">   SISTEMAS DE PINTURA INTERNA - 1º PAVIMENTO - SUBSOLO</v>
      </c>
      <c r="L1745" s="231">
        <f t="shared" ca="1" si="1446"/>
        <v>4</v>
      </c>
      <c r="M1745" s="228" t="str">
        <f t="shared" ca="1" si="1440"/>
        <v xml:space="preserve">   Mão de Obra</v>
      </c>
      <c r="N1745" s="231">
        <f t="shared" ca="1" si="1447"/>
        <v>2</v>
      </c>
      <c r="O1745" s="228" t="str">
        <f t="shared" ca="1" si="1441"/>
        <v>Mao de obra para pintura acrílica em teto</v>
      </c>
      <c r="P1745" s="232" t="str">
        <f>IF(S1745="","",IF(Orçamento!$B1745="INSUMO",S1745,""))</f>
        <v>MAO DE OBRA PARA PINTURA LATEX ACRILICA EM TETO - 3 DEMAOS</v>
      </c>
      <c r="Q1745" s="244" t="str">
        <f t="shared" si="1434"/>
        <v/>
      </c>
      <c r="R1745" s="234">
        <f t="shared" ca="1" si="1435"/>
        <v>294.61</v>
      </c>
      <c r="S1745" s="233" t="s">
        <v>280</v>
      </c>
      <c r="T1745" s="242" t="str">
        <f>_xlfn.XLOOKUP(S1745,Insumos!$A$3:$A$371,Insumos!$B$3:$B$371)</f>
        <v>M2</v>
      </c>
      <c r="U1745" s="235">
        <f ca="1">IF($B1745="insumo",R1745,"")</f>
        <v>294.61</v>
      </c>
      <c r="V1745" s="320">
        <v>1</v>
      </c>
      <c r="W1745" s="236">
        <f>IFERROR(IF(B1745="INSUMO",_xlfn.XLOOKUP(S1745,Insumos!A:A,Insumos!C:C),""),"Inserir Preço")</f>
        <v>53.07250036855902</v>
      </c>
      <c r="X1745" s="235">
        <f t="shared" ca="1" si="1436"/>
        <v>294.61</v>
      </c>
      <c r="Y1745" s="236">
        <f t="shared" si="1394"/>
        <v>53.07250036855902</v>
      </c>
      <c r="Z1745" s="237">
        <f t="shared" ca="1" si="1449"/>
        <v>15635.689333581173</v>
      </c>
      <c r="AA1745" s="238"/>
      <c r="AB1745" s="233" t="str">
        <f>IF(B1745="insumo",_xlfn.XLOOKUP(S1745,Insumos!A:A,Insumos!D:D),"")</f>
        <v>Aba Custo Serviços</v>
      </c>
      <c r="AC1745" s="239">
        <f t="shared" ca="1" si="1450"/>
        <v>2.2430821886797194E-3</v>
      </c>
      <c r="AE1745" s="240">
        <f ca="1">IFERROR(IF(OR(Z1745="",Z1745=0),"",IF(AF1745="","",IF(AF1745="R$/mês",Z1745/OBRA!$D$12,IF(AF1745="R$/m²",Z1745/OBRA!$D$10,IF(AF1745="R$/apto",Orçamento!Z1745/OBRA!$D$11,""))))),"")</f>
        <v>8.0462371070749068</v>
      </c>
      <c r="AF1745" s="241" t="s">
        <v>154</v>
      </c>
    </row>
    <row r="1746" spans="1:32" s="10" customFormat="1" ht="13.15" hidden="1" customHeight="1" outlineLevel="4" x14ac:dyDescent="0.2">
      <c r="A1746" s="227"/>
      <c r="B1746" s="228" t="s">
        <v>4</v>
      </c>
      <c r="C1746" s="229">
        <f t="shared" si="1448"/>
        <v>2</v>
      </c>
      <c r="D1746" s="227" t="str">
        <f ca="1">IF(B1746="Unidade Construtiva",TEXT(F1746,"00"),IF(B1746="Célula Construtiva",TEXT(H1746,"00"),IF(B1746="Etapa",CONCATENATE(TEXT(H1746,"00"),".",TEXT(J1746,"000")),IF(B1746="Subetapa",CONCATENATE(TEXT(H1746,"00"),".",TEXT(J1746,"000"),".",TEXT(L1746,"000")),IF(B1746="Serviço",CONCATENATE(TEXT(H1746,"00"),".",TEXT(J1746,"000"),".",TEXT(L1746,"000"),".",TEXT(N1746,"000")),"")))))</f>
        <v>16.001.004.003</v>
      </c>
      <c r="E1746" s="228" t="str">
        <f ca="1">IF(B1746="*","",IFERROR(IF(B1746="SERVIÇO",D1746,OFFSET(E1746,-1,0)),""))</f>
        <v>16.001.004.003</v>
      </c>
      <c r="F1746" s="230">
        <f ca="1">IF($B1746="UNIDADE CONSTRUTIVA",OFFSET(F1746,-1,0)+1,LARGE(F$10:F1745,1))</f>
        <v>2</v>
      </c>
      <c r="G1746" s="228" t="str">
        <f ca="1">IF(B1746="*","",IF(B1746="UNIDADE CONSTRUTIVA",S1746,OFFSET(G1746,-1,0)))</f>
        <v xml:space="preserve">   GERENCIAMENTO EXECUTIVO</v>
      </c>
      <c r="H1746" s="230">
        <f ca="1">IF(B1746="UNIDADE CONSTRUTIVA",0,IF(B1746="CÉLULA CONSTRUTIVA",OFFSET(H1746,-1,0)+1,OFFSET(H1746,-1,0)))</f>
        <v>16</v>
      </c>
      <c r="I1746" s="228" t="str">
        <f ca="1">IF(B1746="*","",IF(B1746="CÉLULA CONSTRUTIVA",S1746,OFFSET(I1746,-1,0)))</f>
        <v xml:space="preserve">   SISTEMAS DE PINTURA INTERNA</v>
      </c>
      <c r="J1746" s="230">
        <f ca="1">IF(B1746="CÉLULA CONSTRUTIVA",0,IF(B1746="ETAPA",OFFSET(J1746,-1,0)+1,OFFSET(J1746,-1,0)))</f>
        <v>1</v>
      </c>
      <c r="K1746" s="228" t="str">
        <f ca="1">IF(B1746="*","",IF(B1746="ETAPA",S1746,OFFSET(K1746,-1,0)))</f>
        <v xml:space="preserve">   SISTEMAS DE PINTURA INTERNA - 1º PAVIMENTO - SUBSOLO</v>
      </c>
      <c r="L1746" s="231">
        <f ca="1">IF(B1746="ETAPA",0,IF(B1746="SUBETAPA",OFFSET(L1746,-1,0)+1,OFFSET(L1746,-1,0)))</f>
        <v>4</v>
      </c>
      <c r="M1746" s="228" t="str">
        <f ca="1">IF(B1746="*","",IF(B1746="SUBETAPA",S1746,OFFSET(M1746,-1,0)))</f>
        <v xml:space="preserve">   Mão de Obra</v>
      </c>
      <c r="N1746" s="231">
        <f ca="1">IF(B1746="Subetapa",0,IF(B1746="serviço",OFFSET(N1746,-1,0)+1,OFFSET(N1746,-1,0)))</f>
        <v>3</v>
      </c>
      <c r="O1746" s="228" t="str">
        <f ca="1">IF(B1746="*","",IF(B1746="SERVIÇO",S1746,OFFSET(O1746,-1,0)))</f>
        <v>Mao de obra para pintura Epoxi - Faixa Garagens</v>
      </c>
      <c r="P1746" s="232" t="str">
        <f>IF(S1746="","",IF(Orçamento!$B1746="INSUMO",S1746,""))</f>
        <v/>
      </c>
      <c r="Q1746" s="244" t="str">
        <f>IF(B1746="","",IF(B1746="Serviço",S1746,""))</f>
        <v>Mao de obra para pintura Epoxi - Faixa Garagens</v>
      </c>
      <c r="R1746" s="234">
        <f ca="1">IF(B1746="serviço",U1746,OFFSET(R1746,-1,0))</f>
        <v>30.3</v>
      </c>
      <c r="S1746" s="233" t="s">
        <v>1177</v>
      </c>
      <c r="T1746" s="242" t="s">
        <v>140</v>
      </c>
      <c r="U1746" s="235">
        <f>U1729</f>
        <v>30.3</v>
      </c>
      <c r="V1746" s="320" t="s">
        <v>35</v>
      </c>
      <c r="W1746" s="236" t="str">
        <f>IFERROR(IF(B1746="INSUMO",_xlfn.XLOOKUP(S1746,Insumos!A:A,Insumos!C:C),""),"Inserir Preço")</f>
        <v/>
      </c>
      <c r="X1746" s="235">
        <f ca="1">IF(B1746="Complemento do insumo",V1746,IF(R1746="","",IF(B1746="serviço",R1746,IF(OR(B1746="insumo"),V1746*R1746,""))))</f>
        <v>30.3</v>
      </c>
      <c r="Y1746" s="236">
        <f t="shared" ca="1" si="1394"/>
        <v>44.956704738697304</v>
      </c>
      <c r="Z1746" s="237">
        <f t="shared" ca="1" si="1449"/>
        <v>1362.1881535825285</v>
      </c>
      <c r="AA1746" s="238"/>
      <c r="AB1746" s="233" t="str">
        <f>IF(B1746="insumo",_xlfn.XLOOKUP(S1746,Insumos!A:A,Insumos!D:D),"")</f>
        <v/>
      </c>
      <c r="AC1746" s="239">
        <f t="shared" ca="1" si="1450"/>
        <v>1.9541830997940764E-4</v>
      </c>
      <c r="AE1746" s="240">
        <f ca="1">IFERROR(IF(OR(Z1746="",Z1746=0),"",IF(AF1746="","",IF(AF1746="R$/mês",Z1746/OBRA!$D$12,IF(AF1746="R$/m²",Z1746/OBRA!$D$10,IF(AF1746="R$/apto",Orçamento!Z1746/OBRA!$D$11,""))))),"")</f>
        <v>0.70099172696105372</v>
      </c>
      <c r="AF1746" s="241" t="s">
        <v>154</v>
      </c>
    </row>
    <row r="1747" spans="1:32" s="10" customFormat="1" ht="13.15" hidden="1" customHeight="1" outlineLevel="4" x14ac:dyDescent="0.2">
      <c r="A1747" s="227"/>
      <c r="B1747" s="228" t="s">
        <v>19</v>
      </c>
      <c r="C1747" s="229">
        <f t="shared" si="1448"/>
        <v>2</v>
      </c>
      <c r="D1747" s="227" t="str">
        <f>IF(B1747="Unidade Construtiva",TEXT(F1747,"00"),IF(B1747="Célula Construtiva",TEXT(H1747,"00"),IF(B1747="Etapa",CONCATENATE(TEXT(H1747,"00"),".",TEXT(J1747,"000")),IF(B1747="Subetapa",CONCATENATE(TEXT(H1747,"00"),".",TEXT(J1747,"000"),".",TEXT(L1747,"000")),IF(B1747="Serviço",CONCATENATE(TEXT(H1747,"00"),".",TEXT(J1747,"000"),".",TEXT(L1747,"000"),".",TEXT(N1747,"000")),"")))))</f>
        <v/>
      </c>
      <c r="E1747" s="228" t="str">
        <f ca="1">IF(B1747="*","",IFERROR(IF(B1747="SERVIÇO",D1747,OFFSET(E1747,-1,0)),""))</f>
        <v>16.001.004.003</v>
      </c>
      <c r="F1747" s="230">
        <f ca="1">IF($B1747="UNIDADE CONSTRUTIVA",OFFSET(F1747,-1,0)+1,LARGE(F$10:F1746,1))</f>
        <v>2</v>
      </c>
      <c r="G1747" s="228" t="str">
        <f ca="1">IF(B1747="*","",IF(B1747="UNIDADE CONSTRUTIVA",S1747,OFFSET(G1747,-1,0)))</f>
        <v xml:space="preserve">   GERENCIAMENTO EXECUTIVO</v>
      </c>
      <c r="H1747" s="230">
        <f ca="1">IF(B1747="UNIDADE CONSTRUTIVA",0,IF(B1747="CÉLULA CONSTRUTIVA",OFFSET(H1747,-1,0)+1,OFFSET(H1747,-1,0)))</f>
        <v>16</v>
      </c>
      <c r="I1747" s="228" t="str">
        <f ca="1">IF(B1747="*","",IF(B1747="CÉLULA CONSTRUTIVA",S1747,OFFSET(I1747,-1,0)))</f>
        <v xml:space="preserve">   SISTEMAS DE PINTURA INTERNA</v>
      </c>
      <c r="J1747" s="230">
        <f ca="1">IF(B1747="CÉLULA CONSTRUTIVA",0,IF(B1747="ETAPA",OFFSET(J1747,-1,0)+1,OFFSET(J1747,-1,0)))</f>
        <v>1</v>
      </c>
      <c r="K1747" s="228" t="str">
        <f ca="1">IF(B1747="*","",IF(B1747="ETAPA",S1747,OFFSET(K1747,-1,0)))</f>
        <v xml:space="preserve">   SISTEMAS DE PINTURA INTERNA - 1º PAVIMENTO - SUBSOLO</v>
      </c>
      <c r="L1747" s="231">
        <f ca="1">IF(B1747="ETAPA",0,IF(B1747="SUBETAPA",OFFSET(L1747,-1,0)+1,OFFSET(L1747,-1,0)))</f>
        <v>4</v>
      </c>
      <c r="M1747" s="228" t="str">
        <f ca="1">IF(B1747="*","",IF(B1747="SUBETAPA",S1747,OFFSET(M1747,-1,0)))</f>
        <v xml:space="preserve">   Mão de Obra</v>
      </c>
      <c r="N1747" s="231">
        <f ca="1">IF(B1747="Subetapa",0,IF(B1747="serviço",OFFSET(N1747,-1,0)+1,OFFSET(N1747,-1,0)))</f>
        <v>3</v>
      </c>
      <c r="O1747" s="228" t="str">
        <f ca="1">IF(B1747="*","",IF(B1747="SERVIÇO",S1747,OFFSET(O1747,-1,0)))</f>
        <v>Mao de obra para pintura Epoxi - Faixa Garagens</v>
      </c>
      <c r="P1747" s="232" t="str">
        <f>IF(S1747="","",IF(Orçamento!$B1747="INSUMO",S1747,""))</f>
        <v>MAO DE OBRA PARA PINTURA EPOXI EM PISO</v>
      </c>
      <c r="Q1747" s="244" t="str">
        <f>IF(B1747="","",IF(B1747="Serviço",S1747,""))</f>
        <v/>
      </c>
      <c r="R1747" s="234">
        <f ca="1">IF(B1747="serviço",U1747,OFFSET(R1747,-1,0))</f>
        <v>30.3</v>
      </c>
      <c r="S1747" s="233" t="s">
        <v>1088</v>
      </c>
      <c r="T1747" s="242" t="str">
        <f>_xlfn.XLOOKUP(S1747,Insumos!$A$3:$A$371,Insumos!$B$3:$B$371)</f>
        <v>M2</v>
      </c>
      <c r="U1747" s="235">
        <f ca="1">IF($B1747="insumo",R1747,"")</f>
        <v>30.3</v>
      </c>
      <c r="V1747" s="320">
        <v>1</v>
      </c>
      <c r="W1747" s="236">
        <f>IFERROR(IF(B1747="INSUMO",_xlfn.XLOOKUP(S1747,Insumos!A:A,Insumos!C:C),""),"Inserir Preço")</f>
        <v>44.956704738697304</v>
      </c>
      <c r="X1747" s="235">
        <f ca="1">IF(B1747="Complemento do insumo",V1747,IF(R1747="","",IF(B1747="serviço",R1747,IF(OR(B1747="insumo"),V1747*R1747,""))))</f>
        <v>30.3</v>
      </c>
      <c r="Y1747" s="236">
        <f t="shared" si="1394"/>
        <v>44.956704738697304</v>
      </c>
      <c r="Z1747" s="237">
        <f t="shared" ca="1" si="1449"/>
        <v>1362.1881535825285</v>
      </c>
      <c r="AA1747" s="238"/>
      <c r="AB1747" s="233" t="str">
        <f>IF(B1747="insumo",_xlfn.XLOOKUP(S1747,Insumos!A:A,Insumos!D:D),"")</f>
        <v>Aba Custo Serviços</v>
      </c>
      <c r="AC1747" s="239">
        <f t="shared" ca="1" si="1450"/>
        <v>1.9541830997940764E-4</v>
      </c>
      <c r="AE1747" s="240">
        <f ca="1">IFERROR(IF(OR(Z1747="",Z1747=0),"",IF(AF1747="","",IF(AF1747="R$/mês",Z1747/OBRA!$D$12,IF(AF1747="R$/m²",Z1747/OBRA!$D$10,IF(AF1747="R$/apto",Orçamento!Z1747/OBRA!$D$11,""))))),"")</f>
        <v>0.70099172696105372</v>
      </c>
      <c r="AF1747" s="241" t="s">
        <v>154</v>
      </c>
    </row>
    <row r="1748" spans="1:32" s="10" customFormat="1" ht="13.15" customHeight="1" outlineLevel="2" collapsed="1" x14ac:dyDescent="0.2">
      <c r="A1748" s="227"/>
      <c r="B1748" s="228" t="s">
        <v>2</v>
      </c>
      <c r="C1748" s="229" t="str">
        <f t="shared" si="1448"/>
        <v/>
      </c>
      <c r="D1748" s="227" t="str">
        <f t="shared" ca="1" si="1442"/>
        <v>16.002</v>
      </c>
      <c r="E1748" s="228" t="str">
        <f t="shared" ca="1" si="1443"/>
        <v>16.001.004.003</v>
      </c>
      <c r="F1748" s="230">
        <f ca="1">IF($B1748="UNIDADE CONSTRUTIVA",OFFSET(F1748,-1,0)+1,LARGE(F$10:F1747,1))</f>
        <v>2</v>
      </c>
      <c r="G1748" s="228" t="str">
        <f t="shared" ref="G1748:G1774" ca="1" si="1451">IF(B1748="*","",IF(B1748="UNIDADE CONSTRUTIVA",S1748,OFFSET(G1748,-1,0)))</f>
        <v xml:space="preserve">   GERENCIAMENTO EXECUTIVO</v>
      </c>
      <c r="H1748" s="230">
        <f t="shared" ca="1" si="1444"/>
        <v>16</v>
      </c>
      <c r="I1748" s="228" t="str">
        <f t="shared" ref="I1748:I1774" ca="1" si="1452">IF(B1748="*","",IF(B1748="CÉLULA CONSTRUTIVA",S1748,OFFSET(I1748,-1,0)))</f>
        <v xml:space="preserve">   SISTEMAS DE PINTURA INTERNA</v>
      </c>
      <c r="J1748" s="230">
        <f t="shared" ca="1" si="1445"/>
        <v>2</v>
      </c>
      <c r="K1748" s="228" t="str">
        <f t="shared" ref="K1748:K1774" ca="1" si="1453">IF(B1748="*","",IF(B1748="ETAPA",S1748,OFFSET(K1748,-1,0)))</f>
        <v xml:space="preserve">   SISTEMAS DE PINTURA INTERNA - TÉRREO - 2º PAVIMENTO - TÉRREO</v>
      </c>
      <c r="L1748" s="231">
        <f t="shared" ca="1" si="1446"/>
        <v>0</v>
      </c>
      <c r="M1748" s="228" t="str">
        <f t="shared" ref="M1748:M1774" ca="1" si="1454">IF(B1748="*","",IF(B1748="SUBETAPA",S1748,OFFSET(M1748,-1,0)))</f>
        <v xml:space="preserve">   Mão de Obra</v>
      </c>
      <c r="N1748" s="231">
        <f t="shared" ca="1" si="1447"/>
        <v>3</v>
      </c>
      <c r="O1748" s="228" t="str">
        <f t="shared" ref="O1748:O1774" ca="1" si="1455">IF(B1748="*","",IF(B1748="SERVIÇO",S1748,OFFSET(O1748,-1,0)))</f>
        <v>Mao de obra para pintura Epoxi - Faixa Garagens</v>
      </c>
      <c r="P1748" s="232" t="str">
        <f>IF(S1748="","",IF(Orçamento!$B1748="INSUMO",S1748,""))</f>
        <v/>
      </c>
      <c r="Q1748" s="244" t="str">
        <f t="shared" ref="Q1748:Q1783" si="1456">IF(B1748="","",IF(B1748="Serviço",S1748,""))</f>
        <v/>
      </c>
      <c r="R1748" s="234">
        <f t="shared" ref="R1748:R1774" ca="1" si="1457">IF(B1748="serviço",U1748,OFFSET(R1748,-1,0))</f>
        <v>30.3</v>
      </c>
      <c r="S1748" s="233" t="s">
        <v>649</v>
      </c>
      <c r="T1748" s="242" t="s">
        <v>35</v>
      </c>
      <c r="U1748" s="235" t="str">
        <f>IF($B1748="insumo",R1748,"")</f>
        <v/>
      </c>
      <c r="V1748" s="320" t="s">
        <v>35</v>
      </c>
      <c r="W1748" s="236" t="str">
        <f>IFERROR(IF(B1748="INSUMO",_xlfn.XLOOKUP(S1748,Insumos!A:A,Insumos!C:C),""),"Inserir Preço")</f>
        <v/>
      </c>
      <c r="X1748" s="235" t="str">
        <f t="shared" ref="X1748:X1774" ca="1" si="1458">IF(B1748="Complemento do insumo",V1748,IF(R1748="","",IF(B1748="serviço",R1748,IF(OR(B1748="insumo"),V1748*R1748,""))))</f>
        <v/>
      </c>
      <c r="Y1748" s="236" t="str">
        <f t="shared" si="1394"/>
        <v/>
      </c>
      <c r="Z1748" s="237">
        <f t="shared" ca="1" si="1449"/>
        <v>34697.883935265214</v>
      </c>
      <c r="AA1748" s="238"/>
      <c r="AB1748" s="233" t="str">
        <f>IF(B1748="insumo",_xlfn.XLOOKUP(S1748,Insumos!A:A,Insumos!D:D),"")</f>
        <v/>
      </c>
      <c r="AC1748" s="239">
        <f t="shared" ca="1" si="1450"/>
        <v>4.9777277982181204E-3</v>
      </c>
      <c r="AE1748" s="240">
        <f ca="1">IFERROR(IF(OR(Z1748="",Z1748=0),"",IF(AF1748="","",IF(AF1748="R$/mês",Z1748/OBRA!$D$12,IF(AF1748="R$/m²",Z1748/OBRA!$D$10,IF(AF1748="R$/apto",Orçamento!Z1748/OBRA!$D$11,""))))),"")</f>
        <v>17.855778232769776</v>
      </c>
      <c r="AF1748" s="241" t="s">
        <v>154</v>
      </c>
    </row>
    <row r="1749" spans="1:32" s="10" customFormat="1" ht="13.15" hidden="1" customHeight="1" outlineLevel="3" collapsed="1" x14ac:dyDescent="0.2">
      <c r="A1749" s="227"/>
      <c r="B1749" s="228" t="s">
        <v>3</v>
      </c>
      <c r="C1749" s="229" t="str">
        <f t="shared" si="1448"/>
        <v/>
      </c>
      <c r="D1749" s="227" t="str">
        <f t="shared" ca="1" si="1442"/>
        <v>16.002.001</v>
      </c>
      <c r="E1749" s="228" t="str">
        <f t="shared" ca="1" si="1443"/>
        <v>16.001.004.003</v>
      </c>
      <c r="F1749" s="230">
        <f ca="1">IF($B1749="UNIDADE CONSTRUTIVA",OFFSET(F1749,-1,0)+1,LARGE(F$10:F1748,1))</f>
        <v>2</v>
      </c>
      <c r="G1749" s="228" t="str">
        <f t="shared" ca="1" si="1451"/>
        <v xml:space="preserve">   GERENCIAMENTO EXECUTIVO</v>
      </c>
      <c r="H1749" s="230">
        <f t="shared" ca="1" si="1444"/>
        <v>16</v>
      </c>
      <c r="I1749" s="228" t="str">
        <f t="shared" ca="1" si="1452"/>
        <v xml:space="preserve">   SISTEMAS DE PINTURA INTERNA</v>
      </c>
      <c r="J1749" s="230">
        <f t="shared" ca="1" si="1445"/>
        <v>2</v>
      </c>
      <c r="K1749" s="228" t="str">
        <f t="shared" ca="1" si="1453"/>
        <v xml:space="preserve">   SISTEMAS DE PINTURA INTERNA - TÉRREO - 2º PAVIMENTO - TÉRREO</v>
      </c>
      <c r="L1749" s="231">
        <f t="shared" ca="1" si="1446"/>
        <v>1</v>
      </c>
      <c r="M1749" s="228" t="str">
        <f t="shared" ca="1" si="1454"/>
        <v xml:space="preserve">   Sistemas de Pintura Interna em Piso</v>
      </c>
      <c r="N1749" s="231">
        <f t="shared" ca="1" si="1447"/>
        <v>0</v>
      </c>
      <c r="O1749" s="228" t="str">
        <f t="shared" ca="1" si="1455"/>
        <v>Mao de obra para pintura Epoxi - Faixa Garagens</v>
      </c>
      <c r="P1749" s="232" t="str">
        <f>IF(S1749="","",IF(Orçamento!$B1749="INSUMO",S1749,""))</f>
        <v/>
      </c>
      <c r="Q1749" s="244" t="str">
        <f t="shared" si="1456"/>
        <v/>
      </c>
      <c r="R1749" s="234">
        <f t="shared" ca="1" si="1457"/>
        <v>30.3</v>
      </c>
      <c r="S1749" s="233" t="s">
        <v>498</v>
      </c>
      <c r="T1749" s="242" t="s">
        <v>35</v>
      </c>
      <c r="U1749" s="235" t="str">
        <f>IF($B1749="insumo",R1749,"")</f>
        <v/>
      </c>
      <c r="V1749" s="320" t="s">
        <v>35</v>
      </c>
      <c r="W1749" s="236" t="str">
        <f>IFERROR(IF(B1749="INSUMO",_xlfn.XLOOKUP(S1749,Insumos!A:A,Insumos!C:C),""),"Inserir Preço")</f>
        <v/>
      </c>
      <c r="X1749" s="235" t="str">
        <f t="shared" ca="1" si="1458"/>
        <v/>
      </c>
      <c r="Y1749" s="236" t="str">
        <f t="shared" si="1394"/>
        <v/>
      </c>
      <c r="Z1749" s="237">
        <f t="shared" ca="1" si="1449"/>
        <v>678.35302079999997</v>
      </c>
      <c r="AA1749" s="238"/>
      <c r="AB1749" s="233" t="str">
        <f>IF(B1749="insumo",_xlfn.XLOOKUP(S1749,Insumos!A:A,Insumos!D:D),"")</f>
        <v/>
      </c>
      <c r="AC1749" s="239">
        <f t="shared" ca="1" si="1450"/>
        <v>9.7315925516988893E-5</v>
      </c>
      <c r="AE1749" s="240">
        <f ca="1">IFERROR(IF(OR(Z1749="",Z1749=0),"",IF(AF1749="","",IF(AF1749="R$/mês",Z1749/OBRA!$D$12,IF(AF1749="R$/m²",Z1749/OBRA!$D$10,IF(AF1749="R$/apto",Orçamento!Z1749/OBRA!$D$11,""))))),"")</f>
        <v>0.34908529654235471</v>
      </c>
      <c r="AF1749" s="241" t="s">
        <v>154</v>
      </c>
    </row>
    <row r="1750" spans="1:32" s="10" customFormat="1" ht="13.15" hidden="1" customHeight="1" outlineLevel="4" x14ac:dyDescent="0.2">
      <c r="A1750" s="227"/>
      <c r="B1750" s="228" t="s">
        <v>4</v>
      </c>
      <c r="C1750" s="229">
        <f t="shared" si="1448"/>
        <v>1</v>
      </c>
      <c r="D1750" s="227" t="str">
        <f ca="1">IF(B1750="Unidade Construtiva",TEXT(F1750,"00"),IF(B1750="Célula Construtiva",TEXT(H1750,"00"),IF(B1750="Etapa",CONCATENATE(TEXT(H1750,"00"),".",TEXT(J1750,"000")),IF(B1750="Subetapa",CONCATENATE(TEXT(H1750,"00"),".",TEXT(J1750,"000"),".",TEXT(L1750,"000")),IF(B1750="Serviço",CONCATENATE(TEXT(H1750,"00"),".",TEXT(J1750,"000"),".",TEXT(L1750,"000"),".",TEXT(N1750,"000")),"")))))</f>
        <v>16.002.001.001</v>
      </c>
      <c r="E1750" s="228" t="str">
        <f ca="1">IF(B1750="*","",IFERROR(IF(B1750="SERVIÇO",D1750,OFFSET(E1750,-1,0)),""))</f>
        <v>16.002.001.001</v>
      </c>
      <c r="F1750" s="230">
        <f ca="1">IF($B1750="UNIDADE CONSTRUTIVA",OFFSET(F1750,-1,0)+1,LARGE(F$10:F1749,1))</f>
        <v>2</v>
      </c>
      <c r="G1750" s="228" t="str">
        <f t="shared" ca="1" si="1451"/>
        <v xml:space="preserve">   GERENCIAMENTO EXECUTIVO</v>
      </c>
      <c r="H1750" s="230">
        <f ca="1">IF(B1750="UNIDADE CONSTRUTIVA",0,IF(B1750="CÉLULA CONSTRUTIVA",OFFSET(H1750,-1,0)+1,OFFSET(H1750,-1,0)))</f>
        <v>16</v>
      </c>
      <c r="I1750" s="228" t="str">
        <f t="shared" ca="1" si="1452"/>
        <v xml:space="preserve">   SISTEMAS DE PINTURA INTERNA</v>
      </c>
      <c r="J1750" s="230">
        <f ca="1">IF(B1750="CÉLULA CONSTRUTIVA",0,IF(B1750="ETAPA",OFFSET(J1750,-1,0)+1,OFFSET(J1750,-1,0)))</f>
        <v>2</v>
      </c>
      <c r="K1750" s="228" t="str">
        <f t="shared" ca="1" si="1453"/>
        <v xml:space="preserve">   SISTEMAS DE PINTURA INTERNA - TÉRREO - 2º PAVIMENTO - TÉRREO</v>
      </c>
      <c r="L1750" s="231">
        <f ca="1">IF(B1750="ETAPA",0,IF(B1750="SUBETAPA",OFFSET(L1750,-1,0)+1,OFFSET(L1750,-1,0)))</f>
        <v>1</v>
      </c>
      <c r="M1750" s="228" t="str">
        <f t="shared" ca="1" si="1454"/>
        <v xml:space="preserve">   Sistemas de Pintura Interna em Piso</v>
      </c>
      <c r="N1750" s="231">
        <f ca="1">IF(B1750="Subetapa",0,IF(B1750="serviço",OFFSET(N1750,-1,0)+1,OFFSET(N1750,-1,0)))</f>
        <v>1</v>
      </c>
      <c r="O1750" s="228" t="str">
        <f t="shared" ca="1" si="1455"/>
        <v xml:space="preserve">Pintura epoxi em piso 2 demaos - aplicacao em faixas demarcatorias de garagens </v>
      </c>
      <c r="P1750" s="232" t="str">
        <f>IF(S1750="","",IF(Orçamento!$B1750="INSUMO",S1750,""))</f>
        <v/>
      </c>
      <c r="Q1750" s="244" t="str">
        <f t="shared" si="1456"/>
        <v xml:space="preserve">Pintura epoxi em piso 2 demaos - aplicacao em faixas demarcatorias de garagens </v>
      </c>
      <c r="R1750" s="234">
        <f t="shared" ca="1" si="1457"/>
        <v>13.78</v>
      </c>
      <c r="S1750" s="233" t="s">
        <v>1140</v>
      </c>
      <c r="T1750" s="242" t="s">
        <v>140</v>
      </c>
      <c r="U1750" s="235">
        <v>13.78</v>
      </c>
      <c r="V1750" s="320" t="s">
        <v>35</v>
      </c>
      <c r="W1750" s="236" t="str">
        <f>IFERROR(IF(B1750="INSUMO",_xlfn.XLOOKUP(S1750,Insumos!A:A,Insumos!C:C),""),"Inserir Preço")</f>
        <v/>
      </c>
      <c r="X1750" s="235">
        <f ca="1">IF(B1750="Complemento do insumo",V1750,IF(R1750="","",IF(B1750="serviço",R1750,IF(OR(B1750="insumo"),V1750*R1750,""))))</f>
        <v>13.78</v>
      </c>
      <c r="Y1750" s="236">
        <f t="shared" ca="1" si="1394"/>
        <v>49.227359999999997</v>
      </c>
      <c r="Z1750" s="237">
        <f t="shared" ca="1" si="1449"/>
        <v>678.35302079999997</v>
      </c>
      <c r="AA1750" s="238"/>
      <c r="AB1750" s="233" t="str">
        <f>IF(B1750="insumo",_xlfn.XLOOKUP(S1750,Insumos!A:A,Insumos!D:D),"")</f>
        <v/>
      </c>
      <c r="AC1750" s="239">
        <f t="shared" ca="1" si="1450"/>
        <v>9.7315925516988893E-5</v>
      </c>
      <c r="AE1750" s="240">
        <f ca="1">IFERROR(IF(OR(Z1750="",Z1750=0),"",IF(AF1750="","",IF(AF1750="R$/mês",Z1750/OBRA!$D$12,IF(AF1750="R$/m²",Z1750/OBRA!$D$10,IF(AF1750="R$/apto",Orçamento!Z1750/OBRA!$D$11,""))))),"")</f>
        <v>0.34908529654235471</v>
      </c>
      <c r="AF1750" s="241" t="s">
        <v>154</v>
      </c>
    </row>
    <row r="1751" spans="1:32" s="10" customFormat="1" ht="13.15" hidden="1" customHeight="1" outlineLevel="4" x14ac:dyDescent="0.2">
      <c r="A1751" s="227"/>
      <c r="B1751" s="228" t="s">
        <v>19</v>
      </c>
      <c r="C1751" s="229">
        <f t="shared" si="1448"/>
        <v>2</v>
      </c>
      <c r="D1751" s="227" t="str">
        <f>IF(B1751="Unidade Construtiva",TEXT(F1751,"00"),IF(B1751="Célula Construtiva",TEXT(H1751,"00"),IF(B1751="Etapa",CONCATENATE(TEXT(H1751,"00"),".",TEXT(J1751,"000")),IF(B1751="Subetapa",CONCATENATE(TEXT(H1751,"00"),".",TEXT(J1751,"000"),".",TEXT(L1751,"000")),IF(B1751="Serviço",CONCATENATE(TEXT(H1751,"00"),".",TEXT(J1751,"000"),".",TEXT(L1751,"000"),".",TEXT(N1751,"000")),"")))))</f>
        <v/>
      </c>
      <c r="E1751" s="228" t="str">
        <f ca="1">IF(B1751="*","",IFERROR(IF(B1751="SERVIÇO",D1751,OFFSET(E1751,-1,0)),""))</f>
        <v>16.002.001.001</v>
      </c>
      <c r="F1751" s="230">
        <f ca="1">IF($B1751="UNIDADE CONSTRUTIVA",OFFSET(F1751,-1,0)+1,LARGE(F$10:F1750,1))</f>
        <v>2</v>
      </c>
      <c r="G1751" s="228" t="str">
        <f t="shared" ca="1" si="1451"/>
        <v xml:space="preserve">   GERENCIAMENTO EXECUTIVO</v>
      </c>
      <c r="H1751" s="230">
        <f ca="1">IF(B1751="UNIDADE CONSTRUTIVA",0,IF(B1751="CÉLULA CONSTRUTIVA",OFFSET(H1751,-1,0)+1,OFFSET(H1751,-1,0)))</f>
        <v>16</v>
      </c>
      <c r="I1751" s="228" t="str">
        <f t="shared" ca="1" si="1452"/>
        <v xml:space="preserve">   SISTEMAS DE PINTURA INTERNA</v>
      </c>
      <c r="J1751" s="230">
        <f ca="1">IF(B1751="CÉLULA CONSTRUTIVA",0,IF(B1751="ETAPA",OFFSET(J1751,-1,0)+1,OFFSET(J1751,-1,0)))</f>
        <v>2</v>
      </c>
      <c r="K1751" s="228" t="str">
        <f t="shared" ca="1" si="1453"/>
        <v xml:space="preserve">   SISTEMAS DE PINTURA INTERNA - TÉRREO - 2º PAVIMENTO - TÉRREO</v>
      </c>
      <c r="L1751" s="231">
        <f ca="1">IF(B1751="ETAPA",0,IF(B1751="SUBETAPA",OFFSET(L1751,-1,0)+1,OFFSET(L1751,-1,0)))</f>
        <v>1</v>
      </c>
      <c r="M1751" s="228" t="str">
        <f t="shared" ca="1" si="1454"/>
        <v xml:space="preserve">   Sistemas de Pintura Interna em Piso</v>
      </c>
      <c r="N1751" s="231">
        <f ca="1">IF(B1751="Subetapa",0,IF(B1751="serviço",OFFSET(N1751,-1,0)+1,OFFSET(N1751,-1,0)))</f>
        <v>1</v>
      </c>
      <c r="O1751" s="228" t="str">
        <f t="shared" ca="1" si="1455"/>
        <v xml:space="preserve">Pintura epoxi em piso 2 demaos - aplicacao em faixas demarcatorias de garagens </v>
      </c>
      <c r="P1751" s="232" t="str">
        <f>IF(S1751="","",IF(Orçamento!$B1751="INSUMO",S1751,""))</f>
        <v>TINTA EPOXI PARA PISO</v>
      </c>
      <c r="Q1751" s="244" t="str">
        <f t="shared" si="1456"/>
        <v/>
      </c>
      <c r="R1751" s="234">
        <f t="shared" ca="1" si="1457"/>
        <v>13.78</v>
      </c>
      <c r="S1751" s="233" t="s">
        <v>289</v>
      </c>
      <c r="T1751" s="242" t="str">
        <f>_xlfn.XLOOKUP(S1751,Insumos!$A$3:$A$371,Insumos!$B$3:$B$371)</f>
        <v>L</v>
      </c>
      <c r="U1751" s="235">
        <f ca="1">IF($B1751="insumo",R1751,"")</f>
        <v>13.78</v>
      </c>
      <c r="V1751" s="320">
        <v>0.48299999999999998</v>
      </c>
      <c r="W1751" s="236">
        <f>IFERROR(IF(B1751="INSUMO",_xlfn.XLOOKUP(S1751,Insumos!A:A,Insumos!C:C),""),"Inserir Preço")</f>
        <v>101.92</v>
      </c>
      <c r="X1751" s="235">
        <f t="shared" ca="1" si="1458"/>
        <v>6.6557399999999998</v>
      </c>
      <c r="Y1751" s="236">
        <f t="shared" si="1394"/>
        <v>49.227359999999997</v>
      </c>
      <c r="Z1751" s="237">
        <f t="shared" ca="1" si="1449"/>
        <v>678.35302079999997</v>
      </c>
      <c r="AA1751" s="238"/>
      <c r="AB1751" s="233" t="str">
        <f>IF(B1751="insumo",_xlfn.XLOOKUP(S1751,Insumos!A:A,Insumos!D:D),"")</f>
        <v xml:space="preserve"> </v>
      </c>
      <c r="AC1751" s="239">
        <f t="shared" ca="1" si="1450"/>
        <v>9.7315925516988893E-5</v>
      </c>
      <c r="AE1751" s="240">
        <f ca="1">IFERROR(IF(OR(Z1751="",Z1751=0),"",IF(AF1751="","",IF(AF1751="R$/mês",Z1751/OBRA!$D$12,IF(AF1751="R$/m²",Z1751/OBRA!$D$10,IF(AF1751="R$/apto",Orçamento!Z1751/OBRA!$D$11,""))))),"")</f>
        <v>0.34908529654235471</v>
      </c>
      <c r="AF1751" s="241" t="s">
        <v>154</v>
      </c>
    </row>
    <row r="1752" spans="1:32" s="10" customFormat="1" ht="13.15" hidden="1" customHeight="1" outlineLevel="3" collapsed="1" x14ac:dyDescent="0.2">
      <c r="A1752" s="227"/>
      <c r="B1752" s="228" t="s">
        <v>3</v>
      </c>
      <c r="C1752" s="229" t="str">
        <f t="shared" si="1448"/>
        <v/>
      </c>
      <c r="D1752" s="227" t="str">
        <f t="shared" ca="1" si="1442"/>
        <v>16.002.002</v>
      </c>
      <c r="E1752" s="228" t="str">
        <f t="shared" ca="1" si="1443"/>
        <v>16.002.001.001</v>
      </c>
      <c r="F1752" s="230">
        <f ca="1">IF($B1752="UNIDADE CONSTRUTIVA",OFFSET(F1752,-1,0)+1,LARGE(F$10:F1751,1))</f>
        <v>2</v>
      </c>
      <c r="G1752" s="228" t="str">
        <f t="shared" ca="1" si="1451"/>
        <v xml:space="preserve">   GERENCIAMENTO EXECUTIVO</v>
      </c>
      <c r="H1752" s="230">
        <f t="shared" ca="1" si="1444"/>
        <v>16</v>
      </c>
      <c r="I1752" s="228" t="str">
        <f t="shared" ca="1" si="1452"/>
        <v xml:space="preserve">   SISTEMAS DE PINTURA INTERNA</v>
      </c>
      <c r="J1752" s="230">
        <f t="shared" ca="1" si="1445"/>
        <v>2</v>
      </c>
      <c r="K1752" s="228" t="str">
        <f t="shared" ca="1" si="1453"/>
        <v xml:space="preserve">   SISTEMAS DE PINTURA INTERNA - TÉRREO - 2º PAVIMENTO - TÉRREO</v>
      </c>
      <c r="L1752" s="231">
        <f t="shared" ca="1" si="1446"/>
        <v>2</v>
      </c>
      <c r="M1752" s="228" t="str">
        <f t="shared" ca="1" si="1454"/>
        <v xml:space="preserve">   Sistemas de Pintura Interna em Parede</v>
      </c>
      <c r="N1752" s="231">
        <f t="shared" ca="1" si="1447"/>
        <v>0</v>
      </c>
      <c r="O1752" s="228" t="str">
        <f t="shared" ca="1" si="1455"/>
        <v xml:space="preserve">Pintura epoxi em piso 2 demaos - aplicacao em faixas demarcatorias de garagens </v>
      </c>
      <c r="P1752" s="232" t="str">
        <f>IF(S1752="","",IF(Orçamento!$B1752="INSUMO",S1752,""))</f>
        <v/>
      </c>
      <c r="Q1752" s="244" t="str">
        <f t="shared" si="1456"/>
        <v/>
      </c>
      <c r="R1752" s="234">
        <f t="shared" ca="1" si="1457"/>
        <v>13.78</v>
      </c>
      <c r="S1752" s="233" t="s">
        <v>499</v>
      </c>
      <c r="T1752" s="242" t="s">
        <v>35</v>
      </c>
      <c r="U1752" s="235" t="str">
        <f>IF($B1752="insumo",R1752,"")</f>
        <v/>
      </c>
      <c r="V1752" s="320" t="s">
        <v>35</v>
      </c>
      <c r="W1752" s="236" t="str">
        <f>IFERROR(IF(B1752="INSUMO",_xlfn.XLOOKUP(S1752,Insumos!A:A,Insumos!C:C),""),"Inserir Preço")</f>
        <v/>
      </c>
      <c r="X1752" s="235" t="str">
        <f t="shared" ca="1" si="1458"/>
        <v/>
      </c>
      <c r="Y1752" s="236" t="str">
        <f t="shared" si="1394"/>
        <v/>
      </c>
      <c r="Z1752" s="237">
        <f t="shared" ca="1" si="1449"/>
        <v>6349.6916002799999</v>
      </c>
      <c r="AA1752" s="238"/>
      <c r="AB1752" s="233" t="str">
        <f>IF(B1752="insumo",_xlfn.XLOOKUP(S1752,Insumos!A:A,Insumos!D:D),"")</f>
        <v/>
      </c>
      <c r="AC1752" s="239">
        <f t="shared" ca="1" si="1450"/>
        <v>9.109211514971387E-4</v>
      </c>
      <c r="AE1752" s="240">
        <f ca="1">IFERROR(IF(OR(Z1752="",Z1752=0),"",IF(AF1752="","",IF(AF1752="R$/mês",Z1752/OBRA!$D$12,IF(AF1752="R$/m²",Z1752/OBRA!$D$10,IF(AF1752="R$/apto",Orçamento!Z1752/OBRA!$D$11,""))))),"")</f>
        <v>3.2675965275752228</v>
      </c>
      <c r="AF1752" s="241" t="s">
        <v>154</v>
      </c>
    </row>
    <row r="1753" spans="1:32" s="10" customFormat="1" ht="13.15" hidden="1" customHeight="1" outlineLevel="4" x14ac:dyDescent="0.2">
      <c r="A1753" s="227"/>
      <c r="B1753" s="228" t="s">
        <v>4</v>
      </c>
      <c r="C1753" s="229">
        <f t="shared" si="1448"/>
        <v>5</v>
      </c>
      <c r="D1753" s="227" t="str">
        <f t="shared" ref="D1753:D1760" ca="1" si="1459">IF(B1753="Unidade Construtiva",TEXT(F1753,"00"),IF(B1753="Célula Construtiva",TEXT(H1753,"00"),IF(B1753="Etapa",CONCATENATE(TEXT(H1753,"00"),".",TEXT(J1753,"000")),IF(B1753="Subetapa",CONCATENATE(TEXT(H1753,"00"),".",TEXT(J1753,"000"),".",TEXT(L1753,"000")),IF(B1753="Serviço",CONCATENATE(TEXT(H1753,"00"),".",TEXT(J1753,"000"),".",TEXT(L1753,"000"),".",TEXT(N1753,"000")),"")))))</f>
        <v>16.002.002.001</v>
      </c>
      <c r="E1753" s="228" t="str">
        <f t="shared" ref="E1753:E1760" ca="1" si="1460">IF(B1753="*","",IFERROR(IF(B1753="SERVIÇO",D1753,OFFSET(E1753,-1,0)),""))</f>
        <v>16.002.002.001</v>
      </c>
      <c r="F1753" s="230">
        <f ca="1">IF($B1753="UNIDADE CONSTRUTIVA",OFFSET(F1753,-1,0)+1,LARGE(F$10:F1752,1))</f>
        <v>2</v>
      </c>
      <c r="G1753" s="228" t="str">
        <f t="shared" ca="1" si="1451"/>
        <v xml:space="preserve">   GERENCIAMENTO EXECUTIVO</v>
      </c>
      <c r="H1753" s="230">
        <f t="shared" ref="H1753:H1760" ca="1" si="1461">IF(B1753="UNIDADE CONSTRUTIVA",0,IF(B1753="CÉLULA CONSTRUTIVA",OFFSET(H1753,-1,0)+1,OFFSET(H1753,-1,0)))</f>
        <v>16</v>
      </c>
      <c r="I1753" s="228" t="str">
        <f t="shared" ca="1" si="1452"/>
        <v xml:space="preserve">   SISTEMAS DE PINTURA INTERNA</v>
      </c>
      <c r="J1753" s="230">
        <f t="shared" ref="J1753:J1760" ca="1" si="1462">IF(B1753="CÉLULA CONSTRUTIVA",0,IF(B1753="ETAPA",OFFSET(J1753,-1,0)+1,OFFSET(J1753,-1,0)))</f>
        <v>2</v>
      </c>
      <c r="K1753" s="228" t="str">
        <f t="shared" ca="1" si="1453"/>
        <v xml:space="preserve">   SISTEMAS DE PINTURA INTERNA - TÉRREO - 2º PAVIMENTO - TÉRREO</v>
      </c>
      <c r="L1753" s="231">
        <f t="shared" ref="L1753:L1760" ca="1" si="1463">IF(B1753="ETAPA",0,IF(B1753="SUBETAPA",OFFSET(L1753,-1,0)+1,OFFSET(L1753,-1,0)))</f>
        <v>2</v>
      </c>
      <c r="M1753" s="228" t="str">
        <f t="shared" ca="1" si="1454"/>
        <v xml:space="preserve">   Sistemas de Pintura Interna em Parede</v>
      </c>
      <c r="N1753" s="231">
        <f t="shared" ref="N1753:N1760" ca="1" si="1464">IF(B1753="Subetapa",0,IF(B1753="serviço",OFFSET(N1753,-1,0)+1,OFFSET(N1753,-1,0)))</f>
        <v>1</v>
      </c>
      <c r="O1753" s="228" t="str">
        <f t="shared" ca="1" si="1455"/>
        <v>Pintura com tinta latex acrilica, acabamento fosco em paredes internas, 3 demaos Áreas Comuns</v>
      </c>
      <c r="P1753" s="232" t="str">
        <f>IF(S1753="","",IF(Orçamento!$B1753="INSUMO",S1753,""))</f>
        <v/>
      </c>
      <c r="Q1753" s="244" t="str">
        <f t="shared" si="1456"/>
        <v>Pintura com tinta latex acrilica, acabamento fosco em paredes internas, 3 demaos Áreas Comuns</v>
      </c>
      <c r="R1753" s="234">
        <f t="shared" ca="1" si="1457"/>
        <v>221.904</v>
      </c>
      <c r="S1753" s="233" t="s">
        <v>738</v>
      </c>
      <c r="T1753" s="242" t="s">
        <v>140</v>
      </c>
      <c r="U1753" s="235">
        <v>221.904</v>
      </c>
      <c r="V1753" s="320" t="s">
        <v>35</v>
      </c>
      <c r="W1753" s="236" t="str">
        <f>IFERROR(IF(B1753="INSUMO",_xlfn.XLOOKUP(S1753,Insumos!A:A,Insumos!C:C),""),"Inserir Preço")</f>
        <v/>
      </c>
      <c r="X1753" s="235">
        <f t="shared" ca="1" si="1458"/>
        <v>221.904</v>
      </c>
      <c r="Y1753" s="236">
        <f t="shared" ca="1" si="1394"/>
        <v>17.975370000000002</v>
      </c>
      <c r="Z1753" s="237">
        <f t="shared" ca="1" si="1449"/>
        <v>3988.8065044800005</v>
      </c>
      <c r="AA1753" s="238"/>
      <c r="AB1753" s="233" t="str">
        <f>IF(B1753="insumo",_xlfn.XLOOKUP(S1753,Insumos!A:A,Insumos!D:D),"")</f>
        <v/>
      </c>
      <c r="AC1753" s="239">
        <f t="shared" ca="1" si="1450"/>
        <v>5.722306598323569E-4</v>
      </c>
      <c r="AE1753" s="240">
        <f ca="1">IFERROR(IF(OR(Z1753="",Z1753=0),"",IF(AF1753="","",IF(AF1753="R$/mês",Z1753/OBRA!$D$12,IF(AF1753="R$/m²",Z1753/OBRA!$D$10,IF(AF1753="R$/apto",Orçamento!Z1753/OBRA!$D$11,""))))),"")</f>
        <v>2.0526682402391896</v>
      </c>
      <c r="AF1753" s="241" t="s">
        <v>154</v>
      </c>
    </row>
    <row r="1754" spans="1:32" s="10" customFormat="1" ht="13.15" hidden="1" customHeight="1" outlineLevel="4" x14ac:dyDescent="0.2">
      <c r="A1754" s="227"/>
      <c r="B1754" s="228" t="s">
        <v>19</v>
      </c>
      <c r="C1754" s="229">
        <f t="shared" si="1448"/>
        <v>13</v>
      </c>
      <c r="D1754" s="227" t="str">
        <f t="shared" si="1459"/>
        <v/>
      </c>
      <c r="E1754" s="228" t="str">
        <f t="shared" ca="1" si="1460"/>
        <v>16.002.002.001</v>
      </c>
      <c r="F1754" s="230">
        <f ca="1">IF($B1754="UNIDADE CONSTRUTIVA",OFFSET(F1754,-1,0)+1,LARGE(F$10:F1753,1))</f>
        <v>2</v>
      </c>
      <c r="G1754" s="228" t="str">
        <f t="shared" ca="1" si="1451"/>
        <v xml:space="preserve">   GERENCIAMENTO EXECUTIVO</v>
      </c>
      <c r="H1754" s="230">
        <f t="shared" ca="1" si="1461"/>
        <v>16</v>
      </c>
      <c r="I1754" s="228" t="str">
        <f t="shared" ca="1" si="1452"/>
        <v xml:space="preserve">   SISTEMAS DE PINTURA INTERNA</v>
      </c>
      <c r="J1754" s="230">
        <f t="shared" ca="1" si="1462"/>
        <v>2</v>
      </c>
      <c r="K1754" s="228" t="str">
        <f t="shared" ca="1" si="1453"/>
        <v xml:space="preserve">   SISTEMAS DE PINTURA INTERNA - TÉRREO - 2º PAVIMENTO - TÉRREO</v>
      </c>
      <c r="L1754" s="231">
        <f t="shared" ca="1" si="1463"/>
        <v>2</v>
      </c>
      <c r="M1754" s="228" t="str">
        <f t="shared" ca="1" si="1454"/>
        <v xml:space="preserve">   Sistemas de Pintura Interna em Parede</v>
      </c>
      <c r="N1754" s="231">
        <f t="shared" ca="1" si="1464"/>
        <v>1</v>
      </c>
      <c r="O1754" s="228" t="str">
        <f t="shared" ca="1" si="1455"/>
        <v>Pintura com tinta latex acrilica, acabamento fosco em paredes internas, 3 demaos Áreas Comuns</v>
      </c>
      <c r="P1754" s="232" t="str">
        <f>IF(S1754="","",IF(Orçamento!$B1754="INSUMO",S1754,""))</f>
        <v>TINTA ACRILICO PREMIUM FOSCO</v>
      </c>
      <c r="Q1754" s="244" t="str">
        <f t="shared" si="1456"/>
        <v/>
      </c>
      <c r="R1754" s="234">
        <f t="shared" ca="1" si="1457"/>
        <v>221.904</v>
      </c>
      <c r="S1754" s="233" t="s">
        <v>264</v>
      </c>
      <c r="T1754" s="242" t="str">
        <f>_xlfn.XLOOKUP(S1754,Insumos!$A$3:$A$371,Insumos!$B$3:$B$371)</f>
        <v>L</v>
      </c>
      <c r="U1754" s="235">
        <f ca="1">IF($B1754="insumo",R1754,"")</f>
        <v>221.904</v>
      </c>
      <c r="V1754" s="320">
        <f>0.2678*2</f>
        <v>0.53559999999999997</v>
      </c>
      <c r="W1754" s="236">
        <f>IFERROR(IF(B1754="INSUMO",_xlfn.XLOOKUP(S1754,Insumos!A:A,Insumos!C:C),""),"Inserir Preço")</f>
        <v>29.17</v>
      </c>
      <c r="X1754" s="235">
        <f t="shared" ca="1" si="1458"/>
        <v>118.85178239999999</v>
      </c>
      <c r="Y1754" s="236">
        <f t="shared" si="1394"/>
        <v>15.623452</v>
      </c>
      <c r="Z1754" s="237">
        <f t="shared" ca="1" si="1449"/>
        <v>3466.906492608</v>
      </c>
      <c r="AA1754" s="238"/>
      <c r="AB1754" s="233" t="str">
        <f>IF(B1754="insumo",_xlfn.XLOOKUP(S1754,Insumos!A:A,Insumos!D:D),"")</f>
        <v xml:space="preserve"> </v>
      </c>
      <c r="AC1754" s="239">
        <f t="shared" ca="1" si="1450"/>
        <v>4.973593448601701E-4</v>
      </c>
      <c r="AE1754" s="240">
        <f ca="1">IFERROR(IF(OR(Z1754="",Z1754=0),"",IF(AF1754="","",IF(AF1754="R$/mês",Z1754/OBRA!$D$12,IF(AF1754="R$/m²",Z1754/OBRA!$D$10,IF(AF1754="R$/apto",Orçamento!Z1754/OBRA!$D$11,""))))),"")</f>
        <v>1.7840947765359736</v>
      </c>
      <c r="AF1754" s="241" t="s">
        <v>154</v>
      </c>
    </row>
    <row r="1755" spans="1:32" s="10" customFormat="1" ht="13.15" hidden="1" customHeight="1" outlineLevel="4" x14ac:dyDescent="0.2">
      <c r="A1755" s="227"/>
      <c r="B1755" s="228" t="s">
        <v>19</v>
      </c>
      <c r="C1755" s="229">
        <f t="shared" si="1448"/>
        <v>12</v>
      </c>
      <c r="D1755" s="227" t="str">
        <f t="shared" si="1459"/>
        <v/>
      </c>
      <c r="E1755" s="228" t="str">
        <f t="shared" ca="1" si="1460"/>
        <v>16.002.002.001</v>
      </c>
      <c r="F1755" s="230">
        <f ca="1">IF($B1755="UNIDADE CONSTRUTIVA",OFFSET(F1755,-1,0)+1,LARGE(F$10:F1754,1))</f>
        <v>2</v>
      </c>
      <c r="G1755" s="228" t="str">
        <f t="shared" ca="1" si="1451"/>
        <v xml:space="preserve">   GERENCIAMENTO EXECUTIVO</v>
      </c>
      <c r="H1755" s="230">
        <f t="shared" ca="1" si="1461"/>
        <v>16</v>
      </c>
      <c r="I1755" s="228" t="str">
        <f t="shared" ca="1" si="1452"/>
        <v xml:space="preserve">   SISTEMAS DE PINTURA INTERNA</v>
      </c>
      <c r="J1755" s="230">
        <f t="shared" ca="1" si="1462"/>
        <v>2</v>
      </c>
      <c r="K1755" s="228" t="str">
        <f t="shared" ca="1" si="1453"/>
        <v xml:space="preserve">   SISTEMAS DE PINTURA INTERNA - TÉRREO - 2º PAVIMENTO - TÉRREO</v>
      </c>
      <c r="L1755" s="231">
        <f t="shared" ca="1" si="1463"/>
        <v>2</v>
      </c>
      <c r="M1755" s="228" t="str">
        <f t="shared" ca="1" si="1454"/>
        <v xml:space="preserve">   Sistemas de Pintura Interna em Parede</v>
      </c>
      <c r="N1755" s="231">
        <f t="shared" ca="1" si="1464"/>
        <v>1</v>
      </c>
      <c r="O1755" s="228" t="str">
        <f t="shared" ca="1" si="1455"/>
        <v>Pintura com tinta latex acrilica, acabamento fosco em paredes internas, 3 demaos Áreas Comuns</v>
      </c>
      <c r="P1755" s="232" t="str">
        <f>IF(S1755="","",IF(Orçamento!$B1755="INSUMO",S1755,""))</f>
        <v>MASSA CORRIDA PVA</v>
      </c>
      <c r="Q1755" s="244" t="str">
        <f t="shared" si="1456"/>
        <v/>
      </c>
      <c r="R1755" s="234">
        <f t="shared" ca="1" si="1457"/>
        <v>221.904</v>
      </c>
      <c r="S1755" s="233" t="s">
        <v>338</v>
      </c>
      <c r="T1755" s="242" t="str">
        <f>_xlfn.XLOOKUP(S1755,Insumos!$A$3:$A$371,Insumos!$B$3:$B$371)</f>
        <v>L</v>
      </c>
      <c r="U1755" s="235">
        <f ca="1">IF($B1755="insumo",R1755,"")</f>
        <v>221.904</v>
      </c>
      <c r="V1755" s="320">
        <v>1.6868000000000001</v>
      </c>
      <c r="W1755" s="236">
        <f>IFERROR(IF(B1755="INSUMO",_xlfn.XLOOKUP(S1755,Insumos!A:A,Insumos!C:C),""),"Inserir Preço")</f>
        <v>1.26</v>
      </c>
      <c r="X1755" s="235">
        <f t="shared" ca="1" si="1458"/>
        <v>374.30766720000003</v>
      </c>
      <c r="Y1755" s="236">
        <f t="shared" si="1394"/>
        <v>2.1253679999999999</v>
      </c>
      <c r="Z1755" s="237">
        <f t="shared" ca="1" si="1449"/>
        <v>471.62766067200005</v>
      </c>
      <c r="AA1755" s="238"/>
      <c r="AB1755" s="233" t="str">
        <f>IF(B1755="insumo",_xlfn.XLOOKUP(S1755,Insumos!A:A,Insumos!D:D),"")</f>
        <v xml:space="preserve"> </v>
      </c>
      <c r="AC1755" s="239">
        <f t="shared" ca="1" si="1450"/>
        <v>6.7659287849239084E-5</v>
      </c>
      <c r="AE1755" s="240">
        <f ca="1">IFERROR(IF(OR(Z1755="",Z1755=0),"",IF(AF1755="","",IF(AF1755="R$/mês",Z1755/OBRA!$D$12,IF(AF1755="R$/m²",Z1755/OBRA!$D$10,IF(AF1755="R$/apto",Orçamento!Z1755/OBRA!$D$11,""))))),"")</f>
        <v>0.24270295367609601</v>
      </c>
      <c r="AF1755" s="241" t="s">
        <v>154</v>
      </c>
    </row>
    <row r="1756" spans="1:32" s="10" customFormat="1" ht="13.15" hidden="1" customHeight="1" outlineLevel="4" x14ac:dyDescent="0.2">
      <c r="A1756" s="227"/>
      <c r="B1756" s="228" t="s">
        <v>19</v>
      </c>
      <c r="C1756" s="229">
        <f t="shared" si="1448"/>
        <v>19</v>
      </c>
      <c r="D1756" s="227" t="str">
        <f t="shared" si="1459"/>
        <v/>
      </c>
      <c r="E1756" s="228" t="str">
        <f t="shared" ca="1" si="1460"/>
        <v>16.002.002.001</v>
      </c>
      <c r="F1756" s="230">
        <f ca="1">IF($B1756="UNIDADE CONSTRUTIVA",OFFSET(F1756,-1,0)+1,LARGE(F$10:F1755,1))</f>
        <v>2</v>
      </c>
      <c r="G1756" s="228" t="str">
        <f t="shared" ca="1" si="1451"/>
        <v xml:space="preserve">   GERENCIAMENTO EXECUTIVO</v>
      </c>
      <c r="H1756" s="230">
        <f t="shared" ca="1" si="1461"/>
        <v>16</v>
      </c>
      <c r="I1756" s="228" t="str">
        <f t="shared" ca="1" si="1452"/>
        <v xml:space="preserve">   SISTEMAS DE PINTURA INTERNA</v>
      </c>
      <c r="J1756" s="230">
        <f t="shared" ca="1" si="1462"/>
        <v>2</v>
      </c>
      <c r="K1756" s="228" t="str">
        <f t="shared" ca="1" si="1453"/>
        <v xml:space="preserve">   SISTEMAS DE PINTURA INTERNA - TÉRREO - 2º PAVIMENTO - TÉRREO</v>
      </c>
      <c r="L1756" s="231">
        <f t="shared" ca="1" si="1463"/>
        <v>2</v>
      </c>
      <c r="M1756" s="228" t="str">
        <f t="shared" ca="1" si="1454"/>
        <v xml:space="preserve">   Sistemas de Pintura Interna em Parede</v>
      </c>
      <c r="N1756" s="231">
        <f t="shared" ca="1" si="1464"/>
        <v>1</v>
      </c>
      <c r="O1756" s="228" t="str">
        <f t="shared" ca="1" si="1455"/>
        <v>Pintura com tinta latex acrilica, acabamento fosco em paredes internas, 3 demaos Áreas Comuns</v>
      </c>
      <c r="P1756" s="232" t="str">
        <f>IF(S1756="","",IF(Orçamento!$B1756="INSUMO",S1756,""))</f>
        <v>LIXA EM FOLHA PARA PAREDE OU MADEIRA N° 120</v>
      </c>
      <c r="Q1756" s="244" t="str">
        <f t="shared" si="1456"/>
        <v/>
      </c>
      <c r="R1756" s="234">
        <f t="shared" ca="1" si="1457"/>
        <v>221.904</v>
      </c>
      <c r="S1756" s="233" t="s">
        <v>922</v>
      </c>
      <c r="T1756" s="242" t="str">
        <f>_xlfn.XLOOKUP(S1756,Insumos!$A$3:$A$371,Insumos!$B$3:$B$371)</f>
        <v>UN</v>
      </c>
      <c r="U1756" s="235">
        <f ca="1">IF($B1756="insumo",R1756,"")</f>
        <v>221.904</v>
      </c>
      <c r="V1756" s="320">
        <v>9.8500000000000004E-2</v>
      </c>
      <c r="W1756" s="236">
        <f>IFERROR(IF(B1756="INSUMO",_xlfn.XLOOKUP(S1756,Insumos!A:A,Insumos!C:C),""),"Inserir Preço")</f>
        <v>2.2999999999999998</v>
      </c>
      <c r="X1756" s="235">
        <f t="shared" ca="1" si="1458"/>
        <v>21.857544000000001</v>
      </c>
      <c r="Y1756" s="236">
        <f t="shared" si="1394"/>
        <v>0.22655</v>
      </c>
      <c r="Z1756" s="237">
        <f t="shared" ca="1" si="1449"/>
        <v>50.272351199999996</v>
      </c>
      <c r="AA1756" s="238"/>
      <c r="AB1756" s="233" t="str">
        <f>IF(B1756="insumo",_xlfn.XLOOKUP(S1756,Insumos!A:A,Insumos!D:D),"")</f>
        <v xml:space="preserve"> </v>
      </c>
      <c r="AC1756" s="239">
        <f t="shared" ca="1" si="1450"/>
        <v>7.2120271229477025E-6</v>
      </c>
      <c r="AE1756" s="240">
        <f ca="1">IFERROR(IF(OR(Z1756="",Z1756=0),"",IF(AF1756="","",IF(AF1756="R$/mês",Z1756/OBRA!$D$12,IF(AF1756="R$/m²",Z1756/OBRA!$D$10,IF(AF1756="R$/apto",Orçamento!Z1756/OBRA!$D$11,""))))),"")</f>
        <v>2.5870510027119792E-2</v>
      </c>
      <c r="AF1756" s="241" t="s">
        <v>154</v>
      </c>
    </row>
    <row r="1757" spans="1:32" s="10" customFormat="1" ht="13.15" hidden="1" customHeight="1" outlineLevel="4" x14ac:dyDescent="0.2">
      <c r="A1757" s="227"/>
      <c r="B1757" s="228" t="s">
        <v>4</v>
      </c>
      <c r="C1757" s="229">
        <f t="shared" si="1448"/>
        <v>2</v>
      </c>
      <c r="D1757" s="227" t="str">
        <f t="shared" ca="1" si="1459"/>
        <v>16.002.002.002</v>
      </c>
      <c r="E1757" s="228" t="str">
        <f t="shared" ca="1" si="1460"/>
        <v>16.002.002.002</v>
      </c>
      <c r="F1757" s="230">
        <f ca="1">IF($B1757="UNIDADE CONSTRUTIVA",OFFSET(F1757,-1,0)+1,LARGE(F$10:F1756,1))</f>
        <v>2</v>
      </c>
      <c r="G1757" s="228" t="str">
        <f t="shared" ca="1" si="1451"/>
        <v xml:space="preserve">   GERENCIAMENTO EXECUTIVO</v>
      </c>
      <c r="H1757" s="230">
        <f t="shared" ca="1" si="1461"/>
        <v>16</v>
      </c>
      <c r="I1757" s="228" t="str">
        <f t="shared" ca="1" si="1452"/>
        <v xml:space="preserve">   SISTEMAS DE PINTURA INTERNA</v>
      </c>
      <c r="J1757" s="230">
        <f t="shared" ca="1" si="1462"/>
        <v>2</v>
      </c>
      <c r="K1757" s="228" t="str">
        <f t="shared" ca="1" si="1453"/>
        <v xml:space="preserve">   SISTEMAS DE PINTURA INTERNA - TÉRREO - 2º PAVIMENTO - TÉRREO</v>
      </c>
      <c r="L1757" s="231">
        <f t="shared" ca="1" si="1463"/>
        <v>2</v>
      </c>
      <c r="M1757" s="228" t="str">
        <f t="shared" ca="1" si="1454"/>
        <v xml:space="preserve">   Sistemas de Pintura Interna em Parede</v>
      </c>
      <c r="N1757" s="231">
        <f t="shared" ca="1" si="1464"/>
        <v>2</v>
      </c>
      <c r="O1757" s="228" t="str">
        <f t="shared" ca="1" si="1455"/>
        <v>Pintura com tinta latex acrilica, acabamento fosco em paredes internas, 3 demaos Áreas Privativas</v>
      </c>
      <c r="P1757" s="232" t="str">
        <f>IF(S1757="","",IF(Orçamento!$B1757="INSUMO",S1757,""))</f>
        <v/>
      </c>
      <c r="Q1757" s="244" t="str">
        <f t="shared" si="1456"/>
        <v>Pintura com tinta latex acrilica, acabamento fosco em paredes internas, 3 demaos Áreas Privativas</v>
      </c>
      <c r="R1757" s="234">
        <f t="shared" ca="1" si="1457"/>
        <v>131.34</v>
      </c>
      <c r="S1757" s="233" t="s">
        <v>739</v>
      </c>
      <c r="T1757" s="242" t="s">
        <v>140</v>
      </c>
      <c r="U1757" s="235">
        <v>131.34</v>
      </c>
      <c r="V1757" s="320" t="s">
        <v>35</v>
      </c>
      <c r="W1757" s="236" t="str">
        <f>IFERROR(IF(B1757="INSUMO",_xlfn.XLOOKUP(S1757,Insumos!A:A,Insumos!C:C),""),"Inserir Preço")</f>
        <v/>
      </c>
      <c r="X1757" s="235">
        <f t="shared" ca="1" si="1458"/>
        <v>131.34</v>
      </c>
      <c r="Y1757" s="236">
        <f t="shared" ca="1" si="1394"/>
        <v>17.975370000000002</v>
      </c>
      <c r="Z1757" s="237">
        <f t="shared" ca="1" si="1449"/>
        <v>2360.8850958000003</v>
      </c>
      <c r="AA1757" s="238"/>
      <c r="AB1757" s="233" t="str">
        <f>IF(B1757="insumo",_xlfn.XLOOKUP(S1757,Insumos!A:A,Insumos!D:D),"")</f>
        <v/>
      </c>
      <c r="AC1757" s="239">
        <f t="shared" ca="1" si="1450"/>
        <v>3.3869049166478186E-4</v>
      </c>
      <c r="AE1757" s="240">
        <f ca="1">IFERROR(IF(OR(Z1757="",Z1757=0),"",IF(AF1757="","",IF(AF1757="R$/mês",Z1757/OBRA!$D$12,IF(AF1757="R$/m²",Z1757/OBRA!$D$10,IF(AF1757="R$/apto",Orçamento!Z1757/OBRA!$D$11,""))))),"")</f>
        <v>1.2149282873360334</v>
      </c>
      <c r="AF1757" s="241" t="s">
        <v>154</v>
      </c>
    </row>
    <row r="1758" spans="1:32" s="10" customFormat="1" ht="13.15" hidden="1" customHeight="1" outlineLevel="4" x14ac:dyDescent="0.2">
      <c r="A1758" s="227"/>
      <c r="B1758" s="228" t="s">
        <v>19</v>
      </c>
      <c r="C1758" s="229">
        <f t="shared" si="1448"/>
        <v>13</v>
      </c>
      <c r="D1758" s="227" t="str">
        <f t="shared" si="1459"/>
        <v/>
      </c>
      <c r="E1758" s="228" t="str">
        <f t="shared" ca="1" si="1460"/>
        <v>16.002.002.002</v>
      </c>
      <c r="F1758" s="230">
        <f ca="1">IF($B1758="UNIDADE CONSTRUTIVA",OFFSET(F1758,-1,0)+1,LARGE(F$10:F1757,1))</f>
        <v>2</v>
      </c>
      <c r="G1758" s="228" t="str">
        <f t="shared" ca="1" si="1451"/>
        <v xml:space="preserve">   GERENCIAMENTO EXECUTIVO</v>
      </c>
      <c r="H1758" s="230">
        <f t="shared" ca="1" si="1461"/>
        <v>16</v>
      </c>
      <c r="I1758" s="228" t="str">
        <f t="shared" ca="1" si="1452"/>
        <v xml:space="preserve">   SISTEMAS DE PINTURA INTERNA</v>
      </c>
      <c r="J1758" s="230">
        <f t="shared" ca="1" si="1462"/>
        <v>2</v>
      </c>
      <c r="K1758" s="228" t="str">
        <f t="shared" ca="1" si="1453"/>
        <v xml:space="preserve">   SISTEMAS DE PINTURA INTERNA - TÉRREO - 2º PAVIMENTO - TÉRREO</v>
      </c>
      <c r="L1758" s="231">
        <f t="shared" ca="1" si="1463"/>
        <v>2</v>
      </c>
      <c r="M1758" s="228" t="str">
        <f t="shared" ca="1" si="1454"/>
        <v xml:space="preserve">   Sistemas de Pintura Interna em Parede</v>
      </c>
      <c r="N1758" s="231">
        <f t="shared" ca="1" si="1464"/>
        <v>2</v>
      </c>
      <c r="O1758" s="228" t="str">
        <f t="shared" ca="1" si="1455"/>
        <v>Pintura com tinta latex acrilica, acabamento fosco em paredes internas, 3 demaos Áreas Privativas</v>
      </c>
      <c r="P1758" s="232" t="str">
        <f>IF(S1758="","",IF(Orçamento!$B1758="INSUMO",S1758,""))</f>
        <v>TINTA ACRILICO PREMIUM FOSCO</v>
      </c>
      <c r="Q1758" s="244" t="str">
        <f t="shared" si="1456"/>
        <v/>
      </c>
      <c r="R1758" s="234">
        <f t="shared" ca="1" si="1457"/>
        <v>131.34</v>
      </c>
      <c r="S1758" s="233" t="s">
        <v>264</v>
      </c>
      <c r="T1758" s="242" t="str">
        <f>_xlfn.XLOOKUP(S1758,Insumos!$A$3:$A$371,Insumos!$B$3:$B$371)</f>
        <v>L</v>
      </c>
      <c r="U1758" s="235">
        <f ca="1">IF($B1758="insumo",R1758,"")</f>
        <v>131.34</v>
      </c>
      <c r="V1758" s="320">
        <f>0.2678*2</f>
        <v>0.53559999999999997</v>
      </c>
      <c r="W1758" s="236">
        <f>IFERROR(IF(B1758="INSUMO",_xlfn.XLOOKUP(S1758,Insumos!A:A,Insumos!C:C),""),"Inserir Preço")</f>
        <v>29.17</v>
      </c>
      <c r="X1758" s="235">
        <f t="shared" ca="1" si="1458"/>
        <v>70.345703999999998</v>
      </c>
      <c r="Y1758" s="236">
        <f t="shared" si="1394"/>
        <v>15.623452</v>
      </c>
      <c r="Z1758" s="237">
        <f t="shared" ca="1" si="1449"/>
        <v>2051.9841856799999</v>
      </c>
      <c r="AA1758" s="238"/>
      <c r="AB1758" s="233" t="str">
        <f>IF(B1758="insumo",_xlfn.XLOOKUP(S1758,Insumos!A:A,Insumos!D:D),"")</f>
        <v xml:space="preserve"> </v>
      </c>
      <c r="AC1758" s="239">
        <f t="shared" ca="1" si="1450"/>
        <v>2.9437583979529319E-4</v>
      </c>
      <c r="AE1758" s="240">
        <f ca="1">IFERROR(IF(OR(Z1758="",Z1758=0),"",IF(AF1758="","",IF(AF1758="R$/mês",Z1758/OBRA!$D$12,IF(AF1758="R$/m²",Z1758/OBRA!$D$10,IF(AF1758="R$/apto",Orçamento!Z1758/OBRA!$D$11,""))))),"")</f>
        <v>1.0559656786278515</v>
      </c>
      <c r="AF1758" s="241" t="s">
        <v>154</v>
      </c>
    </row>
    <row r="1759" spans="1:32" s="10" customFormat="1" ht="13.15" hidden="1" customHeight="1" outlineLevel="4" x14ac:dyDescent="0.2">
      <c r="A1759" s="227"/>
      <c r="B1759" s="228" t="s">
        <v>19</v>
      </c>
      <c r="C1759" s="229">
        <f t="shared" si="1448"/>
        <v>12</v>
      </c>
      <c r="D1759" s="227" t="str">
        <f t="shared" si="1459"/>
        <v/>
      </c>
      <c r="E1759" s="228" t="str">
        <f t="shared" ca="1" si="1460"/>
        <v>16.002.002.002</v>
      </c>
      <c r="F1759" s="230">
        <f ca="1">IF($B1759="UNIDADE CONSTRUTIVA",OFFSET(F1759,-1,0)+1,LARGE(F$10:F1758,1))</f>
        <v>2</v>
      </c>
      <c r="G1759" s="228" t="str">
        <f t="shared" ca="1" si="1451"/>
        <v xml:space="preserve">   GERENCIAMENTO EXECUTIVO</v>
      </c>
      <c r="H1759" s="230">
        <f t="shared" ca="1" si="1461"/>
        <v>16</v>
      </c>
      <c r="I1759" s="228" t="str">
        <f t="shared" ca="1" si="1452"/>
        <v xml:space="preserve">   SISTEMAS DE PINTURA INTERNA</v>
      </c>
      <c r="J1759" s="230">
        <f t="shared" ca="1" si="1462"/>
        <v>2</v>
      </c>
      <c r="K1759" s="228" t="str">
        <f t="shared" ca="1" si="1453"/>
        <v xml:space="preserve">   SISTEMAS DE PINTURA INTERNA - TÉRREO - 2º PAVIMENTO - TÉRREO</v>
      </c>
      <c r="L1759" s="231">
        <f t="shared" ca="1" si="1463"/>
        <v>2</v>
      </c>
      <c r="M1759" s="228" t="str">
        <f t="shared" ca="1" si="1454"/>
        <v xml:space="preserve">   Sistemas de Pintura Interna em Parede</v>
      </c>
      <c r="N1759" s="231">
        <f t="shared" ca="1" si="1464"/>
        <v>2</v>
      </c>
      <c r="O1759" s="228" t="str">
        <f t="shared" ca="1" si="1455"/>
        <v>Pintura com tinta latex acrilica, acabamento fosco em paredes internas, 3 demaos Áreas Privativas</v>
      </c>
      <c r="P1759" s="232" t="str">
        <f>IF(S1759="","",IF(Orçamento!$B1759="INSUMO",S1759,""))</f>
        <v>MASSA CORRIDA PVA</v>
      </c>
      <c r="Q1759" s="244" t="str">
        <f t="shared" si="1456"/>
        <v/>
      </c>
      <c r="R1759" s="234">
        <f t="shared" ca="1" si="1457"/>
        <v>131.34</v>
      </c>
      <c r="S1759" s="233" t="s">
        <v>338</v>
      </c>
      <c r="T1759" s="242" t="str">
        <f>_xlfn.XLOOKUP(S1759,Insumos!$A$3:$A$371,Insumos!$B$3:$B$371)</f>
        <v>L</v>
      </c>
      <c r="U1759" s="235">
        <f ca="1">IF($B1759="insumo",R1759,"")</f>
        <v>131.34</v>
      </c>
      <c r="V1759" s="320">
        <v>1.6868000000000001</v>
      </c>
      <c r="W1759" s="236">
        <f>IFERROR(IF(B1759="INSUMO",_xlfn.XLOOKUP(S1759,Insumos!A:A,Insumos!C:C),""),"Inserir Preço")</f>
        <v>1.26</v>
      </c>
      <c r="X1759" s="235">
        <f t="shared" ca="1" si="1458"/>
        <v>221.54431200000002</v>
      </c>
      <c r="Y1759" s="236">
        <f t="shared" si="1394"/>
        <v>2.1253679999999999</v>
      </c>
      <c r="Z1759" s="237">
        <f t="shared" ca="1" si="1449"/>
        <v>279.14583312000002</v>
      </c>
      <c r="AA1759" s="238"/>
      <c r="AB1759" s="233" t="str">
        <f>IF(B1759="insumo",_xlfn.XLOOKUP(S1759,Insumos!A:A,Insumos!D:D),"")</f>
        <v xml:space="preserve"> </v>
      </c>
      <c r="AC1759" s="239">
        <f t="shared" ca="1" si="1450"/>
        <v>4.0046014790716079E-5</v>
      </c>
      <c r="AE1759" s="240">
        <f ca="1">IFERROR(IF(OR(Z1759="",Z1759=0),"",IF(AF1759="","",IF(AF1759="R$/mês",Z1759/OBRA!$D$12,IF(AF1759="R$/m²",Z1759/OBRA!$D$10,IF(AF1759="R$/apto",Orçamento!Z1759/OBRA!$D$11,""))))),"")</f>
        <v>0.14365043413286127</v>
      </c>
      <c r="AF1759" s="241" t="s">
        <v>154</v>
      </c>
    </row>
    <row r="1760" spans="1:32" s="10" customFormat="1" ht="13.15" hidden="1" customHeight="1" outlineLevel="4" x14ac:dyDescent="0.2">
      <c r="A1760" s="227"/>
      <c r="B1760" s="228" t="s">
        <v>19</v>
      </c>
      <c r="C1760" s="229">
        <f t="shared" si="1448"/>
        <v>19</v>
      </c>
      <c r="D1760" s="227" t="str">
        <f t="shared" si="1459"/>
        <v/>
      </c>
      <c r="E1760" s="228" t="str">
        <f t="shared" ca="1" si="1460"/>
        <v>16.002.002.002</v>
      </c>
      <c r="F1760" s="230">
        <f ca="1">IF($B1760="UNIDADE CONSTRUTIVA",OFFSET(F1760,-1,0)+1,LARGE(F$10:F1759,1))</f>
        <v>2</v>
      </c>
      <c r="G1760" s="228" t="str">
        <f t="shared" ca="1" si="1451"/>
        <v xml:space="preserve">   GERENCIAMENTO EXECUTIVO</v>
      </c>
      <c r="H1760" s="230">
        <f t="shared" ca="1" si="1461"/>
        <v>16</v>
      </c>
      <c r="I1760" s="228" t="str">
        <f t="shared" ca="1" si="1452"/>
        <v xml:space="preserve">   SISTEMAS DE PINTURA INTERNA</v>
      </c>
      <c r="J1760" s="230">
        <f t="shared" ca="1" si="1462"/>
        <v>2</v>
      </c>
      <c r="K1760" s="228" t="str">
        <f t="shared" ca="1" si="1453"/>
        <v xml:space="preserve">   SISTEMAS DE PINTURA INTERNA - TÉRREO - 2º PAVIMENTO - TÉRREO</v>
      </c>
      <c r="L1760" s="231">
        <f t="shared" ca="1" si="1463"/>
        <v>2</v>
      </c>
      <c r="M1760" s="228" t="str">
        <f t="shared" ca="1" si="1454"/>
        <v xml:space="preserve">   Sistemas de Pintura Interna em Parede</v>
      </c>
      <c r="N1760" s="231">
        <f t="shared" ca="1" si="1464"/>
        <v>2</v>
      </c>
      <c r="O1760" s="228" t="str">
        <f t="shared" ca="1" si="1455"/>
        <v>Pintura com tinta latex acrilica, acabamento fosco em paredes internas, 3 demaos Áreas Privativas</v>
      </c>
      <c r="P1760" s="232" t="str">
        <f>IF(S1760="","",IF(Orçamento!$B1760="INSUMO",S1760,""))</f>
        <v>LIXA EM FOLHA PARA PAREDE OU MADEIRA N° 120</v>
      </c>
      <c r="Q1760" s="244" t="str">
        <f t="shared" si="1456"/>
        <v/>
      </c>
      <c r="R1760" s="234">
        <f t="shared" ca="1" si="1457"/>
        <v>131.34</v>
      </c>
      <c r="S1760" s="233" t="s">
        <v>922</v>
      </c>
      <c r="T1760" s="242" t="str">
        <f>_xlfn.XLOOKUP(S1760,Insumos!$A$3:$A$371,Insumos!$B$3:$B$371)</f>
        <v>UN</v>
      </c>
      <c r="U1760" s="235">
        <f ca="1">IF($B1760="insumo",R1760,"")</f>
        <v>131.34</v>
      </c>
      <c r="V1760" s="320">
        <v>9.8500000000000004E-2</v>
      </c>
      <c r="W1760" s="236">
        <f>IFERROR(IF(B1760="INSUMO",_xlfn.XLOOKUP(S1760,Insumos!A:A,Insumos!C:C),""),"Inserir Preço")</f>
        <v>2.2999999999999998</v>
      </c>
      <c r="X1760" s="235">
        <f t="shared" ca="1" si="1458"/>
        <v>12.936990000000002</v>
      </c>
      <c r="Y1760" s="236">
        <f t="shared" si="1394"/>
        <v>0.22655</v>
      </c>
      <c r="Z1760" s="237">
        <f t="shared" ca="1" si="1449"/>
        <v>29.755077</v>
      </c>
      <c r="AA1760" s="238"/>
      <c r="AB1760" s="233" t="str">
        <f>IF(B1760="insumo",_xlfn.XLOOKUP(S1760,Insumos!A:A,Insumos!D:D),"")</f>
        <v xml:space="preserve"> </v>
      </c>
      <c r="AC1760" s="239">
        <f t="shared" ca="1" si="1450"/>
        <v>4.2686370787725831E-6</v>
      </c>
      <c r="AE1760" s="240">
        <f ca="1">IFERROR(IF(OR(Z1760="",Z1760=0),"",IF(AF1760="","",IF(AF1760="R$/mês",Z1760/OBRA!$D$12,IF(AF1760="R$/m²",Z1760/OBRA!$D$10,IF(AF1760="R$/apto",Orçamento!Z1760/OBRA!$D$11,""))))),"")</f>
        <v>1.5312174575320471E-2</v>
      </c>
      <c r="AF1760" s="241" t="s">
        <v>154</v>
      </c>
    </row>
    <row r="1761" spans="1:32" s="10" customFormat="1" ht="13.15" hidden="1" customHeight="1" outlineLevel="3" collapsed="1" x14ac:dyDescent="0.2">
      <c r="A1761" s="227"/>
      <c r="B1761" s="228" t="s">
        <v>3</v>
      </c>
      <c r="C1761" s="229" t="str">
        <f t="shared" si="1448"/>
        <v/>
      </c>
      <c r="D1761" s="227" t="str">
        <f t="shared" ref="D1761:D1792" ca="1" si="1465">IF(B1761="Unidade Construtiva",TEXT(F1761,"00"),IF(B1761="Célula Construtiva",TEXT(H1761,"00"),IF(B1761="Etapa",CONCATENATE(TEXT(H1761,"00"),".",TEXT(J1761,"000")),IF(B1761="Subetapa",CONCATENATE(TEXT(H1761,"00"),".",TEXT(J1761,"000"),".",TEXT(L1761,"000")),IF(B1761="Serviço",CONCATENATE(TEXT(H1761,"00"),".",TEXT(J1761,"000"),".",TEXT(L1761,"000"),".",TEXT(N1761,"000")),"")))))</f>
        <v>16.002.003</v>
      </c>
      <c r="E1761" s="228" t="str">
        <f t="shared" ref="E1761:E1792" ca="1" si="1466">IF(B1761="*","",IFERROR(IF(B1761="SERVIÇO",D1761,OFFSET(E1761,-1,0)),""))</f>
        <v>16.002.002.002</v>
      </c>
      <c r="F1761" s="230">
        <f ca="1">IF($B1761="UNIDADE CONSTRUTIVA",OFFSET(F1761,-1,0)+1,LARGE(F$10:F1760,1))</f>
        <v>2</v>
      </c>
      <c r="G1761" s="228" t="str">
        <f t="shared" ca="1" si="1451"/>
        <v xml:space="preserve">   GERENCIAMENTO EXECUTIVO</v>
      </c>
      <c r="H1761" s="230">
        <f t="shared" ref="H1761:H1792" ca="1" si="1467">IF(B1761="UNIDADE CONSTRUTIVA",0,IF(B1761="CÉLULA CONSTRUTIVA",OFFSET(H1761,-1,0)+1,OFFSET(H1761,-1,0)))</f>
        <v>16</v>
      </c>
      <c r="I1761" s="228" t="str">
        <f t="shared" ca="1" si="1452"/>
        <v xml:space="preserve">   SISTEMAS DE PINTURA INTERNA</v>
      </c>
      <c r="J1761" s="230">
        <f t="shared" ref="J1761:J1792" ca="1" si="1468">IF(B1761="CÉLULA CONSTRUTIVA",0,IF(B1761="ETAPA",OFFSET(J1761,-1,0)+1,OFFSET(J1761,-1,0)))</f>
        <v>2</v>
      </c>
      <c r="K1761" s="228" t="str">
        <f t="shared" ca="1" si="1453"/>
        <v xml:space="preserve">   SISTEMAS DE PINTURA INTERNA - TÉRREO - 2º PAVIMENTO - TÉRREO</v>
      </c>
      <c r="L1761" s="231">
        <f t="shared" ref="L1761:L1792" ca="1" si="1469">IF(B1761="ETAPA",0,IF(B1761="SUBETAPA",OFFSET(L1761,-1,0)+1,OFFSET(L1761,-1,0)))</f>
        <v>3</v>
      </c>
      <c r="M1761" s="228" t="str">
        <f t="shared" ca="1" si="1454"/>
        <v xml:space="preserve">   Sistemas de Pintura Interna em Teto</v>
      </c>
      <c r="N1761" s="231">
        <f t="shared" ref="N1761:N1792" ca="1" si="1470">IF(B1761="Subetapa",0,IF(B1761="serviço",OFFSET(N1761,-1,0)+1,OFFSET(N1761,-1,0)))</f>
        <v>0</v>
      </c>
      <c r="O1761" s="228" t="str">
        <f t="shared" ca="1" si="1455"/>
        <v>Pintura com tinta latex acrilica, acabamento fosco em paredes internas, 3 demaos Áreas Privativas</v>
      </c>
      <c r="P1761" s="232" t="str">
        <f>IF(S1761="","",IF(Orçamento!$B1761="INSUMO",S1761,""))</f>
        <v/>
      </c>
      <c r="Q1761" s="244" t="str">
        <f t="shared" si="1456"/>
        <v/>
      </c>
      <c r="R1761" s="234">
        <f t="shared" ca="1" si="1457"/>
        <v>131.34</v>
      </c>
      <c r="S1761" s="233" t="s">
        <v>500</v>
      </c>
      <c r="T1761" s="242" t="s">
        <v>35</v>
      </c>
      <c r="U1761" s="235" t="str">
        <f>IF($B1761="insumo",R1761,"")</f>
        <v/>
      </c>
      <c r="V1761" s="320" t="s">
        <v>35</v>
      </c>
      <c r="W1761" s="236" t="str">
        <f>IFERROR(IF(B1761="INSUMO",_xlfn.XLOOKUP(S1761,Insumos!A:A,Insumos!C:C),""),"Inserir Preço")</f>
        <v/>
      </c>
      <c r="X1761" s="235" t="str">
        <f t="shared" ca="1" si="1458"/>
        <v/>
      </c>
      <c r="Y1761" s="236" t="str">
        <f t="shared" si="1394"/>
        <v/>
      </c>
      <c r="Z1761" s="237">
        <f t="shared" ca="1" si="1449"/>
        <v>3107.6746659199998</v>
      </c>
      <c r="AA1761" s="238"/>
      <c r="AB1761" s="233" t="str">
        <f>IF(B1761="insumo",_xlfn.XLOOKUP(S1761,Insumos!A:A,Insumos!D:D),"")</f>
        <v/>
      </c>
      <c r="AC1761" s="239">
        <f t="shared" ca="1" si="1450"/>
        <v>4.4582426413174164E-4</v>
      </c>
      <c r="AE1761" s="240">
        <f ca="1">IFERROR(IF(OR(Z1761="",Z1761=0),"",IF(AF1761="","",IF(AF1761="R$/mês",Z1761/OBRA!$D$12,IF(AF1761="R$/m²",Z1761/OBRA!$D$10,IF(AF1761="R$/apto",Orçamento!Z1761/OBRA!$D$11,""))))),"")</f>
        <v>1.5992315196451268</v>
      </c>
      <c r="AF1761" s="241" t="s">
        <v>154</v>
      </c>
    </row>
    <row r="1762" spans="1:32" s="10" customFormat="1" ht="13.15" hidden="1" customHeight="1" outlineLevel="4" x14ac:dyDescent="0.2">
      <c r="A1762" s="227"/>
      <c r="B1762" s="228" t="s">
        <v>4</v>
      </c>
      <c r="C1762" s="229">
        <f t="shared" si="1448"/>
        <v>5</v>
      </c>
      <c r="D1762" s="227" t="str">
        <f t="shared" ca="1" si="1465"/>
        <v>16.002.003.001</v>
      </c>
      <c r="E1762" s="228" t="str">
        <f t="shared" ca="1" si="1466"/>
        <v>16.002.003.001</v>
      </c>
      <c r="F1762" s="230">
        <f ca="1">IF($B1762="UNIDADE CONSTRUTIVA",OFFSET(F1762,-1,0)+1,LARGE(F$10:F1761,1))</f>
        <v>2</v>
      </c>
      <c r="G1762" s="228" t="str">
        <f t="shared" ca="1" si="1451"/>
        <v xml:space="preserve">   GERENCIAMENTO EXECUTIVO</v>
      </c>
      <c r="H1762" s="230">
        <f t="shared" ca="1" si="1467"/>
        <v>16</v>
      </c>
      <c r="I1762" s="228" t="str">
        <f t="shared" ca="1" si="1452"/>
        <v xml:space="preserve">   SISTEMAS DE PINTURA INTERNA</v>
      </c>
      <c r="J1762" s="230">
        <f t="shared" ca="1" si="1468"/>
        <v>2</v>
      </c>
      <c r="K1762" s="228" t="str">
        <f t="shared" ca="1" si="1453"/>
        <v xml:space="preserve">   SISTEMAS DE PINTURA INTERNA - TÉRREO - 2º PAVIMENTO - TÉRREO</v>
      </c>
      <c r="L1762" s="231">
        <f t="shared" ca="1" si="1469"/>
        <v>3</v>
      </c>
      <c r="M1762" s="228" t="str">
        <f t="shared" ca="1" si="1454"/>
        <v xml:space="preserve">   Sistemas de Pintura Interna em Teto</v>
      </c>
      <c r="N1762" s="231">
        <f t="shared" ca="1" si="1470"/>
        <v>1</v>
      </c>
      <c r="O1762" s="228" t="str">
        <f t="shared" ca="1" si="1455"/>
        <v>Pintura com tinta latex acrilica, acabamento fosco em teto, 3 demaos</v>
      </c>
      <c r="P1762" s="232" t="str">
        <f>IF(S1762="","",IF(Orçamento!$B1762="INSUMO",S1762,""))</f>
        <v/>
      </c>
      <c r="Q1762" s="244" t="str">
        <f t="shared" si="1456"/>
        <v>Pintura com tinta latex acrilica, acabamento fosco em teto, 3 demaos</v>
      </c>
      <c r="R1762" s="234">
        <f t="shared" ca="1" si="1457"/>
        <v>196.96</v>
      </c>
      <c r="S1762" s="233" t="s">
        <v>501</v>
      </c>
      <c r="T1762" s="242" t="s">
        <v>140</v>
      </c>
      <c r="U1762" s="235">
        <v>196.96</v>
      </c>
      <c r="V1762" s="320" t="s">
        <v>35</v>
      </c>
      <c r="W1762" s="236" t="str">
        <f>IFERROR(IF(B1762="INSUMO",_xlfn.XLOOKUP(S1762,Insumos!A:A,Insumos!C:C),""),"Inserir Preço")</f>
        <v/>
      </c>
      <c r="X1762" s="235">
        <f t="shared" ca="1" si="1458"/>
        <v>196.96</v>
      </c>
      <c r="Y1762" s="236">
        <f t="shared" ca="1" si="1394"/>
        <v>15.778202000000002</v>
      </c>
      <c r="Z1762" s="237">
        <f t="shared" ca="1" si="1449"/>
        <v>3107.6746659200007</v>
      </c>
      <c r="AA1762" s="238"/>
      <c r="AB1762" s="233" t="str">
        <f>IF(B1762="insumo",_xlfn.XLOOKUP(S1762,Insumos!A:A,Insumos!D:D),"")</f>
        <v/>
      </c>
      <c r="AC1762" s="239">
        <f t="shared" ca="1" si="1450"/>
        <v>4.4582426413174181E-4</v>
      </c>
      <c r="AE1762" s="240">
        <f ca="1">IFERROR(IF(OR(Z1762="",Z1762=0),"",IF(AF1762="","",IF(AF1762="R$/mês",Z1762/OBRA!$D$12,IF(AF1762="R$/m²",Z1762/OBRA!$D$10,IF(AF1762="R$/apto",Orçamento!Z1762/OBRA!$D$11,""))))),"")</f>
        <v>1.5992315196451272</v>
      </c>
      <c r="AF1762" s="241" t="s">
        <v>154</v>
      </c>
    </row>
    <row r="1763" spans="1:32" s="10" customFormat="1" ht="13.15" hidden="1" customHeight="1" outlineLevel="4" x14ac:dyDescent="0.2">
      <c r="A1763" s="227"/>
      <c r="B1763" s="228" t="s">
        <v>19</v>
      </c>
      <c r="C1763" s="229">
        <f t="shared" si="1448"/>
        <v>12</v>
      </c>
      <c r="D1763" s="227" t="str">
        <f>IF(B1763="Unidade Construtiva",TEXT(F1763,"00"),IF(B1763="Célula Construtiva",TEXT(H1763,"00"),IF(B1763="Etapa",CONCATENATE(TEXT(H1763,"00"),".",TEXT(J1763,"000")),IF(B1763="Subetapa",CONCATENATE(TEXT(H1763,"00"),".",TEXT(J1763,"000"),".",TEXT(L1763,"000")),IF(B1763="Serviço",CONCATENATE(TEXT(H1763,"00"),".",TEXT(J1763,"000"),".",TEXT(L1763,"000"),".",TEXT(N1763,"000")),"")))))</f>
        <v/>
      </c>
      <c r="E1763" s="228" t="str">
        <f ca="1">IF(B1763="*","",IFERROR(IF(B1763="SERVIÇO",D1763,OFFSET(E1763,-1,0)),""))</f>
        <v>16.002.003.001</v>
      </c>
      <c r="F1763" s="230">
        <f ca="1">IF($B1763="UNIDADE CONSTRUTIVA",OFFSET(F1763,-1,0)+1,LARGE(F$10:F1762,1))</f>
        <v>2</v>
      </c>
      <c r="G1763" s="228" t="str">
        <f ca="1">IF(B1763="*","",IF(B1763="UNIDADE CONSTRUTIVA",S1763,OFFSET(G1763,-1,0)))</f>
        <v xml:space="preserve">   GERENCIAMENTO EXECUTIVO</v>
      </c>
      <c r="H1763" s="230">
        <f ca="1">IF(B1763="UNIDADE CONSTRUTIVA",0,IF(B1763="CÉLULA CONSTRUTIVA",OFFSET(H1763,-1,0)+1,OFFSET(H1763,-1,0)))</f>
        <v>16</v>
      </c>
      <c r="I1763" s="228" t="str">
        <f ca="1">IF(B1763="*","",IF(B1763="CÉLULA CONSTRUTIVA",S1763,OFFSET(I1763,-1,0)))</f>
        <v xml:space="preserve">   SISTEMAS DE PINTURA INTERNA</v>
      </c>
      <c r="J1763" s="230">
        <f ca="1">IF(B1763="CÉLULA CONSTRUTIVA",0,IF(B1763="ETAPA",OFFSET(J1763,-1,0)+1,OFFSET(J1763,-1,0)))</f>
        <v>2</v>
      </c>
      <c r="K1763" s="228" t="str">
        <f ca="1">IF(B1763="*","",IF(B1763="ETAPA",S1763,OFFSET(K1763,-1,0)))</f>
        <v xml:space="preserve">   SISTEMAS DE PINTURA INTERNA - TÉRREO - 2º PAVIMENTO - TÉRREO</v>
      </c>
      <c r="L1763" s="231">
        <f ca="1">IF(B1763="ETAPA",0,IF(B1763="SUBETAPA",OFFSET(L1763,-1,0)+1,OFFSET(L1763,-1,0)))</f>
        <v>3</v>
      </c>
      <c r="M1763" s="228" t="str">
        <f ca="1">IF(B1763="*","",IF(B1763="SUBETAPA",S1763,OFFSET(M1763,-1,0)))</f>
        <v xml:space="preserve">   Sistemas de Pintura Interna em Teto</v>
      </c>
      <c r="N1763" s="231">
        <f ca="1">IF(B1763="Subetapa",0,IF(B1763="serviço",OFFSET(N1763,-1,0)+1,OFFSET(N1763,-1,0)))</f>
        <v>1</v>
      </c>
      <c r="O1763" s="228" t="str">
        <f ca="1">IF(B1763="*","",IF(B1763="SERVIÇO",S1763,OFFSET(O1763,-1,0)))</f>
        <v>Pintura com tinta latex acrilica, acabamento fosco em teto, 3 demaos</v>
      </c>
      <c r="P1763" s="232" t="str">
        <f>IF(S1763="","",IF(Orçamento!$B1763="INSUMO",S1763,""))</f>
        <v>MASSA CORRIDA PVA</v>
      </c>
      <c r="Q1763" s="244" t="str">
        <f>IF(B1763="","",IF(B1763="Serviço",S1763,""))</f>
        <v/>
      </c>
      <c r="R1763" s="234">
        <f ca="1">IF(B1763="serviço",U1763,OFFSET(R1763,-1,0))</f>
        <v>196.96</v>
      </c>
      <c r="S1763" s="233" t="s">
        <v>338</v>
      </c>
      <c r="T1763" s="242" t="str">
        <f>_xlfn.XLOOKUP(S1763,Insumos!$A$3:$A$371,Insumos!$B$3:$B$371)</f>
        <v>L</v>
      </c>
      <c r="U1763" s="235">
        <f ca="1">IF($B1763="insumo",R1763,"")</f>
        <v>196.96</v>
      </c>
      <c r="V1763" s="320">
        <v>0.88019999999999998</v>
      </c>
      <c r="W1763" s="236">
        <f>IFERROR(IF(B1763="INSUMO",_xlfn.XLOOKUP(S1763,Insumos!A:A,Insumos!C:C),""),"Inserir Preço")</f>
        <v>1.26</v>
      </c>
      <c r="X1763" s="235">
        <f t="shared" ca="1" si="1458"/>
        <v>173.364192</v>
      </c>
      <c r="Y1763" s="236">
        <f t="shared" si="1394"/>
        <v>1.1090519999999999</v>
      </c>
      <c r="Z1763" s="237">
        <f t="shared" ca="1" si="1449"/>
        <v>218.43888192</v>
      </c>
      <c r="AA1763" s="238"/>
      <c r="AB1763" s="233" t="str">
        <f>IF(B1763="insumo",_xlfn.XLOOKUP(S1763,Insumos!A:A,Insumos!D:D),"")</f>
        <v xml:space="preserve"> </v>
      </c>
      <c r="AC1763" s="239">
        <f t="shared" ca="1" si="1450"/>
        <v>3.1337049163386065E-5</v>
      </c>
      <c r="AE1763" s="240">
        <f ca="1">IFERROR(IF(OR(Z1763="",Z1763=0),"",IF(AF1763="","",IF(AF1763="R$/mês",Z1763/OBRA!$D$12,IF(AF1763="R$/m²",Z1763/OBRA!$D$10,IF(AF1763="R$/apto",Orçamento!Z1763/OBRA!$D$11,""))))),"")</f>
        <v>0.11241020461808432</v>
      </c>
      <c r="AF1763" s="241" t="s">
        <v>154</v>
      </c>
    </row>
    <row r="1764" spans="1:32" s="10" customFormat="1" ht="13.15" hidden="1" customHeight="1" outlineLevel="4" x14ac:dyDescent="0.2">
      <c r="A1764" s="227"/>
      <c r="B1764" s="228" t="s">
        <v>19</v>
      </c>
      <c r="C1764" s="229">
        <f t="shared" si="1448"/>
        <v>19</v>
      </c>
      <c r="D1764" s="227" t="str">
        <f>IF(B1764="Unidade Construtiva",TEXT(F1764,"00"),IF(B1764="Célula Construtiva",TEXT(H1764,"00"),IF(B1764="Etapa",CONCATENATE(TEXT(H1764,"00"),".",TEXT(J1764,"000")),IF(B1764="Subetapa",CONCATENATE(TEXT(H1764,"00"),".",TEXT(J1764,"000"),".",TEXT(L1764,"000")),IF(B1764="Serviço",CONCATENATE(TEXT(H1764,"00"),".",TEXT(J1764,"000"),".",TEXT(L1764,"000"),".",TEXT(N1764,"000")),"")))))</f>
        <v/>
      </c>
      <c r="E1764" s="228" t="str">
        <f ca="1">IF(B1764="*","",IFERROR(IF(B1764="SERVIÇO",D1764,OFFSET(E1764,-1,0)),""))</f>
        <v>16.002.003.001</v>
      </c>
      <c r="F1764" s="230">
        <f ca="1">IF($B1764="UNIDADE CONSTRUTIVA",OFFSET(F1764,-1,0)+1,LARGE(F$10:F1763,1))</f>
        <v>2</v>
      </c>
      <c r="G1764" s="228" t="str">
        <f ca="1">IF(B1764="*","",IF(B1764="UNIDADE CONSTRUTIVA",S1764,OFFSET(G1764,-1,0)))</f>
        <v xml:space="preserve">   GERENCIAMENTO EXECUTIVO</v>
      </c>
      <c r="H1764" s="230">
        <f ca="1">IF(B1764="UNIDADE CONSTRUTIVA",0,IF(B1764="CÉLULA CONSTRUTIVA",OFFSET(H1764,-1,0)+1,OFFSET(H1764,-1,0)))</f>
        <v>16</v>
      </c>
      <c r="I1764" s="228" t="str">
        <f ca="1">IF(B1764="*","",IF(B1764="CÉLULA CONSTRUTIVA",S1764,OFFSET(I1764,-1,0)))</f>
        <v xml:space="preserve">   SISTEMAS DE PINTURA INTERNA</v>
      </c>
      <c r="J1764" s="230">
        <f ca="1">IF(B1764="CÉLULA CONSTRUTIVA",0,IF(B1764="ETAPA",OFFSET(J1764,-1,0)+1,OFFSET(J1764,-1,0)))</f>
        <v>2</v>
      </c>
      <c r="K1764" s="228" t="str">
        <f ca="1">IF(B1764="*","",IF(B1764="ETAPA",S1764,OFFSET(K1764,-1,0)))</f>
        <v xml:space="preserve">   SISTEMAS DE PINTURA INTERNA - TÉRREO - 2º PAVIMENTO - TÉRREO</v>
      </c>
      <c r="L1764" s="231">
        <f ca="1">IF(B1764="ETAPA",0,IF(B1764="SUBETAPA",OFFSET(L1764,-1,0)+1,OFFSET(L1764,-1,0)))</f>
        <v>3</v>
      </c>
      <c r="M1764" s="228" t="str">
        <f ca="1">IF(B1764="*","",IF(B1764="SUBETAPA",S1764,OFFSET(M1764,-1,0)))</f>
        <v xml:space="preserve">   Sistemas de Pintura Interna em Teto</v>
      </c>
      <c r="N1764" s="231">
        <f ca="1">IF(B1764="Subetapa",0,IF(B1764="serviço",OFFSET(N1764,-1,0)+1,OFFSET(N1764,-1,0)))</f>
        <v>1</v>
      </c>
      <c r="O1764" s="228" t="str">
        <f ca="1">IF(B1764="*","",IF(B1764="SERVIÇO",S1764,OFFSET(O1764,-1,0)))</f>
        <v>Pintura com tinta latex acrilica, acabamento fosco em teto, 3 demaos</v>
      </c>
      <c r="P1764" s="232" t="str">
        <f>IF(S1764="","",IF(Orçamento!$B1764="INSUMO",S1764,""))</f>
        <v>LIXA EM FOLHA PARA PAREDE OU MADEIRA N° 120</v>
      </c>
      <c r="Q1764" s="244" t="str">
        <f>IF(B1764="","",IF(B1764="Serviço",S1764,""))</f>
        <v/>
      </c>
      <c r="R1764" s="234">
        <f ca="1">IF(B1764="serviço",U1764,OFFSET(R1764,-1,0))</f>
        <v>196.96</v>
      </c>
      <c r="S1764" s="233" t="s">
        <v>922</v>
      </c>
      <c r="T1764" s="242" t="str">
        <f>_xlfn.XLOOKUP(S1764,Insumos!$A$3:$A$371,Insumos!$B$3:$B$371)</f>
        <v>UN</v>
      </c>
      <c r="U1764" s="235">
        <f ca="1">IF($B1764="insumo",R1764,"")</f>
        <v>196.96</v>
      </c>
      <c r="V1764" s="320">
        <v>0.1</v>
      </c>
      <c r="W1764" s="236">
        <f>IFERROR(IF(B1764="INSUMO",_xlfn.XLOOKUP(S1764,Insumos!A:A,Insumos!C:C),""),"Inserir Preço")</f>
        <v>2.2999999999999998</v>
      </c>
      <c r="X1764" s="235">
        <f t="shared" ca="1" si="1458"/>
        <v>19.696000000000002</v>
      </c>
      <c r="Y1764" s="236">
        <f t="shared" si="1394"/>
        <v>0.22999999999999998</v>
      </c>
      <c r="Z1764" s="237">
        <f t="shared" ca="1" si="1449"/>
        <v>45.300800000000002</v>
      </c>
      <c r="AA1764" s="238"/>
      <c r="AB1764" s="233" t="str">
        <f>IF(B1764="insumo",_xlfn.XLOOKUP(S1764,Insumos!A:A,Insumos!D:D),"")</f>
        <v xml:space="preserve"> </v>
      </c>
      <c r="AC1764" s="239">
        <f t="shared" ca="1" si="1450"/>
        <v>6.4988127766586199E-6</v>
      </c>
      <c r="AE1764" s="240">
        <f ca="1">IFERROR(IF(OR(Z1764="",Z1764=0),"",IF(AF1764="","",IF(AF1764="R$/mês",Z1764/OBRA!$D$12,IF(AF1764="R$/m²",Z1764/OBRA!$D$10,IF(AF1764="R$/apto",Orçamento!Z1764/OBRA!$D$11,""))))),"")</f>
        <v>2.3312114366287058E-2</v>
      </c>
      <c r="AF1764" s="241" t="s">
        <v>154</v>
      </c>
    </row>
    <row r="1765" spans="1:32" s="10" customFormat="1" ht="13.15" hidden="1" customHeight="1" outlineLevel="4" x14ac:dyDescent="0.2">
      <c r="A1765" s="227"/>
      <c r="B1765" s="228" t="s">
        <v>19</v>
      </c>
      <c r="C1765" s="229">
        <f t="shared" si="1448"/>
        <v>13</v>
      </c>
      <c r="D1765" s="227" t="str">
        <f>IF(B1765="Unidade Construtiva",TEXT(F1765,"00"),IF(B1765="Célula Construtiva",TEXT(H1765,"00"),IF(B1765="Etapa",CONCATENATE(TEXT(H1765,"00"),".",TEXT(J1765,"000")),IF(B1765="Subetapa",CONCATENATE(TEXT(H1765,"00"),".",TEXT(J1765,"000"),".",TEXT(L1765,"000")),IF(B1765="Serviço",CONCATENATE(TEXT(H1765,"00"),".",TEXT(J1765,"000"),".",TEXT(L1765,"000"),".",TEXT(N1765,"000")),"")))))</f>
        <v/>
      </c>
      <c r="E1765" s="228" t="str">
        <f ca="1">IF(B1765="*","",IFERROR(IF(B1765="SERVIÇO",D1765,OFFSET(E1765,-1,0)),""))</f>
        <v>16.002.003.001</v>
      </c>
      <c r="F1765" s="230">
        <f ca="1">IF($B1765="UNIDADE CONSTRUTIVA",OFFSET(F1765,-1,0)+1,LARGE(F$10:F1764,1))</f>
        <v>2</v>
      </c>
      <c r="G1765" s="228" t="str">
        <f ca="1">IF(B1765="*","",IF(B1765="UNIDADE CONSTRUTIVA",S1765,OFFSET(G1765,-1,0)))</f>
        <v xml:space="preserve">   GERENCIAMENTO EXECUTIVO</v>
      </c>
      <c r="H1765" s="230">
        <f ca="1">IF(B1765="UNIDADE CONSTRUTIVA",0,IF(B1765="CÉLULA CONSTRUTIVA",OFFSET(H1765,-1,0)+1,OFFSET(H1765,-1,0)))</f>
        <v>16</v>
      </c>
      <c r="I1765" s="228" t="str">
        <f ca="1">IF(B1765="*","",IF(B1765="CÉLULA CONSTRUTIVA",S1765,OFFSET(I1765,-1,0)))</f>
        <v xml:space="preserve">   SISTEMAS DE PINTURA INTERNA</v>
      </c>
      <c r="J1765" s="230">
        <f ca="1">IF(B1765="CÉLULA CONSTRUTIVA",0,IF(B1765="ETAPA",OFFSET(J1765,-1,0)+1,OFFSET(J1765,-1,0)))</f>
        <v>2</v>
      </c>
      <c r="K1765" s="228" t="str">
        <f ca="1">IF(B1765="*","",IF(B1765="ETAPA",S1765,OFFSET(K1765,-1,0)))</f>
        <v xml:space="preserve">   SISTEMAS DE PINTURA INTERNA - TÉRREO - 2º PAVIMENTO - TÉRREO</v>
      </c>
      <c r="L1765" s="231">
        <f ca="1">IF(B1765="ETAPA",0,IF(B1765="SUBETAPA",OFFSET(L1765,-1,0)+1,OFFSET(L1765,-1,0)))</f>
        <v>3</v>
      </c>
      <c r="M1765" s="228" t="str">
        <f ca="1">IF(B1765="*","",IF(B1765="SUBETAPA",S1765,OFFSET(M1765,-1,0)))</f>
        <v xml:space="preserve">   Sistemas de Pintura Interna em Teto</v>
      </c>
      <c r="N1765" s="231">
        <f ca="1">IF(B1765="Subetapa",0,IF(B1765="serviço",OFFSET(N1765,-1,0)+1,OFFSET(N1765,-1,0)))</f>
        <v>1</v>
      </c>
      <c r="O1765" s="228" t="str">
        <f ca="1">IF(B1765="*","",IF(B1765="SERVIÇO",S1765,OFFSET(O1765,-1,0)))</f>
        <v>Pintura com tinta latex acrilica, acabamento fosco em teto, 3 demaos</v>
      </c>
      <c r="P1765" s="232" t="str">
        <f>IF(S1765="","",IF(Orçamento!$B1765="INSUMO",S1765,""))</f>
        <v>TINTA ACRILICO PREMIUM FOSCO</v>
      </c>
      <c r="Q1765" s="244" t="str">
        <f>IF(B1765="","",IF(B1765="Serviço",S1765,""))</f>
        <v/>
      </c>
      <c r="R1765" s="234">
        <f ca="1">IF(B1765="serviço",U1765,OFFSET(R1765,-1,0))</f>
        <v>196.96</v>
      </c>
      <c r="S1765" s="233" t="s">
        <v>264</v>
      </c>
      <c r="T1765" s="242" t="str">
        <f>_xlfn.XLOOKUP(S1765,Insumos!$A$3:$A$371,Insumos!$B$3:$B$371)</f>
        <v>L</v>
      </c>
      <c r="U1765" s="235">
        <f ca="1">IF($B1765="insumo",R1765,"")</f>
        <v>196.96</v>
      </c>
      <c r="V1765" s="320">
        <v>0.495</v>
      </c>
      <c r="W1765" s="236">
        <f>IFERROR(IF(B1765="INSUMO",_xlfn.XLOOKUP(S1765,Insumos!A:A,Insumos!C:C),""),"Inserir Preço")</f>
        <v>29.17</v>
      </c>
      <c r="X1765" s="235">
        <f t="shared" ca="1" si="1458"/>
        <v>97.495199999999997</v>
      </c>
      <c r="Y1765" s="236">
        <f t="shared" si="1394"/>
        <v>14.439150000000001</v>
      </c>
      <c r="Z1765" s="237">
        <f t="shared" ca="1" si="1449"/>
        <v>2843.934984</v>
      </c>
      <c r="AA1765" s="238"/>
      <c r="AB1765" s="233" t="str">
        <f>IF(B1765="insumo",_xlfn.XLOOKUP(S1765,Insumos!A:A,Insumos!D:D),"")</f>
        <v xml:space="preserve"> </v>
      </c>
      <c r="AC1765" s="239">
        <f t="shared" ca="1" si="1450"/>
        <v>4.0798840219169702E-4</v>
      </c>
      <c r="AE1765" s="240">
        <f ca="1">IFERROR(IF(OR(Z1765="",Z1765=0),"",IF(AF1765="","",IF(AF1765="R$/mês",Z1765/OBRA!$D$12,IF(AF1765="R$/m²",Z1765/OBRA!$D$10,IF(AF1765="R$/apto",Orçamento!Z1765/OBRA!$D$11,""))))),"")</f>
        <v>1.4635092006607555</v>
      </c>
      <c r="AF1765" s="241" t="s">
        <v>154</v>
      </c>
    </row>
    <row r="1766" spans="1:32" s="10" customFormat="1" ht="13.15" hidden="1" customHeight="1" outlineLevel="3" collapsed="1" x14ac:dyDescent="0.2">
      <c r="A1766" s="227"/>
      <c r="B1766" s="228" t="s">
        <v>3</v>
      </c>
      <c r="C1766" s="229" t="str">
        <f t="shared" si="1448"/>
        <v/>
      </c>
      <c r="D1766" s="227" t="str">
        <f t="shared" ca="1" si="1465"/>
        <v>16.002.004</v>
      </c>
      <c r="E1766" s="228" t="str">
        <f t="shared" ca="1" si="1466"/>
        <v>16.002.003.001</v>
      </c>
      <c r="F1766" s="230">
        <f ca="1">IF($B1766="UNIDADE CONSTRUTIVA",OFFSET(F1766,-1,0)+1,LARGE(F$10:F1765,1))</f>
        <v>2</v>
      </c>
      <c r="G1766" s="228" t="str">
        <f t="shared" ca="1" si="1451"/>
        <v xml:space="preserve">   GERENCIAMENTO EXECUTIVO</v>
      </c>
      <c r="H1766" s="230">
        <f t="shared" ca="1" si="1467"/>
        <v>16</v>
      </c>
      <c r="I1766" s="228" t="str">
        <f t="shared" ca="1" si="1452"/>
        <v xml:space="preserve">   SISTEMAS DE PINTURA INTERNA</v>
      </c>
      <c r="J1766" s="230">
        <f t="shared" ca="1" si="1468"/>
        <v>2</v>
      </c>
      <c r="K1766" s="228" t="str">
        <f t="shared" ca="1" si="1453"/>
        <v xml:space="preserve">   SISTEMAS DE PINTURA INTERNA - TÉRREO - 2º PAVIMENTO - TÉRREO</v>
      </c>
      <c r="L1766" s="231">
        <f t="shared" ca="1" si="1469"/>
        <v>4</v>
      </c>
      <c r="M1766" s="228" t="str">
        <f t="shared" ca="1" si="1454"/>
        <v xml:space="preserve">   Mão de Obra</v>
      </c>
      <c r="N1766" s="231">
        <f t="shared" ca="1" si="1470"/>
        <v>0</v>
      </c>
      <c r="O1766" s="228" t="str">
        <f t="shared" ca="1" si="1455"/>
        <v>Pintura com tinta latex acrilica, acabamento fosco em teto, 3 demaos</v>
      </c>
      <c r="P1766" s="232" t="str">
        <f>IF(S1766="","",IF(Orçamento!$B1766="INSUMO",S1766,""))</f>
        <v/>
      </c>
      <c r="Q1766" s="244" t="str">
        <f t="shared" si="1456"/>
        <v/>
      </c>
      <c r="R1766" s="234">
        <f t="shared" ca="1" si="1457"/>
        <v>196.96</v>
      </c>
      <c r="S1766" s="233" t="s">
        <v>438</v>
      </c>
      <c r="T1766" s="242" t="s">
        <v>35</v>
      </c>
      <c r="U1766" s="235" t="str">
        <f>IF($B1766="insumo",R1766,"")</f>
        <v/>
      </c>
      <c r="V1766" s="320" t="s">
        <v>35</v>
      </c>
      <c r="W1766" s="236" t="str">
        <f>IFERROR(IF(B1766="INSUMO",_xlfn.XLOOKUP(S1766,Insumos!A:A,Insumos!C:C),""),"Inserir Preço")</f>
        <v/>
      </c>
      <c r="X1766" s="235" t="str">
        <f t="shared" ca="1" si="1458"/>
        <v/>
      </c>
      <c r="Y1766" s="236" t="str">
        <f t="shared" si="1394"/>
        <v/>
      </c>
      <c r="Z1766" s="237">
        <f t="shared" ca="1" si="1449"/>
        <v>24562.164648265203</v>
      </c>
      <c r="AA1766" s="238"/>
      <c r="AB1766" s="233" t="str">
        <f>IF(B1766="insumo",_xlfn.XLOOKUP(S1766,Insumos!A:A,Insumos!D:D),"")</f>
        <v/>
      </c>
      <c r="AC1766" s="239">
        <f t="shared" ca="1" si="1450"/>
        <v>3.5236664570722498E-3</v>
      </c>
      <c r="AE1766" s="240">
        <f ca="1">IFERROR(IF(OR(Z1766="",Z1766=0),"",IF(AF1766="","",IF(AF1766="R$/mês",Z1766/OBRA!$D$12,IF(AF1766="R$/m²",Z1766/OBRA!$D$10,IF(AF1766="R$/apto",Orçamento!Z1766/OBRA!$D$11,""))))),"")</f>
        <v>12.639864889007066</v>
      </c>
      <c r="AF1766" s="241" t="s">
        <v>154</v>
      </c>
    </row>
    <row r="1767" spans="1:32" s="10" customFormat="1" ht="13.15" hidden="1" customHeight="1" outlineLevel="4" x14ac:dyDescent="0.2">
      <c r="A1767" s="227"/>
      <c r="B1767" s="228" t="s">
        <v>4</v>
      </c>
      <c r="C1767" s="229">
        <f t="shared" si="1448"/>
        <v>5</v>
      </c>
      <c r="D1767" s="227" t="str">
        <f t="shared" ref="D1767:D1772" ca="1" si="1471">IF(B1767="Unidade Construtiva",TEXT(F1767,"00"),IF(B1767="Célula Construtiva",TEXT(H1767,"00"),IF(B1767="Etapa",CONCATENATE(TEXT(H1767,"00"),".",TEXT(J1767,"000")),IF(B1767="Subetapa",CONCATENATE(TEXT(H1767,"00"),".",TEXT(J1767,"000"),".",TEXT(L1767,"000")),IF(B1767="Serviço",CONCATENATE(TEXT(H1767,"00"),".",TEXT(J1767,"000"),".",TEXT(L1767,"000"),".",TEXT(N1767,"000")),"")))))</f>
        <v>16.002.004.001</v>
      </c>
      <c r="E1767" s="228" t="str">
        <f t="shared" ref="E1767:E1772" ca="1" si="1472">IF(B1767="*","",IFERROR(IF(B1767="SERVIÇO",D1767,OFFSET(E1767,-1,0)),""))</f>
        <v>16.002.004.001</v>
      </c>
      <c r="F1767" s="230">
        <f ca="1">IF($B1767="UNIDADE CONSTRUTIVA",OFFSET(F1767,-1,0)+1,LARGE(F$10:F1766,1))</f>
        <v>2</v>
      </c>
      <c r="G1767" s="228" t="str">
        <f t="shared" ca="1" si="1451"/>
        <v xml:space="preserve">   GERENCIAMENTO EXECUTIVO</v>
      </c>
      <c r="H1767" s="230">
        <f t="shared" ref="H1767:H1772" ca="1" si="1473">IF(B1767="UNIDADE CONSTRUTIVA",0,IF(B1767="CÉLULA CONSTRUTIVA",OFFSET(H1767,-1,0)+1,OFFSET(H1767,-1,0)))</f>
        <v>16</v>
      </c>
      <c r="I1767" s="228" t="str">
        <f t="shared" ca="1" si="1452"/>
        <v xml:space="preserve">   SISTEMAS DE PINTURA INTERNA</v>
      </c>
      <c r="J1767" s="230">
        <f t="shared" ref="J1767:J1772" ca="1" si="1474">IF(B1767="CÉLULA CONSTRUTIVA",0,IF(B1767="ETAPA",OFFSET(J1767,-1,0)+1,OFFSET(J1767,-1,0)))</f>
        <v>2</v>
      </c>
      <c r="K1767" s="228" t="str">
        <f t="shared" ca="1" si="1453"/>
        <v xml:space="preserve">   SISTEMAS DE PINTURA INTERNA - TÉRREO - 2º PAVIMENTO - TÉRREO</v>
      </c>
      <c r="L1767" s="231">
        <f t="shared" ref="L1767:L1772" ca="1" si="1475">IF(B1767="ETAPA",0,IF(B1767="SUBETAPA",OFFSET(L1767,-1,0)+1,OFFSET(L1767,-1,0)))</f>
        <v>4</v>
      </c>
      <c r="M1767" s="228" t="str">
        <f t="shared" ca="1" si="1454"/>
        <v xml:space="preserve">   Mão de Obra</v>
      </c>
      <c r="N1767" s="231">
        <f t="shared" ref="N1767:N1772" ca="1" si="1476">IF(B1767="Subetapa",0,IF(B1767="serviço",OFFSET(N1767,-1,0)+1,OFFSET(N1767,-1,0)))</f>
        <v>1</v>
      </c>
      <c r="O1767" s="228" t="str">
        <f t="shared" ca="1" si="1455"/>
        <v>Mao de obra para pintura acrilica em paredes</v>
      </c>
      <c r="P1767" s="232" t="str">
        <f>IF(S1767="","",IF(Orçamento!$B1767="INSUMO",S1767,""))</f>
        <v/>
      </c>
      <c r="Q1767" s="244" t="str">
        <f t="shared" si="1456"/>
        <v>Mao de obra para pintura acrilica em paredes</v>
      </c>
      <c r="R1767" s="234">
        <f t="shared" ca="1" si="1457"/>
        <v>353.24400000000003</v>
      </c>
      <c r="S1767" s="233" t="s">
        <v>740</v>
      </c>
      <c r="T1767" s="242" t="s">
        <v>140</v>
      </c>
      <c r="U1767" s="235">
        <f>U1753+U1757</f>
        <v>353.24400000000003</v>
      </c>
      <c r="V1767" s="320" t="s">
        <v>35</v>
      </c>
      <c r="W1767" s="236" t="str">
        <f>IFERROR(IF(B1767="INSUMO",_xlfn.XLOOKUP(S1767,Insumos!A:A,Insumos!C:C),""),"Inserir Preço")</f>
        <v/>
      </c>
      <c r="X1767" s="235">
        <f t="shared" ca="1" si="1458"/>
        <v>353.24400000000003</v>
      </c>
      <c r="Y1767" s="236">
        <f t="shared" ca="1" si="1394"/>
        <v>38.187489622964783</v>
      </c>
      <c r="Z1767" s="237">
        <f t="shared" ca="1" si="1449"/>
        <v>13489.501584374573</v>
      </c>
      <c r="AA1767" s="238"/>
      <c r="AB1767" s="233" t="str">
        <f>IF(B1767="insumo",_xlfn.XLOOKUP(S1767,Insumos!A:A,Insumos!D:D),"")</f>
        <v/>
      </c>
      <c r="AC1767" s="239">
        <f t="shared" ca="1" si="1450"/>
        <v>1.9351919888233799E-3</v>
      </c>
      <c r="AE1767" s="240">
        <f ca="1">IFERROR(IF(OR(Z1767="",Z1767=0),"",IF(AF1767="","",IF(AF1767="R$/mês",Z1767/OBRA!$D$12,IF(AF1767="R$/m²",Z1767/OBRA!$D$10,IF(AF1767="R$/apto",Orçamento!Z1767/OBRA!$D$11,""))))),"")</f>
        <v>6.9417936036262171</v>
      </c>
      <c r="AF1767" s="241" t="s">
        <v>154</v>
      </c>
    </row>
    <row r="1768" spans="1:32" s="10" customFormat="1" ht="13.15" hidden="1" customHeight="1" outlineLevel="4" x14ac:dyDescent="0.2">
      <c r="A1768" s="227"/>
      <c r="B1768" s="228" t="s">
        <v>19</v>
      </c>
      <c r="C1768" s="229">
        <f t="shared" si="1448"/>
        <v>5</v>
      </c>
      <c r="D1768" s="227" t="str">
        <f t="shared" si="1471"/>
        <v/>
      </c>
      <c r="E1768" s="228" t="str">
        <f t="shared" ca="1" si="1472"/>
        <v>16.002.004.001</v>
      </c>
      <c r="F1768" s="230">
        <f ca="1">IF($B1768="UNIDADE CONSTRUTIVA",OFFSET(F1768,-1,0)+1,LARGE(F$10:F1767,1))</f>
        <v>2</v>
      </c>
      <c r="G1768" s="228" t="str">
        <f t="shared" ca="1" si="1451"/>
        <v xml:space="preserve">   GERENCIAMENTO EXECUTIVO</v>
      </c>
      <c r="H1768" s="230">
        <f t="shared" ca="1" si="1473"/>
        <v>16</v>
      </c>
      <c r="I1768" s="228" t="str">
        <f t="shared" ca="1" si="1452"/>
        <v xml:space="preserve">   SISTEMAS DE PINTURA INTERNA</v>
      </c>
      <c r="J1768" s="230">
        <f t="shared" ca="1" si="1474"/>
        <v>2</v>
      </c>
      <c r="K1768" s="228" t="str">
        <f t="shared" ca="1" si="1453"/>
        <v xml:space="preserve">   SISTEMAS DE PINTURA INTERNA - TÉRREO - 2º PAVIMENTO - TÉRREO</v>
      </c>
      <c r="L1768" s="231">
        <f t="shared" ca="1" si="1475"/>
        <v>4</v>
      </c>
      <c r="M1768" s="228" t="str">
        <f t="shared" ca="1" si="1454"/>
        <v xml:space="preserve">   Mão de Obra</v>
      </c>
      <c r="N1768" s="231">
        <f t="shared" ca="1" si="1476"/>
        <v>1</v>
      </c>
      <c r="O1768" s="228" t="str">
        <f t="shared" ca="1" si="1455"/>
        <v>Mao de obra para pintura acrilica em paredes</v>
      </c>
      <c r="P1768" s="232" t="str">
        <f>IF(S1768="","",IF(Orçamento!$B1768="INSUMO",S1768,""))</f>
        <v>MAO DE OBRA APLICACAO DE PINTURA EM PAREDES - 3 DEMAO</v>
      </c>
      <c r="Q1768" s="244" t="str">
        <f t="shared" si="1456"/>
        <v/>
      </c>
      <c r="R1768" s="234">
        <f t="shared" ca="1" si="1457"/>
        <v>353.24400000000003</v>
      </c>
      <c r="S1768" s="233" t="s">
        <v>779</v>
      </c>
      <c r="T1768" s="242" t="str">
        <f>_xlfn.XLOOKUP(S1768,Insumos!$A$3:$A$371,Insumos!$B$3:$B$371)</f>
        <v>M2</v>
      </c>
      <c r="U1768" s="235">
        <f ca="1">IF($B1768="insumo",R1768,"")</f>
        <v>353.24400000000003</v>
      </c>
      <c r="V1768" s="320">
        <v>1</v>
      </c>
      <c r="W1768" s="236">
        <f>IFERROR(IF(B1768="INSUMO",_xlfn.XLOOKUP(S1768,Insumos!A:A,Insumos!C:C),""),"Inserir Preço")</f>
        <v>38.187489622964783</v>
      </c>
      <c r="X1768" s="235">
        <f t="shared" ca="1" si="1458"/>
        <v>353.24400000000003</v>
      </c>
      <c r="Y1768" s="236">
        <f t="shared" ref="Y1768:Y1831" si="1477">IF(B1768="insumo",W1768*V1768,IF(B1768="serviço",SUMIFS(Y:Y,B:B,"insumo",E:E,E1768,I:I,I1768),""))</f>
        <v>38.187489622964783</v>
      </c>
      <c r="Z1768" s="237">
        <f t="shared" ca="1" si="1449"/>
        <v>13489.501584374573</v>
      </c>
      <c r="AA1768" s="238"/>
      <c r="AB1768" s="233" t="str">
        <f>IF(B1768="insumo",_xlfn.XLOOKUP(S1768,Insumos!A:A,Insumos!D:D),"")</f>
        <v>Aba Custo Serviços</v>
      </c>
      <c r="AC1768" s="239">
        <f t="shared" ca="1" si="1450"/>
        <v>1.9351919888233799E-3</v>
      </c>
      <c r="AE1768" s="240">
        <f ca="1">IFERROR(IF(OR(Z1768="",Z1768=0),"",IF(AF1768="","",IF(AF1768="R$/mês",Z1768/OBRA!$D$12,IF(AF1768="R$/m²",Z1768/OBRA!$D$10,IF(AF1768="R$/apto",Orçamento!Z1768/OBRA!$D$11,""))))),"")</f>
        <v>6.9417936036262171</v>
      </c>
      <c r="AF1768" s="241" t="s">
        <v>154</v>
      </c>
    </row>
    <row r="1769" spans="1:32" s="10" customFormat="1" ht="13.15" hidden="1" customHeight="1" outlineLevel="4" x14ac:dyDescent="0.2">
      <c r="A1769" s="227"/>
      <c r="B1769" s="228" t="s">
        <v>4</v>
      </c>
      <c r="C1769" s="229">
        <f t="shared" si="1448"/>
        <v>5</v>
      </c>
      <c r="D1769" s="227" t="str">
        <f t="shared" ca="1" si="1471"/>
        <v>16.002.004.002</v>
      </c>
      <c r="E1769" s="228" t="str">
        <f t="shared" ca="1" si="1472"/>
        <v>16.002.004.002</v>
      </c>
      <c r="F1769" s="230">
        <f ca="1">IF($B1769="UNIDADE CONSTRUTIVA",OFFSET(F1769,-1,0)+1,LARGE(F$10:F1768,1))</f>
        <v>2</v>
      </c>
      <c r="G1769" s="228" t="str">
        <f t="shared" ca="1" si="1451"/>
        <v xml:space="preserve">   GERENCIAMENTO EXECUTIVO</v>
      </c>
      <c r="H1769" s="230">
        <f t="shared" ca="1" si="1473"/>
        <v>16</v>
      </c>
      <c r="I1769" s="228" t="str">
        <f t="shared" ca="1" si="1452"/>
        <v xml:space="preserve">   SISTEMAS DE PINTURA INTERNA</v>
      </c>
      <c r="J1769" s="230">
        <f t="shared" ca="1" si="1474"/>
        <v>2</v>
      </c>
      <c r="K1769" s="228" t="str">
        <f t="shared" ca="1" si="1453"/>
        <v xml:space="preserve">   SISTEMAS DE PINTURA INTERNA - TÉRREO - 2º PAVIMENTO - TÉRREO</v>
      </c>
      <c r="L1769" s="231">
        <f t="shared" ca="1" si="1475"/>
        <v>4</v>
      </c>
      <c r="M1769" s="228" t="str">
        <f t="shared" ca="1" si="1454"/>
        <v xml:space="preserve">   Mão de Obra</v>
      </c>
      <c r="N1769" s="231">
        <f t="shared" ca="1" si="1476"/>
        <v>2</v>
      </c>
      <c r="O1769" s="228" t="str">
        <f t="shared" ca="1" si="1455"/>
        <v>Mao de obra para pintura acrílica em teto</v>
      </c>
      <c r="P1769" s="232" t="str">
        <f>IF(S1769="","",IF(Orçamento!$B1769="INSUMO",S1769,""))</f>
        <v/>
      </c>
      <c r="Q1769" s="244" t="str">
        <f t="shared" si="1456"/>
        <v>Mao de obra para pintura acrílica em teto</v>
      </c>
      <c r="R1769" s="234">
        <f t="shared" ca="1" si="1457"/>
        <v>196.96</v>
      </c>
      <c r="S1769" s="233" t="s">
        <v>741</v>
      </c>
      <c r="T1769" s="242" t="s">
        <v>140</v>
      </c>
      <c r="U1769" s="235">
        <f>U1762</f>
        <v>196.96</v>
      </c>
      <c r="V1769" s="320" t="s">
        <v>35</v>
      </c>
      <c r="W1769" s="236" t="str">
        <f>IFERROR(IF(B1769="INSUMO",_xlfn.XLOOKUP(S1769,Insumos!A:A,Insumos!C:C),""),"Inserir Preço")</f>
        <v/>
      </c>
      <c r="X1769" s="235">
        <f t="shared" ca="1" si="1458"/>
        <v>196.96</v>
      </c>
      <c r="Y1769" s="236">
        <f t="shared" ca="1" si="1477"/>
        <v>53.07250036855902</v>
      </c>
      <c r="Z1769" s="237">
        <f t="shared" ca="1" si="1449"/>
        <v>10453.159672591384</v>
      </c>
      <c r="AA1769" s="238"/>
      <c r="AB1769" s="233" t="str">
        <f>IF(B1769="insumo",_xlfn.XLOOKUP(S1769,Insumos!A:A,Insumos!D:D),"")</f>
        <v/>
      </c>
      <c r="AC1769" s="239">
        <f t="shared" ca="1" si="1450"/>
        <v>1.4996010586278725E-3</v>
      </c>
      <c r="AE1769" s="240">
        <f ca="1">IFERROR(IF(OR(Z1769="",Z1769=0),"",IF(AF1769="","",IF(AF1769="R$/mês",Z1769/OBRA!$D$12,IF(AF1769="R$/m²",Z1769/OBRA!$D$10,IF(AF1769="R$/apto",Orçamento!Z1769/OBRA!$D$11,""))))),"")</f>
        <v>5.379270427376782</v>
      </c>
      <c r="AF1769" s="241" t="s">
        <v>154</v>
      </c>
    </row>
    <row r="1770" spans="1:32" s="10" customFormat="1" ht="13.15" hidden="1" customHeight="1" outlineLevel="4" x14ac:dyDescent="0.2">
      <c r="A1770" s="227"/>
      <c r="B1770" s="228" t="s">
        <v>19</v>
      </c>
      <c r="C1770" s="229">
        <f t="shared" si="1448"/>
        <v>5</v>
      </c>
      <c r="D1770" s="227" t="str">
        <f t="shared" si="1471"/>
        <v/>
      </c>
      <c r="E1770" s="228" t="str">
        <f t="shared" ca="1" si="1472"/>
        <v>16.002.004.002</v>
      </c>
      <c r="F1770" s="230">
        <f ca="1">IF($B1770="UNIDADE CONSTRUTIVA",OFFSET(F1770,-1,0)+1,LARGE(F$10:F1769,1))</f>
        <v>2</v>
      </c>
      <c r="G1770" s="228" t="str">
        <f t="shared" ca="1" si="1451"/>
        <v xml:space="preserve">   GERENCIAMENTO EXECUTIVO</v>
      </c>
      <c r="H1770" s="230">
        <f t="shared" ca="1" si="1473"/>
        <v>16</v>
      </c>
      <c r="I1770" s="228" t="str">
        <f t="shared" ca="1" si="1452"/>
        <v xml:space="preserve">   SISTEMAS DE PINTURA INTERNA</v>
      </c>
      <c r="J1770" s="230">
        <f t="shared" ca="1" si="1474"/>
        <v>2</v>
      </c>
      <c r="K1770" s="228" t="str">
        <f t="shared" ca="1" si="1453"/>
        <v xml:space="preserve">   SISTEMAS DE PINTURA INTERNA - TÉRREO - 2º PAVIMENTO - TÉRREO</v>
      </c>
      <c r="L1770" s="231">
        <f t="shared" ca="1" si="1475"/>
        <v>4</v>
      </c>
      <c r="M1770" s="228" t="str">
        <f t="shared" ca="1" si="1454"/>
        <v xml:space="preserve">   Mão de Obra</v>
      </c>
      <c r="N1770" s="231">
        <f t="shared" ca="1" si="1476"/>
        <v>2</v>
      </c>
      <c r="O1770" s="228" t="str">
        <f t="shared" ca="1" si="1455"/>
        <v>Mao de obra para pintura acrílica em teto</v>
      </c>
      <c r="P1770" s="232" t="str">
        <f>IF(S1770="","",IF(Orçamento!$B1770="INSUMO",S1770,""))</f>
        <v>MAO DE OBRA PARA PINTURA LATEX ACRILICA EM TETO - 3 DEMAOS</v>
      </c>
      <c r="Q1770" s="244" t="str">
        <f t="shared" si="1456"/>
        <v/>
      </c>
      <c r="R1770" s="234">
        <f t="shared" ca="1" si="1457"/>
        <v>196.96</v>
      </c>
      <c r="S1770" s="233" t="s">
        <v>280</v>
      </c>
      <c r="T1770" s="242" t="str">
        <f>_xlfn.XLOOKUP(S1770,Insumos!$A$3:$A$371,Insumos!$B$3:$B$371)</f>
        <v>M2</v>
      </c>
      <c r="U1770" s="235">
        <f ca="1">IF($B1770="insumo",R1770,"")</f>
        <v>196.96</v>
      </c>
      <c r="V1770" s="320">
        <v>1</v>
      </c>
      <c r="W1770" s="236">
        <f>IFERROR(IF(B1770="INSUMO",_xlfn.XLOOKUP(S1770,Insumos!A:A,Insumos!C:C),""),"Inserir Preço")</f>
        <v>53.07250036855902</v>
      </c>
      <c r="X1770" s="235">
        <f t="shared" ca="1" si="1458"/>
        <v>196.96</v>
      </c>
      <c r="Y1770" s="236">
        <f t="shared" si="1477"/>
        <v>53.07250036855902</v>
      </c>
      <c r="Z1770" s="237">
        <f t="shared" ca="1" si="1449"/>
        <v>10453.159672591384</v>
      </c>
      <c r="AA1770" s="238"/>
      <c r="AB1770" s="233" t="str">
        <f>IF(B1770="insumo",_xlfn.XLOOKUP(S1770,Insumos!A:A,Insumos!D:D),"")</f>
        <v>Aba Custo Serviços</v>
      </c>
      <c r="AC1770" s="239">
        <f t="shared" ca="1" si="1450"/>
        <v>1.4996010586278725E-3</v>
      </c>
      <c r="AE1770" s="240">
        <f ca="1">IFERROR(IF(OR(Z1770="",Z1770=0),"",IF(AF1770="","",IF(AF1770="R$/mês",Z1770/OBRA!$D$12,IF(AF1770="R$/m²",Z1770/OBRA!$D$10,IF(AF1770="R$/apto",Orçamento!Z1770/OBRA!$D$11,""))))),"")</f>
        <v>5.379270427376782</v>
      </c>
      <c r="AF1770" s="241" t="s">
        <v>154</v>
      </c>
    </row>
    <row r="1771" spans="1:32" s="10" customFormat="1" ht="13.15" hidden="1" customHeight="1" outlineLevel="4" x14ac:dyDescent="0.2">
      <c r="A1771" s="227"/>
      <c r="B1771" s="228" t="s">
        <v>4</v>
      </c>
      <c r="C1771" s="229">
        <f t="shared" si="1448"/>
        <v>2</v>
      </c>
      <c r="D1771" s="227" t="str">
        <f t="shared" ca="1" si="1471"/>
        <v>16.002.004.003</v>
      </c>
      <c r="E1771" s="228" t="str">
        <f t="shared" ca="1" si="1472"/>
        <v>16.002.004.003</v>
      </c>
      <c r="F1771" s="230">
        <f ca="1">IF($B1771="UNIDADE CONSTRUTIVA",OFFSET(F1771,-1,0)+1,LARGE(F$10:F1770,1))</f>
        <v>2</v>
      </c>
      <c r="G1771" s="228" t="str">
        <f t="shared" ca="1" si="1451"/>
        <v xml:space="preserve">   GERENCIAMENTO EXECUTIVO</v>
      </c>
      <c r="H1771" s="230">
        <f t="shared" ca="1" si="1473"/>
        <v>16</v>
      </c>
      <c r="I1771" s="228" t="str">
        <f t="shared" ca="1" si="1452"/>
        <v xml:space="preserve">   SISTEMAS DE PINTURA INTERNA</v>
      </c>
      <c r="J1771" s="230">
        <f t="shared" ca="1" si="1474"/>
        <v>2</v>
      </c>
      <c r="K1771" s="228" t="str">
        <f t="shared" ca="1" si="1453"/>
        <v xml:space="preserve">   SISTEMAS DE PINTURA INTERNA - TÉRREO - 2º PAVIMENTO - TÉRREO</v>
      </c>
      <c r="L1771" s="231">
        <f t="shared" ca="1" si="1475"/>
        <v>4</v>
      </c>
      <c r="M1771" s="228" t="str">
        <f t="shared" ca="1" si="1454"/>
        <v xml:space="preserve">   Mão de Obra</v>
      </c>
      <c r="N1771" s="231">
        <f t="shared" ca="1" si="1476"/>
        <v>3</v>
      </c>
      <c r="O1771" s="228" t="str">
        <f t="shared" ca="1" si="1455"/>
        <v>Mao de obra para pintura Epoxi - Faixa Garagens</v>
      </c>
      <c r="P1771" s="232" t="str">
        <f>IF(S1771="","",IF(Orçamento!$B1771="INSUMO",S1771,""))</f>
        <v/>
      </c>
      <c r="Q1771" s="244" t="str">
        <f t="shared" si="1456"/>
        <v>Mao de obra para pintura Epoxi - Faixa Garagens</v>
      </c>
      <c r="R1771" s="234">
        <f t="shared" ca="1" si="1457"/>
        <v>13.78</v>
      </c>
      <c r="S1771" s="233" t="s">
        <v>1177</v>
      </c>
      <c r="T1771" s="242" t="s">
        <v>140</v>
      </c>
      <c r="U1771" s="235">
        <f>U1750</f>
        <v>13.78</v>
      </c>
      <c r="V1771" s="320" t="s">
        <v>35</v>
      </c>
      <c r="W1771" s="236" t="str">
        <f>IFERROR(IF(B1771="INSUMO",_xlfn.XLOOKUP(S1771,Insumos!A:A,Insumos!C:C),""),"Inserir Preço")</f>
        <v/>
      </c>
      <c r="X1771" s="235">
        <f t="shared" ca="1" si="1458"/>
        <v>13.78</v>
      </c>
      <c r="Y1771" s="236">
        <f t="shared" ca="1" si="1477"/>
        <v>44.956704738697304</v>
      </c>
      <c r="Z1771" s="237">
        <f t="shared" ca="1" si="1449"/>
        <v>619.50339129924885</v>
      </c>
      <c r="AA1771" s="238"/>
      <c r="AB1771" s="233" t="str">
        <f>IF(B1771="insumo",_xlfn.XLOOKUP(S1771,Insumos!A:A,Insumos!D:D),"")</f>
        <v/>
      </c>
      <c r="AC1771" s="239">
        <f t="shared" ca="1" si="1450"/>
        <v>8.8873409620997929E-5</v>
      </c>
      <c r="AE1771" s="240">
        <f ca="1">IFERROR(IF(OR(Z1771="",Z1771=0),"",IF(AF1771="","",IF(AF1771="R$/mês",Z1771/OBRA!$D$12,IF(AF1771="R$/m²",Z1771/OBRA!$D$10,IF(AF1771="R$/apto",Orçamento!Z1771/OBRA!$D$11,""))))),"")</f>
        <v>0.31880085800406993</v>
      </c>
      <c r="AF1771" s="241" t="s">
        <v>154</v>
      </c>
    </row>
    <row r="1772" spans="1:32" s="10" customFormat="1" ht="13.15" hidden="1" customHeight="1" outlineLevel="4" x14ac:dyDescent="0.2">
      <c r="A1772" s="227"/>
      <c r="B1772" s="228" t="s">
        <v>19</v>
      </c>
      <c r="C1772" s="229">
        <f t="shared" si="1448"/>
        <v>2</v>
      </c>
      <c r="D1772" s="227" t="str">
        <f t="shared" si="1471"/>
        <v/>
      </c>
      <c r="E1772" s="228" t="str">
        <f t="shared" ca="1" si="1472"/>
        <v>16.002.004.003</v>
      </c>
      <c r="F1772" s="230">
        <f ca="1">IF($B1772="UNIDADE CONSTRUTIVA",OFFSET(F1772,-1,0)+1,LARGE(F$10:F1771,1))</f>
        <v>2</v>
      </c>
      <c r="G1772" s="228" t="str">
        <f t="shared" ca="1" si="1451"/>
        <v xml:space="preserve">   GERENCIAMENTO EXECUTIVO</v>
      </c>
      <c r="H1772" s="230">
        <f t="shared" ca="1" si="1473"/>
        <v>16</v>
      </c>
      <c r="I1772" s="228" t="str">
        <f t="shared" ca="1" si="1452"/>
        <v xml:space="preserve">   SISTEMAS DE PINTURA INTERNA</v>
      </c>
      <c r="J1772" s="230">
        <f t="shared" ca="1" si="1474"/>
        <v>2</v>
      </c>
      <c r="K1772" s="228" t="str">
        <f t="shared" ca="1" si="1453"/>
        <v xml:space="preserve">   SISTEMAS DE PINTURA INTERNA - TÉRREO - 2º PAVIMENTO - TÉRREO</v>
      </c>
      <c r="L1772" s="231">
        <f t="shared" ca="1" si="1475"/>
        <v>4</v>
      </c>
      <c r="M1772" s="228" t="str">
        <f t="shared" ca="1" si="1454"/>
        <v xml:space="preserve">   Mão de Obra</v>
      </c>
      <c r="N1772" s="231">
        <f t="shared" ca="1" si="1476"/>
        <v>3</v>
      </c>
      <c r="O1772" s="228" t="str">
        <f t="shared" ca="1" si="1455"/>
        <v>Mao de obra para pintura Epoxi - Faixa Garagens</v>
      </c>
      <c r="P1772" s="232" t="str">
        <f>IF(S1772="","",IF(Orçamento!$B1772="INSUMO",S1772,""))</f>
        <v>MAO DE OBRA PARA PINTURA EPOXI EM PISO</v>
      </c>
      <c r="Q1772" s="244" t="str">
        <f t="shared" si="1456"/>
        <v/>
      </c>
      <c r="R1772" s="234">
        <f t="shared" ca="1" si="1457"/>
        <v>13.78</v>
      </c>
      <c r="S1772" s="233" t="s">
        <v>1088</v>
      </c>
      <c r="T1772" s="242" t="str">
        <f>_xlfn.XLOOKUP(S1772,Insumos!$A$3:$A$371,Insumos!$B$3:$B$371)</f>
        <v>M2</v>
      </c>
      <c r="U1772" s="235">
        <f ca="1">IF($B1772="insumo",R1772,"")</f>
        <v>13.78</v>
      </c>
      <c r="V1772" s="320">
        <v>1</v>
      </c>
      <c r="W1772" s="236">
        <f>IFERROR(IF(B1772="INSUMO",_xlfn.XLOOKUP(S1772,Insumos!A:A,Insumos!C:C),""),"Inserir Preço")</f>
        <v>44.956704738697304</v>
      </c>
      <c r="X1772" s="235">
        <f t="shared" ca="1" si="1458"/>
        <v>13.78</v>
      </c>
      <c r="Y1772" s="236">
        <f t="shared" si="1477"/>
        <v>44.956704738697304</v>
      </c>
      <c r="Z1772" s="237">
        <f t="shared" ca="1" si="1449"/>
        <v>619.50339129924885</v>
      </c>
      <c r="AA1772" s="238"/>
      <c r="AB1772" s="233" t="str">
        <f>IF(B1772="insumo",_xlfn.XLOOKUP(S1772,Insumos!A:A,Insumos!D:D),"")</f>
        <v>Aba Custo Serviços</v>
      </c>
      <c r="AC1772" s="239">
        <f t="shared" ca="1" si="1450"/>
        <v>8.8873409620997929E-5</v>
      </c>
      <c r="AE1772" s="240">
        <f ca="1">IFERROR(IF(OR(Z1772="",Z1772=0),"",IF(AF1772="","",IF(AF1772="R$/mês",Z1772/OBRA!$D$12,IF(AF1772="R$/m²",Z1772/OBRA!$D$10,IF(AF1772="R$/apto",Orçamento!Z1772/OBRA!$D$11,""))))),"")</f>
        <v>0.31880085800406993</v>
      </c>
      <c r="AF1772" s="241" t="s">
        <v>154</v>
      </c>
    </row>
    <row r="1773" spans="1:32" s="10" customFormat="1" ht="13.15" customHeight="1" outlineLevel="2" collapsed="1" x14ac:dyDescent="0.2">
      <c r="A1773" s="227"/>
      <c r="B1773" s="228" t="s">
        <v>2</v>
      </c>
      <c r="C1773" s="229" t="str">
        <f t="shared" si="1448"/>
        <v/>
      </c>
      <c r="D1773" s="227" t="str">
        <f t="shared" ca="1" si="1465"/>
        <v>16.003</v>
      </c>
      <c r="E1773" s="228" t="str">
        <f t="shared" ca="1" si="1466"/>
        <v>16.002.004.003</v>
      </c>
      <c r="F1773" s="230">
        <f ca="1">IF($B1773="UNIDADE CONSTRUTIVA",OFFSET(F1773,-1,0)+1,LARGE(F$10:F1772,1))</f>
        <v>2</v>
      </c>
      <c r="G1773" s="228" t="str">
        <f t="shared" ca="1" si="1451"/>
        <v xml:space="preserve">   GERENCIAMENTO EXECUTIVO</v>
      </c>
      <c r="H1773" s="230">
        <f t="shared" ca="1" si="1467"/>
        <v>16</v>
      </c>
      <c r="I1773" s="228" t="str">
        <f t="shared" ca="1" si="1452"/>
        <v xml:space="preserve">   SISTEMAS DE PINTURA INTERNA</v>
      </c>
      <c r="J1773" s="230">
        <f t="shared" ca="1" si="1468"/>
        <v>3</v>
      </c>
      <c r="K1773" s="228" t="str">
        <f t="shared" ca="1" si="1453"/>
        <v xml:space="preserve">   SISTEMAS DE PINTURA INTERNA - 3º  ao 7º PAVIMENTO - TIPO</v>
      </c>
      <c r="L1773" s="231">
        <f t="shared" ca="1" si="1469"/>
        <v>0</v>
      </c>
      <c r="M1773" s="228" t="str">
        <f t="shared" ca="1" si="1454"/>
        <v xml:space="preserve">   Mão de Obra</v>
      </c>
      <c r="N1773" s="231">
        <f t="shared" ca="1" si="1470"/>
        <v>3</v>
      </c>
      <c r="O1773" s="228" t="str">
        <f t="shared" ca="1" si="1455"/>
        <v>Mao de obra para pintura Epoxi - Faixa Garagens</v>
      </c>
      <c r="P1773" s="232" t="str">
        <f>IF(S1773="","",IF(Orçamento!$B1773="INSUMO",S1773,""))</f>
        <v/>
      </c>
      <c r="Q1773" s="244" t="str">
        <f t="shared" si="1456"/>
        <v/>
      </c>
      <c r="R1773" s="234">
        <f t="shared" ca="1" si="1457"/>
        <v>13.78</v>
      </c>
      <c r="S1773" s="233" t="s">
        <v>675</v>
      </c>
      <c r="T1773" s="242" t="s">
        <v>35</v>
      </c>
      <c r="U1773" s="235" t="str">
        <f>IF($B1773="insumo",R1773,"")</f>
        <v/>
      </c>
      <c r="V1773" s="320" t="s">
        <v>35</v>
      </c>
      <c r="W1773" s="236" t="str">
        <f>IFERROR(IF(B1773="INSUMO",_xlfn.XLOOKUP(S1773,Insumos!A:A,Insumos!C:C),""),"Inserir Preço")</f>
        <v/>
      </c>
      <c r="X1773" s="235" t="str">
        <f t="shared" ca="1" si="1458"/>
        <v/>
      </c>
      <c r="Y1773" s="236" t="str">
        <f t="shared" si="1477"/>
        <v/>
      </c>
      <c r="Z1773" s="237">
        <f t="shared" ca="1" si="1449"/>
        <v>183603.1532524034</v>
      </c>
      <c r="AA1773" s="238"/>
      <c r="AB1773" s="233" t="str">
        <f>IF(B1773="insumo",_xlfn.XLOOKUP(S1773,Insumos!A:A,Insumos!D:D),"")</f>
        <v/>
      </c>
      <c r="AC1773" s="239">
        <f t="shared" ca="1" si="1450"/>
        <v>2.6339546281556391E-2</v>
      </c>
      <c r="AE1773" s="240">
        <f ca="1">IFERROR(IF(OR(Z1773="",Z1773=0),"",IF(AF1773="","",IF(AF1773="R$/mês",Z1773/OBRA!$D$12,IF(AF1773="R$/m²",Z1773/OBRA!$D$10,IF(AF1773="R$/apto",Orçamento!Z1773/OBRA!$D$11,""))))),"")</f>
        <v>94.483490504162347</v>
      </c>
      <c r="AF1773" s="241" t="s">
        <v>154</v>
      </c>
    </row>
    <row r="1774" spans="1:32" s="10" customFormat="1" ht="13.15" hidden="1" customHeight="1" outlineLevel="3" collapsed="1" x14ac:dyDescent="0.2">
      <c r="A1774" s="227"/>
      <c r="B1774" s="228" t="s">
        <v>3</v>
      </c>
      <c r="C1774" s="229" t="str">
        <f t="shared" si="1448"/>
        <v/>
      </c>
      <c r="D1774" s="227" t="str">
        <f t="shared" ca="1" si="1465"/>
        <v>16.003.001</v>
      </c>
      <c r="E1774" s="228" t="str">
        <f t="shared" ca="1" si="1466"/>
        <v>16.002.004.003</v>
      </c>
      <c r="F1774" s="230">
        <f ca="1">IF($B1774="UNIDADE CONSTRUTIVA",OFFSET(F1774,-1,0)+1,LARGE(F$10:F1773,1))</f>
        <v>2</v>
      </c>
      <c r="G1774" s="228" t="str">
        <f t="shared" ca="1" si="1451"/>
        <v xml:space="preserve">   GERENCIAMENTO EXECUTIVO</v>
      </c>
      <c r="H1774" s="230">
        <f t="shared" ca="1" si="1467"/>
        <v>16</v>
      </c>
      <c r="I1774" s="228" t="str">
        <f t="shared" ca="1" si="1452"/>
        <v xml:space="preserve">   SISTEMAS DE PINTURA INTERNA</v>
      </c>
      <c r="J1774" s="230">
        <f t="shared" ca="1" si="1468"/>
        <v>3</v>
      </c>
      <c r="K1774" s="228" t="str">
        <f t="shared" ca="1" si="1453"/>
        <v xml:space="preserve">   SISTEMAS DE PINTURA INTERNA - 3º  ao 7º PAVIMENTO - TIPO</v>
      </c>
      <c r="L1774" s="231">
        <f t="shared" ca="1" si="1469"/>
        <v>1</v>
      </c>
      <c r="M1774" s="228" t="str">
        <f t="shared" ca="1" si="1454"/>
        <v xml:space="preserve">   Sistemas de Pintura Interna em Parede</v>
      </c>
      <c r="N1774" s="231">
        <f t="shared" ca="1" si="1470"/>
        <v>0</v>
      </c>
      <c r="O1774" s="228" t="str">
        <f t="shared" ca="1" si="1455"/>
        <v>Mao de obra para pintura Epoxi - Faixa Garagens</v>
      </c>
      <c r="P1774" s="232" t="str">
        <f>IF(S1774="","",IF(Orçamento!$B1774="INSUMO",S1774,""))</f>
        <v/>
      </c>
      <c r="Q1774" s="244" t="str">
        <f t="shared" si="1456"/>
        <v/>
      </c>
      <c r="R1774" s="234">
        <f t="shared" ca="1" si="1457"/>
        <v>13.78</v>
      </c>
      <c r="S1774" s="233" t="s">
        <v>499</v>
      </c>
      <c r="T1774" s="242" t="s">
        <v>35</v>
      </c>
      <c r="U1774" s="235" t="str">
        <f>IF($B1774="insumo",R1774,"")</f>
        <v/>
      </c>
      <c r="V1774" s="320" t="s">
        <v>35</v>
      </c>
      <c r="W1774" s="236" t="str">
        <f>IFERROR(IF(B1774="INSUMO",_xlfn.XLOOKUP(S1774,Insumos!A:A,Insumos!C:C),""),"Inserir Preço")</f>
        <v/>
      </c>
      <c r="X1774" s="235" t="str">
        <f t="shared" ca="1" si="1458"/>
        <v/>
      </c>
      <c r="Y1774" s="236" t="str">
        <f t="shared" si="1477"/>
        <v/>
      </c>
      <c r="Z1774" s="237">
        <f t="shared" ca="1" si="1449"/>
        <v>37782.96946410001</v>
      </c>
      <c r="AA1774" s="238"/>
      <c r="AB1774" s="233" t="str">
        <f>IF(B1774="insumo",_xlfn.XLOOKUP(S1774,Insumos!A:A,Insumos!D:D),"")</f>
        <v/>
      </c>
      <c r="AC1774" s="239">
        <f t="shared" ca="1" si="1450"/>
        <v>5.4203114446852068E-3</v>
      </c>
      <c r="AE1774" s="240">
        <f ca="1">IFERROR(IF(OR(Z1774="",Z1774=0),"",IF(AF1774="","",IF(AF1774="R$/mês",Z1774/OBRA!$D$12,IF(AF1774="R$/m²",Z1774/OBRA!$D$10,IF(AF1774="R$/apto",Orçamento!Z1774/OBRA!$D$11,""))))),"")</f>
        <v>19.443385221564103</v>
      </c>
      <c r="AF1774" s="241" t="s">
        <v>154</v>
      </c>
    </row>
    <row r="1775" spans="1:32" s="10" customFormat="1" ht="13.15" hidden="1" customHeight="1" outlineLevel="4" x14ac:dyDescent="0.2">
      <c r="A1775" s="227"/>
      <c r="B1775" s="228" t="s">
        <v>4</v>
      </c>
      <c r="C1775" s="229">
        <f t="shared" si="1448"/>
        <v>5</v>
      </c>
      <c r="D1775" s="227" t="str">
        <f t="shared" ca="1" si="1465"/>
        <v>16.003.001.001</v>
      </c>
      <c r="E1775" s="228" t="str">
        <f t="shared" ca="1" si="1466"/>
        <v>16.003.001.001</v>
      </c>
      <c r="F1775" s="230">
        <f ca="1">IF($B1775="UNIDADE CONSTRUTIVA",OFFSET(F1775,-1,0)+1,LARGE(F$10:F1774,1))</f>
        <v>2</v>
      </c>
      <c r="G1775" s="228" t="str">
        <f t="shared" ref="G1775:G1782" ca="1" si="1478">IF(B1775="*","",IF(B1775="UNIDADE CONSTRUTIVA",S1775,OFFSET(G1775,-1,0)))</f>
        <v xml:space="preserve">   GERENCIAMENTO EXECUTIVO</v>
      </c>
      <c r="H1775" s="230">
        <f t="shared" ca="1" si="1467"/>
        <v>16</v>
      </c>
      <c r="I1775" s="228" t="str">
        <f t="shared" ref="I1775:I1782" ca="1" si="1479">IF(B1775="*","",IF(B1775="CÉLULA CONSTRUTIVA",S1775,OFFSET(I1775,-1,0)))</f>
        <v xml:space="preserve">   SISTEMAS DE PINTURA INTERNA</v>
      </c>
      <c r="J1775" s="230">
        <f t="shared" ca="1" si="1468"/>
        <v>3</v>
      </c>
      <c r="K1775" s="228" t="str">
        <f t="shared" ref="K1775:K1782" ca="1" si="1480">IF(B1775="*","",IF(B1775="ETAPA",S1775,OFFSET(K1775,-1,0)))</f>
        <v xml:space="preserve">   SISTEMAS DE PINTURA INTERNA - 3º  ao 7º PAVIMENTO - TIPO</v>
      </c>
      <c r="L1775" s="231">
        <f t="shared" ca="1" si="1469"/>
        <v>1</v>
      </c>
      <c r="M1775" s="228" t="str">
        <f t="shared" ref="M1775:M1782" ca="1" si="1481">IF(B1775="*","",IF(B1775="SUBETAPA",S1775,OFFSET(M1775,-1,0)))</f>
        <v xml:space="preserve">   Sistemas de Pintura Interna em Parede</v>
      </c>
      <c r="N1775" s="231">
        <f t="shared" ca="1" si="1470"/>
        <v>1</v>
      </c>
      <c r="O1775" s="228" t="str">
        <f t="shared" ref="O1775:O1782" ca="1" si="1482">IF(B1775="*","",IF(B1775="SERVIÇO",S1775,OFFSET(O1775,-1,0)))</f>
        <v>Pintura com tinta latex acrilica, acabamento fosco em paredes internas, 3 demaos Áreas Comuns</v>
      </c>
      <c r="P1775" s="232" t="str">
        <f>IF(S1775="","",IF(Orçamento!$B1775="INSUMO",S1775,""))</f>
        <v/>
      </c>
      <c r="Q1775" s="244" t="str">
        <f t="shared" ref="Q1775:Q1782" si="1483">IF(B1775="","",IF(B1775="Serviço",S1775,""))</f>
        <v>Pintura com tinta latex acrilica, acabamento fosco em paredes internas, 3 demaos Áreas Comuns</v>
      </c>
      <c r="R1775" s="234">
        <f t="shared" ref="R1775:R1782" ca="1" si="1484">IF(B1775="serviço",U1775,OFFSET(R1775,-1,0))</f>
        <v>698.8</v>
      </c>
      <c r="S1775" s="233" t="s">
        <v>738</v>
      </c>
      <c r="T1775" s="242" t="s">
        <v>140</v>
      </c>
      <c r="U1775" s="235">
        <v>698.8</v>
      </c>
      <c r="V1775" s="320" t="s">
        <v>35</v>
      </c>
      <c r="W1775" s="236" t="str">
        <f>IFERROR(IF(B1775="INSUMO",_xlfn.XLOOKUP(S1775,Insumos!A:A,Insumos!C:C),""),"Inserir Preço")</f>
        <v/>
      </c>
      <c r="X1775" s="235">
        <f t="shared" ref="X1775:X1782" ca="1" si="1485">IF(B1775="Complemento do insumo",V1775,IF(R1775="","",IF(B1775="serviço",R1775,IF(OR(B1775="insumo"),V1775*R1775,""))))</f>
        <v>698.8</v>
      </c>
      <c r="Y1775" s="236">
        <f t="shared" ca="1" si="1477"/>
        <v>17.975370000000002</v>
      </c>
      <c r="Z1775" s="237">
        <f t="shared" ca="1" si="1449"/>
        <v>12561.188556000001</v>
      </c>
      <c r="AA1775" s="238"/>
      <c r="AB1775" s="233" t="str">
        <f>IF(B1775="insumo",_xlfn.XLOOKUP(S1775,Insumos!A:A,Insumos!D:D),"")</f>
        <v/>
      </c>
      <c r="AC1775" s="239">
        <f t="shared" ca="1" si="1450"/>
        <v>1.8020170212833073E-3</v>
      </c>
      <c r="AE1775" s="240">
        <f ca="1">IFERROR(IF(OR(Z1775="",Z1775=0),"",IF(AF1775="","",IF(AF1775="R$/mês",Z1775/OBRA!$D$12,IF(AF1775="R$/m²",Z1775/OBRA!$D$10,IF(AF1775="R$/apto",Orçamento!Z1775/OBRA!$D$11,""))))),"")</f>
        <v>6.464077106672911</v>
      </c>
      <c r="AF1775" s="241" t="s">
        <v>154</v>
      </c>
    </row>
    <row r="1776" spans="1:32" s="10" customFormat="1" ht="13.15" hidden="1" customHeight="1" outlineLevel="4" x14ac:dyDescent="0.2">
      <c r="A1776" s="227"/>
      <c r="B1776" s="228" t="s">
        <v>19</v>
      </c>
      <c r="C1776" s="229">
        <f t="shared" si="1448"/>
        <v>13</v>
      </c>
      <c r="D1776" s="227" t="str">
        <f t="shared" si="1465"/>
        <v/>
      </c>
      <c r="E1776" s="228" t="str">
        <f t="shared" ca="1" si="1466"/>
        <v>16.003.001.001</v>
      </c>
      <c r="F1776" s="230">
        <f ca="1">IF($B1776="UNIDADE CONSTRUTIVA",OFFSET(F1776,-1,0)+1,LARGE(F$10:F1775,1))</f>
        <v>2</v>
      </c>
      <c r="G1776" s="228" t="str">
        <f t="shared" ca="1" si="1478"/>
        <v xml:space="preserve">   GERENCIAMENTO EXECUTIVO</v>
      </c>
      <c r="H1776" s="230">
        <f t="shared" ca="1" si="1467"/>
        <v>16</v>
      </c>
      <c r="I1776" s="228" t="str">
        <f t="shared" ca="1" si="1479"/>
        <v xml:space="preserve">   SISTEMAS DE PINTURA INTERNA</v>
      </c>
      <c r="J1776" s="230">
        <f t="shared" ca="1" si="1468"/>
        <v>3</v>
      </c>
      <c r="K1776" s="228" t="str">
        <f t="shared" ca="1" si="1480"/>
        <v xml:space="preserve">   SISTEMAS DE PINTURA INTERNA - 3º  ao 7º PAVIMENTO - TIPO</v>
      </c>
      <c r="L1776" s="231">
        <f t="shared" ca="1" si="1469"/>
        <v>1</v>
      </c>
      <c r="M1776" s="228" t="str">
        <f t="shared" ca="1" si="1481"/>
        <v xml:space="preserve">   Sistemas de Pintura Interna em Parede</v>
      </c>
      <c r="N1776" s="231">
        <f t="shared" ca="1" si="1470"/>
        <v>1</v>
      </c>
      <c r="O1776" s="228" t="str">
        <f t="shared" ca="1" si="1482"/>
        <v>Pintura com tinta latex acrilica, acabamento fosco em paredes internas, 3 demaos Áreas Comuns</v>
      </c>
      <c r="P1776" s="232" t="str">
        <f>IF(S1776="","",IF(Orçamento!$B1776="INSUMO",S1776,""))</f>
        <v>TINTA ACRILICO PREMIUM FOSCO</v>
      </c>
      <c r="Q1776" s="244" t="str">
        <f t="shared" si="1483"/>
        <v/>
      </c>
      <c r="R1776" s="234">
        <f t="shared" ca="1" si="1484"/>
        <v>698.8</v>
      </c>
      <c r="S1776" s="233" t="s">
        <v>264</v>
      </c>
      <c r="T1776" s="242" t="str">
        <f>_xlfn.XLOOKUP(S1776,Insumos!$A$3:$A$371,Insumos!$B$3:$B$371)</f>
        <v>L</v>
      </c>
      <c r="U1776" s="235">
        <f ca="1">IF($B1776="insumo",R1776,"")</f>
        <v>698.8</v>
      </c>
      <c r="V1776" s="320">
        <f>0.2678*2</f>
        <v>0.53559999999999997</v>
      </c>
      <c r="W1776" s="236">
        <f>IFERROR(IF(B1776="INSUMO",_xlfn.XLOOKUP(S1776,Insumos!A:A,Insumos!C:C),""),"Inserir Preço")</f>
        <v>29.17</v>
      </c>
      <c r="X1776" s="235">
        <f t="shared" ca="1" si="1485"/>
        <v>374.27727999999996</v>
      </c>
      <c r="Y1776" s="236">
        <f t="shared" si="1477"/>
        <v>15.623452</v>
      </c>
      <c r="Z1776" s="237">
        <f t="shared" ca="1" si="1449"/>
        <v>10917.6682576</v>
      </c>
      <c r="AA1776" s="238"/>
      <c r="AB1776" s="233" t="str">
        <f>IF(B1776="insumo",_xlfn.XLOOKUP(S1776,Insumos!A:A,Insumos!D:D),"")</f>
        <v xml:space="preserve"> </v>
      </c>
      <c r="AC1776" s="239">
        <f t="shared" ca="1" si="1450"/>
        <v>1.5662390501671303E-3</v>
      </c>
      <c r="AE1776" s="240">
        <f ca="1">IFERROR(IF(OR(Z1776="",Z1776=0),"",IF(AF1776="","",IF(AF1776="R$/mês",Z1776/OBRA!$D$12,IF(AF1776="R$/m²",Z1776/OBRA!$D$10,IF(AF1776="R$/apto",Orçamento!Z1776/OBRA!$D$11,""))))),"")</f>
        <v>5.6183098540059593</v>
      </c>
      <c r="AF1776" s="241" t="s">
        <v>154</v>
      </c>
    </row>
    <row r="1777" spans="1:32" s="10" customFormat="1" ht="13.15" hidden="1" customHeight="1" outlineLevel="4" x14ac:dyDescent="0.2">
      <c r="A1777" s="227"/>
      <c r="B1777" s="228" t="s">
        <v>19</v>
      </c>
      <c r="C1777" s="229">
        <f t="shared" si="1448"/>
        <v>12</v>
      </c>
      <c r="D1777" s="227" t="str">
        <f t="shared" si="1465"/>
        <v/>
      </c>
      <c r="E1777" s="228" t="str">
        <f t="shared" ca="1" si="1466"/>
        <v>16.003.001.001</v>
      </c>
      <c r="F1777" s="230">
        <f ca="1">IF($B1777="UNIDADE CONSTRUTIVA",OFFSET(F1777,-1,0)+1,LARGE(F$10:F1776,1))</f>
        <v>2</v>
      </c>
      <c r="G1777" s="228" t="str">
        <f t="shared" ca="1" si="1478"/>
        <v xml:space="preserve">   GERENCIAMENTO EXECUTIVO</v>
      </c>
      <c r="H1777" s="230">
        <f t="shared" ca="1" si="1467"/>
        <v>16</v>
      </c>
      <c r="I1777" s="228" t="str">
        <f t="shared" ca="1" si="1479"/>
        <v xml:space="preserve">   SISTEMAS DE PINTURA INTERNA</v>
      </c>
      <c r="J1777" s="230">
        <f t="shared" ca="1" si="1468"/>
        <v>3</v>
      </c>
      <c r="K1777" s="228" t="str">
        <f t="shared" ca="1" si="1480"/>
        <v xml:space="preserve">   SISTEMAS DE PINTURA INTERNA - 3º  ao 7º PAVIMENTO - TIPO</v>
      </c>
      <c r="L1777" s="231">
        <f t="shared" ca="1" si="1469"/>
        <v>1</v>
      </c>
      <c r="M1777" s="228" t="str">
        <f t="shared" ca="1" si="1481"/>
        <v xml:space="preserve">   Sistemas de Pintura Interna em Parede</v>
      </c>
      <c r="N1777" s="231">
        <f t="shared" ca="1" si="1470"/>
        <v>1</v>
      </c>
      <c r="O1777" s="228" t="str">
        <f t="shared" ca="1" si="1482"/>
        <v>Pintura com tinta latex acrilica, acabamento fosco em paredes internas, 3 demaos Áreas Comuns</v>
      </c>
      <c r="P1777" s="232" t="str">
        <f>IF(S1777="","",IF(Orçamento!$B1777="INSUMO",S1777,""))</f>
        <v>MASSA CORRIDA PVA</v>
      </c>
      <c r="Q1777" s="244" t="str">
        <f t="shared" si="1483"/>
        <v/>
      </c>
      <c r="R1777" s="234">
        <f t="shared" ca="1" si="1484"/>
        <v>698.8</v>
      </c>
      <c r="S1777" s="233" t="s">
        <v>338</v>
      </c>
      <c r="T1777" s="242" t="str">
        <f>_xlfn.XLOOKUP(S1777,Insumos!$A$3:$A$371,Insumos!$B$3:$B$371)</f>
        <v>L</v>
      </c>
      <c r="U1777" s="235">
        <f ca="1">IF($B1777="insumo",R1777,"")</f>
        <v>698.8</v>
      </c>
      <c r="V1777" s="320">
        <v>1.6868000000000001</v>
      </c>
      <c r="W1777" s="236">
        <f>IFERROR(IF(B1777="INSUMO",_xlfn.XLOOKUP(S1777,Insumos!A:A,Insumos!C:C),""),"Inserir Preço")</f>
        <v>1.26</v>
      </c>
      <c r="X1777" s="235">
        <f t="shared" ca="1" si="1485"/>
        <v>1178.7358400000001</v>
      </c>
      <c r="Y1777" s="236">
        <f t="shared" si="1477"/>
        <v>2.1253679999999999</v>
      </c>
      <c r="Z1777" s="237">
        <f t="shared" ca="1" si="1449"/>
        <v>1485.2071584</v>
      </c>
      <c r="AA1777" s="238"/>
      <c r="AB1777" s="233" t="str">
        <f>IF(B1777="insumo",_xlfn.XLOOKUP(S1777,Insumos!A:A,Insumos!D:D),"")</f>
        <v xml:space="preserve"> </v>
      </c>
      <c r="AC1777" s="239">
        <f t="shared" ca="1" si="1450"/>
        <v>2.1306650780990099E-4</v>
      </c>
      <c r="AE1777" s="240">
        <f ca="1">IFERROR(IF(OR(Z1777="",Z1777=0),"",IF(AF1777="","",IF(AF1777="R$/mês",Z1777/OBRA!$D$12,IF(AF1777="R$/m²",Z1777/OBRA!$D$10,IF(AF1777="R$/apto",Orçamento!Z1777/OBRA!$D$11,""))))),"")</f>
        <v>0.76429818312809084</v>
      </c>
      <c r="AF1777" s="241" t="s">
        <v>154</v>
      </c>
    </row>
    <row r="1778" spans="1:32" s="10" customFormat="1" ht="13.15" hidden="1" customHeight="1" outlineLevel="4" x14ac:dyDescent="0.2">
      <c r="A1778" s="227"/>
      <c r="B1778" s="228" t="s">
        <v>19</v>
      </c>
      <c r="C1778" s="229">
        <f t="shared" si="1448"/>
        <v>19</v>
      </c>
      <c r="D1778" s="227" t="str">
        <f t="shared" si="1465"/>
        <v/>
      </c>
      <c r="E1778" s="228" t="str">
        <f t="shared" ca="1" si="1466"/>
        <v>16.003.001.001</v>
      </c>
      <c r="F1778" s="230">
        <f ca="1">IF($B1778="UNIDADE CONSTRUTIVA",OFFSET(F1778,-1,0)+1,LARGE(F$10:F1777,1))</f>
        <v>2</v>
      </c>
      <c r="G1778" s="228" t="str">
        <f t="shared" ca="1" si="1478"/>
        <v xml:space="preserve">   GERENCIAMENTO EXECUTIVO</v>
      </c>
      <c r="H1778" s="230">
        <f t="shared" ca="1" si="1467"/>
        <v>16</v>
      </c>
      <c r="I1778" s="228" t="str">
        <f t="shared" ca="1" si="1479"/>
        <v xml:space="preserve">   SISTEMAS DE PINTURA INTERNA</v>
      </c>
      <c r="J1778" s="230">
        <f t="shared" ca="1" si="1468"/>
        <v>3</v>
      </c>
      <c r="K1778" s="228" t="str">
        <f t="shared" ca="1" si="1480"/>
        <v xml:space="preserve">   SISTEMAS DE PINTURA INTERNA - 3º  ao 7º PAVIMENTO - TIPO</v>
      </c>
      <c r="L1778" s="231">
        <f t="shared" ca="1" si="1469"/>
        <v>1</v>
      </c>
      <c r="M1778" s="228" t="str">
        <f t="shared" ca="1" si="1481"/>
        <v xml:space="preserve">   Sistemas de Pintura Interna em Parede</v>
      </c>
      <c r="N1778" s="231">
        <f t="shared" ca="1" si="1470"/>
        <v>1</v>
      </c>
      <c r="O1778" s="228" t="str">
        <f t="shared" ca="1" si="1482"/>
        <v>Pintura com tinta latex acrilica, acabamento fosco em paredes internas, 3 demaos Áreas Comuns</v>
      </c>
      <c r="P1778" s="232" t="str">
        <f>IF(S1778="","",IF(Orçamento!$B1778="INSUMO",S1778,""))</f>
        <v>LIXA EM FOLHA PARA PAREDE OU MADEIRA N° 120</v>
      </c>
      <c r="Q1778" s="244" t="str">
        <f t="shared" si="1483"/>
        <v/>
      </c>
      <c r="R1778" s="234">
        <f t="shared" ca="1" si="1484"/>
        <v>698.8</v>
      </c>
      <c r="S1778" s="233" t="s">
        <v>922</v>
      </c>
      <c r="T1778" s="242" t="str">
        <f>_xlfn.XLOOKUP(S1778,Insumos!$A$3:$A$371,Insumos!$B$3:$B$371)</f>
        <v>UN</v>
      </c>
      <c r="U1778" s="235">
        <f ca="1">IF($B1778="insumo",R1778,"")</f>
        <v>698.8</v>
      </c>
      <c r="V1778" s="320">
        <v>9.8500000000000004E-2</v>
      </c>
      <c r="W1778" s="236">
        <f>IFERROR(IF(B1778="INSUMO",_xlfn.XLOOKUP(S1778,Insumos!A:A,Insumos!C:C),""),"Inserir Preço")</f>
        <v>2.2999999999999998</v>
      </c>
      <c r="X1778" s="235">
        <f t="shared" ca="1" si="1485"/>
        <v>68.831800000000001</v>
      </c>
      <c r="Y1778" s="236">
        <f t="shared" si="1477"/>
        <v>0.22655</v>
      </c>
      <c r="Z1778" s="237">
        <f t="shared" ca="1" si="1449"/>
        <v>158.31314</v>
      </c>
      <c r="AA1778" s="238"/>
      <c r="AB1778" s="233" t="str">
        <f>IF(B1778="insumo",_xlfn.XLOOKUP(S1778,Insumos!A:A,Insumos!D:D),"")</f>
        <v xml:space="preserve"> </v>
      </c>
      <c r="AC1778" s="239">
        <f t="shared" ca="1" si="1450"/>
        <v>2.2711463306275933E-5</v>
      </c>
      <c r="AE1778" s="240">
        <f ca="1">IFERROR(IF(OR(Z1778="",Z1778=0),"",IF(AF1778="","",IF(AF1778="R$/mês",Z1778/OBRA!$D$12,IF(AF1778="R$/m²",Z1778/OBRA!$D$10,IF(AF1778="R$/apto",Orçamento!Z1778/OBRA!$D$11,""))))),"")</f>
        <v>8.1469069538860558E-2</v>
      </c>
      <c r="AF1778" s="241" t="s">
        <v>154</v>
      </c>
    </row>
    <row r="1779" spans="1:32" s="10" customFormat="1" ht="13.15" hidden="1" customHeight="1" outlineLevel="4" x14ac:dyDescent="0.2">
      <c r="A1779" s="227"/>
      <c r="B1779" s="228" t="s">
        <v>4</v>
      </c>
      <c r="C1779" s="229">
        <f t="shared" si="1448"/>
        <v>2</v>
      </c>
      <c r="D1779" s="227" t="str">
        <f t="shared" ca="1" si="1465"/>
        <v>16.003.001.002</v>
      </c>
      <c r="E1779" s="228" t="str">
        <f t="shared" ca="1" si="1466"/>
        <v>16.003.001.002</v>
      </c>
      <c r="F1779" s="230">
        <f ca="1">IF($B1779="UNIDADE CONSTRUTIVA",OFFSET(F1779,-1,0)+1,LARGE(F$10:F1778,1))</f>
        <v>2</v>
      </c>
      <c r="G1779" s="228" t="str">
        <f t="shared" ca="1" si="1478"/>
        <v xml:space="preserve">   GERENCIAMENTO EXECUTIVO</v>
      </c>
      <c r="H1779" s="230">
        <f t="shared" ca="1" si="1467"/>
        <v>16</v>
      </c>
      <c r="I1779" s="228" t="str">
        <f t="shared" ca="1" si="1479"/>
        <v xml:space="preserve">   SISTEMAS DE PINTURA INTERNA</v>
      </c>
      <c r="J1779" s="230">
        <f t="shared" ca="1" si="1468"/>
        <v>3</v>
      </c>
      <c r="K1779" s="228" t="str">
        <f t="shared" ca="1" si="1480"/>
        <v xml:space="preserve">   SISTEMAS DE PINTURA INTERNA - 3º  ao 7º PAVIMENTO - TIPO</v>
      </c>
      <c r="L1779" s="231">
        <f t="shared" ca="1" si="1469"/>
        <v>1</v>
      </c>
      <c r="M1779" s="228" t="str">
        <f t="shared" ca="1" si="1481"/>
        <v xml:space="preserve">   Sistemas de Pintura Interna em Parede</v>
      </c>
      <c r="N1779" s="231">
        <f t="shared" ca="1" si="1470"/>
        <v>2</v>
      </c>
      <c r="O1779" s="228" t="str">
        <f t="shared" ca="1" si="1482"/>
        <v>Pintura com tinta latex acrilica, acabamento fosco em paredes internas, 3 demaos Áreas Privativas</v>
      </c>
      <c r="P1779" s="232" t="str">
        <f>IF(S1779="","",IF(Orçamento!$B1779="INSUMO",S1779,""))</f>
        <v/>
      </c>
      <c r="Q1779" s="244" t="str">
        <f t="shared" si="1483"/>
        <v>Pintura com tinta latex acrilica, acabamento fosco em paredes internas, 3 demaos Áreas Privativas</v>
      </c>
      <c r="R1779" s="234">
        <f t="shared" ca="1" si="1484"/>
        <v>1403.1299999999999</v>
      </c>
      <c r="S1779" s="233" t="s">
        <v>739</v>
      </c>
      <c r="T1779" s="242" t="s">
        <v>140</v>
      </c>
      <c r="U1779" s="235">
        <v>1403.1299999999999</v>
      </c>
      <c r="V1779" s="320" t="s">
        <v>35</v>
      </c>
      <c r="W1779" s="236" t="str">
        <f>IFERROR(IF(B1779="INSUMO",_xlfn.XLOOKUP(S1779,Insumos!A:A,Insumos!C:C),""),"Inserir Preço")</f>
        <v/>
      </c>
      <c r="X1779" s="235">
        <f t="shared" ca="1" si="1485"/>
        <v>1403.1299999999999</v>
      </c>
      <c r="Y1779" s="236">
        <f t="shared" ca="1" si="1477"/>
        <v>17.975370000000002</v>
      </c>
      <c r="Z1779" s="237">
        <f t="shared" ca="1" si="1449"/>
        <v>25221.780908100001</v>
      </c>
      <c r="AA1779" s="238"/>
      <c r="AB1779" s="233" t="str">
        <f>IF(B1779="insumo",_xlfn.XLOOKUP(S1779,Insumos!A:A,Insumos!D:D),"")</f>
        <v/>
      </c>
      <c r="AC1779" s="239">
        <f t="shared" ca="1" si="1450"/>
        <v>3.6182944234018988E-3</v>
      </c>
      <c r="AE1779" s="240">
        <f ca="1">IFERROR(IF(OR(Z1779="",Z1779=0),"",IF(AF1779="","",IF(AF1779="R$/mês",Z1779/OBRA!$D$12,IF(AF1779="R$/m²",Z1779/OBRA!$D$10,IF(AF1779="R$/apto",Orçamento!Z1779/OBRA!$D$11,""))))),"")</f>
        <v>12.979308114891188</v>
      </c>
      <c r="AF1779" s="241" t="s">
        <v>154</v>
      </c>
    </row>
    <row r="1780" spans="1:32" s="10" customFormat="1" ht="13.15" hidden="1" customHeight="1" outlineLevel="4" x14ac:dyDescent="0.2">
      <c r="A1780" s="227"/>
      <c r="B1780" s="228" t="s">
        <v>19</v>
      </c>
      <c r="C1780" s="229">
        <f t="shared" si="1448"/>
        <v>13</v>
      </c>
      <c r="D1780" s="227" t="str">
        <f t="shared" si="1465"/>
        <v/>
      </c>
      <c r="E1780" s="228" t="str">
        <f t="shared" ca="1" si="1466"/>
        <v>16.003.001.002</v>
      </c>
      <c r="F1780" s="230">
        <f ca="1">IF($B1780="UNIDADE CONSTRUTIVA",OFFSET(F1780,-1,0)+1,LARGE(F$10:F1779,1))</f>
        <v>2</v>
      </c>
      <c r="G1780" s="228" t="str">
        <f t="shared" ca="1" si="1478"/>
        <v xml:space="preserve">   GERENCIAMENTO EXECUTIVO</v>
      </c>
      <c r="H1780" s="230">
        <f t="shared" ca="1" si="1467"/>
        <v>16</v>
      </c>
      <c r="I1780" s="228" t="str">
        <f t="shared" ca="1" si="1479"/>
        <v xml:space="preserve">   SISTEMAS DE PINTURA INTERNA</v>
      </c>
      <c r="J1780" s="230">
        <f t="shared" ca="1" si="1468"/>
        <v>3</v>
      </c>
      <c r="K1780" s="228" t="str">
        <f t="shared" ca="1" si="1480"/>
        <v xml:space="preserve">   SISTEMAS DE PINTURA INTERNA - 3º  ao 7º PAVIMENTO - TIPO</v>
      </c>
      <c r="L1780" s="231">
        <f t="shared" ca="1" si="1469"/>
        <v>1</v>
      </c>
      <c r="M1780" s="228" t="str">
        <f t="shared" ca="1" si="1481"/>
        <v xml:space="preserve">   Sistemas de Pintura Interna em Parede</v>
      </c>
      <c r="N1780" s="231">
        <f t="shared" ca="1" si="1470"/>
        <v>2</v>
      </c>
      <c r="O1780" s="228" t="str">
        <f t="shared" ca="1" si="1482"/>
        <v>Pintura com tinta latex acrilica, acabamento fosco em paredes internas, 3 demaos Áreas Privativas</v>
      </c>
      <c r="P1780" s="232" t="str">
        <f>IF(S1780="","",IF(Orçamento!$B1780="INSUMO",S1780,""))</f>
        <v>TINTA ACRILICO PREMIUM FOSCO</v>
      </c>
      <c r="Q1780" s="244" t="str">
        <f t="shared" si="1483"/>
        <v/>
      </c>
      <c r="R1780" s="234">
        <f t="shared" ca="1" si="1484"/>
        <v>1403.1299999999999</v>
      </c>
      <c r="S1780" s="233" t="s">
        <v>264</v>
      </c>
      <c r="T1780" s="242" t="str">
        <f>_xlfn.XLOOKUP(S1780,Insumos!$A$3:$A$371,Insumos!$B$3:$B$371)</f>
        <v>L</v>
      </c>
      <c r="U1780" s="235">
        <f ca="1">IF($B1780="insumo",R1780,"")</f>
        <v>1403.1299999999999</v>
      </c>
      <c r="V1780" s="320">
        <f>0.2678*2</f>
        <v>0.53559999999999997</v>
      </c>
      <c r="W1780" s="236">
        <f>IFERROR(IF(B1780="INSUMO",_xlfn.XLOOKUP(S1780,Insumos!A:A,Insumos!C:C),""),"Inserir Preço")</f>
        <v>29.17</v>
      </c>
      <c r="X1780" s="235">
        <f t="shared" ca="1" si="1485"/>
        <v>751.51642799999991</v>
      </c>
      <c r="Y1780" s="236">
        <f t="shared" si="1477"/>
        <v>15.623452</v>
      </c>
      <c r="Z1780" s="237">
        <f t="shared" ca="1" si="1449"/>
        <v>21921.73420476</v>
      </c>
      <c r="AA1780" s="238"/>
      <c r="AB1780" s="233" t="str">
        <f>IF(B1780="insumo",_xlfn.XLOOKUP(S1780,Insumos!A:A,Insumos!D:D),"")</f>
        <v xml:space="preserve"> </v>
      </c>
      <c r="AC1780" s="239">
        <f t="shared" ca="1" si="1450"/>
        <v>3.1448726366070483E-3</v>
      </c>
      <c r="AE1780" s="240">
        <f ca="1">IFERROR(IF(OR(Z1780="",Z1780=0),"",IF(AF1780="","",IF(AF1780="R$/mês",Z1780/OBRA!$D$12,IF(AF1780="R$/m²",Z1780/OBRA!$D$10,IF(AF1780="R$/apto",Orçamento!Z1780/OBRA!$D$11,""))))),"")</f>
        <v>11.281080574486808</v>
      </c>
      <c r="AF1780" s="241" t="s">
        <v>154</v>
      </c>
    </row>
    <row r="1781" spans="1:32" s="10" customFormat="1" ht="13.15" hidden="1" customHeight="1" outlineLevel="4" x14ac:dyDescent="0.2">
      <c r="A1781" s="227"/>
      <c r="B1781" s="228" t="s">
        <v>19</v>
      </c>
      <c r="C1781" s="229">
        <f t="shared" si="1448"/>
        <v>12</v>
      </c>
      <c r="D1781" s="227" t="str">
        <f t="shared" si="1465"/>
        <v/>
      </c>
      <c r="E1781" s="228" t="str">
        <f t="shared" ca="1" si="1466"/>
        <v>16.003.001.002</v>
      </c>
      <c r="F1781" s="230">
        <f ca="1">IF($B1781="UNIDADE CONSTRUTIVA",OFFSET(F1781,-1,0)+1,LARGE(F$10:F1780,1))</f>
        <v>2</v>
      </c>
      <c r="G1781" s="228" t="str">
        <f t="shared" ca="1" si="1478"/>
        <v xml:space="preserve">   GERENCIAMENTO EXECUTIVO</v>
      </c>
      <c r="H1781" s="230">
        <f t="shared" ca="1" si="1467"/>
        <v>16</v>
      </c>
      <c r="I1781" s="228" t="str">
        <f t="shared" ca="1" si="1479"/>
        <v xml:space="preserve">   SISTEMAS DE PINTURA INTERNA</v>
      </c>
      <c r="J1781" s="230">
        <f t="shared" ca="1" si="1468"/>
        <v>3</v>
      </c>
      <c r="K1781" s="228" t="str">
        <f t="shared" ca="1" si="1480"/>
        <v xml:space="preserve">   SISTEMAS DE PINTURA INTERNA - 3º  ao 7º PAVIMENTO - TIPO</v>
      </c>
      <c r="L1781" s="231">
        <f t="shared" ca="1" si="1469"/>
        <v>1</v>
      </c>
      <c r="M1781" s="228" t="str">
        <f t="shared" ca="1" si="1481"/>
        <v xml:space="preserve">   Sistemas de Pintura Interna em Parede</v>
      </c>
      <c r="N1781" s="231">
        <f t="shared" ca="1" si="1470"/>
        <v>2</v>
      </c>
      <c r="O1781" s="228" t="str">
        <f t="shared" ca="1" si="1482"/>
        <v>Pintura com tinta latex acrilica, acabamento fosco em paredes internas, 3 demaos Áreas Privativas</v>
      </c>
      <c r="P1781" s="232" t="str">
        <f>IF(S1781="","",IF(Orçamento!$B1781="INSUMO",S1781,""))</f>
        <v>MASSA CORRIDA PVA</v>
      </c>
      <c r="Q1781" s="244" t="str">
        <f t="shared" si="1483"/>
        <v/>
      </c>
      <c r="R1781" s="234">
        <f t="shared" ca="1" si="1484"/>
        <v>1403.1299999999999</v>
      </c>
      <c r="S1781" s="233" t="s">
        <v>338</v>
      </c>
      <c r="T1781" s="242" t="str">
        <f>_xlfn.XLOOKUP(S1781,Insumos!$A$3:$A$371,Insumos!$B$3:$B$371)</f>
        <v>L</v>
      </c>
      <c r="U1781" s="235">
        <f ca="1">IF($B1781="insumo",R1781,"")</f>
        <v>1403.1299999999999</v>
      </c>
      <c r="V1781" s="320">
        <v>1.6868000000000001</v>
      </c>
      <c r="W1781" s="236">
        <f>IFERROR(IF(B1781="INSUMO",_xlfn.XLOOKUP(S1781,Insumos!A:A,Insumos!C:C),""),"Inserir Preço")</f>
        <v>1.26</v>
      </c>
      <c r="X1781" s="235">
        <f t="shared" ca="1" si="1485"/>
        <v>2366.7996840000001</v>
      </c>
      <c r="Y1781" s="236">
        <f t="shared" si="1477"/>
        <v>2.1253679999999999</v>
      </c>
      <c r="Z1781" s="237">
        <f t="shared" ca="1" si="1449"/>
        <v>2982.1676018400003</v>
      </c>
      <c r="AA1781" s="238"/>
      <c r="AB1781" s="233" t="str">
        <f>IF(B1781="insumo",_xlfn.XLOOKUP(S1781,Insumos!A:A,Insumos!D:D),"")</f>
        <v xml:space="preserve"> </v>
      </c>
      <c r="AC1781" s="239">
        <f t="shared" ca="1" si="1450"/>
        <v>4.2781913151589352E-4</v>
      </c>
      <c r="AE1781" s="240">
        <f ca="1">IFERROR(IF(OR(Z1781="",Z1781=0),"",IF(AF1781="","",IF(AF1781="R$/mês",Z1781/OBRA!$D$12,IF(AF1781="R$/m²",Z1781/OBRA!$D$10,IF(AF1781="R$/apto",Orçamento!Z1781/OBRA!$D$11,""))))),"")</f>
        <v>1.5346446904586695</v>
      </c>
      <c r="AF1781" s="241" t="s">
        <v>154</v>
      </c>
    </row>
    <row r="1782" spans="1:32" s="10" customFormat="1" ht="13.15" hidden="1" customHeight="1" outlineLevel="4" x14ac:dyDescent="0.2">
      <c r="A1782" s="227"/>
      <c r="B1782" s="228" t="s">
        <v>19</v>
      </c>
      <c r="C1782" s="229">
        <f t="shared" si="1448"/>
        <v>19</v>
      </c>
      <c r="D1782" s="227" t="str">
        <f t="shared" si="1465"/>
        <v/>
      </c>
      <c r="E1782" s="228" t="str">
        <f t="shared" ca="1" si="1466"/>
        <v>16.003.001.002</v>
      </c>
      <c r="F1782" s="230">
        <f ca="1">IF($B1782="UNIDADE CONSTRUTIVA",OFFSET(F1782,-1,0)+1,LARGE(F$10:F1781,1))</f>
        <v>2</v>
      </c>
      <c r="G1782" s="228" t="str">
        <f t="shared" ca="1" si="1478"/>
        <v xml:space="preserve">   GERENCIAMENTO EXECUTIVO</v>
      </c>
      <c r="H1782" s="230">
        <f t="shared" ca="1" si="1467"/>
        <v>16</v>
      </c>
      <c r="I1782" s="228" t="str">
        <f t="shared" ca="1" si="1479"/>
        <v xml:space="preserve">   SISTEMAS DE PINTURA INTERNA</v>
      </c>
      <c r="J1782" s="230">
        <f t="shared" ca="1" si="1468"/>
        <v>3</v>
      </c>
      <c r="K1782" s="228" t="str">
        <f t="shared" ca="1" si="1480"/>
        <v xml:space="preserve">   SISTEMAS DE PINTURA INTERNA - 3º  ao 7º PAVIMENTO - TIPO</v>
      </c>
      <c r="L1782" s="231">
        <f t="shared" ca="1" si="1469"/>
        <v>1</v>
      </c>
      <c r="M1782" s="228" t="str">
        <f t="shared" ca="1" si="1481"/>
        <v xml:space="preserve">   Sistemas de Pintura Interna em Parede</v>
      </c>
      <c r="N1782" s="231">
        <f t="shared" ca="1" si="1470"/>
        <v>2</v>
      </c>
      <c r="O1782" s="228" t="str">
        <f t="shared" ca="1" si="1482"/>
        <v>Pintura com tinta latex acrilica, acabamento fosco em paredes internas, 3 demaos Áreas Privativas</v>
      </c>
      <c r="P1782" s="232" t="str">
        <f>IF(S1782="","",IF(Orçamento!$B1782="INSUMO",S1782,""))</f>
        <v>LIXA EM FOLHA PARA PAREDE OU MADEIRA N° 120</v>
      </c>
      <c r="Q1782" s="244" t="str">
        <f t="shared" si="1483"/>
        <v/>
      </c>
      <c r="R1782" s="234">
        <f t="shared" ca="1" si="1484"/>
        <v>1403.1299999999999</v>
      </c>
      <c r="S1782" s="233" t="s">
        <v>922</v>
      </c>
      <c r="T1782" s="242" t="str">
        <f>_xlfn.XLOOKUP(S1782,Insumos!$A$3:$A$371,Insumos!$B$3:$B$371)</f>
        <v>UN</v>
      </c>
      <c r="U1782" s="235">
        <f ca="1">IF($B1782="insumo",R1782,"")</f>
        <v>1403.1299999999999</v>
      </c>
      <c r="V1782" s="320">
        <v>9.8500000000000004E-2</v>
      </c>
      <c r="W1782" s="236">
        <f>IFERROR(IF(B1782="INSUMO",_xlfn.XLOOKUP(S1782,Insumos!A:A,Insumos!C:C),""),"Inserir Preço")</f>
        <v>2.2999999999999998</v>
      </c>
      <c r="X1782" s="235">
        <f t="shared" ca="1" si="1485"/>
        <v>138.208305</v>
      </c>
      <c r="Y1782" s="236">
        <f t="shared" si="1477"/>
        <v>0.22655</v>
      </c>
      <c r="Z1782" s="237">
        <f t="shared" ca="1" si="1449"/>
        <v>317.87910149999999</v>
      </c>
      <c r="AA1782" s="238"/>
      <c r="AB1782" s="233" t="str">
        <f>IF(B1782="insumo",_xlfn.XLOOKUP(S1782,Insumos!A:A,Insumos!D:D),"")</f>
        <v xml:space="preserve"> </v>
      </c>
      <c r="AC1782" s="239">
        <f t="shared" ca="1" si="1450"/>
        <v>4.5602655278956708E-5</v>
      </c>
      <c r="AE1782" s="240">
        <f ca="1">IFERROR(IF(OR(Z1782="",Z1782=0),"",IF(AF1782="","",IF(AF1782="R$/mês",Z1782/OBRA!$D$12,IF(AF1782="R$/m²",Z1782/OBRA!$D$10,IF(AF1782="R$/apto",Orçamento!Z1782/OBRA!$D$11,""))))),"")</f>
        <v>0.16358284994570893</v>
      </c>
      <c r="AF1782" s="241" t="s">
        <v>154</v>
      </c>
    </row>
    <row r="1783" spans="1:32" s="10" customFormat="1" ht="13.15" hidden="1" customHeight="1" outlineLevel="3" collapsed="1" x14ac:dyDescent="0.2">
      <c r="A1783" s="227"/>
      <c r="B1783" s="228" t="s">
        <v>3</v>
      </c>
      <c r="C1783" s="229" t="str">
        <f t="shared" si="1448"/>
        <v/>
      </c>
      <c r="D1783" s="227" t="str">
        <f t="shared" ca="1" si="1465"/>
        <v>16.003.002</v>
      </c>
      <c r="E1783" s="228" t="str">
        <f t="shared" ca="1" si="1466"/>
        <v>16.003.001.002</v>
      </c>
      <c r="F1783" s="230">
        <f ca="1">IF($B1783="UNIDADE CONSTRUTIVA",OFFSET(F1783,-1,0)+1,LARGE(F$10:F1782,1))</f>
        <v>2</v>
      </c>
      <c r="G1783" s="228" t="str">
        <f t="shared" ref="G1783:G1814" ca="1" si="1486">IF(B1783="*","",IF(B1783="UNIDADE CONSTRUTIVA",S1783,OFFSET(G1783,-1,0)))</f>
        <v xml:space="preserve">   GERENCIAMENTO EXECUTIVO</v>
      </c>
      <c r="H1783" s="230">
        <f t="shared" ca="1" si="1467"/>
        <v>16</v>
      </c>
      <c r="I1783" s="228" t="str">
        <f t="shared" ref="I1783:I1814" ca="1" si="1487">IF(B1783="*","",IF(B1783="CÉLULA CONSTRUTIVA",S1783,OFFSET(I1783,-1,0)))</f>
        <v xml:space="preserve">   SISTEMAS DE PINTURA INTERNA</v>
      </c>
      <c r="J1783" s="230">
        <f t="shared" ca="1" si="1468"/>
        <v>3</v>
      </c>
      <c r="K1783" s="228" t="str">
        <f t="shared" ref="K1783:K1814" ca="1" si="1488">IF(B1783="*","",IF(B1783="ETAPA",S1783,OFFSET(K1783,-1,0)))</f>
        <v xml:space="preserve">   SISTEMAS DE PINTURA INTERNA - 3º  ao 7º PAVIMENTO - TIPO</v>
      </c>
      <c r="L1783" s="231">
        <f t="shared" ca="1" si="1469"/>
        <v>2</v>
      </c>
      <c r="M1783" s="228" t="str">
        <f t="shared" ref="M1783:M1814" ca="1" si="1489">IF(B1783="*","",IF(B1783="SUBETAPA",S1783,OFFSET(M1783,-1,0)))</f>
        <v xml:space="preserve">   Sistemas de Pintura Interna em Teto</v>
      </c>
      <c r="N1783" s="231">
        <f t="shared" ca="1" si="1470"/>
        <v>0</v>
      </c>
      <c r="O1783" s="228" t="str">
        <f t="shared" ref="O1783:O1814" ca="1" si="1490">IF(B1783="*","",IF(B1783="SERVIÇO",S1783,OFFSET(O1783,-1,0)))</f>
        <v>Pintura com tinta latex acrilica, acabamento fosco em paredes internas, 3 demaos Áreas Privativas</v>
      </c>
      <c r="P1783" s="232" t="str">
        <f>IF(S1783="","",IF(Orçamento!$B1783="INSUMO",S1783,""))</f>
        <v/>
      </c>
      <c r="Q1783" s="244" t="str">
        <f t="shared" si="1456"/>
        <v/>
      </c>
      <c r="R1783" s="234">
        <f t="shared" ref="R1783:R1814" ca="1" si="1491">IF(B1783="serviço",U1783,OFFSET(R1783,-1,0))</f>
        <v>1403.1299999999999</v>
      </c>
      <c r="S1783" s="233" t="s">
        <v>500</v>
      </c>
      <c r="T1783" s="242" t="s">
        <v>35</v>
      </c>
      <c r="U1783" s="235" t="str">
        <f>IF($B1783="insumo",R1783,"")</f>
        <v/>
      </c>
      <c r="V1783" s="320" t="s">
        <v>35</v>
      </c>
      <c r="W1783" s="236" t="str">
        <f>IFERROR(IF(B1783="INSUMO",_xlfn.XLOOKUP(S1783,Insumos!A:A,Insumos!C:C),""),"Inserir Preço")</f>
        <v/>
      </c>
      <c r="X1783" s="235" t="str">
        <f t="shared" ref="X1783:X1814" ca="1" si="1492">IF(B1783="Complemento do insumo",V1783,IF(R1783="","",IF(B1783="serviço",R1783,IF(OR(B1783="insumo"),V1783*R1783,""))))</f>
        <v/>
      </c>
      <c r="Y1783" s="236" t="str">
        <f t="shared" si="1477"/>
        <v/>
      </c>
      <c r="Z1783" s="237">
        <f t="shared" ca="1" si="1449"/>
        <v>15022.426124199999</v>
      </c>
      <c r="AA1783" s="238"/>
      <c r="AB1783" s="233" t="str">
        <f>IF(B1783="insumo",_xlfn.XLOOKUP(S1783,Insumos!A:A,Insumos!D:D),"")</f>
        <v/>
      </c>
      <c r="AC1783" s="239">
        <f t="shared" ca="1" si="1450"/>
        <v>2.1551039900478842E-3</v>
      </c>
      <c r="AE1783" s="240">
        <f ca="1">IFERROR(IF(OR(Z1783="",Z1783=0),"",IF(AF1783="","",IF(AF1783="R$/mês",Z1783/OBRA!$D$12,IF(AF1783="R$/m²",Z1783/OBRA!$D$10,IF(AF1783="R$/apto",Orçamento!Z1783/OBRA!$D$11,""))))),"")</f>
        <v>7.7306474911358922</v>
      </c>
      <c r="AF1783" s="241" t="s">
        <v>154</v>
      </c>
    </row>
    <row r="1784" spans="1:32" s="10" customFormat="1" ht="13.15" hidden="1" customHeight="1" outlineLevel="4" x14ac:dyDescent="0.2">
      <c r="A1784" s="227"/>
      <c r="B1784" s="228" t="s">
        <v>4</v>
      </c>
      <c r="C1784" s="229">
        <f t="shared" si="1448"/>
        <v>5</v>
      </c>
      <c r="D1784" s="227" t="str">
        <f ca="1">IF(B1784="Unidade Construtiva",TEXT(F1784,"00"),IF(B1784="Célula Construtiva",TEXT(H1784,"00"),IF(B1784="Etapa",CONCATENATE(TEXT(H1784,"00"),".",TEXT(J1784,"000")),IF(B1784="Subetapa",CONCATENATE(TEXT(H1784,"00"),".",TEXT(J1784,"000"),".",TEXT(L1784,"000")),IF(B1784="Serviço",CONCATENATE(TEXT(H1784,"00"),".",TEXT(J1784,"000"),".",TEXT(L1784,"000"),".",TEXT(N1784,"000")),"")))))</f>
        <v>16.003.002.001</v>
      </c>
      <c r="E1784" s="228" t="str">
        <f ca="1">IF(B1784="*","",IFERROR(IF(B1784="SERVIÇO",D1784,OFFSET(E1784,-1,0)),""))</f>
        <v>16.003.002.001</v>
      </c>
      <c r="F1784" s="230">
        <f ca="1">IF($B1784="UNIDADE CONSTRUTIVA",OFFSET(F1784,-1,0)+1,LARGE(F$10:F1783,1))</f>
        <v>2</v>
      </c>
      <c r="G1784" s="228" t="str">
        <f t="shared" ca="1" si="1486"/>
        <v xml:space="preserve">   GERENCIAMENTO EXECUTIVO</v>
      </c>
      <c r="H1784" s="230">
        <f ca="1">IF(B1784="UNIDADE CONSTRUTIVA",0,IF(B1784="CÉLULA CONSTRUTIVA",OFFSET(H1784,-1,0)+1,OFFSET(H1784,-1,0)))</f>
        <v>16</v>
      </c>
      <c r="I1784" s="228" t="str">
        <f t="shared" ca="1" si="1487"/>
        <v xml:space="preserve">   SISTEMAS DE PINTURA INTERNA</v>
      </c>
      <c r="J1784" s="230">
        <f ca="1">IF(B1784="CÉLULA CONSTRUTIVA",0,IF(B1784="ETAPA",OFFSET(J1784,-1,0)+1,OFFSET(J1784,-1,0)))</f>
        <v>3</v>
      </c>
      <c r="K1784" s="228" t="str">
        <f t="shared" ca="1" si="1488"/>
        <v xml:space="preserve">   SISTEMAS DE PINTURA INTERNA - 3º  ao 7º PAVIMENTO - TIPO</v>
      </c>
      <c r="L1784" s="231">
        <f ca="1">IF(B1784="ETAPA",0,IF(B1784="SUBETAPA",OFFSET(L1784,-1,0)+1,OFFSET(L1784,-1,0)))</f>
        <v>2</v>
      </c>
      <c r="M1784" s="228" t="str">
        <f t="shared" ca="1" si="1489"/>
        <v xml:space="preserve">   Sistemas de Pintura Interna em Teto</v>
      </c>
      <c r="N1784" s="231">
        <f ca="1">IF(B1784="Subetapa",0,IF(B1784="serviço",OFFSET(N1784,-1,0)+1,OFFSET(N1784,-1,0)))</f>
        <v>1</v>
      </c>
      <c r="O1784" s="228" t="str">
        <f t="shared" ca="1" si="1490"/>
        <v>Pintura com tinta latex acrilica, acabamento fosco em teto, 3 demaos</v>
      </c>
      <c r="P1784" s="232" t="str">
        <f>IF(S1784="","",IF(Orçamento!$B1784="INSUMO",S1784,""))</f>
        <v/>
      </c>
      <c r="Q1784" s="244" t="str">
        <f>IF(B1784="","",IF(B1784="Serviço",S1784,""))</f>
        <v>Pintura com tinta latex acrilica, acabamento fosco em teto, 3 demaos</v>
      </c>
      <c r="R1784" s="234">
        <f t="shared" ca="1" si="1491"/>
        <v>952.09999999999991</v>
      </c>
      <c r="S1784" s="233" t="s">
        <v>501</v>
      </c>
      <c r="T1784" s="242" t="s">
        <v>140</v>
      </c>
      <c r="U1784" s="235">
        <v>952.09999999999991</v>
      </c>
      <c r="V1784" s="320" t="s">
        <v>35</v>
      </c>
      <c r="W1784" s="236" t="str">
        <f>IFERROR(IF(B1784="INSUMO",_xlfn.XLOOKUP(S1784,Insumos!A:A,Insumos!C:C),""),"Inserir Preço")</f>
        <v/>
      </c>
      <c r="X1784" s="235">
        <f t="shared" ca="1" si="1492"/>
        <v>952.09999999999991</v>
      </c>
      <c r="Y1784" s="236">
        <f t="shared" ca="1" si="1477"/>
        <v>15.778202000000002</v>
      </c>
      <c r="Z1784" s="237">
        <f t="shared" ca="1" si="1449"/>
        <v>15022.426124200001</v>
      </c>
      <c r="AA1784" s="238"/>
      <c r="AB1784" s="233" t="str">
        <f>IF(B1784="insumo",_xlfn.XLOOKUP(S1784,Insumos!A:A,Insumos!D:D),"")</f>
        <v/>
      </c>
      <c r="AC1784" s="239">
        <f t="shared" ca="1" si="1450"/>
        <v>2.1551039900478842E-3</v>
      </c>
      <c r="AE1784" s="240">
        <f ca="1">IFERROR(IF(OR(Z1784="",Z1784=0),"",IF(AF1784="","",IF(AF1784="R$/mês",Z1784/OBRA!$D$12,IF(AF1784="R$/m²",Z1784/OBRA!$D$10,IF(AF1784="R$/apto",Orçamento!Z1784/OBRA!$D$11,""))))),"")</f>
        <v>7.7306474911358931</v>
      </c>
      <c r="AF1784" s="241" t="s">
        <v>154</v>
      </c>
    </row>
    <row r="1785" spans="1:32" s="10" customFormat="1" ht="13.15" hidden="1" customHeight="1" outlineLevel="4" x14ac:dyDescent="0.2">
      <c r="A1785" s="227"/>
      <c r="B1785" s="228" t="s">
        <v>19</v>
      </c>
      <c r="C1785" s="229">
        <f t="shared" si="1448"/>
        <v>12</v>
      </c>
      <c r="D1785" s="227" t="str">
        <f>IF(B1785="Unidade Construtiva",TEXT(F1785,"00"),IF(B1785="Célula Construtiva",TEXT(H1785,"00"),IF(B1785="Etapa",CONCATENATE(TEXT(H1785,"00"),".",TEXT(J1785,"000")),IF(B1785="Subetapa",CONCATENATE(TEXT(H1785,"00"),".",TEXT(J1785,"000"),".",TEXT(L1785,"000")),IF(B1785="Serviço",CONCATENATE(TEXT(H1785,"00"),".",TEXT(J1785,"000"),".",TEXT(L1785,"000"),".",TEXT(N1785,"000")),"")))))</f>
        <v/>
      </c>
      <c r="E1785" s="228" t="str">
        <f ca="1">IF(B1785="*","",IFERROR(IF(B1785="SERVIÇO",D1785,OFFSET(E1785,-1,0)),""))</f>
        <v>16.003.002.001</v>
      </c>
      <c r="F1785" s="230">
        <f ca="1">IF($B1785="UNIDADE CONSTRUTIVA",OFFSET(F1785,-1,0)+1,LARGE(F$10:F1784,1))</f>
        <v>2</v>
      </c>
      <c r="G1785" s="228" t="str">
        <f ca="1">IF(B1785="*","",IF(B1785="UNIDADE CONSTRUTIVA",S1785,OFFSET(G1785,-1,0)))</f>
        <v xml:space="preserve">   GERENCIAMENTO EXECUTIVO</v>
      </c>
      <c r="H1785" s="230">
        <f ca="1">IF(B1785="UNIDADE CONSTRUTIVA",0,IF(B1785="CÉLULA CONSTRUTIVA",OFFSET(H1785,-1,0)+1,OFFSET(H1785,-1,0)))</f>
        <v>16</v>
      </c>
      <c r="I1785" s="228" t="str">
        <f ca="1">IF(B1785="*","",IF(B1785="CÉLULA CONSTRUTIVA",S1785,OFFSET(I1785,-1,0)))</f>
        <v xml:space="preserve">   SISTEMAS DE PINTURA INTERNA</v>
      </c>
      <c r="J1785" s="230">
        <f ca="1">IF(B1785="CÉLULA CONSTRUTIVA",0,IF(B1785="ETAPA",OFFSET(J1785,-1,0)+1,OFFSET(J1785,-1,0)))</f>
        <v>3</v>
      </c>
      <c r="K1785" s="228" t="str">
        <f ca="1">IF(B1785="*","",IF(B1785="ETAPA",S1785,OFFSET(K1785,-1,0)))</f>
        <v xml:space="preserve">   SISTEMAS DE PINTURA INTERNA - 3º  ao 7º PAVIMENTO - TIPO</v>
      </c>
      <c r="L1785" s="231">
        <f ca="1">IF(B1785="ETAPA",0,IF(B1785="SUBETAPA",OFFSET(L1785,-1,0)+1,OFFSET(L1785,-1,0)))</f>
        <v>2</v>
      </c>
      <c r="M1785" s="228" t="str">
        <f ca="1">IF(B1785="*","",IF(B1785="SUBETAPA",S1785,OFFSET(M1785,-1,0)))</f>
        <v xml:space="preserve">   Sistemas de Pintura Interna em Teto</v>
      </c>
      <c r="N1785" s="231">
        <f ca="1">IF(B1785="Subetapa",0,IF(B1785="serviço",OFFSET(N1785,-1,0)+1,OFFSET(N1785,-1,0)))</f>
        <v>1</v>
      </c>
      <c r="O1785" s="228" t="str">
        <f ca="1">IF(B1785="*","",IF(B1785="SERVIÇO",S1785,OFFSET(O1785,-1,0)))</f>
        <v>Pintura com tinta latex acrilica, acabamento fosco em teto, 3 demaos</v>
      </c>
      <c r="P1785" s="232" t="str">
        <f>IF(S1785="","",IF(Orçamento!$B1785="INSUMO",S1785,""))</f>
        <v>MASSA CORRIDA PVA</v>
      </c>
      <c r="Q1785" s="244" t="str">
        <f>IF(B1785="","",IF(B1785="Serviço",S1785,""))</f>
        <v/>
      </c>
      <c r="R1785" s="234">
        <f ca="1">IF(B1785="serviço",U1785,OFFSET(R1785,-1,0))</f>
        <v>952.09999999999991</v>
      </c>
      <c r="S1785" s="233" t="s">
        <v>338</v>
      </c>
      <c r="T1785" s="242" t="str">
        <f>_xlfn.XLOOKUP(S1785,Insumos!$A$3:$A$371,Insumos!$B$3:$B$371)</f>
        <v>L</v>
      </c>
      <c r="U1785" s="235">
        <f ca="1">IF($B1785="insumo",R1785,"")</f>
        <v>952.09999999999991</v>
      </c>
      <c r="V1785" s="320">
        <v>0.88019999999999998</v>
      </c>
      <c r="W1785" s="236">
        <f>IFERROR(IF(B1785="INSUMO",_xlfn.XLOOKUP(S1785,Insumos!A:A,Insumos!C:C),""),"Inserir Preço")</f>
        <v>1.26</v>
      </c>
      <c r="X1785" s="235">
        <f t="shared" ca="1" si="1492"/>
        <v>838.03841999999986</v>
      </c>
      <c r="Y1785" s="236">
        <f t="shared" si="1477"/>
        <v>1.1090519999999999</v>
      </c>
      <c r="Z1785" s="237">
        <f t="shared" ca="1" si="1449"/>
        <v>1055.9284091999998</v>
      </c>
      <c r="AA1785" s="238"/>
      <c r="AB1785" s="233" t="str">
        <f>IF(B1785="insumo",_xlfn.XLOOKUP(S1785,Insumos!A:A,Insumos!D:D),"")</f>
        <v xml:space="preserve"> </v>
      </c>
      <c r="AC1785" s="239">
        <f t="shared" ca="1" si="1450"/>
        <v>1.5148255741500745E-4</v>
      </c>
      <c r="AE1785" s="240">
        <f ca="1">IFERROR(IF(OR(Z1785="",Z1785=0),"",IF(AF1785="","",IF(AF1785="R$/mês",Z1785/OBRA!$D$12,IF(AF1785="R$/m²",Z1785/OBRA!$D$10,IF(AF1785="R$/apto",Orçamento!Z1785/OBRA!$D$11,""))))),"")</f>
        <v>0.54338828095490488</v>
      </c>
      <c r="AF1785" s="241" t="s">
        <v>154</v>
      </c>
    </row>
    <row r="1786" spans="1:32" s="10" customFormat="1" ht="13.15" hidden="1" customHeight="1" outlineLevel="4" x14ac:dyDescent="0.2">
      <c r="A1786" s="227"/>
      <c r="B1786" s="228" t="s">
        <v>19</v>
      </c>
      <c r="C1786" s="229">
        <f t="shared" si="1448"/>
        <v>19</v>
      </c>
      <c r="D1786" s="227" t="str">
        <f>IF(B1786="Unidade Construtiva",TEXT(F1786,"00"),IF(B1786="Célula Construtiva",TEXT(H1786,"00"),IF(B1786="Etapa",CONCATENATE(TEXT(H1786,"00"),".",TEXT(J1786,"000")),IF(B1786="Subetapa",CONCATENATE(TEXT(H1786,"00"),".",TEXT(J1786,"000"),".",TEXT(L1786,"000")),IF(B1786="Serviço",CONCATENATE(TEXT(H1786,"00"),".",TEXT(J1786,"000"),".",TEXT(L1786,"000"),".",TEXT(N1786,"000")),"")))))</f>
        <v/>
      </c>
      <c r="E1786" s="228" t="str">
        <f ca="1">IF(B1786="*","",IFERROR(IF(B1786="SERVIÇO",D1786,OFFSET(E1786,-1,0)),""))</f>
        <v>16.003.002.001</v>
      </c>
      <c r="F1786" s="230">
        <f ca="1">IF($B1786="UNIDADE CONSTRUTIVA",OFFSET(F1786,-1,0)+1,LARGE(F$10:F1785,1))</f>
        <v>2</v>
      </c>
      <c r="G1786" s="228" t="str">
        <f ca="1">IF(B1786="*","",IF(B1786="UNIDADE CONSTRUTIVA",S1786,OFFSET(G1786,-1,0)))</f>
        <v xml:space="preserve">   GERENCIAMENTO EXECUTIVO</v>
      </c>
      <c r="H1786" s="230">
        <f ca="1">IF(B1786="UNIDADE CONSTRUTIVA",0,IF(B1786="CÉLULA CONSTRUTIVA",OFFSET(H1786,-1,0)+1,OFFSET(H1786,-1,0)))</f>
        <v>16</v>
      </c>
      <c r="I1786" s="228" t="str">
        <f ca="1">IF(B1786="*","",IF(B1786="CÉLULA CONSTRUTIVA",S1786,OFFSET(I1786,-1,0)))</f>
        <v xml:space="preserve">   SISTEMAS DE PINTURA INTERNA</v>
      </c>
      <c r="J1786" s="230">
        <f ca="1">IF(B1786="CÉLULA CONSTRUTIVA",0,IF(B1786="ETAPA",OFFSET(J1786,-1,0)+1,OFFSET(J1786,-1,0)))</f>
        <v>3</v>
      </c>
      <c r="K1786" s="228" t="str">
        <f ca="1">IF(B1786="*","",IF(B1786="ETAPA",S1786,OFFSET(K1786,-1,0)))</f>
        <v xml:space="preserve">   SISTEMAS DE PINTURA INTERNA - 3º  ao 7º PAVIMENTO - TIPO</v>
      </c>
      <c r="L1786" s="231">
        <f ca="1">IF(B1786="ETAPA",0,IF(B1786="SUBETAPA",OFFSET(L1786,-1,0)+1,OFFSET(L1786,-1,0)))</f>
        <v>2</v>
      </c>
      <c r="M1786" s="228" t="str">
        <f ca="1">IF(B1786="*","",IF(B1786="SUBETAPA",S1786,OFFSET(M1786,-1,0)))</f>
        <v xml:space="preserve">   Sistemas de Pintura Interna em Teto</v>
      </c>
      <c r="N1786" s="231">
        <f ca="1">IF(B1786="Subetapa",0,IF(B1786="serviço",OFFSET(N1786,-1,0)+1,OFFSET(N1786,-1,0)))</f>
        <v>1</v>
      </c>
      <c r="O1786" s="228" t="str">
        <f ca="1">IF(B1786="*","",IF(B1786="SERVIÇO",S1786,OFFSET(O1786,-1,0)))</f>
        <v>Pintura com tinta latex acrilica, acabamento fosco em teto, 3 demaos</v>
      </c>
      <c r="P1786" s="232" t="str">
        <f>IF(S1786="","",IF(Orçamento!$B1786="INSUMO",S1786,""))</f>
        <v>LIXA EM FOLHA PARA PAREDE OU MADEIRA N° 120</v>
      </c>
      <c r="Q1786" s="244" t="str">
        <f>IF(B1786="","",IF(B1786="Serviço",S1786,""))</f>
        <v/>
      </c>
      <c r="R1786" s="234">
        <f ca="1">IF(B1786="serviço",U1786,OFFSET(R1786,-1,0))</f>
        <v>952.09999999999991</v>
      </c>
      <c r="S1786" s="233" t="s">
        <v>922</v>
      </c>
      <c r="T1786" s="242" t="str">
        <f>_xlfn.XLOOKUP(S1786,Insumos!$A$3:$A$371,Insumos!$B$3:$B$371)</f>
        <v>UN</v>
      </c>
      <c r="U1786" s="235">
        <f ca="1">IF($B1786="insumo",R1786,"")</f>
        <v>952.09999999999991</v>
      </c>
      <c r="V1786" s="320">
        <v>0.1</v>
      </c>
      <c r="W1786" s="236">
        <f>IFERROR(IF(B1786="INSUMO",_xlfn.XLOOKUP(S1786,Insumos!A:A,Insumos!C:C),""),"Inserir Preço")</f>
        <v>2.2999999999999998</v>
      </c>
      <c r="X1786" s="235">
        <f t="shared" ca="1" si="1492"/>
        <v>95.21</v>
      </c>
      <c r="Y1786" s="236">
        <f t="shared" si="1477"/>
        <v>0.22999999999999998</v>
      </c>
      <c r="Z1786" s="237">
        <f t="shared" ca="1" si="1449"/>
        <v>218.98299999999998</v>
      </c>
      <c r="AA1786" s="238"/>
      <c r="AB1786" s="233" t="str">
        <f>IF(B1786="insumo",_xlfn.XLOOKUP(S1786,Insumos!A:A,Insumos!D:D),"")</f>
        <v xml:space="preserve"> </v>
      </c>
      <c r="AC1786" s="239">
        <f t="shared" ca="1" si="1450"/>
        <v>3.1415107862797886E-5</v>
      </c>
      <c r="AE1786" s="240">
        <f ca="1">IFERROR(IF(OR(Z1786="",Z1786=0),"",IF(AF1786="","",IF(AF1786="R$/mês",Z1786/OBRA!$D$12,IF(AF1786="R$/m²",Z1786/OBRA!$D$10,IF(AF1786="R$/apto",Orçamento!Z1786/OBRA!$D$11,""))))),"")</f>
        <v>0.11269021165790975</v>
      </c>
      <c r="AF1786" s="241" t="s">
        <v>154</v>
      </c>
    </row>
    <row r="1787" spans="1:32" s="10" customFormat="1" ht="13.15" hidden="1" customHeight="1" outlineLevel="4" x14ac:dyDescent="0.2">
      <c r="A1787" s="227"/>
      <c r="B1787" s="228" t="s">
        <v>19</v>
      </c>
      <c r="C1787" s="229">
        <f t="shared" si="1448"/>
        <v>13</v>
      </c>
      <c r="D1787" s="227" t="str">
        <f>IF(B1787="Unidade Construtiva",TEXT(F1787,"00"),IF(B1787="Célula Construtiva",TEXT(H1787,"00"),IF(B1787="Etapa",CONCATENATE(TEXT(H1787,"00"),".",TEXT(J1787,"000")),IF(B1787="Subetapa",CONCATENATE(TEXT(H1787,"00"),".",TEXT(J1787,"000"),".",TEXT(L1787,"000")),IF(B1787="Serviço",CONCATENATE(TEXT(H1787,"00"),".",TEXT(J1787,"000"),".",TEXT(L1787,"000"),".",TEXT(N1787,"000")),"")))))</f>
        <v/>
      </c>
      <c r="E1787" s="228" t="str">
        <f ca="1">IF(B1787="*","",IFERROR(IF(B1787="SERVIÇO",D1787,OFFSET(E1787,-1,0)),""))</f>
        <v>16.003.002.001</v>
      </c>
      <c r="F1787" s="230">
        <f ca="1">IF($B1787="UNIDADE CONSTRUTIVA",OFFSET(F1787,-1,0)+1,LARGE(F$10:F1786,1))</f>
        <v>2</v>
      </c>
      <c r="G1787" s="228" t="str">
        <f ca="1">IF(B1787="*","",IF(B1787="UNIDADE CONSTRUTIVA",S1787,OFFSET(G1787,-1,0)))</f>
        <v xml:space="preserve">   GERENCIAMENTO EXECUTIVO</v>
      </c>
      <c r="H1787" s="230">
        <f ca="1">IF(B1787="UNIDADE CONSTRUTIVA",0,IF(B1787="CÉLULA CONSTRUTIVA",OFFSET(H1787,-1,0)+1,OFFSET(H1787,-1,0)))</f>
        <v>16</v>
      </c>
      <c r="I1787" s="228" t="str">
        <f ca="1">IF(B1787="*","",IF(B1787="CÉLULA CONSTRUTIVA",S1787,OFFSET(I1787,-1,0)))</f>
        <v xml:space="preserve">   SISTEMAS DE PINTURA INTERNA</v>
      </c>
      <c r="J1787" s="230">
        <f ca="1">IF(B1787="CÉLULA CONSTRUTIVA",0,IF(B1787="ETAPA",OFFSET(J1787,-1,0)+1,OFFSET(J1787,-1,0)))</f>
        <v>3</v>
      </c>
      <c r="K1787" s="228" t="str">
        <f ca="1">IF(B1787="*","",IF(B1787="ETAPA",S1787,OFFSET(K1787,-1,0)))</f>
        <v xml:space="preserve">   SISTEMAS DE PINTURA INTERNA - 3º  ao 7º PAVIMENTO - TIPO</v>
      </c>
      <c r="L1787" s="231">
        <f ca="1">IF(B1787="ETAPA",0,IF(B1787="SUBETAPA",OFFSET(L1787,-1,0)+1,OFFSET(L1787,-1,0)))</f>
        <v>2</v>
      </c>
      <c r="M1787" s="228" t="str">
        <f ca="1">IF(B1787="*","",IF(B1787="SUBETAPA",S1787,OFFSET(M1787,-1,0)))</f>
        <v xml:space="preserve">   Sistemas de Pintura Interna em Teto</v>
      </c>
      <c r="N1787" s="231">
        <f ca="1">IF(B1787="Subetapa",0,IF(B1787="serviço",OFFSET(N1787,-1,0)+1,OFFSET(N1787,-1,0)))</f>
        <v>1</v>
      </c>
      <c r="O1787" s="228" t="str">
        <f ca="1">IF(B1787="*","",IF(B1787="SERVIÇO",S1787,OFFSET(O1787,-1,0)))</f>
        <v>Pintura com tinta latex acrilica, acabamento fosco em teto, 3 demaos</v>
      </c>
      <c r="P1787" s="232" t="str">
        <f>IF(S1787="","",IF(Orçamento!$B1787="INSUMO",S1787,""))</f>
        <v>TINTA ACRILICO PREMIUM FOSCO</v>
      </c>
      <c r="Q1787" s="244" t="str">
        <f>IF(B1787="","",IF(B1787="Serviço",S1787,""))</f>
        <v/>
      </c>
      <c r="R1787" s="234">
        <f ca="1">IF(B1787="serviço",U1787,OFFSET(R1787,-1,0))</f>
        <v>952.09999999999991</v>
      </c>
      <c r="S1787" s="233" t="s">
        <v>264</v>
      </c>
      <c r="T1787" s="242" t="str">
        <f>_xlfn.XLOOKUP(S1787,Insumos!$A$3:$A$371,Insumos!$B$3:$B$371)</f>
        <v>L</v>
      </c>
      <c r="U1787" s="235">
        <f ca="1">IF($B1787="insumo",R1787,"")</f>
        <v>952.09999999999991</v>
      </c>
      <c r="V1787" s="320">
        <v>0.495</v>
      </c>
      <c r="W1787" s="236">
        <f>IFERROR(IF(B1787="INSUMO",_xlfn.XLOOKUP(S1787,Insumos!A:A,Insumos!C:C),""),"Inserir Preço")</f>
        <v>29.17</v>
      </c>
      <c r="X1787" s="235">
        <f t="shared" ca="1" si="1492"/>
        <v>471.28949999999998</v>
      </c>
      <c r="Y1787" s="236">
        <f t="shared" si="1477"/>
        <v>14.439150000000001</v>
      </c>
      <c r="Z1787" s="237">
        <f t="shared" ca="1" si="1449"/>
        <v>13747.514714999999</v>
      </c>
      <c r="AA1787" s="238"/>
      <c r="AB1787" s="233" t="str">
        <f>IF(B1787="insumo",_xlfn.XLOOKUP(S1787,Insumos!A:A,Insumos!D:D),"")</f>
        <v xml:space="preserve"> </v>
      </c>
      <c r="AC1787" s="239">
        <f t="shared" ca="1" si="1450"/>
        <v>1.9722063247700787E-3</v>
      </c>
      <c r="AE1787" s="240">
        <f ca="1">IFERROR(IF(OR(Z1787="",Z1787=0),"",IF(AF1787="","",IF(AF1787="R$/mês",Z1787/OBRA!$D$12,IF(AF1787="R$/m²",Z1787/OBRA!$D$10,IF(AF1787="R$/apto",Orçamento!Z1787/OBRA!$D$11,""))))),"")</f>
        <v>7.0745689985230769</v>
      </c>
      <c r="AF1787" s="241" t="s">
        <v>154</v>
      </c>
    </row>
    <row r="1788" spans="1:32" s="10" customFormat="1" ht="13.15" hidden="1" customHeight="1" outlineLevel="3" collapsed="1" x14ac:dyDescent="0.2">
      <c r="A1788" s="227"/>
      <c r="B1788" s="228" t="s">
        <v>3</v>
      </c>
      <c r="C1788" s="229" t="str">
        <f t="shared" si="1448"/>
        <v/>
      </c>
      <c r="D1788" s="227" t="str">
        <f t="shared" ca="1" si="1465"/>
        <v>16.003.003</v>
      </c>
      <c r="E1788" s="228" t="str">
        <f t="shared" ca="1" si="1466"/>
        <v>16.003.002.001</v>
      </c>
      <c r="F1788" s="230">
        <f ca="1">IF($B1788="UNIDADE CONSTRUTIVA",OFFSET(F1788,-1,0)+1,LARGE(F$10:F1787,1))</f>
        <v>2</v>
      </c>
      <c r="G1788" s="228" t="str">
        <f t="shared" ca="1" si="1486"/>
        <v xml:space="preserve">   GERENCIAMENTO EXECUTIVO</v>
      </c>
      <c r="H1788" s="230">
        <f t="shared" ca="1" si="1467"/>
        <v>16</v>
      </c>
      <c r="I1788" s="228" t="str">
        <f t="shared" ca="1" si="1487"/>
        <v xml:space="preserve">   SISTEMAS DE PINTURA INTERNA</v>
      </c>
      <c r="J1788" s="230">
        <f t="shared" ca="1" si="1468"/>
        <v>3</v>
      </c>
      <c r="K1788" s="228" t="str">
        <f t="shared" ca="1" si="1488"/>
        <v xml:space="preserve">   SISTEMAS DE PINTURA INTERNA - 3º  ao 7º PAVIMENTO - TIPO</v>
      </c>
      <c r="L1788" s="231">
        <f t="shared" ca="1" si="1469"/>
        <v>3</v>
      </c>
      <c r="M1788" s="228" t="str">
        <f t="shared" ca="1" si="1489"/>
        <v xml:space="preserve">   Mão de Obra</v>
      </c>
      <c r="N1788" s="231">
        <f t="shared" ca="1" si="1470"/>
        <v>0</v>
      </c>
      <c r="O1788" s="228" t="str">
        <f t="shared" ca="1" si="1490"/>
        <v>Pintura com tinta latex acrilica, acabamento fosco em teto, 3 demaos</v>
      </c>
      <c r="P1788" s="232" t="str">
        <f>IF(S1788="","",IF(Orçamento!$B1788="INSUMO",S1788,""))</f>
        <v/>
      </c>
      <c r="Q1788" s="244" t="str">
        <f t="shared" ref="Q1788:Q1817" si="1493">IF(B1788="","",IF(B1788="Serviço",S1788,""))</f>
        <v/>
      </c>
      <c r="R1788" s="234">
        <f t="shared" ca="1" si="1491"/>
        <v>952.09999999999991</v>
      </c>
      <c r="S1788" s="233" t="s">
        <v>438</v>
      </c>
      <c r="T1788" s="242" t="s">
        <v>35</v>
      </c>
      <c r="U1788" s="235" t="str">
        <f>IF($B1788="insumo",R1788,"")</f>
        <v/>
      </c>
      <c r="V1788" s="320" t="s">
        <v>35</v>
      </c>
      <c r="W1788" s="236" t="str">
        <f>IFERROR(IF(B1788="INSUMO",_xlfn.XLOOKUP(S1788,Insumos!A:A,Insumos!C:C),""),"Inserir Preço")</f>
        <v/>
      </c>
      <c r="X1788" s="235" t="str">
        <f t="shared" ca="1" si="1492"/>
        <v/>
      </c>
      <c r="Y1788" s="236" t="str">
        <f t="shared" si="1477"/>
        <v/>
      </c>
      <c r="Z1788" s="237">
        <f t="shared" ca="1" si="1449"/>
        <v>130797.75766410341</v>
      </c>
      <c r="AA1788" s="238"/>
      <c r="AB1788" s="233" t="str">
        <f>IF(B1788="insumo",_xlfn.XLOOKUP(S1788,Insumos!A:A,Insumos!D:D),"")</f>
        <v/>
      </c>
      <c r="AC1788" s="239">
        <f t="shared" ca="1" si="1450"/>
        <v>1.8764130846823303E-2</v>
      </c>
      <c r="AE1788" s="240">
        <f ca="1">IFERROR(IF(OR(Z1788="",Z1788=0),"",IF(AF1788="","",IF(AF1788="R$/mês",Z1788/OBRA!$D$12,IF(AF1788="R$/m²",Z1788/OBRA!$D$10,IF(AF1788="R$/apto",Orçamento!Z1788/OBRA!$D$11,""))))),"")</f>
        <v>67.309457791462364</v>
      </c>
      <c r="AF1788" s="241" t="s">
        <v>154</v>
      </c>
    </row>
    <row r="1789" spans="1:32" s="10" customFormat="1" ht="13.15" hidden="1" customHeight="1" outlineLevel="4" x14ac:dyDescent="0.2">
      <c r="A1789" s="227"/>
      <c r="B1789" s="228" t="s">
        <v>4</v>
      </c>
      <c r="C1789" s="229">
        <f t="shared" si="1448"/>
        <v>5</v>
      </c>
      <c r="D1789" s="227" t="str">
        <f t="shared" ca="1" si="1465"/>
        <v>16.003.003.001</v>
      </c>
      <c r="E1789" s="228" t="str">
        <f t="shared" ca="1" si="1466"/>
        <v>16.003.003.001</v>
      </c>
      <c r="F1789" s="230">
        <f ca="1">IF($B1789="UNIDADE CONSTRUTIVA",OFFSET(F1789,-1,0)+1,LARGE(F$10:F1788,1))</f>
        <v>2</v>
      </c>
      <c r="G1789" s="228" t="str">
        <f t="shared" ca="1" si="1486"/>
        <v xml:space="preserve">   GERENCIAMENTO EXECUTIVO</v>
      </c>
      <c r="H1789" s="230">
        <f t="shared" ca="1" si="1467"/>
        <v>16</v>
      </c>
      <c r="I1789" s="228" t="str">
        <f t="shared" ca="1" si="1487"/>
        <v xml:space="preserve">   SISTEMAS DE PINTURA INTERNA</v>
      </c>
      <c r="J1789" s="230">
        <f t="shared" ca="1" si="1468"/>
        <v>3</v>
      </c>
      <c r="K1789" s="228" t="str">
        <f t="shared" ca="1" si="1488"/>
        <v xml:space="preserve">   SISTEMAS DE PINTURA INTERNA - 3º  ao 7º PAVIMENTO - TIPO</v>
      </c>
      <c r="L1789" s="231">
        <f t="shared" ca="1" si="1469"/>
        <v>3</v>
      </c>
      <c r="M1789" s="228" t="str">
        <f t="shared" ca="1" si="1489"/>
        <v xml:space="preserve">   Mão de Obra</v>
      </c>
      <c r="N1789" s="231">
        <f t="shared" ca="1" si="1470"/>
        <v>1</v>
      </c>
      <c r="O1789" s="228" t="str">
        <f t="shared" ca="1" si="1490"/>
        <v>Mao de obra para pintura acrilica em paredes</v>
      </c>
      <c r="P1789" s="232" t="str">
        <f>IF(S1789="","",IF(Orçamento!$B1789="INSUMO",S1789,""))</f>
        <v/>
      </c>
      <c r="Q1789" s="244" t="str">
        <f t="shared" si="1493"/>
        <v>Mao de obra para pintura acrilica em paredes</v>
      </c>
      <c r="R1789" s="234">
        <f t="shared" ca="1" si="1491"/>
        <v>2101.9299999999998</v>
      </c>
      <c r="S1789" s="233" t="s">
        <v>740</v>
      </c>
      <c r="T1789" s="242" t="s">
        <v>140</v>
      </c>
      <c r="U1789" s="235">
        <f>U1775+U1779</f>
        <v>2101.9299999999998</v>
      </c>
      <c r="V1789" s="320" t="s">
        <v>35</v>
      </c>
      <c r="W1789" s="236" t="str">
        <f>IFERROR(IF(B1789="INSUMO",_xlfn.XLOOKUP(S1789,Insumos!A:A,Insumos!C:C),""),"Inserir Preço")</f>
        <v/>
      </c>
      <c r="X1789" s="235">
        <f t="shared" ca="1" si="1492"/>
        <v>2101.9299999999998</v>
      </c>
      <c r="Y1789" s="236">
        <f t="shared" ca="1" si="1477"/>
        <v>38.187489622964783</v>
      </c>
      <c r="Z1789" s="237">
        <f t="shared" ca="1" si="1449"/>
        <v>80267.430063198364</v>
      </c>
      <c r="AA1789" s="238"/>
      <c r="AB1789" s="233" t="str">
        <f>IF(B1789="insumo",_xlfn.XLOOKUP(S1789,Insumos!A:A,Insumos!D:D),"")</f>
        <v/>
      </c>
      <c r="AC1789" s="239">
        <f t="shared" ca="1" si="1450"/>
        <v>1.1515094657142164E-2</v>
      </c>
      <c r="AE1789" s="240">
        <f ca="1">IFERROR(IF(OR(Z1789="",Z1789=0),"",IF(AF1789="","",IF(AF1789="R$/mês",Z1789/OBRA!$D$12,IF(AF1789="R$/m²",Z1789/OBRA!$D$10,IF(AF1789="R$/apto",Orçamento!Z1789/OBRA!$D$11,""))))),"")</f>
        <v>41.306191270821451</v>
      </c>
      <c r="AF1789" s="241" t="s">
        <v>154</v>
      </c>
    </row>
    <row r="1790" spans="1:32" s="10" customFormat="1" ht="13.15" hidden="1" customHeight="1" outlineLevel="4" x14ac:dyDescent="0.2">
      <c r="A1790" s="227"/>
      <c r="B1790" s="228" t="s">
        <v>19</v>
      </c>
      <c r="C1790" s="229">
        <f t="shared" si="1448"/>
        <v>5</v>
      </c>
      <c r="D1790" s="227" t="str">
        <f t="shared" si="1465"/>
        <v/>
      </c>
      <c r="E1790" s="228" t="str">
        <f t="shared" ca="1" si="1466"/>
        <v>16.003.003.001</v>
      </c>
      <c r="F1790" s="230">
        <f ca="1">IF($B1790="UNIDADE CONSTRUTIVA",OFFSET(F1790,-1,0)+1,LARGE(F$10:F1789,1))</f>
        <v>2</v>
      </c>
      <c r="G1790" s="228" t="str">
        <f t="shared" ca="1" si="1486"/>
        <v xml:space="preserve">   GERENCIAMENTO EXECUTIVO</v>
      </c>
      <c r="H1790" s="230">
        <f t="shared" ca="1" si="1467"/>
        <v>16</v>
      </c>
      <c r="I1790" s="228" t="str">
        <f t="shared" ca="1" si="1487"/>
        <v xml:space="preserve">   SISTEMAS DE PINTURA INTERNA</v>
      </c>
      <c r="J1790" s="230">
        <f t="shared" ca="1" si="1468"/>
        <v>3</v>
      </c>
      <c r="K1790" s="228" t="str">
        <f t="shared" ca="1" si="1488"/>
        <v xml:space="preserve">   SISTEMAS DE PINTURA INTERNA - 3º  ao 7º PAVIMENTO - TIPO</v>
      </c>
      <c r="L1790" s="231">
        <f t="shared" ca="1" si="1469"/>
        <v>3</v>
      </c>
      <c r="M1790" s="228" t="str">
        <f t="shared" ca="1" si="1489"/>
        <v xml:space="preserve">   Mão de Obra</v>
      </c>
      <c r="N1790" s="231">
        <f t="shared" ca="1" si="1470"/>
        <v>1</v>
      </c>
      <c r="O1790" s="228" t="str">
        <f t="shared" ca="1" si="1490"/>
        <v>Mao de obra para pintura acrilica em paredes</v>
      </c>
      <c r="P1790" s="232" t="str">
        <f>IF(S1790="","",IF(Orçamento!$B1790="INSUMO",S1790,""))</f>
        <v>MAO DE OBRA APLICACAO DE PINTURA EM PAREDES - 3 DEMAO</v>
      </c>
      <c r="Q1790" s="244" t="str">
        <f t="shared" si="1493"/>
        <v/>
      </c>
      <c r="R1790" s="234">
        <f t="shared" ca="1" si="1491"/>
        <v>2101.9299999999998</v>
      </c>
      <c r="S1790" s="233" t="s">
        <v>779</v>
      </c>
      <c r="T1790" s="242" t="str">
        <f>_xlfn.XLOOKUP(S1790,Insumos!$A$3:$A$371,Insumos!$B$3:$B$371)</f>
        <v>M2</v>
      </c>
      <c r="U1790" s="235">
        <f ca="1">IF($B1790="insumo",R1790,"")</f>
        <v>2101.9299999999998</v>
      </c>
      <c r="V1790" s="320">
        <v>1</v>
      </c>
      <c r="W1790" s="236">
        <f>IFERROR(IF(B1790="INSUMO",_xlfn.XLOOKUP(S1790,Insumos!A:A,Insumos!C:C),""),"Inserir Preço")</f>
        <v>38.187489622964783</v>
      </c>
      <c r="X1790" s="235">
        <f t="shared" ca="1" si="1492"/>
        <v>2101.9299999999998</v>
      </c>
      <c r="Y1790" s="236">
        <f t="shared" si="1477"/>
        <v>38.187489622964783</v>
      </c>
      <c r="Z1790" s="237">
        <f t="shared" ca="1" si="1449"/>
        <v>80267.430063198364</v>
      </c>
      <c r="AA1790" s="238"/>
      <c r="AB1790" s="233" t="str">
        <f>IF(B1790="insumo",_xlfn.XLOOKUP(S1790,Insumos!A:A,Insumos!D:D),"")</f>
        <v>Aba Custo Serviços</v>
      </c>
      <c r="AC1790" s="239">
        <f t="shared" ca="1" si="1450"/>
        <v>1.1515094657142164E-2</v>
      </c>
      <c r="AE1790" s="240">
        <f ca="1">IFERROR(IF(OR(Z1790="",Z1790=0),"",IF(AF1790="","",IF(AF1790="R$/mês",Z1790/OBRA!$D$12,IF(AF1790="R$/m²",Z1790/OBRA!$D$10,IF(AF1790="R$/apto",Orçamento!Z1790/OBRA!$D$11,""))))),"")</f>
        <v>41.306191270821451</v>
      </c>
      <c r="AF1790" s="241" t="s">
        <v>154</v>
      </c>
    </row>
    <row r="1791" spans="1:32" s="10" customFormat="1" ht="13.15" hidden="1" customHeight="1" outlineLevel="4" x14ac:dyDescent="0.2">
      <c r="A1791" s="227"/>
      <c r="B1791" s="228" t="s">
        <v>4</v>
      </c>
      <c r="C1791" s="229">
        <f t="shared" si="1448"/>
        <v>5</v>
      </c>
      <c r="D1791" s="227" t="str">
        <f t="shared" ca="1" si="1465"/>
        <v>16.003.003.002</v>
      </c>
      <c r="E1791" s="228" t="str">
        <f t="shared" ca="1" si="1466"/>
        <v>16.003.003.002</v>
      </c>
      <c r="F1791" s="230">
        <f ca="1">IF($B1791="UNIDADE CONSTRUTIVA",OFFSET(F1791,-1,0)+1,LARGE(F$10:F1790,1))</f>
        <v>2</v>
      </c>
      <c r="G1791" s="228" t="str">
        <f t="shared" ca="1" si="1486"/>
        <v xml:space="preserve">   GERENCIAMENTO EXECUTIVO</v>
      </c>
      <c r="H1791" s="230">
        <f t="shared" ca="1" si="1467"/>
        <v>16</v>
      </c>
      <c r="I1791" s="228" t="str">
        <f t="shared" ca="1" si="1487"/>
        <v xml:space="preserve">   SISTEMAS DE PINTURA INTERNA</v>
      </c>
      <c r="J1791" s="230">
        <f t="shared" ca="1" si="1468"/>
        <v>3</v>
      </c>
      <c r="K1791" s="228" t="str">
        <f t="shared" ca="1" si="1488"/>
        <v xml:space="preserve">   SISTEMAS DE PINTURA INTERNA - 3º  ao 7º PAVIMENTO - TIPO</v>
      </c>
      <c r="L1791" s="231">
        <f t="shared" ca="1" si="1469"/>
        <v>3</v>
      </c>
      <c r="M1791" s="228" t="str">
        <f t="shared" ca="1" si="1489"/>
        <v xml:space="preserve">   Mão de Obra</v>
      </c>
      <c r="N1791" s="231">
        <f t="shared" ca="1" si="1470"/>
        <v>2</v>
      </c>
      <c r="O1791" s="228" t="str">
        <f t="shared" ca="1" si="1490"/>
        <v>Mao de obra para pintura acrílica em teto</v>
      </c>
      <c r="P1791" s="232" t="str">
        <f>IF(S1791="","",IF(Orçamento!$B1791="INSUMO",S1791,""))</f>
        <v/>
      </c>
      <c r="Q1791" s="244" t="str">
        <f t="shared" si="1493"/>
        <v>Mao de obra para pintura acrílica em teto</v>
      </c>
      <c r="R1791" s="234">
        <f t="shared" ca="1" si="1491"/>
        <v>952.09999999999991</v>
      </c>
      <c r="S1791" s="233" t="s">
        <v>741</v>
      </c>
      <c r="T1791" s="242" t="s">
        <v>140</v>
      </c>
      <c r="U1791" s="235">
        <f>U1784</f>
        <v>952.09999999999991</v>
      </c>
      <c r="V1791" s="320" t="s">
        <v>35</v>
      </c>
      <c r="W1791" s="236" t="str">
        <f>IFERROR(IF(B1791="INSUMO",_xlfn.XLOOKUP(S1791,Insumos!A:A,Insumos!C:C),""),"Inserir Preço")</f>
        <v/>
      </c>
      <c r="X1791" s="235">
        <f t="shared" ca="1" si="1492"/>
        <v>952.09999999999991</v>
      </c>
      <c r="Y1791" s="236">
        <f t="shared" ca="1" si="1477"/>
        <v>53.07250036855902</v>
      </c>
      <c r="Z1791" s="237">
        <f t="shared" ca="1" si="1449"/>
        <v>50530.327600905039</v>
      </c>
      <c r="AA1791" s="238"/>
      <c r="AB1791" s="233" t="str">
        <f>IF(B1791="insumo",_xlfn.XLOOKUP(S1791,Insumos!A:A,Insumos!D:D),"")</f>
        <v/>
      </c>
      <c r="AC1791" s="239">
        <f t="shared" ca="1" si="1450"/>
        <v>7.2490361896811392E-3</v>
      </c>
      <c r="AE1791" s="240">
        <f ca="1">IFERROR(IF(OR(Z1791="",Z1791=0),"",IF(AF1791="","",IF(AF1791="R$/mês",Z1791/OBRA!$D$12,IF(AF1791="R$/m²",Z1791/OBRA!$D$10,IF(AF1791="R$/apto",Orçamento!Z1791/OBRA!$D$11,""))))),"")</f>
        <v>26.00326652064091</v>
      </c>
      <c r="AF1791" s="241" t="s">
        <v>154</v>
      </c>
    </row>
    <row r="1792" spans="1:32" s="10" customFormat="1" ht="13.15" hidden="1" customHeight="1" outlineLevel="4" x14ac:dyDescent="0.2">
      <c r="A1792" s="227"/>
      <c r="B1792" s="228" t="s">
        <v>19</v>
      </c>
      <c r="C1792" s="229">
        <f t="shared" si="1448"/>
        <v>5</v>
      </c>
      <c r="D1792" s="227" t="str">
        <f t="shared" si="1465"/>
        <v/>
      </c>
      <c r="E1792" s="228" t="str">
        <f t="shared" ca="1" si="1466"/>
        <v>16.003.003.002</v>
      </c>
      <c r="F1792" s="230">
        <f ca="1">IF($B1792="UNIDADE CONSTRUTIVA",OFFSET(F1792,-1,0)+1,LARGE(F$10:F1791,1))</f>
        <v>2</v>
      </c>
      <c r="G1792" s="228" t="str">
        <f t="shared" ca="1" si="1486"/>
        <v xml:space="preserve">   GERENCIAMENTO EXECUTIVO</v>
      </c>
      <c r="H1792" s="230">
        <f t="shared" ca="1" si="1467"/>
        <v>16</v>
      </c>
      <c r="I1792" s="228" t="str">
        <f t="shared" ca="1" si="1487"/>
        <v xml:space="preserve">   SISTEMAS DE PINTURA INTERNA</v>
      </c>
      <c r="J1792" s="230">
        <f t="shared" ca="1" si="1468"/>
        <v>3</v>
      </c>
      <c r="K1792" s="228" t="str">
        <f t="shared" ca="1" si="1488"/>
        <v xml:space="preserve">   SISTEMAS DE PINTURA INTERNA - 3º  ao 7º PAVIMENTO - TIPO</v>
      </c>
      <c r="L1792" s="231">
        <f t="shared" ca="1" si="1469"/>
        <v>3</v>
      </c>
      <c r="M1792" s="228" t="str">
        <f t="shared" ca="1" si="1489"/>
        <v xml:space="preserve">   Mão de Obra</v>
      </c>
      <c r="N1792" s="231">
        <f t="shared" ca="1" si="1470"/>
        <v>2</v>
      </c>
      <c r="O1792" s="228" t="str">
        <f t="shared" ca="1" si="1490"/>
        <v>Mao de obra para pintura acrílica em teto</v>
      </c>
      <c r="P1792" s="232" t="str">
        <f>IF(S1792="","",IF(Orçamento!$B1792="INSUMO",S1792,""))</f>
        <v>MAO DE OBRA PARA PINTURA LATEX ACRILICA EM TETO - 3 DEMAOS</v>
      </c>
      <c r="Q1792" s="244" t="str">
        <f t="shared" si="1493"/>
        <v/>
      </c>
      <c r="R1792" s="234">
        <f t="shared" ca="1" si="1491"/>
        <v>952.09999999999991</v>
      </c>
      <c r="S1792" s="233" t="s">
        <v>280</v>
      </c>
      <c r="T1792" s="242" t="str">
        <f>_xlfn.XLOOKUP(S1792,Insumos!$A$3:$A$371,Insumos!$B$3:$B$371)</f>
        <v>M2</v>
      </c>
      <c r="U1792" s="235">
        <f ca="1">IF($B1792="insumo",R1792,"")</f>
        <v>952.09999999999991</v>
      </c>
      <c r="V1792" s="320">
        <v>1</v>
      </c>
      <c r="W1792" s="236">
        <f>IFERROR(IF(B1792="INSUMO",_xlfn.XLOOKUP(S1792,Insumos!A:A,Insumos!C:C),""),"Inserir Preço")</f>
        <v>53.07250036855902</v>
      </c>
      <c r="X1792" s="235">
        <f t="shared" ca="1" si="1492"/>
        <v>952.09999999999991</v>
      </c>
      <c r="Y1792" s="236">
        <f t="shared" si="1477"/>
        <v>53.07250036855902</v>
      </c>
      <c r="Z1792" s="237">
        <f t="shared" ca="1" si="1449"/>
        <v>50530.327600905039</v>
      </c>
      <c r="AA1792" s="238"/>
      <c r="AB1792" s="233" t="str">
        <f>IF(B1792="insumo",_xlfn.XLOOKUP(S1792,Insumos!A:A,Insumos!D:D),"")</f>
        <v>Aba Custo Serviços</v>
      </c>
      <c r="AC1792" s="239">
        <f t="shared" ca="1" si="1450"/>
        <v>7.2490361896811392E-3</v>
      </c>
      <c r="AE1792" s="240">
        <f ca="1">IFERROR(IF(OR(Z1792="",Z1792=0),"",IF(AF1792="","",IF(AF1792="R$/mês",Z1792/OBRA!$D$12,IF(AF1792="R$/m²",Z1792/OBRA!$D$10,IF(AF1792="R$/apto",Orçamento!Z1792/OBRA!$D$11,""))))),"")</f>
        <v>26.00326652064091</v>
      </c>
      <c r="AF1792" s="241" t="s">
        <v>154</v>
      </c>
    </row>
    <row r="1793" spans="1:32" s="10" customFormat="1" ht="13.15" customHeight="1" outlineLevel="2" collapsed="1" x14ac:dyDescent="0.2">
      <c r="A1793" s="227"/>
      <c r="B1793" s="228" t="s">
        <v>2</v>
      </c>
      <c r="C1793" s="229" t="str">
        <f t="shared" si="1448"/>
        <v/>
      </c>
      <c r="D1793" s="227" t="str">
        <f t="shared" ref="D1793:D1830" ca="1" si="1494">IF(B1793="Unidade Construtiva",TEXT(F1793,"00"),IF(B1793="Célula Construtiva",TEXT(H1793,"00"),IF(B1793="Etapa",CONCATENATE(TEXT(H1793,"00"),".",TEXT(J1793,"000")),IF(B1793="Subetapa",CONCATENATE(TEXT(H1793,"00"),".",TEXT(J1793,"000"),".",TEXT(L1793,"000")),IF(B1793="Serviço",CONCATENATE(TEXT(H1793,"00"),".",TEXT(J1793,"000"),".",TEXT(L1793,"000"),".",TEXT(N1793,"000")),"")))))</f>
        <v>16.004</v>
      </c>
      <c r="E1793" s="228" t="str">
        <f t="shared" ref="E1793:E1830" ca="1" si="1495">IF(B1793="*","",IFERROR(IF(B1793="SERVIÇO",D1793,OFFSET(E1793,-1,0)),""))</f>
        <v>16.003.003.002</v>
      </c>
      <c r="F1793" s="230">
        <f ca="1">IF($B1793="UNIDADE CONSTRUTIVA",OFFSET(F1793,-1,0)+1,LARGE(F$10:F1792,1))</f>
        <v>2</v>
      </c>
      <c r="G1793" s="228" t="str">
        <f t="shared" ca="1" si="1486"/>
        <v xml:space="preserve">   GERENCIAMENTO EXECUTIVO</v>
      </c>
      <c r="H1793" s="230">
        <f t="shared" ref="H1793:H1830" ca="1" si="1496">IF(B1793="UNIDADE CONSTRUTIVA",0,IF(B1793="CÉLULA CONSTRUTIVA",OFFSET(H1793,-1,0)+1,OFFSET(H1793,-1,0)))</f>
        <v>16</v>
      </c>
      <c r="I1793" s="228" t="str">
        <f t="shared" ca="1" si="1487"/>
        <v xml:space="preserve">   SISTEMAS DE PINTURA INTERNA</v>
      </c>
      <c r="J1793" s="230">
        <f t="shared" ref="J1793:J1830" ca="1" si="1497">IF(B1793="CÉLULA CONSTRUTIVA",0,IF(B1793="ETAPA",OFFSET(J1793,-1,0)+1,OFFSET(J1793,-1,0)))</f>
        <v>4</v>
      </c>
      <c r="K1793" s="228" t="str">
        <f t="shared" ca="1" si="1488"/>
        <v xml:space="preserve">   SISTEMAS DE PINTURA INTERNA - 8º PAVIMENTO - COBERTURA</v>
      </c>
      <c r="L1793" s="231">
        <f t="shared" ref="L1793:L1830" ca="1" si="1498">IF(B1793="ETAPA",0,IF(B1793="SUBETAPA",OFFSET(L1793,-1,0)+1,OFFSET(L1793,-1,0)))</f>
        <v>0</v>
      </c>
      <c r="M1793" s="228" t="str">
        <f t="shared" ca="1" si="1489"/>
        <v xml:space="preserve">   Mão de Obra</v>
      </c>
      <c r="N1793" s="231">
        <f t="shared" ref="N1793:N1830" ca="1" si="1499">IF(B1793="Subetapa",0,IF(B1793="serviço",OFFSET(N1793,-1,0)+1,OFFSET(N1793,-1,0)))</f>
        <v>2</v>
      </c>
      <c r="O1793" s="228" t="str">
        <f t="shared" ca="1" si="1490"/>
        <v>Mao de obra para pintura acrílica em teto</v>
      </c>
      <c r="P1793" s="232" t="str">
        <f>IF(S1793="","",IF(Orçamento!$B1793="INSUMO",S1793,""))</f>
        <v/>
      </c>
      <c r="Q1793" s="244" t="str">
        <f t="shared" si="1493"/>
        <v/>
      </c>
      <c r="R1793" s="234">
        <f t="shared" ca="1" si="1491"/>
        <v>952.09999999999991</v>
      </c>
      <c r="S1793" s="233" t="s">
        <v>657</v>
      </c>
      <c r="T1793" s="242" t="s">
        <v>35</v>
      </c>
      <c r="U1793" s="235" t="str">
        <f>IF($B1793="insumo",R1793,"")</f>
        <v/>
      </c>
      <c r="V1793" s="320" t="s">
        <v>35</v>
      </c>
      <c r="W1793" s="236" t="str">
        <f>IFERROR(IF(B1793="INSUMO",_xlfn.XLOOKUP(S1793,Insumos!A:A,Insumos!C:C),""),"Inserir Preço")</f>
        <v/>
      </c>
      <c r="X1793" s="235" t="str">
        <f t="shared" ca="1" si="1492"/>
        <v/>
      </c>
      <c r="Y1793" s="236" t="str">
        <f t="shared" si="1477"/>
        <v/>
      </c>
      <c r="Z1793" s="237">
        <f t="shared" ca="1" si="1449"/>
        <v>21065.363573124356</v>
      </c>
      <c r="AA1793" s="238"/>
      <c r="AB1793" s="233" t="str">
        <f>IF(B1793="insumo",_xlfn.XLOOKUP(S1793,Insumos!A:A,Insumos!D:D),"")</f>
        <v/>
      </c>
      <c r="AC1793" s="239">
        <f t="shared" ca="1" si="1450"/>
        <v>3.0220184617927195E-3</v>
      </c>
      <c r="AE1793" s="240">
        <f ca="1">IFERROR(IF(OR(Z1793="",Z1793=0),"",IF(AF1793="","",IF(AF1793="R$/mês",Z1793/OBRA!$D$12,IF(AF1793="R$/m²",Z1793/OBRA!$D$10,IF(AF1793="R$/apto",Orçamento!Z1793/OBRA!$D$11,""))))),"")</f>
        <v>10.840386147354845</v>
      </c>
      <c r="AF1793" s="241" t="s">
        <v>154</v>
      </c>
    </row>
    <row r="1794" spans="1:32" s="10" customFormat="1" ht="13.15" hidden="1" customHeight="1" outlineLevel="3" collapsed="1" x14ac:dyDescent="0.2">
      <c r="A1794" s="227"/>
      <c r="B1794" s="228" t="s">
        <v>3</v>
      </c>
      <c r="C1794" s="229" t="str">
        <f t="shared" si="1448"/>
        <v/>
      </c>
      <c r="D1794" s="227" t="str">
        <f t="shared" ca="1" si="1494"/>
        <v>16.004.001</v>
      </c>
      <c r="E1794" s="228" t="str">
        <f t="shared" ca="1" si="1495"/>
        <v>16.003.003.002</v>
      </c>
      <c r="F1794" s="230">
        <f ca="1">IF($B1794="UNIDADE CONSTRUTIVA",OFFSET(F1794,-1,0)+1,LARGE(F$10:F1793,1))</f>
        <v>2</v>
      </c>
      <c r="G1794" s="228" t="str">
        <f t="shared" ca="1" si="1486"/>
        <v xml:space="preserve">   GERENCIAMENTO EXECUTIVO</v>
      </c>
      <c r="H1794" s="230">
        <f t="shared" ca="1" si="1496"/>
        <v>16</v>
      </c>
      <c r="I1794" s="228" t="str">
        <f t="shared" ca="1" si="1487"/>
        <v xml:space="preserve">   SISTEMAS DE PINTURA INTERNA</v>
      </c>
      <c r="J1794" s="230">
        <f t="shared" ca="1" si="1497"/>
        <v>4</v>
      </c>
      <c r="K1794" s="228" t="str">
        <f t="shared" ca="1" si="1488"/>
        <v xml:space="preserve">   SISTEMAS DE PINTURA INTERNA - 8º PAVIMENTO - COBERTURA</v>
      </c>
      <c r="L1794" s="231">
        <f t="shared" ca="1" si="1498"/>
        <v>1</v>
      </c>
      <c r="M1794" s="228" t="str">
        <f t="shared" ca="1" si="1489"/>
        <v xml:space="preserve">   Sistemas de Pintura Interna em Piso</v>
      </c>
      <c r="N1794" s="231">
        <f t="shared" ca="1" si="1499"/>
        <v>0</v>
      </c>
      <c r="O1794" s="228" t="str">
        <f t="shared" ca="1" si="1490"/>
        <v>Mao de obra para pintura acrílica em teto</v>
      </c>
      <c r="P1794" s="232" t="str">
        <f>IF(S1794="","",IF(Orçamento!$B1794="INSUMO",S1794,""))</f>
        <v/>
      </c>
      <c r="Q1794" s="244" t="str">
        <f t="shared" si="1493"/>
        <v/>
      </c>
      <c r="R1794" s="234">
        <f t="shared" ca="1" si="1491"/>
        <v>952.09999999999991</v>
      </c>
      <c r="S1794" s="233" t="s">
        <v>498</v>
      </c>
      <c r="T1794" s="242" t="s">
        <v>35</v>
      </c>
      <c r="U1794" s="235" t="str">
        <f>IF($B1794="insumo",R1794,"")</f>
        <v/>
      </c>
      <c r="V1794" s="320" t="s">
        <v>35</v>
      </c>
      <c r="W1794" s="236" t="str">
        <f>IFERROR(IF(B1794="INSUMO",_xlfn.XLOOKUP(S1794,Insumos!A:A,Insumos!C:C),""),"Inserir Preço")</f>
        <v/>
      </c>
      <c r="X1794" s="235" t="str">
        <f t="shared" ca="1" si="1492"/>
        <v/>
      </c>
      <c r="Y1794" s="236" t="str">
        <f t="shared" si="1477"/>
        <v/>
      </c>
      <c r="Z1794" s="237">
        <f t="shared" ca="1" si="1449"/>
        <v>36.011030742000003</v>
      </c>
      <c r="AA1794" s="238"/>
      <c r="AB1794" s="233" t="str">
        <f>IF(B1794="insumo",_xlfn.XLOOKUP(S1794,Insumos!A:A,Insumos!D:D),"")</f>
        <v/>
      </c>
      <c r="AC1794" s="239">
        <f t="shared" ca="1" si="1450"/>
        <v>5.1661106798722312E-6</v>
      </c>
      <c r="AE1794" s="240">
        <f ca="1">IFERROR(IF(OR(Z1794="",Z1794=0),"",IF(AF1794="","",IF(AF1794="R$/mês",Z1794/OBRA!$D$12,IF(AF1794="R$/m²",Z1794/OBRA!$D$10,IF(AF1794="R$/apto",Orçamento!Z1794/OBRA!$D$11,""))))),"")</f>
        <v>1.8531532933312063E-2</v>
      </c>
      <c r="AF1794" s="241" t="s">
        <v>154</v>
      </c>
    </row>
    <row r="1795" spans="1:32" s="10" customFormat="1" ht="13.15" hidden="1" customHeight="1" outlineLevel="4" x14ac:dyDescent="0.2">
      <c r="A1795" s="227"/>
      <c r="B1795" s="228" t="s">
        <v>4</v>
      </c>
      <c r="C1795" s="229">
        <f t="shared" si="1448"/>
        <v>2</v>
      </c>
      <c r="D1795" s="227" t="str">
        <f t="shared" ca="1" si="1494"/>
        <v>16.004.001.001</v>
      </c>
      <c r="E1795" s="228" t="str">
        <f t="shared" ca="1" si="1495"/>
        <v>16.004.001.001</v>
      </c>
      <c r="F1795" s="230">
        <f ca="1">IF($B1795="UNIDADE CONSTRUTIVA",OFFSET(F1795,-1,0)+1,LARGE(F$10:F1794,1))</f>
        <v>2</v>
      </c>
      <c r="G1795" s="228" t="str">
        <f t="shared" ca="1" si="1486"/>
        <v xml:space="preserve">   GERENCIAMENTO EXECUTIVO</v>
      </c>
      <c r="H1795" s="230">
        <f t="shared" ca="1" si="1496"/>
        <v>16</v>
      </c>
      <c r="I1795" s="228" t="str">
        <f t="shared" ca="1" si="1487"/>
        <v xml:space="preserve">   SISTEMAS DE PINTURA INTERNA</v>
      </c>
      <c r="J1795" s="230">
        <f t="shared" ca="1" si="1497"/>
        <v>4</v>
      </c>
      <c r="K1795" s="228" t="str">
        <f t="shared" ca="1" si="1488"/>
        <v xml:space="preserve">   SISTEMAS DE PINTURA INTERNA - 8º PAVIMENTO - COBERTURA</v>
      </c>
      <c r="L1795" s="231">
        <f t="shared" ca="1" si="1498"/>
        <v>1</v>
      </c>
      <c r="M1795" s="228" t="str">
        <f t="shared" ca="1" si="1489"/>
        <v xml:space="preserve">   Sistemas de Pintura Interna em Piso</v>
      </c>
      <c r="N1795" s="231">
        <f t="shared" ca="1" si="1499"/>
        <v>1</v>
      </c>
      <c r="O1795" s="228" t="str">
        <f t="shared" ca="1" si="1490"/>
        <v>Pintura acrilica em piso e rodapé de 7cm, 2 demaos, aplicacao em antecamara e escadaria</v>
      </c>
      <c r="P1795" s="232" t="str">
        <f>IF(S1795="","",IF(Orçamento!$B1795="INSUMO",S1795,""))</f>
        <v/>
      </c>
      <c r="Q1795" s="244" t="str">
        <f t="shared" si="1493"/>
        <v>Pintura acrilica em piso e rodapé de 7cm, 2 demaos, aplicacao em antecamara e escadaria</v>
      </c>
      <c r="R1795" s="234">
        <f t="shared" ca="1" si="1491"/>
        <v>7.6806000000000001</v>
      </c>
      <c r="S1795" s="233" t="s">
        <v>737</v>
      </c>
      <c r="T1795" s="242" t="s">
        <v>140</v>
      </c>
      <c r="U1795" s="235">
        <v>7.6806000000000001</v>
      </c>
      <c r="V1795" s="320" t="s">
        <v>35</v>
      </c>
      <c r="W1795" s="236" t="str">
        <f>IFERROR(IF(B1795="INSUMO",_xlfn.XLOOKUP(S1795,Insumos!A:A,Insumos!C:C),""),"Inserir Preço")</f>
        <v/>
      </c>
      <c r="X1795" s="235">
        <f t="shared" ca="1" si="1492"/>
        <v>7.6806000000000001</v>
      </c>
      <c r="Y1795" s="236">
        <f t="shared" ca="1" si="1477"/>
        <v>4.6885700000000003</v>
      </c>
      <c r="Z1795" s="237">
        <f t="shared" ca="1" si="1449"/>
        <v>36.011030742000003</v>
      </c>
      <c r="AA1795" s="238"/>
      <c r="AB1795" s="233" t="str">
        <f>IF(B1795="insumo",_xlfn.XLOOKUP(S1795,Insumos!A:A,Insumos!D:D),"")</f>
        <v/>
      </c>
      <c r="AC1795" s="239">
        <f t="shared" ca="1" si="1450"/>
        <v>5.1661106798722312E-6</v>
      </c>
      <c r="AE1795" s="240">
        <f ca="1">IFERROR(IF(OR(Z1795="",Z1795=0),"",IF(AF1795="","",IF(AF1795="R$/mês",Z1795/OBRA!$D$12,IF(AF1795="R$/m²",Z1795/OBRA!$D$10,IF(AF1795="R$/apto",Orçamento!Z1795/OBRA!$D$11,""))))),"")</f>
        <v>1.8531532933312063E-2</v>
      </c>
      <c r="AF1795" s="241" t="s">
        <v>154</v>
      </c>
    </row>
    <row r="1796" spans="1:32" s="10" customFormat="1" ht="13.15" hidden="1" customHeight="1" outlineLevel="4" x14ac:dyDescent="0.2">
      <c r="A1796" s="227"/>
      <c r="B1796" s="228" t="s">
        <v>19</v>
      </c>
      <c r="C1796" s="229">
        <f t="shared" si="1448"/>
        <v>2</v>
      </c>
      <c r="D1796" s="227" t="str">
        <f t="shared" si="1494"/>
        <v/>
      </c>
      <c r="E1796" s="228" t="str">
        <f t="shared" ca="1" si="1495"/>
        <v>16.004.001.001</v>
      </c>
      <c r="F1796" s="230">
        <f ca="1">IF($B1796="UNIDADE CONSTRUTIVA",OFFSET(F1796,-1,0)+1,LARGE(F$10:F1795,1))</f>
        <v>2</v>
      </c>
      <c r="G1796" s="228" t="str">
        <f t="shared" ca="1" si="1486"/>
        <v xml:space="preserve">   GERENCIAMENTO EXECUTIVO</v>
      </c>
      <c r="H1796" s="230">
        <f t="shared" ca="1" si="1496"/>
        <v>16</v>
      </c>
      <c r="I1796" s="228" t="str">
        <f t="shared" ca="1" si="1487"/>
        <v xml:space="preserve">   SISTEMAS DE PINTURA INTERNA</v>
      </c>
      <c r="J1796" s="230">
        <f t="shared" ca="1" si="1497"/>
        <v>4</v>
      </c>
      <c r="K1796" s="228" t="str">
        <f t="shared" ca="1" si="1488"/>
        <v xml:space="preserve">   SISTEMAS DE PINTURA INTERNA - 8º PAVIMENTO - COBERTURA</v>
      </c>
      <c r="L1796" s="231">
        <f t="shared" ca="1" si="1498"/>
        <v>1</v>
      </c>
      <c r="M1796" s="228" t="str">
        <f t="shared" ca="1" si="1489"/>
        <v xml:space="preserve">   Sistemas de Pintura Interna em Piso</v>
      </c>
      <c r="N1796" s="231">
        <f t="shared" ca="1" si="1499"/>
        <v>1</v>
      </c>
      <c r="O1796" s="228" t="str">
        <f t="shared" ca="1" si="1490"/>
        <v>Pintura acrilica em piso e rodapé de 7cm, 2 demaos, aplicacao em antecamara e escadaria</v>
      </c>
      <c r="P1796" s="232" t="str">
        <f>IF(S1796="","",IF(Orçamento!$B1796="INSUMO",S1796,""))</f>
        <v>TINTA ACRILICA PARA PISO</v>
      </c>
      <c r="Q1796" s="244" t="str">
        <f t="shared" si="1493"/>
        <v/>
      </c>
      <c r="R1796" s="234">
        <f t="shared" ca="1" si="1491"/>
        <v>7.6806000000000001</v>
      </c>
      <c r="S1796" s="233" t="s">
        <v>383</v>
      </c>
      <c r="T1796" s="242" t="str">
        <f>_xlfn.XLOOKUP(S1796,Insumos!$A$3:$A$371,Insumos!$B$3:$B$371)</f>
        <v>L</v>
      </c>
      <c r="U1796" s="235">
        <f ca="1">IF($B1796="insumo",R1796,"")</f>
        <v>7.6806000000000001</v>
      </c>
      <c r="V1796" s="320">
        <v>0.42699999999999999</v>
      </c>
      <c r="W1796" s="236">
        <f>IFERROR(IF(B1796="INSUMO",_xlfn.XLOOKUP(S1796,Insumos!A:A,Insumos!C:C),""),"Inserir Preço")</f>
        <v>10.91</v>
      </c>
      <c r="X1796" s="235">
        <f t="shared" ca="1" si="1492"/>
        <v>3.2796162</v>
      </c>
      <c r="Y1796" s="236">
        <f t="shared" si="1477"/>
        <v>4.6585700000000001</v>
      </c>
      <c r="Z1796" s="237">
        <f t="shared" ca="1" si="1449"/>
        <v>35.780612742000002</v>
      </c>
      <c r="AA1796" s="238"/>
      <c r="AB1796" s="233" t="str">
        <f>IF(B1796="insumo",_xlfn.XLOOKUP(S1796,Insumos!A:A,Insumos!D:D),"")</f>
        <v xml:space="preserve"> </v>
      </c>
      <c r="AC1796" s="239">
        <f t="shared" ca="1" si="1450"/>
        <v>5.1330551170041993E-6</v>
      </c>
      <c r="AE1796" s="240">
        <f ca="1">IFERROR(IF(OR(Z1796="",Z1796=0),"",IF(AF1796="","",IF(AF1796="R$/mês",Z1796/OBRA!$D$12,IF(AF1796="R$/m²",Z1796/OBRA!$D$10,IF(AF1796="R$/apto",Orçamento!Z1796/OBRA!$D$11,""))))),"")</f>
        <v>1.8412958189200457E-2</v>
      </c>
      <c r="AF1796" s="241" t="s">
        <v>154</v>
      </c>
    </row>
    <row r="1797" spans="1:32" s="10" customFormat="1" ht="13.15" hidden="1" customHeight="1" outlineLevel="4" x14ac:dyDescent="0.2">
      <c r="A1797" s="227"/>
      <c r="B1797" s="228" t="s">
        <v>19</v>
      </c>
      <c r="C1797" s="229">
        <f t="shared" si="1448"/>
        <v>2</v>
      </c>
      <c r="D1797" s="227" t="str">
        <f t="shared" si="1494"/>
        <v/>
      </c>
      <c r="E1797" s="228" t="str">
        <f t="shared" ca="1" si="1495"/>
        <v>16.004.001.001</v>
      </c>
      <c r="F1797" s="230">
        <f ca="1">IF($B1797="UNIDADE CONSTRUTIVA",OFFSET(F1797,-1,0)+1,LARGE(F$10:F1796,1))</f>
        <v>2</v>
      </c>
      <c r="G1797" s="228" t="str">
        <f t="shared" ca="1" si="1486"/>
        <v xml:space="preserve">   GERENCIAMENTO EXECUTIVO</v>
      </c>
      <c r="H1797" s="230">
        <f t="shared" ca="1" si="1496"/>
        <v>16</v>
      </c>
      <c r="I1797" s="228" t="str">
        <f t="shared" ca="1" si="1487"/>
        <v xml:space="preserve">   SISTEMAS DE PINTURA INTERNA</v>
      </c>
      <c r="J1797" s="230">
        <f t="shared" ca="1" si="1497"/>
        <v>4</v>
      </c>
      <c r="K1797" s="228" t="str">
        <f t="shared" ca="1" si="1488"/>
        <v xml:space="preserve">   SISTEMAS DE PINTURA INTERNA - 8º PAVIMENTO - COBERTURA</v>
      </c>
      <c r="L1797" s="231">
        <f t="shared" ca="1" si="1498"/>
        <v>1</v>
      </c>
      <c r="M1797" s="228" t="str">
        <f t="shared" ca="1" si="1489"/>
        <v xml:space="preserve">   Sistemas de Pintura Interna em Piso</v>
      </c>
      <c r="N1797" s="231">
        <f t="shared" ca="1" si="1499"/>
        <v>1</v>
      </c>
      <c r="O1797" s="228" t="str">
        <f t="shared" ca="1" si="1490"/>
        <v>Pintura acrilica em piso e rodapé de 7cm, 2 demaos, aplicacao em antecamara e escadaria</v>
      </c>
      <c r="P1797" s="232" t="str">
        <f>IF(S1797="","",IF(Orçamento!$B1797="INSUMO",S1797,""))</f>
        <v>FITA CREPE 25MMX50M</v>
      </c>
      <c r="Q1797" s="244" t="str">
        <f t="shared" si="1493"/>
        <v/>
      </c>
      <c r="R1797" s="234">
        <f t="shared" ca="1" si="1491"/>
        <v>7.6806000000000001</v>
      </c>
      <c r="S1797" s="233" t="s">
        <v>401</v>
      </c>
      <c r="T1797" s="242" t="str">
        <f>_xlfn.XLOOKUP(S1797,Insumos!$A$3:$A$371,Insumos!$B$3:$B$371)</f>
        <v>L</v>
      </c>
      <c r="U1797" s="235">
        <f ca="1">IF($B1797="insumo",R1797,"")</f>
        <v>7.6806000000000001</v>
      </c>
      <c r="V1797" s="320">
        <v>0.01</v>
      </c>
      <c r="W1797" s="236">
        <f>IFERROR(IF(B1797="INSUMO",_xlfn.XLOOKUP(S1797,Insumos!A:A,Insumos!C:C),""),"Inserir Preço")</f>
        <v>3</v>
      </c>
      <c r="X1797" s="235">
        <f t="shared" ca="1" si="1492"/>
        <v>7.6805999999999999E-2</v>
      </c>
      <c r="Y1797" s="236">
        <f t="shared" si="1477"/>
        <v>0.03</v>
      </c>
      <c r="Z1797" s="237">
        <f t="shared" ca="1" si="1449"/>
        <v>0.23041800000000001</v>
      </c>
      <c r="AA1797" s="238"/>
      <c r="AB1797" s="233" t="str">
        <f>IF(B1797="insumo",_xlfn.XLOOKUP(S1797,Insumos!A:A,Insumos!D:D),"")</f>
        <v xml:space="preserve"> </v>
      </c>
      <c r="AC1797" s="239">
        <f t="shared" ca="1" si="1450"/>
        <v>3.3055562868031603E-8</v>
      </c>
      <c r="AE1797" s="240">
        <f ca="1">IFERROR(IF(OR(Z1797="",Z1797=0),"",IF(AF1797="","",IF(AF1797="R$/mês",Z1797/OBRA!$D$12,IF(AF1797="R$/m²",Z1797/OBRA!$D$10,IF(AF1797="R$/apto",Orçamento!Z1797/OBRA!$D$11,""))))),"")</f>
        <v>1.18574744111608E-4</v>
      </c>
      <c r="AF1797" s="241" t="s">
        <v>154</v>
      </c>
    </row>
    <row r="1798" spans="1:32" s="10" customFormat="1" ht="13.15" hidden="1" customHeight="1" outlineLevel="3" collapsed="1" x14ac:dyDescent="0.2">
      <c r="A1798" s="227"/>
      <c r="B1798" s="228" t="s">
        <v>3</v>
      </c>
      <c r="C1798" s="229" t="str">
        <f t="shared" si="1448"/>
        <v/>
      </c>
      <c r="D1798" s="227" t="str">
        <f t="shared" ca="1" si="1494"/>
        <v>16.004.002</v>
      </c>
      <c r="E1798" s="228" t="str">
        <f t="shared" ca="1" si="1495"/>
        <v>16.004.001.001</v>
      </c>
      <c r="F1798" s="230">
        <f ca="1">IF($B1798="UNIDADE CONSTRUTIVA",OFFSET(F1798,-1,0)+1,LARGE(F$10:F1797,1))</f>
        <v>2</v>
      </c>
      <c r="G1798" s="228" t="str">
        <f t="shared" ca="1" si="1486"/>
        <v xml:space="preserve">   GERENCIAMENTO EXECUTIVO</v>
      </c>
      <c r="H1798" s="230">
        <f t="shared" ca="1" si="1496"/>
        <v>16</v>
      </c>
      <c r="I1798" s="228" t="str">
        <f t="shared" ca="1" si="1487"/>
        <v xml:space="preserve">   SISTEMAS DE PINTURA INTERNA</v>
      </c>
      <c r="J1798" s="230">
        <f t="shared" ca="1" si="1497"/>
        <v>4</v>
      </c>
      <c r="K1798" s="228" t="str">
        <f t="shared" ca="1" si="1488"/>
        <v xml:space="preserve">   SISTEMAS DE PINTURA INTERNA - 8º PAVIMENTO - COBERTURA</v>
      </c>
      <c r="L1798" s="231">
        <f t="shared" ca="1" si="1498"/>
        <v>2</v>
      </c>
      <c r="M1798" s="228" t="str">
        <f t="shared" ca="1" si="1489"/>
        <v xml:space="preserve">   Sistemas de Pintura Interna em Parede</v>
      </c>
      <c r="N1798" s="231">
        <f t="shared" ca="1" si="1499"/>
        <v>0</v>
      </c>
      <c r="O1798" s="228" t="str">
        <f t="shared" ca="1" si="1490"/>
        <v>Pintura acrilica em piso e rodapé de 7cm, 2 demaos, aplicacao em antecamara e escadaria</v>
      </c>
      <c r="P1798" s="232" t="str">
        <f>IF(S1798="","",IF(Orçamento!$B1798="INSUMO",S1798,""))</f>
        <v/>
      </c>
      <c r="Q1798" s="244" t="str">
        <f t="shared" si="1493"/>
        <v/>
      </c>
      <c r="R1798" s="234">
        <f t="shared" ca="1" si="1491"/>
        <v>7.6806000000000001</v>
      </c>
      <c r="S1798" s="233" t="s">
        <v>499</v>
      </c>
      <c r="T1798" s="242" t="s">
        <v>35</v>
      </c>
      <c r="U1798" s="235" t="str">
        <f>IF($B1798="insumo",R1798,"")</f>
        <v/>
      </c>
      <c r="V1798" s="320" t="s">
        <v>35</v>
      </c>
      <c r="W1798" s="236" t="str">
        <f>IFERROR(IF(B1798="INSUMO",_xlfn.XLOOKUP(S1798,Insumos!A:A,Insumos!C:C),""),"Inserir Preço")</f>
        <v/>
      </c>
      <c r="X1798" s="235" t="str">
        <f t="shared" ca="1" si="1492"/>
        <v/>
      </c>
      <c r="Y1798" s="236" t="str">
        <f t="shared" si="1477"/>
        <v/>
      </c>
      <c r="Z1798" s="237">
        <f t="shared" ca="1" si="1449"/>
        <v>4586.5954091999993</v>
      </c>
      <c r="AA1798" s="238"/>
      <c r="AB1798" s="233" t="str">
        <f>IF(B1798="insumo",_xlfn.XLOOKUP(S1798,Insumos!A:A,Insumos!D:D),"")</f>
        <v/>
      </c>
      <c r="AC1798" s="239">
        <f t="shared" ca="1" si="1450"/>
        <v>6.5798892837814614E-4</v>
      </c>
      <c r="AE1798" s="240">
        <f ca="1">IFERROR(IF(OR(Z1798="",Z1798=0),"",IF(AF1798="","",IF(AF1798="R$/mês",Z1798/OBRA!$D$12,IF(AF1798="R$/m²",Z1798/OBRA!$D$10,IF(AF1798="R$/apto",Orçamento!Z1798/OBRA!$D$11,""))))),"")</f>
        <v>2.3602946687731245</v>
      </c>
      <c r="AF1798" s="241" t="s">
        <v>154</v>
      </c>
    </row>
    <row r="1799" spans="1:32" s="10" customFormat="1" ht="13.15" hidden="1" customHeight="1" outlineLevel="4" x14ac:dyDescent="0.2">
      <c r="A1799" s="227"/>
      <c r="B1799" s="228" t="s">
        <v>4</v>
      </c>
      <c r="C1799" s="229">
        <f t="shared" si="1448"/>
        <v>5</v>
      </c>
      <c r="D1799" s="227" t="str">
        <f t="shared" ca="1" si="1494"/>
        <v>16.004.002.001</v>
      </c>
      <c r="E1799" s="228" t="str">
        <f t="shared" ca="1" si="1495"/>
        <v>16.004.002.001</v>
      </c>
      <c r="F1799" s="230">
        <f ca="1">IF($B1799="UNIDADE CONSTRUTIVA",OFFSET(F1799,-1,0)+1,LARGE(F$10:F1798,1))</f>
        <v>2</v>
      </c>
      <c r="G1799" s="228" t="str">
        <f t="shared" ca="1" si="1486"/>
        <v xml:space="preserve">   GERENCIAMENTO EXECUTIVO</v>
      </c>
      <c r="H1799" s="230">
        <f t="shared" ca="1" si="1496"/>
        <v>16</v>
      </c>
      <c r="I1799" s="228" t="str">
        <f t="shared" ca="1" si="1487"/>
        <v xml:space="preserve">   SISTEMAS DE PINTURA INTERNA</v>
      </c>
      <c r="J1799" s="230">
        <f t="shared" ca="1" si="1497"/>
        <v>4</v>
      </c>
      <c r="K1799" s="228" t="str">
        <f t="shared" ca="1" si="1488"/>
        <v xml:space="preserve">   SISTEMAS DE PINTURA INTERNA - 8º PAVIMENTO - COBERTURA</v>
      </c>
      <c r="L1799" s="231">
        <f t="shared" ca="1" si="1498"/>
        <v>2</v>
      </c>
      <c r="M1799" s="228" t="str">
        <f t="shared" ca="1" si="1489"/>
        <v xml:space="preserve">   Sistemas de Pintura Interna em Parede</v>
      </c>
      <c r="N1799" s="231">
        <f t="shared" ca="1" si="1499"/>
        <v>1</v>
      </c>
      <c r="O1799" s="228" t="str">
        <f t="shared" ca="1" si="1490"/>
        <v>Pintura com tinta latex acrilica, acabamento fosco em paredes internas, 3 demaos Áreas Comuns</v>
      </c>
      <c r="P1799" s="232" t="str">
        <f>IF(S1799="","",IF(Orçamento!$B1799="INSUMO",S1799,""))</f>
        <v/>
      </c>
      <c r="Q1799" s="244" t="str">
        <f t="shared" si="1493"/>
        <v>Pintura com tinta latex acrilica, acabamento fosco em paredes internas, 3 demaos Áreas Comuns</v>
      </c>
      <c r="R1799" s="234">
        <f t="shared" ca="1" si="1491"/>
        <v>255.16</v>
      </c>
      <c r="S1799" s="233" t="s">
        <v>738</v>
      </c>
      <c r="T1799" s="242" t="s">
        <v>140</v>
      </c>
      <c r="U1799" s="235">
        <v>255.16</v>
      </c>
      <c r="V1799" s="320" t="s">
        <v>35</v>
      </c>
      <c r="W1799" s="236" t="str">
        <f>IFERROR(IF(B1799="INSUMO",_xlfn.XLOOKUP(S1799,Insumos!A:A,Insumos!C:C),""),"Inserir Preço")</f>
        <v/>
      </c>
      <c r="X1799" s="235">
        <f t="shared" ca="1" si="1492"/>
        <v>255.16</v>
      </c>
      <c r="Y1799" s="236">
        <f t="shared" ca="1" si="1477"/>
        <v>17.975370000000002</v>
      </c>
      <c r="Z1799" s="237">
        <f t="shared" ca="1" si="1449"/>
        <v>4586.5954092000002</v>
      </c>
      <c r="AA1799" s="238"/>
      <c r="AB1799" s="233" t="str">
        <f>IF(B1799="insumo",_xlfn.XLOOKUP(S1799,Insumos!A:A,Insumos!D:D),"")</f>
        <v/>
      </c>
      <c r="AC1799" s="239">
        <f t="shared" ca="1" si="1450"/>
        <v>6.5798892837814636E-4</v>
      </c>
      <c r="AE1799" s="240">
        <f ca="1">IFERROR(IF(OR(Z1799="",Z1799=0),"",IF(AF1799="","",IF(AF1799="R$/mês",Z1799/OBRA!$D$12,IF(AF1799="R$/m²",Z1799/OBRA!$D$10,IF(AF1799="R$/apto",Orçamento!Z1799/OBRA!$D$11,""))))),"")</f>
        <v>2.3602946687731254</v>
      </c>
      <c r="AF1799" s="241" t="s">
        <v>154</v>
      </c>
    </row>
    <row r="1800" spans="1:32" s="10" customFormat="1" ht="13.15" hidden="1" customHeight="1" outlineLevel="4" x14ac:dyDescent="0.2">
      <c r="A1800" s="227"/>
      <c r="B1800" s="228" t="s">
        <v>19</v>
      </c>
      <c r="C1800" s="229">
        <f t="shared" si="1448"/>
        <v>13</v>
      </c>
      <c r="D1800" s="227" t="str">
        <f t="shared" si="1494"/>
        <v/>
      </c>
      <c r="E1800" s="228" t="str">
        <f t="shared" ca="1" si="1495"/>
        <v>16.004.002.001</v>
      </c>
      <c r="F1800" s="230">
        <f ca="1">IF($B1800="UNIDADE CONSTRUTIVA",OFFSET(F1800,-1,0)+1,LARGE(F$10:F1799,1))</f>
        <v>2</v>
      </c>
      <c r="G1800" s="228" t="str">
        <f t="shared" ca="1" si="1486"/>
        <v xml:space="preserve">   GERENCIAMENTO EXECUTIVO</v>
      </c>
      <c r="H1800" s="230">
        <f t="shared" ca="1" si="1496"/>
        <v>16</v>
      </c>
      <c r="I1800" s="228" t="str">
        <f t="shared" ca="1" si="1487"/>
        <v xml:space="preserve">   SISTEMAS DE PINTURA INTERNA</v>
      </c>
      <c r="J1800" s="230">
        <f t="shared" ca="1" si="1497"/>
        <v>4</v>
      </c>
      <c r="K1800" s="228" t="str">
        <f t="shared" ca="1" si="1488"/>
        <v xml:space="preserve">   SISTEMAS DE PINTURA INTERNA - 8º PAVIMENTO - COBERTURA</v>
      </c>
      <c r="L1800" s="231">
        <f t="shared" ca="1" si="1498"/>
        <v>2</v>
      </c>
      <c r="M1800" s="228" t="str">
        <f t="shared" ca="1" si="1489"/>
        <v xml:space="preserve">   Sistemas de Pintura Interna em Parede</v>
      </c>
      <c r="N1800" s="231">
        <f t="shared" ca="1" si="1499"/>
        <v>1</v>
      </c>
      <c r="O1800" s="228" t="str">
        <f t="shared" ca="1" si="1490"/>
        <v>Pintura com tinta latex acrilica, acabamento fosco em paredes internas, 3 demaos Áreas Comuns</v>
      </c>
      <c r="P1800" s="232" t="str">
        <f>IF(S1800="","",IF(Orçamento!$B1800="INSUMO",S1800,""))</f>
        <v>TINTA ACRILICO PREMIUM FOSCO</v>
      </c>
      <c r="Q1800" s="244" t="str">
        <f t="shared" si="1493"/>
        <v/>
      </c>
      <c r="R1800" s="234">
        <f t="shared" ca="1" si="1491"/>
        <v>255.16</v>
      </c>
      <c r="S1800" s="233" t="s">
        <v>264</v>
      </c>
      <c r="T1800" s="242" t="str">
        <f>_xlfn.XLOOKUP(S1800,Insumos!$A$3:$A$371,Insumos!$B$3:$B$371)</f>
        <v>L</v>
      </c>
      <c r="U1800" s="235">
        <f ca="1">IF($B1800="insumo",R1800,"")</f>
        <v>255.16</v>
      </c>
      <c r="V1800" s="320">
        <f>0.2678*2</f>
        <v>0.53559999999999997</v>
      </c>
      <c r="W1800" s="236">
        <f>IFERROR(IF(B1800="INSUMO",_xlfn.XLOOKUP(S1800,Insumos!A:A,Insumos!C:C),""),"Inserir Preço")</f>
        <v>29.17</v>
      </c>
      <c r="X1800" s="235">
        <f t="shared" ca="1" si="1492"/>
        <v>136.66369599999999</v>
      </c>
      <c r="Y1800" s="236">
        <f t="shared" si="1477"/>
        <v>15.623452</v>
      </c>
      <c r="Z1800" s="237">
        <f t="shared" ca="1" si="1449"/>
        <v>3986.4800123199998</v>
      </c>
      <c r="AA1800" s="238"/>
      <c r="AB1800" s="233" t="str">
        <f>IF(B1800="insumo",_xlfn.XLOOKUP(S1800,Insumos!A:A,Insumos!D:D),"")</f>
        <v xml:space="preserve"> </v>
      </c>
      <c r="AC1800" s="239">
        <f t="shared" ca="1" si="1450"/>
        <v>5.7189690332089997E-4</v>
      </c>
      <c r="AE1800" s="240">
        <f ca="1">IFERROR(IF(OR(Z1800="",Z1800=0),"",IF(AF1800="","",IF(AF1800="R$/mês",Z1800/OBRA!$D$12,IF(AF1800="R$/m²",Z1800/OBRA!$D$10,IF(AF1800="R$/apto",Orçamento!Z1800/OBRA!$D$11,""))))),"")</f>
        <v>2.0514710108016034</v>
      </c>
      <c r="AF1800" s="241" t="s">
        <v>154</v>
      </c>
    </row>
    <row r="1801" spans="1:32" s="10" customFormat="1" ht="13.15" hidden="1" customHeight="1" outlineLevel="4" x14ac:dyDescent="0.2">
      <c r="A1801" s="227"/>
      <c r="B1801" s="228" t="s">
        <v>19</v>
      </c>
      <c r="C1801" s="229">
        <f t="shared" si="1448"/>
        <v>12</v>
      </c>
      <c r="D1801" s="227" t="str">
        <f t="shared" si="1494"/>
        <v/>
      </c>
      <c r="E1801" s="228" t="str">
        <f t="shared" ca="1" si="1495"/>
        <v>16.004.002.001</v>
      </c>
      <c r="F1801" s="230">
        <f ca="1">IF($B1801="UNIDADE CONSTRUTIVA",OFFSET(F1801,-1,0)+1,LARGE(F$10:F1800,1))</f>
        <v>2</v>
      </c>
      <c r="G1801" s="228" t="str">
        <f t="shared" ca="1" si="1486"/>
        <v xml:space="preserve">   GERENCIAMENTO EXECUTIVO</v>
      </c>
      <c r="H1801" s="230">
        <f t="shared" ca="1" si="1496"/>
        <v>16</v>
      </c>
      <c r="I1801" s="228" t="str">
        <f t="shared" ca="1" si="1487"/>
        <v xml:space="preserve">   SISTEMAS DE PINTURA INTERNA</v>
      </c>
      <c r="J1801" s="230">
        <f t="shared" ca="1" si="1497"/>
        <v>4</v>
      </c>
      <c r="K1801" s="228" t="str">
        <f t="shared" ca="1" si="1488"/>
        <v xml:space="preserve">   SISTEMAS DE PINTURA INTERNA - 8º PAVIMENTO - COBERTURA</v>
      </c>
      <c r="L1801" s="231">
        <f t="shared" ca="1" si="1498"/>
        <v>2</v>
      </c>
      <c r="M1801" s="228" t="str">
        <f t="shared" ca="1" si="1489"/>
        <v xml:space="preserve">   Sistemas de Pintura Interna em Parede</v>
      </c>
      <c r="N1801" s="231">
        <f t="shared" ca="1" si="1499"/>
        <v>1</v>
      </c>
      <c r="O1801" s="228" t="str">
        <f t="shared" ca="1" si="1490"/>
        <v>Pintura com tinta latex acrilica, acabamento fosco em paredes internas, 3 demaos Áreas Comuns</v>
      </c>
      <c r="P1801" s="232" t="str">
        <f>IF(S1801="","",IF(Orçamento!$B1801="INSUMO",S1801,""))</f>
        <v>MASSA CORRIDA PVA</v>
      </c>
      <c r="Q1801" s="244" t="str">
        <f t="shared" si="1493"/>
        <v/>
      </c>
      <c r="R1801" s="234">
        <f t="shared" ca="1" si="1491"/>
        <v>255.16</v>
      </c>
      <c r="S1801" s="233" t="s">
        <v>338</v>
      </c>
      <c r="T1801" s="242" t="str">
        <f>_xlfn.XLOOKUP(S1801,Insumos!$A$3:$A$371,Insumos!$B$3:$B$371)</f>
        <v>L</v>
      </c>
      <c r="U1801" s="235">
        <f ca="1">IF($B1801="insumo",R1801,"")</f>
        <v>255.16</v>
      </c>
      <c r="V1801" s="320">
        <v>1.6868000000000001</v>
      </c>
      <c r="W1801" s="236">
        <f>IFERROR(IF(B1801="INSUMO",_xlfn.XLOOKUP(S1801,Insumos!A:A,Insumos!C:C),""),"Inserir Preço")</f>
        <v>1.26</v>
      </c>
      <c r="X1801" s="235">
        <f t="shared" ca="1" si="1492"/>
        <v>430.40388799999999</v>
      </c>
      <c r="Y1801" s="236">
        <f t="shared" si="1477"/>
        <v>2.1253679999999999</v>
      </c>
      <c r="Z1801" s="237">
        <f t="shared" ca="1" si="1449"/>
        <v>542.30889888000002</v>
      </c>
      <c r="AA1801" s="238"/>
      <c r="AB1801" s="233" t="str">
        <f>IF(B1801="insumo",_xlfn.XLOOKUP(S1801,Insumos!A:A,Insumos!D:D),"")</f>
        <v xml:space="preserve"> </v>
      </c>
      <c r="AC1801" s="239">
        <f t="shared" ca="1" si="1450"/>
        <v>7.77991558854813E-5</v>
      </c>
      <c r="AE1801" s="240">
        <f ca="1">IFERROR(IF(OR(Z1801="",Z1801=0),"",IF(AF1801="","",IF(AF1801="R$/mês",Z1801/OBRA!$D$12,IF(AF1801="R$/m²",Z1801/OBRA!$D$10,IF(AF1801="R$/apto",Orçamento!Z1801/OBRA!$D$11,""))))),"")</f>
        <v>0.27907602233394913</v>
      </c>
      <c r="AF1801" s="241" t="s">
        <v>154</v>
      </c>
    </row>
    <row r="1802" spans="1:32" s="10" customFormat="1" ht="13.15" hidden="1" customHeight="1" outlineLevel="4" x14ac:dyDescent="0.2">
      <c r="A1802" s="227"/>
      <c r="B1802" s="228" t="s">
        <v>19</v>
      </c>
      <c r="C1802" s="229">
        <f t="shared" si="1448"/>
        <v>19</v>
      </c>
      <c r="D1802" s="227" t="str">
        <f t="shared" si="1494"/>
        <v/>
      </c>
      <c r="E1802" s="228" t="str">
        <f t="shared" ca="1" si="1495"/>
        <v>16.004.002.001</v>
      </c>
      <c r="F1802" s="230">
        <f ca="1">IF($B1802="UNIDADE CONSTRUTIVA",OFFSET(F1802,-1,0)+1,LARGE(F$10:F1801,1))</f>
        <v>2</v>
      </c>
      <c r="G1802" s="228" t="str">
        <f t="shared" ca="1" si="1486"/>
        <v xml:space="preserve">   GERENCIAMENTO EXECUTIVO</v>
      </c>
      <c r="H1802" s="230">
        <f t="shared" ca="1" si="1496"/>
        <v>16</v>
      </c>
      <c r="I1802" s="228" t="str">
        <f t="shared" ca="1" si="1487"/>
        <v xml:space="preserve">   SISTEMAS DE PINTURA INTERNA</v>
      </c>
      <c r="J1802" s="230">
        <f t="shared" ca="1" si="1497"/>
        <v>4</v>
      </c>
      <c r="K1802" s="228" t="str">
        <f t="shared" ca="1" si="1488"/>
        <v xml:space="preserve">   SISTEMAS DE PINTURA INTERNA - 8º PAVIMENTO - COBERTURA</v>
      </c>
      <c r="L1802" s="231">
        <f t="shared" ca="1" si="1498"/>
        <v>2</v>
      </c>
      <c r="M1802" s="228" t="str">
        <f t="shared" ca="1" si="1489"/>
        <v xml:space="preserve">   Sistemas de Pintura Interna em Parede</v>
      </c>
      <c r="N1802" s="231">
        <f t="shared" ca="1" si="1499"/>
        <v>1</v>
      </c>
      <c r="O1802" s="228" t="str">
        <f t="shared" ca="1" si="1490"/>
        <v>Pintura com tinta latex acrilica, acabamento fosco em paredes internas, 3 demaos Áreas Comuns</v>
      </c>
      <c r="P1802" s="232" t="str">
        <f>IF(S1802="","",IF(Orçamento!$B1802="INSUMO",S1802,""))</f>
        <v>LIXA EM FOLHA PARA PAREDE OU MADEIRA N° 120</v>
      </c>
      <c r="Q1802" s="244" t="str">
        <f t="shared" si="1493"/>
        <v/>
      </c>
      <c r="R1802" s="234">
        <f t="shared" ca="1" si="1491"/>
        <v>255.16</v>
      </c>
      <c r="S1802" s="233" t="s">
        <v>922</v>
      </c>
      <c r="T1802" s="242" t="str">
        <f>_xlfn.XLOOKUP(S1802,Insumos!$A$3:$A$371,Insumos!$B$3:$B$371)</f>
        <v>UN</v>
      </c>
      <c r="U1802" s="235">
        <f ca="1">IF($B1802="insumo",R1802,"")</f>
        <v>255.16</v>
      </c>
      <c r="V1802" s="320">
        <v>9.8500000000000004E-2</v>
      </c>
      <c r="W1802" s="236">
        <f>IFERROR(IF(B1802="INSUMO",_xlfn.XLOOKUP(S1802,Insumos!A:A,Insumos!C:C),""),"Inserir Preço")</f>
        <v>2.2999999999999998</v>
      </c>
      <c r="X1802" s="235">
        <f t="shared" ca="1" si="1492"/>
        <v>25.13326</v>
      </c>
      <c r="Y1802" s="236">
        <f t="shared" si="1477"/>
        <v>0.22655</v>
      </c>
      <c r="Z1802" s="237">
        <f t="shared" ca="1" si="1449"/>
        <v>57.806497999999998</v>
      </c>
      <c r="AA1802" s="238"/>
      <c r="AB1802" s="233" t="str">
        <f>IF(B1802="insumo",_xlfn.XLOOKUP(S1802,Insumos!A:A,Insumos!D:D),"")</f>
        <v xml:space="preserve"> </v>
      </c>
      <c r="AC1802" s="239">
        <f t="shared" ca="1" si="1450"/>
        <v>8.2928691717649782E-6</v>
      </c>
      <c r="AE1802" s="240">
        <f ca="1">IFERROR(IF(OR(Z1802="",Z1802=0),"",IF(AF1802="","",IF(AF1802="R$/mês",Z1802/OBRA!$D$12,IF(AF1802="R$/m²",Z1802/OBRA!$D$10,IF(AF1802="R$/apto",Orçamento!Z1802/OBRA!$D$11,""))))),"")</f>
        <v>2.9747635637572493E-2</v>
      </c>
      <c r="AF1802" s="241" t="s">
        <v>154</v>
      </c>
    </row>
    <row r="1803" spans="1:32" s="10" customFormat="1" ht="13.15" hidden="1" customHeight="1" outlineLevel="3" collapsed="1" x14ac:dyDescent="0.2">
      <c r="A1803" s="227"/>
      <c r="B1803" s="228" t="s">
        <v>3</v>
      </c>
      <c r="C1803" s="229" t="str">
        <f t="shared" si="1448"/>
        <v/>
      </c>
      <c r="D1803" s="227" t="str">
        <f t="shared" ca="1" si="1494"/>
        <v>16.004.003</v>
      </c>
      <c r="E1803" s="228" t="str">
        <f t="shared" ca="1" si="1495"/>
        <v>16.004.002.001</v>
      </c>
      <c r="F1803" s="230">
        <f ca="1">IF($B1803="UNIDADE CONSTRUTIVA",OFFSET(F1803,-1,0)+1,LARGE(F$10:F1802,1))</f>
        <v>2</v>
      </c>
      <c r="G1803" s="228" t="str">
        <f t="shared" ca="1" si="1486"/>
        <v xml:space="preserve">   GERENCIAMENTO EXECUTIVO</v>
      </c>
      <c r="H1803" s="230">
        <f t="shared" ca="1" si="1496"/>
        <v>16</v>
      </c>
      <c r="I1803" s="228" t="str">
        <f t="shared" ca="1" si="1487"/>
        <v xml:space="preserve">   SISTEMAS DE PINTURA INTERNA</v>
      </c>
      <c r="J1803" s="230">
        <f t="shared" ca="1" si="1497"/>
        <v>4</v>
      </c>
      <c r="K1803" s="228" t="str">
        <f t="shared" ca="1" si="1488"/>
        <v xml:space="preserve">   SISTEMAS DE PINTURA INTERNA - 8º PAVIMENTO - COBERTURA</v>
      </c>
      <c r="L1803" s="231">
        <f t="shared" ca="1" si="1498"/>
        <v>3</v>
      </c>
      <c r="M1803" s="228" t="str">
        <f t="shared" ca="1" si="1489"/>
        <v xml:space="preserve">   Sistemas de Pintura Interna em Teto</v>
      </c>
      <c r="N1803" s="231">
        <f t="shared" ca="1" si="1499"/>
        <v>0</v>
      </c>
      <c r="O1803" s="228" t="str">
        <f t="shared" ca="1" si="1490"/>
        <v>Pintura com tinta latex acrilica, acabamento fosco em paredes internas, 3 demaos Áreas Comuns</v>
      </c>
      <c r="P1803" s="232" t="str">
        <f>IF(S1803="","",IF(Orçamento!$B1803="INSUMO",S1803,""))</f>
        <v/>
      </c>
      <c r="Q1803" s="244" t="str">
        <f t="shared" si="1493"/>
        <v/>
      </c>
      <c r="R1803" s="234">
        <f t="shared" ca="1" si="1491"/>
        <v>255.16</v>
      </c>
      <c r="S1803" s="233" t="s">
        <v>500</v>
      </c>
      <c r="T1803" s="242" t="s">
        <v>35</v>
      </c>
      <c r="U1803" s="235" t="str">
        <f>IF($B1803="insumo",R1803,"")</f>
        <v/>
      </c>
      <c r="V1803" s="320" t="s">
        <v>35</v>
      </c>
      <c r="W1803" s="236" t="str">
        <f>IFERROR(IF(B1803="INSUMO",_xlfn.XLOOKUP(S1803,Insumos!A:A,Insumos!C:C),""),"Inserir Preço")</f>
        <v/>
      </c>
      <c r="X1803" s="235" t="str">
        <f t="shared" ca="1" si="1492"/>
        <v/>
      </c>
      <c r="Y1803" s="236" t="str">
        <f t="shared" si="1477"/>
        <v/>
      </c>
      <c r="Z1803" s="237">
        <f t="shared" ca="1" si="1449"/>
        <v>1456.0124805600001</v>
      </c>
      <c r="AA1803" s="238"/>
      <c r="AB1803" s="233" t="str">
        <f>IF(B1803="insumo",_xlfn.XLOOKUP(S1803,Insumos!A:A,Insumos!D:D),"")</f>
        <v/>
      </c>
      <c r="AC1803" s="239">
        <f t="shared" ca="1" si="1450"/>
        <v>2.0887826509990417E-4</v>
      </c>
      <c r="AE1803" s="240">
        <f ca="1">IFERROR(IF(OR(Z1803="",Z1803=0),"",IF(AF1803="","",IF(AF1803="R$/mês",Z1803/OBRA!$D$12,IF(AF1803="R$/m²",Z1803/OBRA!$D$10,IF(AF1803="R$/apto",Orçamento!Z1803/OBRA!$D$11,""))))),"")</f>
        <v>0.74927439395233708</v>
      </c>
      <c r="AF1803" s="241" t="s">
        <v>154</v>
      </c>
    </row>
    <row r="1804" spans="1:32" s="10" customFormat="1" ht="13.15" hidden="1" customHeight="1" outlineLevel="4" x14ac:dyDescent="0.2">
      <c r="A1804" s="227"/>
      <c r="B1804" s="228" t="s">
        <v>4</v>
      </c>
      <c r="C1804" s="229">
        <f t="shared" ref="C1804:C1867" si="1500">IF(B1804="INSUMO",COUNTIFS(B:B,"INSUMO",S:S,S1804),IF(B1804="SERVIÇO",COUNTIFS(B:B,"SERVIÇO",S:S,S1804),""))</f>
        <v>5</v>
      </c>
      <c r="D1804" s="227" t="str">
        <f t="shared" ca="1" si="1494"/>
        <v>16.004.003.001</v>
      </c>
      <c r="E1804" s="228" t="str">
        <f t="shared" ca="1" si="1495"/>
        <v>16.004.003.001</v>
      </c>
      <c r="F1804" s="230">
        <f ca="1">IF($B1804="UNIDADE CONSTRUTIVA",OFFSET(F1804,-1,0)+1,LARGE(F$10:F1803,1))</f>
        <v>2</v>
      </c>
      <c r="G1804" s="228" t="str">
        <f ca="1">IF(B1804="*","",IF(B1804="UNIDADE CONSTRUTIVA",S1804,OFFSET(G1804,-1,0)))</f>
        <v xml:space="preserve">   GERENCIAMENTO EXECUTIVO</v>
      </c>
      <c r="H1804" s="230">
        <f t="shared" ca="1" si="1496"/>
        <v>16</v>
      </c>
      <c r="I1804" s="228" t="str">
        <f ca="1">IF(B1804="*","",IF(B1804="CÉLULA CONSTRUTIVA",S1804,OFFSET(I1804,-1,0)))</f>
        <v xml:space="preserve">   SISTEMAS DE PINTURA INTERNA</v>
      </c>
      <c r="J1804" s="230">
        <f t="shared" ca="1" si="1497"/>
        <v>4</v>
      </c>
      <c r="K1804" s="228" t="str">
        <f ca="1">IF(B1804="*","",IF(B1804="ETAPA",S1804,OFFSET(K1804,-1,0)))</f>
        <v xml:space="preserve">   SISTEMAS DE PINTURA INTERNA - 8º PAVIMENTO - COBERTURA</v>
      </c>
      <c r="L1804" s="231">
        <f t="shared" ca="1" si="1498"/>
        <v>3</v>
      </c>
      <c r="M1804" s="228" t="str">
        <f ca="1">IF(B1804="*","",IF(B1804="SUBETAPA",S1804,OFFSET(M1804,-1,0)))</f>
        <v xml:space="preserve">   Sistemas de Pintura Interna em Teto</v>
      </c>
      <c r="N1804" s="231">
        <f t="shared" ca="1" si="1499"/>
        <v>1</v>
      </c>
      <c r="O1804" s="228" t="str">
        <f ca="1">IF(B1804="*","",IF(B1804="SERVIÇO",S1804,OFFSET(O1804,-1,0)))</f>
        <v>Pintura com tinta latex acrilica, acabamento fosco em teto, 3 demaos</v>
      </c>
      <c r="P1804" s="232" t="str">
        <f>IF(S1804="","",IF(Orçamento!$B1804="INSUMO",S1804,""))</f>
        <v/>
      </c>
      <c r="Q1804" s="244" t="str">
        <f t="shared" si="1493"/>
        <v>Pintura com tinta latex acrilica, acabamento fosco em teto, 3 demaos</v>
      </c>
      <c r="R1804" s="234">
        <f ca="1">IF(B1804="serviço",U1804,OFFSET(R1804,-1,0))</f>
        <v>92.28</v>
      </c>
      <c r="S1804" s="233" t="s">
        <v>501</v>
      </c>
      <c r="T1804" s="242" t="s">
        <v>140</v>
      </c>
      <c r="U1804" s="235">
        <v>92.28</v>
      </c>
      <c r="V1804" s="320" t="s">
        <v>35</v>
      </c>
      <c r="W1804" s="236" t="str">
        <f>IFERROR(IF(B1804="INSUMO",_xlfn.XLOOKUP(S1804,Insumos!A:A,Insumos!C:C),""),"Inserir Preço")</f>
        <v/>
      </c>
      <c r="X1804" s="235">
        <f ca="1">IF(B1804="Complemento do insumo",V1804,IF(R1804="","",IF(B1804="serviço",R1804,IF(OR(B1804="insumo"),V1804*R1804,""))))</f>
        <v>92.28</v>
      </c>
      <c r="Y1804" s="236">
        <f t="shared" ca="1" si="1477"/>
        <v>15.778202000000002</v>
      </c>
      <c r="Z1804" s="237">
        <f t="shared" ref="Z1804:Z1867" ca="1" si="1501">IFERROR(IF(B1804="Unidade Construtiva",SUMIFS(Z:Z,B:B,"Célula Construtiva",G:G,G1804),IF(B1804="célula construtiva",SUMIFS(Z:Z,B:B,"Insumo",I:I,I1804,G:G,G1804),IF(B1804="ETAPA",SUMIFS(Z:Z,B:B,"Insumo",K:K,K1804,I:I,I1804,G:G,G1804),IF(B1804="subetapa",SUMIFS(Z:Z,M:M,M1804,B:B,"insumo",K:K,K1804,I:I,I1804,G:G,G1804),IF(B1804="complemento do insumo",V1804*W1804,IF(B1804="INSUMO",R1804*V1804*W1804,X1804*Y1804)))))),"")</f>
        <v>1456.0124805600003</v>
      </c>
      <c r="AA1804" s="238"/>
      <c r="AB1804" s="233" t="str">
        <f>IF(B1804="insumo",_xlfn.XLOOKUP(S1804,Insumos!A:A,Insumos!D:D),"")</f>
        <v/>
      </c>
      <c r="AC1804" s="239">
        <f t="shared" ref="AC1804:AC1867" ca="1" si="1502">IFERROR(IF(B1804="","",Z1804/SUMIF(B:B,"INSUMO",Z:Z)),0)</f>
        <v>2.088782650999042E-4</v>
      </c>
      <c r="AE1804" s="240">
        <f ca="1">IFERROR(IF(OR(Z1804="",Z1804=0),"",IF(AF1804="","",IF(AF1804="R$/mês",Z1804/OBRA!$D$12,IF(AF1804="R$/m²",Z1804/OBRA!$D$10,IF(AF1804="R$/apto",Orçamento!Z1804/OBRA!$D$11,""))))),"")</f>
        <v>0.74927439395233719</v>
      </c>
      <c r="AF1804" s="241" t="s">
        <v>154</v>
      </c>
    </row>
    <row r="1805" spans="1:32" s="10" customFormat="1" ht="13.15" hidden="1" customHeight="1" outlineLevel="4" x14ac:dyDescent="0.2">
      <c r="A1805" s="227"/>
      <c r="B1805" s="228" t="s">
        <v>19</v>
      </c>
      <c r="C1805" s="229">
        <f t="shared" si="1500"/>
        <v>12</v>
      </c>
      <c r="D1805" s="227" t="str">
        <f>IF(B1805="Unidade Construtiva",TEXT(F1805,"00"),IF(B1805="Célula Construtiva",TEXT(H1805,"00"),IF(B1805="Etapa",CONCATENATE(TEXT(H1805,"00"),".",TEXT(J1805,"000")),IF(B1805="Subetapa",CONCATENATE(TEXT(H1805,"00"),".",TEXT(J1805,"000"),".",TEXT(L1805,"000")),IF(B1805="Serviço",CONCATENATE(TEXT(H1805,"00"),".",TEXT(J1805,"000"),".",TEXT(L1805,"000"),".",TEXT(N1805,"000")),"")))))</f>
        <v/>
      </c>
      <c r="E1805" s="228" t="str">
        <f ca="1">IF(B1805="*","",IFERROR(IF(B1805="SERVIÇO",D1805,OFFSET(E1805,-1,0)),""))</f>
        <v>16.004.003.001</v>
      </c>
      <c r="F1805" s="230">
        <f ca="1">IF($B1805="UNIDADE CONSTRUTIVA",OFFSET(F1805,-1,0)+1,LARGE(F$10:F1804,1))</f>
        <v>2</v>
      </c>
      <c r="G1805" s="228" t="str">
        <f ca="1">IF(B1805="*","",IF(B1805="UNIDADE CONSTRUTIVA",S1805,OFFSET(G1805,-1,0)))</f>
        <v xml:space="preserve">   GERENCIAMENTO EXECUTIVO</v>
      </c>
      <c r="H1805" s="230">
        <f ca="1">IF(B1805="UNIDADE CONSTRUTIVA",0,IF(B1805="CÉLULA CONSTRUTIVA",OFFSET(H1805,-1,0)+1,OFFSET(H1805,-1,0)))</f>
        <v>16</v>
      </c>
      <c r="I1805" s="228" t="str">
        <f ca="1">IF(B1805="*","",IF(B1805="CÉLULA CONSTRUTIVA",S1805,OFFSET(I1805,-1,0)))</f>
        <v xml:space="preserve">   SISTEMAS DE PINTURA INTERNA</v>
      </c>
      <c r="J1805" s="230">
        <f ca="1">IF(B1805="CÉLULA CONSTRUTIVA",0,IF(B1805="ETAPA",OFFSET(J1805,-1,0)+1,OFFSET(J1805,-1,0)))</f>
        <v>4</v>
      </c>
      <c r="K1805" s="228" t="str">
        <f ca="1">IF(B1805="*","",IF(B1805="ETAPA",S1805,OFFSET(K1805,-1,0)))</f>
        <v xml:space="preserve">   SISTEMAS DE PINTURA INTERNA - 8º PAVIMENTO - COBERTURA</v>
      </c>
      <c r="L1805" s="231">
        <f ca="1">IF(B1805="ETAPA",0,IF(B1805="SUBETAPA",OFFSET(L1805,-1,0)+1,OFFSET(L1805,-1,0)))</f>
        <v>3</v>
      </c>
      <c r="M1805" s="228" t="str">
        <f ca="1">IF(B1805="*","",IF(B1805="SUBETAPA",S1805,OFFSET(M1805,-1,0)))</f>
        <v xml:space="preserve">   Sistemas de Pintura Interna em Teto</v>
      </c>
      <c r="N1805" s="231">
        <f ca="1">IF(B1805="Subetapa",0,IF(B1805="serviço",OFFSET(N1805,-1,0)+1,OFFSET(N1805,-1,0)))</f>
        <v>1</v>
      </c>
      <c r="O1805" s="228" t="str">
        <f ca="1">IF(B1805="*","",IF(B1805="SERVIÇO",S1805,OFFSET(O1805,-1,0)))</f>
        <v>Pintura com tinta latex acrilica, acabamento fosco em teto, 3 demaos</v>
      </c>
      <c r="P1805" s="232" t="str">
        <f>IF(S1805="","",IF(Orçamento!$B1805="INSUMO",S1805,""))</f>
        <v>MASSA CORRIDA PVA</v>
      </c>
      <c r="Q1805" s="244" t="str">
        <f>IF(B1805="","",IF(B1805="Serviço",S1805,""))</f>
        <v/>
      </c>
      <c r="R1805" s="234">
        <f ca="1">IF(B1805="serviço",U1805,OFFSET(R1805,-1,0))</f>
        <v>92.28</v>
      </c>
      <c r="S1805" s="233" t="s">
        <v>338</v>
      </c>
      <c r="T1805" s="242" t="str">
        <f>_xlfn.XLOOKUP(S1805,Insumos!$A$3:$A$371,Insumos!$B$3:$B$371)</f>
        <v>L</v>
      </c>
      <c r="U1805" s="235">
        <f ca="1">IF($B1805="insumo",R1805,"")</f>
        <v>92.28</v>
      </c>
      <c r="V1805" s="320">
        <v>0.88019999999999998</v>
      </c>
      <c r="W1805" s="236">
        <f>IFERROR(IF(B1805="INSUMO",_xlfn.XLOOKUP(S1805,Insumos!A:A,Insumos!C:C),""),"Inserir Preço")</f>
        <v>1.26</v>
      </c>
      <c r="X1805" s="235">
        <f ca="1">IF(B1805="Complemento do insumo",V1805,IF(R1805="","",IF(B1805="serviço",R1805,IF(OR(B1805="insumo"),V1805*R1805,""))))</f>
        <v>81.224856000000003</v>
      </c>
      <c r="Y1805" s="236">
        <f t="shared" si="1477"/>
        <v>1.1090519999999999</v>
      </c>
      <c r="Z1805" s="237">
        <f t="shared" ca="1" si="1501"/>
        <v>102.34331856</v>
      </c>
      <c r="AA1805" s="238"/>
      <c r="AB1805" s="233" t="str">
        <f>IF(B1805="insumo",_xlfn.XLOOKUP(S1805,Insumos!A:A,Insumos!D:D),"")</f>
        <v xml:space="preserve"> </v>
      </c>
      <c r="AC1805" s="239">
        <f t="shared" ca="1" si="1502"/>
        <v>1.4682082132398794E-5</v>
      </c>
      <c r="AE1805" s="240">
        <f ca="1">IFERROR(IF(OR(Z1805="",Z1805=0),"",IF(AF1805="","",IF(AF1805="R$/mês",Z1805/OBRA!$D$12,IF(AF1805="R$/m²",Z1805/OBRA!$D$10,IF(AF1805="R$/apto",Orçamento!Z1805/OBRA!$D$11,""))))),"")</f>
        <v>5.2666600742063474E-2</v>
      </c>
      <c r="AF1805" s="241" t="s">
        <v>154</v>
      </c>
    </row>
    <row r="1806" spans="1:32" s="10" customFormat="1" ht="13.15" hidden="1" customHeight="1" outlineLevel="4" x14ac:dyDescent="0.2">
      <c r="A1806" s="227"/>
      <c r="B1806" s="228" t="s">
        <v>19</v>
      </c>
      <c r="C1806" s="229">
        <f t="shared" si="1500"/>
        <v>19</v>
      </c>
      <c r="D1806" s="227" t="str">
        <f>IF(B1806="Unidade Construtiva",TEXT(F1806,"00"),IF(B1806="Célula Construtiva",TEXT(H1806,"00"),IF(B1806="Etapa",CONCATENATE(TEXT(H1806,"00"),".",TEXT(J1806,"000")),IF(B1806="Subetapa",CONCATENATE(TEXT(H1806,"00"),".",TEXT(J1806,"000"),".",TEXT(L1806,"000")),IF(B1806="Serviço",CONCATENATE(TEXT(H1806,"00"),".",TEXT(J1806,"000"),".",TEXT(L1806,"000"),".",TEXT(N1806,"000")),"")))))</f>
        <v/>
      </c>
      <c r="E1806" s="228" t="str">
        <f ca="1">IF(B1806="*","",IFERROR(IF(B1806="SERVIÇO",D1806,OFFSET(E1806,-1,0)),""))</f>
        <v>16.004.003.001</v>
      </c>
      <c r="F1806" s="230">
        <f ca="1">IF($B1806="UNIDADE CONSTRUTIVA",OFFSET(F1806,-1,0)+1,LARGE(F$10:F1805,1))</f>
        <v>2</v>
      </c>
      <c r="G1806" s="228" t="str">
        <f ca="1">IF(B1806="*","",IF(B1806="UNIDADE CONSTRUTIVA",S1806,OFFSET(G1806,-1,0)))</f>
        <v xml:space="preserve">   GERENCIAMENTO EXECUTIVO</v>
      </c>
      <c r="H1806" s="230">
        <f ca="1">IF(B1806="UNIDADE CONSTRUTIVA",0,IF(B1806="CÉLULA CONSTRUTIVA",OFFSET(H1806,-1,0)+1,OFFSET(H1806,-1,0)))</f>
        <v>16</v>
      </c>
      <c r="I1806" s="228" t="str">
        <f ca="1">IF(B1806="*","",IF(B1806="CÉLULA CONSTRUTIVA",S1806,OFFSET(I1806,-1,0)))</f>
        <v xml:space="preserve">   SISTEMAS DE PINTURA INTERNA</v>
      </c>
      <c r="J1806" s="230">
        <f ca="1">IF(B1806="CÉLULA CONSTRUTIVA",0,IF(B1806="ETAPA",OFFSET(J1806,-1,0)+1,OFFSET(J1806,-1,0)))</f>
        <v>4</v>
      </c>
      <c r="K1806" s="228" t="str">
        <f ca="1">IF(B1806="*","",IF(B1806="ETAPA",S1806,OFFSET(K1806,-1,0)))</f>
        <v xml:space="preserve">   SISTEMAS DE PINTURA INTERNA - 8º PAVIMENTO - COBERTURA</v>
      </c>
      <c r="L1806" s="231">
        <f ca="1">IF(B1806="ETAPA",0,IF(B1806="SUBETAPA",OFFSET(L1806,-1,0)+1,OFFSET(L1806,-1,0)))</f>
        <v>3</v>
      </c>
      <c r="M1806" s="228" t="str">
        <f ca="1">IF(B1806="*","",IF(B1806="SUBETAPA",S1806,OFFSET(M1806,-1,0)))</f>
        <v xml:space="preserve">   Sistemas de Pintura Interna em Teto</v>
      </c>
      <c r="N1806" s="231">
        <f ca="1">IF(B1806="Subetapa",0,IF(B1806="serviço",OFFSET(N1806,-1,0)+1,OFFSET(N1806,-1,0)))</f>
        <v>1</v>
      </c>
      <c r="O1806" s="228" t="str">
        <f ca="1">IF(B1806="*","",IF(B1806="SERVIÇO",S1806,OFFSET(O1806,-1,0)))</f>
        <v>Pintura com tinta latex acrilica, acabamento fosco em teto, 3 demaos</v>
      </c>
      <c r="P1806" s="232" t="str">
        <f>IF(S1806="","",IF(Orçamento!$B1806="INSUMO",S1806,""))</f>
        <v>LIXA EM FOLHA PARA PAREDE OU MADEIRA N° 120</v>
      </c>
      <c r="Q1806" s="244" t="str">
        <f>IF(B1806="","",IF(B1806="Serviço",S1806,""))</f>
        <v/>
      </c>
      <c r="R1806" s="234">
        <f ca="1">IF(B1806="serviço",U1806,OFFSET(R1806,-1,0))</f>
        <v>92.28</v>
      </c>
      <c r="S1806" s="233" t="s">
        <v>922</v>
      </c>
      <c r="T1806" s="242" t="str">
        <f>_xlfn.XLOOKUP(S1806,Insumos!$A$3:$A$371,Insumos!$B$3:$B$371)</f>
        <v>UN</v>
      </c>
      <c r="U1806" s="235">
        <f ca="1">IF($B1806="insumo",R1806,"")</f>
        <v>92.28</v>
      </c>
      <c r="V1806" s="320">
        <v>0.1</v>
      </c>
      <c r="W1806" s="236">
        <f>IFERROR(IF(B1806="INSUMO",_xlfn.XLOOKUP(S1806,Insumos!A:A,Insumos!C:C),""),"Inserir Preço")</f>
        <v>2.2999999999999998</v>
      </c>
      <c r="X1806" s="235">
        <f ca="1">IF(B1806="Complemento do insumo",V1806,IF(R1806="","",IF(B1806="serviço",R1806,IF(OR(B1806="insumo"),V1806*R1806,""))))</f>
        <v>9.2279999999999998</v>
      </c>
      <c r="Y1806" s="236">
        <f t="shared" si="1477"/>
        <v>0.22999999999999998</v>
      </c>
      <c r="Z1806" s="237">
        <f t="shared" ca="1" si="1501"/>
        <v>21.224399999999999</v>
      </c>
      <c r="AA1806" s="238"/>
      <c r="AB1806" s="233" t="str">
        <f>IF(B1806="insumo",_xlfn.XLOOKUP(S1806,Insumos!A:A,Insumos!D:D),"")</f>
        <v xml:space="preserve"> </v>
      </c>
      <c r="AC1806" s="239">
        <f t="shared" ca="1" si="1502"/>
        <v>3.0448336871956612E-6</v>
      </c>
      <c r="AE1806" s="240">
        <f ca="1">IFERROR(IF(OR(Z1806="",Z1806=0),"",IF(AF1806="","",IF(AF1806="R$/mês",Z1806/OBRA!$D$12,IF(AF1806="R$/m²",Z1806/OBRA!$D$10,IF(AF1806="R$/apto",Orçamento!Z1806/OBRA!$D$11,""))))),"")</f>
        <v>1.0922227425472024E-2</v>
      </c>
      <c r="AF1806" s="241" t="s">
        <v>154</v>
      </c>
    </row>
    <row r="1807" spans="1:32" s="10" customFormat="1" ht="13.15" hidden="1" customHeight="1" outlineLevel="4" x14ac:dyDescent="0.2">
      <c r="A1807" s="227"/>
      <c r="B1807" s="228" t="s">
        <v>19</v>
      </c>
      <c r="C1807" s="229">
        <f t="shared" si="1500"/>
        <v>13</v>
      </c>
      <c r="D1807" s="227" t="str">
        <f>IF(B1807="Unidade Construtiva",TEXT(F1807,"00"),IF(B1807="Célula Construtiva",TEXT(H1807,"00"),IF(B1807="Etapa",CONCATENATE(TEXT(H1807,"00"),".",TEXT(J1807,"000")),IF(B1807="Subetapa",CONCATENATE(TEXT(H1807,"00"),".",TEXT(J1807,"000"),".",TEXT(L1807,"000")),IF(B1807="Serviço",CONCATENATE(TEXT(H1807,"00"),".",TEXT(J1807,"000"),".",TEXT(L1807,"000"),".",TEXT(N1807,"000")),"")))))</f>
        <v/>
      </c>
      <c r="E1807" s="228" t="str">
        <f ca="1">IF(B1807="*","",IFERROR(IF(B1807="SERVIÇO",D1807,OFFSET(E1807,-1,0)),""))</f>
        <v>16.004.003.001</v>
      </c>
      <c r="F1807" s="230">
        <f ca="1">IF($B1807="UNIDADE CONSTRUTIVA",OFFSET(F1807,-1,0)+1,LARGE(F$10:F1806,1))</f>
        <v>2</v>
      </c>
      <c r="G1807" s="228" t="str">
        <f ca="1">IF(B1807="*","",IF(B1807="UNIDADE CONSTRUTIVA",S1807,OFFSET(G1807,-1,0)))</f>
        <v xml:space="preserve">   GERENCIAMENTO EXECUTIVO</v>
      </c>
      <c r="H1807" s="230">
        <f ca="1">IF(B1807="UNIDADE CONSTRUTIVA",0,IF(B1807="CÉLULA CONSTRUTIVA",OFFSET(H1807,-1,0)+1,OFFSET(H1807,-1,0)))</f>
        <v>16</v>
      </c>
      <c r="I1807" s="228" t="str">
        <f ca="1">IF(B1807="*","",IF(B1807="CÉLULA CONSTRUTIVA",S1807,OFFSET(I1807,-1,0)))</f>
        <v xml:space="preserve">   SISTEMAS DE PINTURA INTERNA</v>
      </c>
      <c r="J1807" s="230">
        <f ca="1">IF(B1807="CÉLULA CONSTRUTIVA",0,IF(B1807="ETAPA",OFFSET(J1807,-1,0)+1,OFFSET(J1807,-1,0)))</f>
        <v>4</v>
      </c>
      <c r="K1807" s="228" t="str">
        <f ca="1">IF(B1807="*","",IF(B1807="ETAPA",S1807,OFFSET(K1807,-1,0)))</f>
        <v xml:space="preserve">   SISTEMAS DE PINTURA INTERNA - 8º PAVIMENTO - COBERTURA</v>
      </c>
      <c r="L1807" s="231">
        <f ca="1">IF(B1807="ETAPA",0,IF(B1807="SUBETAPA",OFFSET(L1807,-1,0)+1,OFFSET(L1807,-1,0)))</f>
        <v>3</v>
      </c>
      <c r="M1807" s="228" t="str">
        <f ca="1">IF(B1807="*","",IF(B1807="SUBETAPA",S1807,OFFSET(M1807,-1,0)))</f>
        <v xml:space="preserve">   Sistemas de Pintura Interna em Teto</v>
      </c>
      <c r="N1807" s="231">
        <f ca="1">IF(B1807="Subetapa",0,IF(B1807="serviço",OFFSET(N1807,-1,0)+1,OFFSET(N1807,-1,0)))</f>
        <v>1</v>
      </c>
      <c r="O1807" s="228" t="str">
        <f ca="1">IF(B1807="*","",IF(B1807="SERVIÇO",S1807,OFFSET(O1807,-1,0)))</f>
        <v>Pintura com tinta latex acrilica, acabamento fosco em teto, 3 demaos</v>
      </c>
      <c r="P1807" s="232" t="str">
        <f>IF(S1807="","",IF(Orçamento!$B1807="INSUMO",S1807,""))</f>
        <v>TINTA ACRILICO PREMIUM FOSCO</v>
      </c>
      <c r="Q1807" s="244" t="str">
        <f>IF(B1807="","",IF(B1807="Serviço",S1807,""))</f>
        <v/>
      </c>
      <c r="R1807" s="234">
        <f ca="1">IF(B1807="serviço",U1807,OFFSET(R1807,-1,0))</f>
        <v>92.28</v>
      </c>
      <c r="S1807" s="233" t="s">
        <v>264</v>
      </c>
      <c r="T1807" s="242" t="str">
        <f>_xlfn.XLOOKUP(S1807,Insumos!$A$3:$A$371,Insumos!$B$3:$B$371)</f>
        <v>L</v>
      </c>
      <c r="U1807" s="235">
        <f ca="1">IF($B1807="insumo",R1807,"")</f>
        <v>92.28</v>
      </c>
      <c r="V1807" s="320">
        <v>0.495</v>
      </c>
      <c r="W1807" s="236">
        <f>IFERROR(IF(B1807="INSUMO",_xlfn.XLOOKUP(S1807,Insumos!A:A,Insumos!C:C),""),"Inserir Preço")</f>
        <v>29.17</v>
      </c>
      <c r="X1807" s="235">
        <f ca="1">IF(B1807="Complemento do insumo",V1807,IF(R1807="","",IF(B1807="serviço",R1807,IF(OR(B1807="insumo"),V1807*R1807,""))))</f>
        <v>45.678600000000003</v>
      </c>
      <c r="Y1807" s="236">
        <f t="shared" si="1477"/>
        <v>14.439150000000001</v>
      </c>
      <c r="Z1807" s="237">
        <f t="shared" ca="1" si="1501"/>
        <v>1332.4447620000001</v>
      </c>
      <c r="AA1807" s="238"/>
      <c r="AB1807" s="233" t="str">
        <f>IF(B1807="insumo",_xlfn.XLOOKUP(S1807,Insumos!A:A,Insumos!D:D),"")</f>
        <v xml:space="preserve"> </v>
      </c>
      <c r="AC1807" s="239">
        <f t="shared" ca="1" si="1502"/>
        <v>1.9115134928030973E-4</v>
      </c>
      <c r="AE1807" s="240">
        <f ca="1">IFERROR(IF(OR(Z1807="",Z1807=0),"",IF(AF1807="","",IF(AF1807="R$/mês",Z1807/OBRA!$D$12,IF(AF1807="R$/m²",Z1807/OBRA!$D$10,IF(AF1807="R$/apto",Orçamento!Z1807/OBRA!$D$11,""))))),"")</f>
        <v>0.68568556578480166</v>
      </c>
      <c r="AF1807" s="241" t="s">
        <v>154</v>
      </c>
    </row>
    <row r="1808" spans="1:32" s="10" customFormat="1" ht="13.15" hidden="1" customHeight="1" outlineLevel="3" collapsed="1" x14ac:dyDescent="0.2">
      <c r="A1808" s="227"/>
      <c r="B1808" s="228" t="s">
        <v>3</v>
      </c>
      <c r="C1808" s="229" t="str">
        <f t="shared" si="1500"/>
        <v/>
      </c>
      <c r="D1808" s="227" t="str">
        <f t="shared" ca="1" si="1494"/>
        <v>16.004.004</v>
      </c>
      <c r="E1808" s="228" t="str">
        <f t="shared" ca="1" si="1495"/>
        <v>16.004.003.001</v>
      </c>
      <c r="F1808" s="230">
        <f ca="1">IF($B1808="UNIDADE CONSTRUTIVA",OFFSET(F1808,-1,0)+1,LARGE(F$10:F1807,1))</f>
        <v>2</v>
      </c>
      <c r="G1808" s="228" t="str">
        <f t="shared" ca="1" si="1486"/>
        <v xml:space="preserve">   GERENCIAMENTO EXECUTIVO</v>
      </c>
      <c r="H1808" s="230">
        <f t="shared" ca="1" si="1496"/>
        <v>16</v>
      </c>
      <c r="I1808" s="228" t="str">
        <f t="shared" ca="1" si="1487"/>
        <v xml:space="preserve">   SISTEMAS DE PINTURA INTERNA</v>
      </c>
      <c r="J1808" s="230">
        <f t="shared" ca="1" si="1497"/>
        <v>4</v>
      </c>
      <c r="K1808" s="228" t="str">
        <f t="shared" ca="1" si="1488"/>
        <v xml:space="preserve">   SISTEMAS DE PINTURA INTERNA - 8º PAVIMENTO - COBERTURA</v>
      </c>
      <c r="L1808" s="231">
        <f t="shared" ca="1" si="1498"/>
        <v>4</v>
      </c>
      <c r="M1808" s="228" t="str">
        <f t="shared" ca="1" si="1489"/>
        <v xml:space="preserve">   Mão de Obra</v>
      </c>
      <c r="N1808" s="231">
        <f t="shared" ca="1" si="1499"/>
        <v>0</v>
      </c>
      <c r="O1808" s="228" t="str">
        <f t="shared" ca="1" si="1490"/>
        <v>Pintura com tinta latex acrilica, acabamento fosco em teto, 3 demaos</v>
      </c>
      <c r="P1808" s="232" t="str">
        <f>IF(S1808="","",IF(Orçamento!$B1808="INSUMO",S1808,""))</f>
        <v/>
      </c>
      <c r="Q1808" s="244" t="str">
        <f t="shared" si="1493"/>
        <v/>
      </c>
      <c r="R1808" s="234">
        <f t="shared" ca="1" si="1491"/>
        <v>92.28</v>
      </c>
      <c r="S1808" s="233" t="s">
        <v>438</v>
      </c>
      <c r="T1808" s="242" t="s">
        <v>35</v>
      </c>
      <c r="U1808" s="235" t="str">
        <f>IF($B1808="insumo",R1808,"")</f>
        <v/>
      </c>
      <c r="V1808" s="320" t="s">
        <v>35</v>
      </c>
      <c r="W1808" s="236" t="str">
        <f>IFERROR(IF(B1808="INSUMO",_xlfn.XLOOKUP(S1808,Insumos!A:A,Insumos!C:C),""),"Inserir Preço")</f>
        <v/>
      </c>
      <c r="X1808" s="235" t="str">
        <f t="shared" ca="1" si="1492"/>
        <v/>
      </c>
      <c r="Y1808" s="236" t="str">
        <f t="shared" si="1477"/>
        <v/>
      </c>
      <c r="Z1808" s="237">
        <f t="shared" ca="1" si="1501"/>
        <v>14986.744652622358</v>
      </c>
      <c r="AA1808" s="238"/>
      <c r="AB1808" s="233" t="str">
        <f>IF(B1808="insumo",_xlfn.XLOOKUP(S1808,Insumos!A:A,Insumos!D:D),"")</f>
        <v/>
      </c>
      <c r="AC1808" s="239">
        <f t="shared" ca="1" si="1502"/>
        <v>2.1499851576347972E-3</v>
      </c>
      <c r="AE1808" s="240">
        <f ca="1">IFERROR(IF(OR(Z1808="",Z1808=0),"",IF(AF1808="","",IF(AF1808="R$/mês",Z1808/OBRA!$D$12,IF(AF1808="R$/m²",Z1808/OBRA!$D$10,IF(AF1808="R$/apto",Orçamento!Z1808/OBRA!$D$11,""))))),"")</f>
        <v>7.7122855516960716</v>
      </c>
      <c r="AF1808" s="241" t="s">
        <v>154</v>
      </c>
    </row>
    <row r="1809" spans="1:32" s="10" customFormat="1" ht="13.15" hidden="1" customHeight="1" outlineLevel="4" x14ac:dyDescent="0.2">
      <c r="A1809" s="227"/>
      <c r="B1809" s="228" t="s">
        <v>4</v>
      </c>
      <c r="C1809" s="229">
        <f t="shared" si="1500"/>
        <v>2</v>
      </c>
      <c r="D1809" s="227" t="str">
        <f t="shared" ca="1" si="1494"/>
        <v>16.004.004.001</v>
      </c>
      <c r="E1809" s="228" t="str">
        <f t="shared" ca="1" si="1495"/>
        <v>16.004.004.001</v>
      </c>
      <c r="F1809" s="230">
        <f ca="1">IF($B1809="UNIDADE CONSTRUTIVA",OFFSET(F1809,-1,0)+1,LARGE(F$10:F1808,1))</f>
        <v>2</v>
      </c>
      <c r="G1809" s="228" t="str">
        <f t="shared" ca="1" si="1486"/>
        <v xml:space="preserve">   GERENCIAMENTO EXECUTIVO</v>
      </c>
      <c r="H1809" s="230">
        <f t="shared" ca="1" si="1496"/>
        <v>16</v>
      </c>
      <c r="I1809" s="228" t="str">
        <f t="shared" ca="1" si="1487"/>
        <v xml:space="preserve">   SISTEMAS DE PINTURA INTERNA</v>
      </c>
      <c r="J1809" s="230">
        <f t="shared" ca="1" si="1497"/>
        <v>4</v>
      </c>
      <c r="K1809" s="228" t="str">
        <f t="shared" ca="1" si="1488"/>
        <v xml:space="preserve">   SISTEMAS DE PINTURA INTERNA - 8º PAVIMENTO - COBERTURA</v>
      </c>
      <c r="L1809" s="231">
        <f t="shared" ca="1" si="1498"/>
        <v>4</v>
      </c>
      <c r="M1809" s="228" t="str">
        <f t="shared" ca="1" si="1489"/>
        <v xml:space="preserve">   Mão de Obra</v>
      </c>
      <c r="N1809" s="231">
        <f t="shared" ca="1" si="1499"/>
        <v>1</v>
      </c>
      <c r="O1809" s="228" t="str">
        <f t="shared" ca="1" si="1490"/>
        <v>Mao de obra - para pintura acrilica em piso</v>
      </c>
      <c r="P1809" s="232" t="str">
        <f>IF(S1809="","",IF(Orçamento!$B1809="INSUMO",S1809,""))</f>
        <v/>
      </c>
      <c r="Q1809" s="244" t="str">
        <f t="shared" si="1493"/>
        <v>Mao de obra - para pintura acrilica em piso</v>
      </c>
      <c r="R1809" s="234">
        <f t="shared" ca="1" si="1491"/>
        <v>7.6806000000000001</v>
      </c>
      <c r="S1809" s="233" t="s">
        <v>1178</v>
      </c>
      <c r="T1809" s="242" t="s">
        <v>140</v>
      </c>
      <c r="U1809" s="235">
        <f>U1795</f>
        <v>7.6806000000000001</v>
      </c>
      <c r="V1809" s="320" t="s">
        <v>35</v>
      </c>
      <c r="W1809" s="236" t="str">
        <f>IFERROR(IF(B1809="INSUMO",_xlfn.XLOOKUP(S1809,Insumos!A:A,Insumos!C:C),""),"Inserir Preço")</f>
        <v/>
      </c>
      <c r="X1809" s="235">
        <f t="shared" ca="1" si="1492"/>
        <v>7.6806000000000001</v>
      </c>
      <c r="Y1809" s="236">
        <f t="shared" ca="1" si="1477"/>
        <v>44.956704738697304</v>
      </c>
      <c r="Z1809" s="237">
        <f t="shared" ca="1" si="1501"/>
        <v>345.29446641603852</v>
      </c>
      <c r="AA1809" s="238"/>
      <c r="AB1809" s="233" t="str">
        <f>IF(B1809="insumo",_xlfn.XLOOKUP(S1809,Insumos!A:A,Insumos!D:D),"")</f>
        <v/>
      </c>
      <c r="AC1809" s="239">
        <f t="shared" ca="1" si="1502"/>
        <v>4.9535639327651427E-5</v>
      </c>
      <c r="AE1809" s="240">
        <f ca="1">IFERROR(IF(OR(Z1809="",Z1809=0),"",IF(AF1809="","",IF(AF1809="R$/mês",Z1809/OBRA!$D$12,IF(AF1809="R$/m²",Z1809/OBRA!$D$10,IF(AF1809="R$/apto",Orçamento!Z1809/OBRA!$D$11,""))))),"")</f>
        <v>0.1776909920164049</v>
      </c>
      <c r="AF1809" s="241" t="s">
        <v>154</v>
      </c>
    </row>
    <row r="1810" spans="1:32" s="10" customFormat="1" ht="13.15" hidden="1" customHeight="1" outlineLevel="4" x14ac:dyDescent="0.2">
      <c r="A1810" s="227"/>
      <c r="B1810" s="228" t="s">
        <v>19</v>
      </c>
      <c r="C1810" s="229">
        <f t="shared" si="1500"/>
        <v>2</v>
      </c>
      <c r="D1810" s="227" t="str">
        <f t="shared" si="1494"/>
        <v/>
      </c>
      <c r="E1810" s="228" t="str">
        <f t="shared" ca="1" si="1495"/>
        <v>16.004.004.001</v>
      </c>
      <c r="F1810" s="230">
        <f ca="1">IF($B1810="UNIDADE CONSTRUTIVA",OFFSET(F1810,-1,0)+1,LARGE(F$10:F1809,1))</f>
        <v>2</v>
      </c>
      <c r="G1810" s="228" t="str">
        <f t="shared" ca="1" si="1486"/>
        <v xml:space="preserve">   GERENCIAMENTO EXECUTIVO</v>
      </c>
      <c r="H1810" s="230">
        <f t="shared" ca="1" si="1496"/>
        <v>16</v>
      </c>
      <c r="I1810" s="228" t="str">
        <f t="shared" ca="1" si="1487"/>
        <v xml:space="preserve">   SISTEMAS DE PINTURA INTERNA</v>
      </c>
      <c r="J1810" s="230">
        <f t="shared" ca="1" si="1497"/>
        <v>4</v>
      </c>
      <c r="K1810" s="228" t="str">
        <f t="shared" ca="1" si="1488"/>
        <v xml:space="preserve">   SISTEMAS DE PINTURA INTERNA - 8º PAVIMENTO - COBERTURA</v>
      </c>
      <c r="L1810" s="231">
        <f t="shared" ca="1" si="1498"/>
        <v>4</v>
      </c>
      <c r="M1810" s="228" t="str">
        <f t="shared" ca="1" si="1489"/>
        <v xml:space="preserve">   Mão de Obra</v>
      </c>
      <c r="N1810" s="231">
        <f t="shared" ca="1" si="1499"/>
        <v>1</v>
      </c>
      <c r="O1810" s="228" t="str">
        <f t="shared" ca="1" si="1490"/>
        <v>Mao de obra - para pintura acrilica em piso</v>
      </c>
      <c r="P1810" s="232" t="str">
        <f>IF(S1810="","",IF(Orçamento!$B1810="INSUMO",S1810,""))</f>
        <v>MAO DE OBRA PARA PINTURA ACRILICA EM PISO</v>
      </c>
      <c r="Q1810" s="244" t="str">
        <f t="shared" si="1493"/>
        <v/>
      </c>
      <c r="R1810" s="234">
        <f t="shared" ca="1" si="1491"/>
        <v>7.6806000000000001</v>
      </c>
      <c r="S1810" s="233" t="s">
        <v>349</v>
      </c>
      <c r="T1810" s="242" t="str">
        <f>_xlfn.XLOOKUP(S1810,Insumos!$A$3:$A$371,Insumos!$B$3:$B$371)</f>
        <v>M2</v>
      </c>
      <c r="U1810" s="235">
        <f ca="1">IF($B1810="insumo",R1810,"")</f>
        <v>7.6806000000000001</v>
      </c>
      <c r="V1810" s="320">
        <v>1</v>
      </c>
      <c r="W1810" s="236">
        <f>IFERROR(IF(B1810="INSUMO",_xlfn.XLOOKUP(S1810,Insumos!A:A,Insumos!C:C),""),"Inserir Preço")</f>
        <v>44.956704738697304</v>
      </c>
      <c r="X1810" s="235">
        <f t="shared" ca="1" si="1492"/>
        <v>7.6806000000000001</v>
      </c>
      <c r="Y1810" s="236">
        <f t="shared" si="1477"/>
        <v>44.956704738697304</v>
      </c>
      <c r="Z1810" s="237">
        <f t="shared" ca="1" si="1501"/>
        <v>345.29446641603852</v>
      </c>
      <c r="AA1810" s="238"/>
      <c r="AB1810" s="233" t="str">
        <f>IF(B1810="insumo",_xlfn.XLOOKUP(S1810,Insumos!A:A,Insumos!D:D),"")</f>
        <v>Aba Custo Serviços</v>
      </c>
      <c r="AC1810" s="239">
        <f t="shared" ca="1" si="1502"/>
        <v>4.9535639327651427E-5</v>
      </c>
      <c r="AE1810" s="240">
        <f ca="1">IFERROR(IF(OR(Z1810="",Z1810=0),"",IF(AF1810="","",IF(AF1810="R$/mês",Z1810/OBRA!$D$12,IF(AF1810="R$/m²",Z1810/OBRA!$D$10,IF(AF1810="R$/apto",Orçamento!Z1810/OBRA!$D$11,""))))),"")</f>
        <v>0.1776909920164049</v>
      </c>
      <c r="AF1810" s="241" t="s">
        <v>154</v>
      </c>
    </row>
    <row r="1811" spans="1:32" s="10" customFormat="1" ht="13.15" hidden="1" customHeight="1" outlineLevel="4" x14ac:dyDescent="0.2">
      <c r="A1811" s="227"/>
      <c r="B1811" s="228" t="s">
        <v>4</v>
      </c>
      <c r="C1811" s="229">
        <f t="shared" si="1500"/>
        <v>5</v>
      </c>
      <c r="D1811" s="227" t="str">
        <f t="shared" ca="1" si="1494"/>
        <v>16.004.004.002</v>
      </c>
      <c r="E1811" s="228" t="str">
        <f t="shared" ca="1" si="1495"/>
        <v>16.004.004.002</v>
      </c>
      <c r="F1811" s="230">
        <f ca="1">IF($B1811="UNIDADE CONSTRUTIVA",OFFSET(F1811,-1,0)+1,LARGE(F$10:F1810,1))</f>
        <v>2</v>
      </c>
      <c r="G1811" s="228" t="str">
        <f t="shared" ca="1" si="1486"/>
        <v xml:space="preserve">   GERENCIAMENTO EXECUTIVO</v>
      </c>
      <c r="H1811" s="230">
        <f t="shared" ca="1" si="1496"/>
        <v>16</v>
      </c>
      <c r="I1811" s="228" t="str">
        <f t="shared" ca="1" si="1487"/>
        <v xml:space="preserve">   SISTEMAS DE PINTURA INTERNA</v>
      </c>
      <c r="J1811" s="230">
        <f t="shared" ca="1" si="1497"/>
        <v>4</v>
      </c>
      <c r="K1811" s="228" t="str">
        <f t="shared" ca="1" si="1488"/>
        <v xml:space="preserve">   SISTEMAS DE PINTURA INTERNA - 8º PAVIMENTO - COBERTURA</v>
      </c>
      <c r="L1811" s="231">
        <f t="shared" ca="1" si="1498"/>
        <v>4</v>
      </c>
      <c r="M1811" s="228" t="str">
        <f t="shared" ca="1" si="1489"/>
        <v xml:space="preserve">   Mão de Obra</v>
      </c>
      <c r="N1811" s="231">
        <f t="shared" ca="1" si="1499"/>
        <v>2</v>
      </c>
      <c r="O1811" s="228" t="str">
        <f t="shared" ca="1" si="1490"/>
        <v>Mao de obra para pintura acrilica em paredes</v>
      </c>
      <c r="P1811" s="232" t="str">
        <f>IF(S1811="","",IF(Orçamento!$B1811="INSUMO",S1811,""))</f>
        <v/>
      </c>
      <c r="Q1811" s="244" t="str">
        <f t="shared" si="1493"/>
        <v>Mao de obra para pintura acrilica em paredes</v>
      </c>
      <c r="R1811" s="234">
        <f t="shared" ca="1" si="1491"/>
        <v>255.16</v>
      </c>
      <c r="S1811" s="233" t="s">
        <v>740</v>
      </c>
      <c r="T1811" s="242" t="s">
        <v>140</v>
      </c>
      <c r="U1811" s="235">
        <f>U1799</f>
        <v>255.16</v>
      </c>
      <c r="V1811" s="320" t="s">
        <v>35</v>
      </c>
      <c r="W1811" s="236" t="str">
        <f>IFERROR(IF(B1811="INSUMO",_xlfn.XLOOKUP(S1811,Insumos!A:A,Insumos!C:C),""),"Inserir Preço")</f>
        <v/>
      </c>
      <c r="X1811" s="235">
        <f t="shared" ca="1" si="1492"/>
        <v>255.16</v>
      </c>
      <c r="Y1811" s="236">
        <f t="shared" ca="1" si="1477"/>
        <v>38.187489622964783</v>
      </c>
      <c r="Z1811" s="237">
        <f t="shared" ca="1" si="1501"/>
        <v>9743.9198521956932</v>
      </c>
      <c r="AA1811" s="238"/>
      <c r="AB1811" s="233" t="str">
        <f>IF(B1811="insumo",_xlfn.XLOOKUP(S1811,Insumos!A:A,Insumos!D:D),"")</f>
        <v/>
      </c>
      <c r="AC1811" s="239">
        <f t="shared" ca="1" si="1502"/>
        <v>1.3978541401076126E-3</v>
      </c>
      <c r="AE1811" s="240">
        <f ca="1">IFERROR(IF(OR(Z1811="",Z1811=0),"",IF(AF1811="","",IF(AF1811="R$/mês",Z1811/OBRA!$D$12,IF(AF1811="R$/m²",Z1811/OBRA!$D$10,IF(AF1811="R$/apto",Orçamento!Z1811/OBRA!$D$11,""))))),"")</f>
        <v>5.0142905637498867</v>
      </c>
      <c r="AF1811" s="241" t="s">
        <v>154</v>
      </c>
    </row>
    <row r="1812" spans="1:32" s="10" customFormat="1" ht="13.15" hidden="1" customHeight="1" outlineLevel="4" x14ac:dyDescent="0.2">
      <c r="A1812" s="227"/>
      <c r="B1812" s="228" t="s">
        <v>19</v>
      </c>
      <c r="C1812" s="229">
        <f t="shared" si="1500"/>
        <v>5</v>
      </c>
      <c r="D1812" s="227" t="str">
        <f t="shared" si="1494"/>
        <v/>
      </c>
      <c r="E1812" s="228" t="str">
        <f t="shared" ca="1" si="1495"/>
        <v>16.004.004.002</v>
      </c>
      <c r="F1812" s="230">
        <f ca="1">IF($B1812="UNIDADE CONSTRUTIVA",OFFSET(F1812,-1,0)+1,LARGE(F$10:F1811,1))</f>
        <v>2</v>
      </c>
      <c r="G1812" s="228" t="str">
        <f t="shared" ca="1" si="1486"/>
        <v xml:space="preserve">   GERENCIAMENTO EXECUTIVO</v>
      </c>
      <c r="H1812" s="230">
        <f t="shared" ca="1" si="1496"/>
        <v>16</v>
      </c>
      <c r="I1812" s="228" t="str">
        <f t="shared" ca="1" si="1487"/>
        <v xml:space="preserve">   SISTEMAS DE PINTURA INTERNA</v>
      </c>
      <c r="J1812" s="230">
        <f t="shared" ca="1" si="1497"/>
        <v>4</v>
      </c>
      <c r="K1812" s="228" t="str">
        <f t="shared" ca="1" si="1488"/>
        <v xml:space="preserve">   SISTEMAS DE PINTURA INTERNA - 8º PAVIMENTO - COBERTURA</v>
      </c>
      <c r="L1812" s="231">
        <f t="shared" ca="1" si="1498"/>
        <v>4</v>
      </c>
      <c r="M1812" s="228" t="str">
        <f t="shared" ca="1" si="1489"/>
        <v xml:space="preserve">   Mão de Obra</v>
      </c>
      <c r="N1812" s="231">
        <f t="shared" ca="1" si="1499"/>
        <v>2</v>
      </c>
      <c r="O1812" s="228" t="str">
        <f t="shared" ca="1" si="1490"/>
        <v>Mao de obra para pintura acrilica em paredes</v>
      </c>
      <c r="P1812" s="232" t="str">
        <f>IF(S1812="","",IF(Orçamento!$B1812="INSUMO",S1812,""))</f>
        <v>MAO DE OBRA APLICACAO DE PINTURA EM PAREDES - 3 DEMAO</v>
      </c>
      <c r="Q1812" s="244" t="str">
        <f t="shared" si="1493"/>
        <v/>
      </c>
      <c r="R1812" s="234">
        <f t="shared" ca="1" si="1491"/>
        <v>255.16</v>
      </c>
      <c r="S1812" s="233" t="s">
        <v>779</v>
      </c>
      <c r="T1812" s="242" t="str">
        <f>_xlfn.XLOOKUP(S1812,Insumos!$A$3:$A$371,Insumos!$B$3:$B$371)</f>
        <v>M2</v>
      </c>
      <c r="U1812" s="235">
        <f ca="1">IF($B1812="insumo",R1812,"")</f>
        <v>255.16</v>
      </c>
      <c r="V1812" s="320">
        <v>1</v>
      </c>
      <c r="W1812" s="236">
        <f>IFERROR(IF(B1812="INSUMO",_xlfn.XLOOKUP(S1812,Insumos!A:A,Insumos!C:C),""),"Inserir Preço")</f>
        <v>38.187489622964783</v>
      </c>
      <c r="X1812" s="235">
        <f t="shared" ca="1" si="1492"/>
        <v>255.16</v>
      </c>
      <c r="Y1812" s="236">
        <f t="shared" si="1477"/>
        <v>38.187489622964783</v>
      </c>
      <c r="Z1812" s="237">
        <f t="shared" ca="1" si="1501"/>
        <v>9743.9198521956932</v>
      </c>
      <c r="AA1812" s="238"/>
      <c r="AB1812" s="233" t="str">
        <f>IF(B1812="insumo",_xlfn.XLOOKUP(S1812,Insumos!A:A,Insumos!D:D),"")</f>
        <v>Aba Custo Serviços</v>
      </c>
      <c r="AC1812" s="239">
        <f t="shared" ca="1" si="1502"/>
        <v>1.3978541401076126E-3</v>
      </c>
      <c r="AE1812" s="240">
        <f ca="1">IFERROR(IF(OR(Z1812="",Z1812=0),"",IF(AF1812="","",IF(AF1812="R$/mês",Z1812/OBRA!$D$12,IF(AF1812="R$/m²",Z1812/OBRA!$D$10,IF(AF1812="R$/apto",Orçamento!Z1812/OBRA!$D$11,""))))),"")</f>
        <v>5.0142905637498867</v>
      </c>
      <c r="AF1812" s="241" t="s">
        <v>154</v>
      </c>
    </row>
    <row r="1813" spans="1:32" s="10" customFormat="1" ht="13.15" hidden="1" customHeight="1" outlineLevel="4" x14ac:dyDescent="0.2">
      <c r="A1813" s="227"/>
      <c r="B1813" s="228" t="s">
        <v>4</v>
      </c>
      <c r="C1813" s="229">
        <f t="shared" si="1500"/>
        <v>5</v>
      </c>
      <c r="D1813" s="227" t="str">
        <f t="shared" ca="1" si="1494"/>
        <v>16.004.004.003</v>
      </c>
      <c r="E1813" s="228" t="str">
        <f t="shared" ca="1" si="1495"/>
        <v>16.004.004.003</v>
      </c>
      <c r="F1813" s="230">
        <f ca="1">IF($B1813="UNIDADE CONSTRUTIVA",OFFSET(F1813,-1,0)+1,LARGE(F$10:F1812,1))</f>
        <v>2</v>
      </c>
      <c r="G1813" s="228" t="str">
        <f t="shared" ca="1" si="1486"/>
        <v xml:space="preserve">   GERENCIAMENTO EXECUTIVO</v>
      </c>
      <c r="H1813" s="230">
        <f t="shared" ca="1" si="1496"/>
        <v>16</v>
      </c>
      <c r="I1813" s="228" t="str">
        <f t="shared" ca="1" si="1487"/>
        <v xml:space="preserve">   SISTEMAS DE PINTURA INTERNA</v>
      </c>
      <c r="J1813" s="230">
        <f t="shared" ca="1" si="1497"/>
        <v>4</v>
      </c>
      <c r="K1813" s="228" t="str">
        <f t="shared" ca="1" si="1488"/>
        <v xml:space="preserve">   SISTEMAS DE PINTURA INTERNA - 8º PAVIMENTO - COBERTURA</v>
      </c>
      <c r="L1813" s="231">
        <f t="shared" ca="1" si="1498"/>
        <v>4</v>
      </c>
      <c r="M1813" s="228" t="str">
        <f t="shared" ca="1" si="1489"/>
        <v xml:space="preserve">   Mão de Obra</v>
      </c>
      <c r="N1813" s="231">
        <f t="shared" ca="1" si="1499"/>
        <v>3</v>
      </c>
      <c r="O1813" s="228" t="str">
        <f t="shared" ca="1" si="1490"/>
        <v>Mao de obra para pintura acrílica em teto</v>
      </c>
      <c r="P1813" s="232" t="str">
        <f>IF(S1813="","",IF(Orçamento!$B1813="INSUMO",S1813,""))</f>
        <v/>
      </c>
      <c r="Q1813" s="244" t="str">
        <f t="shared" si="1493"/>
        <v>Mao de obra para pintura acrílica em teto</v>
      </c>
      <c r="R1813" s="234">
        <f t="shared" ca="1" si="1491"/>
        <v>92.28</v>
      </c>
      <c r="S1813" s="233" t="s">
        <v>741</v>
      </c>
      <c r="T1813" s="242" t="s">
        <v>140</v>
      </c>
      <c r="U1813" s="235">
        <f>U1804</f>
        <v>92.28</v>
      </c>
      <c r="V1813" s="320" t="s">
        <v>35</v>
      </c>
      <c r="W1813" s="236" t="str">
        <f>IFERROR(IF(B1813="INSUMO",_xlfn.XLOOKUP(S1813,Insumos!A:A,Insumos!C:C),""),"Inserir Preço")</f>
        <v/>
      </c>
      <c r="X1813" s="235">
        <f t="shared" ca="1" si="1492"/>
        <v>92.28</v>
      </c>
      <c r="Y1813" s="236">
        <f t="shared" ca="1" si="1477"/>
        <v>53.07250036855902</v>
      </c>
      <c r="Z1813" s="237">
        <f t="shared" ca="1" si="1501"/>
        <v>4897.5303340106266</v>
      </c>
      <c r="AA1813" s="238"/>
      <c r="AB1813" s="233" t="str">
        <f>IF(B1813="insumo",_xlfn.XLOOKUP(S1813,Insumos!A:A,Insumos!D:D),"")</f>
        <v/>
      </c>
      <c r="AC1813" s="239">
        <f t="shared" ca="1" si="1502"/>
        <v>7.025953781995333E-4</v>
      </c>
      <c r="AE1813" s="240">
        <f ca="1">IFERROR(IF(OR(Z1813="",Z1813=0),"",IF(AF1813="","",IF(AF1813="R$/mês",Z1813/OBRA!$D$12,IF(AF1813="R$/m²",Z1813/OBRA!$D$10,IF(AF1813="R$/apto",Orçamento!Z1813/OBRA!$D$11,""))))),"")</f>
        <v>2.5203039959297802</v>
      </c>
      <c r="AF1813" s="241" t="s">
        <v>154</v>
      </c>
    </row>
    <row r="1814" spans="1:32" s="10" customFormat="1" ht="13.15" hidden="1" customHeight="1" outlineLevel="4" x14ac:dyDescent="0.2">
      <c r="A1814" s="227"/>
      <c r="B1814" s="228" t="s">
        <v>19</v>
      </c>
      <c r="C1814" s="229">
        <f t="shared" si="1500"/>
        <v>5</v>
      </c>
      <c r="D1814" s="227" t="str">
        <f t="shared" si="1494"/>
        <v/>
      </c>
      <c r="E1814" s="228" t="str">
        <f t="shared" ca="1" si="1495"/>
        <v>16.004.004.003</v>
      </c>
      <c r="F1814" s="230">
        <f ca="1">IF($B1814="UNIDADE CONSTRUTIVA",OFFSET(F1814,-1,0)+1,LARGE(F$10:F1813,1))</f>
        <v>2</v>
      </c>
      <c r="G1814" s="228" t="str">
        <f t="shared" ca="1" si="1486"/>
        <v xml:space="preserve">   GERENCIAMENTO EXECUTIVO</v>
      </c>
      <c r="H1814" s="230">
        <f t="shared" ca="1" si="1496"/>
        <v>16</v>
      </c>
      <c r="I1814" s="228" t="str">
        <f t="shared" ca="1" si="1487"/>
        <v xml:space="preserve">   SISTEMAS DE PINTURA INTERNA</v>
      </c>
      <c r="J1814" s="230">
        <f t="shared" ca="1" si="1497"/>
        <v>4</v>
      </c>
      <c r="K1814" s="228" t="str">
        <f t="shared" ca="1" si="1488"/>
        <v xml:space="preserve">   SISTEMAS DE PINTURA INTERNA - 8º PAVIMENTO - COBERTURA</v>
      </c>
      <c r="L1814" s="231">
        <f t="shared" ca="1" si="1498"/>
        <v>4</v>
      </c>
      <c r="M1814" s="228" t="str">
        <f t="shared" ca="1" si="1489"/>
        <v xml:space="preserve">   Mão de Obra</v>
      </c>
      <c r="N1814" s="231">
        <f t="shared" ca="1" si="1499"/>
        <v>3</v>
      </c>
      <c r="O1814" s="228" t="str">
        <f t="shared" ca="1" si="1490"/>
        <v>Mao de obra para pintura acrílica em teto</v>
      </c>
      <c r="P1814" s="232" t="str">
        <f>IF(S1814="","",IF(Orçamento!$B1814="INSUMO",S1814,""))</f>
        <v>MAO DE OBRA PARA PINTURA LATEX ACRILICA EM TETO - 3 DEMAOS</v>
      </c>
      <c r="Q1814" s="244" t="str">
        <f t="shared" si="1493"/>
        <v/>
      </c>
      <c r="R1814" s="234">
        <f t="shared" ca="1" si="1491"/>
        <v>92.28</v>
      </c>
      <c r="S1814" s="233" t="s">
        <v>280</v>
      </c>
      <c r="T1814" s="242" t="str">
        <f>_xlfn.XLOOKUP(S1814,Insumos!$A$3:$A$371,Insumos!$B$3:$B$371)</f>
        <v>M2</v>
      </c>
      <c r="U1814" s="235">
        <f ca="1">IF($B1814="insumo",R1814,"")</f>
        <v>92.28</v>
      </c>
      <c r="V1814" s="320">
        <v>1</v>
      </c>
      <c r="W1814" s="236">
        <f>IFERROR(IF(B1814="INSUMO",_xlfn.XLOOKUP(S1814,Insumos!A:A,Insumos!C:C),""),"Inserir Preço")</f>
        <v>53.07250036855902</v>
      </c>
      <c r="X1814" s="235">
        <f t="shared" ca="1" si="1492"/>
        <v>92.28</v>
      </c>
      <c r="Y1814" s="236">
        <f t="shared" si="1477"/>
        <v>53.07250036855902</v>
      </c>
      <c r="Z1814" s="237">
        <f t="shared" ca="1" si="1501"/>
        <v>4897.5303340106266</v>
      </c>
      <c r="AA1814" s="238"/>
      <c r="AB1814" s="233" t="str">
        <f>IF(B1814="insumo",_xlfn.XLOOKUP(S1814,Insumos!A:A,Insumos!D:D),"")</f>
        <v>Aba Custo Serviços</v>
      </c>
      <c r="AC1814" s="239">
        <f t="shared" ca="1" si="1502"/>
        <v>7.025953781995333E-4</v>
      </c>
      <c r="AE1814" s="240">
        <f ca="1">IFERROR(IF(OR(Z1814="",Z1814=0),"",IF(AF1814="","",IF(AF1814="R$/mês",Z1814/OBRA!$D$12,IF(AF1814="R$/m²",Z1814/OBRA!$D$10,IF(AF1814="R$/apto",Orçamento!Z1814/OBRA!$D$11,""))))),"")</f>
        <v>2.5203039959297802</v>
      </c>
      <c r="AF1814" s="241" t="s">
        <v>154</v>
      </c>
    </row>
    <row r="1815" spans="1:32" s="10" customFormat="1" ht="13.15" customHeight="1" outlineLevel="2" collapsed="1" x14ac:dyDescent="0.2">
      <c r="A1815" s="227"/>
      <c r="B1815" s="228" t="s">
        <v>2</v>
      </c>
      <c r="C1815" s="229" t="str">
        <f t="shared" si="1500"/>
        <v/>
      </c>
      <c r="D1815" s="227" t="str">
        <f t="shared" ca="1" si="1494"/>
        <v>16.005</v>
      </c>
      <c r="E1815" s="228" t="str">
        <f t="shared" ca="1" si="1495"/>
        <v>16.004.004.003</v>
      </c>
      <c r="F1815" s="230">
        <f ca="1">IF($B1815="UNIDADE CONSTRUTIVA",OFFSET(F1815,-1,0)+1,LARGE(F$10:F1814,1))</f>
        <v>2</v>
      </c>
      <c r="G1815" s="228" t="str">
        <f t="shared" ref="G1815:G1843" ca="1" si="1503">IF(B1815="*","",IF(B1815="UNIDADE CONSTRUTIVA",S1815,OFFSET(G1815,-1,0)))</f>
        <v xml:space="preserve">   GERENCIAMENTO EXECUTIVO</v>
      </c>
      <c r="H1815" s="230">
        <f t="shared" ca="1" si="1496"/>
        <v>16</v>
      </c>
      <c r="I1815" s="228" t="str">
        <f t="shared" ref="I1815:I1843" ca="1" si="1504">IF(B1815="*","",IF(B1815="CÉLULA CONSTRUTIVA",S1815,OFFSET(I1815,-1,0)))</f>
        <v xml:space="preserve">   SISTEMAS DE PINTURA INTERNA</v>
      </c>
      <c r="J1815" s="230">
        <f t="shared" ca="1" si="1497"/>
        <v>5</v>
      </c>
      <c r="K1815" s="228" t="str">
        <f t="shared" ref="K1815:K1843" ca="1" si="1505">IF(B1815="*","",IF(B1815="ETAPA",S1815,OFFSET(K1815,-1,0)))</f>
        <v xml:space="preserve">   SISTEMAS DE PINTURA INTERNA - BARRILETE / CAIXA DÁGUA / CASA DE MÁQUINAS</v>
      </c>
      <c r="L1815" s="231">
        <f t="shared" ca="1" si="1498"/>
        <v>0</v>
      </c>
      <c r="M1815" s="228" t="str">
        <f t="shared" ref="M1815:M1843" ca="1" si="1506">IF(B1815="*","",IF(B1815="SUBETAPA",S1815,OFFSET(M1815,-1,0)))</f>
        <v xml:space="preserve">   Mão de Obra</v>
      </c>
      <c r="N1815" s="231">
        <f t="shared" ca="1" si="1499"/>
        <v>3</v>
      </c>
      <c r="O1815" s="228" t="str">
        <f t="shared" ref="O1815:O1843" ca="1" si="1507">IF(B1815="*","",IF(B1815="SERVIÇO",S1815,OFFSET(O1815,-1,0)))</f>
        <v>Mao de obra para pintura acrílica em teto</v>
      </c>
      <c r="P1815" s="232" t="str">
        <f>IF(S1815="","",IF(Orçamento!$B1815="INSUMO",S1815,""))</f>
        <v/>
      </c>
      <c r="Q1815" s="244" t="str">
        <f t="shared" si="1493"/>
        <v/>
      </c>
      <c r="R1815" s="234">
        <f t="shared" ref="R1815:R1843" ca="1" si="1508">IF(B1815="serviço",U1815,OFFSET(R1815,-1,0))</f>
        <v>92.28</v>
      </c>
      <c r="S1815" s="233" t="s">
        <v>665</v>
      </c>
      <c r="T1815" s="242" t="s">
        <v>35</v>
      </c>
      <c r="U1815" s="235" t="str">
        <f>IF($B1815="insumo",R1815,"")</f>
        <v/>
      </c>
      <c r="V1815" s="320" t="s">
        <v>35</v>
      </c>
      <c r="W1815" s="236" t="str">
        <f>IFERROR(IF(B1815="INSUMO",_xlfn.XLOOKUP(S1815,Insumos!A:A,Insumos!C:C),""),"Inserir Preço")</f>
        <v/>
      </c>
      <c r="X1815" s="235" t="str">
        <f t="shared" ref="X1815:X1843" ca="1" si="1509">IF(B1815="Complemento do insumo",V1815,IF(R1815="","",IF(B1815="serviço",R1815,IF(OR(B1815="insumo"),V1815*R1815,""))))</f>
        <v/>
      </c>
      <c r="Y1815" s="236" t="str">
        <f t="shared" si="1477"/>
        <v/>
      </c>
      <c r="Z1815" s="237">
        <f t="shared" ca="1" si="1501"/>
        <v>15309.242521911576</v>
      </c>
      <c r="AA1815" s="238"/>
      <c r="AB1815" s="233" t="str">
        <f>IF(B1815="insumo",_xlfn.XLOOKUP(S1815,Insumos!A:A,Insumos!D:D),"")</f>
        <v/>
      </c>
      <c r="AC1815" s="239">
        <f t="shared" ca="1" si="1502"/>
        <v>2.1962504172633678E-3</v>
      </c>
      <c r="AE1815" s="240">
        <f ca="1">IFERROR(IF(OR(Z1815="",Z1815=0),"",IF(AF1815="","",IF(AF1815="R$/mês",Z1815/OBRA!$D$12,IF(AF1815="R$/m²",Z1815/OBRA!$D$10,IF(AF1815="R$/apto",Orçamento!Z1815/OBRA!$D$11,""))))),"")</f>
        <v>7.8782452524464812</v>
      </c>
      <c r="AF1815" s="241" t="s">
        <v>154</v>
      </c>
    </row>
    <row r="1816" spans="1:32" s="10" customFormat="1" ht="13.15" hidden="1" customHeight="1" outlineLevel="3" collapsed="1" x14ac:dyDescent="0.2">
      <c r="A1816" s="227"/>
      <c r="B1816" s="228" t="s">
        <v>3</v>
      </c>
      <c r="C1816" s="229" t="str">
        <f t="shared" si="1500"/>
        <v/>
      </c>
      <c r="D1816" s="227" t="str">
        <f t="shared" ca="1" si="1494"/>
        <v>16.005.001</v>
      </c>
      <c r="E1816" s="228" t="str">
        <f t="shared" ca="1" si="1495"/>
        <v>16.004.004.003</v>
      </c>
      <c r="F1816" s="230">
        <f ca="1">IF($B1816="UNIDADE CONSTRUTIVA",OFFSET(F1816,-1,0)+1,LARGE(F$10:F1815,1))</f>
        <v>2</v>
      </c>
      <c r="G1816" s="228" t="str">
        <f t="shared" ca="1" si="1503"/>
        <v xml:space="preserve">   GERENCIAMENTO EXECUTIVO</v>
      </c>
      <c r="H1816" s="230">
        <f t="shared" ca="1" si="1496"/>
        <v>16</v>
      </c>
      <c r="I1816" s="228" t="str">
        <f t="shared" ca="1" si="1504"/>
        <v xml:space="preserve">   SISTEMAS DE PINTURA INTERNA</v>
      </c>
      <c r="J1816" s="230">
        <f t="shared" ca="1" si="1497"/>
        <v>5</v>
      </c>
      <c r="K1816" s="228" t="str">
        <f t="shared" ca="1" si="1505"/>
        <v xml:space="preserve">   SISTEMAS DE PINTURA INTERNA - BARRILETE / CAIXA DÁGUA / CASA DE MÁQUINAS</v>
      </c>
      <c r="L1816" s="231">
        <f t="shared" ca="1" si="1498"/>
        <v>1</v>
      </c>
      <c r="M1816" s="228" t="str">
        <f t="shared" ca="1" si="1506"/>
        <v xml:space="preserve">   Sistemas de Pintura Interna em Piso</v>
      </c>
      <c r="N1816" s="231">
        <f t="shared" ca="1" si="1499"/>
        <v>0</v>
      </c>
      <c r="O1816" s="228" t="str">
        <f t="shared" ca="1" si="1507"/>
        <v>Mao de obra para pintura acrílica em teto</v>
      </c>
      <c r="P1816" s="232" t="str">
        <f>IF(S1816="","",IF(Orçamento!$B1816="INSUMO",S1816,""))</f>
        <v/>
      </c>
      <c r="Q1816" s="244" t="str">
        <f t="shared" si="1493"/>
        <v/>
      </c>
      <c r="R1816" s="234">
        <f t="shared" ca="1" si="1508"/>
        <v>92.28</v>
      </c>
      <c r="S1816" s="233" t="s">
        <v>498</v>
      </c>
      <c r="T1816" s="242" t="s">
        <v>35</v>
      </c>
      <c r="U1816" s="235" t="str">
        <f>IF($B1816="insumo",R1816,"")</f>
        <v/>
      </c>
      <c r="V1816" s="320" t="s">
        <v>35</v>
      </c>
      <c r="W1816" s="236" t="str">
        <f>IFERROR(IF(B1816="INSUMO",_xlfn.XLOOKUP(S1816,Insumos!A:A,Insumos!C:C),""),"Inserir Preço")</f>
        <v/>
      </c>
      <c r="X1816" s="235" t="str">
        <f t="shared" ca="1" si="1509"/>
        <v/>
      </c>
      <c r="Y1816" s="236" t="str">
        <f t="shared" si="1477"/>
        <v/>
      </c>
      <c r="Z1816" s="237">
        <f t="shared" ca="1" si="1501"/>
        <v>45.159368526000002</v>
      </c>
      <c r="AA1816" s="238"/>
      <c r="AB1816" s="233" t="str">
        <f>IF(B1816="insumo",_xlfn.XLOOKUP(S1816,Insumos!A:A,Insumos!D:D),"")</f>
        <v/>
      </c>
      <c r="AC1816" s="239">
        <f t="shared" ca="1" si="1502"/>
        <v>6.4785231422536459E-6</v>
      </c>
      <c r="AE1816" s="240">
        <f ca="1">IFERROR(IF(OR(Z1816="",Z1816=0),"",IF(AF1816="","",IF(AF1816="R$/mês",Z1816/OBRA!$D$12,IF(AF1816="R$/m²",Z1816/OBRA!$D$10,IF(AF1816="R$/apto",Orçamento!Z1816/OBRA!$D$11,""))))),"")</f>
        <v>2.3239332722323144E-2</v>
      </c>
      <c r="AF1816" s="241" t="s">
        <v>154</v>
      </c>
    </row>
    <row r="1817" spans="1:32" s="10" customFormat="1" ht="13.15" hidden="1" customHeight="1" outlineLevel="4" x14ac:dyDescent="0.2">
      <c r="A1817" s="227"/>
      <c r="B1817" s="228" t="s">
        <v>4</v>
      </c>
      <c r="C1817" s="229">
        <f t="shared" si="1500"/>
        <v>2</v>
      </c>
      <c r="D1817" s="227" t="str">
        <f t="shared" ca="1" si="1494"/>
        <v>16.005.001.001</v>
      </c>
      <c r="E1817" s="228" t="str">
        <f t="shared" ca="1" si="1495"/>
        <v>16.005.001.001</v>
      </c>
      <c r="F1817" s="230">
        <f ca="1">IF($B1817="UNIDADE CONSTRUTIVA",OFFSET(F1817,-1,0)+1,LARGE(F$10:F1816,1))</f>
        <v>2</v>
      </c>
      <c r="G1817" s="228" t="str">
        <f t="shared" ca="1" si="1503"/>
        <v xml:space="preserve">   GERENCIAMENTO EXECUTIVO</v>
      </c>
      <c r="H1817" s="230">
        <f t="shared" ca="1" si="1496"/>
        <v>16</v>
      </c>
      <c r="I1817" s="228" t="str">
        <f t="shared" ca="1" si="1504"/>
        <v xml:space="preserve">   SISTEMAS DE PINTURA INTERNA</v>
      </c>
      <c r="J1817" s="230">
        <f t="shared" ca="1" si="1497"/>
        <v>5</v>
      </c>
      <c r="K1817" s="228" t="str">
        <f t="shared" ca="1" si="1505"/>
        <v xml:space="preserve">   SISTEMAS DE PINTURA INTERNA - BARRILETE / CAIXA DÁGUA / CASA DE MÁQUINAS</v>
      </c>
      <c r="L1817" s="231">
        <f t="shared" ca="1" si="1498"/>
        <v>1</v>
      </c>
      <c r="M1817" s="228" t="str">
        <f t="shared" ca="1" si="1506"/>
        <v xml:space="preserve">   Sistemas de Pintura Interna em Piso</v>
      </c>
      <c r="N1817" s="231">
        <f t="shared" ca="1" si="1499"/>
        <v>1</v>
      </c>
      <c r="O1817" s="228" t="str">
        <f t="shared" ca="1" si="1507"/>
        <v>Pintura acrilica em piso e rodapé de 7cm, 2 demaos, aplicacao em antecamara e escadaria</v>
      </c>
      <c r="P1817" s="232" t="str">
        <f>IF(S1817="","",IF(Orçamento!$B1817="INSUMO",S1817,""))</f>
        <v/>
      </c>
      <c r="Q1817" s="244" t="str">
        <f t="shared" si="1493"/>
        <v>Pintura acrilica em piso e rodapé de 7cm, 2 demaos, aplicacao em antecamara e escadaria</v>
      </c>
      <c r="R1817" s="234">
        <f t="shared" ca="1" si="1508"/>
        <v>9.6318000000000001</v>
      </c>
      <c r="S1817" s="233" t="s">
        <v>737</v>
      </c>
      <c r="T1817" s="242" t="s">
        <v>140</v>
      </c>
      <c r="U1817" s="235">
        <v>9.6318000000000001</v>
      </c>
      <c r="V1817" s="320" t="s">
        <v>35</v>
      </c>
      <c r="W1817" s="236" t="str">
        <f>IFERROR(IF(B1817="INSUMO",_xlfn.XLOOKUP(S1817,Insumos!A:A,Insumos!C:C),""),"Inserir Preço")</f>
        <v/>
      </c>
      <c r="X1817" s="235">
        <f t="shared" ca="1" si="1509"/>
        <v>9.6318000000000001</v>
      </c>
      <c r="Y1817" s="236">
        <f t="shared" ca="1" si="1477"/>
        <v>4.6885700000000003</v>
      </c>
      <c r="Z1817" s="237">
        <f t="shared" ca="1" si="1501"/>
        <v>45.159368526000002</v>
      </c>
      <c r="AA1817" s="238"/>
      <c r="AB1817" s="233" t="str">
        <f>IF(B1817="insumo",_xlfn.XLOOKUP(S1817,Insumos!A:A,Insumos!D:D),"")</f>
        <v/>
      </c>
      <c r="AC1817" s="239">
        <f t="shared" ca="1" si="1502"/>
        <v>6.4785231422536459E-6</v>
      </c>
      <c r="AE1817" s="240">
        <f ca="1">IFERROR(IF(OR(Z1817="",Z1817=0),"",IF(AF1817="","",IF(AF1817="R$/mês",Z1817/OBRA!$D$12,IF(AF1817="R$/m²",Z1817/OBRA!$D$10,IF(AF1817="R$/apto",Orçamento!Z1817/OBRA!$D$11,""))))),"")</f>
        <v>2.3239332722323144E-2</v>
      </c>
      <c r="AF1817" s="241" t="s">
        <v>154</v>
      </c>
    </row>
    <row r="1818" spans="1:32" s="10" customFormat="1" ht="13.15" hidden="1" customHeight="1" outlineLevel="4" x14ac:dyDescent="0.2">
      <c r="A1818" s="227"/>
      <c r="B1818" s="228" t="s">
        <v>19</v>
      </c>
      <c r="C1818" s="229">
        <f t="shared" si="1500"/>
        <v>2</v>
      </c>
      <c r="D1818" s="227" t="str">
        <f t="shared" si="1494"/>
        <v/>
      </c>
      <c r="E1818" s="228" t="str">
        <f t="shared" ca="1" si="1495"/>
        <v>16.005.001.001</v>
      </c>
      <c r="F1818" s="230">
        <f ca="1">IF($B1818="UNIDADE CONSTRUTIVA",OFFSET(F1818,-1,0)+1,LARGE(F$10:F1817,1))</f>
        <v>2</v>
      </c>
      <c r="G1818" s="228" t="str">
        <f t="shared" ca="1" si="1503"/>
        <v xml:space="preserve">   GERENCIAMENTO EXECUTIVO</v>
      </c>
      <c r="H1818" s="230">
        <f t="shared" ca="1" si="1496"/>
        <v>16</v>
      </c>
      <c r="I1818" s="228" t="str">
        <f t="shared" ca="1" si="1504"/>
        <v xml:space="preserve">   SISTEMAS DE PINTURA INTERNA</v>
      </c>
      <c r="J1818" s="230">
        <f t="shared" ca="1" si="1497"/>
        <v>5</v>
      </c>
      <c r="K1818" s="228" t="str">
        <f t="shared" ca="1" si="1505"/>
        <v xml:space="preserve">   SISTEMAS DE PINTURA INTERNA - BARRILETE / CAIXA DÁGUA / CASA DE MÁQUINAS</v>
      </c>
      <c r="L1818" s="231">
        <f t="shared" ca="1" si="1498"/>
        <v>1</v>
      </c>
      <c r="M1818" s="228" t="str">
        <f t="shared" ca="1" si="1506"/>
        <v xml:space="preserve">   Sistemas de Pintura Interna em Piso</v>
      </c>
      <c r="N1818" s="231">
        <f t="shared" ca="1" si="1499"/>
        <v>1</v>
      </c>
      <c r="O1818" s="228" t="str">
        <f t="shared" ca="1" si="1507"/>
        <v>Pintura acrilica em piso e rodapé de 7cm, 2 demaos, aplicacao em antecamara e escadaria</v>
      </c>
      <c r="P1818" s="232" t="str">
        <f>IF(S1818="","",IF(Orçamento!$B1818="INSUMO",S1818,""))</f>
        <v>TINTA ACRILICA PARA PISO</v>
      </c>
      <c r="Q1818" s="244" t="str">
        <f t="shared" ref="Q1818:Q1843" si="1510">IF(B1818="","",IF(B1818="Serviço",S1818,""))</f>
        <v/>
      </c>
      <c r="R1818" s="234">
        <f t="shared" ca="1" si="1508"/>
        <v>9.6318000000000001</v>
      </c>
      <c r="S1818" s="233" t="s">
        <v>383</v>
      </c>
      <c r="T1818" s="242" t="str">
        <f>_xlfn.XLOOKUP(S1818,Insumos!$A$3:$A$371,Insumos!$B$3:$B$371)</f>
        <v>L</v>
      </c>
      <c r="U1818" s="235">
        <f ca="1">IF($B1818="insumo",R1818,"")</f>
        <v>9.6318000000000001</v>
      </c>
      <c r="V1818" s="320">
        <v>0.42699999999999999</v>
      </c>
      <c r="W1818" s="236">
        <f>IFERROR(IF(B1818="INSUMO",_xlfn.XLOOKUP(S1818,Insumos!A:A,Insumos!C:C),""),"Inserir Preço")</f>
        <v>10.91</v>
      </c>
      <c r="X1818" s="235">
        <f t="shared" ca="1" si="1509"/>
        <v>4.1127786000000004</v>
      </c>
      <c r="Y1818" s="236">
        <f t="shared" si="1477"/>
        <v>4.6585700000000001</v>
      </c>
      <c r="Z1818" s="237">
        <f t="shared" ca="1" si="1501"/>
        <v>44.870414526000005</v>
      </c>
      <c r="AA1818" s="238"/>
      <c r="AB1818" s="233" t="str">
        <f>IF(B1818="insumo",_xlfn.XLOOKUP(S1818,Insumos!A:A,Insumos!D:D),"")</f>
        <v xml:space="preserve"> </v>
      </c>
      <c r="AC1818" s="239">
        <f t="shared" ca="1" si="1502"/>
        <v>6.4370700565009306E-6</v>
      </c>
      <c r="AE1818" s="240">
        <f ca="1">IFERROR(IF(OR(Z1818="",Z1818=0),"",IF(AF1818="","",IF(AF1818="R$/mês",Z1818/OBRA!$D$12,IF(AF1818="R$/m²",Z1818/OBRA!$D$10,IF(AF1818="R$/apto",Orçamento!Z1818/OBRA!$D$11,""))))),"")</f>
        <v>2.309063493564838E-2</v>
      </c>
      <c r="AF1818" s="241" t="s">
        <v>154</v>
      </c>
    </row>
    <row r="1819" spans="1:32" s="10" customFormat="1" ht="13.15" hidden="1" customHeight="1" outlineLevel="4" x14ac:dyDescent="0.2">
      <c r="A1819" s="227"/>
      <c r="B1819" s="228" t="s">
        <v>19</v>
      </c>
      <c r="C1819" s="229">
        <f t="shared" si="1500"/>
        <v>2</v>
      </c>
      <c r="D1819" s="227" t="str">
        <f t="shared" si="1494"/>
        <v/>
      </c>
      <c r="E1819" s="228" t="str">
        <f t="shared" ca="1" si="1495"/>
        <v>16.005.001.001</v>
      </c>
      <c r="F1819" s="230">
        <f ca="1">IF($B1819="UNIDADE CONSTRUTIVA",OFFSET(F1819,-1,0)+1,LARGE(F$10:F1818,1))</f>
        <v>2</v>
      </c>
      <c r="G1819" s="228" t="str">
        <f t="shared" ca="1" si="1503"/>
        <v xml:space="preserve">   GERENCIAMENTO EXECUTIVO</v>
      </c>
      <c r="H1819" s="230">
        <f t="shared" ca="1" si="1496"/>
        <v>16</v>
      </c>
      <c r="I1819" s="228" t="str">
        <f t="shared" ca="1" si="1504"/>
        <v xml:space="preserve">   SISTEMAS DE PINTURA INTERNA</v>
      </c>
      <c r="J1819" s="230">
        <f t="shared" ca="1" si="1497"/>
        <v>5</v>
      </c>
      <c r="K1819" s="228" t="str">
        <f t="shared" ca="1" si="1505"/>
        <v xml:space="preserve">   SISTEMAS DE PINTURA INTERNA - BARRILETE / CAIXA DÁGUA / CASA DE MÁQUINAS</v>
      </c>
      <c r="L1819" s="231">
        <f t="shared" ca="1" si="1498"/>
        <v>1</v>
      </c>
      <c r="M1819" s="228" t="str">
        <f t="shared" ca="1" si="1506"/>
        <v xml:space="preserve">   Sistemas de Pintura Interna em Piso</v>
      </c>
      <c r="N1819" s="231">
        <f t="shared" ca="1" si="1499"/>
        <v>1</v>
      </c>
      <c r="O1819" s="228" t="str">
        <f t="shared" ca="1" si="1507"/>
        <v>Pintura acrilica em piso e rodapé de 7cm, 2 demaos, aplicacao em antecamara e escadaria</v>
      </c>
      <c r="P1819" s="232" t="str">
        <f>IF(S1819="","",IF(Orçamento!$B1819="INSUMO",S1819,""))</f>
        <v>FITA CREPE 25MMX50M</v>
      </c>
      <c r="Q1819" s="244" t="str">
        <f t="shared" si="1510"/>
        <v/>
      </c>
      <c r="R1819" s="234">
        <f t="shared" ca="1" si="1508"/>
        <v>9.6318000000000001</v>
      </c>
      <c r="S1819" s="233" t="s">
        <v>401</v>
      </c>
      <c r="T1819" s="242" t="str">
        <f>_xlfn.XLOOKUP(S1819,Insumos!$A$3:$A$371,Insumos!$B$3:$B$371)</f>
        <v>L</v>
      </c>
      <c r="U1819" s="235">
        <f ca="1">IF($B1819="insumo",R1819,"")</f>
        <v>9.6318000000000001</v>
      </c>
      <c r="V1819" s="320">
        <v>0.01</v>
      </c>
      <c r="W1819" s="236">
        <f>IFERROR(IF(B1819="INSUMO",_xlfn.XLOOKUP(S1819,Insumos!A:A,Insumos!C:C),""),"Inserir Preço")</f>
        <v>3</v>
      </c>
      <c r="X1819" s="235">
        <f t="shared" ca="1" si="1509"/>
        <v>9.6318000000000001E-2</v>
      </c>
      <c r="Y1819" s="236">
        <f t="shared" si="1477"/>
        <v>0.03</v>
      </c>
      <c r="Z1819" s="237">
        <f t="shared" ca="1" si="1501"/>
        <v>0.28895399999999999</v>
      </c>
      <c r="AA1819" s="238"/>
      <c r="AB1819" s="233" t="str">
        <f>IF(B1819="insumo",_xlfn.XLOOKUP(S1819,Insumos!A:A,Insumos!D:D),"")</f>
        <v xml:space="preserve"> </v>
      </c>
      <c r="AC1819" s="239">
        <f t="shared" ca="1" si="1502"/>
        <v>4.1453085752715509E-8</v>
      </c>
      <c r="AE1819" s="240">
        <f ca="1">IFERROR(IF(OR(Z1819="",Z1819=0),"",IF(AF1819="","",IF(AF1819="R$/mês",Z1819/OBRA!$D$12,IF(AF1819="R$/m²",Z1819/OBRA!$D$10,IF(AF1819="R$/apto",Orçamento!Z1819/OBRA!$D$11,""))))),"")</f>
        <v>1.4869778667476314E-4</v>
      </c>
      <c r="AF1819" s="241" t="s">
        <v>154</v>
      </c>
    </row>
    <row r="1820" spans="1:32" s="10" customFormat="1" ht="13.15" hidden="1" customHeight="1" outlineLevel="3" collapsed="1" x14ac:dyDescent="0.2">
      <c r="A1820" s="227"/>
      <c r="B1820" s="228" t="s">
        <v>3</v>
      </c>
      <c r="C1820" s="229" t="str">
        <f t="shared" si="1500"/>
        <v/>
      </c>
      <c r="D1820" s="227" t="str">
        <f t="shared" ca="1" si="1494"/>
        <v>16.005.002</v>
      </c>
      <c r="E1820" s="228" t="str">
        <f t="shared" ca="1" si="1495"/>
        <v>16.005.001.001</v>
      </c>
      <c r="F1820" s="230">
        <f ca="1">IF($B1820="UNIDADE CONSTRUTIVA",OFFSET(F1820,-1,0)+1,LARGE(F$10:F1819,1))</f>
        <v>2</v>
      </c>
      <c r="G1820" s="228" t="str">
        <f t="shared" ca="1" si="1503"/>
        <v xml:space="preserve">   GERENCIAMENTO EXECUTIVO</v>
      </c>
      <c r="H1820" s="230">
        <f t="shared" ca="1" si="1496"/>
        <v>16</v>
      </c>
      <c r="I1820" s="228" t="str">
        <f t="shared" ca="1" si="1504"/>
        <v xml:space="preserve">   SISTEMAS DE PINTURA INTERNA</v>
      </c>
      <c r="J1820" s="230">
        <f t="shared" ca="1" si="1497"/>
        <v>5</v>
      </c>
      <c r="K1820" s="228" t="str">
        <f t="shared" ca="1" si="1505"/>
        <v xml:space="preserve">   SISTEMAS DE PINTURA INTERNA - BARRILETE / CAIXA DÁGUA / CASA DE MÁQUINAS</v>
      </c>
      <c r="L1820" s="231">
        <f t="shared" ca="1" si="1498"/>
        <v>2</v>
      </c>
      <c r="M1820" s="228" t="str">
        <f t="shared" ca="1" si="1506"/>
        <v xml:space="preserve">   Sistemas de Pintura Interna em Parede</v>
      </c>
      <c r="N1820" s="231">
        <f t="shared" ca="1" si="1499"/>
        <v>0</v>
      </c>
      <c r="O1820" s="228" t="str">
        <f t="shared" ca="1" si="1507"/>
        <v>Pintura acrilica em piso e rodapé de 7cm, 2 demaos, aplicacao em antecamara e escadaria</v>
      </c>
      <c r="P1820" s="232" t="str">
        <f>IF(S1820="","",IF(Orçamento!$B1820="INSUMO",S1820,""))</f>
        <v/>
      </c>
      <c r="Q1820" s="244" t="str">
        <f t="shared" si="1510"/>
        <v/>
      </c>
      <c r="R1820" s="234">
        <f t="shared" ca="1" si="1508"/>
        <v>9.6318000000000001</v>
      </c>
      <c r="S1820" s="233" t="s">
        <v>499</v>
      </c>
      <c r="T1820" s="242" t="s">
        <v>35</v>
      </c>
      <c r="U1820" s="235" t="str">
        <f>IF($B1820="insumo",R1820,"")</f>
        <v/>
      </c>
      <c r="V1820" s="320" t="s">
        <v>35</v>
      </c>
      <c r="W1820" s="236" t="str">
        <f>IFERROR(IF(B1820="INSUMO",_xlfn.XLOOKUP(S1820,Insumos!A:A,Insumos!C:C),""),"Inserir Preço")</f>
        <v/>
      </c>
      <c r="X1820" s="235" t="str">
        <f t="shared" ca="1" si="1509"/>
        <v/>
      </c>
      <c r="Y1820" s="236" t="str">
        <f t="shared" si="1477"/>
        <v/>
      </c>
      <c r="Z1820" s="237">
        <f t="shared" ca="1" si="1501"/>
        <v>4213.9659891000001</v>
      </c>
      <c r="AA1820" s="238"/>
      <c r="AB1820" s="233" t="str">
        <f>IF(B1820="insumo",_xlfn.XLOOKUP(S1820,Insumos!A:A,Insumos!D:D),"")</f>
        <v/>
      </c>
      <c r="AC1820" s="239">
        <f t="shared" ca="1" si="1502"/>
        <v>6.0453184072616723E-4</v>
      </c>
      <c r="AE1820" s="240">
        <f ca="1">IFERROR(IF(OR(Z1820="",Z1820=0),"",IF(AF1820="","",IF(AF1820="R$/mês",Z1820/OBRA!$D$12,IF(AF1820="R$/m²",Z1820/OBRA!$D$10,IF(AF1820="R$/apto",Orçamento!Z1820/OBRA!$D$11,""))))),"")</f>
        <v>2.1685369148788358</v>
      </c>
      <c r="AF1820" s="241" t="s">
        <v>154</v>
      </c>
    </row>
    <row r="1821" spans="1:32" s="10" customFormat="1" ht="13.15" hidden="1" customHeight="1" outlineLevel="4" x14ac:dyDescent="0.2">
      <c r="A1821" s="227"/>
      <c r="B1821" s="228" t="s">
        <v>4</v>
      </c>
      <c r="C1821" s="229">
        <f t="shared" si="1500"/>
        <v>5</v>
      </c>
      <c r="D1821" s="227" t="str">
        <f ca="1">IF(B1821="Unidade Construtiva",TEXT(F1821,"00"),IF(B1821="Célula Construtiva",TEXT(H1821,"00"),IF(B1821="Etapa",CONCATENATE(TEXT(H1821,"00"),".",TEXT(J1821,"000")),IF(B1821="Subetapa",CONCATENATE(TEXT(H1821,"00"),".",TEXT(J1821,"000"),".",TEXT(L1821,"000")),IF(B1821="Serviço",CONCATENATE(TEXT(H1821,"00"),".",TEXT(J1821,"000"),".",TEXT(L1821,"000"),".",TEXT(N1821,"000")),"")))))</f>
        <v>16.005.002.001</v>
      </c>
      <c r="E1821" s="228" t="str">
        <f ca="1">IF(B1821="*","",IFERROR(IF(B1821="SERVIÇO",D1821,OFFSET(E1821,-1,0)),""))</f>
        <v>16.005.002.001</v>
      </c>
      <c r="F1821" s="230">
        <f ca="1">IF($B1821="UNIDADE CONSTRUTIVA",OFFSET(F1821,-1,0)+1,LARGE(F$10:F1820,1))</f>
        <v>2</v>
      </c>
      <c r="G1821" s="228" t="str">
        <f t="shared" ca="1" si="1503"/>
        <v xml:space="preserve">   GERENCIAMENTO EXECUTIVO</v>
      </c>
      <c r="H1821" s="230">
        <f ca="1">IF(B1821="UNIDADE CONSTRUTIVA",0,IF(B1821="CÉLULA CONSTRUTIVA",OFFSET(H1821,-1,0)+1,OFFSET(H1821,-1,0)))</f>
        <v>16</v>
      </c>
      <c r="I1821" s="228" t="str">
        <f t="shared" ca="1" si="1504"/>
        <v xml:space="preserve">   SISTEMAS DE PINTURA INTERNA</v>
      </c>
      <c r="J1821" s="230">
        <f ca="1">IF(B1821="CÉLULA CONSTRUTIVA",0,IF(B1821="ETAPA",OFFSET(J1821,-1,0)+1,OFFSET(J1821,-1,0)))</f>
        <v>5</v>
      </c>
      <c r="K1821" s="228" t="str">
        <f t="shared" ca="1" si="1505"/>
        <v xml:space="preserve">   SISTEMAS DE PINTURA INTERNA - BARRILETE / CAIXA DÁGUA / CASA DE MÁQUINAS</v>
      </c>
      <c r="L1821" s="231">
        <f ca="1">IF(B1821="ETAPA",0,IF(B1821="SUBETAPA",OFFSET(L1821,-1,0)+1,OFFSET(L1821,-1,0)))</f>
        <v>2</v>
      </c>
      <c r="M1821" s="228" t="str">
        <f t="shared" ca="1" si="1506"/>
        <v xml:space="preserve">   Sistemas de Pintura Interna em Parede</v>
      </c>
      <c r="N1821" s="231">
        <f ca="1">IF(B1821="Subetapa",0,IF(B1821="serviço",OFFSET(N1821,-1,0)+1,OFFSET(N1821,-1,0)))</f>
        <v>1</v>
      </c>
      <c r="O1821" s="228" t="str">
        <f t="shared" ca="1" si="1507"/>
        <v>Pintura com tinta latex acrilica, acabamento fosco em paredes internas, 3 demaos Áreas Comuns</v>
      </c>
      <c r="P1821" s="232" t="str">
        <f>IF(S1821="","",IF(Orçamento!$B1821="INSUMO",S1821,""))</f>
        <v/>
      </c>
      <c r="Q1821" s="244" t="str">
        <f t="shared" si="1510"/>
        <v>Pintura com tinta latex acrilica, acabamento fosco em paredes internas, 3 demaos Áreas Comuns</v>
      </c>
      <c r="R1821" s="234">
        <f t="shared" ca="1" si="1508"/>
        <v>234.43</v>
      </c>
      <c r="S1821" s="233" t="s">
        <v>738</v>
      </c>
      <c r="T1821" s="242" t="s">
        <v>140</v>
      </c>
      <c r="U1821" s="235">
        <v>234.43</v>
      </c>
      <c r="V1821" s="320" t="s">
        <v>35</v>
      </c>
      <c r="W1821" s="236" t="str">
        <f>IFERROR(IF(B1821="INSUMO",_xlfn.XLOOKUP(S1821,Insumos!A:A,Insumos!C:C),""),"Inserir Preço")</f>
        <v/>
      </c>
      <c r="X1821" s="235">
        <f t="shared" ca="1" si="1509"/>
        <v>234.43</v>
      </c>
      <c r="Y1821" s="236">
        <f t="shared" ca="1" si="1477"/>
        <v>17.975370000000002</v>
      </c>
      <c r="Z1821" s="237">
        <f t="shared" ca="1" si="1501"/>
        <v>4213.9659891000001</v>
      </c>
      <c r="AA1821" s="238"/>
      <c r="AB1821" s="233" t="str">
        <f>IF(B1821="insumo",_xlfn.XLOOKUP(S1821,Insumos!A:A,Insumos!D:D),"")</f>
        <v/>
      </c>
      <c r="AC1821" s="239">
        <f t="shared" ca="1" si="1502"/>
        <v>6.0453184072616723E-4</v>
      </c>
      <c r="AE1821" s="240">
        <f ca="1">IFERROR(IF(OR(Z1821="",Z1821=0),"",IF(AF1821="","",IF(AF1821="R$/mês",Z1821/OBRA!$D$12,IF(AF1821="R$/m²",Z1821/OBRA!$D$10,IF(AF1821="R$/apto",Orçamento!Z1821/OBRA!$D$11,""))))),"")</f>
        <v>2.1685369148788358</v>
      </c>
      <c r="AF1821" s="241" t="s">
        <v>154</v>
      </c>
    </row>
    <row r="1822" spans="1:32" s="10" customFormat="1" ht="13.15" hidden="1" customHeight="1" outlineLevel="4" x14ac:dyDescent="0.2">
      <c r="A1822" s="227"/>
      <c r="B1822" s="228" t="s">
        <v>19</v>
      </c>
      <c r="C1822" s="229">
        <f t="shared" si="1500"/>
        <v>13</v>
      </c>
      <c r="D1822" s="227" t="str">
        <f>IF(B1822="Unidade Construtiva",TEXT(F1822,"00"),IF(B1822="Célula Construtiva",TEXT(H1822,"00"),IF(B1822="Etapa",CONCATENATE(TEXT(H1822,"00"),".",TEXT(J1822,"000")),IF(B1822="Subetapa",CONCATENATE(TEXT(H1822,"00"),".",TEXT(J1822,"000"),".",TEXT(L1822,"000")),IF(B1822="Serviço",CONCATENATE(TEXT(H1822,"00"),".",TEXT(J1822,"000"),".",TEXT(L1822,"000"),".",TEXT(N1822,"000")),"")))))</f>
        <v/>
      </c>
      <c r="E1822" s="228" t="str">
        <f ca="1">IF(B1822="*","",IFERROR(IF(B1822="SERVIÇO",D1822,OFFSET(E1822,-1,0)),""))</f>
        <v>16.005.002.001</v>
      </c>
      <c r="F1822" s="230">
        <f ca="1">IF($B1822="UNIDADE CONSTRUTIVA",OFFSET(F1822,-1,0)+1,LARGE(F$10:F1821,1))</f>
        <v>2</v>
      </c>
      <c r="G1822" s="228" t="str">
        <f t="shared" ca="1" si="1503"/>
        <v xml:space="preserve">   GERENCIAMENTO EXECUTIVO</v>
      </c>
      <c r="H1822" s="230">
        <f ca="1">IF(B1822="UNIDADE CONSTRUTIVA",0,IF(B1822="CÉLULA CONSTRUTIVA",OFFSET(H1822,-1,0)+1,OFFSET(H1822,-1,0)))</f>
        <v>16</v>
      </c>
      <c r="I1822" s="228" t="str">
        <f t="shared" ca="1" si="1504"/>
        <v xml:space="preserve">   SISTEMAS DE PINTURA INTERNA</v>
      </c>
      <c r="J1822" s="230">
        <f ca="1">IF(B1822="CÉLULA CONSTRUTIVA",0,IF(B1822="ETAPA",OFFSET(J1822,-1,0)+1,OFFSET(J1822,-1,0)))</f>
        <v>5</v>
      </c>
      <c r="K1822" s="228" t="str">
        <f t="shared" ca="1" si="1505"/>
        <v xml:space="preserve">   SISTEMAS DE PINTURA INTERNA - BARRILETE / CAIXA DÁGUA / CASA DE MÁQUINAS</v>
      </c>
      <c r="L1822" s="231">
        <f ca="1">IF(B1822="ETAPA",0,IF(B1822="SUBETAPA",OFFSET(L1822,-1,0)+1,OFFSET(L1822,-1,0)))</f>
        <v>2</v>
      </c>
      <c r="M1822" s="228" t="str">
        <f t="shared" ca="1" si="1506"/>
        <v xml:space="preserve">   Sistemas de Pintura Interna em Parede</v>
      </c>
      <c r="N1822" s="231">
        <f ca="1">IF(B1822="Subetapa",0,IF(B1822="serviço",OFFSET(N1822,-1,0)+1,OFFSET(N1822,-1,0)))</f>
        <v>1</v>
      </c>
      <c r="O1822" s="228" t="str">
        <f t="shared" ca="1" si="1507"/>
        <v>Pintura com tinta latex acrilica, acabamento fosco em paredes internas, 3 demaos Áreas Comuns</v>
      </c>
      <c r="P1822" s="232" t="str">
        <f>IF(S1822="","",IF(Orçamento!$B1822="INSUMO",S1822,""))</f>
        <v>TINTA ACRILICO PREMIUM FOSCO</v>
      </c>
      <c r="Q1822" s="244" t="str">
        <f t="shared" si="1510"/>
        <v/>
      </c>
      <c r="R1822" s="234">
        <f t="shared" ca="1" si="1508"/>
        <v>234.43</v>
      </c>
      <c r="S1822" s="233" t="s">
        <v>264</v>
      </c>
      <c r="T1822" s="242" t="str">
        <f>_xlfn.XLOOKUP(S1822,Insumos!$A$3:$A$371,Insumos!$B$3:$B$371)</f>
        <v>L</v>
      </c>
      <c r="U1822" s="235">
        <f ca="1">IF($B1822="insumo",R1822,"")</f>
        <v>234.43</v>
      </c>
      <c r="V1822" s="320">
        <f>0.2678*2</f>
        <v>0.53559999999999997</v>
      </c>
      <c r="W1822" s="236">
        <f>IFERROR(IF(B1822="INSUMO",_xlfn.XLOOKUP(S1822,Insumos!A:A,Insumos!C:C),""),"Inserir Preço")</f>
        <v>29.17</v>
      </c>
      <c r="X1822" s="235">
        <f t="shared" ca="1" si="1509"/>
        <v>125.56070799999999</v>
      </c>
      <c r="Y1822" s="236">
        <f t="shared" si="1477"/>
        <v>15.623452</v>
      </c>
      <c r="Z1822" s="237">
        <f t="shared" ca="1" si="1501"/>
        <v>3662.60585236</v>
      </c>
      <c r="AA1822" s="238"/>
      <c r="AB1822" s="233" t="str">
        <f>IF(B1822="insumo",_xlfn.XLOOKUP(S1822,Insumos!A:A,Insumos!D:D),"")</f>
        <v xml:space="preserve"> </v>
      </c>
      <c r="AC1822" s="239">
        <f t="shared" ca="1" si="1502"/>
        <v>5.2543420224768222E-4</v>
      </c>
      <c r="AE1822" s="240">
        <f ca="1">IFERROR(IF(OR(Z1822="",Z1822=0),"",IF(AF1822="","",IF(AF1822="R$/mês",Z1822/OBRA!$D$12,IF(AF1822="R$/m²",Z1822/OBRA!$D$10,IF(AF1822="R$/apto",Orçamento!Z1822/OBRA!$D$11,""))))),"")</f>
        <v>1.8848030610684272</v>
      </c>
      <c r="AF1822" s="241" t="s">
        <v>154</v>
      </c>
    </row>
    <row r="1823" spans="1:32" s="10" customFormat="1" ht="13.15" hidden="1" customHeight="1" outlineLevel="4" x14ac:dyDescent="0.2">
      <c r="A1823" s="227"/>
      <c r="B1823" s="228" t="s">
        <v>19</v>
      </c>
      <c r="C1823" s="229">
        <f t="shared" si="1500"/>
        <v>12</v>
      </c>
      <c r="D1823" s="227" t="str">
        <f>IF(B1823="Unidade Construtiva",TEXT(F1823,"00"),IF(B1823="Célula Construtiva",TEXT(H1823,"00"),IF(B1823="Etapa",CONCATENATE(TEXT(H1823,"00"),".",TEXT(J1823,"000")),IF(B1823="Subetapa",CONCATENATE(TEXT(H1823,"00"),".",TEXT(J1823,"000"),".",TEXT(L1823,"000")),IF(B1823="Serviço",CONCATENATE(TEXT(H1823,"00"),".",TEXT(J1823,"000"),".",TEXT(L1823,"000"),".",TEXT(N1823,"000")),"")))))</f>
        <v/>
      </c>
      <c r="E1823" s="228" t="str">
        <f ca="1">IF(B1823="*","",IFERROR(IF(B1823="SERVIÇO",D1823,OFFSET(E1823,-1,0)),""))</f>
        <v>16.005.002.001</v>
      </c>
      <c r="F1823" s="230">
        <f ca="1">IF($B1823="UNIDADE CONSTRUTIVA",OFFSET(F1823,-1,0)+1,LARGE(F$10:F1822,1))</f>
        <v>2</v>
      </c>
      <c r="G1823" s="228" t="str">
        <f t="shared" ca="1" si="1503"/>
        <v xml:space="preserve">   GERENCIAMENTO EXECUTIVO</v>
      </c>
      <c r="H1823" s="230">
        <f ca="1">IF(B1823="UNIDADE CONSTRUTIVA",0,IF(B1823="CÉLULA CONSTRUTIVA",OFFSET(H1823,-1,0)+1,OFFSET(H1823,-1,0)))</f>
        <v>16</v>
      </c>
      <c r="I1823" s="228" t="str">
        <f t="shared" ca="1" si="1504"/>
        <v xml:space="preserve">   SISTEMAS DE PINTURA INTERNA</v>
      </c>
      <c r="J1823" s="230">
        <f ca="1">IF(B1823="CÉLULA CONSTRUTIVA",0,IF(B1823="ETAPA",OFFSET(J1823,-1,0)+1,OFFSET(J1823,-1,0)))</f>
        <v>5</v>
      </c>
      <c r="K1823" s="228" t="str">
        <f t="shared" ca="1" si="1505"/>
        <v xml:space="preserve">   SISTEMAS DE PINTURA INTERNA - BARRILETE / CAIXA DÁGUA / CASA DE MÁQUINAS</v>
      </c>
      <c r="L1823" s="231">
        <f ca="1">IF(B1823="ETAPA",0,IF(B1823="SUBETAPA",OFFSET(L1823,-1,0)+1,OFFSET(L1823,-1,0)))</f>
        <v>2</v>
      </c>
      <c r="M1823" s="228" t="str">
        <f t="shared" ca="1" si="1506"/>
        <v xml:space="preserve">   Sistemas de Pintura Interna em Parede</v>
      </c>
      <c r="N1823" s="231">
        <f ca="1">IF(B1823="Subetapa",0,IF(B1823="serviço",OFFSET(N1823,-1,0)+1,OFFSET(N1823,-1,0)))</f>
        <v>1</v>
      </c>
      <c r="O1823" s="228" t="str">
        <f t="shared" ca="1" si="1507"/>
        <v>Pintura com tinta latex acrilica, acabamento fosco em paredes internas, 3 demaos Áreas Comuns</v>
      </c>
      <c r="P1823" s="232" t="str">
        <f>IF(S1823="","",IF(Orçamento!$B1823="INSUMO",S1823,""))</f>
        <v>MASSA CORRIDA PVA</v>
      </c>
      <c r="Q1823" s="244" t="str">
        <f t="shared" si="1510"/>
        <v/>
      </c>
      <c r="R1823" s="234">
        <f t="shared" ca="1" si="1508"/>
        <v>234.43</v>
      </c>
      <c r="S1823" s="233" t="s">
        <v>338</v>
      </c>
      <c r="T1823" s="242" t="str">
        <f>_xlfn.XLOOKUP(S1823,Insumos!$A$3:$A$371,Insumos!$B$3:$B$371)</f>
        <v>L</v>
      </c>
      <c r="U1823" s="235">
        <f ca="1">IF($B1823="insumo",R1823,"")</f>
        <v>234.43</v>
      </c>
      <c r="V1823" s="320">
        <v>1.6868000000000001</v>
      </c>
      <c r="W1823" s="236">
        <f>IFERROR(IF(B1823="INSUMO",_xlfn.XLOOKUP(S1823,Insumos!A:A,Insumos!C:C),""),"Inserir Preço")</f>
        <v>1.26</v>
      </c>
      <c r="X1823" s="235">
        <f t="shared" ca="1" si="1509"/>
        <v>395.43652400000002</v>
      </c>
      <c r="Y1823" s="236">
        <f t="shared" si="1477"/>
        <v>2.1253679999999999</v>
      </c>
      <c r="Z1823" s="237">
        <f t="shared" ca="1" si="1501"/>
        <v>498.25002024000003</v>
      </c>
      <c r="AA1823" s="238"/>
      <c r="AB1823" s="233" t="str">
        <f>IF(B1823="insumo",_xlfn.XLOOKUP(S1823,Insumos!A:A,Insumos!D:D),"")</f>
        <v xml:space="preserve"> </v>
      </c>
      <c r="AC1823" s="239">
        <f t="shared" ca="1" si="1502"/>
        <v>7.1478508050765732E-5</v>
      </c>
      <c r="AE1823" s="240">
        <f ca="1">IFERROR(IF(OR(Z1823="",Z1823=0),"",IF(AF1823="","",IF(AF1823="R$/mês",Z1823/OBRA!$D$12,IF(AF1823="R$/m²",Z1823/OBRA!$D$10,IF(AF1823="R$/apto",Orçamento!Z1823/OBRA!$D$11,""))))),"")</f>
        <v>0.25640300954596212</v>
      </c>
      <c r="AF1823" s="241" t="s">
        <v>154</v>
      </c>
    </row>
    <row r="1824" spans="1:32" s="10" customFormat="1" ht="13.15" hidden="1" customHeight="1" outlineLevel="4" x14ac:dyDescent="0.2">
      <c r="A1824" s="227"/>
      <c r="B1824" s="228" t="s">
        <v>19</v>
      </c>
      <c r="C1824" s="229">
        <f t="shared" si="1500"/>
        <v>19</v>
      </c>
      <c r="D1824" s="227" t="str">
        <f>IF(B1824="Unidade Construtiva",TEXT(F1824,"00"),IF(B1824="Célula Construtiva",TEXT(H1824,"00"),IF(B1824="Etapa",CONCATENATE(TEXT(H1824,"00"),".",TEXT(J1824,"000")),IF(B1824="Subetapa",CONCATENATE(TEXT(H1824,"00"),".",TEXT(J1824,"000"),".",TEXT(L1824,"000")),IF(B1824="Serviço",CONCATENATE(TEXT(H1824,"00"),".",TEXT(J1824,"000"),".",TEXT(L1824,"000"),".",TEXT(N1824,"000")),"")))))</f>
        <v/>
      </c>
      <c r="E1824" s="228" t="str">
        <f ca="1">IF(B1824="*","",IFERROR(IF(B1824="SERVIÇO",D1824,OFFSET(E1824,-1,0)),""))</f>
        <v>16.005.002.001</v>
      </c>
      <c r="F1824" s="230">
        <f ca="1">IF($B1824="UNIDADE CONSTRUTIVA",OFFSET(F1824,-1,0)+1,LARGE(F$10:F1823,1))</f>
        <v>2</v>
      </c>
      <c r="G1824" s="228" t="str">
        <f t="shared" ca="1" si="1503"/>
        <v xml:space="preserve">   GERENCIAMENTO EXECUTIVO</v>
      </c>
      <c r="H1824" s="230">
        <f ca="1">IF(B1824="UNIDADE CONSTRUTIVA",0,IF(B1824="CÉLULA CONSTRUTIVA",OFFSET(H1824,-1,0)+1,OFFSET(H1824,-1,0)))</f>
        <v>16</v>
      </c>
      <c r="I1824" s="228" t="str">
        <f t="shared" ca="1" si="1504"/>
        <v xml:space="preserve">   SISTEMAS DE PINTURA INTERNA</v>
      </c>
      <c r="J1824" s="230">
        <f ca="1">IF(B1824="CÉLULA CONSTRUTIVA",0,IF(B1824="ETAPA",OFFSET(J1824,-1,0)+1,OFFSET(J1824,-1,0)))</f>
        <v>5</v>
      </c>
      <c r="K1824" s="228" t="str">
        <f t="shared" ca="1" si="1505"/>
        <v xml:space="preserve">   SISTEMAS DE PINTURA INTERNA - BARRILETE / CAIXA DÁGUA / CASA DE MÁQUINAS</v>
      </c>
      <c r="L1824" s="231">
        <f ca="1">IF(B1824="ETAPA",0,IF(B1824="SUBETAPA",OFFSET(L1824,-1,0)+1,OFFSET(L1824,-1,0)))</f>
        <v>2</v>
      </c>
      <c r="M1824" s="228" t="str">
        <f t="shared" ca="1" si="1506"/>
        <v xml:space="preserve">   Sistemas de Pintura Interna em Parede</v>
      </c>
      <c r="N1824" s="231">
        <f ca="1">IF(B1824="Subetapa",0,IF(B1824="serviço",OFFSET(N1824,-1,0)+1,OFFSET(N1824,-1,0)))</f>
        <v>1</v>
      </c>
      <c r="O1824" s="228" t="str">
        <f t="shared" ca="1" si="1507"/>
        <v>Pintura com tinta latex acrilica, acabamento fosco em paredes internas, 3 demaos Áreas Comuns</v>
      </c>
      <c r="P1824" s="232" t="str">
        <f>IF(S1824="","",IF(Orçamento!$B1824="INSUMO",S1824,""))</f>
        <v>LIXA EM FOLHA PARA PAREDE OU MADEIRA N° 120</v>
      </c>
      <c r="Q1824" s="244" t="str">
        <f t="shared" si="1510"/>
        <v/>
      </c>
      <c r="R1824" s="234">
        <f t="shared" ca="1" si="1508"/>
        <v>234.43</v>
      </c>
      <c r="S1824" s="233" t="s">
        <v>922</v>
      </c>
      <c r="T1824" s="242" t="str">
        <f>_xlfn.XLOOKUP(S1824,Insumos!$A$3:$A$371,Insumos!$B$3:$B$371)</f>
        <v>UN</v>
      </c>
      <c r="U1824" s="235">
        <f ca="1">IF($B1824="insumo",R1824,"")</f>
        <v>234.43</v>
      </c>
      <c r="V1824" s="320">
        <v>9.8500000000000004E-2</v>
      </c>
      <c r="W1824" s="236">
        <f>IFERROR(IF(B1824="INSUMO",_xlfn.XLOOKUP(S1824,Insumos!A:A,Insumos!C:C),""),"Inserir Preço")</f>
        <v>2.2999999999999998</v>
      </c>
      <c r="X1824" s="235">
        <f t="shared" ca="1" si="1509"/>
        <v>23.091355</v>
      </c>
      <c r="Y1824" s="236">
        <f t="shared" si="1477"/>
        <v>0.22655</v>
      </c>
      <c r="Z1824" s="237">
        <f t="shared" ca="1" si="1501"/>
        <v>53.110116499999997</v>
      </c>
      <c r="AA1824" s="238"/>
      <c r="AB1824" s="233" t="str">
        <f>IF(B1824="insumo",_xlfn.XLOOKUP(S1824,Insumos!A:A,Insumos!D:D),"")</f>
        <v xml:space="preserve"> </v>
      </c>
      <c r="AC1824" s="239">
        <f t="shared" ca="1" si="1502"/>
        <v>7.6191304277193283E-6</v>
      </c>
      <c r="AE1824" s="240">
        <f ca="1">IFERROR(IF(OR(Z1824="",Z1824=0),"",IF(AF1824="","",IF(AF1824="R$/mês",Z1824/OBRA!$D$12,IF(AF1824="R$/m²",Z1824/OBRA!$D$10,IF(AF1824="R$/apto",Orçamento!Z1824/OBRA!$D$11,""))))),"")</f>
        <v>2.7330844264446305E-2</v>
      </c>
      <c r="AF1824" s="241" t="s">
        <v>154</v>
      </c>
    </row>
    <row r="1825" spans="1:32" s="10" customFormat="1" ht="13.15" hidden="1" customHeight="1" outlineLevel="3" collapsed="1" x14ac:dyDescent="0.2">
      <c r="A1825" s="227"/>
      <c r="B1825" s="228" t="s">
        <v>3</v>
      </c>
      <c r="C1825" s="229" t="str">
        <f t="shared" si="1500"/>
        <v/>
      </c>
      <c r="D1825" s="227" t="str">
        <f t="shared" ca="1" si="1494"/>
        <v>16.005.003</v>
      </c>
      <c r="E1825" s="228" t="str">
        <f t="shared" ca="1" si="1495"/>
        <v>16.005.002.001</v>
      </c>
      <c r="F1825" s="230">
        <f ca="1">IF($B1825="UNIDADE CONSTRUTIVA",OFFSET(F1825,-1,0)+1,LARGE(F$10:F1824,1))</f>
        <v>2</v>
      </c>
      <c r="G1825" s="228" t="str">
        <f t="shared" ca="1" si="1503"/>
        <v xml:space="preserve">   GERENCIAMENTO EXECUTIVO</v>
      </c>
      <c r="H1825" s="230">
        <f t="shared" ca="1" si="1496"/>
        <v>16</v>
      </c>
      <c r="I1825" s="228" t="str">
        <f t="shared" ca="1" si="1504"/>
        <v xml:space="preserve">   SISTEMAS DE PINTURA INTERNA</v>
      </c>
      <c r="J1825" s="230">
        <f t="shared" ca="1" si="1497"/>
        <v>5</v>
      </c>
      <c r="K1825" s="228" t="str">
        <f t="shared" ca="1" si="1505"/>
        <v xml:space="preserve">   SISTEMAS DE PINTURA INTERNA - BARRILETE / CAIXA DÁGUA / CASA DE MÁQUINAS</v>
      </c>
      <c r="L1825" s="231">
        <f t="shared" ca="1" si="1498"/>
        <v>3</v>
      </c>
      <c r="M1825" s="228" t="str">
        <f t="shared" ca="1" si="1506"/>
        <v xml:space="preserve">   Sistemas de Pintura Interna em Teto</v>
      </c>
      <c r="N1825" s="231">
        <f t="shared" ca="1" si="1499"/>
        <v>0</v>
      </c>
      <c r="O1825" s="228" t="str">
        <f t="shared" ca="1" si="1507"/>
        <v>Pintura com tinta latex acrilica, acabamento fosco em paredes internas, 3 demaos Áreas Comuns</v>
      </c>
      <c r="P1825" s="232" t="str">
        <f>IF(S1825="","",IF(Orçamento!$B1825="INSUMO",S1825,""))</f>
        <v/>
      </c>
      <c r="Q1825" s="244" t="str">
        <f t="shared" si="1510"/>
        <v/>
      </c>
      <c r="R1825" s="234">
        <f t="shared" ca="1" si="1508"/>
        <v>234.43</v>
      </c>
      <c r="S1825" s="233" t="s">
        <v>500</v>
      </c>
      <c r="T1825" s="242" t="s">
        <v>35</v>
      </c>
      <c r="U1825" s="235" t="str">
        <f>IF($B1825="insumo",R1825,"")</f>
        <v/>
      </c>
      <c r="V1825" s="320" t="s">
        <v>35</v>
      </c>
      <c r="W1825" s="236" t="str">
        <f>IFERROR(IF(B1825="INSUMO",_xlfn.XLOOKUP(S1825,Insumos!A:A,Insumos!C:C),""),"Inserir Preço")</f>
        <v/>
      </c>
      <c r="X1825" s="235" t="str">
        <f t="shared" ca="1" si="1509"/>
        <v/>
      </c>
      <c r="Y1825" s="236" t="str">
        <f t="shared" si="1477"/>
        <v/>
      </c>
      <c r="Z1825" s="237">
        <f t="shared" ca="1" si="1501"/>
        <v>381.51692435999996</v>
      </c>
      <c r="AA1825" s="238"/>
      <c r="AB1825" s="233" t="str">
        <f>IF(B1825="insumo",_xlfn.XLOOKUP(S1825,Insumos!A:A,Insumos!D:D),"")</f>
        <v/>
      </c>
      <c r="AC1825" s="239">
        <f t="shared" ca="1" si="1502"/>
        <v>5.4732081167270066E-5</v>
      </c>
      <c r="AE1825" s="240">
        <f ca="1">IFERROR(IF(OR(Z1825="",Z1825=0),"",IF(AF1825="","",IF(AF1825="R$/mês",Z1825/OBRA!$D$12,IF(AF1825="R$/m²",Z1825/OBRA!$D$10,IF(AF1825="R$/apto",Orçamento!Z1825/OBRA!$D$11,""))))),"")</f>
        <v>0.19633132689388286</v>
      </c>
      <c r="AF1825" s="241" t="s">
        <v>154</v>
      </c>
    </row>
    <row r="1826" spans="1:32" s="10" customFormat="1" ht="13.15" hidden="1" customHeight="1" outlineLevel="4" x14ac:dyDescent="0.2">
      <c r="A1826" s="227"/>
      <c r="B1826" s="228" t="s">
        <v>4</v>
      </c>
      <c r="C1826" s="229">
        <f t="shared" si="1500"/>
        <v>5</v>
      </c>
      <c r="D1826" s="227" t="str">
        <f ca="1">IF(B1826="Unidade Construtiva",TEXT(F1826,"00"),IF(B1826="Célula Construtiva",TEXT(H1826,"00"),IF(B1826="Etapa",CONCATENATE(TEXT(H1826,"00"),".",TEXT(J1826,"000")),IF(B1826="Subetapa",CONCATENATE(TEXT(H1826,"00"),".",TEXT(J1826,"000"),".",TEXT(L1826,"000")),IF(B1826="Serviço",CONCATENATE(TEXT(H1826,"00"),".",TEXT(J1826,"000"),".",TEXT(L1826,"000"),".",TEXT(N1826,"000")),"")))))</f>
        <v>16.005.003.001</v>
      </c>
      <c r="E1826" s="228" t="str">
        <f ca="1">IF(B1826="*","",IFERROR(IF(B1826="SERVIÇO",D1826,OFFSET(E1826,-1,0)),""))</f>
        <v>16.005.003.001</v>
      </c>
      <c r="F1826" s="230">
        <f ca="1">IF($B1826="UNIDADE CONSTRUTIVA",OFFSET(F1826,-1,0)+1,LARGE(F$10:F1825,1))</f>
        <v>2</v>
      </c>
      <c r="G1826" s="228" t="str">
        <f t="shared" ca="1" si="1503"/>
        <v xml:space="preserve">   GERENCIAMENTO EXECUTIVO</v>
      </c>
      <c r="H1826" s="230">
        <f ca="1">IF(B1826="UNIDADE CONSTRUTIVA",0,IF(B1826="CÉLULA CONSTRUTIVA",OFFSET(H1826,-1,0)+1,OFFSET(H1826,-1,0)))</f>
        <v>16</v>
      </c>
      <c r="I1826" s="228" t="str">
        <f t="shared" ca="1" si="1504"/>
        <v xml:space="preserve">   SISTEMAS DE PINTURA INTERNA</v>
      </c>
      <c r="J1826" s="230">
        <f ca="1">IF(B1826="CÉLULA CONSTRUTIVA",0,IF(B1826="ETAPA",OFFSET(J1826,-1,0)+1,OFFSET(J1826,-1,0)))</f>
        <v>5</v>
      </c>
      <c r="K1826" s="228" t="str">
        <f t="shared" ca="1" si="1505"/>
        <v xml:space="preserve">   SISTEMAS DE PINTURA INTERNA - BARRILETE / CAIXA DÁGUA / CASA DE MÁQUINAS</v>
      </c>
      <c r="L1826" s="231">
        <f ca="1">IF(B1826="ETAPA",0,IF(B1826="SUBETAPA",OFFSET(L1826,-1,0)+1,OFFSET(L1826,-1,0)))</f>
        <v>3</v>
      </c>
      <c r="M1826" s="228" t="str">
        <f t="shared" ca="1" si="1506"/>
        <v xml:space="preserve">   Sistemas de Pintura Interna em Teto</v>
      </c>
      <c r="N1826" s="231">
        <f ca="1">IF(B1826="Subetapa",0,IF(B1826="serviço",OFFSET(N1826,-1,0)+1,OFFSET(N1826,-1,0)))</f>
        <v>1</v>
      </c>
      <c r="O1826" s="228" t="str">
        <f t="shared" ca="1" si="1507"/>
        <v>Pintura com tinta latex acrilica, acabamento fosco em teto, 3 demaos</v>
      </c>
      <c r="P1826" s="232" t="str">
        <f>IF(S1826="","",IF(Orçamento!$B1826="INSUMO",S1826,""))</f>
        <v/>
      </c>
      <c r="Q1826" s="244" t="str">
        <f t="shared" si="1510"/>
        <v>Pintura com tinta latex acrilica, acabamento fosco em teto, 3 demaos</v>
      </c>
      <c r="R1826" s="234">
        <f t="shared" ca="1" si="1508"/>
        <v>24.18</v>
      </c>
      <c r="S1826" s="233" t="s">
        <v>501</v>
      </c>
      <c r="T1826" s="242" t="s">
        <v>140</v>
      </c>
      <c r="U1826" s="235">
        <v>24.18</v>
      </c>
      <c r="V1826" s="320" t="s">
        <v>35</v>
      </c>
      <c r="W1826" s="236" t="str">
        <f>IFERROR(IF(B1826="INSUMO",_xlfn.XLOOKUP(S1826,Insumos!A:A,Insumos!C:C),""),"Inserir Preço")</f>
        <v/>
      </c>
      <c r="X1826" s="235">
        <f t="shared" ca="1" si="1509"/>
        <v>24.18</v>
      </c>
      <c r="Y1826" s="236">
        <f t="shared" ca="1" si="1477"/>
        <v>15.778202000000002</v>
      </c>
      <c r="Z1826" s="237">
        <f t="shared" ca="1" si="1501"/>
        <v>381.51692436000002</v>
      </c>
      <c r="AA1826" s="238"/>
      <c r="AB1826" s="233" t="str">
        <f>IF(B1826="insumo",_xlfn.XLOOKUP(S1826,Insumos!A:A,Insumos!D:D),"")</f>
        <v/>
      </c>
      <c r="AC1826" s="239">
        <f t="shared" ca="1" si="1502"/>
        <v>5.473208116727008E-5</v>
      </c>
      <c r="AE1826" s="240">
        <f ca="1">IFERROR(IF(OR(Z1826="",Z1826=0),"",IF(AF1826="","",IF(AF1826="R$/mês",Z1826/OBRA!$D$12,IF(AF1826="R$/m²",Z1826/OBRA!$D$10,IF(AF1826="R$/apto",Orçamento!Z1826/OBRA!$D$11,""))))),"")</f>
        <v>0.19633132689388288</v>
      </c>
      <c r="AF1826" s="241" t="s">
        <v>154</v>
      </c>
    </row>
    <row r="1827" spans="1:32" s="10" customFormat="1" ht="13.15" hidden="1" customHeight="1" outlineLevel="4" x14ac:dyDescent="0.2">
      <c r="A1827" s="227"/>
      <c r="B1827" s="228" t="s">
        <v>19</v>
      </c>
      <c r="C1827" s="229">
        <f t="shared" si="1500"/>
        <v>12</v>
      </c>
      <c r="D1827" s="227" t="str">
        <f>IF(B1827="Unidade Construtiva",TEXT(F1827,"00"),IF(B1827="Célula Construtiva",TEXT(H1827,"00"),IF(B1827="Etapa",CONCATENATE(TEXT(H1827,"00"),".",TEXT(J1827,"000")),IF(B1827="Subetapa",CONCATENATE(TEXT(H1827,"00"),".",TEXT(J1827,"000"),".",TEXT(L1827,"000")),IF(B1827="Serviço",CONCATENATE(TEXT(H1827,"00"),".",TEXT(J1827,"000"),".",TEXT(L1827,"000"),".",TEXT(N1827,"000")),"")))))</f>
        <v/>
      </c>
      <c r="E1827" s="228" t="str">
        <f ca="1">IF(B1827="*","",IFERROR(IF(B1827="SERVIÇO",D1827,OFFSET(E1827,-1,0)),""))</f>
        <v>16.005.003.001</v>
      </c>
      <c r="F1827" s="230">
        <f ca="1">IF($B1827="UNIDADE CONSTRUTIVA",OFFSET(F1827,-1,0)+1,LARGE(F$10:F1826,1))</f>
        <v>2</v>
      </c>
      <c r="G1827" s="228" t="str">
        <f ca="1">IF(B1827="*","",IF(B1827="UNIDADE CONSTRUTIVA",S1827,OFFSET(G1827,-1,0)))</f>
        <v xml:space="preserve">   GERENCIAMENTO EXECUTIVO</v>
      </c>
      <c r="H1827" s="230">
        <f ca="1">IF(B1827="UNIDADE CONSTRUTIVA",0,IF(B1827="CÉLULA CONSTRUTIVA",OFFSET(H1827,-1,0)+1,OFFSET(H1827,-1,0)))</f>
        <v>16</v>
      </c>
      <c r="I1827" s="228" t="str">
        <f ca="1">IF(B1827="*","",IF(B1827="CÉLULA CONSTRUTIVA",S1827,OFFSET(I1827,-1,0)))</f>
        <v xml:space="preserve">   SISTEMAS DE PINTURA INTERNA</v>
      </c>
      <c r="J1827" s="230">
        <f ca="1">IF(B1827="CÉLULA CONSTRUTIVA",0,IF(B1827="ETAPA",OFFSET(J1827,-1,0)+1,OFFSET(J1827,-1,0)))</f>
        <v>5</v>
      </c>
      <c r="K1827" s="228" t="str">
        <f ca="1">IF(B1827="*","",IF(B1827="ETAPA",S1827,OFFSET(K1827,-1,0)))</f>
        <v xml:space="preserve">   SISTEMAS DE PINTURA INTERNA - BARRILETE / CAIXA DÁGUA / CASA DE MÁQUINAS</v>
      </c>
      <c r="L1827" s="231">
        <f ca="1">IF(B1827="ETAPA",0,IF(B1827="SUBETAPA",OFFSET(L1827,-1,0)+1,OFFSET(L1827,-1,0)))</f>
        <v>3</v>
      </c>
      <c r="M1827" s="228" t="str">
        <f ca="1">IF(B1827="*","",IF(B1827="SUBETAPA",S1827,OFFSET(M1827,-1,0)))</f>
        <v xml:space="preserve">   Sistemas de Pintura Interna em Teto</v>
      </c>
      <c r="N1827" s="231">
        <f ca="1">IF(B1827="Subetapa",0,IF(B1827="serviço",OFFSET(N1827,-1,0)+1,OFFSET(N1827,-1,0)))</f>
        <v>1</v>
      </c>
      <c r="O1827" s="228" t="str">
        <f ca="1">IF(B1827="*","",IF(B1827="SERVIÇO",S1827,OFFSET(O1827,-1,0)))</f>
        <v>Pintura com tinta latex acrilica, acabamento fosco em teto, 3 demaos</v>
      </c>
      <c r="P1827" s="232" t="str">
        <f>IF(S1827="","",IF(Orçamento!$B1827="INSUMO",S1827,""))</f>
        <v>MASSA CORRIDA PVA</v>
      </c>
      <c r="Q1827" s="244" t="str">
        <f>IF(B1827="","",IF(B1827="Serviço",S1827,""))</f>
        <v/>
      </c>
      <c r="R1827" s="234">
        <f ca="1">IF(B1827="serviço",U1827,OFFSET(R1827,-1,0))</f>
        <v>24.18</v>
      </c>
      <c r="S1827" s="233" t="s">
        <v>338</v>
      </c>
      <c r="T1827" s="242" t="str">
        <f>_xlfn.XLOOKUP(S1827,Insumos!$A$3:$A$371,Insumos!$B$3:$B$371)</f>
        <v>L</v>
      </c>
      <c r="U1827" s="235">
        <f ca="1">IF($B1827="insumo",R1827,"")</f>
        <v>24.18</v>
      </c>
      <c r="V1827" s="320">
        <v>0.88019999999999998</v>
      </c>
      <c r="W1827" s="236">
        <f>IFERROR(IF(B1827="INSUMO",_xlfn.XLOOKUP(S1827,Insumos!A:A,Insumos!C:C),""),"Inserir Preço")</f>
        <v>1.26</v>
      </c>
      <c r="X1827" s="235">
        <f t="shared" ca="1" si="1509"/>
        <v>21.283235999999999</v>
      </c>
      <c r="Y1827" s="236">
        <f t="shared" si="1477"/>
        <v>1.1090519999999999</v>
      </c>
      <c r="Z1827" s="237">
        <f t="shared" ca="1" si="1501"/>
        <v>26.816877359999999</v>
      </c>
      <c r="AA1827" s="238"/>
      <c r="AB1827" s="233" t="str">
        <f>IF(B1827="insumo",_xlfn.XLOOKUP(S1827,Insumos!A:A,Insumos!D:D),"")</f>
        <v xml:space="preserve"> </v>
      </c>
      <c r="AC1827" s="239">
        <f t="shared" ca="1" si="1502"/>
        <v>3.8471255522475381E-6</v>
      </c>
      <c r="AE1827" s="240">
        <f ca="1">IFERROR(IF(OR(Z1827="",Z1827=0),"",IF(AF1827="","",IF(AF1827="R$/mês",Z1827/OBRA!$D$12,IF(AF1827="R$/m²",Z1827/OBRA!$D$10,IF(AF1827="R$/apto",Orçamento!Z1827/OBRA!$D$11,""))))),"")</f>
        <v>1.3800156111216891E-2</v>
      </c>
      <c r="AF1827" s="241" t="s">
        <v>154</v>
      </c>
    </row>
    <row r="1828" spans="1:32" s="10" customFormat="1" ht="13.15" hidden="1" customHeight="1" outlineLevel="4" x14ac:dyDescent="0.2">
      <c r="A1828" s="227"/>
      <c r="B1828" s="228" t="s">
        <v>19</v>
      </c>
      <c r="C1828" s="229">
        <f t="shared" si="1500"/>
        <v>19</v>
      </c>
      <c r="D1828" s="227" t="str">
        <f>IF(B1828="Unidade Construtiva",TEXT(F1828,"00"),IF(B1828="Célula Construtiva",TEXT(H1828,"00"),IF(B1828="Etapa",CONCATENATE(TEXT(H1828,"00"),".",TEXT(J1828,"000")),IF(B1828="Subetapa",CONCATENATE(TEXT(H1828,"00"),".",TEXT(J1828,"000"),".",TEXT(L1828,"000")),IF(B1828="Serviço",CONCATENATE(TEXT(H1828,"00"),".",TEXT(J1828,"000"),".",TEXT(L1828,"000"),".",TEXT(N1828,"000")),"")))))</f>
        <v/>
      </c>
      <c r="E1828" s="228" t="str">
        <f ca="1">IF(B1828="*","",IFERROR(IF(B1828="SERVIÇO",D1828,OFFSET(E1828,-1,0)),""))</f>
        <v>16.005.003.001</v>
      </c>
      <c r="F1828" s="230">
        <f ca="1">IF($B1828="UNIDADE CONSTRUTIVA",OFFSET(F1828,-1,0)+1,LARGE(F$10:F1827,1))</f>
        <v>2</v>
      </c>
      <c r="G1828" s="228" t="str">
        <f ca="1">IF(B1828="*","",IF(B1828="UNIDADE CONSTRUTIVA",S1828,OFFSET(G1828,-1,0)))</f>
        <v xml:space="preserve">   GERENCIAMENTO EXECUTIVO</v>
      </c>
      <c r="H1828" s="230">
        <f ca="1">IF(B1828="UNIDADE CONSTRUTIVA",0,IF(B1828="CÉLULA CONSTRUTIVA",OFFSET(H1828,-1,0)+1,OFFSET(H1828,-1,0)))</f>
        <v>16</v>
      </c>
      <c r="I1828" s="228" t="str">
        <f ca="1">IF(B1828="*","",IF(B1828="CÉLULA CONSTRUTIVA",S1828,OFFSET(I1828,-1,0)))</f>
        <v xml:space="preserve">   SISTEMAS DE PINTURA INTERNA</v>
      </c>
      <c r="J1828" s="230">
        <f ca="1">IF(B1828="CÉLULA CONSTRUTIVA",0,IF(B1828="ETAPA",OFFSET(J1828,-1,0)+1,OFFSET(J1828,-1,0)))</f>
        <v>5</v>
      </c>
      <c r="K1828" s="228" t="str">
        <f ca="1">IF(B1828="*","",IF(B1828="ETAPA",S1828,OFFSET(K1828,-1,0)))</f>
        <v xml:space="preserve">   SISTEMAS DE PINTURA INTERNA - BARRILETE / CAIXA DÁGUA / CASA DE MÁQUINAS</v>
      </c>
      <c r="L1828" s="231">
        <f ca="1">IF(B1828="ETAPA",0,IF(B1828="SUBETAPA",OFFSET(L1828,-1,0)+1,OFFSET(L1828,-1,0)))</f>
        <v>3</v>
      </c>
      <c r="M1828" s="228" t="str">
        <f ca="1">IF(B1828="*","",IF(B1828="SUBETAPA",S1828,OFFSET(M1828,-1,0)))</f>
        <v xml:space="preserve">   Sistemas de Pintura Interna em Teto</v>
      </c>
      <c r="N1828" s="231">
        <f ca="1">IF(B1828="Subetapa",0,IF(B1828="serviço",OFFSET(N1828,-1,0)+1,OFFSET(N1828,-1,0)))</f>
        <v>1</v>
      </c>
      <c r="O1828" s="228" t="str">
        <f ca="1">IF(B1828="*","",IF(B1828="SERVIÇO",S1828,OFFSET(O1828,-1,0)))</f>
        <v>Pintura com tinta latex acrilica, acabamento fosco em teto, 3 demaos</v>
      </c>
      <c r="P1828" s="232" t="str">
        <f>IF(S1828="","",IF(Orçamento!$B1828="INSUMO",S1828,""))</f>
        <v>LIXA EM FOLHA PARA PAREDE OU MADEIRA N° 120</v>
      </c>
      <c r="Q1828" s="244" t="str">
        <f>IF(B1828="","",IF(B1828="Serviço",S1828,""))</f>
        <v/>
      </c>
      <c r="R1828" s="234">
        <f ca="1">IF(B1828="serviço",U1828,OFFSET(R1828,-1,0))</f>
        <v>24.18</v>
      </c>
      <c r="S1828" s="233" t="s">
        <v>922</v>
      </c>
      <c r="T1828" s="242" t="str">
        <f>_xlfn.XLOOKUP(S1828,Insumos!$A$3:$A$371,Insumos!$B$3:$B$371)</f>
        <v>UN</v>
      </c>
      <c r="U1828" s="235">
        <f ca="1">IF($B1828="insumo",R1828,"")</f>
        <v>24.18</v>
      </c>
      <c r="V1828" s="320">
        <v>0.1</v>
      </c>
      <c r="W1828" s="236">
        <f>IFERROR(IF(B1828="INSUMO",_xlfn.XLOOKUP(S1828,Insumos!A:A,Insumos!C:C),""),"Inserir Preço")</f>
        <v>2.2999999999999998</v>
      </c>
      <c r="X1828" s="235">
        <f t="shared" ca="1" si="1509"/>
        <v>2.4180000000000001</v>
      </c>
      <c r="Y1828" s="236">
        <f t="shared" si="1477"/>
        <v>0.22999999999999998</v>
      </c>
      <c r="Z1828" s="237">
        <f t="shared" ca="1" si="1501"/>
        <v>5.5613999999999999</v>
      </c>
      <c r="AA1828" s="238"/>
      <c r="AB1828" s="233" t="str">
        <f>IF(B1828="insumo",_xlfn.XLOOKUP(S1828,Insumos!A:A,Insumos!D:D),"")</f>
        <v xml:space="preserve"> </v>
      </c>
      <c r="AC1828" s="239">
        <f t="shared" ca="1" si="1502"/>
        <v>7.978335344212298E-7</v>
      </c>
      <c r="AE1828" s="240">
        <f ca="1">IFERROR(IF(OR(Z1828="",Z1828=0),"",IF(AF1828="","",IF(AF1828="R$/mês",Z1828/OBRA!$D$12,IF(AF1828="R$/m²",Z1828/OBRA!$D$10,IF(AF1828="R$/apto",Orçamento!Z1828/OBRA!$D$11,""))))),"")</f>
        <v>2.8619360549188722E-3</v>
      </c>
      <c r="AF1828" s="241" t="s">
        <v>154</v>
      </c>
    </row>
    <row r="1829" spans="1:32" s="10" customFormat="1" ht="13.15" hidden="1" customHeight="1" outlineLevel="4" x14ac:dyDescent="0.2">
      <c r="A1829" s="227"/>
      <c r="B1829" s="228" t="s">
        <v>19</v>
      </c>
      <c r="C1829" s="229">
        <f t="shared" si="1500"/>
        <v>13</v>
      </c>
      <c r="D1829" s="227" t="str">
        <f>IF(B1829="Unidade Construtiva",TEXT(F1829,"00"),IF(B1829="Célula Construtiva",TEXT(H1829,"00"),IF(B1829="Etapa",CONCATENATE(TEXT(H1829,"00"),".",TEXT(J1829,"000")),IF(B1829="Subetapa",CONCATENATE(TEXT(H1829,"00"),".",TEXT(J1829,"000"),".",TEXT(L1829,"000")),IF(B1829="Serviço",CONCATENATE(TEXT(H1829,"00"),".",TEXT(J1829,"000"),".",TEXT(L1829,"000"),".",TEXT(N1829,"000")),"")))))</f>
        <v/>
      </c>
      <c r="E1829" s="228" t="str">
        <f ca="1">IF(B1829="*","",IFERROR(IF(B1829="SERVIÇO",D1829,OFFSET(E1829,-1,0)),""))</f>
        <v>16.005.003.001</v>
      </c>
      <c r="F1829" s="230">
        <f ca="1">IF($B1829="UNIDADE CONSTRUTIVA",OFFSET(F1829,-1,0)+1,LARGE(F$10:F1828,1))</f>
        <v>2</v>
      </c>
      <c r="G1829" s="228" t="str">
        <f ca="1">IF(B1829="*","",IF(B1829="UNIDADE CONSTRUTIVA",S1829,OFFSET(G1829,-1,0)))</f>
        <v xml:space="preserve">   GERENCIAMENTO EXECUTIVO</v>
      </c>
      <c r="H1829" s="230">
        <f ca="1">IF(B1829="UNIDADE CONSTRUTIVA",0,IF(B1829="CÉLULA CONSTRUTIVA",OFFSET(H1829,-1,0)+1,OFFSET(H1829,-1,0)))</f>
        <v>16</v>
      </c>
      <c r="I1829" s="228" t="str">
        <f ca="1">IF(B1829="*","",IF(B1829="CÉLULA CONSTRUTIVA",S1829,OFFSET(I1829,-1,0)))</f>
        <v xml:space="preserve">   SISTEMAS DE PINTURA INTERNA</v>
      </c>
      <c r="J1829" s="230">
        <f ca="1">IF(B1829="CÉLULA CONSTRUTIVA",0,IF(B1829="ETAPA",OFFSET(J1829,-1,0)+1,OFFSET(J1829,-1,0)))</f>
        <v>5</v>
      </c>
      <c r="K1829" s="228" t="str">
        <f ca="1">IF(B1829="*","",IF(B1829="ETAPA",S1829,OFFSET(K1829,-1,0)))</f>
        <v xml:space="preserve">   SISTEMAS DE PINTURA INTERNA - BARRILETE / CAIXA DÁGUA / CASA DE MÁQUINAS</v>
      </c>
      <c r="L1829" s="231">
        <f ca="1">IF(B1829="ETAPA",0,IF(B1829="SUBETAPA",OFFSET(L1829,-1,0)+1,OFFSET(L1829,-1,0)))</f>
        <v>3</v>
      </c>
      <c r="M1829" s="228" t="str">
        <f ca="1">IF(B1829="*","",IF(B1829="SUBETAPA",S1829,OFFSET(M1829,-1,0)))</f>
        <v xml:space="preserve">   Sistemas de Pintura Interna em Teto</v>
      </c>
      <c r="N1829" s="231">
        <f ca="1">IF(B1829="Subetapa",0,IF(B1829="serviço",OFFSET(N1829,-1,0)+1,OFFSET(N1829,-1,0)))</f>
        <v>1</v>
      </c>
      <c r="O1829" s="228" t="str">
        <f ca="1">IF(B1829="*","",IF(B1829="SERVIÇO",S1829,OFFSET(O1829,-1,0)))</f>
        <v>Pintura com tinta latex acrilica, acabamento fosco em teto, 3 demaos</v>
      </c>
      <c r="P1829" s="232" t="str">
        <f>IF(S1829="","",IF(Orçamento!$B1829="INSUMO",S1829,""))</f>
        <v>TINTA ACRILICO PREMIUM FOSCO</v>
      </c>
      <c r="Q1829" s="244" t="str">
        <f>IF(B1829="","",IF(B1829="Serviço",S1829,""))</f>
        <v/>
      </c>
      <c r="R1829" s="234">
        <f ca="1">IF(B1829="serviço",U1829,OFFSET(R1829,-1,0))</f>
        <v>24.18</v>
      </c>
      <c r="S1829" s="233" t="s">
        <v>264</v>
      </c>
      <c r="T1829" s="242" t="str">
        <f>_xlfn.XLOOKUP(S1829,Insumos!$A$3:$A$371,Insumos!$B$3:$B$371)</f>
        <v>L</v>
      </c>
      <c r="U1829" s="235">
        <f ca="1">IF($B1829="insumo",R1829,"")</f>
        <v>24.18</v>
      </c>
      <c r="V1829" s="320">
        <v>0.495</v>
      </c>
      <c r="W1829" s="236">
        <f>IFERROR(IF(B1829="INSUMO",_xlfn.XLOOKUP(S1829,Insumos!A:A,Insumos!C:C),""),"Inserir Preço")</f>
        <v>29.17</v>
      </c>
      <c r="X1829" s="235">
        <f t="shared" ca="1" si="1509"/>
        <v>11.969099999999999</v>
      </c>
      <c r="Y1829" s="236">
        <f t="shared" si="1477"/>
        <v>14.439150000000001</v>
      </c>
      <c r="Z1829" s="237">
        <f t="shared" ca="1" si="1501"/>
        <v>349.13864699999999</v>
      </c>
      <c r="AA1829" s="238"/>
      <c r="AB1829" s="233" t="str">
        <f>IF(B1829="insumo",_xlfn.XLOOKUP(S1829,Insumos!A:A,Insumos!D:D),"")</f>
        <v xml:space="preserve"> </v>
      </c>
      <c r="AC1829" s="239">
        <f t="shared" ca="1" si="1502"/>
        <v>5.0087122080601308E-5</v>
      </c>
      <c r="AE1829" s="240">
        <f ca="1">IFERROR(IF(OR(Z1829="",Z1829=0),"",IF(AF1829="","",IF(AF1829="R$/mês",Z1829/OBRA!$D$12,IF(AF1829="R$/m²",Z1829/OBRA!$D$10,IF(AF1829="R$/apto",Orçamento!Z1829/OBRA!$D$11,""))))),"")</f>
        <v>0.1796692347277471</v>
      </c>
      <c r="AF1829" s="241" t="s">
        <v>154</v>
      </c>
    </row>
    <row r="1830" spans="1:32" s="10" customFormat="1" ht="13.15" hidden="1" customHeight="1" outlineLevel="3" collapsed="1" x14ac:dyDescent="0.2">
      <c r="A1830" s="227"/>
      <c r="B1830" s="228" t="s">
        <v>3</v>
      </c>
      <c r="C1830" s="229" t="str">
        <f t="shared" si="1500"/>
        <v/>
      </c>
      <c r="D1830" s="227" t="str">
        <f t="shared" ca="1" si="1494"/>
        <v>16.005.004</v>
      </c>
      <c r="E1830" s="228" t="str">
        <f t="shared" ca="1" si="1495"/>
        <v>16.005.003.001</v>
      </c>
      <c r="F1830" s="230">
        <f ca="1">IF($B1830="UNIDADE CONSTRUTIVA",OFFSET(F1830,-1,0)+1,LARGE(F$10:F1829,1))</f>
        <v>2</v>
      </c>
      <c r="G1830" s="228" t="str">
        <f t="shared" ca="1" si="1503"/>
        <v xml:space="preserve">   GERENCIAMENTO EXECUTIVO</v>
      </c>
      <c r="H1830" s="230">
        <f t="shared" ca="1" si="1496"/>
        <v>16</v>
      </c>
      <c r="I1830" s="228" t="str">
        <f t="shared" ca="1" si="1504"/>
        <v xml:space="preserve">   SISTEMAS DE PINTURA INTERNA</v>
      </c>
      <c r="J1830" s="230">
        <f t="shared" ca="1" si="1497"/>
        <v>5</v>
      </c>
      <c r="K1830" s="228" t="str">
        <f t="shared" ca="1" si="1505"/>
        <v xml:space="preserve">   SISTEMAS DE PINTURA INTERNA - BARRILETE / CAIXA DÁGUA / CASA DE MÁQUINAS</v>
      </c>
      <c r="L1830" s="231">
        <f t="shared" ca="1" si="1498"/>
        <v>4</v>
      </c>
      <c r="M1830" s="228" t="str">
        <f t="shared" ca="1" si="1506"/>
        <v xml:space="preserve">   Mão de Obra</v>
      </c>
      <c r="N1830" s="231">
        <f t="shared" ca="1" si="1499"/>
        <v>0</v>
      </c>
      <c r="O1830" s="228" t="str">
        <f t="shared" ca="1" si="1507"/>
        <v>Pintura com tinta latex acrilica, acabamento fosco em teto, 3 demaos</v>
      </c>
      <c r="P1830" s="232" t="str">
        <f>IF(S1830="","",IF(Orçamento!$B1830="INSUMO",S1830,""))</f>
        <v/>
      </c>
      <c r="Q1830" s="244" t="str">
        <f t="shared" si="1510"/>
        <v/>
      </c>
      <c r="R1830" s="234">
        <f t="shared" ca="1" si="1508"/>
        <v>24.18</v>
      </c>
      <c r="S1830" s="233" t="s">
        <v>438</v>
      </c>
      <c r="T1830" s="242" t="s">
        <v>35</v>
      </c>
      <c r="U1830" s="235" t="str">
        <f>IF($B1830="insumo",R1830,"")</f>
        <v/>
      </c>
      <c r="V1830" s="320" t="s">
        <v>35</v>
      </c>
      <c r="W1830" s="236" t="str">
        <f>IFERROR(IF(B1830="INSUMO",_xlfn.XLOOKUP(S1830,Insumos!A:A,Insumos!C:C),""),"Inserir Preço")</f>
        <v/>
      </c>
      <c r="X1830" s="235" t="str">
        <f t="shared" ca="1" si="1509"/>
        <v/>
      </c>
      <c r="Y1830" s="236" t="str">
        <f t="shared" si="1477"/>
        <v/>
      </c>
      <c r="Z1830" s="237">
        <f t="shared" ca="1" si="1501"/>
        <v>10668.600239925576</v>
      </c>
      <c r="AA1830" s="238"/>
      <c r="AB1830" s="233" t="str">
        <f>IF(B1830="insumo",_xlfn.XLOOKUP(S1830,Insumos!A:A,Insumos!D:D),"")</f>
        <v/>
      </c>
      <c r="AC1830" s="239">
        <f t="shared" ca="1" si="1502"/>
        <v>1.530507972227677E-3</v>
      </c>
      <c r="AE1830" s="240">
        <f ca="1">IFERROR(IF(OR(Z1830="",Z1830=0),"",IF(AF1830="","",IF(AF1830="R$/mês",Z1830/OBRA!$D$12,IF(AF1830="R$/m²",Z1830/OBRA!$D$10,IF(AF1830="R$/apto",Orçamento!Z1830/OBRA!$D$11,""))))),"")</f>
        <v>5.4901376779514397</v>
      </c>
      <c r="AF1830" s="241" t="s">
        <v>154</v>
      </c>
    </row>
    <row r="1831" spans="1:32" s="10" customFormat="1" ht="13.15" hidden="1" customHeight="1" outlineLevel="4" x14ac:dyDescent="0.2">
      <c r="A1831" s="227"/>
      <c r="B1831" s="228" t="s">
        <v>4</v>
      </c>
      <c r="C1831" s="229">
        <f t="shared" si="1500"/>
        <v>2</v>
      </c>
      <c r="D1831" s="227" t="str">
        <f t="shared" ref="D1831:D1836" ca="1" si="1511">IF(B1831="Unidade Construtiva",TEXT(F1831,"00"),IF(B1831="Célula Construtiva",TEXT(H1831,"00"),IF(B1831="Etapa",CONCATENATE(TEXT(H1831,"00"),".",TEXT(J1831,"000")),IF(B1831="Subetapa",CONCATENATE(TEXT(H1831,"00"),".",TEXT(J1831,"000"),".",TEXT(L1831,"000")),IF(B1831="Serviço",CONCATENATE(TEXT(H1831,"00"),".",TEXT(J1831,"000"),".",TEXT(L1831,"000"),".",TEXT(N1831,"000")),"")))))</f>
        <v>16.005.004.001</v>
      </c>
      <c r="E1831" s="228" t="str">
        <f t="shared" ref="E1831:E1836" ca="1" si="1512">IF(B1831="*","",IFERROR(IF(B1831="SERVIÇO",D1831,OFFSET(E1831,-1,0)),""))</f>
        <v>16.005.004.001</v>
      </c>
      <c r="F1831" s="230">
        <f ca="1">IF($B1831="UNIDADE CONSTRUTIVA",OFFSET(F1831,-1,0)+1,LARGE(F$10:F1830,1))</f>
        <v>2</v>
      </c>
      <c r="G1831" s="228" t="str">
        <f t="shared" ca="1" si="1503"/>
        <v xml:space="preserve">   GERENCIAMENTO EXECUTIVO</v>
      </c>
      <c r="H1831" s="230">
        <f t="shared" ref="H1831:H1836" ca="1" si="1513">IF(B1831="UNIDADE CONSTRUTIVA",0,IF(B1831="CÉLULA CONSTRUTIVA",OFFSET(H1831,-1,0)+1,OFFSET(H1831,-1,0)))</f>
        <v>16</v>
      </c>
      <c r="I1831" s="228" t="str">
        <f t="shared" ca="1" si="1504"/>
        <v xml:space="preserve">   SISTEMAS DE PINTURA INTERNA</v>
      </c>
      <c r="J1831" s="230">
        <f t="shared" ref="J1831:J1836" ca="1" si="1514">IF(B1831="CÉLULA CONSTRUTIVA",0,IF(B1831="ETAPA",OFFSET(J1831,-1,0)+1,OFFSET(J1831,-1,0)))</f>
        <v>5</v>
      </c>
      <c r="K1831" s="228" t="str">
        <f t="shared" ca="1" si="1505"/>
        <v xml:space="preserve">   SISTEMAS DE PINTURA INTERNA - BARRILETE / CAIXA DÁGUA / CASA DE MÁQUINAS</v>
      </c>
      <c r="L1831" s="231">
        <f t="shared" ref="L1831:L1836" ca="1" si="1515">IF(B1831="ETAPA",0,IF(B1831="SUBETAPA",OFFSET(L1831,-1,0)+1,OFFSET(L1831,-1,0)))</f>
        <v>4</v>
      </c>
      <c r="M1831" s="228" t="str">
        <f t="shared" ca="1" si="1506"/>
        <v xml:space="preserve">   Mão de Obra</v>
      </c>
      <c r="N1831" s="231">
        <f t="shared" ref="N1831:N1836" ca="1" si="1516">IF(B1831="Subetapa",0,IF(B1831="serviço",OFFSET(N1831,-1,0)+1,OFFSET(N1831,-1,0)))</f>
        <v>1</v>
      </c>
      <c r="O1831" s="228" t="str">
        <f t="shared" ca="1" si="1507"/>
        <v>Mao de obra - para pintura acrilica em piso</v>
      </c>
      <c r="P1831" s="232" t="str">
        <f>IF(S1831="","",IF(Orçamento!$B1831="INSUMO",S1831,""))</f>
        <v/>
      </c>
      <c r="Q1831" s="244" t="str">
        <f t="shared" si="1510"/>
        <v>Mao de obra - para pintura acrilica em piso</v>
      </c>
      <c r="R1831" s="234">
        <f t="shared" ca="1" si="1508"/>
        <v>9.6318000000000001</v>
      </c>
      <c r="S1831" s="233" t="s">
        <v>1178</v>
      </c>
      <c r="T1831" s="242" t="s">
        <v>140</v>
      </c>
      <c r="U1831" s="235">
        <f>U1817</f>
        <v>9.6318000000000001</v>
      </c>
      <c r="V1831" s="320" t="s">
        <v>35</v>
      </c>
      <c r="W1831" s="236" t="str">
        <f>IFERROR(IF(B1831="INSUMO",_xlfn.XLOOKUP(S1831,Insumos!A:A,Insumos!C:C),""),"Inserir Preço")</f>
        <v/>
      </c>
      <c r="X1831" s="235">
        <f t="shared" ca="1" si="1509"/>
        <v>9.6318000000000001</v>
      </c>
      <c r="Y1831" s="236">
        <f t="shared" ca="1" si="1477"/>
        <v>44.956704738697304</v>
      </c>
      <c r="Z1831" s="237">
        <f t="shared" ca="1" si="1501"/>
        <v>433.01398870218469</v>
      </c>
      <c r="AA1831" s="238"/>
      <c r="AB1831" s="233" t="str">
        <f>IF(B1831="insumo",_xlfn.XLOOKUP(S1831,Insumos!A:A,Insumos!D:D),"")</f>
        <v/>
      </c>
      <c r="AC1831" s="239">
        <f t="shared" ca="1" si="1502"/>
        <v>6.2119804556424365E-5</v>
      </c>
      <c r="AE1831" s="240">
        <f ca="1">IFERROR(IF(OR(Z1831="",Z1831=0),"",IF(AF1831="","",IF(AF1831="R$/mês",Z1831/OBRA!$D$12,IF(AF1831="R$/m²",Z1831/OBRA!$D$10,IF(AF1831="R$/apto",Orçamento!Z1831/OBRA!$D$11,""))))),"")</f>
        <v>0.22283208302783752</v>
      </c>
      <c r="AF1831" s="241" t="s">
        <v>154</v>
      </c>
    </row>
    <row r="1832" spans="1:32" s="10" customFormat="1" ht="13.15" hidden="1" customHeight="1" outlineLevel="4" x14ac:dyDescent="0.2">
      <c r="A1832" s="227"/>
      <c r="B1832" s="228" t="s">
        <v>19</v>
      </c>
      <c r="C1832" s="229">
        <f t="shared" si="1500"/>
        <v>2</v>
      </c>
      <c r="D1832" s="227" t="str">
        <f t="shared" si="1511"/>
        <v/>
      </c>
      <c r="E1832" s="228" t="str">
        <f t="shared" ca="1" si="1512"/>
        <v>16.005.004.001</v>
      </c>
      <c r="F1832" s="230">
        <f ca="1">IF($B1832="UNIDADE CONSTRUTIVA",OFFSET(F1832,-1,0)+1,LARGE(F$10:F1831,1))</f>
        <v>2</v>
      </c>
      <c r="G1832" s="228" t="str">
        <f t="shared" ca="1" si="1503"/>
        <v xml:space="preserve">   GERENCIAMENTO EXECUTIVO</v>
      </c>
      <c r="H1832" s="230">
        <f t="shared" ca="1" si="1513"/>
        <v>16</v>
      </c>
      <c r="I1832" s="228" t="str">
        <f t="shared" ca="1" si="1504"/>
        <v xml:space="preserve">   SISTEMAS DE PINTURA INTERNA</v>
      </c>
      <c r="J1832" s="230">
        <f t="shared" ca="1" si="1514"/>
        <v>5</v>
      </c>
      <c r="K1832" s="228" t="str">
        <f t="shared" ca="1" si="1505"/>
        <v xml:space="preserve">   SISTEMAS DE PINTURA INTERNA - BARRILETE / CAIXA DÁGUA / CASA DE MÁQUINAS</v>
      </c>
      <c r="L1832" s="231">
        <f t="shared" ca="1" si="1515"/>
        <v>4</v>
      </c>
      <c r="M1832" s="228" t="str">
        <f t="shared" ca="1" si="1506"/>
        <v xml:space="preserve">   Mão de Obra</v>
      </c>
      <c r="N1832" s="231">
        <f t="shared" ca="1" si="1516"/>
        <v>1</v>
      </c>
      <c r="O1832" s="228" t="str">
        <f t="shared" ca="1" si="1507"/>
        <v>Mao de obra - para pintura acrilica em piso</v>
      </c>
      <c r="P1832" s="232" t="str">
        <f>IF(S1832="","",IF(Orçamento!$B1832="INSUMO",S1832,""))</f>
        <v>MAO DE OBRA PARA PINTURA ACRILICA EM PISO</v>
      </c>
      <c r="Q1832" s="244" t="str">
        <f t="shared" si="1510"/>
        <v/>
      </c>
      <c r="R1832" s="234">
        <f t="shared" ca="1" si="1508"/>
        <v>9.6318000000000001</v>
      </c>
      <c r="S1832" s="233" t="s">
        <v>349</v>
      </c>
      <c r="T1832" s="242" t="str">
        <f>_xlfn.XLOOKUP(S1832,Insumos!$A$3:$A$371,Insumos!$B$3:$B$371)</f>
        <v>M2</v>
      </c>
      <c r="U1832" s="235">
        <f ca="1">IF($B1832="insumo",R1832,"")</f>
        <v>9.6318000000000001</v>
      </c>
      <c r="V1832" s="320">
        <v>1</v>
      </c>
      <c r="W1832" s="236">
        <f>IFERROR(IF(B1832="INSUMO",_xlfn.XLOOKUP(S1832,Insumos!A:A,Insumos!C:C),""),"Inserir Preço")</f>
        <v>44.956704738697304</v>
      </c>
      <c r="X1832" s="235">
        <f t="shared" ca="1" si="1509"/>
        <v>9.6318000000000001</v>
      </c>
      <c r="Y1832" s="236">
        <f t="shared" ref="Y1832:Y1895" si="1517">IF(B1832="insumo",W1832*V1832,IF(B1832="serviço",SUMIFS(Y:Y,B:B,"insumo",E:E,E1832,I:I,I1832),""))</f>
        <v>44.956704738697304</v>
      </c>
      <c r="Z1832" s="237">
        <f t="shared" ca="1" si="1501"/>
        <v>433.01398870218469</v>
      </c>
      <c r="AA1832" s="238"/>
      <c r="AB1832" s="233" t="str">
        <f>IF(B1832="insumo",_xlfn.XLOOKUP(S1832,Insumos!A:A,Insumos!D:D),"")</f>
        <v>Aba Custo Serviços</v>
      </c>
      <c r="AC1832" s="239">
        <f t="shared" ca="1" si="1502"/>
        <v>6.2119804556424365E-5</v>
      </c>
      <c r="AE1832" s="240">
        <f ca="1">IFERROR(IF(OR(Z1832="",Z1832=0),"",IF(AF1832="","",IF(AF1832="R$/mês",Z1832/OBRA!$D$12,IF(AF1832="R$/m²",Z1832/OBRA!$D$10,IF(AF1832="R$/apto",Orçamento!Z1832/OBRA!$D$11,""))))),"")</f>
        <v>0.22283208302783752</v>
      </c>
      <c r="AF1832" s="241" t="s">
        <v>154</v>
      </c>
    </row>
    <row r="1833" spans="1:32" s="10" customFormat="1" ht="13.15" hidden="1" customHeight="1" outlineLevel="4" x14ac:dyDescent="0.2">
      <c r="A1833" s="227"/>
      <c r="B1833" s="228" t="s">
        <v>4</v>
      </c>
      <c r="C1833" s="229">
        <f t="shared" si="1500"/>
        <v>5</v>
      </c>
      <c r="D1833" s="227" t="str">
        <f t="shared" ca="1" si="1511"/>
        <v>16.005.004.002</v>
      </c>
      <c r="E1833" s="228" t="str">
        <f t="shared" ca="1" si="1512"/>
        <v>16.005.004.002</v>
      </c>
      <c r="F1833" s="230">
        <f ca="1">IF($B1833="UNIDADE CONSTRUTIVA",OFFSET(F1833,-1,0)+1,LARGE(F$10:F1832,1))</f>
        <v>2</v>
      </c>
      <c r="G1833" s="228" t="str">
        <f t="shared" ca="1" si="1503"/>
        <v xml:space="preserve">   GERENCIAMENTO EXECUTIVO</v>
      </c>
      <c r="H1833" s="230">
        <f t="shared" ca="1" si="1513"/>
        <v>16</v>
      </c>
      <c r="I1833" s="228" t="str">
        <f t="shared" ca="1" si="1504"/>
        <v xml:space="preserve">   SISTEMAS DE PINTURA INTERNA</v>
      </c>
      <c r="J1833" s="230">
        <f t="shared" ca="1" si="1514"/>
        <v>5</v>
      </c>
      <c r="K1833" s="228" t="str">
        <f t="shared" ca="1" si="1505"/>
        <v xml:space="preserve">   SISTEMAS DE PINTURA INTERNA - BARRILETE / CAIXA DÁGUA / CASA DE MÁQUINAS</v>
      </c>
      <c r="L1833" s="231">
        <f t="shared" ca="1" si="1515"/>
        <v>4</v>
      </c>
      <c r="M1833" s="228" t="str">
        <f t="shared" ca="1" si="1506"/>
        <v xml:space="preserve">   Mão de Obra</v>
      </c>
      <c r="N1833" s="231">
        <f t="shared" ca="1" si="1516"/>
        <v>2</v>
      </c>
      <c r="O1833" s="228" t="str">
        <f t="shared" ca="1" si="1507"/>
        <v>Mao de obra para pintura acrilica em paredes</v>
      </c>
      <c r="P1833" s="232" t="str">
        <f>IF(S1833="","",IF(Orçamento!$B1833="INSUMO",S1833,""))</f>
        <v/>
      </c>
      <c r="Q1833" s="244" t="str">
        <f t="shared" si="1510"/>
        <v>Mao de obra para pintura acrilica em paredes</v>
      </c>
      <c r="R1833" s="234">
        <f t="shared" ca="1" si="1508"/>
        <v>234.43</v>
      </c>
      <c r="S1833" s="233" t="s">
        <v>740</v>
      </c>
      <c r="T1833" s="242" t="s">
        <v>140</v>
      </c>
      <c r="U1833" s="235">
        <f>U1821</f>
        <v>234.43</v>
      </c>
      <c r="V1833" s="320" t="s">
        <v>35</v>
      </c>
      <c r="W1833" s="236" t="str">
        <f>IFERROR(IF(B1833="INSUMO",_xlfn.XLOOKUP(S1833,Insumos!A:A,Insumos!C:C),""),"Inserir Preço")</f>
        <v/>
      </c>
      <c r="X1833" s="235">
        <f t="shared" ca="1" si="1509"/>
        <v>234.43</v>
      </c>
      <c r="Y1833" s="236">
        <f t="shared" ca="1" si="1517"/>
        <v>38.187489622964783</v>
      </c>
      <c r="Z1833" s="237">
        <f t="shared" ca="1" si="1501"/>
        <v>8952.2931923116339</v>
      </c>
      <c r="AA1833" s="238"/>
      <c r="AB1833" s="233" t="str">
        <f>IF(B1833="insumo",_xlfn.XLOOKUP(S1833,Insumos!A:A,Insumos!D:D),"")</f>
        <v/>
      </c>
      <c r="AC1833" s="239">
        <f t="shared" ca="1" si="1502"/>
        <v>1.284288078325081E-3</v>
      </c>
      <c r="AE1833" s="240">
        <f ca="1">IFERROR(IF(OR(Z1833="",Z1833=0),"",IF(AF1833="","",IF(AF1833="R$/mês",Z1833/OBRA!$D$12,IF(AF1833="R$/m²",Z1833/OBRA!$D$10,IF(AF1833="R$/apto",Orçamento!Z1833/OBRA!$D$11,""))))),"")</f>
        <v>4.6069138456650185</v>
      </c>
      <c r="AF1833" s="241" t="s">
        <v>154</v>
      </c>
    </row>
    <row r="1834" spans="1:32" s="10" customFormat="1" ht="13.15" hidden="1" customHeight="1" outlineLevel="4" x14ac:dyDescent="0.2">
      <c r="A1834" s="227"/>
      <c r="B1834" s="228" t="s">
        <v>19</v>
      </c>
      <c r="C1834" s="229">
        <f t="shared" si="1500"/>
        <v>5</v>
      </c>
      <c r="D1834" s="227" t="str">
        <f t="shared" si="1511"/>
        <v/>
      </c>
      <c r="E1834" s="228" t="str">
        <f t="shared" ca="1" si="1512"/>
        <v>16.005.004.002</v>
      </c>
      <c r="F1834" s="230">
        <f ca="1">IF($B1834="UNIDADE CONSTRUTIVA",OFFSET(F1834,-1,0)+1,LARGE(F$10:F1833,1))</f>
        <v>2</v>
      </c>
      <c r="G1834" s="228" t="str">
        <f t="shared" ca="1" si="1503"/>
        <v xml:space="preserve">   GERENCIAMENTO EXECUTIVO</v>
      </c>
      <c r="H1834" s="230">
        <f t="shared" ca="1" si="1513"/>
        <v>16</v>
      </c>
      <c r="I1834" s="228" t="str">
        <f t="shared" ca="1" si="1504"/>
        <v xml:space="preserve">   SISTEMAS DE PINTURA INTERNA</v>
      </c>
      <c r="J1834" s="230">
        <f t="shared" ca="1" si="1514"/>
        <v>5</v>
      </c>
      <c r="K1834" s="228" t="str">
        <f t="shared" ca="1" si="1505"/>
        <v xml:space="preserve">   SISTEMAS DE PINTURA INTERNA - BARRILETE / CAIXA DÁGUA / CASA DE MÁQUINAS</v>
      </c>
      <c r="L1834" s="231">
        <f t="shared" ca="1" si="1515"/>
        <v>4</v>
      </c>
      <c r="M1834" s="228" t="str">
        <f t="shared" ca="1" si="1506"/>
        <v xml:space="preserve">   Mão de Obra</v>
      </c>
      <c r="N1834" s="231">
        <f t="shared" ca="1" si="1516"/>
        <v>2</v>
      </c>
      <c r="O1834" s="228" t="str">
        <f t="shared" ca="1" si="1507"/>
        <v>Mao de obra para pintura acrilica em paredes</v>
      </c>
      <c r="P1834" s="232" t="str">
        <f>IF(S1834="","",IF(Orçamento!$B1834="INSUMO",S1834,""))</f>
        <v>MAO DE OBRA APLICACAO DE PINTURA EM PAREDES - 3 DEMAO</v>
      </c>
      <c r="Q1834" s="244" t="str">
        <f t="shared" si="1510"/>
        <v/>
      </c>
      <c r="R1834" s="234">
        <f t="shared" ca="1" si="1508"/>
        <v>234.43</v>
      </c>
      <c r="S1834" s="233" t="s">
        <v>779</v>
      </c>
      <c r="T1834" s="242" t="str">
        <f>_xlfn.XLOOKUP(S1834,Insumos!$A$3:$A$371,Insumos!$B$3:$B$371)</f>
        <v>M2</v>
      </c>
      <c r="U1834" s="235">
        <f ca="1">IF($B1834="insumo",R1834,"")</f>
        <v>234.43</v>
      </c>
      <c r="V1834" s="320">
        <v>1</v>
      </c>
      <c r="W1834" s="236">
        <f>IFERROR(IF(B1834="INSUMO",_xlfn.XLOOKUP(S1834,Insumos!A:A,Insumos!C:C),""),"Inserir Preço")</f>
        <v>38.187489622964783</v>
      </c>
      <c r="X1834" s="235">
        <f t="shared" ca="1" si="1509"/>
        <v>234.43</v>
      </c>
      <c r="Y1834" s="236">
        <f t="shared" si="1517"/>
        <v>38.187489622964783</v>
      </c>
      <c r="Z1834" s="237">
        <f t="shared" ca="1" si="1501"/>
        <v>8952.2931923116339</v>
      </c>
      <c r="AA1834" s="238"/>
      <c r="AB1834" s="233" t="str">
        <f>IF(B1834="insumo",_xlfn.XLOOKUP(S1834,Insumos!A:A,Insumos!D:D),"")</f>
        <v>Aba Custo Serviços</v>
      </c>
      <c r="AC1834" s="239">
        <f t="shared" ca="1" si="1502"/>
        <v>1.284288078325081E-3</v>
      </c>
      <c r="AE1834" s="240">
        <f ca="1">IFERROR(IF(OR(Z1834="",Z1834=0),"",IF(AF1834="","",IF(AF1834="R$/mês",Z1834/OBRA!$D$12,IF(AF1834="R$/m²",Z1834/OBRA!$D$10,IF(AF1834="R$/apto",Orçamento!Z1834/OBRA!$D$11,""))))),"")</f>
        <v>4.6069138456650185</v>
      </c>
      <c r="AF1834" s="241" t="s">
        <v>154</v>
      </c>
    </row>
    <row r="1835" spans="1:32" s="10" customFormat="1" ht="13.15" hidden="1" customHeight="1" outlineLevel="4" x14ac:dyDescent="0.2">
      <c r="A1835" s="227"/>
      <c r="B1835" s="228" t="s">
        <v>4</v>
      </c>
      <c r="C1835" s="229">
        <f t="shared" si="1500"/>
        <v>5</v>
      </c>
      <c r="D1835" s="227" t="str">
        <f t="shared" ca="1" si="1511"/>
        <v>16.005.004.003</v>
      </c>
      <c r="E1835" s="228" t="str">
        <f t="shared" ca="1" si="1512"/>
        <v>16.005.004.003</v>
      </c>
      <c r="F1835" s="230">
        <f ca="1">IF($B1835="UNIDADE CONSTRUTIVA",OFFSET(F1835,-1,0)+1,LARGE(F$10:F1834,1))</f>
        <v>2</v>
      </c>
      <c r="G1835" s="228" t="str">
        <f t="shared" ca="1" si="1503"/>
        <v xml:space="preserve">   GERENCIAMENTO EXECUTIVO</v>
      </c>
      <c r="H1835" s="230">
        <f t="shared" ca="1" si="1513"/>
        <v>16</v>
      </c>
      <c r="I1835" s="228" t="str">
        <f t="shared" ca="1" si="1504"/>
        <v xml:space="preserve">   SISTEMAS DE PINTURA INTERNA</v>
      </c>
      <c r="J1835" s="230">
        <f t="shared" ca="1" si="1514"/>
        <v>5</v>
      </c>
      <c r="K1835" s="228" t="str">
        <f t="shared" ca="1" si="1505"/>
        <v xml:space="preserve">   SISTEMAS DE PINTURA INTERNA - BARRILETE / CAIXA DÁGUA / CASA DE MÁQUINAS</v>
      </c>
      <c r="L1835" s="231">
        <f t="shared" ca="1" si="1515"/>
        <v>4</v>
      </c>
      <c r="M1835" s="228" t="str">
        <f t="shared" ca="1" si="1506"/>
        <v xml:space="preserve">   Mão de Obra</v>
      </c>
      <c r="N1835" s="231">
        <f t="shared" ca="1" si="1516"/>
        <v>3</v>
      </c>
      <c r="O1835" s="228" t="str">
        <f t="shared" ca="1" si="1507"/>
        <v>Mao de obra para pintura acrílica em teto</v>
      </c>
      <c r="P1835" s="232" t="str">
        <f>IF(S1835="","",IF(Orçamento!$B1835="INSUMO",S1835,""))</f>
        <v/>
      </c>
      <c r="Q1835" s="244" t="str">
        <f t="shared" si="1510"/>
        <v>Mao de obra para pintura acrílica em teto</v>
      </c>
      <c r="R1835" s="234">
        <f t="shared" ca="1" si="1508"/>
        <v>24.18</v>
      </c>
      <c r="S1835" s="233" t="s">
        <v>741</v>
      </c>
      <c r="T1835" s="242" t="s">
        <v>140</v>
      </c>
      <c r="U1835" s="235">
        <f>U1826</f>
        <v>24.18</v>
      </c>
      <c r="V1835" s="320" t="s">
        <v>35</v>
      </c>
      <c r="W1835" s="236" t="str">
        <f>IFERROR(IF(B1835="INSUMO",_xlfn.XLOOKUP(S1835,Insumos!A:A,Insumos!C:C),""),"Inserir Preço")</f>
        <v/>
      </c>
      <c r="X1835" s="235">
        <f t="shared" ca="1" si="1509"/>
        <v>24.18</v>
      </c>
      <c r="Y1835" s="236">
        <f t="shared" ca="1" si="1517"/>
        <v>53.07250036855902</v>
      </c>
      <c r="Z1835" s="237">
        <f t="shared" ca="1" si="1501"/>
        <v>1283.293058911757</v>
      </c>
      <c r="AA1835" s="238"/>
      <c r="AB1835" s="233" t="str">
        <f>IF(B1835="insumo",_xlfn.XLOOKUP(S1835,Insumos!A:A,Insumos!D:D),"")</f>
        <v/>
      </c>
      <c r="AC1835" s="239">
        <f t="shared" ca="1" si="1502"/>
        <v>1.8410008934617158E-4</v>
      </c>
      <c r="AE1835" s="240">
        <f ca="1">IFERROR(IF(OR(Z1835="",Z1835=0),"",IF(AF1835="","",IF(AF1835="R$/mês",Z1835/OBRA!$D$12,IF(AF1835="R$/m²",Z1835/OBRA!$D$10,IF(AF1835="R$/apto",Orçamento!Z1835/OBRA!$D$11,""))))),"")</f>
        <v>0.66039174925858346</v>
      </c>
      <c r="AF1835" s="241" t="s">
        <v>154</v>
      </c>
    </row>
    <row r="1836" spans="1:32" s="10" customFormat="1" ht="13.15" hidden="1" customHeight="1" outlineLevel="4" x14ac:dyDescent="0.2">
      <c r="A1836" s="227"/>
      <c r="B1836" s="228" t="s">
        <v>19</v>
      </c>
      <c r="C1836" s="229">
        <f t="shared" si="1500"/>
        <v>5</v>
      </c>
      <c r="D1836" s="227" t="str">
        <f t="shared" si="1511"/>
        <v/>
      </c>
      <c r="E1836" s="228" t="str">
        <f t="shared" ca="1" si="1512"/>
        <v>16.005.004.003</v>
      </c>
      <c r="F1836" s="230">
        <f ca="1">IF($B1836="UNIDADE CONSTRUTIVA",OFFSET(F1836,-1,0)+1,LARGE(F$10:F1835,1))</f>
        <v>2</v>
      </c>
      <c r="G1836" s="228" t="str">
        <f ca="1">IF(B1836="*","",IF(B1836="UNIDADE CONSTRUTIVA",S1836,OFFSET(G1836,-1,0)))</f>
        <v xml:space="preserve">   GERENCIAMENTO EXECUTIVO</v>
      </c>
      <c r="H1836" s="230">
        <f t="shared" ca="1" si="1513"/>
        <v>16</v>
      </c>
      <c r="I1836" s="228" t="str">
        <f ca="1">IF(B1836="*","",IF(B1836="CÉLULA CONSTRUTIVA",S1836,OFFSET(I1836,-1,0)))</f>
        <v xml:space="preserve">   SISTEMAS DE PINTURA INTERNA</v>
      </c>
      <c r="J1836" s="230">
        <f t="shared" ca="1" si="1514"/>
        <v>5</v>
      </c>
      <c r="K1836" s="228" t="str">
        <f ca="1">IF(B1836="*","",IF(B1836="ETAPA",S1836,OFFSET(K1836,-1,0)))</f>
        <v xml:space="preserve">   SISTEMAS DE PINTURA INTERNA - BARRILETE / CAIXA DÁGUA / CASA DE MÁQUINAS</v>
      </c>
      <c r="L1836" s="231">
        <f t="shared" ca="1" si="1515"/>
        <v>4</v>
      </c>
      <c r="M1836" s="228" t="str">
        <f ca="1">IF(B1836="*","",IF(B1836="SUBETAPA",S1836,OFFSET(M1836,-1,0)))</f>
        <v xml:space="preserve">   Mão de Obra</v>
      </c>
      <c r="N1836" s="231">
        <f t="shared" ca="1" si="1516"/>
        <v>3</v>
      </c>
      <c r="O1836" s="228" t="str">
        <f ca="1">IF(B1836="*","",IF(B1836="SERVIÇO",S1836,OFFSET(O1836,-1,0)))</f>
        <v>Mao de obra para pintura acrílica em teto</v>
      </c>
      <c r="P1836" s="232" t="str">
        <f>IF(S1836="","",IF(Orçamento!$B1836="INSUMO",S1836,""))</f>
        <v>MAO DE OBRA PARA PINTURA LATEX ACRILICA EM TETO - 3 DEMAOS</v>
      </c>
      <c r="Q1836" s="244" t="str">
        <f t="shared" si="1510"/>
        <v/>
      </c>
      <c r="R1836" s="234">
        <f ca="1">IF(B1836="serviço",U1836,OFFSET(R1836,-1,0))</f>
        <v>24.18</v>
      </c>
      <c r="S1836" s="233" t="s">
        <v>280</v>
      </c>
      <c r="T1836" s="242" t="str">
        <f>_xlfn.XLOOKUP(S1836,Insumos!$A$3:$A$371,Insumos!$B$3:$B$371)</f>
        <v>M2</v>
      </c>
      <c r="U1836" s="235">
        <f ca="1">IF($B1836="insumo",R1836,"")</f>
        <v>24.18</v>
      </c>
      <c r="V1836" s="320">
        <v>1</v>
      </c>
      <c r="W1836" s="236">
        <f>IFERROR(IF(B1836="INSUMO",_xlfn.XLOOKUP(S1836,Insumos!A:A,Insumos!C:C),""),"Inserir Preço")</f>
        <v>53.07250036855902</v>
      </c>
      <c r="X1836" s="235">
        <f t="shared" ca="1" si="1509"/>
        <v>24.18</v>
      </c>
      <c r="Y1836" s="236">
        <f t="shared" si="1517"/>
        <v>53.07250036855902</v>
      </c>
      <c r="Z1836" s="237">
        <f t="shared" ca="1" si="1501"/>
        <v>1283.293058911757</v>
      </c>
      <c r="AA1836" s="238"/>
      <c r="AB1836" s="233" t="str">
        <f>IF(B1836="insumo",_xlfn.XLOOKUP(S1836,Insumos!A:A,Insumos!D:D),"")</f>
        <v>Aba Custo Serviços</v>
      </c>
      <c r="AC1836" s="239">
        <f t="shared" ca="1" si="1502"/>
        <v>1.8410008934617158E-4</v>
      </c>
      <c r="AE1836" s="240">
        <f ca="1">IFERROR(IF(OR(Z1836="",Z1836=0),"",IF(AF1836="","",IF(AF1836="R$/mês",Z1836/OBRA!$D$12,IF(AF1836="R$/m²",Z1836/OBRA!$D$10,IF(AF1836="R$/apto",Orçamento!Z1836/OBRA!$D$11,""))))),"")</f>
        <v>0.66039174925858346</v>
      </c>
      <c r="AF1836" s="241" t="s">
        <v>154</v>
      </c>
    </row>
    <row r="1837" spans="1:32" s="10" customFormat="1" ht="13.15" customHeight="1" outlineLevel="1" x14ac:dyDescent="0.2">
      <c r="A1837" s="227"/>
      <c r="B1837" s="228" t="s">
        <v>1</v>
      </c>
      <c r="C1837" s="229" t="str">
        <f t="shared" si="1500"/>
        <v/>
      </c>
      <c r="D1837" s="227" t="str">
        <f t="shared" ref="D1837:D1842" ca="1" si="1518">IF(B1837="Unidade Construtiva",TEXT(F1837,"00"),IF(B1837="Célula Construtiva",TEXT(H1837,"00"),IF(B1837="Etapa",CONCATENATE(TEXT(H1837,"00"),".",TEXT(J1837,"000")),IF(B1837="Subetapa",CONCATENATE(TEXT(H1837,"00"),".",TEXT(J1837,"000"),".",TEXT(L1837,"000")),IF(B1837="Serviço",CONCATENATE(TEXT(H1837,"00"),".",TEXT(J1837,"000"),".",TEXT(L1837,"000"),".",TEXT(N1837,"000")),"")))))</f>
        <v>17</v>
      </c>
      <c r="E1837" s="228" t="str">
        <f ca="1">IF(B1837="*","",IFERROR(IF(B1837="SERVIÇO",D1837,OFFSET(E1837,-1,0)),""))</f>
        <v>16.005.004.003</v>
      </c>
      <c r="F1837" s="230">
        <f ca="1">IF($B1837="UNIDADE CONSTRUTIVA",OFFSET(F1837,-1,0)+1,LARGE(F$10:F1836,1))</f>
        <v>2</v>
      </c>
      <c r="G1837" s="228" t="str">
        <f t="shared" ref="G1837" ca="1" si="1519">IF(B1837="*","",IF(B1837="UNIDADE CONSTRUTIVA",S1837,OFFSET(G1837,-1,0)))</f>
        <v xml:space="preserve">   GERENCIAMENTO EXECUTIVO</v>
      </c>
      <c r="H1837" s="230">
        <f ca="1">IF(B1837="UNIDADE CONSTRUTIVA",0,IF(B1837="CÉLULA CONSTRUTIVA",OFFSET(H1837,-1,0)+1,OFFSET(H1837,-1,0)))</f>
        <v>17</v>
      </c>
      <c r="I1837" s="228" t="str">
        <f t="shared" ref="I1837" ca="1" si="1520">IF(B1837="*","",IF(B1837="CÉLULA CONSTRUTIVA",S1837,OFFSET(I1837,-1,0)))</f>
        <v xml:space="preserve">   ESQUADRIAS - VIDROS E FERRAGENS</v>
      </c>
      <c r="J1837" s="230">
        <f ca="1">IF(B1837="CÉLULA CONSTRUTIVA",0,IF(B1837="ETAPA",OFFSET(J1837,-1,0)+1,OFFSET(J1837,-1,0)))</f>
        <v>0</v>
      </c>
      <c r="K1837" s="228" t="str">
        <f t="shared" ref="K1837" ca="1" si="1521">IF(B1837="*","",IF(B1837="ETAPA",S1837,OFFSET(K1837,-1,0)))</f>
        <v xml:space="preserve">   SISTEMAS DE PINTURA INTERNA - BARRILETE / CAIXA DÁGUA / CASA DE MÁQUINAS</v>
      </c>
      <c r="L1837" s="231">
        <f ca="1">IF(B1837="ETAPA",0,IF(B1837="SUBETAPA",OFFSET(L1837,-1,0)+1,OFFSET(L1837,-1,0)))</f>
        <v>4</v>
      </c>
      <c r="M1837" s="228" t="str">
        <f t="shared" ref="M1837" ca="1" si="1522">IF(B1837="*","",IF(B1837="SUBETAPA",S1837,OFFSET(M1837,-1,0)))</f>
        <v xml:space="preserve">   Mão de Obra</v>
      </c>
      <c r="N1837" s="231">
        <f ca="1">IF(B1837="Subetapa",0,IF(B1837="serviço",OFFSET(N1837,-1,0)+1,OFFSET(N1837,-1,0)))</f>
        <v>3</v>
      </c>
      <c r="O1837" s="228" t="str">
        <f t="shared" ref="O1837" ca="1" si="1523">IF(B1837="*","",IF(B1837="SERVIÇO",S1837,OFFSET(O1837,-1,0)))</f>
        <v>Mao de obra para pintura acrílica em teto</v>
      </c>
      <c r="P1837" s="232" t="str">
        <f>IF(S1837="","",IF(Orçamento!$B1837="INSUMO",S1837,""))</f>
        <v/>
      </c>
      <c r="Q1837" s="244" t="str">
        <f t="shared" si="1510"/>
        <v/>
      </c>
      <c r="R1837" s="234">
        <f t="shared" ca="1" si="1508"/>
        <v>24.18</v>
      </c>
      <c r="S1837" s="233" t="s">
        <v>540</v>
      </c>
      <c r="T1837" s="242" t="s">
        <v>35</v>
      </c>
      <c r="U1837" s="235" t="str">
        <f>IF($B1837="insumo",R1837,"")</f>
        <v/>
      </c>
      <c r="V1837" s="320" t="s">
        <v>35</v>
      </c>
      <c r="W1837" s="236" t="str">
        <f>IFERROR(IF(B1837="INSUMO",_xlfn.XLOOKUP(S1837,Insumos!A:A,Insumos!C:C),""),"Inserir Preço")</f>
        <v/>
      </c>
      <c r="X1837" s="235" t="str">
        <f t="shared" ca="1" si="1509"/>
        <v/>
      </c>
      <c r="Y1837" s="236" t="str">
        <f t="shared" si="1517"/>
        <v/>
      </c>
      <c r="Z1837" s="237">
        <f t="shared" ca="1" si="1501"/>
        <v>578274.82909065823</v>
      </c>
      <c r="AA1837" s="238"/>
      <c r="AB1837" s="233" t="str">
        <f>IF(B1837="insumo",_xlfn.XLOOKUP(S1837,Insumos!A:A,Insumos!D:D),"")</f>
        <v/>
      </c>
      <c r="AC1837" s="239">
        <f t="shared" ca="1" si="1502"/>
        <v>8.2958796482941785E-2</v>
      </c>
      <c r="AE1837" s="240">
        <f ca="1">IFERROR(IF(OR(Z1837="",Z1837=0),"",IF(AF1837="","",IF(AF1837="R$/mês",Z1837/OBRA!$D$12,IF(AF1837="R$/m²",Z1837/OBRA!$D$10,IF(AF1837="R$/apto",Orçamento!Z1837/OBRA!$D$11,""))))),"")</f>
        <v>297.584346212573</v>
      </c>
      <c r="AF1837" s="241" t="s">
        <v>154</v>
      </c>
    </row>
    <row r="1838" spans="1:32" s="10" customFormat="1" ht="13.15" customHeight="1" outlineLevel="2" collapsed="1" x14ac:dyDescent="0.2">
      <c r="A1838" s="227"/>
      <c r="B1838" s="228" t="s">
        <v>2</v>
      </c>
      <c r="C1838" s="229" t="str">
        <f t="shared" si="1500"/>
        <v/>
      </c>
      <c r="D1838" s="227" t="str">
        <f t="shared" ca="1" si="1518"/>
        <v>17.001</v>
      </c>
      <c r="E1838" s="228" t="str">
        <f t="shared" ref="E1838:E1842" ca="1" si="1524">IF(B1838="*","",IFERROR(IF(B1838="SERVIÇO",D1838,OFFSET(E1838,-1,0)),""))</f>
        <v>16.005.004.003</v>
      </c>
      <c r="F1838" s="230">
        <f ca="1">IF($B1838="UNIDADE CONSTRUTIVA",OFFSET(F1838,-1,0)+1,LARGE(F$10:F1837,1))</f>
        <v>2</v>
      </c>
      <c r="G1838" s="228" t="str">
        <f t="shared" ca="1" si="1503"/>
        <v xml:space="preserve">   GERENCIAMENTO EXECUTIVO</v>
      </c>
      <c r="H1838" s="230">
        <f t="shared" ref="H1838:H1842" ca="1" si="1525">IF(B1838="UNIDADE CONSTRUTIVA",0,IF(B1838="CÉLULA CONSTRUTIVA",OFFSET(H1838,-1,0)+1,OFFSET(H1838,-1,0)))</f>
        <v>17</v>
      </c>
      <c r="I1838" s="228" t="str">
        <f t="shared" ca="1" si="1504"/>
        <v xml:space="preserve">   ESQUADRIAS - VIDROS E FERRAGENS</v>
      </c>
      <c r="J1838" s="230">
        <f t="shared" ref="J1838:J1842" ca="1" si="1526">IF(B1838="CÉLULA CONSTRUTIVA",0,IF(B1838="ETAPA",OFFSET(J1838,-1,0)+1,OFFSET(J1838,-1,0)))</f>
        <v>1</v>
      </c>
      <c r="K1838" s="228" t="str">
        <f t="shared" ca="1" si="1505"/>
        <v xml:space="preserve">   ESQUADRIAS - VIDROS E FERRAGENS - 1º PAVIMENTO - SUBSOLO</v>
      </c>
      <c r="L1838" s="231">
        <f t="shared" ref="L1838:L1842" ca="1" si="1527">IF(B1838="ETAPA",0,IF(B1838="SUBETAPA",OFFSET(L1838,-1,0)+1,OFFSET(L1838,-1,0)))</f>
        <v>0</v>
      </c>
      <c r="M1838" s="228" t="str">
        <f t="shared" ca="1" si="1506"/>
        <v xml:space="preserve">   Mão de Obra</v>
      </c>
      <c r="N1838" s="231">
        <f t="shared" ref="N1838:N1842" ca="1" si="1528">IF(B1838="Subetapa",0,IF(B1838="serviço",OFFSET(N1838,-1,0)+1,OFFSET(N1838,-1,0)))</f>
        <v>3</v>
      </c>
      <c r="O1838" s="228" t="str">
        <f t="shared" ca="1" si="1507"/>
        <v>Mao de obra para pintura acrílica em teto</v>
      </c>
      <c r="P1838" s="232" t="str">
        <f>IF(S1838="","",IF(Orçamento!$B1838="INSUMO",S1838,""))</f>
        <v/>
      </c>
      <c r="Q1838" s="244" t="str">
        <f t="shared" si="1510"/>
        <v/>
      </c>
      <c r="R1838" s="234">
        <f t="shared" ca="1" si="1508"/>
        <v>24.18</v>
      </c>
      <c r="S1838" s="233" t="s">
        <v>636</v>
      </c>
      <c r="T1838" s="242" t="s">
        <v>35</v>
      </c>
      <c r="U1838" s="235" t="str">
        <f>IF($B1838="insumo",R1838,"")</f>
        <v/>
      </c>
      <c r="V1838" s="320" t="s">
        <v>35</v>
      </c>
      <c r="W1838" s="236" t="str">
        <f>IFERROR(IF(B1838="INSUMO",_xlfn.XLOOKUP(S1838,Insumos!A:A,Insumos!C:C),""),"Inserir Preço")</f>
        <v/>
      </c>
      <c r="X1838" s="235" t="str">
        <f t="shared" ca="1" si="1509"/>
        <v/>
      </c>
      <c r="Y1838" s="236" t="str">
        <f t="shared" si="1517"/>
        <v/>
      </c>
      <c r="Z1838" s="237">
        <f t="shared" ca="1" si="1501"/>
        <v>11648.752036511272</v>
      </c>
      <c r="AA1838" s="238"/>
      <c r="AB1838" s="233" t="str">
        <f>IF(B1838="insumo",_xlfn.XLOOKUP(S1838,Insumos!A:A,Insumos!D:D),"")</f>
        <v/>
      </c>
      <c r="AC1838" s="239">
        <f t="shared" ca="1" si="1502"/>
        <v>1.6711196836922875E-3</v>
      </c>
      <c r="AE1838" s="240">
        <f ca="1">IFERROR(IF(OR(Z1838="",Z1838=0),"",IF(AF1838="","",IF(AF1838="R$/mês",Z1838/OBRA!$D$12,IF(AF1838="R$/m²",Z1838/OBRA!$D$10,IF(AF1838="R$/apto",Orçamento!Z1838/OBRA!$D$11,""))))),"")</f>
        <v>5.9945307742836782</v>
      </c>
      <c r="AF1838" s="241" t="s">
        <v>154</v>
      </c>
    </row>
    <row r="1839" spans="1:32" s="10" customFormat="1" ht="13.15" hidden="1" customHeight="1" outlineLevel="3" collapsed="1" x14ac:dyDescent="0.2">
      <c r="A1839" s="227"/>
      <c r="B1839" s="228" t="s">
        <v>3</v>
      </c>
      <c r="C1839" s="229" t="str">
        <f t="shared" si="1500"/>
        <v/>
      </c>
      <c r="D1839" s="227" t="str">
        <f t="shared" ca="1" si="1518"/>
        <v>17.001.001</v>
      </c>
      <c r="E1839" s="228" t="str">
        <f t="shared" ca="1" si="1524"/>
        <v>16.005.004.003</v>
      </c>
      <c r="F1839" s="230">
        <f ca="1">IF($B1839="UNIDADE CONSTRUTIVA",OFFSET(F1839,-1,0)+1,LARGE(F$10:F1838,1))</f>
        <v>2</v>
      </c>
      <c r="G1839" s="228" t="str">
        <f t="shared" ca="1" si="1503"/>
        <v xml:space="preserve">   GERENCIAMENTO EXECUTIVO</v>
      </c>
      <c r="H1839" s="230">
        <f t="shared" ca="1" si="1525"/>
        <v>17</v>
      </c>
      <c r="I1839" s="228" t="str">
        <f t="shared" ca="1" si="1504"/>
        <v xml:space="preserve">   ESQUADRIAS - VIDROS E FERRAGENS</v>
      </c>
      <c r="J1839" s="230">
        <f t="shared" ca="1" si="1526"/>
        <v>1</v>
      </c>
      <c r="K1839" s="228" t="str">
        <f t="shared" ca="1" si="1505"/>
        <v xml:space="preserve">   ESQUADRIAS - VIDROS E FERRAGENS - 1º PAVIMENTO - SUBSOLO</v>
      </c>
      <c r="L1839" s="231">
        <f t="shared" ca="1" si="1527"/>
        <v>1</v>
      </c>
      <c r="M1839" s="228" t="str">
        <f t="shared" ca="1" si="1506"/>
        <v xml:space="preserve">   Esquadrias Alumínio</v>
      </c>
      <c r="N1839" s="231">
        <f t="shared" ca="1" si="1528"/>
        <v>0</v>
      </c>
      <c r="O1839" s="228" t="str">
        <f t="shared" ca="1" si="1507"/>
        <v>Mao de obra para pintura acrílica em teto</v>
      </c>
      <c r="P1839" s="232" t="str">
        <f>IF(S1839="","",IF(Orçamento!$B1839="INSUMO",S1839,""))</f>
        <v/>
      </c>
      <c r="Q1839" s="244" t="str">
        <f t="shared" si="1510"/>
        <v/>
      </c>
      <c r="R1839" s="234">
        <f t="shared" ca="1" si="1508"/>
        <v>24.18</v>
      </c>
      <c r="S1839" s="233" t="s">
        <v>635</v>
      </c>
      <c r="T1839" s="242" t="s">
        <v>35</v>
      </c>
      <c r="U1839" s="235" t="str">
        <f>IF($B1839="insumo",R1839,"")</f>
        <v/>
      </c>
      <c r="V1839" s="320" t="s">
        <v>35</v>
      </c>
      <c r="W1839" s="236" t="str">
        <f>IFERROR(IF(B1839="INSUMO",_xlfn.XLOOKUP(S1839,Insumos!A:A,Insumos!C:C),""),"Inserir Preço")</f>
        <v/>
      </c>
      <c r="X1839" s="235" t="str">
        <f t="shared" ca="1" si="1509"/>
        <v/>
      </c>
      <c r="Y1839" s="236" t="str">
        <f t="shared" si="1517"/>
        <v/>
      </c>
      <c r="Z1839" s="237">
        <f t="shared" ca="1" si="1501"/>
        <v>10079.062036511272</v>
      </c>
      <c r="AA1839" s="238"/>
      <c r="AB1839" s="233" t="str">
        <f>IF(B1839="insumo",_xlfn.XLOOKUP(S1839,Insumos!A:A,Insumos!D:D),"")</f>
        <v/>
      </c>
      <c r="AC1839" s="239">
        <f t="shared" ca="1" si="1502"/>
        <v>1.4459333420075208E-3</v>
      </c>
      <c r="AE1839" s="240">
        <f ca="1">IFERROR(IF(OR(Z1839="",Z1839=0),"",IF(AF1839="","",IF(AF1839="R$/mês",Z1839/OBRA!$D$12,IF(AF1839="R$/m²",Z1839/OBRA!$D$10,IF(AF1839="R$/apto",Orçamento!Z1839/OBRA!$D$11,""))))),"")</f>
        <v>5.1867571190807427</v>
      </c>
      <c r="AF1839" s="241" t="s">
        <v>154</v>
      </c>
    </row>
    <row r="1840" spans="1:32" s="10" customFormat="1" ht="13.15" hidden="1" customHeight="1" outlineLevel="4" x14ac:dyDescent="0.2">
      <c r="A1840" s="227"/>
      <c r="B1840" s="228" t="s">
        <v>4</v>
      </c>
      <c r="C1840" s="229">
        <f t="shared" si="1500"/>
        <v>5</v>
      </c>
      <c r="D1840" s="227" t="str">
        <f t="shared" ca="1" si="1518"/>
        <v>17.001.001.001</v>
      </c>
      <c r="E1840" s="228" t="str">
        <f t="shared" ca="1" si="1524"/>
        <v>17.001.001.001</v>
      </c>
      <c r="F1840" s="230">
        <f ca="1">IF($B1840="UNIDADE CONSTRUTIVA",OFFSET(F1840,-1,0)+1,LARGE(F$10:F1839,1))</f>
        <v>2</v>
      </c>
      <c r="G1840" s="228" t="str">
        <f t="shared" ca="1" si="1503"/>
        <v xml:space="preserve">   GERENCIAMENTO EXECUTIVO</v>
      </c>
      <c r="H1840" s="230">
        <f t="shared" ca="1" si="1525"/>
        <v>17</v>
      </c>
      <c r="I1840" s="228" t="str">
        <f t="shared" ca="1" si="1504"/>
        <v xml:space="preserve">   ESQUADRIAS - VIDROS E FERRAGENS</v>
      </c>
      <c r="J1840" s="230">
        <f t="shared" ca="1" si="1526"/>
        <v>1</v>
      </c>
      <c r="K1840" s="228" t="str">
        <f t="shared" ca="1" si="1505"/>
        <v xml:space="preserve">   ESQUADRIAS - VIDROS E FERRAGENS - 1º PAVIMENTO - SUBSOLO</v>
      </c>
      <c r="L1840" s="231">
        <f t="shared" ca="1" si="1527"/>
        <v>1</v>
      </c>
      <c r="M1840" s="228" t="str">
        <f t="shared" ca="1" si="1506"/>
        <v xml:space="preserve">   Esquadrias Alumínio</v>
      </c>
      <c r="N1840" s="231">
        <f t="shared" ca="1" si="1528"/>
        <v>1</v>
      </c>
      <c r="O1840" s="228" t="str">
        <f t="shared" ca="1" si="1507"/>
        <v>Fixacao de de contramarcos com argamassa</v>
      </c>
      <c r="P1840" s="232" t="str">
        <f>IF(S1840="","",IF(Orçamento!$B1840="INSUMO",S1840,""))</f>
        <v/>
      </c>
      <c r="Q1840" s="244" t="str">
        <f t="shared" si="1510"/>
        <v>Fixacao de de contramarcos com argamassa</v>
      </c>
      <c r="R1840" s="234">
        <f t="shared" ca="1" si="1508"/>
        <v>2.68</v>
      </c>
      <c r="S1840" s="233" t="s">
        <v>503</v>
      </c>
      <c r="T1840" s="242" t="s">
        <v>158</v>
      </c>
      <c r="U1840" s="235">
        <v>2.68</v>
      </c>
      <c r="V1840" s="320" t="s">
        <v>35</v>
      </c>
      <c r="W1840" s="236" t="str">
        <f>IFERROR(IF(B1840="INSUMO",_xlfn.XLOOKUP(S1840,Insumos!A:A,Insumos!C:C),""),"Inserir Preço")</f>
        <v/>
      </c>
      <c r="X1840" s="235">
        <f t="shared" ca="1" si="1509"/>
        <v>2.68</v>
      </c>
      <c r="Y1840" s="236">
        <f t="shared" ca="1" si="1517"/>
        <v>0.85</v>
      </c>
      <c r="Z1840" s="237">
        <f t="shared" ca="1" si="1501"/>
        <v>2.278</v>
      </c>
      <c r="AA1840" s="238"/>
      <c r="AB1840" s="233" t="str">
        <f>IF(B1840="insumo",_xlfn.XLOOKUP(S1840,Insumos!A:A,Insumos!D:D),"")</f>
        <v/>
      </c>
      <c r="AC1840" s="239">
        <f t="shared" ca="1" si="1502"/>
        <v>3.2679986899190161E-7</v>
      </c>
      <c r="AE1840" s="240">
        <f ca="1">IFERROR(IF(OR(Z1840="",Z1840=0),"",IF(AF1840="","",IF(AF1840="R$/mês",Z1840/OBRA!$D$12,IF(AF1840="R$/m²",Z1840/OBRA!$D$10,IF(AF1840="R$/apto",Orçamento!Z1840/OBRA!$D$11,""))))),"")</f>
        <v>1.1722750266309186E-3</v>
      </c>
      <c r="AF1840" s="241" t="s">
        <v>154</v>
      </c>
    </row>
    <row r="1841" spans="1:32" s="10" customFormat="1" ht="13.15" hidden="1" customHeight="1" outlineLevel="4" x14ac:dyDescent="0.2">
      <c r="A1841" s="227"/>
      <c r="B1841" s="228" t="s">
        <v>19</v>
      </c>
      <c r="C1841" s="229">
        <f t="shared" si="1500"/>
        <v>19</v>
      </c>
      <c r="D1841" s="227" t="str">
        <f t="shared" si="1518"/>
        <v/>
      </c>
      <c r="E1841" s="228" t="str">
        <f t="shared" ca="1" si="1524"/>
        <v>17.001.001.001</v>
      </c>
      <c r="F1841" s="230">
        <f ca="1">IF($B1841="UNIDADE CONSTRUTIVA",OFFSET(F1841,-1,0)+1,LARGE(F$10:F1840,1))</f>
        <v>2</v>
      </c>
      <c r="G1841" s="228" t="str">
        <f t="shared" ca="1" si="1503"/>
        <v xml:space="preserve">   GERENCIAMENTO EXECUTIVO</v>
      </c>
      <c r="H1841" s="230">
        <f t="shared" ca="1" si="1525"/>
        <v>17</v>
      </c>
      <c r="I1841" s="228" t="str">
        <f t="shared" ca="1" si="1504"/>
        <v xml:space="preserve">   ESQUADRIAS - VIDROS E FERRAGENS</v>
      </c>
      <c r="J1841" s="230">
        <f t="shared" ca="1" si="1526"/>
        <v>1</v>
      </c>
      <c r="K1841" s="228" t="str">
        <f t="shared" ca="1" si="1505"/>
        <v xml:space="preserve">   ESQUADRIAS - VIDROS E FERRAGENS - 1º PAVIMENTO - SUBSOLO</v>
      </c>
      <c r="L1841" s="231">
        <f t="shared" ca="1" si="1527"/>
        <v>1</v>
      </c>
      <c r="M1841" s="228" t="str">
        <f t="shared" ca="1" si="1506"/>
        <v xml:space="preserve">   Esquadrias Alumínio</v>
      </c>
      <c r="N1841" s="231">
        <f t="shared" ca="1" si="1528"/>
        <v>1</v>
      </c>
      <c r="O1841" s="228" t="str">
        <f t="shared" ca="1" si="1507"/>
        <v>Fixacao de de contramarcos com argamassa</v>
      </c>
      <c r="P1841" s="232" t="str">
        <f>IF(S1841="","",IF(Orçamento!$B1841="INSUMO",S1841,""))</f>
        <v>ARGAMASSA ESTABILIZADA P/ ASSENTAMENTO</v>
      </c>
      <c r="Q1841" s="244" t="str">
        <f t="shared" si="1510"/>
        <v/>
      </c>
      <c r="R1841" s="234">
        <f t="shared" ca="1" si="1508"/>
        <v>2.68</v>
      </c>
      <c r="S1841" s="233" t="s">
        <v>206</v>
      </c>
      <c r="T1841" s="242" t="str">
        <f>_xlfn.XLOOKUP(S1841,Insumos!$A$3:$A$371,Insumos!$B$3:$B$371)</f>
        <v>M3</v>
      </c>
      <c r="U1841" s="235">
        <f ca="1">IF($B1841="insumo",R1841,"")</f>
        <v>2.68</v>
      </c>
      <c r="V1841" s="320">
        <v>2E-3</v>
      </c>
      <c r="W1841" s="236">
        <f>IFERROR(IF(B1841="INSUMO",_xlfn.XLOOKUP(S1841,Insumos!A:A,Insumos!C:C),""),"Inserir Preço")</f>
        <v>425</v>
      </c>
      <c r="X1841" s="235">
        <f t="shared" ca="1" si="1509"/>
        <v>5.3600000000000002E-3</v>
      </c>
      <c r="Y1841" s="236">
        <f t="shared" si="1517"/>
        <v>0.85</v>
      </c>
      <c r="Z1841" s="237">
        <f t="shared" ca="1" si="1501"/>
        <v>2.278</v>
      </c>
      <c r="AA1841" s="238"/>
      <c r="AB1841" s="233" t="str">
        <f>IF(B1841="insumo",_xlfn.XLOOKUP(S1841,Insumos!A:A,Insumos!D:D),"")</f>
        <v xml:space="preserve"> </v>
      </c>
      <c r="AC1841" s="239">
        <f t="shared" ca="1" si="1502"/>
        <v>3.2679986899190161E-7</v>
      </c>
      <c r="AE1841" s="240">
        <f ca="1">IFERROR(IF(OR(Z1841="",Z1841=0),"",IF(AF1841="","",IF(AF1841="R$/mês",Z1841/OBRA!$D$12,IF(AF1841="R$/m²",Z1841/OBRA!$D$10,IF(AF1841="R$/apto",Orçamento!Z1841/OBRA!$D$11,""))))),"")</f>
        <v>1.1722750266309186E-3</v>
      </c>
      <c r="AF1841" s="241" t="s">
        <v>154</v>
      </c>
    </row>
    <row r="1842" spans="1:32" s="10" customFormat="1" ht="13.15" hidden="1" customHeight="1" outlineLevel="4" x14ac:dyDescent="0.2">
      <c r="A1842" s="227"/>
      <c r="B1842" s="228" t="s">
        <v>4</v>
      </c>
      <c r="C1842" s="229">
        <f t="shared" si="1500"/>
        <v>5</v>
      </c>
      <c r="D1842" s="227" t="str">
        <f t="shared" ca="1" si="1518"/>
        <v>17.001.001.002</v>
      </c>
      <c r="E1842" s="228" t="str">
        <f t="shared" ca="1" si="1524"/>
        <v>17.001.001.002</v>
      </c>
      <c r="F1842" s="230">
        <f ca="1">IF($B1842="UNIDADE CONSTRUTIVA",OFFSET(F1842,-1,0)+1,LARGE(F$10:F1841,1))</f>
        <v>2</v>
      </c>
      <c r="G1842" s="228" t="str">
        <f t="shared" ca="1" si="1503"/>
        <v xml:space="preserve">   GERENCIAMENTO EXECUTIVO</v>
      </c>
      <c r="H1842" s="230">
        <f t="shared" ca="1" si="1525"/>
        <v>17</v>
      </c>
      <c r="I1842" s="228" t="str">
        <f t="shared" ca="1" si="1504"/>
        <v xml:space="preserve">   ESQUADRIAS - VIDROS E FERRAGENS</v>
      </c>
      <c r="J1842" s="230">
        <f t="shared" ca="1" si="1526"/>
        <v>1</v>
      </c>
      <c r="K1842" s="228" t="str">
        <f t="shared" ca="1" si="1505"/>
        <v xml:space="preserve">   ESQUADRIAS - VIDROS E FERRAGENS - 1º PAVIMENTO - SUBSOLO</v>
      </c>
      <c r="L1842" s="231">
        <f t="shared" ca="1" si="1527"/>
        <v>1</v>
      </c>
      <c r="M1842" s="228" t="str">
        <f t="shared" ca="1" si="1506"/>
        <v xml:space="preserve">   Esquadrias Alumínio</v>
      </c>
      <c r="N1842" s="231">
        <f t="shared" ca="1" si="1528"/>
        <v>2</v>
      </c>
      <c r="O1842" s="228" t="str">
        <f t="shared" ca="1" si="1507"/>
        <v>Esquadrias de Aluminio - Fornecimento e instalacao incluindo vidros</v>
      </c>
      <c r="P1842" s="232" t="str">
        <f>IF(S1842="","",IF(Orçamento!$B1842="INSUMO",S1842,""))</f>
        <v/>
      </c>
      <c r="Q1842" s="244" t="str">
        <f t="shared" si="1510"/>
        <v>Esquadrias de Aluminio - Fornecimento e instalacao incluindo vidros</v>
      </c>
      <c r="R1842" s="234">
        <f t="shared" ca="1" si="1508"/>
        <v>12.13</v>
      </c>
      <c r="S1842" s="233" t="s">
        <v>504</v>
      </c>
      <c r="T1842" s="242" t="s">
        <v>140</v>
      </c>
      <c r="U1842" s="235">
        <v>12.13</v>
      </c>
      <c r="V1842" s="320" t="s">
        <v>35</v>
      </c>
      <c r="W1842" s="236" t="str">
        <f>IFERROR(IF(B1842="INSUMO",_xlfn.XLOOKUP(S1842,Insumos!A:A,Insumos!C:C),""),"Inserir Preço")</f>
        <v/>
      </c>
      <c r="X1842" s="235">
        <f t="shared" ca="1" si="1509"/>
        <v>12.13</v>
      </c>
      <c r="Y1842" s="236">
        <f t="shared" ca="1" si="1517"/>
        <v>830.73240202071486</v>
      </c>
      <c r="Z1842" s="237">
        <f t="shared" ca="1" si="1501"/>
        <v>10076.784036511272</v>
      </c>
      <c r="AA1842" s="238"/>
      <c r="AB1842" s="233" t="str">
        <f>IF(B1842="insumo",_xlfn.XLOOKUP(S1842,Insumos!A:A,Insumos!D:D),"")</f>
        <v/>
      </c>
      <c r="AC1842" s="239">
        <f t="shared" ca="1" si="1502"/>
        <v>1.4456065421385288E-3</v>
      </c>
      <c r="AE1842" s="240">
        <f ca="1">IFERROR(IF(OR(Z1842="",Z1842=0),"",IF(AF1842="","",IF(AF1842="R$/mês",Z1842/OBRA!$D$12,IF(AF1842="R$/m²",Z1842/OBRA!$D$10,IF(AF1842="R$/apto",Orçamento!Z1842/OBRA!$D$11,""))))),"")</f>
        <v>5.1855848440541115</v>
      </c>
      <c r="AF1842" s="241" t="s">
        <v>154</v>
      </c>
    </row>
    <row r="1843" spans="1:32" s="10" customFormat="1" ht="13.15" hidden="1" customHeight="1" outlineLevel="4" x14ac:dyDescent="0.2">
      <c r="A1843" s="227"/>
      <c r="B1843" s="228" t="s">
        <v>19</v>
      </c>
      <c r="C1843" s="229">
        <f t="shared" si="1500"/>
        <v>5</v>
      </c>
      <c r="D1843" s="227" t="str">
        <f t="shared" ref="D1843:D1853" si="1529">IF(B1843="Unidade Construtiva",TEXT(F1843,"00"),IF(B1843="Célula Construtiva",TEXT(H1843,"00"),IF(B1843="Etapa",CONCATENATE(TEXT(H1843,"00"),".",TEXT(J1843,"000")),IF(B1843="Subetapa",CONCATENATE(TEXT(H1843,"00"),".",TEXT(J1843,"000"),".",TEXT(L1843,"000")),IF(B1843="Serviço",CONCATENATE(TEXT(H1843,"00"),".",TEXT(J1843,"000"),".",TEXT(L1843,"000"),".",TEXT(N1843,"000")),"")))))</f>
        <v/>
      </c>
      <c r="E1843" s="228" t="str">
        <f t="shared" ref="E1843:E1853" ca="1" si="1530">IF(B1843="*","",IFERROR(IF(B1843="SERVIÇO",D1843,OFFSET(E1843,-1,0)),""))</f>
        <v>17.001.001.002</v>
      </c>
      <c r="F1843" s="230">
        <f ca="1">IF($B1843="UNIDADE CONSTRUTIVA",OFFSET(F1843,-1,0)+1,LARGE(F$10:F1842,1))</f>
        <v>2</v>
      </c>
      <c r="G1843" s="228" t="str">
        <f t="shared" ca="1" si="1503"/>
        <v xml:space="preserve">   GERENCIAMENTO EXECUTIVO</v>
      </c>
      <c r="H1843" s="230">
        <f t="shared" ref="H1843:H1853" ca="1" si="1531">IF(B1843="UNIDADE CONSTRUTIVA",0,IF(B1843="CÉLULA CONSTRUTIVA",OFFSET(H1843,-1,0)+1,OFFSET(H1843,-1,0)))</f>
        <v>17</v>
      </c>
      <c r="I1843" s="228" t="str">
        <f t="shared" ca="1" si="1504"/>
        <v xml:space="preserve">   ESQUADRIAS - VIDROS E FERRAGENS</v>
      </c>
      <c r="J1843" s="230">
        <f t="shared" ref="J1843:J1853" ca="1" si="1532">IF(B1843="CÉLULA CONSTRUTIVA",0,IF(B1843="ETAPA",OFFSET(J1843,-1,0)+1,OFFSET(J1843,-1,0)))</f>
        <v>1</v>
      </c>
      <c r="K1843" s="228" t="str">
        <f t="shared" ca="1" si="1505"/>
        <v xml:space="preserve">   ESQUADRIAS - VIDROS E FERRAGENS - 1º PAVIMENTO - SUBSOLO</v>
      </c>
      <c r="L1843" s="231">
        <f t="shared" ref="L1843:L1853" ca="1" si="1533">IF(B1843="ETAPA",0,IF(B1843="SUBETAPA",OFFSET(L1843,-1,0)+1,OFFSET(L1843,-1,0)))</f>
        <v>1</v>
      </c>
      <c r="M1843" s="228" t="str">
        <f t="shared" ca="1" si="1506"/>
        <v xml:space="preserve">   Esquadrias Alumínio</v>
      </c>
      <c r="N1843" s="231">
        <f t="shared" ref="N1843:N1853" ca="1" si="1534">IF(B1843="Subetapa",0,IF(B1843="serviço",OFFSET(N1843,-1,0)+1,OFFSET(N1843,-1,0)))</f>
        <v>2</v>
      </c>
      <c r="O1843" s="228" t="str">
        <f t="shared" ca="1" si="1507"/>
        <v>Esquadrias de Aluminio - Fornecimento e instalacao incluindo vidros</v>
      </c>
      <c r="P1843" s="232" t="str">
        <f>IF(S1843="","",IF(Orçamento!$B1843="INSUMO",S1843,""))</f>
        <v>ESQUADRIAS DE ALUMINIO</v>
      </c>
      <c r="Q1843" s="244" t="str">
        <f t="shared" si="1510"/>
        <v/>
      </c>
      <c r="R1843" s="234">
        <f t="shared" ca="1" si="1508"/>
        <v>12.13</v>
      </c>
      <c r="S1843" s="233" t="s">
        <v>238</v>
      </c>
      <c r="T1843" s="242" t="str">
        <f>_xlfn.XLOOKUP(S1843,Insumos!$A$3:$A$371,Insumos!$B$3:$B$371)</f>
        <v>M2</v>
      </c>
      <c r="U1843" s="235">
        <f ca="1">IF($B1843="insumo",R1843,"")</f>
        <v>12.13</v>
      </c>
      <c r="V1843" s="320">
        <v>1</v>
      </c>
      <c r="W1843" s="236">
        <f>IFERROR(IF(B1843="INSUMO",_xlfn.XLOOKUP(S1843,Insumos!A:A,Insumos!C:C),""),"Inserir Preço")</f>
        <v>830.73240202071486</v>
      </c>
      <c r="X1843" s="235">
        <f t="shared" ca="1" si="1509"/>
        <v>12.13</v>
      </c>
      <c r="Y1843" s="236">
        <f t="shared" si="1517"/>
        <v>830.73240202071486</v>
      </c>
      <c r="Z1843" s="237">
        <f t="shared" ca="1" si="1501"/>
        <v>10076.784036511272</v>
      </c>
      <c r="AA1843" s="238"/>
      <c r="AB1843" s="233" t="str">
        <f>IF(B1843="insumo",_xlfn.XLOOKUP(S1843,Insumos!A:A,Insumos!D:D),"")</f>
        <v>Fort Glass transparência que fortalece</v>
      </c>
      <c r="AC1843" s="239">
        <f t="shared" ca="1" si="1502"/>
        <v>1.4456065421385288E-3</v>
      </c>
      <c r="AE1843" s="240">
        <f ca="1">IFERROR(IF(OR(Z1843="",Z1843=0),"",IF(AF1843="","",IF(AF1843="R$/mês",Z1843/OBRA!$D$12,IF(AF1843="R$/m²",Z1843/OBRA!$D$10,IF(AF1843="R$/apto",Orçamento!Z1843/OBRA!$D$11,""))))),"")</f>
        <v>5.1855848440541115</v>
      </c>
      <c r="AF1843" s="241" t="s">
        <v>154</v>
      </c>
    </row>
    <row r="1844" spans="1:32" s="10" customFormat="1" ht="13.15" hidden="1" customHeight="1" outlineLevel="3" collapsed="1" x14ac:dyDescent="0.2">
      <c r="A1844" s="227"/>
      <c r="B1844" s="228" t="s">
        <v>3</v>
      </c>
      <c r="C1844" s="229" t="str">
        <f t="shared" si="1500"/>
        <v/>
      </c>
      <c r="D1844" s="227" t="str">
        <f t="shared" ca="1" si="1529"/>
        <v>17.001.002</v>
      </c>
      <c r="E1844" s="228" t="str">
        <f t="shared" ca="1" si="1530"/>
        <v>17.001.001.002</v>
      </c>
      <c r="F1844" s="230">
        <f ca="1">IF($B1844="UNIDADE CONSTRUTIVA",OFFSET(F1844,-1,0)+1,LARGE(F$10:F1843,1))</f>
        <v>2</v>
      </c>
      <c r="G1844" s="228" t="str">
        <f ca="1">IF(B1844="*","",IF(B1844="UNIDADE CONSTRUTIVA",S1844,OFFSET(G1844,-1,0)))</f>
        <v xml:space="preserve">   GERENCIAMENTO EXECUTIVO</v>
      </c>
      <c r="H1844" s="230">
        <f t="shared" ca="1" si="1531"/>
        <v>17</v>
      </c>
      <c r="I1844" s="228" t="str">
        <f ca="1">IF(B1844="*","",IF(B1844="CÉLULA CONSTRUTIVA",S1844,OFFSET(I1844,-1,0)))</f>
        <v xml:space="preserve">   ESQUADRIAS - VIDROS E FERRAGENS</v>
      </c>
      <c r="J1844" s="230">
        <f t="shared" ca="1" si="1532"/>
        <v>1</v>
      </c>
      <c r="K1844" s="228" t="str">
        <f ca="1">IF(B1844="*","",IF(B1844="ETAPA",S1844,OFFSET(K1844,-1,0)))</f>
        <v xml:space="preserve">   ESQUADRIAS - VIDROS E FERRAGENS - 1º PAVIMENTO - SUBSOLO</v>
      </c>
      <c r="L1844" s="231">
        <f t="shared" ca="1" si="1533"/>
        <v>2</v>
      </c>
      <c r="M1844" s="228" t="str">
        <f ca="1">IF(B1844="*","",IF(B1844="SUBETAPA",S1844,OFFSET(M1844,-1,0)))</f>
        <v xml:space="preserve">   Esquadrias metalicas</v>
      </c>
      <c r="N1844" s="231">
        <f t="shared" ca="1" si="1534"/>
        <v>0</v>
      </c>
      <c r="O1844" s="228" t="str">
        <f ca="1">IF(B1844="*","",IF(B1844="SERVIÇO",S1844,OFFSET(O1844,-1,0)))</f>
        <v>Esquadrias de Aluminio - Fornecimento e instalacao incluindo vidros</v>
      </c>
      <c r="P1844" s="232" t="str">
        <f>IF(S1844="","",IF(Orçamento!$B1844="INSUMO",S1844,""))</f>
        <v/>
      </c>
      <c r="Q1844" s="244" t="str">
        <f t="shared" ref="Q1844:Q1851" si="1535">IF(B1844="","",IF(B1844="Serviço",S1844,""))</f>
        <v/>
      </c>
      <c r="R1844" s="234">
        <f ca="1">IF(B1844="serviço",U1844,OFFSET(R1844,-1,0))</f>
        <v>12.13</v>
      </c>
      <c r="S1844" s="233" t="s">
        <v>502</v>
      </c>
      <c r="T1844" s="242" t="s">
        <v>35</v>
      </c>
      <c r="U1844" s="235" t="str">
        <f>IF($B1844="insumo",R1844,"")</f>
        <v/>
      </c>
      <c r="V1844" s="320" t="s">
        <v>35</v>
      </c>
      <c r="W1844" s="236" t="str">
        <f>IFERROR(IF(B1844="INSUMO",_xlfn.XLOOKUP(S1844,Insumos!A:A,Insumos!C:C),""),"Inserir Preço")</f>
        <v/>
      </c>
      <c r="X1844" s="235" t="str">
        <f ca="1">IF(B1844="Complemento do insumo",V1844,IF(R1844="","",IF(B1844="serviço",R1844,IF(OR(B1844="insumo"),V1844*R1844,""))))</f>
        <v/>
      </c>
      <c r="Y1844" s="236" t="str">
        <f t="shared" si="1517"/>
        <v/>
      </c>
      <c r="Z1844" s="237">
        <f t="shared" ca="1" si="1501"/>
        <v>1569.69</v>
      </c>
      <c r="AA1844" s="238"/>
      <c r="AB1844" s="233" t="str">
        <f>IF(B1844="insumo",_xlfn.XLOOKUP(S1844,Insumos!A:A,Insumos!D:D),"")</f>
        <v/>
      </c>
      <c r="AC1844" s="239">
        <f t="shared" ca="1" si="1502"/>
        <v>2.2518634168476647E-4</v>
      </c>
      <c r="AE1844" s="240">
        <f ca="1">IFERROR(IF(OR(Z1844="",Z1844=0),"",IF(AF1844="","",IF(AF1844="R$/mês",Z1844/OBRA!$D$12,IF(AF1844="R$/m²",Z1844/OBRA!$D$10,IF(AF1844="R$/apto",Orçamento!Z1844/OBRA!$D$11,""))))),"")</f>
        <v>0.80777365520293531</v>
      </c>
      <c r="AF1844" s="241" t="s">
        <v>154</v>
      </c>
    </row>
    <row r="1845" spans="1:32" s="10" customFormat="1" ht="13.15" hidden="1" customHeight="1" outlineLevel="4" x14ac:dyDescent="0.2">
      <c r="A1845" s="227"/>
      <c r="B1845" s="228" t="s">
        <v>4</v>
      </c>
      <c r="C1845" s="229">
        <f t="shared" si="1500"/>
        <v>5</v>
      </c>
      <c r="D1845" s="227" t="str">
        <f t="shared" ca="1" si="1529"/>
        <v>17.001.002.001</v>
      </c>
      <c r="E1845" s="228" t="str">
        <f t="shared" ca="1" si="1530"/>
        <v>17.001.002.001</v>
      </c>
      <c r="F1845" s="230">
        <f ca="1">IF($B1845="UNIDADE CONSTRUTIVA",OFFSET(F1845,-1,0)+1,LARGE(F$10:F1844,1))</f>
        <v>2</v>
      </c>
      <c r="G1845" s="228" t="str">
        <f ca="1">IF(B1845="*","",IF(B1845="UNIDADE CONSTRUTIVA",S1845,OFFSET(G1845,-1,0)))</f>
        <v xml:space="preserve">   GERENCIAMENTO EXECUTIVO</v>
      </c>
      <c r="H1845" s="230">
        <f t="shared" ca="1" si="1531"/>
        <v>17</v>
      </c>
      <c r="I1845" s="228" t="str">
        <f ca="1">IF(B1845="*","",IF(B1845="CÉLULA CONSTRUTIVA",S1845,OFFSET(I1845,-1,0)))</f>
        <v xml:space="preserve">   ESQUADRIAS - VIDROS E FERRAGENS</v>
      </c>
      <c r="J1845" s="230">
        <f t="shared" ca="1" si="1532"/>
        <v>1</v>
      </c>
      <c r="K1845" s="228" t="str">
        <f ca="1">IF(B1845="*","",IF(B1845="ETAPA",S1845,OFFSET(K1845,-1,0)))</f>
        <v xml:space="preserve">   ESQUADRIAS - VIDROS E FERRAGENS - 1º PAVIMENTO - SUBSOLO</v>
      </c>
      <c r="L1845" s="231">
        <f t="shared" ca="1" si="1533"/>
        <v>2</v>
      </c>
      <c r="M1845" s="228" t="str">
        <f ca="1">IF(B1845="*","",IF(B1845="SUBETAPA",S1845,OFFSET(M1845,-1,0)))</f>
        <v xml:space="preserve">   Esquadrias metalicas</v>
      </c>
      <c r="N1845" s="231">
        <f t="shared" ca="1" si="1534"/>
        <v>1</v>
      </c>
      <c r="O1845" s="228" t="str">
        <f ca="1">IF(B1845="*","",IF(B1845="SERVIÇO",S1845,OFFSET(O1845,-1,0)))</f>
        <v>Esquadrias Metálicas - Porta Corta Fogo - fornecimento e instalacao</v>
      </c>
      <c r="P1845" s="232" t="str">
        <f>IF(S1845="","",IF(Orçamento!$B1845="INSUMO",S1845,""))</f>
        <v/>
      </c>
      <c r="Q1845" s="244" t="str">
        <f t="shared" si="1535"/>
        <v>Esquadrias Metálicas - Porta Corta Fogo - fornecimento e instalacao</v>
      </c>
      <c r="R1845" s="234">
        <f ca="1">IF(B1845="serviço",U1845,OFFSET(R1845,-1,0))</f>
        <v>1</v>
      </c>
      <c r="S1845" s="233" t="s">
        <v>824</v>
      </c>
      <c r="T1845" s="242" t="s">
        <v>142</v>
      </c>
      <c r="U1845" s="235">
        <v>1</v>
      </c>
      <c r="V1845" s="320" t="s">
        <v>35</v>
      </c>
      <c r="W1845" s="236" t="str">
        <f>IFERROR(IF(B1845="INSUMO",_xlfn.XLOOKUP(S1845,Insumos!A:A,Insumos!C:C),""),"Inserir Preço")</f>
        <v/>
      </c>
      <c r="X1845" s="235">
        <f ca="1">IF(B1845="Complemento do insumo",V1845,IF(R1845="","",IF(B1845="serviço",R1845,IF(OR(B1845="insumo"),V1845*R1845,""))))</f>
        <v>1</v>
      </c>
      <c r="Y1845" s="236">
        <f t="shared" ca="1" si="1517"/>
        <v>1569.69</v>
      </c>
      <c r="Z1845" s="237">
        <f t="shared" ca="1" si="1501"/>
        <v>1569.69</v>
      </c>
      <c r="AA1845" s="238"/>
      <c r="AB1845" s="233" t="str">
        <f>IF(B1845="insumo",_xlfn.XLOOKUP(S1845,Insumos!A:A,Insumos!D:D),"")</f>
        <v/>
      </c>
      <c r="AC1845" s="239">
        <f t="shared" ca="1" si="1502"/>
        <v>2.2518634168476647E-4</v>
      </c>
      <c r="AE1845" s="240">
        <f ca="1">IFERROR(IF(OR(Z1845="",Z1845=0),"",IF(AF1845="","",IF(AF1845="R$/mês",Z1845/OBRA!$D$12,IF(AF1845="R$/m²",Z1845/OBRA!$D$10,IF(AF1845="R$/apto",Orçamento!Z1845/OBRA!$D$11,""))))),"")</f>
        <v>0.80777365520293531</v>
      </c>
      <c r="AF1845" s="241" t="s">
        <v>154</v>
      </c>
    </row>
    <row r="1846" spans="1:32" s="10" customFormat="1" ht="13.15" hidden="1" customHeight="1" outlineLevel="4" x14ac:dyDescent="0.2">
      <c r="A1846" s="227"/>
      <c r="B1846" s="228" t="s">
        <v>19</v>
      </c>
      <c r="C1846" s="229">
        <f t="shared" si="1500"/>
        <v>5</v>
      </c>
      <c r="D1846" s="227" t="str">
        <f t="shared" si="1529"/>
        <v/>
      </c>
      <c r="E1846" s="228" t="str">
        <f t="shared" ca="1" si="1530"/>
        <v>17.001.002.001</v>
      </c>
      <c r="F1846" s="230">
        <f ca="1">IF($B1846="UNIDADE CONSTRUTIVA",OFFSET(F1846,-1,0)+1,LARGE(F$10:F1845,1))</f>
        <v>2</v>
      </c>
      <c r="G1846" s="228" t="str">
        <f ca="1">IF(B1846="*","",IF(B1846="UNIDADE CONSTRUTIVA",S1846,OFFSET(G1846,-1,0)))</f>
        <v xml:space="preserve">   GERENCIAMENTO EXECUTIVO</v>
      </c>
      <c r="H1846" s="230">
        <f t="shared" ca="1" si="1531"/>
        <v>17</v>
      </c>
      <c r="I1846" s="228" t="str">
        <f ca="1">IF(B1846="*","",IF(B1846="CÉLULA CONSTRUTIVA",S1846,OFFSET(I1846,-1,0)))</f>
        <v xml:space="preserve">   ESQUADRIAS - VIDROS E FERRAGENS</v>
      </c>
      <c r="J1846" s="230">
        <f t="shared" ca="1" si="1532"/>
        <v>1</v>
      </c>
      <c r="K1846" s="228" t="str">
        <f ca="1">IF(B1846="*","",IF(B1846="ETAPA",S1846,OFFSET(K1846,-1,0)))</f>
        <v xml:space="preserve">   ESQUADRIAS - VIDROS E FERRAGENS - 1º PAVIMENTO - SUBSOLO</v>
      </c>
      <c r="L1846" s="231">
        <f t="shared" ca="1" si="1533"/>
        <v>2</v>
      </c>
      <c r="M1846" s="228" t="str">
        <f ca="1">IF(B1846="*","",IF(B1846="SUBETAPA",S1846,OFFSET(M1846,-1,0)))</f>
        <v xml:space="preserve">   Esquadrias metalicas</v>
      </c>
      <c r="N1846" s="231">
        <f t="shared" ca="1" si="1534"/>
        <v>1</v>
      </c>
      <c r="O1846" s="228" t="str">
        <f ca="1">IF(B1846="*","",IF(B1846="SERVIÇO",S1846,OFFSET(O1846,-1,0)))</f>
        <v>Esquadrias Metálicas - Porta Corta Fogo - fornecimento e instalacao</v>
      </c>
      <c r="P1846" s="232" t="str">
        <f>IF(S1846="","",IF(Orçamento!$B1846="INSUMO",S1846,""))</f>
        <v>PCF - PORTA ESPECIAL  - ABRIR (E. VERTIVAL) - 80X210</v>
      </c>
      <c r="Q1846" s="244" t="str">
        <f t="shared" si="1535"/>
        <v/>
      </c>
      <c r="R1846" s="234">
        <f ca="1">IF(B1846="serviço",U1846,OFFSET(R1846,-1,0))</f>
        <v>1</v>
      </c>
      <c r="S1846" s="233" t="s">
        <v>683</v>
      </c>
      <c r="T1846" s="242" t="str">
        <f>_xlfn.XLOOKUP(S1846,Insumos!$A$3:$A$371,Insumos!$B$3:$B$371)</f>
        <v>UN</v>
      </c>
      <c r="U1846" s="235">
        <f ca="1">IF($B1846="insumo",R1846,"")</f>
        <v>1</v>
      </c>
      <c r="V1846" s="320">
        <v>1</v>
      </c>
      <c r="W1846" s="236">
        <f>IFERROR(IF(B1846="INSUMO",_xlfn.XLOOKUP(S1846,Insumos!A:A,Insumos!C:C),""),"Inserir Preço")</f>
        <v>1569.69</v>
      </c>
      <c r="X1846" s="235">
        <f ca="1">IF(B1846="Complemento do insumo",V1846,IF(R1846="","",IF(B1846="serviço",R1846,IF(OR(B1846="insumo"),V1846*R1846,""))))</f>
        <v>1</v>
      </c>
      <c r="Y1846" s="236">
        <f t="shared" si="1517"/>
        <v>1569.69</v>
      </c>
      <c r="Z1846" s="237">
        <f t="shared" ca="1" si="1501"/>
        <v>1569.69</v>
      </c>
      <c r="AA1846" s="238"/>
      <c r="AB1846" s="233" t="str">
        <f>IF(B1846="insumo",_xlfn.XLOOKUP(S1846,Insumos!A:A,Insumos!D:D),"")</f>
        <v xml:space="preserve"> </v>
      </c>
      <c r="AC1846" s="239">
        <f t="shared" ca="1" si="1502"/>
        <v>2.2518634168476647E-4</v>
      </c>
      <c r="AE1846" s="240">
        <f ca="1">IFERROR(IF(OR(Z1846="",Z1846=0),"",IF(AF1846="","",IF(AF1846="R$/mês",Z1846/OBRA!$D$12,IF(AF1846="R$/m²",Z1846/OBRA!$D$10,IF(AF1846="R$/apto",Orçamento!Z1846/OBRA!$D$11,""))))),"")</f>
        <v>0.80777365520293531</v>
      </c>
      <c r="AF1846" s="241" t="s">
        <v>154</v>
      </c>
    </row>
    <row r="1847" spans="1:32" s="10" customFormat="1" ht="13.15" customHeight="1" outlineLevel="2" collapsed="1" x14ac:dyDescent="0.2">
      <c r="A1847" s="227"/>
      <c r="B1847" s="228" t="s">
        <v>2</v>
      </c>
      <c r="C1847" s="229" t="str">
        <f t="shared" si="1500"/>
        <v/>
      </c>
      <c r="D1847" s="227" t="str">
        <f t="shared" ca="1" si="1529"/>
        <v>17.002</v>
      </c>
      <c r="E1847" s="228" t="str">
        <f t="shared" ca="1" si="1530"/>
        <v>17.001.002.001</v>
      </c>
      <c r="F1847" s="230">
        <f ca="1">IF($B1847="UNIDADE CONSTRUTIVA",OFFSET(F1847,-1,0)+1,LARGE(F$10:F1846,1))</f>
        <v>2</v>
      </c>
      <c r="G1847" s="228" t="str">
        <f ca="1">IF(B1847="*","",IF(B1847="UNIDADE CONSTRUTIVA",S1847,OFFSET(G1847,-1,0)))</f>
        <v xml:space="preserve">   GERENCIAMENTO EXECUTIVO</v>
      </c>
      <c r="H1847" s="230">
        <f t="shared" ca="1" si="1531"/>
        <v>17</v>
      </c>
      <c r="I1847" s="228" t="str">
        <f ca="1">IF(B1847="*","",IF(B1847="CÉLULA CONSTRUTIVA",S1847,OFFSET(I1847,-1,0)))</f>
        <v xml:space="preserve">   ESQUADRIAS - VIDROS E FERRAGENS</v>
      </c>
      <c r="J1847" s="230">
        <f t="shared" ca="1" si="1532"/>
        <v>2</v>
      </c>
      <c r="K1847" s="228" t="str">
        <f ca="1">IF(B1847="*","",IF(B1847="ETAPA",S1847,OFFSET(K1847,-1,0)))</f>
        <v xml:space="preserve">   ESQUADRIAS - VIDROS E FERRAGENS - 2º PAVIMENTO - TÉRREO</v>
      </c>
      <c r="L1847" s="231">
        <f t="shared" ca="1" si="1533"/>
        <v>0</v>
      </c>
      <c r="M1847" s="228" t="str">
        <f ca="1">IF(B1847="*","",IF(B1847="SUBETAPA",S1847,OFFSET(M1847,-1,0)))</f>
        <v xml:space="preserve">   Esquadrias metalicas</v>
      </c>
      <c r="N1847" s="231">
        <f t="shared" ca="1" si="1534"/>
        <v>1</v>
      </c>
      <c r="O1847" s="228" t="str">
        <f ca="1">IF(B1847="*","",IF(B1847="SERVIÇO",S1847,OFFSET(O1847,-1,0)))</f>
        <v>Esquadrias Metálicas - Porta Corta Fogo - fornecimento e instalacao</v>
      </c>
      <c r="P1847" s="232" t="str">
        <f>IF(S1847="","",IF(Orçamento!$B1847="INSUMO",S1847,""))</f>
        <v/>
      </c>
      <c r="Q1847" s="244" t="str">
        <f t="shared" si="1535"/>
        <v/>
      </c>
      <c r="R1847" s="234">
        <f ca="1">IF(B1847="serviço",U1847,OFFSET(R1847,-1,0))</f>
        <v>1</v>
      </c>
      <c r="S1847" s="233" t="s">
        <v>637</v>
      </c>
      <c r="T1847" s="242" t="s">
        <v>35</v>
      </c>
      <c r="U1847" s="235" t="str">
        <f>IF($B1847="insumo",R1847,"")</f>
        <v/>
      </c>
      <c r="V1847" s="320" t="s">
        <v>35</v>
      </c>
      <c r="W1847" s="236" t="str">
        <f>IFERROR(IF(B1847="INSUMO",_xlfn.XLOOKUP(S1847,Insumos!A:A,Insumos!C:C),""),"Inserir Preço")</f>
        <v/>
      </c>
      <c r="X1847" s="235" t="str">
        <f ca="1">IF(B1847="Complemento do insumo",V1847,IF(R1847="","",IF(B1847="serviço",R1847,IF(OR(B1847="insumo"),V1847*R1847,""))))</f>
        <v/>
      </c>
      <c r="Y1847" s="236" t="str">
        <f t="shared" si="1517"/>
        <v/>
      </c>
      <c r="Z1847" s="237">
        <f t="shared" ca="1" si="1501"/>
        <v>49348.946195213059</v>
      </c>
      <c r="AA1847" s="238"/>
      <c r="AB1847" s="233" t="str">
        <f>IF(B1847="insumo",_xlfn.XLOOKUP(S1847,Insumos!A:A,Insumos!D:D),"")</f>
        <v/>
      </c>
      <c r="AC1847" s="239">
        <f t="shared" ca="1" si="1502"/>
        <v>7.0795562561387308E-3</v>
      </c>
      <c r="AE1847" s="240">
        <f ca="1">IFERROR(IF(OR(Z1847="",Z1847=0),"",IF(AF1847="","",IF(AF1847="R$/mês",Z1847/OBRA!$D$12,IF(AF1847="R$/m²",Z1847/OBRA!$D$10,IF(AF1847="R$/apto",Orçamento!Z1847/OBRA!$D$11,""))))),"")</f>
        <v>25.395319234065479</v>
      </c>
      <c r="AF1847" s="241" t="s">
        <v>154</v>
      </c>
    </row>
    <row r="1848" spans="1:32" s="10" customFormat="1" ht="13.15" hidden="1" customHeight="1" outlineLevel="3" collapsed="1" x14ac:dyDescent="0.2">
      <c r="A1848" s="227"/>
      <c r="B1848" s="228" t="s">
        <v>3</v>
      </c>
      <c r="C1848" s="229" t="str">
        <f t="shared" si="1500"/>
        <v/>
      </c>
      <c r="D1848" s="227" t="str">
        <f t="shared" ca="1" si="1529"/>
        <v>17.002.001</v>
      </c>
      <c r="E1848" s="228" t="str">
        <f t="shared" ca="1" si="1530"/>
        <v>17.001.002.001</v>
      </c>
      <c r="F1848" s="230">
        <f ca="1">IF($B1848="UNIDADE CONSTRUTIVA",OFFSET(F1848,-1,0)+1,LARGE(F$10:F1847,1))</f>
        <v>2</v>
      </c>
      <c r="G1848" s="228" t="str">
        <f t="shared" ref="G1848:G1878" ca="1" si="1536">IF(B1848="*","",IF(B1848="UNIDADE CONSTRUTIVA",S1848,OFFSET(G1848,-1,0)))</f>
        <v xml:space="preserve">   GERENCIAMENTO EXECUTIVO</v>
      </c>
      <c r="H1848" s="230">
        <f t="shared" ca="1" si="1531"/>
        <v>17</v>
      </c>
      <c r="I1848" s="228" t="str">
        <f t="shared" ref="I1848:I1878" ca="1" si="1537">IF(B1848="*","",IF(B1848="CÉLULA CONSTRUTIVA",S1848,OFFSET(I1848,-1,0)))</f>
        <v xml:space="preserve">   ESQUADRIAS - VIDROS E FERRAGENS</v>
      </c>
      <c r="J1848" s="230">
        <f t="shared" ca="1" si="1532"/>
        <v>2</v>
      </c>
      <c r="K1848" s="228" t="str">
        <f t="shared" ref="K1848:K1878" ca="1" si="1538">IF(B1848="*","",IF(B1848="ETAPA",S1848,OFFSET(K1848,-1,0)))</f>
        <v xml:space="preserve">   ESQUADRIAS - VIDROS E FERRAGENS - 2º PAVIMENTO - TÉRREO</v>
      </c>
      <c r="L1848" s="231">
        <f t="shared" ca="1" si="1533"/>
        <v>1</v>
      </c>
      <c r="M1848" s="228" t="str">
        <f t="shared" ref="M1848:M1878" ca="1" si="1539">IF(B1848="*","",IF(B1848="SUBETAPA",S1848,OFFSET(M1848,-1,0)))</f>
        <v xml:space="preserve">   Esquadrias Alumínio</v>
      </c>
      <c r="N1848" s="231">
        <f t="shared" ca="1" si="1534"/>
        <v>0</v>
      </c>
      <c r="O1848" s="228" t="str">
        <f t="shared" ref="O1848:O1878" ca="1" si="1540">IF(B1848="*","",IF(B1848="SERVIÇO",S1848,OFFSET(O1848,-1,0)))</f>
        <v>Esquadrias Metálicas - Porta Corta Fogo - fornecimento e instalacao</v>
      </c>
      <c r="P1848" s="232" t="str">
        <f>IF(S1848="","",IF(Orçamento!$B1848="INSUMO",S1848,""))</f>
        <v/>
      </c>
      <c r="Q1848" s="244" t="str">
        <f t="shared" si="1535"/>
        <v/>
      </c>
      <c r="R1848" s="234">
        <f t="shared" ref="R1848:R1878" ca="1" si="1541">IF(B1848="serviço",U1848,OFFSET(R1848,-1,0))</f>
        <v>1</v>
      </c>
      <c r="S1848" s="233" t="s">
        <v>635</v>
      </c>
      <c r="T1848" s="242" t="s">
        <v>35</v>
      </c>
      <c r="U1848" s="235" t="str">
        <f>IF($B1848="insumo",R1848,"")</f>
        <v/>
      </c>
      <c r="V1848" s="320" t="s">
        <v>35</v>
      </c>
      <c r="W1848" s="236" t="str">
        <f>IFERROR(IF(B1848="INSUMO",_xlfn.XLOOKUP(S1848,Insumos!A:A,Insumos!C:C),""),"Inserir Preço")</f>
        <v/>
      </c>
      <c r="X1848" s="235" t="str">
        <f t="shared" ref="X1848:X1878" ca="1" si="1542">IF(B1848="Complemento do insumo",V1848,IF(R1848="","",IF(B1848="serviço",R1848,IF(OR(B1848="insumo"),V1848*R1848,""))))</f>
        <v/>
      </c>
      <c r="Y1848" s="236" t="str">
        <f t="shared" si="1517"/>
        <v/>
      </c>
      <c r="Z1848" s="237">
        <f t="shared" ca="1" si="1501"/>
        <v>34263.875315213045</v>
      </c>
      <c r="AA1848" s="238"/>
      <c r="AB1848" s="233" t="str">
        <f>IF(B1848="insumo",_xlfn.XLOOKUP(S1848,Insumos!A:A,Insumos!D:D),"")</f>
        <v/>
      </c>
      <c r="AC1848" s="239">
        <f t="shared" ca="1" si="1502"/>
        <v>4.9154653047262832E-3</v>
      </c>
      <c r="AE1848" s="240">
        <f ca="1">IFERROR(IF(OR(Z1848="",Z1848=0),"",IF(AF1848="","",IF(AF1848="R$/mês",Z1848/OBRA!$D$12,IF(AF1848="R$/m²",Z1848/OBRA!$D$10,IF(AF1848="R$/apto",Orçamento!Z1848/OBRA!$D$11,""))))),"")</f>
        <v>17.632434305364288</v>
      </c>
      <c r="AF1848" s="241" t="s">
        <v>154</v>
      </c>
    </row>
    <row r="1849" spans="1:32" s="10" customFormat="1" ht="13.15" hidden="1" customHeight="1" outlineLevel="4" x14ac:dyDescent="0.2">
      <c r="A1849" s="227"/>
      <c r="B1849" s="228" t="s">
        <v>4</v>
      </c>
      <c r="C1849" s="229">
        <f t="shared" si="1500"/>
        <v>5</v>
      </c>
      <c r="D1849" s="227" t="str">
        <f t="shared" ca="1" si="1529"/>
        <v>17.002.001.001</v>
      </c>
      <c r="E1849" s="228" t="str">
        <f t="shared" ca="1" si="1530"/>
        <v>17.002.001.001</v>
      </c>
      <c r="F1849" s="230">
        <f ca="1">IF($B1849="UNIDADE CONSTRUTIVA",OFFSET(F1849,-1,0)+1,LARGE(F$10:F1848,1))</f>
        <v>2</v>
      </c>
      <c r="G1849" s="228" t="str">
        <f t="shared" ca="1" si="1536"/>
        <v xml:space="preserve">   GERENCIAMENTO EXECUTIVO</v>
      </c>
      <c r="H1849" s="230">
        <f t="shared" ca="1" si="1531"/>
        <v>17</v>
      </c>
      <c r="I1849" s="228" t="str">
        <f t="shared" ca="1" si="1537"/>
        <v xml:space="preserve">   ESQUADRIAS - VIDROS E FERRAGENS</v>
      </c>
      <c r="J1849" s="230">
        <f t="shared" ca="1" si="1532"/>
        <v>2</v>
      </c>
      <c r="K1849" s="228" t="str">
        <f t="shared" ca="1" si="1538"/>
        <v xml:space="preserve">   ESQUADRIAS - VIDROS E FERRAGENS - 2º PAVIMENTO - TÉRREO</v>
      </c>
      <c r="L1849" s="231">
        <f t="shared" ca="1" si="1533"/>
        <v>1</v>
      </c>
      <c r="M1849" s="228" t="str">
        <f t="shared" ca="1" si="1539"/>
        <v xml:space="preserve">   Esquadrias Alumínio</v>
      </c>
      <c r="N1849" s="231">
        <f t="shared" ca="1" si="1534"/>
        <v>1</v>
      </c>
      <c r="O1849" s="228" t="str">
        <f t="shared" ca="1" si="1540"/>
        <v>Fixacao de de contramarcos com argamassa</v>
      </c>
      <c r="P1849" s="232" t="str">
        <f>IF(S1849="","",IF(Orçamento!$B1849="INSUMO",S1849,""))</f>
        <v/>
      </c>
      <c r="Q1849" s="244" t="str">
        <f t="shared" si="1535"/>
        <v>Fixacao de de contramarcos com argamassa</v>
      </c>
      <c r="R1849" s="234">
        <f t="shared" ca="1" si="1541"/>
        <v>63.9</v>
      </c>
      <c r="S1849" s="233" t="s">
        <v>503</v>
      </c>
      <c r="T1849" s="242" t="s">
        <v>158</v>
      </c>
      <c r="U1849" s="235">
        <v>63.9</v>
      </c>
      <c r="V1849" s="320" t="s">
        <v>35</v>
      </c>
      <c r="W1849" s="236" t="str">
        <f>IFERROR(IF(B1849="INSUMO",_xlfn.XLOOKUP(S1849,Insumos!A:A,Insumos!C:C),""),"Inserir Preço")</f>
        <v/>
      </c>
      <c r="X1849" s="235">
        <f t="shared" ca="1" si="1542"/>
        <v>63.9</v>
      </c>
      <c r="Y1849" s="236">
        <f t="shared" ca="1" si="1517"/>
        <v>0.85</v>
      </c>
      <c r="Z1849" s="237">
        <f t="shared" ca="1" si="1501"/>
        <v>54.314999999999998</v>
      </c>
      <c r="AA1849" s="238"/>
      <c r="AB1849" s="233" t="str">
        <f>IF(B1849="insumo",_xlfn.XLOOKUP(S1849,Insumos!A:A,Insumos!D:D),"")</f>
        <v/>
      </c>
      <c r="AC1849" s="239">
        <f t="shared" ca="1" si="1502"/>
        <v>7.7919819509636229E-6</v>
      </c>
      <c r="AE1849" s="240">
        <f ca="1">IFERROR(IF(OR(Z1849="",Z1849=0),"",IF(AF1849="","",IF(AF1849="R$/mês",Z1849/OBRA!$D$12,IF(AF1849="R$/m²",Z1849/OBRA!$D$10,IF(AF1849="R$/apto",Orçamento!Z1849/OBRA!$D$11,""))))),"")</f>
        <v>2.7950885896162573E-2</v>
      </c>
      <c r="AF1849" s="241" t="s">
        <v>154</v>
      </c>
    </row>
    <row r="1850" spans="1:32" s="10" customFormat="1" ht="13.15" hidden="1" customHeight="1" outlineLevel="4" x14ac:dyDescent="0.2">
      <c r="A1850" s="227"/>
      <c r="B1850" s="228" t="s">
        <v>19</v>
      </c>
      <c r="C1850" s="229">
        <f t="shared" si="1500"/>
        <v>19</v>
      </c>
      <c r="D1850" s="227" t="str">
        <f t="shared" si="1529"/>
        <v/>
      </c>
      <c r="E1850" s="228" t="str">
        <f t="shared" ca="1" si="1530"/>
        <v>17.002.001.001</v>
      </c>
      <c r="F1850" s="230">
        <f ca="1">IF($B1850="UNIDADE CONSTRUTIVA",OFFSET(F1850,-1,0)+1,LARGE(F$10:F1849,1))</f>
        <v>2</v>
      </c>
      <c r="G1850" s="228" t="str">
        <f t="shared" ca="1" si="1536"/>
        <v xml:space="preserve">   GERENCIAMENTO EXECUTIVO</v>
      </c>
      <c r="H1850" s="230">
        <f t="shared" ca="1" si="1531"/>
        <v>17</v>
      </c>
      <c r="I1850" s="228" t="str">
        <f t="shared" ca="1" si="1537"/>
        <v xml:space="preserve">   ESQUADRIAS - VIDROS E FERRAGENS</v>
      </c>
      <c r="J1850" s="230">
        <f t="shared" ca="1" si="1532"/>
        <v>2</v>
      </c>
      <c r="K1850" s="228" t="str">
        <f t="shared" ca="1" si="1538"/>
        <v xml:space="preserve">   ESQUADRIAS - VIDROS E FERRAGENS - 2º PAVIMENTO - TÉRREO</v>
      </c>
      <c r="L1850" s="231">
        <f t="shared" ca="1" si="1533"/>
        <v>1</v>
      </c>
      <c r="M1850" s="228" t="str">
        <f t="shared" ca="1" si="1539"/>
        <v xml:space="preserve">   Esquadrias Alumínio</v>
      </c>
      <c r="N1850" s="231">
        <f t="shared" ca="1" si="1534"/>
        <v>1</v>
      </c>
      <c r="O1850" s="228" t="str">
        <f t="shared" ca="1" si="1540"/>
        <v>Fixacao de de contramarcos com argamassa</v>
      </c>
      <c r="P1850" s="232" t="str">
        <f>IF(S1850="","",IF(Orçamento!$B1850="INSUMO",S1850,""))</f>
        <v>ARGAMASSA ESTABILIZADA P/ ASSENTAMENTO</v>
      </c>
      <c r="Q1850" s="244" t="str">
        <f t="shared" si="1535"/>
        <v/>
      </c>
      <c r="R1850" s="234">
        <f t="shared" ca="1" si="1541"/>
        <v>63.9</v>
      </c>
      <c r="S1850" s="233" t="s">
        <v>206</v>
      </c>
      <c r="T1850" s="242" t="str">
        <f>_xlfn.XLOOKUP(S1850,Insumos!$A$3:$A$371,Insumos!$B$3:$B$371)</f>
        <v>M3</v>
      </c>
      <c r="U1850" s="235">
        <f ca="1">IF($B1850="insumo",R1850,"")</f>
        <v>63.9</v>
      </c>
      <c r="V1850" s="320">
        <v>2E-3</v>
      </c>
      <c r="W1850" s="236">
        <f>IFERROR(IF(B1850="INSUMO",_xlfn.XLOOKUP(S1850,Insumos!A:A,Insumos!C:C),""),"Inserir Preço")</f>
        <v>425</v>
      </c>
      <c r="X1850" s="235">
        <f t="shared" ca="1" si="1542"/>
        <v>0.1278</v>
      </c>
      <c r="Y1850" s="236">
        <f t="shared" si="1517"/>
        <v>0.85</v>
      </c>
      <c r="Z1850" s="237">
        <f t="shared" ca="1" si="1501"/>
        <v>54.314999999999998</v>
      </c>
      <c r="AA1850" s="238"/>
      <c r="AB1850" s="233" t="str">
        <f>IF(B1850="insumo",_xlfn.XLOOKUP(S1850,Insumos!A:A,Insumos!D:D),"")</f>
        <v xml:space="preserve"> </v>
      </c>
      <c r="AC1850" s="239">
        <f t="shared" ca="1" si="1502"/>
        <v>7.7919819509636229E-6</v>
      </c>
      <c r="AE1850" s="240">
        <f ca="1">IFERROR(IF(OR(Z1850="",Z1850=0),"",IF(AF1850="","",IF(AF1850="R$/mês",Z1850/OBRA!$D$12,IF(AF1850="R$/m²",Z1850/OBRA!$D$10,IF(AF1850="R$/apto",Orçamento!Z1850/OBRA!$D$11,""))))),"")</f>
        <v>2.7950885896162573E-2</v>
      </c>
      <c r="AF1850" s="241" t="s">
        <v>154</v>
      </c>
    </row>
    <row r="1851" spans="1:32" s="10" customFormat="1" ht="13.15" hidden="1" customHeight="1" outlineLevel="4" x14ac:dyDescent="0.2">
      <c r="A1851" s="227"/>
      <c r="B1851" s="228" t="s">
        <v>4</v>
      </c>
      <c r="C1851" s="229">
        <f t="shared" si="1500"/>
        <v>5</v>
      </c>
      <c r="D1851" s="227" t="str">
        <f t="shared" ca="1" si="1529"/>
        <v>17.002.001.002</v>
      </c>
      <c r="E1851" s="228" t="str">
        <f t="shared" ca="1" si="1530"/>
        <v>17.002.001.002</v>
      </c>
      <c r="F1851" s="230">
        <f ca="1">IF($B1851="UNIDADE CONSTRUTIVA",OFFSET(F1851,-1,0)+1,LARGE(F$10:F1850,1))</f>
        <v>2</v>
      </c>
      <c r="G1851" s="228" t="str">
        <f t="shared" ca="1" si="1536"/>
        <v xml:space="preserve">   GERENCIAMENTO EXECUTIVO</v>
      </c>
      <c r="H1851" s="230">
        <f t="shared" ca="1" si="1531"/>
        <v>17</v>
      </c>
      <c r="I1851" s="228" t="str">
        <f t="shared" ca="1" si="1537"/>
        <v xml:space="preserve">   ESQUADRIAS - VIDROS E FERRAGENS</v>
      </c>
      <c r="J1851" s="230">
        <f t="shared" ca="1" si="1532"/>
        <v>2</v>
      </c>
      <c r="K1851" s="228" t="str">
        <f t="shared" ca="1" si="1538"/>
        <v xml:space="preserve">   ESQUADRIAS - VIDROS E FERRAGENS - 2º PAVIMENTO - TÉRREO</v>
      </c>
      <c r="L1851" s="231">
        <f t="shared" ca="1" si="1533"/>
        <v>1</v>
      </c>
      <c r="M1851" s="228" t="str">
        <f t="shared" ca="1" si="1539"/>
        <v xml:space="preserve">   Esquadrias Alumínio</v>
      </c>
      <c r="N1851" s="231">
        <f t="shared" ca="1" si="1534"/>
        <v>2</v>
      </c>
      <c r="O1851" s="228" t="str">
        <f t="shared" ca="1" si="1540"/>
        <v>Esquadrias de Aluminio - Fornecimento e instalacao incluindo vidros</v>
      </c>
      <c r="P1851" s="232" t="str">
        <f>IF(S1851="","",IF(Orçamento!$B1851="INSUMO",S1851,""))</f>
        <v/>
      </c>
      <c r="Q1851" s="244" t="str">
        <f t="shared" si="1535"/>
        <v>Esquadrias de Aluminio - Fornecimento e instalacao incluindo vidros</v>
      </c>
      <c r="R1851" s="234">
        <f t="shared" ca="1" si="1541"/>
        <v>41.180000000000007</v>
      </c>
      <c r="S1851" s="233" t="s">
        <v>504</v>
      </c>
      <c r="T1851" s="242" t="s">
        <v>140</v>
      </c>
      <c r="U1851" s="235">
        <v>41.180000000000007</v>
      </c>
      <c r="V1851" s="320" t="s">
        <v>35</v>
      </c>
      <c r="W1851" s="236" t="str">
        <f>IFERROR(IF(B1851="INSUMO",_xlfn.XLOOKUP(S1851,Insumos!A:A,Insumos!C:C),""),"Inserir Preço")</f>
        <v/>
      </c>
      <c r="X1851" s="235">
        <f t="shared" ca="1" si="1542"/>
        <v>41.180000000000007</v>
      </c>
      <c r="Y1851" s="236">
        <f t="shared" ca="1" si="1517"/>
        <v>830.73240202071486</v>
      </c>
      <c r="Z1851" s="237">
        <f t="shared" ca="1" si="1501"/>
        <v>34209.560315213042</v>
      </c>
      <c r="AA1851" s="238"/>
      <c r="AB1851" s="233" t="str">
        <f>IF(B1851="insumo",_xlfn.XLOOKUP(S1851,Insumos!A:A,Insumos!D:D),"")</f>
        <v/>
      </c>
      <c r="AC1851" s="239">
        <f t="shared" ca="1" si="1502"/>
        <v>4.9076733227753199E-3</v>
      </c>
      <c r="AE1851" s="240">
        <f ca="1">IFERROR(IF(OR(Z1851="",Z1851=0),"",IF(AF1851="","",IF(AF1851="R$/mês",Z1851/OBRA!$D$12,IF(AF1851="R$/m²",Z1851/OBRA!$D$10,IF(AF1851="R$/apto",Orçamento!Z1851/OBRA!$D$11,""))))),"")</f>
        <v>17.604483419468124</v>
      </c>
      <c r="AF1851" s="241" t="s">
        <v>154</v>
      </c>
    </row>
    <row r="1852" spans="1:32" s="10" customFormat="1" ht="13.15" hidden="1" customHeight="1" outlineLevel="4" x14ac:dyDescent="0.2">
      <c r="A1852" s="227"/>
      <c r="B1852" s="228" t="s">
        <v>19</v>
      </c>
      <c r="C1852" s="229">
        <f t="shared" si="1500"/>
        <v>5</v>
      </c>
      <c r="D1852" s="227" t="str">
        <f t="shared" si="1529"/>
        <v/>
      </c>
      <c r="E1852" s="228" t="str">
        <f t="shared" ca="1" si="1530"/>
        <v>17.002.001.002</v>
      </c>
      <c r="F1852" s="230">
        <f ca="1">IF($B1852="UNIDADE CONSTRUTIVA",OFFSET(F1852,-1,0)+1,LARGE(F$10:F1851,1))</f>
        <v>2</v>
      </c>
      <c r="G1852" s="228" t="str">
        <f t="shared" ca="1" si="1536"/>
        <v xml:space="preserve">   GERENCIAMENTO EXECUTIVO</v>
      </c>
      <c r="H1852" s="230">
        <f t="shared" ca="1" si="1531"/>
        <v>17</v>
      </c>
      <c r="I1852" s="228" t="str">
        <f t="shared" ca="1" si="1537"/>
        <v xml:space="preserve">   ESQUADRIAS - VIDROS E FERRAGENS</v>
      </c>
      <c r="J1852" s="230">
        <f t="shared" ca="1" si="1532"/>
        <v>2</v>
      </c>
      <c r="K1852" s="228" t="str">
        <f t="shared" ca="1" si="1538"/>
        <v xml:space="preserve">   ESQUADRIAS - VIDROS E FERRAGENS - 2º PAVIMENTO - TÉRREO</v>
      </c>
      <c r="L1852" s="231">
        <f t="shared" ca="1" si="1533"/>
        <v>1</v>
      </c>
      <c r="M1852" s="228" t="str">
        <f t="shared" ca="1" si="1539"/>
        <v xml:space="preserve">   Esquadrias Alumínio</v>
      </c>
      <c r="N1852" s="231">
        <f t="shared" ca="1" si="1534"/>
        <v>2</v>
      </c>
      <c r="O1852" s="228" t="str">
        <f t="shared" ca="1" si="1540"/>
        <v>Esquadrias de Aluminio - Fornecimento e instalacao incluindo vidros</v>
      </c>
      <c r="P1852" s="232" t="str">
        <f>IF(S1852="","",IF(Orçamento!$B1852="INSUMO",S1852,""))</f>
        <v>ESQUADRIAS DE ALUMINIO</v>
      </c>
      <c r="Q1852" s="244" t="str">
        <f t="shared" ref="Q1852:Q1883" si="1543">IF(B1852="","",IF(B1852="Serviço",S1852,""))</f>
        <v/>
      </c>
      <c r="R1852" s="234">
        <f t="shared" ca="1" si="1541"/>
        <v>41.180000000000007</v>
      </c>
      <c r="S1852" s="233" t="s">
        <v>238</v>
      </c>
      <c r="T1852" s="242" t="str">
        <f>_xlfn.XLOOKUP(S1852,Insumos!$A$3:$A$371,Insumos!$B$3:$B$371)</f>
        <v>M2</v>
      </c>
      <c r="U1852" s="235">
        <f ca="1">IF($B1852="insumo",R1852,"")</f>
        <v>41.180000000000007</v>
      </c>
      <c r="V1852" s="320">
        <v>1</v>
      </c>
      <c r="W1852" s="236">
        <f>IFERROR(IF(B1852="INSUMO",_xlfn.XLOOKUP(S1852,Insumos!A:A,Insumos!C:C),""),"Inserir Preço")</f>
        <v>830.73240202071486</v>
      </c>
      <c r="X1852" s="235">
        <f t="shared" ca="1" si="1542"/>
        <v>41.180000000000007</v>
      </c>
      <c r="Y1852" s="236">
        <f t="shared" si="1517"/>
        <v>830.73240202071486</v>
      </c>
      <c r="Z1852" s="237">
        <f t="shared" ca="1" si="1501"/>
        <v>34209.560315213042</v>
      </c>
      <c r="AA1852" s="238"/>
      <c r="AB1852" s="233" t="str">
        <f>IF(B1852="insumo",_xlfn.XLOOKUP(S1852,Insumos!A:A,Insumos!D:D),"")</f>
        <v>Fort Glass transparência que fortalece</v>
      </c>
      <c r="AC1852" s="239">
        <f t="shared" ca="1" si="1502"/>
        <v>4.9076733227753199E-3</v>
      </c>
      <c r="AE1852" s="240">
        <f ca="1">IFERROR(IF(OR(Z1852="",Z1852=0),"",IF(AF1852="","",IF(AF1852="R$/mês",Z1852/OBRA!$D$12,IF(AF1852="R$/m²",Z1852/OBRA!$D$10,IF(AF1852="R$/apto",Orçamento!Z1852/OBRA!$D$11,""))))),"")</f>
        <v>17.604483419468124</v>
      </c>
      <c r="AF1852" s="241" t="s">
        <v>154</v>
      </c>
    </row>
    <row r="1853" spans="1:32" s="10" customFormat="1" ht="13.15" hidden="1" customHeight="1" outlineLevel="3" collapsed="1" x14ac:dyDescent="0.2">
      <c r="A1853" s="227"/>
      <c r="B1853" s="228" t="s">
        <v>3</v>
      </c>
      <c r="C1853" s="229" t="str">
        <f t="shared" si="1500"/>
        <v/>
      </c>
      <c r="D1853" s="227" t="str">
        <f t="shared" ca="1" si="1529"/>
        <v>17.002.002</v>
      </c>
      <c r="E1853" s="228" t="str">
        <f t="shared" ca="1" si="1530"/>
        <v>17.002.001.002</v>
      </c>
      <c r="F1853" s="230">
        <f ca="1">IF($B1853="UNIDADE CONSTRUTIVA",OFFSET(F1853,-1,0)+1,LARGE(F$10:F1852,1))</f>
        <v>2</v>
      </c>
      <c r="G1853" s="228" t="str">
        <f ca="1">IF(B1853="*","",IF(B1853="UNIDADE CONSTRUTIVA",S1853,OFFSET(G1853,-1,0)))</f>
        <v xml:space="preserve">   GERENCIAMENTO EXECUTIVO</v>
      </c>
      <c r="H1853" s="230">
        <f t="shared" ca="1" si="1531"/>
        <v>17</v>
      </c>
      <c r="I1853" s="228" t="str">
        <f ca="1">IF(B1853="*","",IF(B1853="CÉLULA CONSTRUTIVA",S1853,OFFSET(I1853,-1,0)))</f>
        <v xml:space="preserve">   ESQUADRIAS - VIDROS E FERRAGENS</v>
      </c>
      <c r="J1853" s="230">
        <f t="shared" ca="1" si="1532"/>
        <v>2</v>
      </c>
      <c r="K1853" s="228" t="str">
        <f ca="1">IF(B1853="*","",IF(B1853="ETAPA",S1853,OFFSET(K1853,-1,0)))</f>
        <v xml:space="preserve">   ESQUADRIAS - VIDROS E FERRAGENS - 2º PAVIMENTO - TÉRREO</v>
      </c>
      <c r="L1853" s="231">
        <f t="shared" ca="1" si="1533"/>
        <v>2</v>
      </c>
      <c r="M1853" s="228" t="str">
        <f ca="1">IF(B1853="*","",IF(B1853="SUBETAPA",S1853,OFFSET(M1853,-1,0)))</f>
        <v xml:space="preserve">   Esquadrias metalicas</v>
      </c>
      <c r="N1853" s="231">
        <f t="shared" ca="1" si="1534"/>
        <v>0</v>
      </c>
      <c r="O1853" s="228" t="str">
        <f ca="1">IF(B1853="*","",IF(B1853="SERVIÇO",S1853,OFFSET(O1853,-1,0)))</f>
        <v>Esquadrias de Aluminio - Fornecimento e instalacao incluindo vidros</v>
      </c>
      <c r="P1853" s="232" t="str">
        <f>IF(S1853="","",IF(Orçamento!$B1853="INSUMO",S1853,""))</f>
        <v/>
      </c>
      <c r="Q1853" s="244" t="str">
        <f t="shared" si="1543"/>
        <v/>
      </c>
      <c r="R1853" s="234">
        <f ca="1">IF(B1853="serviço",U1853,OFFSET(R1853,-1,0))</f>
        <v>41.180000000000007</v>
      </c>
      <c r="S1853" s="233" t="s">
        <v>502</v>
      </c>
      <c r="T1853" s="242" t="s">
        <v>35</v>
      </c>
      <c r="U1853" s="235" t="str">
        <f>IF($B1853="insumo",R1853,"")</f>
        <v/>
      </c>
      <c r="V1853" s="320" t="s">
        <v>35</v>
      </c>
      <c r="W1853" s="236" t="str">
        <f>IFERROR(IF(B1853="INSUMO",_xlfn.XLOOKUP(S1853,Insumos!A:A,Insumos!C:C),""),"Inserir Preço")</f>
        <v/>
      </c>
      <c r="X1853" s="235" t="str">
        <f ca="1">IF(B1853="Complemento do insumo",V1853,IF(R1853="","",IF(B1853="serviço",R1853,IF(OR(B1853="insumo"),V1853*R1853,""))))</f>
        <v/>
      </c>
      <c r="Y1853" s="236" t="str">
        <f t="shared" si="1517"/>
        <v/>
      </c>
      <c r="Z1853" s="237">
        <f t="shared" ca="1" si="1501"/>
        <v>9748.44</v>
      </c>
      <c r="AA1853" s="238"/>
      <c r="AB1853" s="233" t="str">
        <f>IF(B1853="insumo",_xlfn.XLOOKUP(S1853,Insumos!A:A,Insumos!D:D),"")</f>
        <v/>
      </c>
      <c r="AC1853" s="239">
        <f t="shared" ca="1" si="1502"/>
        <v>1.3985025965212526E-3</v>
      </c>
      <c r="AE1853" s="240">
        <f ca="1">IFERROR(IF(OR(Z1853="",Z1853=0),"",IF(AF1853="","",IF(AF1853="R$/mês",Z1853/OBRA!$D$12,IF(AF1853="R$/m²",Z1853/OBRA!$D$10,IF(AF1853="R$/apto",Orçamento!Z1853/OBRA!$D$11,""))))),"")</f>
        <v>5.0166166640078638</v>
      </c>
      <c r="AF1853" s="241" t="s">
        <v>154</v>
      </c>
    </row>
    <row r="1854" spans="1:32" s="10" customFormat="1" ht="13.15" hidden="1" customHeight="1" outlineLevel="4" x14ac:dyDescent="0.2">
      <c r="A1854" s="227"/>
      <c r="B1854" s="228" t="s">
        <v>4</v>
      </c>
      <c r="C1854" s="229">
        <f t="shared" si="1500"/>
        <v>5</v>
      </c>
      <c r="D1854" s="227" t="str">
        <f t="shared" ref="D1854:D1872" ca="1" si="1544">IF(B1854="Unidade Construtiva",TEXT(F1854,"00"),IF(B1854="Célula Construtiva",TEXT(H1854,"00"),IF(B1854="Etapa",CONCATENATE(TEXT(H1854,"00"),".",TEXT(J1854,"000")),IF(B1854="Subetapa",CONCATENATE(TEXT(H1854,"00"),".",TEXT(J1854,"000"),".",TEXT(L1854,"000")),IF(B1854="Serviço",CONCATENATE(TEXT(H1854,"00"),".",TEXT(J1854,"000"),".",TEXT(L1854,"000"),".",TEXT(N1854,"000")),"")))))</f>
        <v>17.002.002.001</v>
      </c>
      <c r="E1854" s="228" t="str">
        <f t="shared" ref="E1854:E1872" ca="1" si="1545">IF(B1854="*","",IFERROR(IF(B1854="SERVIÇO",D1854,OFFSET(E1854,-1,0)),""))</f>
        <v>17.002.002.001</v>
      </c>
      <c r="F1854" s="230">
        <f ca="1">IF($B1854="UNIDADE CONSTRUTIVA",OFFSET(F1854,-1,0)+1,LARGE(F$10:F1853,1))</f>
        <v>2</v>
      </c>
      <c r="G1854" s="228" t="str">
        <f t="shared" ca="1" si="1536"/>
        <v xml:space="preserve">   GERENCIAMENTO EXECUTIVO</v>
      </c>
      <c r="H1854" s="230">
        <f t="shared" ref="H1854:H1872" ca="1" si="1546">IF(B1854="UNIDADE CONSTRUTIVA",0,IF(B1854="CÉLULA CONSTRUTIVA",OFFSET(H1854,-1,0)+1,OFFSET(H1854,-1,0)))</f>
        <v>17</v>
      </c>
      <c r="I1854" s="228" t="str">
        <f t="shared" ca="1" si="1537"/>
        <v xml:space="preserve">   ESQUADRIAS - VIDROS E FERRAGENS</v>
      </c>
      <c r="J1854" s="230">
        <f t="shared" ref="J1854:J1872" ca="1" si="1547">IF(B1854="CÉLULA CONSTRUTIVA",0,IF(B1854="ETAPA",OFFSET(J1854,-1,0)+1,OFFSET(J1854,-1,0)))</f>
        <v>2</v>
      </c>
      <c r="K1854" s="228" t="str">
        <f t="shared" ca="1" si="1538"/>
        <v xml:space="preserve">   ESQUADRIAS - VIDROS E FERRAGENS - 2º PAVIMENTO - TÉRREO</v>
      </c>
      <c r="L1854" s="231">
        <f t="shared" ref="L1854:L1872" ca="1" si="1548">IF(B1854="ETAPA",0,IF(B1854="SUBETAPA",OFFSET(L1854,-1,0)+1,OFFSET(L1854,-1,0)))</f>
        <v>2</v>
      </c>
      <c r="M1854" s="228" t="str">
        <f t="shared" ca="1" si="1539"/>
        <v xml:space="preserve">   Esquadrias metalicas</v>
      </c>
      <c r="N1854" s="231">
        <f t="shared" ref="N1854:N1872" ca="1" si="1549">IF(B1854="Subetapa",0,IF(B1854="serviço",OFFSET(N1854,-1,0)+1,OFFSET(N1854,-1,0)))</f>
        <v>1</v>
      </c>
      <c r="O1854" s="228" t="str">
        <f t="shared" ca="1" si="1540"/>
        <v>Esquadrias Metálicas - Porta Corta Fogo - fornecimento e instalacao</v>
      </c>
      <c r="P1854" s="232" t="str">
        <f>IF(S1854="","",IF(Orçamento!$B1854="INSUMO",S1854,""))</f>
        <v/>
      </c>
      <c r="Q1854" s="244" t="str">
        <f t="shared" si="1543"/>
        <v>Esquadrias Metálicas - Porta Corta Fogo - fornecimento e instalacao</v>
      </c>
      <c r="R1854" s="234">
        <f t="shared" ca="1" si="1541"/>
        <v>4</v>
      </c>
      <c r="S1854" s="233" t="s">
        <v>824</v>
      </c>
      <c r="T1854" s="242" t="s">
        <v>142</v>
      </c>
      <c r="U1854" s="235">
        <v>4</v>
      </c>
      <c r="V1854" s="320" t="s">
        <v>35</v>
      </c>
      <c r="W1854" s="236" t="str">
        <f>IFERROR(IF(B1854="INSUMO",_xlfn.XLOOKUP(S1854,Insumos!A:A,Insumos!C:C),""),"Inserir Preço")</f>
        <v/>
      </c>
      <c r="X1854" s="235">
        <f t="shared" ca="1" si="1542"/>
        <v>4</v>
      </c>
      <c r="Y1854" s="236">
        <f t="shared" ca="1" si="1517"/>
        <v>1569.69</v>
      </c>
      <c r="Z1854" s="237">
        <f t="shared" ca="1" si="1501"/>
        <v>6278.76</v>
      </c>
      <c r="AA1854" s="238"/>
      <c r="AB1854" s="233" t="str">
        <f>IF(B1854="insumo",_xlfn.XLOOKUP(S1854,Insumos!A:A,Insumos!D:D),"")</f>
        <v/>
      </c>
      <c r="AC1854" s="239">
        <f t="shared" ca="1" si="1502"/>
        <v>9.0074536673906587E-4</v>
      </c>
      <c r="AE1854" s="240">
        <f ca="1">IFERROR(IF(OR(Z1854="",Z1854=0),"",IF(AF1854="","",IF(AF1854="R$/mês",Z1854/OBRA!$D$12,IF(AF1854="R$/m²",Z1854/OBRA!$D$10,IF(AF1854="R$/apto",Orçamento!Z1854/OBRA!$D$11,""))))),"")</f>
        <v>3.2310946208117413</v>
      </c>
      <c r="AF1854" s="241" t="s">
        <v>154</v>
      </c>
    </row>
    <row r="1855" spans="1:32" s="10" customFormat="1" ht="13.15" hidden="1" customHeight="1" outlineLevel="4" x14ac:dyDescent="0.2">
      <c r="A1855" s="227"/>
      <c r="B1855" s="228" t="s">
        <v>19</v>
      </c>
      <c r="C1855" s="229">
        <f t="shared" si="1500"/>
        <v>5</v>
      </c>
      <c r="D1855" s="227" t="str">
        <f t="shared" si="1544"/>
        <v/>
      </c>
      <c r="E1855" s="228" t="str">
        <f t="shared" ca="1" si="1545"/>
        <v>17.002.002.001</v>
      </c>
      <c r="F1855" s="230">
        <f ca="1">IF($B1855="UNIDADE CONSTRUTIVA",OFFSET(F1855,-1,0)+1,LARGE(F$10:F1854,1))</f>
        <v>2</v>
      </c>
      <c r="G1855" s="228" t="str">
        <f t="shared" ca="1" si="1536"/>
        <v xml:space="preserve">   GERENCIAMENTO EXECUTIVO</v>
      </c>
      <c r="H1855" s="230">
        <f t="shared" ca="1" si="1546"/>
        <v>17</v>
      </c>
      <c r="I1855" s="228" t="str">
        <f t="shared" ca="1" si="1537"/>
        <v xml:space="preserve">   ESQUADRIAS - VIDROS E FERRAGENS</v>
      </c>
      <c r="J1855" s="230">
        <f t="shared" ca="1" si="1547"/>
        <v>2</v>
      </c>
      <c r="K1855" s="228" t="str">
        <f t="shared" ca="1" si="1538"/>
        <v xml:space="preserve">   ESQUADRIAS - VIDROS E FERRAGENS - 2º PAVIMENTO - TÉRREO</v>
      </c>
      <c r="L1855" s="231">
        <f t="shared" ca="1" si="1548"/>
        <v>2</v>
      </c>
      <c r="M1855" s="228" t="str">
        <f t="shared" ca="1" si="1539"/>
        <v xml:space="preserve">   Esquadrias metalicas</v>
      </c>
      <c r="N1855" s="231">
        <f t="shared" ca="1" si="1549"/>
        <v>1</v>
      </c>
      <c r="O1855" s="228" t="str">
        <f t="shared" ca="1" si="1540"/>
        <v>Esquadrias Metálicas - Porta Corta Fogo - fornecimento e instalacao</v>
      </c>
      <c r="P1855" s="232" t="str">
        <f>IF(S1855="","",IF(Orçamento!$B1855="INSUMO",S1855,""))</f>
        <v>PCF - PORTA ESPECIAL  - ABRIR (E. VERTIVAL) - 80X210</v>
      </c>
      <c r="Q1855" s="244" t="str">
        <f t="shared" si="1543"/>
        <v/>
      </c>
      <c r="R1855" s="234">
        <f t="shared" ca="1" si="1541"/>
        <v>4</v>
      </c>
      <c r="S1855" s="233" t="s">
        <v>683</v>
      </c>
      <c r="T1855" s="242" t="str">
        <f>_xlfn.XLOOKUP(S1855,Insumos!$A$3:$A$371,Insumos!$B$3:$B$371)</f>
        <v>UN</v>
      </c>
      <c r="U1855" s="235">
        <f ca="1">IF($B1855="insumo",R1855,"")</f>
        <v>4</v>
      </c>
      <c r="V1855" s="320">
        <v>1</v>
      </c>
      <c r="W1855" s="236">
        <f>IFERROR(IF(B1855="INSUMO",_xlfn.XLOOKUP(S1855,Insumos!A:A,Insumos!C:C),""),"Inserir Preço")</f>
        <v>1569.69</v>
      </c>
      <c r="X1855" s="235">
        <f t="shared" ca="1" si="1542"/>
        <v>4</v>
      </c>
      <c r="Y1855" s="236">
        <f t="shared" si="1517"/>
        <v>1569.69</v>
      </c>
      <c r="Z1855" s="237">
        <f t="shared" ca="1" si="1501"/>
        <v>6278.76</v>
      </c>
      <c r="AA1855" s="238"/>
      <c r="AB1855" s="233" t="str">
        <f>IF(B1855="insumo",_xlfn.XLOOKUP(S1855,Insumos!A:A,Insumos!D:D),"")</f>
        <v xml:space="preserve"> </v>
      </c>
      <c r="AC1855" s="239">
        <f t="shared" ca="1" si="1502"/>
        <v>9.0074536673906587E-4</v>
      </c>
      <c r="AE1855" s="240">
        <f ca="1">IFERROR(IF(OR(Z1855="",Z1855=0),"",IF(AF1855="","",IF(AF1855="R$/mês",Z1855/OBRA!$D$12,IF(AF1855="R$/m²",Z1855/OBRA!$D$10,IF(AF1855="R$/apto",Orçamento!Z1855/OBRA!$D$11,""))))),"")</f>
        <v>3.2310946208117413</v>
      </c>
      <c r="AF1855" s="241" t="s">
        <v>154</v>
      </c>
    </row>
    <row r="1856" spans="1:32" s="10" customFormat="1" ht="13.15" hidden="1" customHeight="1" outlineLevel="4" x14ac:dyDescent="0.2">
      <c r="A1856" s="227"/>
      <c r="B1856" s="228" t="s">
        <v>4</v>
      </c>
      <c r="C1856" s="229">
        <f t="shared" si="1500"/>
        <v>4</v>
      </c>
      <c r="D1856" s="227" t="str">
        <f ca="1">IF(B1856="Unidade Construtiva",TEXT(F1856,"00"),IF(B1856="Célula Construtiva",TEXT(H1856,"00"),IF(B1856="Etapa",CONCATENATE(TEXT(H1856,"00"),".",TEXT(J1856,"000")),IF(B1856="Subetapa",CONCATENATE(TEXT(H1856,"00"),".",TEXT(J1856,"000"),".",TEXT(L1856,"000")),IF(B1856="Serviço",CONCATENATE(TEXT(H1856,"00"),".",TEXT(J1856,"000"),".",TEXT(L1856,"000"),".",TEXT(N1856,"000")),"")))))</f>
        <v>17.002.002.002</v>
      </c>
      <c r="E1856" s="228" t="str">
        <f ca="1">IF(B1856="*","",IFERROR(IF(B1856="SERVIÇO",D1856,OFFSET(E1856,-1,0)),""))</f>
        <v>17.002.002.002</v>
      </c>
      <c r="F1856" s="230">
        <f ca="1">IF($B1856="UNIDADE CONSTRUTIVA",OFFSET(F1856,-1,0)+1,LARGE(F$10:F1855,1))</f>
        <v>2</v>
      </c>
      <c r="G1856" s="228" t="str">
        <f ca="1">IF(B1856="*","",IF(B1856="UNIDADE CONSTRUTIVA",S1856,OFFSET(G1856,-1,0)))</f>
        <v xml:space="preserve">   GERENCIAMENTO EXECUTIVO</v>
      </c>
      <c r="H1856" s="230">
        <f ca="1">IF(B1856="UNIDADE CONSTRUTIVA",0,IF(B1856="CÉLULA CONSTRUTIVA",OFFSET(H1856,-1,0)+1,OFFSET(H1856,-1,0)))</f>
        <v>17</v>
      </c>
      <c r="I1856" s="228" t="str">
        <f ca="1">IF(B1856="*","",IF(B1856="CÉLULA CONSTRUTIVA",S1856,OFFSET(I1856,-1,0)))</f>
        <v xml:space="preserve">   ESQUADRIAS - VIDROS E FERRAGENS</v>
      </c>
      <c r="J1856" s="230">
        <f ca="1">IF(B1856="CÉLULA CONSTRUTIVA",0,IF(B1856="ETAPA",OFFSET(J1856,-1,0)+1,OFFSET(J1856,-1,0)))</f>
        <v>2</v>
      </c>
      <c r="K1856" s="228" t="str">
        <f ca="1">IF(B1856="*","",IF(B1856="ETAPA",S1856,OFFSET(K1856,-1,0)))</f>
        <v xml:space="preserve">   ESQUADRIAS - VIDROS E FERRAGENS - 2º PAVIMENTO - TÉRREO</v>
      </c>
      <c r="L1856" s="231">
        <f ca="1">IF(B1856="ETAPA",0,IF(B1856="SUBETAPA",OFFSET(L1856,-1,0)+1,OFFSET(L1856,-1,0)))</f>
        <v>2</v>
      </c>
      <c r="M1856" s="228" t="str">
        <f ca="1">IF(B1856="*","",IF(B1856="SUBETAPA",S1856,OFFSET(M1856,-1,0)))</f>
        <v xml:space="preserve">   Esquadrias metalicas</v>
      </c>
      <c r="N1856" s="231">
        <f ca="1">IF(B1856="Subetapa",0,IF(B1856="serviço",OFFSET(N1856,-1,0)+1,OFFSET(N1856,-1,0)))</f>
        <v>2</v>
      </c>
      <c r="O1856" s="228" t="str">
        <f ca="1">IF(B1856="*","",IF(B1856="SERVIÇO",S1856,OFFSET(O1856,-1,0)))</f>
        <v>Esquadrias Metálicas - Janela Fixa - fornecimento e instalacao</v>
      </c>
      <c r="P1856" s="232" t="str">
        <f>IF(S1856="","",IF(Orçamento!$B1856="INSUMO",S1856,""))</f>
        <v/>
      </c>
      <c r="Q1856" s="244" t="str">
        <f t="shared" si="1543"/>
        <v>Esquadrias Metálicas - Janela Fixa - fornecimento e instalacao</v>
      </c>
      <c r="R1856" s="234">
        <f ca="1">IF(B1856="serviço",U1856,OFFSET(R1856,-1,0))</f>
        <v>1</v>
      </c>
      <c r="S1856" s="233" t="s">
        <v>825</v>
      </c>
      <c r="T1856" s="242" t="s">
        <v>142</v>
      </c>
      <c r="U1856" s="235">
        <v>1</v>
      </c>
      <c r="V1856" s="320" t="s">
        <v>35</v>
      </c>
      <c r="W1856" s="236" t="str">
        <f>IFERROR(IF(B1856="INSUMO",_xlfn.XLOOKUP(S1856,Insumos!A:A,Insumos!C:C),""),"Inserir Preço")</f>
        <v/>
      </c>
      <c r="X1856" s="235">
        <f ca="1">IF(B1856="Complemento do insumo",V1856,IF(R1856="","",IF(B1856="serviço",R1856,IF(OR(B1856="insumo"),V1856*R1856,""))))</f>
        <v>1</v>
      </c>
      <c r="Y1856" s="236">
        <f t="shared" ca="1" si="1517"/>
        <v>826.51</v>
      </c>
      <c r="Z1856" s="237">
        <f t="shared" ca="1" si="1501"/>
        <v>826.51</v>
      </c>
      <c r="AA1856" s="238"/>
      <c r="AB1856" s="233" t="str">
        <f>IF(B1856="insumo",_xlfn.XLOOKUP(S1856,Insumos!A:A,Insumos!D:D),"")</f>
        <v/>
      </c>
      <c r="AC1856" s="239">
        <f t="shared" ca="1" si="1502"/>
        <v>1.1857039496070964E-4</v>
      </c>
      <c r="AE1856" s="240">
        <f ca="1">IFERROR(IF(OR(Z1856="",Z1856=0),"",IF(AF1856="","",IF(AF1856="R$/mês",Z1856/OBRA!$D$12,IF(AF1856="R$/m²",Z1856/OBRA!$D$10,IF(AF1856="R$/apto",Orçamento!Z1856/OBRA!$D$11,""))))),"")</f>
        <v>0.42532793338925395</v>
      </c>
      <c r="AF1856" s="241" t="s">
        <v>154</v>
      </c>
    </row>
    <row r="1857" spans="1:32" s="10" customFormat="1" ht="13.15" hidden="1" customHeight="1" outlineLevel="4" x14ac:dyDescent="0.2">
      <c r="A1857" s="227"/>
      <c r="B1857" s="228" t="s">
        <v>19</v>
      </c>
      <c r="C1857" s="229">
        <f t="shared" si="1500"/>
        <v>4</v>
      </c>
      <c r="D1857" s="227" t="str">
        <f t="shared" si="1544"/>
        <v/>
      </c>
      <c r="E1857" s="228" t="str">
        <f t="shared" ca="1" si="1545"/>
        <v>17.002.002.002</v>
      </c>
      <c r="F1857" s="230">
        <f ca="1">IF($B1857="UNIDADE CONSTRUTIVA",OFFSET(F1857,-1,0)+1,LARGE(F$10:F1856,1))</f>
        <v>2</v>
      </c>
      <c r="G1857" s="228" t="str">
        <f t="shared" ca="1" si="1536"/>
        <v xml:space="preserve">   GERENCIAMENTO EXECUTIVO</v>
      </c>
      <c r="H1857" s="230">
        <f t="shared" ca="1" si="1546"/>
        <v>17</v>
      </c>
      <c r="I1857" s="228" t="str">
        <f t="shared" ca="1" si="1537"/>
        <v xml:space="preserve">   ESQUADRIAS - VIDROS E FERRAGENS</v>
      </c>
      <c r="J1857" s="230">
        <f t="shared" ca="1" si="1547"/>
        <v>2</v>
      </c>
      <c r="K1857" s="228" t="str">
        <f t="shared" ca="1" si="1538"/>
        <v xml:space="preserve">   ESQUADRIAS - VIDROS E FERRAGENS - 2º PAVIMENTO - TÉRREO</v>
      </c>
      <c r="L1857" s="231">
        <f t="shared" ca="1" si="1548"/>
        <v>2</v>
      </c>
      <c r="M1857" s="228" t="str">
        <f t="shared" ca="1" si="1539"/>
        <v xml:space="preserve">   Esquadrias metalicas</v>
      </c>
      <c r="N1857" s="231">
        <f t="shared" ca="1" si="1549"/>
        <v>2</v>
      </c>
      <c r="O1857" s="228" t="str">
        <f t="shared" ca="1" si="1540"/>
        <v>Esquadrias Metálicas - Janela Fixa - fornecimento e instalacao</v>
      </c>
      <c r="P1857" s="232" t="str">
        <f>IF(S1857="","",IF(Orçamento!$B1857="INSUMO",S1857,""))</f>
        <v>G1 - JANELA METAL - GRADE VENTILAÇÃO PERMANENTE - 120X70</v>
      </c>
      <c r="Q1857" s="244" t="str">
        <f t="shared" si="1543"/>
        <v/>
      </c>
      <c r="R1857" s="234">
        <f t="shared" ca="1" si="1541"/>
        <v>1</v>
      </c>
      <c r="S1857" s="233" t="s">
        <v>694</v>
      </c>
      <c r="T1857" s="242" t="str">
        <f>_xlfn.XLOOKUP(S1857,Insumos!$A$3:$A$371,Insumos!$B$3:$B$371)</f>
        <v>un</v>
      </c>
      <c r="U1857" s="235">
        <f ca="1">IF($B1857="insumo",R1857,"")</f>
        <v>1</v>
      </c>
      <c r="V1857" s="320">
        <v>1</v>
      </c>
      <c r="W1857" s="236">
        <f>IFERROR(IF(B1857="INSUMO",_xlfn.XLOOKUP(S1857,Insumos!A:A,Insumos!C:C),""),"Inserir Preço")</f>
        <v>826.51</v>
      </c>
      <c r="X1857" s="235">
        <f t="shared" ca="1" si="1542"/>
        <v>1</v>
      </c>
      <c r="Y1857" s="236">
        <f t="shared" si="1517"/>
        <v>826.51</v>
      </c>
      <c r="Z1857" s="237">
        <f t="shared" ca="1" si="1501"/>
        <v>826.51</v>
      </c>
      <c r="AA1857" s="238"/>
      <c r="AB1857" s="233" t="str">
        <f>IF(B1857="insumo",_xlfn.XLOOKUP(S1857,Insumos!A:A,Insumos!D:D),"")</f>
        <v>HOFF - SOLUÇÕES EM FERRO LTDA</v>
      </c>
      <c r="AC1857" s="239">
        <f t="shared" ca="1" si="1502"/>
        <v>1.1857039496070964E-4</v>
      </c>
      <c r="AE1857" s="240">
        <f ca="1">IFERROR(IF(OR(Z1857="",Z1857=0),"",IF(AF1857="","",IF(AF1857="R$/mês",Z1857/OBRA!$D$12,IF(AF1857="R$/m²",Z1857/OBRA!$D$10,IF(AF1857="R$/apto",Orçamento!Z1857/OBRA!$D$11,""))))),"")</f>
        <v>0.42532793338925395</v>
      </c>
      <c r="AF1857" s="241" t="s">
        <v>154</v>
      </c>
    </row>
    <row r="1858" spans="1:32" s="10" customFormat="1" ht="13.15" hidden="1" customHeight="1" outlineLevel="4" x14ac:dyDescent="0.2">
      <c r="A1858" s="227"/>
      <c r="B1858" s="228" t="s">
        <v>4</v>
      </c>
      <c r="C1858" s="229">
        <f t="shared" si="1500"/>
        <v>1</v>
      </c>
      <c r="D1858" s="227" t="str">
        <f t="shared" ca="1" si="1544"/>
        <v>17.002.002.003</v>
      </c>
      <c r="E1858" s="228" t="str">
        <f t="shared" ca="1" si="1545"/>
        <v>17.002.002.003</v>
      </c>
      <c r="F1858" s="230">
        <f ca="1">IF($B1858="UNIDADE CONSTRUTIVA",OFFSET(F1858,-1,0)+1,LARGE(F$10:F1857,1))</f>
        <v>2</v>
      </c>
      <c r="G1858" s="228" t="str">
        <f t="shared" ca="1" si="1536"/>
        <v xml:space="preserve">   GERENCIAMENTO EXECUTIVO</v>
      </c>
      <c r="H1858" s="230">
        <f t="shared" ca="1" si="1546"/>
        <v>17</v>
      </c>
      <c r="I1858" s="228" t="str">
        <f t="shared" ca="1" si="1537"/>
        <v xml:space="preserve">   ESQUADRIAS - VIDROS E FERRAGENS</v>
      </c>
      <c r="J1858" s="230">
        <f t="shared" ca="1" si="1547"/>
        <v>2</v>
      </c>
      <c r="K1858" s="228" t="str">
        <f t="shared" ca="1" si="1538"/>
        <v xml:space="preserve">   ESQUADRIAS - VIDROS E FERRAGENS - 2º PAVIMENTO - TÉRREO</v>
      </c>
      <c r="L1858" s="231">
        <f t="shared" ca="1" si="1548"/>
        <v>2</v>
      </c>
      <c r="M1858" s="228" t="str">
        <f t="shared" ca="1" si="1539"/>
        <v xml:space="preserve">   Esquadrias metalicas</v>
      </c>
      <c r="N1858" s="231">
        <f t="shared" ca="1" si="1549"/>
        <v>3</v>
      </c>
      <c r="O1858" s="228" t="str">
        <f t="shared" ca="1" si="1540"/>
        <v>Esquadrias Metálicas - Gradil Entrada - fornecimento e instalacao</v>
      </c>
      <c r="P1858" s="232" t="str">
        <f>IF(S1858="","",IF(Orçamento!$B1858="INSUMO",S1858,""))</f>
        <v/>
      </c>
      <c r="Q1858" s="244" t="str">
        <f t="shared" si="1543"/>
        <v>Esquadrias Metálicas - Gradil Entrada - fornecimento e instalacao</v>
      </c>
      <c r="R1858" s="234">
        <f t="shared" ca="1" si="1541"/>
        <v>6.2099999999999991</v>
      </c>
      <c r="S1858" s="233" t="s">
        <v>826</v>
      </c>
      <c r="T1858" s="242" t="s">
        <v>140</v>
      </c>
      <c r="U1858" s="235">
        <f>4.14*1.5</f>
        <v>6.2099999999999991</v>
      </c>
      <c r="V1858" s="320" t="s">
        <v>35</v>
      </c>
      <c r="W1858" s="236" t="str">
        <f>IFERROR(IF(B1858="INSUMO",_xlfn.XLOOKUP(S1858,Insumos!A:A,Insumos!C:C),""),"Inserir Preço")</f>
        <v/>
      </c>
      <c r="X1858" s="235">
        <f t="shared" ca="1" si="1542"/>
        <v>6.2099999999999991</v>
      </c>
      <c r="Y1858" s="236">
        <f t="shared" ca="1" si="1517"/>
        <v>425.63123993558781</v>
      </c>
      <c r="Z1858" s="237">
        <f t="shared" ca="1" si="1501"/>
        <v>2643.17</v>
      </c>
      <c r="AA1858" s="238"/>
      <c r="AB1858" s="233" t="str">
        <f>IF(B1858="insumo",_xlfn.XLOOKUP(S1858,Insumos!A:A,Insumos!D:D),"")</f>
        <v/>
      </c>
      <c r="AC1858" s="239">
        <f t="shared" ca="1" si="1502"/>
        <v>3.7918683482147697E-4</v>
      </c>
      <c r="AE1858" s="240">
        <f ca="1">IFERROR(IF(OR(Z1858="",Z1858=0),"",IF(AF1858="","",IF(AF1858="R$/mês",Z1858/OBRA!$D$12,IF(AF1858="R$/m²",Z1858/OBRA!$D$10,IF(AF1858="R$/apto",Orçamento!Z1858/OBRA!$D$11,""))))),"")</f>
        <v>1.3601941098068679</v>
      </c>
      <c r="AF1858" s="241" t="s">
        <v>154</v>
      </c>
    </row>
    <row r="1859" spans="1:32" s="10" customFormat="1" ht="13.15" hidden="1" customHeight="1" outlineLevel="4" x14ac:dyDescent="0.2">
      <c r="A1859" s="227"/>
      <c r="B1859" s="228" t="s">
        <v>19</v>
      </c>
      <c r="C1859" s="229">
        <f t="shared" si="1500"/>
        <v>1</v>
      </c>
      <c r="D1859" s="227" t="str">
        <f t="shared" si="1544"/>
        <v/>
      </c>
      <c r="E1859" s="228" t="str">
        <f t="shared" ca="1" si="1545"/>
        <v>17.002.002.003</v>
      </c>
      <c r="F1859" s="230">
        <f ca="1">IF($B1859="UNIDADE CONSTRUTIVA",OFFSET(F1859,-1,0)+1,LARGE(F$10:F1858,1))</f>
        <v>2</v>
      </c>
      <c r="G1859" s="228" t="str">
        <f t="shared" ca="1" si="1536"/>
        <v xml:space="preserve">   GERENCIAMENTO EXECUTIVO</v>
      </c>
      <c r="H1859" s="230">
        <f t="shared" ca="1" si="1546"/>
        <v>17</v>
      </c>
      <c r="I1859" s="228" t="str">
        <f t="shared" ca="1" si="1537"/>
        <v xml:space="preserve">   ESQUADRIAS - VIDROS E FERRAGENS</v>
      </c>
      <c r="J1859" s="230">
        <f t="shared" ca="1" si="1547"/>
        <v>2</v>
      </c>
      <c r="K1859" s="228" t="str">
        <f t="shared" ca="1" si="1538"/>
        <v xml:space="preserve">   ESQUADRIAS - VIDROS E FERRAGENS - 2º PAVIMENTO - TÉRREO</v>
      </c>
      <c r="L1859" s="231">
        <f t="shared" ca="1" si="1548"/>
        <v>2</v>
      </c>
      <c r="M1859" s="228" t="str">
        <f t="shared" ca="1" si="1539"/>
        <v xml:space="preserve">   Esquadrias metalicas</v>
      </c>
      <c r="N1859" s="231">
        <f t="shared" ca="1" si="1549"/>
        <v>3</v>
      </c>
      <c r="O1859" s="228" t="str">
        <f t="shared" ca="1" si="1540"/>
        <v>Esquadrias Metálicas - Gradil Entrada - fornecimento e instalacao</v>
      </c>
      <c r="P1859" s="232" t="str">
        <f>IF(S1859="","",IF(Orçamento!$B1859="INSUMO",S1859,""))</f>
        <v>GR1 - Gradil - 4,14X1,50</v>
      </c>
      <c r="Q1859" s="244" t="str">
        <f t="shared" si="1543"/>
        <v/>
      </c>
      <c r="R1859" s="234">
        <f t="shared" ca="1" si="1541"/>
        <v>6.2099999999999991</v>
      </c>
      <c r="S1859" s="233" t="s">
        <v>700</v>
      </c>
      <c r="T1859" s="242" t="str">
        <f>_xlfn.XLOOKUP(S1859,Insumos!$A$3:$A$371,Insumos!$B$3:$B$371)</f>
        <v>m2</v>
      </c>
      <c r="U1859" s="235">
        <f ca="1">IF($B1859="insumo",R1859,"")</f>
        <v>6.2099999999999991</v>
      </c>
      <c r="V1859" s="320">
        <v>1</v>
      </c>
      <c r="W1859" s="236">
        <f>IFERROR(IF(B1859="INSUMO",_xlfn.XLOOKUP(S1859,Insumos!A:A,Insumos!C:C),""),"Inserir Preço")</f>
        <v>425.63123993558781</v>
      </c>
      <c r="X1859" s="235">
        <f t="shared" ca="1" si="1542"/>
        <v>6.2099999999999991</v>
      </c>
      <c r="Y1859" s="236">
        <f t="shared" si="1517"/>
        <v>425.63123993558781</v>
      </c>
      <c r="Z1859" s="237">
        <f t="shared" ca="1" si="1501"/>
        <v>2643.17</v>
      </c>
      <c r="AA1859" s="238"/>
      <c r="AB1859" s="233" t="str">
        <f>IF(B1859="insumo",_xlfn.XLOOKUP(S1859,Insumos!A:A,Insumos!D:D),"")</f>
        <v>HOFF - SOLUÇÕES EM FERRO LTDA</v>
      </c>
      <c r="AC1859" s="239">
        <f t="shared" ca="1" si="1502"/>
        <v>3.7918683482147697E-4</v>
      </c>
      <c r="AE1859" s="240">
        <f ca="1">IFERROR(IF(OR(Z1859="",Z1859=0),"",IF(AF1859="","",IF(AF1859="R$/mês",Z1859/OBRA!$D$12,IF(AF1859="R$/m²",Z1859/OBRA!$D$10,IF(AF1859="R$/apto",Orçamento!Z1859/OBRA!$D$11,""))))),"")</f>
        <v>1.3601941098068679</v>
      </c>
      <c r="AF1859" s="241" t="s">
        <v>154</v>
      </c>
    </row>
    <row r="1860" spans="1:32" s="10" customFormat="1" ht="13.15" hidden="1" customHeight="1" outlineLevel="3" collapsed="1" x14ac:dyDescent="0.2">
      <c r="A1860" s="227"/>
      <c r="B1860" s="228" t="s">
        <v>3</v>
      </c>
      <c r="C1860" s="229" t="str">
        <f t="shared" si="1500"/>
        <v/>
      </c>
      <c r="D1860" s="227" t="str">
        <f t="shared" ca="1" si="1544"/>
        <v>17.002.003</v>
      </c>
      <c r="E1860" s="228" t="str">
        <f t="shared" ca="1" si="1545"/>
        <v>17.002.002.003</v>
      </c>
      <c r="F1860" s="230">
        <f ca="1">IF($B1860="UNIDADE CONSTRUTIVA",OFFSET(F1860,-1,0)+1,LARGE(F$10:F1859,1))</f>
        <v>2</v>
      </c>
      <c r="G1860" s="228" t="str">
        <f t="shared" ca="1" si="1536"/>
        <v xml:space="preserve">   GERENCIAMENTO EXECUTIVO</v>
      </c>
      <c r="H1860" s="230">
        <f t="shared" ca="1" si="1546"/>
        <v>17</v>
      </c>
      <c r="I1860" s="228" t="str">
        <f t="shared" ca="1" si="1537"/>
        <v xml:space="preserve">   ESQUADRIAS - VIDROS E FERRAGENS</v>
      </c>
      <c r="J1860" s="230">
        <f t="shared" ca="1" si="1547"/>
        <v>2</v>
      </c>
      <c r="K1860" s="228" t="str">
        <f t="shared" ca="1" si="1538"/>
        <v xml:space="preserve">   ESQUADRIAS - VIDROS E FERRAGENS - 2º PAVIMENTO - TÉRREO</v>
      </c>
      <c r="L1860" s="231">
        <f t="shared" ca="1" si="1548"/>
        <v>3</v>
      </c>
      <c r="M1860" s="228" t="str">
        <f t="shared" ca="1" si="1539"/>
        <v xml:space="preserve">   Esquadrias de Madeira</v>
      </c>
      <c r="N1860" s="231">
        <f t="shared" ca="1" si="1549"/>
        <v>0</v>
      </c>
      <c r="O1860" s="228" t="str">
        <f t="shared" ca="1" si="1540"/>
        <v>Esquadrias Metálicas - Gradil Entrada - fornecimento e instalacao</v>
      </c>
      <c r="P1860" s="232" t="str">
        <f>IF(S1860="","",IF(Orçamento!$B1860="INSUMO",S1860,""))</f>
        <v/>
      </c>
      <c r="Q1860" s="244" t="str">
        <f t="shared" si="1543"/>
        <v/>
      </c>
      <c r="R1860" s="234">
        <f t="shared" ca="1" si="1541"/>
        <v>6.2099999999999991</v>
      </c>
      <c r="S1860" s="233" t="s">
        <v>505</v>
      </c>
      <c r="T1860" s="242" t="s">
        <v>35</v>
      </c>
      <c r="U1860" s="235" t="str">
        <f>IF($B1860="insumo",R1860,"")</f>
        <v/>
      </c>
      <c r="V1860" s="320" t="s">
        <v>35</v>
      </c>
      <c r="W1860" s="236" t="str">
        <f>IFERROR(IF(B1860="INSUMO",_xlfn.XLOOKUP(S1860,Insumos!A:A,Insumos!C:C),""),"Inserir Preço")</f>
        <v/>
      </c>
      <c r="X1860" s="235" t="str">
        <f t="shared" ca="1" si="1542"/>
        <v/>
      </c>
      <c r="Y1860" s="236" t="str">
        <f t="shared" si="1517"/>
        <v/>
      </c>
      <c r="Z1860" s="237">
        <f t="shared" ca="1" si="1501"/>
        <v>4426.6308799999997</v>
      </c>
      <c r="AA1860" s="238"/>
      <c r="AB1860" s="233" t="str">
        <f>IF(B1860="insumo",_xlfn.XLOOKUP(S1860,Insumos!A:A,Insumos!D:D),"")</f>
        <v/>
      </c>
      <c r="AC1860" s="239">
        <f t="shared" ca="1" si="1502"/>
        <v>6.3504055823507721E-4</v>
      </c>
      <c r="AE1860" s="240">
        <f ca="1">IFERROR(IF(OR(Z1860="",Z1860=0),"",IF(AF1860="","",IF(AF1860="R$/mês",Z1860/OBRA!$D$12,IF(AF1860="R$/m²",Z1860/OBRA!$D$10,IF(AF1860="R$/apto",Orçamento!Z1860/OBRA!$D$11,""))))),"")</f>
        <v>2.2779757825887823</v>
      </c>
      <c r="AF1860" s="241" t="s">
        <v>154</v>
      </c>
    </row>
    <row r="1861" spans="1:32" s="10" customFormat="1" ht="13.15" hidden="1" customHeight="1" outlineLevel="4" x14ac:dyDescent="0.2">
      <c r="A1861" s="227"/>
      <c r="B1861" s="228" t="s">
        <v>4</v>
      </c>
      <c r="C1861" s="229">
        <f t="shared" si="1500"/>
        <v>2</v>
      </c>
      <c r="D1861" s="227" t="str">
        <f ca="1">IF(B1861="Unidade Construtiva",TEXT(F1861,"00"),IF(B1861="Célula Construtiva",TEXT(H1861,"00"),IF(B1861="Etapa",CONCATENATE(TEXT(H1861,"00"),".",TEXT(J1861,"000")),IF(B1861="Subetapa",CONCATENATE(TEXT(H1861,"00"),".",TEXT(J1861,"000"),".",TEXT(L1861,"000")),IF(B1861="Serviço",CONCATENATE(TEXT(H1861,"00"),".",TEXT(J1861,"000"),".",TEXT(L1861,"000"),".",TEXT(N1861,"000")),"")))))</f>
        <v>17.002.003.001</v>
      </c>
      <c r="E1861" s="228" t="str">
        <f ca="1">IF(B1861="*","",IFERROR(IF(B1861="SERVIÇO",D1861,OFFSET(E1861,-1,0)),""))</f>
        <v>17.002.003.001</v>
      </c>
      <c r="F1861" s="230">
        <f ca="1">IF($B1861="UNIDADE CONSTRUTIVA",OFFSET(F1861,-1,0)+1,LARGE(F$10:F1860,1))</f>
        <v>2</v>
      </c>
      <c r="G1861" s="228" t="str">
        <f ca="1">IF(B1861="*","",IF(B1861="UNIDADE CONSTRUTIVA",S1861,OFFSET(G1861,-1,0)))</f>
        <v xml:space="preserve">   GERENCIAMENTO EXECUTIVO</v>
      </c>
      <c r="H1861" s="230">
        <f ca="1">IF(B1861="UNIDADE CONSTRUTIVA",0,IF(B1861="CÉLULA CONSTRUTIVA",OFFSET(H1861,-1,0)+1,OFFSET(H1861,-1,0)))</f>
        <v>17</v>
      </c>
      <c r="I1861" s="228" t="str">
        <f ca="1">IF(B1861="*","",IF(B1861="CÉLULA CONSTRUTIVA",S1861,OFFSET(I1861,-1,0)))</f>
        <v xml:space="preserve">   ESQUADRIAS - VIDROS E FERRAGENS</v>
      </c>
      <c r="J1861" s="230">
        <f ca="1">IF(B1861="CÉLULA CONSTRUTIVA",0,IF(B1861="ETAPA",OFFSET(J1861,-1,0)+1,OFFSET(J1861,-1,0)))</f>
        <v>2</v>
      </c>
      <c r="K1861" s="228" t="str">
        <f ca="1">IF(B1861="*","",IF(B1861="ETAPA",S1861,OFFSET(K1861,-1,0)))</f>
        <v xml:space="preserve">   ESQUADRIAS - VIDROS E FERRAGENS - 2º PAVIMENTO - TÉRREO</v>
      </c>
      <c r="L1861" s="231">
        <f ca="1">IF(B1861="ETAPA",0,IF(B1861="SUBETAPA",OFFSET(L1861,-1,0)+1,OFFSET(L1861,-1,0)))</f>
        <v>3</v>
      </c>
      <c r="M1861" s="228" t="str">
        <f ca="1">IF(B1861="*","",IF(B1861="SUBETAPA",S1861,OFFSET(M1861,-1,0)))</f>
        <v xml:space="preserve">   Esquadrias de Madeira</v>
      </c>
      <c r="N1861" s="231">
        <f ca="1">IF(B1861="Subetapa",0,IF(B1861="serviço",OFFSET(N1861,-1,0)+1,OFFSET(N1861,-1,0)))</f>
        <v>1</v>
      </c>
      <c r="O1861" s="228" t="str">
        <f ca="1">IF(B1861="*","",IF(B1861="SERVIÇO",S1861,OFFSET(O1861,-1,0)))</f>
        <v>Porta de madeira- folha leve/média - 70x210cm- fixacao com espuma expansiva</v>
      </c>
      <c r="P1861" s="232" t="str">
        <f>IF(S1861="","",IF(Orçamento!$B1861="INSUMO",S1861,""))</f>
        <v/>
      </c>
      <c r="Q1861" s="244" t="str">
        <f t="shared" si="1543"/>
        <v>Porta de madeira- folha leve/média - 70x210cm- fixacao com espuma expansiva</v>
      </c>
      <c r="R1861" s="234">
        <f ca="1">IF(B1861="serviço",U1861,OFFSET(R1861,-1,0))</f>
        <v>2</v>
      </c>
      <c r="S1861" s="233" t="s">
        <v>705</v>
      </c>
      <c r="T1861" s="242" t="s">
        <v>142</v>
      </c>
      <c r="U1861" s="235">
        <v>2</v>
      </c>
      <c r="V1861" s="320" t="s">
        <v>35</v>
      </c>
      <c r="W1861" s="236" t="str">
        <f>IFERROR(IF(B1861="INSUMO",_xlfn.XLOOKUP(S1861,Insumos!A:A,Insumos!C:C),""),"Inserir Preço")</f>
        <v/>
      </c>
      <c r="X1861" s="235">
        <f ca="1">IF(B1861="Complemento do insumo",V1861,IF(R1861="","",IF(B1861="serviço",R1861,IF(OR(B1861="insumo"),V1861*R1861,""))))</f>
        <v>2</v>
      </c>
      <c r="Y1861" s="236">
        <f t="shared" ca="1" si="1517"/>
        <v>467.52584000000002</v>
      </c>
      <c r="Z1861" s="237">
        <f t="shared" ca="1" si="1501"/>
        <v>935.05168000000003</v>
      </c>
      <c r="AA1861" s="238"/>
      <c r="AB1861" s="233" t="str">
        <f>IF(B1861="insumo",_xlfn.XLOOKUP(S1861,Insumos!A:A,Insumos!D:D),"")</f>
        <v/>
      </c>
      <c r="AC1861" s="239">
        <f t="shared" ca="1" si="1502"/>
        <v>1.341416885534054E-4</v>
      </c>
      <c r="AE1861" s="240">
        <f ca="1">IFERROR(IF(OR(Z1861="",Z1861=0),"",IF(AF1861="","",IF(AF1861="R$/mês",Z1861/OBRA!$D$12,IF(AF1861="R$/m²",Z1861/OBRA!$D$10,IF(AF1861="R$/apto",Orçamento!Z1861/OBRA!$D$11,""))))),"")</f>
        <v>0.48118425508045881</v>
      </c>
      <c r="AF1861" s="241" t="s">
        <v>154</v>
      </c>
    </row>
    <row r="1862" spans="1:32" s="10" customFormat="1" ht="13.15" hidden="1" customHeight="1" outlineLevel="4" x14ac:dyDescent="0.2">
      <c r="A1862" s="227"/>
      <c r="B1862" s="228" t="s">
        <v>19</v>
      </c>
      <c r="C1862" s="229">
        <f t="shared" si="1500"/>
        <v>7</v>
      </c>
      <c r="D1862" s="227" t="str">
        <f>IF(B1862="Unidade Construtiva",TEXT(F1862,"00"),IF(B1862="Célula Construtiva",TEXT(H1862,"00"),IF(B1862="Etapa",CONCATENATE(TEXT(H1862,"00"),".",TEXT(J1862,"000")),IF(B1862="Subetapa",CONCATENATE(TEXT(H1862,"00"),".",TEXT(J1862,"000"),".",TEXT(L1862,"000")),IF(B1862="Serviço",CONCATENATE(TEXT(H1862,"00"),".",TEXT(J1862,"000"),".",TEXT(L1862,"000"),".",TEXT(N1862,"000")),"")))))</f>
        <v/>
      </c>
      <c r="E1862" s="228" t="str">
        <f ca="1">IF(B1862="*","",IFERROR(IF(B1862="SERVIÇO",D1862,OFFSET(E1862,-1,0)),""))</f>
        <v>17.002.003.001</v>
      </c>
      <c r="F1862" s="230">
        <f ca="1">IF($B1862="UNIDADE CONSTRUTIVA",OFFSET(F1862,-1,0)+1,LARGE(F$10:F1861,1))</f>
        <v>2</v>
      </c>
      <c r="G1862" s="228" t="str">
        <f ca="1">IF(B1862="*","",IF(B1862="UNIDADE CONSTRUTIVA",S1862,OFFSET(G1862,-1,0)))</f>
        <v xml:space="preserve">   GERENCIAMENTO EXECUTIVO</v>
      </c>
      <c r="H1862" s="230">
        <f ca="1">IF(B1862="UNIDADE CONSTRUTIVA",0,IF(B1862="CÉLULA CONSTRUTIVA",OFFSET(H1862,-1,0)+1,OFFSET(H1862,-1,0)))</f>
        <v>17</v>
      </c>
      <c r="I1862" s="228" t="str">
        <f ca="1">IF(B1862="*","",IF(B1862="CÉLULA CONSTRUTIVA",S1862,OFFSET(I1862,-1,0)))</f>
        <v xml:space="preserve">   ESQUADRIAS - VIDROS E FERRAGENS</v>
      </c>
      <c r="J1862" s="230">
        <f ca="1">IF(B1862="CÉLULA CONSTRUTIVA",0,IF(B1862="ETAPA",OFFSET(J1862,-1,0)+1,OFFSET(J1862,-1,0)))</f>
        <v>2</v>
      </c>
      <c r="K1862" s="228" t="str">
        <f ca="1">IF(B1862="*","",IF(B1862="ETAPA",S1862,OFFSET(K1862,-1,0)))</f>
        <v xml:space="preserve">   ESQUADRIAS - VIDROS E FERRAGENS - 2º PAVIMENTO - TÉRREO</v>
      </c>
      <c r="L1862" s="231">
        <f ca="1">IF(B1862="ETAPA",0,IF(B1862="SUBETAPA",OFFSET(L1862,-1,0)+1,OFFSET(L1862,-1,0)))</f>
        <v>3</v>
      </c>
      <c r="M1862" s="228" t="str">
        <f ca="1">IF(B1862="*","",IF(B1862="SUBETAPA",S1862,OFFSET(M1862,-1,0)))</f>
        <v xml:space="preserve">   Esquadrias de Madeira</v>
      </c>
      <c r="N1862" s="231">
        <f ca="1">IF(B1862="Subetapa",0,IF(B1862="serviço",OFFSET(N1862,-1,0)+1,OFFSET(N1862,-1,0)))</f>
        <v>1</v>
      </c>
      <c r="O1862" s="228" t="str">
        <f ca="1">IF(B1862="*","",IF(B1862="SERVIÇO",S1862,OFFSET(O1862,-1,0)))</f>
        <v>Porta de madeira- folha leve/média - 70x210cm- fixacao com espuma expansiva</v>
      </c>
      <c r="P1862" s="232" t="str">
        <f>IF(S1862="","",IF(Orçamento!$B1862="INSUMO",S1862,""))</f>
        <v>ESPUMA EXPANSIVA DE POLIURETANO 500G</v>
      </c>
      <c r="Q1862" s="244" t="str">
        <f t="shared" si="1543"/>
        <v/>
      </c>
      <c r="R1862" s="234">
        <f ca="1">IF(B1862="serviço",U1862,OFFSET(R1862,-1,0))</f>
        <v>2</v>
      </c>
      <c r="S1862" s="233" t="s">
        <v>376</v>
      </c>
      <c r="T1862" s="242" t="str">
        <f>_xlfn.XLOOKUP(S1862,Insumos!$A$3:$A$371,Insumos!$B$3:$B$371)</f>
        <v>UN</v>
      </c>
      <c r="U1862" s="235">
        <f ca="1">IF($B1862="insumo",R1862,"")</f>
        <v>2</v>
      </c>
      <c r="V1862" s="320">
        <v>0.38600000000000001</v>
      </c>
      <c r="W1862" s="236">
        <f>IFERROR(IF(B1862="INSUMO",_xlfn.XLOOKUP(S1862,Insumos!A:A,Insumos!C:C),""),"Inserir Preço")</f>
        <v>24.69</v>
      </c>
      <c r="X1862" s="235">
        <f ca="1">IF(B1862="Complemento do insumo",V1862,IF(R1862="","",IF(B1862="serviço",R1862,IF(OR(B1862="insumo"),V1862*R1862,""))))</f>
        <v>0.77200000000000002</v>
      </c>
      <c r="Y1862" s="236">
        <f t="shared" si="1517"/>
        <v>9.5303400000000007</v>
      </c>
      <c r="Z1862" s="237">
        <f t="shared" ca="1" si="1501"/>
        <v>19.060680000000001</v>
      </c>
      <c r="AA1862" s="238"/>
      <c r="AB1862" s="233" t="str">
        <f>IF(B1862="insumo",_xlfn.XLOOKUP(S1862,Insumos!A:A,Insumos!D:D),"")</f>
        <v xml:space="preserve"> </v>
      </c>
      <c r="AC1862" s="239">
        <f t="shared" ca="1" si="1502"/>
        <v>2.7344283261178927E-6</v>
      </c>
      <c r="AE1862" s="240">
        <f ca="1">IFERROR(IF(OR(Z1862="",Z1862=0),"",IF(AF1862="","",IF(AF1862="R$/mês",Z1862/OBRA!$D$12,IF(AF1862="R$/m²",Z1862/OBRA!$D$10,IF(AF1862="R$/apto",Orçamento!Z1862/OBRA!$D$11,""))))),"")</f>
        <v>9.8087617008794648E-3</v>
      </c>
      <c r="AF1862" s="241" t="s">
        <v>154</v>
      </c>
    </row>
    <row r="1863" spans="1:32" s="10" customFormat="1" ht="13.15" hidden="1" customHeight="1" outlineLevel="4" x14ac:dyDescent="0.2">
      <c r="A1863" s="227"/>
      <c r="B1863" s="228" t="s">
        <v>19</v>
      </c>
      <c r="C1863" s="229">
        <f t="shared" si="1500"/>
        <v>2</v>
      </c>
      <c r="D1863" s="227" t="str">
        <f>IF(B1863="Unidade Construtiva",TEXT(F1863,"00"),IF(B1863="Célula Construtiva",TEXT(H1863,"00"),IF(B1863="Etapa",CONCATENATE(TEXT(H1863,"00"),".",TEXT(J1863,"000")),IF(B1863="Subetapa",CONCATENATE(TEXT(H1863,"00"),".",TEXT(J1863,"000"),".",TEXT(L1863,"000")),IF(B1863="Serviço",CONCATENATE(TEXT(H1863,"00"),".",TEXT(J1863,"000"),".",TEXT(L1863,"000"),".",TEXT(N1863,"000")),"")))))</f>
        <v/>
      </c>
      <c r="E1863" s="228" t="str">
        <f ca="1">IF(B1863="*","",IFERROR(IF(B1863="SERVIÇO",D1863,OFFSET(E1863,-1,0)),""))</f>
        <v>17.002.003.001</v>
      </c>
      <c r="F1863" s="230">
        <f ca="1">IF($B1863="UNIDADE CONSTRUTIVA",OFFSET(F1863,-1,0)+1,LARGE(F$10:F1862,1))</f>
        <v>2</v>
      </c>
      <c r="G1863" s="228" t="str">
        <f ca="1">IF(B1863="*","",IF(B1863="UNIDADE CONSTRUTIVA",S1863,OFFSET(G1863,-1,0)))</f>
        <v xml:space="preserve">   GERENCIAMENTO EXECUTIVO</v>
      </c>
      <c r="H1863" s="230">
        <f ca="1">IF(B1863="UNIDADE CONSTRUTIVA",0,IF(B1863="CÉLULA CONSTRUTIVA",OFFSET(H1863,-1,0)+1,OFFSET(H1863,-1,0)))</f>
        <v>17</v>
      </c>
      <c r="I1863" s="228" t="str">
        <f ca="1">IF(B1863="*","",IF(B1863="CÉLULA CONSTRUTIVA",S1863,OFFSET(I1863,-1,0)))</f>
        <v xml:space="preserve">   ESQUADRIAS - VIDROS E FERRAGENS</v>
      </c>
      <c r="J1863" s="230">
        <f ca="1">IF(B1863="CÉLULA CONSTRUTIVA",0,IF(B1863="ETAPA",OFFSET(J1863,-1,0)+1,OFFSET(J1863,-1,0)))</f>
        <v>2</v>
      </c>
      <c r="K1863" s="228" t="str">
        <f ca="1">IF(B1863="*","",IF(B1863="ETAPA",S1863,OFFSET(K1863,-1,0)))</f>
        <v xml:space="preserve">   ESQUADRIAS - VIDROS E FERRAGENS - 2º PAVIMENTO - TÉRREO</v>
      </c>
      <c r="L1863" s="231">
        <f ca="1">IF(B1863="ETAPA",0,IF(B1863="SUBETAPA",OFFSET(L1863,-1,0)+1,OFFSET(L1863,-1,0)))</f>
        <v>3</v>
      </c>
      <c r="M1863" s="228" t="str">
        <f ca="1">IF(B1863="*","",IF(B1863="SUBETAPA",S1863,OFFSET(M1863,-1,0)))</f>
        <v xml:space="preserve">   Esquadrias de Madeira</v>
      </c>
      <c r="N1863" s="231">
        <f ca="1">IF(B1863="Subetapa",0,IF(B1863="serviço",OFFSET(N1863,-1,0)+1,OFFSET(N1863,-1,0)))</f>
        <v>1</v>
      </c>
      <c r="O1863" s="228" t="str">
        <f ca="1">IF(B1863="*","",IF(B1863="SERVIÇO",S1863,OFFSET(O1863,-1,0)))</f>
        <v>Porta de madeira- folha leve/média - 70x210cm- fixacao com espuma expansiva</v>
      </c>
      <c r="P1863" s="232" t="str">
        <f>IF(S1863="","",IF(Orçamento!$B1863="INSUMO",S1863,""))</f>
        <v>P2 - PORTA MADEIRA ACABAMENTO MELAMÍNICO BRANCO - ABRIR (E. VERTIVAL) - 70X210</v>
      </c>
      <c r="Q1863" s="244" t="str">
        <f t="shared" si="1543"/>
        <v/>
      </c>
      <c r="R1863" s="234">
        <f ca="1">IF(B1863="serviço",U1863,OFFSET(R1863,-1,0))</f>
        <v>2</v>
      </c>
      <c r="S1863" s="233" t="s">
        <v>697</v>
      </c>
      <c r="T1863" s="242" t="str">
        <f>_xlfn.XLOOKUP(S1863,Insumos!$A$3:$A$371,Insumos!$B$3:$B$371)</f>
        <v>UN</v>
      </c>
      <c r="U1863" s="235">
        <f ca="1">IF($B1863="insumo",R1863,"")</f>
        <v>2</v>
      </c>
      <c r="V1863" s="320">
        <v>1</v>
      </c>
      <c r="W1863" s="236">
        <f>IFERROR(IF(B1863="INSUMO",_xlfn.XLOOKUP(S1863,Insumos!A:A,Insumos!C:C),""),"Inserir Preço")</f>
        <v>457.99549999999999</v>
      </c>
      <c r="X1863" s="235">
        <f ca="1">IF(B1863="Complemento do insumo",V1863,IF(R1863="","",IF(B1863="serviço",R1863,IF(OR(B1863="insumo"),V1863*R1863,""))))</f>
        <v>2</v>
      </c>
      <c r="Y1863" s="236">
        <f t="shared" si="1517"/>
        <v>457.99549999999999</v>
      </c>
      <c r="Z1863" s="237">
        <f t="shared" ca="1" si="1501"/>
        <v>915.99099999999999</v>
      </c>
      <c r="AA1863" s="238"/>
      <c r="AB1863" s="233" t="str">
        <f>IF(B1863="insumo",_xlfn.XLOOKUP(S1863,Insumos!A:A,Insumos!D:D),"")</f>
        <v>MGM PRODUTOS SIDERURGICOS S/A</v>
      </c>
      <c r="AC1863" s="239">
        <f t="shared" ca="1" si="1502"/>
        <v>1.314072602272875E-4</v>
      </c>
      <c r="AE1863" s="240">
        <f ca="1">IFERROR(IF(OR(Z1863="",Z1863=0),"",IF(AF1863="","",IF(AF1863="R$/mês",Z1863/OBRA!$D$12,IF(AF1863="R$/m²",Z1863/OBRA!$D$10,IF(AF1863="R$/apto",Orçamento!Z1863/OBRA!$D$11,""))))),"")</f>
        <v>0.47137549337957935</v>
      </c>
      <c r="AF1863" s="241" t="s">
        <v>154</v>
      </c>
    </row>
    <row r="1864" spans="1:32" s="10" customFormat="1" ht="13.15" hidden="1" customHeight="1" outlineLevel="4" x14ac:dyDescent="0.2">
      <c r="A1864" s="227"/>
      <c r="B1864" s="228" t="s">
        <v>4</v>
      </c>
      <c r="C1864" s="229">
        <f t="shared" si="1500"/>
        <v>3</v>
      </c>
      <c r="D1864" s="227" t="str">
        <f t="shared" ca="1" si="1544"/>
        <v>17.002.003.002</v>
      </c>
      <c r="E1864" s="228" t="str">
        <f t="shared" ca="1" si="1545"/>
        <v>17.002.003.002</v>
      </c>
      <c r="F1864" s="230">
        <f ca="1">IF($B1864="UNIDADE CONSTRUTIVA",OFFSET(F1864,-1,0)+1,LARGE(F$10:F1863,1))</f>
        <v>2</v>
      </c>
      <c r="G1864" s="228" t="str">
        <f t="shared" ca="1" si="1536"/>
        <v xml:space="preserve">   GERENCIAMENTO EXECUTIVO</v>
      </c>
      <c r="H1864" s="230">
        <f t="shared" ca="1" si="1546"/>
        <v>17</v>
      </c>
      <c r="I1864" s="228" t="str">
        <f t="shared" ca="1" si="1537"/>
        <v xml:space="preserve">   ESQUADRIAS - VIDROS E FERRAGENS</v>
      </c>
      <c r="J1864" s="230">
        <f t="shared" ca="1" si="1547"/>
        <v>2</v>
      </c>
      <c r="K1864" s="228" t="str">
        <f t="shared" ca="1" si="1538"/>
        <v xml:space="preserve">   ESQUADRIAS - VIDROS E FERRAGENS - 2º PAVIMENTO - TÉRREO</v>
      </c>
      <c r="L1864" s="231">
        <f t="shared" ca="1" si="1548"/>
        <v>3</v>
      </c>
      <c r="M1864" s="228" t="str">
        <f t="shared" ca="1" si="1539"/>
        <v xml:space="preserve">   Esquadrias de Madeira</v>
      </c>
      <c r="N1864" s="231">
        <f t="shared" ca="1" si="1549"/>
        <v>2</v>
      </c>
      <c r="O1864" s="228" t="str">
        <f t="shared" ca="1" si="1540"/>
        <v>Porta de madeira- folha leve/média - 80x210cm- fixacao com espuma expansiva</v>
      </c>
      <c r="P1864" s="232" t="str">
        <f>IF(S1864="","",IF(Orçamento!$B1864="INSUMO",S1864,""))</f>
        <v/>
      </c>
      <c r="Q1864" s="244" t="str">
        <f t="shared" si="1543"/>
        <v>Porta de madeira- folha leve/média - 80x210cm- fixacao com espuma expansiva</v>
      </c>
      <c r="R1864" s="234">
        <f t="shared" ca="1" si="1541"/>
        <v>5</v>
      </c>
      <c r="S1864" s="233" t="s">
        <v>508</v>
      </c>
      <c r="T1864" s="242" t="s">
        <v>142</v>
      </c>
      <c r="U1864" s="235">
        <v>5</v>
      </c>
      <c r="V1864" s="320" t="s">
        <v>35</v>
      </c>
      <c r="W1864" s="236" t="str">
        <f>IFERROR(IF(B1864="INSUMO",_xlfn.XLOOKUP(S1864,Insumos!A:A,Insumos!C:C),""),"Inserir Preço")</f>
        <v/>
      </c>
      <c r="X1864" s="235">
        <f t="shared" ca="1" si="1542"/>
        <v>5</v>
      </c>
      <c r="Y1864" s="236">
        <f t="shared" ca="1" si="1517"/>
        <v>483.03584000000001</v>
      </c>
      <c r="Z1864" s="237">
        <f t="shared" ca="1" si="1501"/>
        <v>2415.1792</v>
      </c>
      <c r="AA1864" s="238"/>
      <c r="AB1864" s="233" t="str">
        <f>IF(B1864="insumo",_xlfn.XLOOKUP(S1864,Insumos!A:A,Insumos!D:D),"")</f>
        <v/>
      </c>
      <c r="AC1864" s="239">
        <f t="shared" ca="1" si="1502"/>
        <v>3.464794759227242E-4</v>
      </c>
      <c r="AE1864" s="240">
        <f ca="1">IFERROR(IF(OR(Z1864="",Z1864=0),"",IF(AF1864="","",IF(AF1864="R$/mês",Z1864/OBRA!$D$12,IF(AF1864="R$/m²",Z1864/OBRA!$D$10,IF(AF1864="R$/apto",Orçamento!Z1864/OBRA!$D$11,""))))),"")</f>
        <v>1.2428684201046711</v>
      </c>
      <c r="AF1864" s="241" t="s">
        <v>154</v>
      </c>
    </row>
    <row r="1865" spans="1:32" s="10" customFormat="1" ht="13.15" hidden="1" customHeight="1" outlineLevel="4" x14ac:dyDescent="0.2">
      <c r="A1865" s="227"/>
      <c r="B1865" s="228" t="s">
        <v>19</v>
      </c>
      <c r="C1865" s="229">
        <f t="shared" si="1500"/>
        <v>7</v>
      </c>
      <c r="D1865" s="227" t="str">
        <f t="shared" si="1544"/>
        <v/>
      </c>
      <c r="E1865" s="228" t="str">
        <f t="shared" ca="1" si="1545"/>
        <v>17.002.003.002</v>
      </c>
      <c r="F1865" s="230">
        <f ca="1">IF($B1865="UNIDADE CONSTRUTIVA",OFFSET(F1865,-1,0)+1,LARGE(F$10:F1864,1))</f>
        <v>2</v>
      </c>
      <c r="G1865" s="228" t="str">
        <f t="shared" ca="1" si="1536"/>
        <v xml:space="preserve">   GERENCIAMENTO EXECUTIVO</v>
      </c>
      <c r="H1865" s="230">
        <f t="shared" ca="1" si="1546"/>
        <v>17</v>
      </c>
      <c r="I1865" s="228" t="str">
        <f t="shared" ca="1" si="1537"/>
        <v xml:space="preserve">   ESQUADRIAS - VIDROS E FERRAGENS</v>
      </c>
      <c r="J1865" s="230">
        <f t="shared" ca="1" si="1547"/>
        <v>2</v>
      </c>
      <c r="K1865" s="228" t="str">
        <f t="shared" ca="1" si="1538"/>
        <v xml:space="preserve">   ESQUADRIAS - VIDROS E FERRAGENS - 2º PAVIMENTO - TÉRREO</v>
      </c>
      <c r="L1865" s="231">
        <f t="shared" ca="1" si="1548"/>
        <v>3</v>
      </c>
      <c r="M1865" s="228" t="str">
        <f t="shared" ca="1" si="1539"/>
        <v xml:space="preserve">   Esquadrias de Madeira</v>
      </c>
      <c r="N1865" s="231">
        <f t="shared" ca="1" si="1549"/>
        <v>2</v>
      </c>
      <c r="O1865" s="228" t="str">
        <f t="shared" ca="1" si="1540"/>
        <v>Porta de madeira- folha leve/média - 80x210cm- fixacao com espuma expansiva</v>
      </c>
      <c r="P1865" s="232" t="str">
        <f>IF(S1865="","",IF(Orçamento!$B1865="INSUMO",S1865,""))</f>
        <v>ESPUMA EXPANSIVA DE POLIURETANO 500G</v>
      </c>
      <c r="Q1865" s="244" t="str">
        <f t="shared" si="1543"/>
        <v/>
      </c>
      <c r="R1865" s="234">
        <f t="shared" ca="1" si="1541"/>
        <v>5</v>
      </c>
      <c r="S1865" s="233" t="s">
        <v>376</v>
      </c>
      <c r="T1865" s="242" t="str">
        <f>_xlfn.XLOOKUP(S1865,Insumos!$A$3:$A$371,Insumos!$B$3:$B$371)</f>
        <v>UN</v>
      </c>
      <c r="U1865" s="235">
        <f ca="1">IF($B1865="insumo",R1865,"")</f>
        <v>5</v>
      </c>
      <c r="V1865" s="320">
        <v>0.38600000000000001</v>
      </c>
      <c r="W1865" s="236">
        <f>IFERROR(IF(B1865="INSUMO",_xlfn.XLOOKUP(S1865,Insumos!A:A,Insumos!C:C),""),"Inserir Preço")</f>
        <v>24.69</v>
      </c>
      <c r="X1865" s="235">
        <f t="shared" ca="1" si="1542"/>
        <v>1.9300000000000002</v>
      </c>
      <c r="Y1865" s="236">
        <f t="shared" si="1517"/>
        <v>9.5303400000000007</v>
      </c>
      <c r="Z1865" s="237">
        <f t="shared" ca="1" si="1501"/>
        <v>47.651700000000005</v>
      </c>
      <c r="AA1865" s="238"/>
      <c r="AB1865" s="233" t="str">
        <f>IF(B1865="insumo",_xlfn.XLOOKUP(S1865,Insumos!A:A,Insumos!D:D),"")</f>
        <v xml:space="preserve"> </v>
      </c>
      <c r="AC1865" s="239">
        <f t="shared" ca="1" si="1502"/>
        <v>6.8360708152947321E-6</v>
      </c>
      <c r="AE1865" s="240">
        <f ca="1">IFERROR(IF(OR(Z1865="",Z1865=0),"",IF(AF1865="","",IF(AF1865="R$/mês",Z1865/OBRA!$D$12,IF(AF1865="R$/m²",Z1865/OBRA!$D$10,IF(AF1865="R$/apto",Orçamento!Z1865/OBRA!$D$11,""))))),"")</f>
        <v>2.4521904252198662E-2</v>
      </c>
      <c r="AF1865" s="241" t="s">
        <v>154</v>
      </c>
    </row>
    <row r="1866" spans="1:32" s="10" customFormat="1" ht="13.15" hidden="1" customHeight="1" outlineLevel="4" x14ac:dyDescent="0.2">
      <c r="A1866" s="227"/>
      <c r="B1866" s="228" t="s">
        <v>19</v>
      </c>
      <c r="C1866" s="229">
        <f t="shared" si="1500"/>
        <v>3</v>
      </c>
      <c r="D1866" s="227" t="str">
        <f t="shared" si="1544"/>
        <v/>
      </c>
      <c r="E1866" s="228" t="str">
        <f t="shared" ca="1" si="1545"/>
        <v>17.002.003.002</v>
      </c>
      <c r="F1866" s="230">
        <f ca="1">IF($B1866="UNIDADE CONSTRUTIVA",OFFSET(F1866,-1,0)+1,LARGE(F$10:F1865,1))</f>
        <v>2</v>
      </c>
      <c r="G1866" s="228" t="str">
        <f t="shared" ca="1" si="1536"/>
        <v xml:space="preserve">   GERENCIAMENTO EXECUTIVO</v>
      </c>
      <c r="H1866" s="230">
        <f t="shared" ca="1" si="1546"/>
        <v>17</v>
      </c>
      <c r="I1866" s="228" t="str">
        <f t="shared" ca="1" si="1537"/>
        <v xml:space="preserve">   ESQUADRIAS - VIDROS E FERRAGENS</v>
      </c>
      <c r="J1866" s="230">
        <f t="shared" ca="1" si="1547"/>
        <v>2</v>
      </c>
      <c r="K1866" s="228" t="str">
        <f t="shared" ca="1" si="1538"/>
        <v xml:space="preserve">   ESQUADRIAS - VIDROS E FERRAGENS - 2º PAVIMENTO - TÉRREO</v>
      </c>
      <c r="L1866" s="231">
        <f t="shared" ca="1" si="1548"/>
        <v>3</v>
      </c>
      <c r="M1866" s="228" t="str">
        <f t="shared" ca="1" si="1539"/>
        <v xml:space="preserve">   Esquadrias de Madeira</v>
      </c>
      <c r="N1866" s="231">
        <f t="shared" ca="1" si="1549"/>
        <v>2</v>
      </c>
      <c r="O1866" s="228" t="str">
        <f t="shared" ca="1" si="1540"/>
        <v>Porta de madeira- folha leve/média - 80x210cm- fixacao com espuma expansiva</v>
      </c>
      <c r="P1866" s="232" t="str">
        <f>IF(S1866="","",IF(Orçamento!$B1866="INSUMO",S1866,""))</f>
        <v>P1 - PORTA MADEIRA ACABAMENTO MELAMÍNICO BRANCO - ABRIR (E. VERTIVAL) - 80X210</v>
      </c>
      <c r="Q1866" s="244" t="str">
        <f t="shared" si="1543"/>
        <v/>
      </c>
      <c r="R1866" s="234">
        <f t="shared" ca="1" si="1541"/>
        <v>5</v>
      </c>
      <c r="S1866" s="233" t="s">
        <v>696</v>
      </c>
      <c r="T1866" s="242" t="str">
        <f>_xlfn.XLOOKUP(S1866,Insumos!$A$3:$A$371,Insumos!$B$3:$B$371)</f>
        <v>UN</v>
      </c>
      <c r="U1866" s="235">
        <f ca="1">IF($B1866="insumo",R1866,"")</f>
        <v>5</v>
      </c>
      <c r="V1866" s="320">
        <v>1</v>
      </c>
      <c r="W1866" s="236">
        <f>IFERROR(IF(B1866="INSUMO",_xlfn.XLOOKUP(S1866,Insumos!A:A,Insumos!C:C),""),"Inserir Preço")</f>
        <v>473.50549999999998</v>
      </c>
      <c r="X1866" s="235">
        <f t="shared" ca="1" si="1542"/>
        <v>5</v>
      </c>
      <c r="Y1866" s="236">
        <f t="shared" si="1517"/>
        <v>473.50549999999998</v>
      </c>
      <c r="Z1866" s="237">
        <f t="shared" ca="1" si="1501"/>
        <v>2367.5275000000001</v>
      </c>
      <c r="AA1866" s="238"/>
      <c r="AB1866" s="233" t="str">
        <f>IF(B1866="insumo",_xlfn.XLOOKUP(S1866,Insumos!A:A,Insumos!D:D),"")</f>
        <v>MGM PRODUTOS SIDERURGICOS S/A</v>
      </c>
      <c r="AC1866" s="239">
        <f t="shared" ca="1" si="1502"/>
        <v>3.3964340510742947E-4</v>
      </c>
      <c r="AE1866" s="240">
        <f ca="1">IFERROR(IF(OR(Z1866="",Z1866=0),"",IF(AF1866="","",IF(AF1866="R$/mês",Z1866/OBRA!$D$12,IF(AF1866="R$/m²",Z1866/OBRA!$D$10,IF(AF1866="R$/apto",Orçamento!Z1866/OBRA!$D$11,""))))),"")</f>
        <v>1.2183465158524724</v>
      </c>
      <c r="AF1866" s="241" t="s">
        <v>154</v>
      </c>
    </row>
    <row r="1867" spans="1:32" s="10" customFormat="1" ht="13.15" hidden="1" customHeight="1" outlineLevel="4" x14ac:dyDescent="0.2">
      <c r="A1867" s="227"/>
      <c r="B1867" s="228" t="s">
        <v>4</v>
      </c>
      <c r="C1867" s="229">
        <f t="shared" si="1500"/>
        <v>3</v>
      </c>
      <c r="D1867" s="227" t="str">
        <f t="shared" ca="1" si="1544"/>
        <v>17.002.003.003</v>
      </c>
      <c r="E1867" s="228" t="str">
        <f t="shared" ca="1" si="1545"/>
        <v>17.002.003.003</v>
      </c>
      <c r="F1867" s="230">
        <f ca="1">IF($B1867="UNIDADE CONSTRUTIVA",OFFSET(F1867,-1,0)+1,LARGE(F$10:F1866,1))</f>
        <v>2</v>
      </c>
      <c r="G1867" s="228" t="str">
        <f t="shared" ca="1" si="1536"/>
        <v xml:space="preserve">   GERENCIAMENTO EXECUTIVO</v>
      </c>
      <c r="H1867" s="230">
        <f t="shared" ca="1" si="1546"/>
        <v>17</v>
      </c>
      <c r="I1867" s="228" t="str">
        <f t="shared" ca="1" si="1537"/>
        <v xml:space="preserve">   ESQUADRIAS - VIDROS E FERRAGENS</v>
      </c>
      <c r="J1867" s="230">
        <f t="shared" ca="1" si="1547"/>
        <v>2</v>
      </c>
      <c r="K1867" s="228" t="str">
        <f t="shared" ca="1" si="1538"/>
        <v xml:space="preserve">   ESQUADRIAS - VIDROS E FERRAGENS - 2º PAVIMENTO - TÉRREO</v>
      </c>
      <c r="L1867" s="231">
        <f t="shared" ca="1" si="1548"/>
        <v>3</v>
      </c>
      <c r="M1867" s="228" t="str">
        <f t="shared" ca="1" si="1539"/>
        <v xml:space="preserve">   Esquadrias de Madeira</v>
      </c>
      <c r="N1867" s="231">
        <f t="shared" ca="1" si="1549"/>
        <v>3</v>
      </c>
      <c r="O1867" s="228" t="str">
        <f t="shared" ca="1" si="1540"/>
        <v>Fechadura (c/ chave) + Dobradiça / Portas Maciças</v>
      </c>
      <c r="P1867" s="232" t="str">
        <f>IF(S1867="","",IF(Orçamento!$B1867="INSUMO",S1867,""))</f>
        <v/>
      </c>
      <c r="Q1867" s="244" t="str">
        <f t="shared" si="1543"/>
        <v>Fechadura (c/ chave) + Dobradiça / Portas Maciças</v>
      </c>
      <c r="R1867" s="234">
        <f t="shared" ca="1" si="1541"/>
        <v>5</v>
      </c>
      <c r="S1867" s="233" t="s">
        <v>1064</v>
      </c>
      <c r="T1867" s="242" t="s">
        <v>142</v>
      </c>
      <c r="U1867" s="235">
        <f>U1864</f>
        <v>5</v>
      </c>
      <c r="V1867" s="320" t="s">
        <v>35</v>
      </c>
      <c r="W1867" s="236" t="str">
        <f>IFERROR(IF(B1867="INSUMO",_xlfn.XLOOKUP(S1867,Insumos!A:A,Insumos!C:C),""),"Inserir Preço")</f>
        <v/>
      </c>
      <c r="X1867" s="235">
        <f t="shared" ca="1" si="1542"/>
        <v>5</v>
      </c>
      <c r="Y1867" s="236">
        <f t="shared" ca="1" si="1517"/>
        <v>140</v>
      </c>
      <c r="Z1867" s="237">
        <f t="shared" ca="1" si="1501"/>
        <v>700</v>
      </c>
      <c r="AA1867" s="238"/>
      <c r="AB1867" s="233" t="str">
        <f>IF(B1867="insumo",_xlfn.XLOOKUP(S1867,Insumos!A:A,Insumos!D:D),"")</f>
        <v/>
      </c>
      <c r="AC1867" s="239">
        <f t="shared" ca="1" si="1502"/>
        <v>1.0042138204316554E-4</v>
      </c>
      <c r="AE1867" s="240">
        <f ca="1">IFERROR(IF(OR(Z1867="",Z1867=0),"",IF(AF1867="","",IF(AF1867="R$/mês",Z1867/OBRA!$D$12,IF(AF1867="R$/m²",Z1867/OBRA!$D$10,IF(AF1867="R$/apto",Orçamento!Z1867/OBRA!$D$11,""))))),"")</f>
        <v>0.36022498623425947</v>
      </c>
      <c r="AF1867" s="241" t="s">
        <v>154</v>
      </c>
    </row>
    <row r="1868" spans="1:32" s="10" customFormat="1" ht="13.15" hidden="1" customHeight="1" outlineLevel="4" x14ac:dyDescent="0.2">
      <c r="A1868" s="227"/>
      <c r="B1868" s="228" t="s">
        <v>19</v>
      </c>
      <c r="C1868" s="229">
        <f t="shared" ref="C1868:C1931" si="1550">IF(B1868="INSUMO",COUNTIFS(B:B,"INSUMO",S:S,S1868),IF(B1868="SERVIÇO",COUNTIFS(B:B,"SERVIÇO",S:S,S1868),""))</f>
        <v>5</v>
      </c>
      <c r="D1868" s="227" t="str">
        <f t="shared" si="1544"/>
        <v/>
      </c>
      <c r="E1868" s="228" t="str">
        <f t="shared" ca="1" si="1545"/>
        <v>17.002.003.003</v>
      </c>
      <c r="F1868" s="230">
        <f ca="1">IF($B1868="UNIDADE CONSTRUTIVA",OFFSET(F1868,-1,0)+1,LARGE(F$10:F1867,1))</f>
        <v>2</v>
      </c>
      <c r="G1868" s="228" t="str">
        <f t="shared" ca="1" si="1536"/>
        <v xml:space="preserve">   GERENCIAMENTO EXECUTIVO</v>
      </c>
      <c r="H1868" s="230">
        <f t="shared" ca="1" si="1546"/>
        <v>17</v>
      </c>
      <c r="I1868" s="228" t="str">
        <f t="shared" ca="1" si="1537"/>
        <v xml:space="preserve">   ESQUADRIAS - VIDROS E FERRAGENS</v>
      </c>
      <c r="J1868" s="230">
        <f t="shared" ca="1" si="1547"/>
        <v>2</v>
      </c>
      <c r="K1868" s="228" t="str">
        <f t="shared" ca="1" si="1538"/>
        <v xml:space="preserve">   ESQUADRIAS - VIDROS E FERRAGENS - 2º PAVIMENTO - TÉRREO</v>
      </c>
      <c r="L1868" s="231">
        <f t="shared" ca="1" si="1548"/>
        <v>3</v>
      </c>
      <c r="M1868" s="228" t="str">
        <f t="shared" ca="1" si="1539"/>
        <v xml:space="preserve">   Esquadrias de Madeira</v>
      </c>
      <c r="N1868" s="231">
        <f t="shared" ca="1" si="1549"/>
        <v>3</v>
      </c>
      <c r="O1868" s="228" t="str">
        <f t="shared" ca="1" si="1540"/>
        <v>Fechadura (c/ chave) + Dobradiça / Portas Maciças</v>
      </c>
      <c r="P1868" s="232" t="str">
        <f>IF(S1868="","",IF(Orçamento!$B1868="INSUMO",S1868,""))</f>
        <v>Dobradiça aço inox - portas de madeira</v>
      </c>
      <c r="Q1868" s="244" t="str">
        <f t="shared" si="1543"/>
        <v/>
      </c>
      <c r="R1868" s="234">
        <f t="shared" ca="1" si="1541"/>
        <v>5</v>
      </c>
      <c r="S1868" s="233" t="s">
        <v>1061</v>
      </c>
      <c r="T1868" s="242" t="str">
        <f>_xlfn.XLOOKUP(S1868,Insumos!$A$3:$A$371,Insumos!$B$3:$B$371)</f>
        <v>UN</v>
      </c>
      <c r="U1868" s="235">
        <f ca="1">IF($B1868="insumo",R1868,"")</f>
        <v>5</v>
      </c>
      <c r="V1868" s="320">
        <v>3</v>
      </c>
      <c r="W1868" s="236">
        <f>IFERROR(IF(B1868="INSUMO",_xlfn.XLOOKUP(S1868,Insumos!A:A,Insumos!C:C),""),"Inserir Preço")</f>
        <v>15</v>
      </c>
      <c r="X1868" s="235">
        <f t="shared" ca="1" si="1542"/>
        <v>15</v>
      </c>
      <c r="Y1868" s="236">
        <f t="shared" si="1517"/>
        <v>45</v>
      </c>
      <c r="Z1868" s="237">
        <f t="shared" ref="Z1868:Z1931" ca="1" si="1551">IFERROR(IF(B1868="Unidade Construtiva",SUMIFS(Z:Z,B:B,"Célula Construtiva",G:G,G1868),IF(B1868="célula construtiva",SUMIFS(Z:Z,B:B,"Insumo",I:I,I1868,G:G,G1868),IF(B1868="ETAPA",SUMIFS(Z:Z,B:B,"Insumo",K:K,K1868,I:I,I1868,G:G,G1868),IF(B1868="subetapa",SUMIFS(Z:Z,M:M,M1868,B:B,"insumo",K:K,K1868,I:I,I1868,G:G,G1868),IF(B1868="complemento do insumo",V1868*W1868,IF(B1868="INSUMO",R1868*V1868*W1868,X1868*Y1868)))))),"")</f>
        <v>225</v>
      </c>
      <c r="AA1868" s="238"/>
      <c r="AB1868" s="233" t="str">
        <f>IF(B1868="insumo",_xlfn.XLOOKUP(S1868,Insumos!A:A,Insumos!D:D),"")</f>
        <v>Base de Dados</v>
      </c>
      <c r="AC1868" s="239">
        <f t="shared" ref="AC1868:AC1931" ca="1" si="1552">IFERROR(IF(B1868="","",Z1868/SUMIF(B:B,"INSUMO",Z:Z)),0)</f>
        <v>3.2278301371017495E-5</v>
      </c>
      <c r="AE1868" s="240">
        <f ca="1">IFERROR(IF(OR(Z1868="",Z1868=0),"",IF(AF1868="","",IF(AF1868="R$/mês",Z1868/OBRA!$D$12,IF(AF1868="R$/m²",Z1868/OBRA!$D$10,IF(AF1868="R$/apto",Orçamento!Z1868/OBRA!$D$11,""))))),"")</f>
        <v>0.11578660271815483</v>
      </c>
      <c r="AF1868" s="241" t="s">
        <v>154</v>
      </c>
    </row>
    <row r="1869" spans="1:32" s="10" customFormat="1" ht="13.15" hidden="1" customHeight="1" outlineLevel="4" x14ac:dyDescent="0.2">
      <c r="A1869" s="227"/>
      <c r="B1869" s="228" t="s">
        <v>19</v>
      </c>
      <c r="C1869" s="229">
        <f t="shared" si="1550"/>
        <v>3</v>
      </c>
      <c r="D1869" s="227" t="str">
        <f t="shared" si="1544"/>
        <v/>
      </c>
      <c r="E1869" s="228" t="str">
        <f t="shared" ca="1" si="1545"/>
        <v>17.002.003.003</v>
      </c>
      <c r="F1869" s="230">
        <f ca="1">IF($B1869="UNIDADE CONSTRUTIVA",OFFSET(F1869,-1,0)+1,LARGE(F$10:F1868,1))</f>
        <v>2</v>
      </c>
      <c r="G1869" s="228" t="str">
        <f t="shared" ca="1" si="1536"/>
        <v xml:space="preserve">   GERENCIAMENTO EXECUTIVO</v>
      </c>
      <c r="H1869" s="230">
        <f t="shared" ca="1" si="1546"/>
        <v>17</v>
      </c>
      <c r="I1869" s="228" t="str">
        <f t="shared" ca="1" si="1537"/>
        <v xml:space="preserve">   ESQUADRIAS - VIDROS E FERRAGENS</v>
      </c>
      <c r="J1869" s="230">
        <f t="shared" ca="1" si="1547"/>
        <v>2</v>
      </c>
      <c r="K1869" s="228" t="str">
        <f t="shared" ca="1" si="1538"/>
        <v xml:space="preserve">   ESQUADRIAS - VIDROS E FERRAGENS - 2º PAVIMENTO - TÉRREO</v>
      </c>
      <c r="L1869" s="231">
        <f t="shared" ca="1" si="1548"/>
        <v>3</v>
      </c>
      <c r="M1869" s="228" t="str">
        <f t="shared" ca="1" si="1539"/>
        <v xml:space="preserve">   Esquadrias de Madeira</v>
      </c>
      <c r="N1869" s="231">
        <f t="shared" ca="1" si="1549"/>
        <v>3</v>
      </c>
      <c r="O1869" s="228" t="str">
        <f t="shared" ca="1" si="1540"/>
        <v>Fechadura (c/ chave) + Dobradiça / Portas Maciças</v>
      </c>
      <c r="P1869" s="232" t="str">
        <f>IF(S1869="","",IF(Orçamento!$B1869="INSUMO",S1869,""))</f>
        <v>Fechadura Externa Com Maçaneta</v>
      </c>
      <c r="Q1869" s="244" t="str">
        <f t="shared" si="1543"/>
        <v/>
      </c>
      <c r="R1869" s="234">
        <f t="shared" ca="1" si="1541"/>
        <v>5</v>
      </c>
      <c r="S1869" s="233" t="s">
        <v>1062</v>
      </c>
      <c r="T1869" s="242" t="str">
        <f>_xlfn.XLOOKUP(S1869,Insumos!$A$3:$A$371,Insumos!$B$3:$B$371)</f>
        <v>UN</v>
      </c>
      <c r="U1869" s="235">
        <f ca="1">IF($B1869="insumo",R1869,"")</f>
        <v>5</v>
      </c>
      <c r="V1869" s="320">
        <v>1</v>
      </c>
      <c r="W1869" s="236">
        <f>IFERROR(IF(B1869="INSUMO",_xlfn.XLOOKUP(S1869,Insumos!A:A,Insumos!C:C),""),"Inserir Preço")</f>
        <v>95</v>
      </c>
      <c r="X1869" s="235">
        <f t="shared" ca="1" si="1542"/>
        <v>5</v>
      </c>
      <c r="Y1869" s="236">
        <f t="shared" si="1517"/>
        <v>95</v>
      </c>
      <c r="Z1869" s="237">
        <f t="shared" ca="1" si="1551"/>
        <v>475</v>
      </c>
      <c r="AA1869" s="238"/>
      <c r="AB1869" s="233" t="str">
        <f>IF(B1869="insumo",_xlfn.XLOOKUP(S1869,Insumos!A:A,Insumos!D:D),"")</f>
        <v>Base de Dados</v>
      </c>
      <c r="AC1869" s="239">
        <f t="shared" ca="1" si="1552"/>
        <v>6.8143080672148054E-5</v>
      </c>
      <c r="AE1869" s="240">
        <f ca="1">IFERROR(IF(OR(Z1869="",Z1869=0),"",IF(AF1869="","",IF(AF1869="R$/mês",Z1869/OBRA!$D$12,IF(AF1869="R$/m²",Z1869/OBRA!$D$10,IF(AF1869="R$/apto",Orçamento!Z1869/OBRA!$D$11,""))))),"")</f>
        <v>0.24443838351610464</v>
      </c>
      <c r="AF1869" s="241" t="s">
        <v>154</v>
      </c>
    </row>
    <row r="1870" spans="1:32" s="10" customFormat="1" ht="13.15" hidden="1" customHeight="1" outlineLevel="4" x14ac:dyDescent="0.2">
      <c r="A1870" s="227"/>
      <c r="B1870" s="228" t="s">
        <v>4</v>
      </c>
      <c r="C1870" s="229">
        <f t="shared" si="1550"/>
        <v>2</v>
      </c>
      <c r="D1870" s="227" t="str">
        <f t="shared" ca="1" si="1544"/>
        <v>17.002.003.004</v>
      </c>
      <c r="E1870" s="228" t="str">
        <f t="shared" ca="1" si="1545"/>
        <v>17.002.003.004</v>
      </c>
      <c r="F1870" s="230">
        <f ca="1">IF($B1870="UNIDADE CONSTRUTIVA",OFFSET(F1870,-1,0)+1,LARGE(F$10:F1869,1))</f>
        <v>2</v>
      </c>
      <c r="G1870" s="228" t="str">
        <f t="shared" ca="1" si="1536"/>
        <v xml:space="preserve">   GERENCIAMENTO EXECUTIVO</v>
      </c>
      <c r="H1870" s="230">
        <f t="shared" ca="1" si="1546"/>
        <v>17</v>
      </c>
      <c r="I1870" s="228" t="str">
        <f t="shared" ca="1" si="1537"/>
        <v xml:space="preserve">   ESQUADRIAS - VIDROS E FERRAGENS</v>
      </c>
      <c r="J1870" s="230">
        <f t="shared" ca="1" si="1547"/>
        <v>2</v>
      </c>
      <c r="K1870" s="228" t="str">
        <f t="shared" ca="1" si="1538"/>
        <v xml:space="preserve">   ESQUADRIAS - VIDROS E FERRAGENS - 2º PAVIMENTO - TÉRREO</v>
      </c>
      <c r="L1870" s="231">
        <f t="shared" ca="1" si="1548"/>
        <v>3</v>
      </c>
      <c r="M1870" s="228" t="str">
        <f t="shared" ca="1" si="1539"/>
        <v xml:space="preserve">   Esquadrias de Madeira</v>
      </c>
      <c r="N1870" s="231">
        <f t="shared" ca="1" si="1549"/>
        <v>4</v>
      </c>
      <c r="O1870" s="228" t="str">
        <f t="shared" ca="1" si="1540"/>
        <v>Fechadura (c/ chave) + Dobradiça / Portas Internas</v>
      </c>
      <c r="P1870" s="232" t="str">
        <f>IF(S1870="","",IF(Orçamento!$B1870="INSUMO",S1870,""))</f>
        <v/>
      </c>
      <c r="Q1870" s="244" t="str">
        <f t="shared" si="1543"/>
        <v>Fechadura (c/ chave) + Dobradiça / Portas Internas</v>
      </c>
      <c r="R1870" s="234">
        <f t="shared" ca="1" si="1541"/>
        <v>2</v>
      </c>
      <c r="S1870" s="233" t="s">
        <v>1065</v>
      </c>
      <c r="T1870" s="242" t="s">
        <v>142</v>
      </c>
      <c r="U1870" s="235">
        <f>U1861</f>
        <v>2</v>
      </c>
      <c r="V1870" s="320" t="s">
        <v>35</v>
      </c>
      <c r="W1870" s="236" t="str">
        <f>IFERROR(IF(B1870="INSUMO",_xlfn.XLOOKUP(S1870,Insumos!A:A,Insumos!C:C),""),"Inserir Preço")</f>
        <v/>
      </c>
      <c r="X1870" s="235">
        <f t="shared" ca="1" si="1542"/>
        <v>2</v>
      </c>
      <c r="Y1870" s="236">
        <f t="shared" ca="1" si="1517"/>
        <v>130</v>
      </c>
      <c r="Z1870" s="237">
        <f t="shared" ca="1" si="1551"/>
        <v>260</v>
      </c>
      <c r="AA1870" s="238"/>
      <c r="AB1870" s="233" t="str">
        <f>IF(B1870="insumo",_xlfn.XLOOKUP(S1870,Insumos!A:A,Insumos!D:D),"")</f>
        <v/>
      </c>
      <c r="AC1870" s="239">
        <f t="shared" ca="1" si="1552"/>
        <v>3.7299370473175774E-5</v>
      </c>
      <c r="AE1870" s="240">
        <f ca="1">IFERROR(IF(OR(Z1870="",Z1870=0),"",IF(AF1870="","",IF(AF1870="R$/mês",Z1870/OBRA!$D$12,IF(AF1870="R$/m²",Z1870/OBRA!$D$10,IF(AF1870="R$/apto",Orçamento!Z1870/OBRA!$D$11,""))))),"")</f>
        <v>0.1337978520298678</v>
      </c>
      <c r="AF1870" s="241" t="s">
        <v>154</v>
      </c>
    </row>
    <row r="1871" spans="1:32" s="10" customFormat="1" ht="13.15" hidden="1" customHeight="1" outlineLevel="4" x14ac:dyDescent="0.2">
      <c r="A1871" s="227"/>
      <c r="B1871" s="228" t="s">
        <v>19</v>
      </c>
      <c r="C1871" s="229">
        <f t="shared" si="1550"/>
        <v>5</v>
      </c>
      <c r="D1871" s="227" t="str">
        <f t="shared" si="1544"/>
        <v/>
      </c>
      <c r="E1871" s="228" t="str">
        <f t="shared" ca="1" si="1545"/>
        <v>17.002.003.004</v>
      </c>
      <c r="F1871" s="230">
        <f ca="1">IF($B1871="UNIDADE CONSTRUTIVA",OFFSET(F1871,-1,0)+1,LARGE(F$10:F1870,1))</f>
        <v>2</v>
      </c>
      <c r="G1871" s="228" t="str">
        <f t="shared" ca="1" si="1536"/>
        <v xml:space="preserve">   GERENCIAMENTO EXECUTIVO</v>
      </c>
      <c r="H1871" s="230">
        <f t="shared" ca="1" si="1546"/>
        <v>17</v>
      </c>
      <c r="I1871" s="228" t="str">
        <f t="shared" ca="1" si="1537"/>
        <v xml:space="preserve">   ESQUADRIAS - VIDROS E FERRAGENS</v>
      </c>
      <c r="J1871" s="230">
        <f t="shared" ca="1" si="1547"/>
        <v>2</v>
      </c>
      <c r="K1871" s="228" t="str">
        <f t="shared" ca="1" si="1538"/>
        <v xml:space="preserve">   ESQUADRIAS - VIDROS E FERRAGENS - 2º PAVIMENTO - TÉRREO</v>
      </c>
      <c r="L1871" s="231">
        <f t="shared" ca="1" si="1548"/>
        <v>3</v>
      </c>
      <c r="M1871" s="228" t="str">
        <f t="shared" ca="1" si="1539"/>
        <v xml:space="preserve">   Esquadrias de Madeira</v>
      </c>
      <c r="N1871" s="231">
        <f t="shared" ca="1" si="1549"/>
        <v>4</v>
      </c>
      <c r="O1871" s="228" t="str">
        <f t="shared" ca="1" si="1540"/>
        <v>Fechadura (c/ chave) + Dobradiça / Portas Internas</v>
      </c>
      <c r="P1871" s="232" t="str">
        <f>IF(S1871="","",IF(Orçamento!$B1871="INSUMO",S1871,""))</f>
        <v>Dobradiça aço inox - portas de madeira</v>
      </c>
      <c r="Q1871" s="244" t="str">
        <f t="shared" si="1543"/>
        <v/>
      </c>
      <c r="R1871" s="234">
        <f t="shared" ca="1" si="1541"/>
        <v>2</v>
      </c>
      <c r="S1871" s="233" t="s">
        <v>1061</v>
      </c>
      <c r="T1871" s="242" t="str">
        <f>_xlfn.XLOOKUP(S1871,Insumos!$A$3:$A$371,Insumos!$B$3:$B$371)</f>
        <v>UN</v>
      </c>
      <c r="U1871" s="235">
        <f ca="1">IF($B1871="insumo",R1871,"")</f>
        <v>2</v>
      </c>
      <c r="V1871" s="320">
        <v>3</v>
      </c>
      <c r="W1871" s="236">
        <f>IFERROR(IF(B1871="INSUMO",_xlfn.XLOOKUP(S1871,Insumos!A:A,Insumos!C:C),""),"Inserir Preço")</f>
        <v>15</v>
      </c>
      <c r="X1871" s="235">
        <f t="shared" ca="1" si="1542"/>
        <v>6</v>
      </c>
      <c r="Y1871" s="236">
        <f t="shared" si="1517"/>
        <v>45</v>
      </c>
      <c r="Z1871" s="237">
        <f t="shared" ca="1" si="1551"/>
        <v>90</v>
      </c>
      <c r="AA1871" s="238"/>
      <c r="AB1871" s="233" t="str">
        <f>IF(B1871="insumo",_xlfn.XLOOKUP(S1871,Insumos!A:A,Insumos!D:D),"")</f>
        <v>Base de Dados</v>
      </c>
      <c r="AC1871" s="239">
        <f t="shared" ca="1" si="1552"/>
        <v>1.2911320548406998E-5</v>
      </c>
      <c r="AE1871" s="240">
        <f ca="1">IFERROR(IF(OR(Z1871="",Z1871=0),"",IF(AF1871="","",IF(AF1871="R$/mês",Z1871/OBRA!$D$12,IF(AF1871="R$/m²",Z1871/OBRA!$D$10,IF(AF1871="R$/apto",Orçamento!Z1871/OBRA!$D$11,""))))),"")</f>
        <v>4.631464108726193E-2</v>
      </c>
      <c r="AF1871" s="241" t="s">
        <v>154</v>
      </c>
    </row>
    <row r="1872" spans="1:32" s="10" customFormat="1" ht="13.15" hidden="1" customHeight="1" outlineLevel="4" x14ac:dyDescent="0.2">
      <c r="A1872" s="227"/>
      <c r="B1872" s="228" t="s">
        <v>19</v>
      </c>
      <c r="C1872" s="229">
        <f t="shared" si="1550"/>
        <v>2</v>
      </c>
      <c r="D1872" s="227" t="str">
        <f t="shared" si="1544"/>
        <v/>
      </c>
      <c r="E1872" s="228" t="str">
        <f t="shared" ca="1" si="1545"/>
        <v>17.002.003.004</v>
      </c>
      <c r="F1872" s="230">
        <f ca="1">IF($B1872="UNIDADE CONSTRUTIVA",OFFSET(F1872,-1,0)+1,LARGE(F$10:F1871,1))</f>
        <v>2</v>
      </c>
      <c r="G1872" s="228" t="str">
        <f t="shared" ca="1" si="1536"/>
        <v xml:space="preserve">   GERENCIAMENTO EXECUTIVO</v>
      </c>
      <c r="H1872" s="230">
        <f t="shared" ca="1" si="1546"/>
        <v>17</v>
      </c>
      <c r="I1872" s="228" t="str">
        <f t="shared" ca="1" si="1537"/>
        <v xml:space="preserve">   ESQUADRIAS - VIDROS E FERRAGENS</v>
      </c>
      <c r="J1872" s="230">
        <f t="shared" ca="1" si="1547"/>
        <v>2</v>
      </c>
      <c r="K1872" s="228" t="str">
        <f t="shared" ca="1" si="1538"/>
        <v xml:space="preserve">   ESQUADRIAS - VIDROS E FERRAGENS - 2º PAVIMENTO - TÉRREO</v>
      </c>
      <c r="L1872" s="231">
        <f t="shared" ca="1" si="1548"/>
        <v>3</v>
      </c>
      <c r="M1872" s="228" t="str">
        <f t="shared" ca="1" si="1539"/>
        <v xml:space="preserve">   Esquadrias de Madeira</v>
      </c>
      <c r="N1872" s="231">
        <f t="shared" ca="1" si="1549"/>
        <v>4</v>
      </c>
      <c r="O1872" s="228" t="str">
        <f t="shared" ca="1" si="1540"/>
        <v>Fechadura (c/ chave) + Dobradiça / Portas Internas</v>
      </c>
      <c r="P1872" s="232" t="str">
        <f>IF(S1872="","",IF(Orçamento!$B1872="INSUMO",S1872,""))</f>
        <v>Fechadura Padrão Obra (c/ chave)</v>
      </c>
      <c r="Q1872" s="244" t="str">
        <f t="shared" si="1543"/>
        <v/>
      </c>
      <c r="R1872" s="234">
        <f t="shared" ca="1" si="1541"/>
        <v>2</v>
      </c>
      <c r="S1872" s="233" t="s">
        <v>1063</v>
      </c>
      <c r="T1872" s="242" t="str">
        <f>_xlfn.XLOOKUP(S1872,Insumos!$A$3:$A$371,Insumos!$B$3:$B$371)</f>
        <v>UN</v>
      </c>
      <c r="U1872" s="235">
        <f ca="1">IF($B1872="insumo",R1872,"")</f>
        <v>2</v>
      </c>
      <c r="V1872" s="320">
        <v>1</v>
      </c>
      <c r="W1872" s="236">
        <f>IFERROR(IF(B1872="INSUMO",_xlfn.XLOOKUP(S1872,Insumos!A:A,Insumos!C:C),""),"Inserir Preço")</f>
        <v>85</v>
      </c>
      <c r="X1872" s="235">
        <f t="shared" ca="1" si="1542"/>
        <v>2</v>
      </c>
      <c r="Y1872" s="236">
        <f t="shared" si="1517"/>
        <v>85</v>
      </c>
      <c r="Z1872" s="237">
        <f t="shared" ca="1" si="1551"/>
        <v>170</v>
      </c>
      <c r="AA1872" s="238"/>
      <c r="AB1872" s="233" t="str">
        <f>IF(B1872="insumo",_xlfn.XLOOKUP(S1872,Insumos!A:A,Insumos!D:D),"")</f>
        <v>Base de Dados</v>
      </c>
      <c r="AC1872" s="239">
        <f t="shared" ca="1" si="1552"/>
        <v>2.4388049924768774E-5</v>
      </c>
      <c r="AE1872" s="240">
        <f ca="1">IFERROR(IF(OR(Z1872="",Z1872=0),"",IF(AF1872="","",IF(AF1872="R$/mês",Z1872/OBRA!$D$12,IF(AF1872="R$/m²",Z1872/OBRA!$D$10,IF(AF1872="R$/apto",Orçamento!Z1872/OBRA!$D$11,""))))),"")</f>
        <v>8.748321094260586E-2</v>
      </c>
      <c r="AF1872" s="241" t="s">
        <v>154</v>
      </c>
    </row>
    <row r="1873" spans="1:32" s="10" customFormat="1" ht="13.15" hidden="1" customHeight="1" outlineLevel="4" x14ac:dyDescent="0.2">
      <c r="A1873" s="227"/>
      <c r="B1873" s="228" t="s">
        <v>4</v>
      </c>
      <c r="C1873" s="229">
        <f t="shared" si="1550"/>
        <v>3</v>
      </c>
      <c r="D1873" s="227" t="str">
        <f ca="1">IF(B1873="Unidade Construtiva",TEXT(F1873,"00"),IF(B1873="Célula Construtiva",TEXT(H1873,"00"),IF(B1873="Etapa",CONCATENATE(TEXT(H1873,"00"),".",TEXT(J1873,"000")),IF(B1873="Subetapa",CONCATENATE(TEXT(H1873,"00"),".",TEXT(J1873,"000"),".",TEXT(L1873,"000")),IF(B1873="Serviço",CONCATENATE(TEXT(H1873,"00"),".",TEXT(J1873,"000"),".",TEXT(L1873,"000"),".",TEXT(N1873,"000")),"")))))</f>
        <v>17.002.003.005</v>
      </c>
      <c r="E1873" s="228" t="str">
        <f ca="1">IF(B1873="*","",IFERROR(IF(B1873="SERVIÇO",D1873,OFFSET(E1873,-1,0)),""))</f>
        <v>17.002.003.005</v>
      </c>
      <c r="F1873" s="230">
        <f ca="1">IF($B1873="UNIDADE CONSTRUTIVA",OFFSET(F1873,-1,0)+1,LARGE(F$10:F1872,1))</f>
        <v>2</v>
      </c>
      <c r="G1873" s="228" t="str">
        <f ca="1">IF(B1873="*","",IF(B1873="UNIDADE CONSTRUTIVA",S1873,OFFSET(G1873,-1,0)))</f>
        <v xml:space="preserve">   GERENCIAMENTO EXECUTIVO</v>
      </c>
      <c r="H1873" s="230">
        <f ca="1">IF(B1873="UNIDADE CONSTRUTIVA",0,IF(B1873="CÉLULA CONSTRUTIVA",OFFSET(H1873,-1,0)+1,OFFSET(H1873,-1,0)))</f>
        <v>17</v>
      </c>
      <c r="I1873" s="228" t="str">
        <f ca="1">IF(B1873="*","",IF(B1873="CÉLULA CONSTRUTIVA",S1873,OFFSET(I1873,-1,0)))</f>
        <v xml:space="preserve">   ESQUADRIAS - VIDROS E FERRAGENS</v>
      </c>
      <c r="J1873" s="230">
        <f ca="1">IF(B1873="CÉLULA CONSTRUTIVA",0,IF(B1873="ETAPA",OFFSET(J1873,-1,0)+1,OFFSET(J1873,-1,0)))</f>
        <v>2</v>
      </c>
      <c r="K1873" s="228" t="str">
        <f ca="1">IF(B1873="*","",IF(B1873="ETAPA",S1873,OFFSET(K1873,-1,0)))</f>
        <v xml:space="preserve">   ESQUADRIAS - VIDROS E FERRAGENS - 2º PAVIMENTO - TÉRREO</v>
      </c>
      <c r="L1873" s="231">
        <f ca="1">IF(B1873="ETAPA",0,IF(B1873="SUBETAPA",OFFSET(L1873,-1,0)+1,OFFSET(L1873,-1,0)))</f>
        <v>3</v>
      </c>
      <c r="M1873" s="228" t="str">
        <f ca="1">IF(B1873="*","",IF(B1873="SUBETAPA",S1873,OFFSET(M1873,-1,0)))</f>
        <v xml:space="preserve">   Esquadrias de Madeira</v>
      </c>
      <c r="N1873" s="231">
        <f ca="1">IF(B1873="Subetapa",0,IF(B1873="serviço",OFFSET(N1873,-1,0)+1,OFFSET(N1873,-1,0)))</f>
        <v>5</v>
      </c>
      <c r="O1873" s="228" t="str">
        <f ca="1">IF(B1873="*","",IF(B1873="SERVIÇO",S1873,OFFSET(O1873,-1,0)))</f>
        <v>Corrimão de madeira</v>
      </c>
      <c r="P1873" s="232" t="str">
        <f>IF(S1873="","",IF(Orçamento!$B1873="INSUMO",S1873,""))</f>
        <v/>
      </c>
      <c r="Q1873" s="244" t="str">
        <f>IF(B1873="","",IF(B1873="Serviço",S1873,""))</f>
        <v>Corrimão de madeira</v>
      </c>
      <c r="R1873" s="234">
        <f ca="1">IF(B1873="serviço",U1873,OFFSET(R1873,-1,0))</f>
        <v>1.9400000000000002</v>
      </c>
      <c r="S1873" s="233" t="s">
        <v>1188</v>
      </c>
      <c r="T1873" s="242" t="s">
        <v>158</v>
      </c>
      <c r="U1873" s="235">
        <f>'Levantamento Adcional '!$H$4</f>
        <v>1.9400000000000002</v>
      </c>
      <c r="V1873" s="320" t="s">
        <v>35</v>
      </c>
      <c r="W1873" s="236" t="str">
        <f>IFERROR(IF(B1873="INSUMO",_xlfn.XLOOKUP(S1873,Insumos!A:A,Insumos!C:C),""),"Inserir Preço")</f>
        <v/>
      </c>
      <c r="X1873" s="235">
        <f ca="1">IF(B1873="Complemento do insumo",V1873,IF(R1873="","",IF(B1873="serviço",R1873,IF(OR(B1873="insumo"),V1873*R1873,""))))</f>
        <v>1.9400000000000002</v>
      </c>
      <c r="Y1873" s="236">
        <f t="shared" ca="1" si="1517"/>
        <v>60</v>
      </c>
      <c r="Z1873" s="237">
        <f t="shared" ca="1" si="1551"/>
        <v>116.4</v>
      </c>
      <c r="AA1873" s="238"/>
      <c r="AB1873" s="233" t="str">
        <f>IF(B1873="insumo",_xlfn.XLOOKUP(S1873,Insumos!A:A,Insumos!D:D),"")</f>
        <v/>
      </c>
      <c r="AC1873" s="239">
        <f t="shared" ca="1" si="1552"/>
        <v>1.6698641242606386E-5</v>
      </c>
      <c r="AE1873" s="240">
        <f ca="1">IFERROR(IF(OR(Z1873="",Z1873=0),"",IF(AF1873="","",IF(AF1873="R$/mês",Z1873/OBRA!$D$12,IF(AF1873="R$/m²",Z1873/OBRA!$D$10,IF(AF1873="R$/apto",Orçamento!Z1873/OBRA!$D$11,""))))),"")</f>
        <v>5.9900269139525432E-2</v>
      </c>
      <c r="AF1873" s="241" t="s">
        <v>154</v>
      </c>
    </row>
    <row r="1874" spans="1:32" s="10" customFormat="1" ht="13.15" hidden="1" customHeight="1" outlineLevel="4" x14ac:dyDescent="0.2">
      <c r="A1874" s="227"/>
      <c r="B1874" s="228" t="s">
        <v>19</v>
      </c>
      <c r="C1874" s="229">
        <f t="shared" si="1550"/>
        <v>3</v>
      </c>
      <c r="D1874" s="227" t="str">
        <f>IF(B1874="Unidade Construtiva",TEXT(F1874,"00"),IF(B1874="Célula Construtiva",TEXT(H1874,"00"),IF(B1874="Etapa",CONCATENATE(TEXT(H1874,"00"),".",TEXT(J1874,"000")),IF(B1874="Subetapa",CONCATENATE(TEXT(H1874,"00"),".",TEXT(J1874,"000"),".",TEXT(L1874,"000")),IF(B1874="Serviço",CONCATENATE(TEXT(H1874,"00"),".",TEXT(J1874,"000"),".",TEXT(L1874,"000"),".",TEXT(N1874,"000")),"")))))</f>
        <v/>
      </c>
      <c r="E1874" s="228" t="str">
        <f ca="1">IF(B1874="*","",IFERROR(IF(B1874="SERVIÇO",D1874,OFFSET(E1874,-1,0)),""))</f>
        <v>17.002.003.005</v>
      </c>
      <c r="F1874" s="230">
        <f ca="1">IF($B1874="UNIDADE CONSTRUTIVA",OFFSET(F1874,-1,0)+1,LARGE(F$10:F1873,1))</f>
        <v>2</v>
      </c>
      <c r="G1874" s="228" t="str">
        <f ca="1">IF(B1874="*","",IF(B1874="UNIDADE CONSTRUTIVA",S1874,OFFSET(G1874,-1,0)))</f>
        <v xml:space="preserve">   GERENCIAMENTO EXECUTIVO</v>
      </c>
      <c r="H1874" s="230">
        <f ca="1">IF(B1874="UNIDADE CONSTRUTIVA",0,IF(B1874="CÉLULA CONSTRUTIVA",OFFSET(H1874,-1,0)+1,OFFSET(H1874,-1,0)))</f>
        <v>17</v>
      </c>
      <c r="I1874" s="228" t="str">
        <f ca="1">IF(B1874="*","",IF(B1874="CÉLULA CONSTRUTIVA",S1874,OFFSET(I1874,-1,0)))</f>
        <v xml:space="preserve">   ESQUADRIAS - VIDROS E FERRAGENS</v>
      </c>
      <c r="J1874" s="230">
        <f ca="1">IF(B1874="CÉLULA CONSTRUTIVA",0,IF(B1874="ETAPA",OFFSET(J1874,-1,0)+1,OFFSET(J1874,-1,0)))</f>
        <v>2</v>
      </c>
      <c r="K1874" s="228" t="str">
        <f ca="1">IF(B1874="*","",IF(B1874="ETAPA",S1874,OFFSET(K1874,-1,0)))</f>
        <v xml:space="preserve">   ESQUADRIAS - VIDROS E FERRAGENS - 2º PAVIMENTO - TÉRREO</v>
      </c>
      <c r="L1874" s="231">
        <f ca="1">IF(B1874="ETAPA",0,IF(B1874="SUBETAPA",OFFSET(L1874,-1,0)+1,OFFSET(L1874,-1,0)))</f>
        <v>3</v>
      </c>
      <c r="M1874" s="228" t="str">
        <f ca="1">IF(B1874="*","",IF(B1874="SUBETAPA",S1874,OFFSET(M1874,-1,0)))</f>
        <v xml:space="preserve">   Esquadrias de Madeira</v>
      </c>
      <c r="N1874" s="231">
        <f ca="1">IF(B1874="Subetapa",0,IF(B1874="serviço",OFFSET(N1874,-1,0)+1,OFFSET(N1874,-1,0)))</f>
        <v>5</v>
      </c>
      <c r="O1874" s="228" t="str">
        <f ca="1">IF(B1874="*","",IF(B1874="SERVIÇO",S1874,OFFSET(O1874,-1,0)))</f>
        <v>Corrimão de madeira</v>
      </c>
      <c r="P1874" s="232" t="str">
        <f>IF(S1874="","",IF(Orçamento!$B1874="INSUMO",S1874,""))</f>
        <v>Corrimao parede de madeira</v>
      </c>
      <c r="Q1874" s="244" t="str">
        <f>IF(B1874="","",IF(B1874="Serviço",S1874,""))</f>
        <v/>
      </c>
      <c r="R1874" s="234">
        <f ca="1">IF(B1874="serviço",U1874,OFFSET(R1874,-1,0))</f>
        <v>1.9400000000000002</v>
      </c>
      <c r="S1874" s="233" t="s">
        <v>1189</v>
      </c>
      <c r="T1874" s="242" t="str">
        <f>_xlfn.XLOOKUP(S1874,Insumos!$A$3:$A$371,Insumos!$B$3:$B$371)</f>
        <v>M</v>
      </c>
      <c r="U1874" s="235">
        <f ca="1">IF($B1874="insumo",R1874,"")</f>
        <v>1.9400000000000002</v>
      </c>
      <c r="V1874" s="320">
        <v>1</v>
      </c>
      <c r="W1874" s="236">
        <f>IFERROR(IF(B1874="INSUMO",_xlfn.XLOOKUP(S1874,Insumos!A:A,Insumos!C:C),""),"Inserir Preço")</f>
        <v>60</v>
      </c>
      <c r="X1874" s="235">
        <f ca="1">IF(B1874="Complemento do insumo",V1874,IF(R1874="","",IF(B1874="serviço",R1874,IF(OR(B1874="insumo"),V1874*R1874,""))))</f>
        <v>1.9400000000000002</v>
      </c>
      <c r="Y1874" s="236">
        <f t="shared" si="1517"/>
        <v>60</v>
      </c>
      <c r="Z1874" s="237">
        <f t="shared" ca="1" si="1551"/>
        <v>116.4</v>
      </c>
      <c r="AA1874" s="238"/>
      <c r="AB1874" s="233" t="str">
        <f>IF(B1874="insumo",_xlfn.XLOOKUP(S1874,Insumos!A:A,Insumos!D:D),"")</f>
        <v>Base de Dados</v>
      </c>
      <c r="AC1874" s="239">
        <f t="shared" ca="1" si="1552"/>
        <v>1.6698641242606386E-5</v>
      </c>
      <c r="AE1874" s="240">
        <f ca="1">IFERROR(IF(OR(Z1874="",Z1874=0),"",IF(AF1874="","",IF(AF1874="R$/mês",Z1874/OBRA!$D$12,IF(AF1874="R$/m²",Z1874/OBRA!$D$10,IF(AF1874="R$/apto",Orçamento!Z1874/OBRA!$D$11,""))))),"")</f>
        <v>5.9900269139525432E-2</v>
      </c>
      <c r="AF1874" s="241" t="s">
        <v>154</v>
      </c>
    </row>
    <row r="1875" spans="1:32" s="10" customFormat="1" ht="13.15" hidden="1" customHeight="1" outlineLevel="3" collapsed="1" x14ac:dyDescent="0.2">
      <c r="A1875" s="227"/>
      <c r="B1875" s="228" t="s">
        <v>3</v>
      </c>
      <c r="C1875" s="229" t="str">
        <f t="shared" si="1550"/>
        <v/>
      </c>
      <c r="D1875" s="227" t="str">
        <f t="shared" ref="D1875:D1914" ca="1" si="1553">IF(B1875="Unidade Construtiva",TEXT(F1875,"00"),IF(B1875="Célula Construtiva",TEXT(H1875,"00"),IF(B1875="Etapa",CONCATENATE(TEXT(H1875,"00"),".",TEXT(J1875,"000")),IF(B1875="Subetapa",CONCATENATE(TEXT(H1875,"00"),".",TEXT(J1875,"000"),".",TEXT(L1875,"000")),IF(B1875="Serviço",CONCATENATE(TEXT(H1875,"00"),".",TEXT(J1875,"000"),".",TEXT(L1875,"000"),".",TEXT(N1875,"000")),"")))))</f>
        <v>17.002.004</v>
      </c>
      <c r="E1875" s="228" t="str">
        <f t="shared" ref="E1875:E1914" ca="1" si="1554">IF(B1875="*","",IFERROR(IF(B1875="SERVIÇO",D1875,OFFSET(E1875,-1,0)),""))</f>
        <v>17.002.003.005</v>
      </c>
      <c r="F1875" s="230">
        <f ca="1">IF($B1875="UNIDADE CONSTRUTIVA",OFFSET(F1875,-1,0)+1,LARGE(F$10:F1874,1))</f>
        <v>2</v>
      </c>
      <c r="G1875" s="228" t="str">
        <f t="shared" ca="1" si="1536"/>
        <v xml:space="preserve">   GERENCIAMENTO EXECUTIVO</v>
      </c>
      <c r="H1875" s="230">
        <f t="shared" ref="H1875:H1914" ca="1" si="1555">IF(B1875="UNIDADE CONSTRUTIVA",0,IF(B1875="CÉLULA CONSTRUTIVA",OFFSET(H1875,-1,0)+1,OFFSET(H1875,-1,0)))</f>
        <v>17</v>
      </c>
      <c r="I1875" s="228" t="str">
        <f t="shared" ca="1" si="1537"/>
        <v xml:space="preserve">   ESQUADRIAS - VIDROS E FERRAGENS</v>
      </c>
      <c r="J1875" s="230">
        <f t="shared" ref="J1875:J1914" ca="1" si="1556">IF(B1875="CÉLULA CONSTRUTIVA",0,IF(B1875="ETAPA",OFFSET(J1875,-1,0)+1,OFFSET(J1875,-1,0)))</f>
        <v>2</v>
      </c>
      <c r="K1875" s="228" t="str">
        <f t="shared" ca="1" si="1538"/>
        <v xml:space="preserve">   ESQUADRIAS - VIDROS E FERRAGENS - 2º PAVIMENTO - TÉRREO</v>
      </c>
      <c r="L1875" s="231">
        <f t="shared" ref="L1875:L1914" ca="1" si="1557">IF(B1875="ETAPA",0,IF(B1875="SUBETAPA",OFFSET(L1875,-1,0)+1,OFFSET(L1875,-1,0)))</f>
        <v>4</v>
      </c>
      <c r="M1875" s="228" t="str">
        <f t="shared" ca="1" si="1539"/>
        <v xml:space="preserve">   Mão de Obra</v>
      </c>
      <c r="N1875" s="231">
        <f t="shared" ref="N1875:N1914" ca="1" si="1558">IF(B1875="Subetapa",0,IF(B1875="serviço",OFFSET(N1875,-1,0)+1,OFFSET(N1875,-1,0)))</f>
        <v>0</v>
      </c>
      <c r="O1875" s="228" t="str">
        <f t="shared" ca="1" si="1540"/>
        <v>Corrimão de madeira</v>
      </c>
      <c r="P1875" s="232" t="str">
        <f>IF(S1875="","",IF(Orçamento!$B1875="INSUMO",S1875,""))</f>
        <v/>
      </c>
      <c r="Q1875" s="244" t="str">
        <f t="shared" si="1543"/>
        <v/>
      </c>
      <c r="R1875" s="234">
        <f t="shared" ca="1" si="1541"/>
        <v>1.9400000000000002</v>
      </c>
      <c r="S1875" s="233" t="s">
        <v>438</v>
      </c>
      <c r="T1875" s="242" t="s">
        <v>35</v>
      </c>
      <c r="U1875" s="235" t="str">
        <f>IF($B1875="insumo",R1875,"")</f>
        <v/>
      </c>
      <c r="V1875" s="320" t="s">
        <v>35</v>
      </c>
      <c r="W1875" s="236" t="str">
        <f>IFERROR(IF(B1875="INSUMO",_xlfn.XLOOKUP(S1875,Insumos!A:A,Insumos!C:C),""),"Inserir Preço")</f>
        <v/>
      </c>
      <c r="X1875" s="235" t="str">
        <f t="shared" ca="1" si="1542"/>
        <v/>
      </c>
      <c r="Y1875" s="236" t="str">
        <f t="shared" si="1517"/>
        <v/>
      </c>
      <c r="Z1875" s="237">
        <f t="shared" ca="1" si="1551"/>
        <v>910</v>
      </c>
      <c r="AA1875" s="238"/>
      <c r="AB1875" s="233" t="str">
        <f>IF(B1875="insumo",_xlfn.XLOOKUP(S1875,Insumos!A:A,Insumos!D:D),"")</f>
        <v/>
      </c>
      <c r="AC1875" s="239">
        <f t="shared" ca="1" si="1552"/>
        <v>1.3054779665611522E-4</v>
      </c>
      <c r="AE1875" s="240">
        <f ca="1">IFERROR(IF(OR(Z1875="",Z1875=0),"",IF(AF1875="","",IF(AF1875="R$/mês",Z1875/OBRA!$D$12,IF(AF1875="R$/m²",Z1875/OBRA!$D$10,IF(AF1875="R$/apto",Orçamento!Z1875/OBRA!$D$11,""))))),"")</f>
        <v>0.46829248210453728</v>
      </c>
      <c r="AF1875" s="241" t="s">
        <v>154</v>
      </c>
    </row>
    <row r="1876" spans="1:32" s="10" customFormat="1" ht="13.15" hidden="1" customHeight="1" outlineLevel="4" x14ac:dyDescent="0.2">
      <c r="A1876" s="227" t="s">
        <v>706</v>
      </c>
      <c r="B1876" s="228" t="s">
        <v>4</v>
      </c>
      <c r="C1876" s="229">
        <f t="shared" si="1550"/>
        <v>3</v>
      </c>
      <c r="D1876" s="227" t="str">
        <f t="shared" ca="1" si="1553"/>
        <v>17.002.004.001</v>
      </c>
      <c r="E1876" s="228" t="str">
        <f t="shared" ca="1" si="1554"/>
        <v>17.002.004.001</v>
      </c>
      <c r="F1876" s="230">
        <f ca="1">IF($B1876="UNIDADE CONSTRUTIVA",OFFSET(F1876,-1,0)+1,LARGE(F$10:F1875,1))</f>
        <v>2</v>
      </c>
      <c r="G1876" s="228" t="str">
        <f t="shared" ca="1" si="1536"/>
        <v xml:space="preserve">   GERENCIAMENTO EXECUTIVO</v>
      </c>
      <c r="H1876" s="230">
        <f t="shared" ca="1" si="1555"/>
        <v>17</v>
      </c>
      <c r="I1876" s="228" t="str">
        <f t="shared" ca="1" si="1537"/>
        <v xml:space="preserve">   ESQUADRIAS - VIDROS E FERRAGENS</v>
      </c>
      <c r="J1876" s="230">
        <f t="shared" ca="1" si="1556"/>
        <v>2</v>
      </c>
      <c r="K1876" s="228" t="str">
        <f t="shared" ca="1" si="1538"/>
        <v xml:space="preserve">   ESQUADRIAS - VIDROS E FERRAGENS - 2º PAVIMENTO - TÉRREO</v>
      </c>
      <c r="L1876" s="231">
        <f t="shared" ca="1" si="1557"/>
        <v>4</v>
      </c>
      <c r="M1876" s="228" t="str">
        <f t="shared" ca="1" si="1539"/>
        <v xml:space="preserve">   Mão de Obra</v>
      </c>
      <c r="N1876" s="231">
        <f t="shared" ca="1" si="1558"/>
        <v>1</v>
      </c>
      <c r="O1876" s="228" t="str">
        <f t="shared" ca="1" si="1540"/>
        <v>Mao de obra para instalação de portas de madeira</v>
      </c>
      <c r="P1876" s="232" t="str">
        <f>IF(S1876="","",IF(Orçamento!$B1876="INSUMO",S1876,""))</f>
        <v/>
      </c>
      <c r="Q1876" s="244" t="str">
        <f t="shared" si="1543"/>
        <v>Mao de obra para instalação de portas de madeira</v>
      </c>
      <c r="R1876" s="234">
        <f t="shared" ca="1" si="1541"/>
        <v>7</v>
      </c>
      <c r="S1876" s="233" t="s">
        <v>510</v>
      </c>
      <c r="T1876" s="242" t="s">
        <v>142</v>
      </c>
      <c r="U1876" s="235">
        <f>U1864+U1861</f>
        <v>7</v>
      </c>
      <c r="V1876" s="320" t="s">
        <v>35</v>
      </c>
      <c r="W1876" s="236" t="str">
        <f>IFERROR(IF(B1876="INSUMO",_xlfn.XLOOKUP(S1876,Insumos!A:A,Insumos!C:C),""),"Inserir Preço")</f>
        <v/>
      </c>
      <c r="X1876" s="235">
        <f t="shared" ca="1" si="1542"/>
        <v>7</v>
      </c>
      <c r="Y1876" s="236">
        <f t="shared" ca="1" si="1517"/>
        <v>130</v>
      </c>
      <c r="Z1876" s="237">
        <f t="shared" ca="1" si="1551"/>
        <v>910</v>
      </c>
      <c r="AA1876" s="238"/>
      <c r="AB1876" s="233" t="str">
        <f>IF(B1876="insumo",_xlfn.XLOOKUP(S1876,Insumos!A:A,Insumos!D:D),"")</f>
        <v/>
      </c>
      <c r="AC1876" s="239">
        <f t="shared" ca="1" si="1552"/>
        <v>1.3054779665611522E-4</v>
      </c>
      <c r="AE1876" s="240">
        <f ca="1">IFERROR(IF(OR(Z1876="",Z1876=0),"",IF(AF1876="","",IF(AF1876="R$/mês",Z1876/OBRA!$D$12,IF(AF1876="R$/m²",Z1876/OBRA!$D$10,IF(AF1876="R$/apto",Orçamento!Z1876/OBRA!$D$11,""))))),"")</f>
        <v>0.46829248210453728</v>
      </c>
      <c r="AF1876" s="241" t="s">
        <v>154</v>
      </c>
    </row>
    <row r="1877" spans="1:32" s="10" customFormat="1" ht="13.15" hidden="1" customHeight="1" outlineLevel="4" x14ac:dyDescent="0.2">
      <c r="A1877" s="227"/>
      <c r="B1877" s="228" t="s">
        <v>19</v>
      </c>
      <c r="C1877" s="229">
        <f t="shared" si="1550"/>
        <v>3</v>
      </c>
      <c r="D1877" s="227" t="str">
        <f t="shared" si="1553"/>
        <v/>
      </c>
      <c r="E1877" s="228" t="str">
        <f t="shared" ca="1" si="1554"/>
        <v>17.002.004.001</v>
      </c>
      <c r="F1877" s="230">
        <f ca="1">IF($B1877="UNIDADE CONSTRUTIVA",OFFSET(F1877,-1,0)+1,LARGE(F$10:F1876,1))</f>
        <v>2</v>
      </c>
      <c r="G1877" s="228" t="str">
        <f t="shared" ca="1" si="1536"/>
        <v xml:space="preserve">   GERENCIAMENTO EXECUTIVO</v>
      </c>
      <c r="H1877" s="230">
        <f t="shared" ca="1" si="1555"/>
        <v>17</v>
      </c>
      <c r="I1877" s="228" t="str">
        <f t="shared" ca="1" si="1537"/>
        <v xml:space="preserve">   ESQUADRIAS - VIDROS E FERRAGENS</v>
      </c>
      <c r="J1877" s="230">
        <f t="shared" ca="1" si="1556"/>
        <v>2</v>
      </c>
      <c r="K1877" s="228" t="str">
        <f t="shared" ca="1" si="1538"/>
        <v xml:space="preserve">   ESQUADRIAS - VIDROS E FERRAGENS - 2º PAVIMENTO - TÉRREO</v>
      </c>
      <c r="L1877" s="231">
        <f t="shared" ca="1" si="1557"/>
        <v>4</v>
      </c>
      <c r="M1877" s="228" t="str">
        <f t="shared" ca="1" si="1539"/>
        <v xml:space="preserve">   Mão de Obra</v>
      </c>
      <c r="N1877" s="231">
        <f t="shared" ca="1" si="1558"/>
        <v>1</v>
      </c>
      <c r="O1877" s="228" t="str">
        <f t="shared" ca="1" si="1540"/>
        <v>Mao de obra para instalação de portas de madeira</v>
      </c>
      <c r="P1877" s="232" t="str">
        <f>IF(S1877="","",IF(Orçamento!$B1877="INSUMO",S1877,""))</f>
        <v>M.O. INSTALAÇÃO DE PORTAS DE MADEIRA</v>
      </c>
      <c r="Q1877" s="244" t="str">
        <f t="shared" si="1543"/>
        <v/>
      </c>
      <c r="R1877" s="234">
        <f t="shared" ca="1" si="1541"/>
        <v>7</v>
      </c>
      <c r="S1877" s="233" t="s">
        <v>316</v>
      </c>
      <c r="T1877" s="242" t="str">
        <f>_xlfn.XLOOKUP(S1877,Insumos!$A$3:$A$371,Insumos!$B$3:$B$371)</f>
        <v>UN</v>
      </c>
      <c r="U1877" s="235">
        <f ca="1">IF($B1877="insumo",R1877,"")</f>
        <v>7</v>
      </c>
      <c r="V1877" s="320">
        <v>1</v>
      </c>
      <c r="W1877" s="236">
        <f>IFERROR(IF(B1877="INSUMO",_xlfn.XLOOKUP(S1877,Insumos!A:A,Insumos!C:C),""),"Inserir Preço")</f>
        <v>130</v>
      </c>
      <c r="X1877" s="235">
        <f t="shared" ca="1" si="1542"/>
        <v>7</v>
      </c>
      <c r="Y1877" s="236">
        <f t="shared" si="1517"/>
        <v>130</v>
      </c>
      <c r="Z1877" s="237">
        <f t="shared" ca="1" si="1551"/>
        <v>910</v>
      </c>
      <c r="AA1877" s="238"/>
      <c r="AB1877" s="233" t="str">
        <f>IF(B1877="insumo",_xlfn.XLOOKUP(S1877,Insumos!A:A,Insumos!D:D),"")</f>
        <v>Base de dados</v>
      </c>
      <c r="AC1877" s="239">
        <f t="shared" ca="1" si="1552"/>
        <v>1.3054779665611522E-4</v>
      </c>
      <c r="AE1877" s="240">
        <f ca="1">IFERROR(IF(OR(Z1877="",Z1877=0),"",IF(AF1877="","",IF(AF1877="R$/mês",Z1877/OBRA!$D$12,IF(AF1877="R$/m²",Z1877/OBRA!$D$10,IF(AF1877="R$/apto",Orçamento!Z1877/OBRA!$D$11,""))))),"")</f>
        <v>0.46829248210453728</v>
      </c>
      <c r="AF1877" s="241" t="s">
        <v>154</v>
      </c>
    </row>
    <row r="1878" spans="1:32" s="10" customFormat="1" ht="13.15" customHeight="1" outlineLevel="2" collapsed="1" x14ac:dyDescent="0.2">
      <c r="A1878" s="227"/>
      <c r="B1878" s="228" t="s">
        <v>2</v>
      </c>
      <c r="C1878" s="229" t="str">
        <f t="shared" si="1550"/>
        <v/>
      </c>
      <c r="D1878" s="227" t="str">
        <f t="shared" ca="1" si="1553"/>
        <v>17.003</v>
      </c>
      <c r="E1878" s="228" t="str">
        <f t="shared" ca="1" si="1554"/>
        <v>17.002.004.001</v>
      </c>
      <c r="F1878" s="230">
        <f ca="1">IF($B1878="UNIDADE CONSTRUTIVA",OFFSET(F1878,-1,0)+1,LARGE(F$10:F1877,1))</f>
        <v>2</v>
      </c>
      <c r="G1878" s="228" t="str">
        <f t="shared" ca="1" si="1536"/>
        <v xml:space="preserve">   GERENCIAMENTO EXECUTIVO</v>
      </c>
      <c r="H1878" s="230">
        <f t="shared" ca="1" si="1555"/>
        <v>17</v>
      </c>
      <c r="I1878" s="228" t="str">
        <f t="shared" ca="1" si="1537"/>
        <v xml:space="preserve">   ESQUADRIAS - VIDROS E FERRAGENS</v>
      </c>
      <c r="J1878" s="230">
        <f t="shared" ca="1" si="1556"/>
        <v>3</v>
      </c>
      <c r="K1878" s="228" t="str">
        <f t="shared" ca="1" si="1538"/>
        <v xml:space="preserve">   ESQUADRIAS - VIDROS E FERRAGENS - 3º  ao 7º PAVIMENTO - TIPO</v>
      </c>
      <c r="L1878" s="231">
        <f t="shared" ca="1" si="1557"/>
        <v>0</v>
      </c>
      <c r="M1878" s="228" t="str">
        <f t="shared" ca="1" si="1539"/>
        <v xml:space="preserve">   Mão de Obra</v>
      </c>
      <c r="N1878" s="231">
        <f t="shared" ca="1" si="1558"/>
        <v>1</v>
      </c>
      <c r="O1878" s="228" t="str">
        <f t="shared" ca="1" si="1540"/>
        <v>Mao de obra para instalação de portas de madeira</v>
      </c>
      <c r="P1878" s="232" t="str">
        <f>IF(S1878="","",IF(Orçamento!$B1878="INSUMO",S1878,""))</f>
        <v/>
      </c>
      <c r="Q1878" s="244" t="str">
        <f t="shared" si="1543"/>
        <v/>
      </c>
      <c r="R1878" s="234">
        <f t="shared" ca="1" si="1541"/>
        <v>7</v>
      </c>
      <c r="S1878" s="233" t="s">
        <v>676</v>
      </c>
      <c r="T1878" s="242" t="s">
        <v>35</v>
      </c>
      <c r="U1878" s="235" t="str">
        <f>IF($B1878="insumo",R1878,"")</f>
        <v/>
      </c>
      <c r="V1878" s="320" t="s">
        <v>35</v>
      </c>
      <c r="W1878" s="236" t="str">
        <f>IFERROR(IF(B1878="INSUMO",_xlfn.XLOOKUP(S1878,Insumos!A:A,Insumos!C:C),""),"Inserir Preço")</f>
        <v/>
      </c>
      <c r="X1878" s="235" t="str">
        <f t="shared" ca="1" si="1542"/>
        <v/>
      </c>
      <c r="Y1878" s="236" t="str">
        <f t="shared" si="1517"/>
        <v/>
      </c>
      <c r="Z1878" s="237">
        <f t="shared" ca="1" si="1551"/>
        <v>422637.17595588759</v>
      </c>
      <c r="AA1878" s="238"/>
      <c r="AB1878" s="233" t="str">
        <f>IF(B1878="insumo",_xlfn.XLOOKUP(S1878,Insumos!A:A,Insumos!D:D),"")</f>
        <v/>
      </c>
      <c r="AC1878" s="239">
        <f t="shared" ca="1" si="1552"/>
        <v>6.0631156160443955E-2</v>
      </c>
      <c r="AE1878" s="240">
        <f ca="1">IFERROR(IF(OR(Z1878="",Z1878=0),"",IF(AF1878="","",IF(AF1878="R$/mês",Z1878/OBRA!$D$12,IF(AF1878="R$/m²",Z1878/OBRA!$D$10,IF(AF1878="R$/apto",Orçamento!Z1878/OBRA!$D$11,""))))),"")</f>
        <v>217.49210127256558</v>
      </c>
      <c r="AF1878" s="241" t="s">
        <v>154</v>
      </c>
    </row>
    <row r="1879" spans="1:32" s="10" customFormat="1" ht="13.15" hidden="1" customHeight="1" outlineLevel="3" collapsed="1" x14ac:dyDescent="0.2">
      <c r="A1879" s="227"/>
      <c r="B1879" s="228" t="s">
        <v>3</v>
      </c>
      <c r="C1879" s="229" t="str">
        <f t="shared" si="1550"/>
        <v/>
      </c>
      <c r="D1879" s="227" t="str">
        <f t="shared" ca="1" si="1553"/>
        <v>17.003.001</v>
      </c>
      <c r="E1879" s="228" t="str">
        <f t="shared" ca="1" si="1554"/>
        <v>17.002.004.001</v>
      </c>
      <c r="F1879" s="230">
        <f ca="1">IF($B1879="UNIDADE CONSTRUTIVA",OFFSET(F1879,-1,0)+1,LARGE(F$10:F1878,1))</f>
        <v>2</v>
      </c>
      <c r="G1879" s="228" t="str">
        <f ca="1">IF(B1879="*","",IF(B1879="UNIDADE CONSTRUTIVA",S1879,OFFSET(G1879,-1,0)))</f>
        <v xml:space="preserve">   GERENCIAMENTO EXECUTIVO</v>
      </c>
      <c r="H1879" s="230">
        <f t="shared" ca="1" si="1555"/>
        <v>17</v>
      </c>
      <c r="I1879" s="228" t="str">
        <f ca="1">IF(B1879="*","",IF(B1879="CÉLULA CONSTRUTIVA",S1879,OFFSET(I1879,-1,0)))</f>
        <v xml:space="preserve">   ESQUADRIAS - VIDROS E FERRAGENS</v>
      </c>
      <c r="J1879" s="230">
        <f t="shared" ca="1" si="1556"/>
        <v>3</v>
      </c>
      <c r="K1879" s="228" t="str">
        <f ca="1">IF(B1879="*","",IF(B1879="ETAPA",S1879,OFFSET(K1879,-1,0)))</f>
        <v xml:space="preserve">   ESQUADRIAS - VIDROS E FERRAGENS - 3º  ao 7º PAVIMENTO - TIPO</v>
      </c>
      <c r="L1879" s="231">
        <f t="shared" ca="1" si="1557"/>
        <v>1</v>
      </c>
      <c r="M1879" s="228" t="str">
        <f ca="1">IF(B1879="*","",IF(B1879="SUBETAPA",S1879,OFFSET(M1879,-1,0)))</f>
        <v xml:space="preserve">   Esquadrias Alumínio</v>
      </c>
      <c r="N1879" s="231">
        <f t="shared" ca="1" si="1558"/>
        <v>0</v>
      </c>
      <c r="O1879" s="228" t="str">
        <f ca="1">IF(B1879="*","",IF(B1879="SERVIÇO",S1879,OFFSET(O1879,-1,0)))</f>
        <v>Mao de obra para instalação de portas de madeira</v>
      </c>
      <c r="P1879" s="232" t="str">
        <f>IF(S1879="","",IF(Orçamento!$B1879="INSUMO",S1879,""))</f>
        <v/>
      </c>
      <c r="Q1879" s="244" t="str">
        <f t="shared" si="1543"/>
        <v/>
      </c>
      <c r="R1879" s="234">
        <f ca="1">IF(B1879="serviço",U1879,OFFSET(R1879,-1,0))</f>
        <v>7</v>
      </c>
      <c r="S1879" s="233" t="s">
        <v>635</v>
      </c>
      <c r="T1879" s="242" t="s">
        <v>35</v>
      </c>
      <c r="U1879" s="235" t="str">
        <f>IF($B1879="insumo",R1879,"")</f>
        <v/>
      </c>
      <c r="V1879" s="320" t="s">
        <v>35</v>
      </c>
      <c r="W1879" s="236" t="str">
        <f>IFERROR(IF(B1879="INSUMO",_xlfn.XLOOKUP(S1879,Insumos!A:A,Insumos!C:C),""),"Inserir Preço")</f>
        <v/>
      </c>
      <c r="X1879" s="235" t="str">
        <f ca="1">IF(B1879="Complemento do insumo",V1879,IF(R1879="","",IF(B1879="serviço",R1879,IF(OR(B1879="insumo"),V1879*R1879,""))))</f>
        <v/>
      </c>
      <c r="Y1879" s="236" t="str">
        <f t="shared" si="1517"/>
        <v/>
      </c>
      <c r="Z1879" s="237">
        <f t="shared" ca="1" si="1551"/>
        <v>317300.91715588758</v>
      </c>
      <c r="AA1879" s="238"/>
      <c r="AB1879" s="233" t="str">
        <f>IF(B1879="insumo",_xlfn.XLOOKUP(S1879,Insumos!A:A,Insumos!D:D),"")</f>
        <v/>
      </c>
      <c r="AC1879" s="239">
        <f t="shared" ca="1" si="1552"/>
        <v>4.551970946336887E-2</v>
      </c>
      <c r="AE1879" s="240">
        <f ca="1">IFERROR(IF(OR(Z1879="",Z1879=0),"",IF(AF1879="","",IF(AF1879="R$/mês",Z1879/OBRA!$D$12,IF(AF1879="R$/m²",Z1879/OBRA!$D$10,IF(AF1879="R$/apto",Orçamento!Z1879/OBRA!$D$11,""))))),"")</f>
        <v>163.28531216371073</v>
      </c>
      <c r="AF1879" s="241" t="s">
        <v>154</v>
      </c>
    </row>
    <row r="1880" spans="1:32" s="10" customFormat="1" ht="13.15" hidden="1" customHeight="1" outlineLevel="4" x14ac:dyDescent="0.2">
      <c r="A1880" s="227"/>
      <c r="B1880" s="228" t="s">
        <v>4</v>
      </c>
      <c r="C1880" s="229">
        <f t="shared" si="1550"/>
        <v>5</v>
      </c>
      <c r="D1880" s="227" t="str">
        <f t="shared" ca="1" si="1553"/>
        <v>17.003.001.001</v>
      </c>
      <c r="E1880" s="228" t="str">
        <f t="shared" ca="1" si="1554"/>
        <v>17.003.001.001</v>
      </c>
      <c r="F1880" s="230">
        <f ca="1">IF($B1880="UNIDADE CONSTRUTIVA",OFFSET(F1880,-1,0)+1,LARGE(F$10:F1879,1))</f>
        <v>2</v>
      </c>
      <c r="G1880" s="228" t="str">
        <f ca="1">IF(B1880="*","",IF(B1880="UNIDADE CONSTRUTIVA",S1880,OFFSET(G1880,-1,0)))</f>
        <v xml:space="preserve">   GERENCIAMENTO EXECUTIVO</v>
      </c>
      <c r="H1880" s="230">
        <f t="shared" ca="1" si="1555"/>
        <v>17</v>
      </c>
      <c r="I1880" s="228" t="str">
        <f ca="1">IF(B1880="*","",IF(B1880="CÉLULA CONSTRUTIVA",S1880,OFFSET(I1880,-1,0)))</f>
        <v xml:space="preserve">   ESQUADRIAS - VIDROS E FERRAGENS</v>
      </c>
      <c r="J1880" s="230">
        <f t="shared" ca="1" si="1556"/>
        <v>3</v>
      </c>
      <c r="K1880" s="228" t="str">
        <f ca="1">IF(B1880="*","",IF(B1880="ETAPA",S1880,OFFSET(K1880,-1,0)))</f>
        <v xml:space="preserve">   ESQUADRIAS - VIDROS E FERRAGENS - 3º  ao 7º PAVIMENTO - TIPO</v>
      </c>
      <c r="L1880" s="231">
        <f t="shared" ca="1" si="1557"/>
        <v>1</v>
      </c>
      <c r="M1880" s="228" t="str">
        <f ca="1">IF(B1880="*","",IF(B1880="SUBETAPA",S1880,OFFSET(M1880,-1,0)))</f>
        <v xml:space="preserve">   Esquadrias Alumínio</v>
      </c>
      <c r="N1880" s="231">
        <f t="shared" ca="1" si="1558"/>
        <v>1</v>
      </c>
      <c r="O1880" s="228" t="str">
        <f ca="1">IF(B1880="*","",IF(B1880="SERVIÇO",S1880,OFFSET(O1880,-1,0)))</f>
        <v>Fixacao de de contramarcos com argamassa</v>
      </c>
      <c r="P1880" s="232" t="str">
        <f>IF(S1880="","",IF(Orçamento!$B1880="INSUMO",S1880,""))</f>
        <v/>
      </c>
      <c r="Q1880" s="244" t="str">
        <f t="shared" si="1543"/>
        <v>Fixacao de de contramarcos com argamassa</v>
      </c>
      <c r="R1880" s="234">
        <f ca="1">IF(B1880="serviço",U1880,OFFSET(R1880,-1,0))</f>
        <v>354.4</v>
      </c>
      <c r="S1880" s="233" t="s">
        <v>503</v>
      </c>
      <c r="T1880" s="242" t="s">
        <v>158</v>
      </c>
      <c r="U1880" s="235">
        <v>354.4</v>
      </c>
      <c r="V1880" s="320" t="s">
        <v>35</v>
      </c>
      <c r="W1880" s="236" t="str">
        <f>IFERROR(IF(B1880="INSUMO",_xlfn.XLOOKUP(S1880,Insumos!A:A,Insumos!C:C),""),"Inserir Preço")</f>
        <v/>
      </c>
      <c r="X1880" s="235">
        <f ca="1">IF(B1880="Complemento do insumo",V1880,IF(R1880="","",IF(B1880="serviço",R1880,IF(OR(B1880="insumo"),V1880*R1880,""))))</f>
        <v>354.4</v>
      </c>
      <c r="Y1880" s="236">
        <f t="shared" ca="1" si="1517"/>
        <v>0.85</v>
      </c>
      <c r="Z1880" s="237">
        <f t="shared" ca="1" si="1551"/>
        <v>301.23999999999995</v>
      </c>
      <c r="AA1880" s="238"/>
      <c r="AB1880" s="233" t="str">
        <f>IF(B1880="insumo",_xlfn.XLOOKUP(S1880,Insumos!A:A,Insumos!D:D),"")</f>
        <v/>
      </c>
      <c r="AC1880" s="239">
        <f t="shared" ca="1" si="1552"/>
        <v>4.3215624466690264E-5</v>
      </c>
      <c r="AE1880" s="240">
        <f ca="1">IFERROR(IF(OR(Z1880="",Z1880=0),"",IF(AF1880="","",IF(AF1880="R$/mês",Z1880/OBRA!$D$12,IF(AF1880="R$/m²",Z1880/OBRA!$D$10,IF(AF1880="R$/apto",Orçamento!Z1880/OBRA!$D$11,""))))),"")</f>
        <v>0.15502024979029758</v>
      </c>
      <c r="AF1880" s="241" t="s">
        <v>154</v>
      </c>
    </row>
    <row r="1881" spans="1:32" s="10" customFormat="1" ht="13.15" hidden="1" customHeight="1" outlineLevel="4" x14ac:dyDescent="0.2">
      <c r="A1881" s="227"/>
      <c r="B1881" s="228" t="s">
        <v>19</v>
      </c>
      <c r="C1881" s="229">
        <f t="shared" si="1550"/>
        <v>19</v>
      </c>
      <c r="D1881" s="227" t="str">
        <f t="shared" si="1553"/>
        <v/>
      </c>
      <c r="E1881" s="228" t="str">
        <f t="shared" ca="1" si="1554"/>
        <v>17.003.001.001</v>
      </c>
      <c r="F1881" s="230">
        <f ca="1">IF($B1881="UNIDADE CONSTRUTIVA",OFFSET(F1881,-1,0)+1,LARGE(F$10:F1880,1))</f>
        <v>2</v>
      </c>
      <c r="G1881" s="228" t="str">
        <f ca="1">IF(B1881="*","",IF(B1881="UNIDADE CONSTRUTIVA",S1881,OFFSET(G1881,-1,0)))</f>
        <v xml:space="preserve">   GERENCIAMENTO EXECUTIVO</v>
      </c>
      <c r="H1881" s="230">
        <f t="shared" ca="1" si="1555"/>
        <v>17</v>
      </c>
      <c r="I1881" s="228" t="str">
        <f ca="1">IF(B1881="*","",IF(B1881="CÉLULA CONSTRUTIVA",S1881,OFFSET(I1881,-1,0)))</f>
        <v xml:space="preserve">   ESQUADRIAS - VIDROS E FERRAGENS</v>
      </c>
      <c r="J1881" s="230">
        <f t="shared" ca="1" si="1556"/>
        <v>3</v>
      </c>
      <c r="K1881" s="228" t="str">
        <f ca="1">IF(B1881="*","",IF(B1881="ETAPA",S1881,OFFSET(K1881,-1,0)))</f>
        <v xml:space="preserve">   ESQUADRIAS - VIDROS E FERRAGENS - 3º  ao 7º PAVIMENTO - TIPO</v>
      </c>
      <c r="L1881" s="231">
        <f t="shared" ca="1" si="1557"/>
        <v>1</v>
      </c>
      <c r="M1881" s="228" t="str">
        <f ca="1">IF(B1881="*","",IF(B1881="SUBETAPA",S1881,OFFSET(M1881,-1,0)))</f>
        <v xml:space="preserve">   Esquadrias Alumínio</v>
      </c>
      <c r="N1881" s="231">
        <f t="shared" ca="1" si="1558"/>
        <v>1</v>
      </c>
      <c r="O1881" s="228" t="str">
        <f ca="1">IF(B1881="*","",IF(B1881="SERVIÇO",S1881,OFFSET(O1881,-1,0)))</f>
        <v>Fixacao de de contramarcos com argamassa</v>
      </c>
      <c r="P1881" s="232" t="str">
        <f>IF(S1881="","",IF(Orçamento!$B1881="INSUMO",S1881,""))</f>
        <v>ARGAMASSA ESTABILIZADA P/ ASSENTAMENTO</v>
      </c>
      <c r="Q1881" s="244" t="str">
        <f t="shared" si="1543"/>
        <v/>
      </c>
      <c r="R1881" s="234">
        <f ca="1">IF(B1881="serviço",U1881,OFFSET(R1881,-1,0))</f>
        <v>354.4</v>
      </c>
      <c r="S1881" s="233" t="s">
        <v>206</v>
      </c>
      <c r="T1881" s="242" t="str">
        <f>_xlfn.XLOOKUP(S1881,Insumos!$A$3:$A$371,Insumos!$B$3:$B$371)</f>
        <v>M3</v>
      </c>
      <c r="U1881" s="235">
        <f ca="1">IF($B1881="insumo",R1881,"")</f>
        <v>354.4</v>
      </c>
      <c r="V1881" s="320">
        <v>2E-3</v>
      </c>
      <c r="W1881" s="236">
        <f>IFERROR(IF(B1881="INSUMO",_xlfn.XLOOKUP(S1881,Insumos!A:A,Insumos!C:C),""),"Inserir Preço")</f>
        <v>425</v>
      </c>
      <c r="X1881" s="235">
        <f ca="1">IF(B1881="Complemento do insumo",V1881,IF(R1881="","",IF(B1881="serviço",R1881,IF(OR(B1881="insumo"),V1881*R1881,""))))</f>
        <v>0.70879999999999999</v>
      </c>
      <c r="Y1881" s="236">
        <f t="shared" si="1517"/>
        <v>0.85</v>
      </c>
      <c r="Z1881" s="237">
        <f t="shared" ca="1" si="1551"/>
        <v>301.24</v>
      </c>
      <c r="AA1881" s="238"/>
      <c r="AB1881" s="233" t="str">
        <f>IF(B1881="insumo",_xlfn.XLOOKUP(S1881,Insumos!A:A,Insumos!D:D),"")</f>
        <v xml:space="preserve"> </v>
      </c>
      <c r="AC1881" s="239">
        <f t="shared" ca="1" si="1552"/>
        <v>4.3215624466690271E-5</v>
      </c>
      <c r="AE1881" s="240">
        <f ca="1">IFERROR(IF(OR(Z1881="",Z1881=0),"",IF(AF1881="","",IF(AF1881="R$/mês",Z1881/OBRA!$D$12,IF(AF1881="R$/m²",Z1881/OBRA!$D$10,IF(AF1881="R$/apto",Orçamento!Z1881/OBRA!$D$11,""))))),"")</f>
        <v>0.1550202497902976</v>
      </c>
      <c r="AF1881" s="241" t="s">
        <v>154</v>
      </c>
    </row>
    <row r="1882" spans="1:32" s="10" customFormat="1" ht="13.15" hidden="1" customHeight="1" outlineLevel="4" x14ac:dyDescent="0.2">
      <c r="A1882" s="227"/>
      <c r="B1882" s="228" t="s">
        <v>4</v>
      </c>
      <c r="C1882" s="229">
        <f t="shared" si="1550"/>
        <v>5</v>
      </c>
      <c r="D1882" s="227" t="str">
        <f t="shared" ca="1" si="1553"/>
        <v>17.003.001.002</v>
      </c>
      <c r="E1882" s="228" t="str">
        <f t="shared" ca="1" si="1554"/>
        <v>17.003.001.002</v>
      </c>
      <c r="F1882" s="230">
        <f ca="1">IF($B1882="UNIDADE CONSTRUTIVA",OFFSET(F1882,-1,0)+1,LARGE(F$10:F1881,1))</f>
        <v>2</v>
      </c>
      <c r="G1882" s="228" t="str">
        <f ca="1">IF(B1882="*","",IF(B1882="UNIDADE CONSTRUTIVA",S1882,OFFSET(G1882,-1,0)))</f>
        <v xml:space="preserve">   GERENCIAMENTO EXECUTIVO</v>
      </c>
      <c r="H1882" s="230">
        <f t="shared" ca="1" si="1555"/>
        <v>17</v>
      </c>
      <c r="I1882" s="228" t="str">
        <f ca="1">IF(B1882="*","",IF(B1882="CÉLULA CONSTRUTIVA",S1882,OFFSET(I1882,-1,0)))</f>
        <v xml:space="preserve">   ESQUADRIAS - VIDROS E FERRAGENS</v>
      </c>
      <c r="J1882" s="230">
        <f t="shared" ca="1" si="1556"/>
        <v>3</v>
      </c>
      <c r="K1882" s="228" t="str">
        <f ca="1">IF(B1882="*","",IF(B1882="ETAPA",S1882,OFFSET(K1882,-1,0)))</f>
        <v xml:space="preserve">   ESQUADRIAS - VIDROS E FERRAGENS - 3º  ao 7º PAVIMENTO - TIPO</v>
      </c>
      <c r="L1882" s="231">
        <f t="shared" ca="1" si="1557"/>
        <v>1</v>
      </c>
      <c r="M1882" s="228" t="str">
        <f ca="1">IF(B1882="*","",IF(B1882="SUBETAPA",S1882,OFFSET(M1882,-1,0)))</f>
        <v xml:space="preserve">   Esquadrias Alumínio</v>
      </c>
      <c r="N1882" s="231">
        <f t="shared" ca="1" si="1558"/>
        <v>2</v>
      </c>
      <c r="O1882" s="228" t="str">
        <f ca="1">IF(B1882="*","",IF(B1882="SERVIÇO",S1882,OFFSET(O1882,-1,0)))</f>
        <v>Esquadrias de Aluminio - Fornecimento e instalacao incluindo vidros</v>
      </c>
      <c r="P1882" s="232" t="str">
        <f>IF(S1882="","",IF(Orçamento!$B1882="INSUMO",S1882,""))</f>
        <v/>
      </c>
      <c r="Q1882" s="244" t="str">
        <f t="shared" si="1543"/>
        <v>Esquadrias de Aluminio - Fornecimento e instalacao incluindo vidros</v>
      </c>
      <c r="R1882" s="234">
        <f ca="1">IF(B1882="serviço",U1882,OFFSET(R1882,-1,0))</f>
        <v>186.30000000000004</v>
      </c>
      <c r="S1882" s="233" t="s">
        <v>504</v>
      </c>
      <c r="T1882" s="242" t="s">
        <v>140</v>
      </c>
      <c r="U1882" s="235">
        <v>186.30000000000004</v>
      </c>
      <c r="V1882" s="320" t="s">
        <v>35</v>
      </c>
      <c r="W1882" s="236" t="str">
        <f>IFERROR(IF(B1882="INSUMO",_xlfn.XLOOKUP(S1882,Insumos!A:A,Insumos!C:C),""),"Inserir Preço")</f>
        <v/>
      </c>
      <c r="X1882" s="235">
        <f ca="1">IF(B1882="Complemento do insumo",V1882,IF(R1882="","",IF(B1882="serviço",R1882,IF(OR(B1882="insumo"),V1882*R1882,""))))</f>
        <v>186.30000000000004</v>
      </c>
      <c r="Y1882" s="236">
        <f t="shared" ca="1" si="1517"/>
        <v>830.73240202071486</v>
      </c>
      <c r="Z1882" s="237">
        <f t="shared" ca="1" si="1551"/>
        <v>154765.44649645922</v>
      </c>
      <c r="AA1882" s="238"/>
      <c r="AB1882" s="233" t="str">
        <f>IF(B1882="insumo",_xlfn.XLOOKUP(S1882,Insumos!A:A,Insumos!D:D),"")</f>
        <v/>
      </c>
      <c r="AC1882" s="239">
        <f t="shared" ca="1" si="1552"/>
        <v>2.2202514328145753E-2</v>
      </c>
      <c r="AE1882" s="240">
        <f ca="1">IFERROR(IF(OR(Z1882="",Z1882=0),"",IF(AF1882="","",IF(AF1882="R$/mês",Z1882/OBRA!$D$12,IF(AF1882="R$/m²",Z1882/OBRA!$D$10,IF(AF1882="R$/apto",Orçamento!Z1882/OBRA!$D$11,""))))),"")</f>
        <v>79.643401191037199</v>
      </c>
      <c r="AF1882" s="241" t="s">
        <v>154</v>
      </c>
    </row>
    <row r="1883" spans="1:32" s="10" customFormat="1" ht="13.15" hidden="1" customHeight="1" outlineLevel="4" x14ac:dyDescent="0.2">
      <c r="A1883" s="227"/>
      <c r="B1883" s="228" t="s">
        <v>19</v>
      </c>
      <c r="C1883" s="229">
        <f t="shared" si="1550"/>
        <v>5</v>
      </c>
      <c r="D1883" s="227" t="str">
        <f t="shared" si="1553"/>
        <v/>
      </c>
      <c r="E1883" s="228" t="str">
        <f t="shared" ca="1" si="1554"/>
        <v>17.003.001.002</v>
      </c>
      <c r="F1883" s="230">
        <f ca="1">IF($B1883="UNIDADE CONSTRUTIVA",OFFSET(F1883,-1,0)+1,LARGE(F$10:F1882,1))</f>
        <v>2</v>
      </c>
      <c r="G1883" s="228" t="str">
        <f ca="1">IF(B1883="*","",IF(B1883="UNIDADE CONSTRUTIVA",S1883,OFFSET(G1883,-1,0)))</f>
        <v xml:space="preserve">   GERENCIAMENTO EXECUTIVO</v>
      </c>
      <c r="H1883" s="230">
        <f t="shared" ca="1" si="1555"/>
        <v>17</v>
      </c>
      <c r="I1883" s="228" t="str">
        <f ca="1">IF(B1883="*","",IF(B1883="CÉLULA CONSTRUTIVA",S1883,OFFSET(I1883,-1,0)))</f>
        <v xml:space="preserve">   ESQUADRIAS - VIDROS E FERRAGENS</v>
      </c>
      <c r="J1883" s="230">
        <f t="shared" ca="1" si="1556"/>
        <v>3</v>
      </c>
      <c r="K1883" s="228" t="str">
        <f ca="1">IF(B1883="*","",IF(B1883="ETAPA",S1883,OFFSET(K1883,-1,0)))</f>
        <v xml:space="preserve">   ESQUADRIAS - VIDROS E FERRAGENS - 3º  ao 7º PAVIMENTO - TIPO</v>
      </c>
      <c r="L1883" s="231">
        <f t="shared" ca="1" si="1557"/>
        <v>1</v>
      </c>
      <c r="M1883" s="228" t="str">
        <f ca="1">IF(B1883="*","",IF(B1883="SUBETAPA",S1883,OFFSET(M1883,-1,0)))</f>
        <v xml:space="preserve">   Esquadrias Alumínio</v>
      </c>
      <c r="N1883" s="231">
        <f t="shared" ca="1" si="1558"/>
        <v>2</v>
      </c>
      <c r="O1883" s="228" t="str">
        <f ca="1">IF(B1883="*","",IF(B1883="SERVIÇO",S1883,OFFSET(O1883,-1,0)))</f>
        <v>Esquadrias de Aluminio - Fornecimento e instalacao incluindo vidros</v>
      </c>
      <c r="P1883" s="232" t="str">
        <f>IF(S1883="","",IF(Orçamento!$B1883="INSUMO",S1883,""))</f>
        <v>ESQUADRIAS DE ALUMINIO</v>
      </c>
      <c r="Q1883" s="244" t="str">
        <f t="shared" si="1543"/>
        <v/>
      </c>
      <c r="R1883" s="234">
        <f ca="1">IF(B1883="serviço",U1883,OFFSET(R1883,-1,0))</f>
        <v>186.30000000000004</v>
      </c>
      <c r="S1883" s="233" t="s">
        <v>238</v>
      </c>
      <c r="T1883" s="242" t="str">
        <f>_xlfn.XLOOKUP(S1883,Insumos!$A$3:$A$371,Insumos!$B$3:$B$371)</f>
        <v>M2</v>
      </c>
      <c r="U1883" s="235">
        <f ca="1">IF($B1883="insumo",R1883,"")</f>
        <v>186.30000000000004</v>
      </c>
      <c r="V1883" s="320">
        <v>1</v>
      </c>
      <c r="W1883" s="236">
        <f>IFERROR(IF(B1883="INSUMO",_xlfn.XLOOKUP(S1883,Insumos!A:A,Insumos!C:C),""),"Inserir Preço")</f>
        <v>830.73240202071486</v>
      </c>
      <c r="X1883" s="235">
        <f ca="1">IF(B1883="Complemento do insumo",V1883,IF(R1883="","",IF(B1883="serviço",R1883,IF(OR(B1883="insumo"),V1883*R1883,""))))</f>
        <v>186.30000000000004</v>
      </c>
      <c r="Y1883" s="236">
        <f t="shared" si="1517"/>
        <v>830.73240202071486</v>
      </c>
      <c r="Z1883" s="237">
        <f t="shared" ca="1" si="1551"/>
        <v>154765.44649645922</v>
      </c>
      <c r="AA1883" s="238"/>
      <c r="AB1883" s="233" t="str">
        <f>IF(B1883="insumo",_xlfn.XLOOKUP(S1883,Insumos!A:A,Insumos!D:D),"")</f>
        <v>Fort Glass transparência que fortalece</v>
      </c>
      <c r="AC1883" s="239">
        <f t="shared" ca="1" si="1552"/>
        <v>2.2202514328145753E-2</v>
      </c>
      <c r="AE1883" s="240">
        <f ca="1">IFERROR(IF(OR(Z1883="",Z1883=0),"",IF(AF1883="","",IF(AF1883="R$/mês",Z1883/OBRA!$D$12,IF(AF1883="R$/m²",Z1883/OBRA!$D$10,IF(AF1883="R$/apto",Orçamento!Z1883/OBRA!$D$11,""))))),"")</f>
        <v>79.643401191037199</v>
      </c>
      <c r="AF1883" s="241" t="s">
        <v>154</v>
      </c>
    </row>
    <row r="1884" spans="1:32" s="10" customFormat="1" ht="13.15" hidden="1" customHeight="1" outlineLevel="4" x14ac:dyDescent="0.2">
      <c r="A1884" s="227"/>
      <c r="B1884" s="228" t="s">
        <v>4</v>
      </c>
      <c r="C1884" s="229">
        <f t="shared" si="1550"/>
        <v>2</v>
      </c>
      <c r="D1884" s="227" t="str">
        <f t="shared" ca="1" si="1553"/>
        <v>17.003.001.003</v>
      </c>
      <c r="E1884" s="228" t="str">
        <f t="shared" ca="1" si="1554"/>
        <v>17.003.001.003</v>
      </c>
      <c r="F1884" s="230">
        <f ca="1">IF($B1884="UNIDADE CONSTRUTIVA",OFFSET(F1884,-1,0)+1,LARGE(F$10:F1883,1))</f>
        <v>2</v>
      </c>
      <c r="G1884" s="228" t="str">
        <f t="shared" ref="G1884:G1913" ca="1" si="1559">IF(B1884="*","",IF(B1884="UNIDADE CONSTRUTIVA",S1884,OFFSET(G1884,-1,0)))</f>
        <v xml:space="preserve">   GERENCIAMENTO EXECUTIVO</v>
      </c>
      <c r="H1884" s="230">
        <f t="shared" ca="1" si="1555"/>
        <v>17</v>
      </c>
      <c r="I1884" s="228" t="str">
        <f t="shared" ref="I1884:I1913" ca="1" si="1560">IF(B1884="*","",IF(B1884="CÉLULA CONSTRUTIVA",S1884,OFFSET(I1884,-1,0)))</f>
        <v xml:space="preserve">   ESQUADRIAS - VIDROS E FERRAGENS</v>
      </c>
      <c r="J1884" s="230">
        <f t="shared" ca="1" si="1556"/>
        <v>3</v>
      </c>
      <c r="K1884" s="228" t="str">
        <f t="shared" ref="K1884:K1913" ca="1" si="1561">IF(B1884="*","",IF(B1884="ETAPA",S1884,OFFSET(K1884,-1,0)))</f>
        <v xml:space="preserve">   ESQUADRIAS - VIDROS E FERRAGENS - 3º  ao 7º PAVIMENTO - TIPO</v>
      </c>
      <c r="L1884" s="231">
        <f t="shared" ca="1" si="1557"/>
        <v>1</v>
      </c>
      <c r="M1884" s="228" t="str">
        <f t="shared" ref="M1884:M1913" ca="1" si="1562">IF(B1884="*","",IF(B1884="SUBETAPA",S1884,OFFSET(M1884,-1,0)))</f>
        <v xml:space="preserve">   Esquadrias Alumínio</v>
      </c>
      <c r="N1884" s="231">
        <f t="shared" ca="1" si="1558"/>
        <v>3</v>
      </c>
      <c r="O1884" s="228" t="str">
        <f t="shared" ref="O1884:O1913" ca="1" si="1563">IF(B1884="*","",IF(B1884="SERVIÇO",S1884,OFFSET(O1884,-1,0)))</f>
        <v>Guarda-corpos de aluminio e vidro</v>
      </c>
      <c r="P1884" s="232" t="str">
        <f>IF(S1884="","",IF(Orçamento!$B1884="INSUMO",S1884,""))</f>
        <v/>
      </c>
      <c r="Q1884" s="244" t="str">
        <f t="shared" ref="Q1884:Q1913" si="1564">IF(B1884="","",IF(B1884="Serviço",S1884,""))</f>
        <v>Guarda-corpos de aluminio e vidro</v>
      </c>
      <c r="R1884" s="234">
        <f t="shared" ref="R1884:R1913" ca="1" si="1565">IF(B1884="serviço",U1884,OFFSET(R1884,-1,0))</f>
        <v>195.24</v>
      </c>
      <c r="S1884" s="233" t="s">
        <v>506</v>
      </c>
      <c r="T1884" s="242" t="s">
        <v>140</v>
      </c>
      <c r="U1884" s="235">
        <v>195.24</v>
      </c>
      <c r="V1884" s="320" t="s">
        <v>35</v>
      </c>
      <c r="W1884" s="236" t="str">
        <f>IFERROR(IF(B1884="INSUMO",_xlfn.XLOOKUP(S1884,Insumos!A:A,Insumos!C:C),""),"Inserir Preço")</f>
        <v/>
      </c>
      <c r="X1884" s="235">
        <f t="shared" ref="X1884:X1913" ca="1" si="1566">IF(B1884="Complemento do insumo",V1884,IF(R1884="","",IF(B1884="serviço",R1884,IF(OR(B1884="insumo"),V1884*R1884,""))))</f>
        <v>195.24</v>
      </c>
      <c r="Y1884" s="236">
        <f t="shared" ca="1" si="1517"/>
        <v>830.94770876576717</v>
      </c>
      <c r="Z1884" s="237">
        <f t="shared" ca="1" si="1551"/>
        <v>162234.2306594284</v>
      </c>
      <c r="AA1884" s="238"/>
      <c r="AB1884" s="233" t="str">
        <f>IF(B1884="insumo",_xlfn.XLOOKUP(S1884,Insumos!A:A,Insumos!D:D),"")</f>
        <v/>
      </c>
      <c r="AC1884" s="239">
        <f t="shared" ca="1" si="1552"/>
        <v>2.327397951075643E-2</v>
      </c>
      <c r="AE1884" s="240">
        <f ca="1">IFERROR(IF(OR(Z1884="",Z1884=0),"",IF(AF1884="","",IF(AF1884="R$/mês",Z1884/OBRA!$D$12,IF(AF1884="R$/m²",Z1884/OBRA!$D$10,IF(AF1884="R$/apto",Orçamento!Z1884/OBRA!$D$11,""))))),"")</f>
        <v>83.486890722883246</v>
      </c>
      <c r="AF1884" s="241" t="s">
        <v>154</v>
      </c>
    </row>
    <row r="1885" spans="1:32" s="10" customFormat="1" ht="13.15" hidden="1" customHeight="1" outlineLevel="4" x14ac:dyDescent="0.2">
      <c r="A1885" s="227"/>
      <c r="B1885" s="228" t="s">
        <v>19</v>
      </c>
      <c r="C1885" s="229">
        <f t="shared" si="1550"/>
        <v>2</v>
      </c>
      <c r="D1885" s="227" t="str">
        <f t="shared" si="1553"/>
        <v/>
      </c>
      <c r="E1885" s="228" t="str">
        <f t="shared" ca="1" si="1554"/>
        <v>17.003.001.003</v>
      </c>
      <c r="F1885" s="230">
        <f ca="1">IF($B1885="UNIDADE CONSTRUTIVA",OFFSET(F1885,-1,0)+1,LARGE(F$10:F1884,1))</f>
        <v>2</v>
      </c>
      <c r="G1885" s="228" t="str">
        <f t="shared" ca="1" si="1559"/>
        <v xml:space="preserve">   GERENCIAMENTO EXECUTIVO</v>
      </c>
      <c r="H1885" s="230">
        <f t="shared" ca="1" si="1555"/>
        <v>17</v>
      </c>
      <c r="I1885" s="228" t="str">
        <f t="shared" ca="1" si="1560"/>
        <v xml:space="preserve">   ESQUADRIAS - VIDROS E FERRAGENS</v>
      </c>
      <c r="J1885" s="230">
        <f t="shared" ca="1" si="1556"/>
        <v>3</v>
      </c>
      <c r="K1885" s="228" t="str">
        <f t="shared" ca="1" si="1561"/>
        <v xml:space="preserve">   ESQUADRIAS - VIDROS E FERRAGENS - 3º  ao 7º PAVIMENTO - TIPO</v>
      </c>
      <c r="L1885" s="231">
        <f t="shared" ca="1" si="1557"/>
        <v>1</v>
      </c>
      <c r="M1885" s="228" t="str">
        <f t="shared" ca="1" si="1562"/>
        <v xml:space="preserve">   Esquadrias Alumínio</v>
      </c>
      <c r="N1885" s="231">
        <f t="shared" ca="1" si="1558"/>
        <v>3</v>
      </c>
      <c r="O1885" s="228" t="str">
        <f t="shared" ca="1" si="1563"/>
        <v>Guarda-corpos de aluminio e vidro</v>
      </c>
      <c r="P1885" s="232" t="str">
        <f>IF(S1885="","",IF(Orçamento!$B1885="INSUMO",S1885,""))</f>
        <v>GUARDA CORPO ALUMINIO COM VIDRO</v>
      </c>
      <c r="Q1885" s="244" t="str">
        <f t="shared" si="1564"/>
        <v/>
      </c>
      <c r="R1885" s="234">
        <f t="shared" ca="1" si="1565"/>
        <v>195.24</v>
      </c>
      <c r="S1885" s="233" t="s">
        <v>823</v>
      </c>
      <c r="T1885" s="242" t="str">
        <f>_xlfn.XLOOKUP(S1885,Insumos!$A$3:$A$371,Insumos!$B$3:$B$371)</f>
        <v>m2</v>
      </c>
      <c r="U1885" s="235">
        <f ca="1">IF($B1885="insumo",R1885,"")</f>
        <v>195.24</v>
      </c>
      <c r="V1885" s="320">
        <v>1</v>
      </c>
      <c r="W1885" s="236">
        <f>IFERROR(IF(B1885="INSUMO",_xlfn.XLOOKUP(S1885,Insumos!A:A,Insumos!C:C),""),"Inserir Preço")</f>
        <v>830.94770876576717</v>
      </c>
      <c r="X1885" s="235">
        <f t="shared" ca="1" si="1566"/>
        <v>195.24</v>
      </c>
      <c r="Y1885" s="236">
        <f t="shared" si="1517"/>
        <v>830.94770876576717</v>
      </c>
      <c r="Z1885" s="237">
        <f t="shared" ca="1" si="1551"/>
        <v>162234.2306594284</v>
      </c>
      <c r="AA1885" s="238"/>
      <c r="AB1885" s="233" t="str">
        <f>IF(B1885="insumo",_xlfn.XLOOKUP(S1885,Insumos!A:A,Insumos!D:D),"")</f>
        <v>Fort Glass transparência que fortalece</v>
      </c>
      <c r="AC1885" s="239">
        <f t="shared" ca="1" si="1552"/>
        <v>2.327397951075643E-2</v>
      </c>
      <c r="AE1885" s="240">
        <f ca="1">IFERROR(IF(OR(Z1885="",Z1885=0),"",IF(AF1885="","",IF(AF1885="R$/mês",Z1885/OBRA!$D$12,IF(AF1885="R$/m²",Z1885/OBRA!$D$10,IF(AF1885="R$/apto",Orçamento!Z1885/OBRA!$D$11,""))))),"")</f>
        <v>83.486890722883246</v>
      </c>
      <c r="AF1885" s="241" t="s">
        <v>154</v>
      </c>
    </row>
    <row r="1886" spans="1:32" s="10" customFormat="1" ht="13.15" hidden="1" customHeight="1" outlineLevel="3" collapsed="1" x14ac:dyDescent="0.2">
      <c r="A1886" s="227"/>
      <c r="B1886" s="228" t="s">
        <v>3</v>
      </c>
      <c r="C1886" s="229" t="str">
        <f t="shared" si="1550"/>
        <v/>
      </c>
      <c r="D1886" s="227" t="str">
        <f t="shared" ca="1" si="1553"/>
        <v>17.003.002</v>
      </c>
      <c r="E1886" s="228" t="str">
        <f t="shared" ca="1" si="1554"/>
        <v>17.003.001.003</v>
      </c>
      <c r="F1886" s="230">
        <f ca="1">IF($B1886="UNIDADE CONSTRUTIVA",OFFSET(F1886,-1,0)+1,LARGE(F$10:F1885,1))</f>
        <v>2</v>
      </c>
      <c r="G1886" s="228" t="str">
        <f ca="1">IF(B1886="*","",IF(B1886="UNIDADE CONSTRUTIVA",S1886,OFFSET(G1886,-1,0)))</f>
        <v xml:space="preserve">   GERENCIAMENTO EXECUTIVO</v>
      </c>
      <c r="H1886" s="230">
        <f t="shared" ca="1" si="1555"/>
        <v>17</v>
      </c>
      <c r="I1886" s="228" t="str">
        <f ca="1">IF(B1886="*","",IF(B1886="CÉLULA CONSTRUTIVA",S1886,OFFSET(I1886,-1,0)))</f>
        <v xml:space="preserve">   ESQUADRIAS - VIDROS E FERRAGENS</v>
      </c>
      <c r="J1886" s="230">
        <f t="shared" ca="1" si="1556"/>
        <v>3</v>
      </c>
      <c r="K1886" s="228" t="str">
        <f ca="1">IF(B1886="*","",IF(B1886="ETAPA",S1886,OFFSET(K1886,-1,0)))</f>
        <v xml:space="preserve">   ESQUADRIAS - VIDROS E FERRAGENS - 3º  ao 7º PAVIMENTO - TIPO</v>
      </c>
      <c r="L1886" s="231">
        <f t="shared" ca="1" si="1557"/>
        <v>2</v>
      </c>
      <c r="M1886" s="228" t="str">
        <f ca="1">IF(B1886="*","",IF(B1886="SUBETAPA",S1886,OFFSET(M1886,-1,0)))</f>
        <v xml:space="preserve">   Esquadrias metalicas</v>
      </c>
      <c r="N1886" s="231">
        <f t="shared" ca="1" si="1558"/>
        <v>0</v>
      </c>
      <c r="O1886" s="228" t="str">
        <f ca="1">IF(B1886="*","",IF(B1886="SERVIÇO",S1886,OFFSET(O1886,-1,0)))</f>
        <v>Guarda-corpos de aluminio e vidro</v>
      </c>
      <c r="P1886" s="232" t="str">
        <f>IF(S1886="","",IF(Orçamento!$B1886="INSUMO",S1886,""))</f>
        <v/>
      </c>
      <c r="Q1886" s="244" t="str">
        <f>IF(B1886="","",IF(B1886="Serviço",S1886,""))</f>
        <v/>
      </c>
      <c r="R1886" s="234">
        <f ca="1">IF(B1886="serviço",U1886,OFFSET(R1886,-1,0))</f>
        <v>195.24</v>
      </c>
      <c r="S1886" s="233" t="s">
        <v>502</v>
      </c>
      <c r="T1886" s="242" t="s">
        <v>35</v>
      </c>
      <c r="U1886" s="235" t="str">
        <f>IF($B1886="insumo",R1886,"")</f>
        <v/>
      </c>
      <c r="V1886" s="320" t="s">
        <v>35</v>
      </c>
      <c r="W1886" s="236" t="str">
        <f>IFERROR(IF(B1886="INSUMO",_xlfn.XLOOKUP(S1886,Insumos!A:A,Insumos!C:C),""),"Inserir Preço")</f>
        <v/>
      </c>
      <c r="X1886" s="235" t="str">
        <f ca="1">IF(B1886="Complemento do insumo",V1886,IF(R1886="","",IF(B1886="serviço",R1886,IF(OR(B1886="insumo"),V1886*R1886,""))))</f>
        <v/>
      </c>
      <c r="Y1886" s="236" t="str">
        <f t="shared" si="1517"/>
        <v/>
      </c>
      <c r="Z1886" s="237">
        <f t="shared" ca="1" si="1551"/>
        <v>52827.200000000012</v>
      </c>
      <c r="AA1886" s="238"/>
      <c r="AB1886" s="233" t="str">
        <f>IF(B1886="insumo",_xlfn.XLOOKUP(S1886,Insumos!A:A,Insumos!D:D),"")</f>
        <v/>
      </c>
      <c r="AC1886" s="239">
        <f t="shared" ca="1" si="1552"/>
        <v>7.5785434763867374E-3</v>
      </c>
      <c r="AE1886" s="240">
        <f ca="1">IFERROR(IF(OR(Z1886="",Z1886=0),"",IF(AF1886="","",IF(AF1886="R$/mês",Z1886/OBRA!$D$12,IF(AF1886="R$/m²",Z1886/OBRA!$D$10,IF(AF1886="R$/apto",Orçamento!Z1886/OBRA!$D$11,""))))),"")</f>
        <v>27.185253418277821</v>
      </c>
      <c r="AF1886" s="241" t="s">
        <v>154</v>
      </c>
    </row>
    <row r="1887" spans="1:32" s="10" customFormat="1" ht="13.15" hidden="1" customHeight="1" outlineLevel="4" x14ac:dyDescent="0.2">
      <c r="A1887" s="227"/>
      <c r="B1887" s="228" t="s">
        <v>4</v>
      </c>
      <c r="C1887" s="229">
        <f t="shared" si="1550"/>
        <v>5</v>
      </c>
      <c r="D1887" s="227" t="str">
        <f t="shared" ca="1" si="1553"/>
        <v>17.003.002.001</v>
      </c>
      <c r="E1887" s="228" t="str">
        <f t="shared" ca="1" si="1554"/>
        <v>17.003.002.001</v>
      </c>
      <c r="F1887" s="230">
        <f ca="1">IF($B1887="UNIDADE CONSTRUTIVA",OFFSET(F1887,-1,0)+1,LARGE(F$10:F1886,1))</f>
        <v>2</v>
      </c>
      <c r="G1887" s="228" t="str">
        <f t="shared" ca="1" si="1559"/>
        <v xml:space="preserve">   GERENCIAMENTO EXECUTIVO</v>
      </c>
      <c r="H1887" s="230">
        <f t="shared" ca="1" si="1555"/>
        <v>17</v>
      </c>
      <c r="I1887" s="228" t="str">
        <f t="shared" ca="1" si="1560"/>
        <v xml:space="preserve">   ESQUADRIAS - VIDROS E FERRAGENS</v>
      </c>
      <c r="J1887" s="230">
        <f t="shared" ca="1" si="1556"/>
        <v>3</v>
      </c>
      <c r="K1887" s="228" t="str">
        <f t="shared" ca="1" si="1561"/>
        <v xml:space="preserve">   ESQUADRIAS - VIDROS E FERRAGENS - 3º  ao 7º PAVIMENTO - TIPO</v>
      </c>
      <c r="L1887" s="231">
        <f t="shared" ca="1" si="1557"/>
        <v>2</v>
      </c>
      <c r="M1887" s="228" t="str">
        <f t="shared" ca="1" si="1562"/>
        <v xml:space="preserve">   Esquadrias metalicas</v>
      </c>
      <c r="N1887" s="231">
        <f t="shared" ca="1" si="1558"/>
        <v>1</v>
      </c>
      <c r="O1887" s="228" t="str">
        <f t="shared" ca="1" si="1563"/>
        <v>Esquadrias Metálicas - Porta Corta Fogo - fornecimento e instalacao</v>
      </c>
      <c r="P1887" s="232" t="str">
        <f>IF(S1887="","",IF(Orçamento!$B1887="INSUMO",S1887,""))</f>
        <v/>
      </c>
      <c r="Q1887" s="244" t="str">
        <f t="shared" si="1564"/>
        <v>Esquadrias Metálicas - Porta Corta Fogo - fornecimento e instalacao</v>
      </c>
      <c r="R1887" s="234">
        <f t="shared" ca="1" si="1565"/>
        <v>10</v>
      </c>
      <c r="S1887" s="233" t="s">
        <v>824</v>
      </c>
      <c r="T1887" s="242" t="s">
        <v>142</v>
      </c>
      <c r="U1887" s="320">
        <v>10</v>
      </c>
      <c r="V1887" s="320" t="s">
        <v>35</v>
      </c>
      <c r="W1887" s="236" t="str">
        <f>IFERROR(IF(B1887="INSUMO",_xlfn.XLOOKUP(S1887,Insumos!A:A,Insumos!C:C),""),"Inserir Preço")</f>
        <v/>
      </c>
      <c r="X1887" s="235">
        <f t="shared" ca="1" si="1566"/>
        <v>10</v>
      </c>
      <c r="Y1887" s="236">
        <f t="shared" ca="1" si="1517"/>
        <v>1569.69</v>
      </c>
      <c r="Z1887" s="237">
        <f t="shared" ca="1" si="1551"/>
        <v>15696.900000000001</v>
      </c>
      <c r="AA1887" s="238"/>
      <c r="AB1887" s="233" t="str">
        <f>IF(B1887="insumo",_xlfn.XLOOKUP(S1887,Insumos!A:A,Insumos!D:D),"")</f>
        <v/>
      </c>
      <c r="AC1887" s="239">
        <f t="shared" ca="1" si="1552"/>
        <v>2.2518634168476647E-3</v>
      </c>
      <c r="AE1887" s="240">
        <f ca="1">IFERROR(IF(OR(Z1887="",Z1887=0),"",IF(AF1887="","",IF(AF1887="R$/mês",Z1887/OBRA!$D$12,IF(AF1887="R$/m²",Z1887/OBRA!$D$10,IF(AF1887="R$/apto",Orçamento!Z1887/OBRA!$D$11,""))))),"")</f>
        <v>8.0777365520293536</v>
      </c>
      <c r="AF1887" s="241" t="s">
        <v>154</v>
      </c>
    </row>
    <row r="1888" spans="1:32" s="10" customFormat="1" ht="13.15" hidden="1" customHeight="1" outlineLevel="4" x14ac:dyDescent="0.2">
      <c r="A1888" s="227"/>
      <c r="B1888" s="228" t="s">
        <v>19</v>
      </c>
      <c r="C1888" s="229">
        <f t="shared" si="1550"/>
        <v>5</v>
      </c>
      <c r="D1888" s="227" t="str">
        <f t="shared" si="1553"/>
        <v/>
      </c>
      <c r="E1888" s="228" t="str">
        <f t="shared" ca="1" si="1554"/>
        <v>17.003.002.001</v>
      </c>
      <c r="F1888" s="230">
        <f ca="1">IF($B1888="UNIDADE CONSTRUTIVA",OFFSET(F1888,-1,0)+1,LARGE(F$10:F1887,1))</f>
        <v>2</v>
      </c>
      <c r="G1888" s="228" t="str">
        <f t="shared" ca="1" si="1559"/>
        <v xml:space="preserve">   GERENCIAMENTO EXECUTIVO</v>
      </c>
      <c r="H1888" s="230">
        <f t="shared" ca="1" si="1555"/>
        <v>17</v>
      </c>
      <c r="I1888" s="228" t="str">
        <f t="shared" ca="1" si="1560"/>
        <v xml:space="preserve">   ESQUADRIAS - VIDROS E FERRAGENS</v>
      </c>
      <c r="J1888" s="230">
        <f t="shared" ca="1" si="1556"/>
        <v>3</v>
      </c>
      <c r="K1888" s="228" t="str">
        <f t="shared" ca="1" si="1561"/>
        <v xml:space="preserve">   ESQUADRIAS - VIDROS E FERRAGENS - 3º  ao 7º PAVIMENTO - TIPO</v>
      </c>
      <c r="L1888" s="231">
        <f t="shared" ca="1" si="1557"/>
        <v>2</v>
      </c>
      <c r="M1888" s="228" t="str">
        <f t="shared" ca="1" si="1562"/>
        <v xml:space="preserve">   Esquadrias metalicas</v>
      </c>
      <c r="N1888" s="231">
        <f t="shared" ca="1" si="1558"/>
        <v>1</v>
      </c>
      <c r="O1888" s="228" t="str">
        <f t="shared" ca="1" si="1563"/>
        <v>Esquadrias Metálicas - Porta Corta Fogo - fornecimento e instalacao</v>
      </c>
      <c r="P1888" s="232" t="str">
        <f>IF(S1888="","",IF(Orçamento!$B1888="INSUMO",S1888,""))</f>
        <v>PCF - PORTA ESPECIAL  - ABRIR (E. VERTIVAL) - 80X210</v>
      </c>
      <c r="Q1888" s="244" t="str">
        <f t="shared" si="1564"/>
        <v/>
      </c>
      <c r="R1888" s="234">
        <f t="shared" ca="1" si="1565"/>
        <v>10</v>
      </c>
      <c r="S1888" s="233" t="s">
        <v>683</v>
      </c>
      <c r="T1888" s="242" t="str">
        <f>_xlfn.XLOOKUP(S1888,Insumos!$A$3:$A$371,Insumos!$B$3:$B$371)</f>
        <v>UN</v>
      </c>
      <c r="U1888" s="235">
        <f ca="1">IF($B1888="insumo",R1888,"")</f>
        <v>10</v>
      </c>
      <c r="V1888" s="320">
        <v>1</v>
      </c>
      <c r="W1888" s="236">
        <f>IFERROR(IF(B1888="INSUMO",_xlfn.XLOOKUP(S1888,Insumos!A:A,Insumos!C:C),""),"Inserir Preço")</f>
        <v>1569.69</v>
      </c>
      <c r="X1888" s="235">
        <f t="shared" ca="1" si="1566"/>
        <v>10</v>
      </c>
      <c r="Y1888" s="236">
        <f t="shared" si="1517"/>
        <v>1569.69</v>
      </c>
      <c r="Z1888" s="237">
        <f t="shared" ca="1" si="1551"/>
        <v>15696.900000000001</v>
      </c>
      <c r="AA1888" s="238"/>
      <c r="AB1888" s="233" t="str">
        <f>IF(B1888="insumo",_xlfn.XLOOKUP(S1888,Insumos!A:A,Insumos!D:D),"")</f>
        <v xml:space="preserve"> </v>
      </c>
      <c r="AC1888" s="239">
        <f t="shared" ca="1" si="1552"/>
        <v>2.2518634168476647E-3</v>
      </c>
      <c r="AE1888" s="240">
        <f ca="1">IFERROR(IF(OR(Z1888="",Z1888=0),"",IF(AF1888="","",IF(AF1888="R$/mês",Z1888/OBRA!$D$12,IF(AF1888="R$/m²",Z1888/OBRA!$D$10,IF(AF1888="R$/apto",Orçamento!Z1888/OBRA!$D$11,""))))),"")</f>
        <v>8.0777365520293536</v>
      </c>
      <c r="AF1888" s="241" t="s">
        <v>154</v>
      </c>
    </row>
    <row r="1889" spans="1:32" s="10" customFormat="1" ht="13.15" hidden="1" customHeight="1" outlineLevel="4" x14ac:dyDescent="0.2">
      <c r="A1889" s="227"/>
      <c r="B1889" s="228" t="s">
        <v>4</v>
      </c>
      <c r="C1889" s="229">
        <f t="shared" si="1550"/>
        <v>4</v>
      </c>
      <c r="D1889" s="227" t="str">
        <f t="shared" ca="1" si="1553"/>
        <v>17.003.002.002</v>
      </c>
      <c r="E1889" s="228" t="str">
        <f t="shared" ca="1" si="1554"/>
        <v>17.003.002.002</v>
      </c>
      <c r="F1889" s="230">
        <f ca="1">IF($B1889="UNIDADE CONSTRUTIVA",OFFSET(F1889,-1,0)+1,LARGE(F$10:F1888,1))</f>
        <v>2</v>
      </c>
      <c r="G1889" s="228" t="str">
        <f t="shared" ca="1" si="1559"/>
        <v xml:space="preserve">   GERENCIAMENTO EXECUTIVO</v>
      </c>
      <c r="H1889" s="230">
        <f t="shared" ca="1" si="1555"/>
        <v>17</v>
      </c>
      <c r="I1889" s="228" t="str">
        <f t="shared" ca="1" si="1560"/>
        <v xml:space="preserve">   ESQUADRIAS - VIDROS E FERRAGENS</v>
      </c>
      <c r="J1889" s="230">
        <f t="shared" ca="1" si="1556"/>
        <v>3</v>
      </c>
      <c r="K1889" s="228" t="str">
        <f t="shared" ca="1" si="1561"/>
        <v xml:space="preserve">   ESQUADRIAS - VIDROS E FERRAGENS - 3º  ao 7º PAVIMENTO - TIPO</v>
      </c>
      <c r="L1889" s="231">
        <f t="shared" ca="1" si="1557"/>
        <v>2</v>
      </c>
      <c r="M1889" s="228" t="str">
        <f t="shared" ca="1" si="1562"/>
        <v xml:space="preserve">   Esquadrias metalicas</v>
      </c>
      <c r="N1889" s="231">
        <f t="shared" ca="1" si="1558"/>
        <v>2</v>
      </c>
      <c r="O1889" s="228" t="str">
        <f t="shared" ca="1" si="1563"/>
        <v>Esquadrias Metálicas - Janela Fixa - fornecimento e instalacao</v>
      </c>
      <c r="P1889" s="232" t="str">
        <f>IF(S1889="","",IF(Orçamento!$B1889="INSUMO",S1889,""))</f>
        <v/>
      </c>
      <c r="Q1889" s="244" t="str">
        <f t="shared" si="1564"/>
        <v>Esquadrias Metálicas - Janela Fixa - fornecimento e instalacao</v>
      </c>
      <c r="R1889" s="234">
        <f t="shared" ca="1" si="1565"/>
        <v>5</v>
      </c>
      <c r="S1889" s="233" t="s">
        <v>825</v>
      </c>
      <c r="T1889" s="242" t="s">
        <v>142</v>
      </c>
      <c r="U1889" s="235">
        <v>5</v>
      </c>
      <c r="V1889" s="320" t="s">
        <v>35</v>
      </c>
      <c r="W1889" s="236" t="str">
        <f>IFERROR(IF(B1889="INSUMO",_xlfn.XLOOKUP(S1889,Insumos!A:A,Insumos!C:C),""),"Inserir Preço")</f>
        <v/>
      </c>
      <c r="X1889" s="235">
        <f t="shared" ca="1" si="1566"/>
        <v>5</v>
      </c>
      <c r="Y1889" s="236">
        <f t="shared" ca="1" si="1517"/>
        <v>826.51</v>
      </c>
      <c r="Z1889" s="237">
        <f t="shared" ca="1" si="1551"/>
        <v>4132.55</v>
      </c>
      <c r="AA1889" s="238"/>
      <c r="AB1889" s="233" t="str">
        <f>IF(B1889="insumo",_xlfn.XLOOKUP(S1889,Insumos!A:A,Insumos!D:D),"")</f>
        <v/>
      </c>
      <c r="AC1889" s="239">
        <f t="shared" ca="1" si="1552"/>
        <v>5.9285197480354824E-4</v>
      </c>
      <c r="AE1889" s="240">
        <f ca="1">IFERROR(IF(OR(Z1889="",Z1889=0),"",IF(AF1889="","",IF(AF1889="R$/mês",Z1889/OBRA!$D$12,IF(AF1889="R$/m²",Z1889/OBRA!$D$10,IF(AF1889="R$/apto",Orçamento!Z1889/OBRA!$D$11,""))))),"")</f>
        <v>2.1266396669462702</v>
      </c>
      <c r="AF1889" s="241" t="s">
        <v>154</v>
      </c>
    </row>
    <row r="1890" spans="1:32" s="10" customFormat="1" ht="13.15" hidden="1" customHeight="1" outlineLevel="4" x14ac:dyDescent="0.2">
      <c r="A1890" s="227"/>
      <c r="B1890" s="228" t="s">
        <v>19</v>
      </c>
      <c r="C1890" s="229">
        <f t="shared" si="1550"/>
        <v>4</v>
      </c>
      <c r="D1890" s="227" t="str">
        <f t="shared" si="1553"/>
        <v/>
      </c>
      <c r="E1890" s="228" t="str">
        <f t="shared" ca="1" si="1554"/>
        <v>17.003.002.002</v>
      </c>
      <c r="F1890" s="230">
        <f ca="1">IF($B1890="UNIDADE CONSTRUTIVA",OFFSET(F1890,-1,0)+1,LARGE(F$10:F1889,1))</f>
        <v>2</v>
      </c>
      <c r="G1890" s="228" t="str">
        <f t="shared" ca="1" si="1559"/>
        <v xml:space="preserve">   GERENCIAMENTO EXECUTIVO</v>
      </c>
      <c r="H1890" s="230">
        <f t="shared" ca="1" si="1555"/>
        <v>17</v>
      </c>
      <c r="I1890" s="228" t="str">
        <f t="shared" ca="1" si="1560"/>
        <v xml:space="preserve">   ESQUADRIAS - VIDROS E FERRAGENS</v>
      </c>
      <c r="J1890" s="230">
        <f t="shared" ca="1" si="1556"/>
        <v>3</v>
      </c>
      <c r="K1890" s="228" t="str">
        <f t="shared" ca="1" si="1561"/>
        <v xml:space="preserve">   ESQUADRIAS - VIDROS E FERRAGENS - 3º  ao 7º PAVIMENTO - TIPO</v>
      </c>
      <c r="L1890" s="231">
        <f t="shared" ca="1" si="1557"/>
        <v>2</v>
      </c>
      <c r="M1890" s="228" t="str">
        <f t="shared" ca="1" si="1562"/>
        <v xml:space="preserve">   Esquadrias metalicas</v>
      </c>
      <c r="N1890" s="231">
        <f t="shared" ca="1" si="1558"/>
        <v>2</v>
      </c>
      <c r="O1890" s="228" t="str">
        <f t="shared" ca="1" si="1563"/>
        <v>Esquadrias Metálicas - Janela Fixa - fornecimento e instalacao</v>
      </c>
      <c r="P1890" s="232" t="str">
        <f>IF(S1890="","",IF(Orçamento!$B1890="INSUMO",S1890,""))</f>
        <v>G1 - JANELA METAL - GRADE VENTILAÇÃO PERMANENTE - 120X70</v>
      </c>
      <c r="Q1890" s="244" t="str">
        <f t="shared" si="1564"/>
        <v/>
      </c>
      <c r="R1890" s="234">
        <f t="shared" ca="1" si="1565"/>
        <v>5</v>
      </c>
      <c r="S1890" s="233" t="s">
        <v>694</v>
      </c>
      <c r="T1890" s="242" t="str">
        <f>_xlfn.XLOOKUP(S1890,Insumos!$A$3:$A$371,Insumos!$B$3:$B$371)</f>
        <v>un</v>
      </c>
      <c r="U1890" s="235">
        <f ca="1">IF($B1890="insumo",R1890,"")</f>
        <v>5</v>
      </c>
      <c r="V1890" s="320">
        <v>1</v>
      </c>
      <c r="W1890" s="236">
        <f>IFERROR(IF(B1890="INSUMO",_xlfn.XLOOKUP(S1890,Insumos!A:A,Insumos!C:C),""),"Inserir Preço")</f>
        <v>826.51</v>
      </c>
      <c r="X1890" s="235">
        <f t="shared" ca="1" si="1566"/>
        <v>5</v>
      </c>
      <c r="Y1890" s="236">
        <f t="shared" si="1517"/>
        <v>826.51</v>
      </c>
      <c r="Z1890" s="237">
        <f t="shared" ca="1" si="1551"/>
        <v>4132.55</v>
      </c>
      <c r="AA1890" s="238"/>
      <c r="AB1890" s="233" t="str">
        <f>IF(B1890="insumo",_xlfn.XLOOKUP(S1890,Insumos!A:A,Insumos!D:D),"")</f>
        <v>HOFF - SOLUÇÕES EM FERRO LTDA</v>
      </c>
      <c r="AC1890" s="239">
        <f t="shared" ca="1" si="1552"/>
        <v>5.9285197480354824E-4</v>
      </c>
      <c r="AE1890" s="240">
        <f ca="1">IFERROR(IF(OR(Z1890="",Z1890=0),"",IF(AF1890="","",IF(AF1890="R$/mês",Z1890/OBRA!$D$12,IF(AF1890="R$/m²",Z1890/OBRA!$D$10,IF(AF1890="R$/apto",Orçamento!Z1890/OBRA!$D$11,""))))),"")</f>
        <v>2.1266396669462702</v>
      </c>
      <c r="AF1890" s="241" t="s">
        <v>154</v>
      </c>
    </row>
    <row r="1891" spans="1:32" s="10" customFormat="1" ht="13.15" hidden="1" customHeight="1" outlineLevel="4" x14ac:dyDescent="0.2">
      <c r="A1891" s="227"/>
      <c r="B1891" s="228" t="s">
        <v>4</v>
      </c>
      <c r="C1891" s="229">
        <f t="shared" si="1550"/>
        <v>1</v>
      </c>
      <c r="D1891" s="227" t="str">
        <f ca="1">IF(B1891="Unidade Construtiva",TEXT(F1891,"00"),IF(B1891="Célula Construtiva",TEXT(H1891,"00"),IF(B1891="Etapa",CONCATENATE(TEXT(H1891,"00"),".",TEXT(J1891,"000")),IF(B1891="Subetapa",CONCATENATE(TEXT(H1891,"00"),".",TEXT(J1891,"000"),".",TEXT(L1891,"000")),IF(B1891="Serviço",CONCATENATE(TEXT(H1891,"00"),".",TEXT(J1891,"000"),".",TEXT(L1891,"000"),".",TEXT(N1891,"000")),"")))))</f>
        <v>17.003.002.003</v>
      </c>
      <c r="E1891" s="228" t="str">
        <f ca="1">IF(B1891="*","",IFERROR(IF(B1891="SERVIÇO",D1891,OFFSET(E1891,-1,0)),""))</f>
        <v>17.003.002.003</v>
      </c>
      <c r="F1891" s="230">
        <f ca="1">IF($B1891="UNIDADE CONSTRUTIVA",OFFSET(F1891,-1,0)+1,LARGE(F$10:F1890,1))</f>
        <v>2</v>
      </c>
      <c r="G1891" s="228" t="str">
        <f ca="1">IF(B1891="*","",IF(B1891="UNIDADE CONSTRUTIVA",S1891,OFFSET(G1891,-1,0)))</f>
        <v xml:space="preserve">   GERENCIAMENTO EXECUTIVO</v>
      </c>
      <c r="H1891" s="230">
        <f ca="1">IF(B1891="UNIDADE CONSTRUTIVA",0,IF(B1891="CÉLULA CONSTRUTIVA",OFFSET(H1891,-1,0)+1,OFFSET(H1891,-1,0)))</f>
        <v>17</v>
      </c>
      <c r="I1891" s="228" t="str">
        <f ca="1">IF(B1891="*","",IF(B1891="CÉLULA CONSTRUTIVA",S1891,OFFSET(I1891,-1,0)))</f>
        <v xml:space="preserve">   ESQUADRIAS - VIDROS E FERRAGENS</v>
      </c>
      <c r="J1891" s="230">
        <f ca="1">IF(B1891="CÉLULA CONSTRUTIVA",0,IF(B1891="ETAPA",OFFSET(J1891,-1,0)+1,OFFSET(J1891,-1,0)))</f>
        <v>3</v>
      </c>
      <c r="K1891" s="228" t="str">
        <f ca="1">IF(B1891="*","",IF(B1891="ETAPA",S1891,OFFSET(K1891,-1,0)))</f>
        <v xml:space="preserve">   ESQUADRIAS - VIDROS E FERRAGENS - 3º  ao 7º PAVIMENTO - TIPO</v>
      </c>
      <c r="L1891" s="231">
        <f ca="1">IF(B1891="ETAPA",0,IF(B1891="SUBETAPA",OFFSET(L1891,-1,0)+1,OFFSET(L1891,-1,0)))</f>
        <v>2</v>
      </c>
      <c r="M1891" s="228" t="str">
        <f ca="1">IF(B1891="*","",IF(B1891="SUBETAPA",S1891,OFFSET(M1891,-1,0)))</f>
        <v xml:space="preserve">   Esquadrias metalicas</v>
      </c>
      <c r="N1891" s="231">
        <f ca="1">IF(B1891="Subetapa",0,IF(B1891="serviço",OFFSET(N1891,-1,0)+1,OFFSET(N1891,-1,0)))</f>
        <v>3</v>
      </c>
      <c r="O1891" s="228" t="str">
        <f ca="1">IF(B1891="*","",IF(B1891="SERVIÇO",S1891,OFFSET(O1891,-1,0)))</f>
        <v>Esquadrias Metálicas - Gaiola Fachadas - fornecimento e instalacao</v>
      </c>
      <c r="P1891" s="232" t="str">
        <f>IF(S1891="","",IF(Orçamento!$B1891="INSUMO",S1891,""))</f>
        <v/>
      </c>
      <c r="Q1891" s="244" t="str">
        <f>IF(B1891="","",IF(B1891="Serviço",S1891,""))</f>
        <v>Esquadrias Metálicas - Gaiola Fachadas - fornecimento e instalacao</v>
      </c>
      <c r="R1891" s="234">
        <f ca="1">IF(B1891="serviço",U1891,OFFSET(R1891,-1,0))</f>
        <v>58.040000000000013</v>
      </c>
      <c r="S1891" s="233" t="s">
        <v>827</v>
      </c>
      <c r="T1891" s="242" t="s">
        <v>592</v>
      </c>
      <c r="U1891" s="235">
        <v>58.040000000000013</v>
      </c>
      <c r="V1891" s="320" t="s">
        <v>35</v>
      </c>
      <c r="W1891" s="236" t="str">
        <f>IFERROR(IF(B1891="INSUMO",_xlfn.XLOOKUP(S1891,Insumos!A:A,Insumos!C:C),""),"Inserir Preço")</f>
        <v/>
      </c>
      <c r="X1891" s="235">
        <f ca="1">IF(B1891="Complemento do insumo",V1891,IF(R1891="","",IF(B1891="serviço",R1891,IF(OR(B1891="insumo"),V1891*R1891,""))))</f>
        <v>58.040000000000013</v>
      </c>
      <c r="Y1891" s="236">
        <f t="shared" ca="1" si="1517"/>
        <v>568.53463128876638</v>
      </c>
      <c r="Z1891" s="237">
        <f t="shared" ca="1" si="1551"/>
        <v>32997.750000000007</v>
      </c>
      <c r="AA1891" s="238"/>
      <c r="AB1891" s="233" t="str">
        <f>IF(B1891="insumo",_xlfn.XLOOKUP(S1891,Insumos!A:A,Insumos!D:D),"")</f>
        <v/>
      </c>
      <c r="AC1891" s="239">
        <f t="shared" ca="1" si="1552"/>
        <v>4.733828084735524E-3</v>
      </c>
      <c r="AE1891" s="240">
        <f ca="1">IFERROR(IF(OR(Z1891="",Z1891=0),"",IF(AF1891="","",IF(AF1891="R$/mês",Z1891/OBRA!$D$12,IF(AF1891="R$/m²",Z1891/OBRA!$D$10,IF(AF1891="R$/apto",Orçamento!Z1891/OBRA!$D$11,""))))),"")</f>
        <v>16.980877199302196</v>
      </c>
      <c r="AF1891" s="241" t="s">
        <v>154</v>
      </c>
    </row>
    <row r="1892" spans="1:32" s="10" customFormat="1" ht="13.15" hidden="1" customHeight="1" outlineLevel="4" x14ac:dyDescent="0.2">
      <c r="A1892" s="227"/>
      <c r="B1892" s="228" t="s">
        <v>19</v>
      </c>
      <c r="C1892" s="229">
        <f t="shared" si="1550"/>
        <v>1</v>
      </c>
      <c r="D1892" s="227" t="str">
        <f>IF(B1892="Unidade Construtiva",TEXT(F1892,"00"),IF(B1892="Célula Construtiva",TEXT(H1892,"00"),IF(B1892="Etapa",CONCATENATE(TEXT(H1892,"00"),".",TEXT(J1892,"000")),IF(B1892="Subetapa",CONCATENATE(TEXT(H1892,"00"),".",TEXT(J1892,"000"),".",TEXT(L1892,"000")),IF(B1892="Serviço",CONCATENATE(TEXT(H1892,"00"),".",TEXT(J1892,"000"),".",TEXT(L1892,"000"),".",TEXT(N1892,"000")),"")))))</f>
        <v/>
      </c>
      <c r="E1892" s="228" t="str">
        <f ca="1">IF(B1892="*","",IFERROR(IF(B1892="SERVIÇO",D1892,OFFSET(E1892,-1,0)),""))</f>
        <v>17.003.002.003</v>
      </c>
      <c r="F1892" s="230">
        <f ca="1">IF($B1892="UNIDADE CONSTRUTIVA",OFFSET(F1892,-1,0)+1,LARGE(F$10:F1891,1))</f>
        <v>2</v>
      </c>
      <c r="G1892" s="228" t="str">
        <f ca="1">IF(B1892="*","",IF(B1892="UNIDADE CONSTRUTIVA",S1892,OFFSET(G1892,-1,0)))</f>
        <v xml:space="preserve">   GERENCIAMENTO EXECUTIVO</v>
      </c>
      <c r="H1892" s="230">
        <f ca="1">IF(B1892="UNIDADE CONSTRUTIVA",0,IF(B1892="CÉLULA CONSTRUTIVA",OFFSET(H1892,-1,0)+1,OFFSET(H1892,-1,0)))</f>
        <v>17</v>
      </c>
      <c r="I1892" s="228" t="str">
        <f ca="1">IF(B1892="*","",IF(B1892="CÉLULA CONSTRUTIVA",S1892,OFFSET(I1892,-1,0)))</f>
        <v xml:space="preserve">   ESQUADRIAS - VIDROS E FERRAGENS</v>
      </c>
      <c r="J1892" s="230">
        <f ca="1">IF(B1892="CÉLULA CONSTRUTIVA",0,IF(B1892="ETAPA",OFFSET(J1892,-1,0)+1,OFFSET(J1892,-1,0)))</f>
        <v>3</v>
      </c>
      <c r="K1892" s="228" t="str">
        <f ca="1">IF(B1892="*","",IF(B1892="ETAPA",S1892,OFFSET(K1892,-1,0)))</f>
        <v xml:space="preserve">   ESQUADRIAS - VIDROS E FERRAGENS - 3º  ao 7º PAVIMENTO - TIPO</v>
      </c>
      <c r="L1892" s="231">
        <f ca="1">IF(B1892="ETAPA",0,IF(B1892="SUBETAPA",OFFSET(L1892,-1,0)+1,OFFSET(L1892,-1,0)))</f>
        <v>2</v>
      </c>
      <c r="M1892" s="228" t="str">
        <f ca="1">IF(B1892="*","",IF(B1892="SUBETAPA",S1892,OFFSET(M1892,-1,0)))</f>
        <v xml:space="preserve">   Esquadrias metalicas</v>
      </c>
      <c r="N1892" s="231">
        <f ca="1">IF(B1892="Subetapa",0,IF(B1892="serviço",OFFSET(N1892,-1,0)+1,OFFSET(N1892,-1,0)))</f>
        <v>3</v>
      </c>
      <c r="O1892" s="228" t="str">
        <f ca="1">IF(B1892="*","",IF(B1892="SERVIÇO",S1892,OFFSET(O1892,-1,0)))</f>
        <v>Esquadrias Metálicas - Gaiola Fachadas - fornecimento e instalacao</v>
      </c>
      <c r="P1892" s="232" t="str">
        <f>IF(S1892="","",IF(Orçamento!$B1892="INSUMO",S1892,""))</f>
        <v>GR3 - Gaiola Metálica - 14,51X0,8</v>
      </c>
      <c r="Q1892" s="244" t="str">
        <f>IF(B1892="","",IF(B1892="Serviço",S1892,""))</f>
        <v/>
      </c>
      <c r="R1892" s="234">
        <f ca="1">IF(B1892="serviço",U1892,OFFSET(R1892,-1,0))</f>
        <v>58.040000000000013</v>
      </c>
      <c r="S1892" s="233" t="s">
        <v>702</v>
      </c>
      <c r="T1892" s="242" t="str">
        <f>_xlfn.XLOOKUP(S1892,Insumos!$A$3:$A$371,Insumos!$B$3:$B$371)</f>
        <v>m2</v>
      </c>
      <c r="U1892" s="235">
        <f ca="1">IF($B1892="insumo",R1892,"")</f>
        <v>58.040000000000013</v>
      </c>
      <c r="V1892" s="320">
        <v>1</v>
      </c>
      <c r="W1892" s="236">
        <f>IFERROR(IF(B1892="INSUMO",_xlfn.XLOOKUP(S1892,Insumos!A:A,Insumos!C:C),""),"Inserir Preço")</f>
        <v>568.53463128876638</v>
      </c>
      <c r="X1892" s="235">
        <f t="shared" ca="1" si="1566"/>
        <v>58.040000000000013</v>
      </c>
      <c r="Y1892" s="236">
        <f t="shared" si="1517"/>
        <v>568.53463128876638</v>
      </c>
      <c r="Z1892" s="237">
        <f t="shared" ca="1" si="1551"/>
        <v>32997.750000000007</v>
      </c>
      <c r="AA1892" s="238"/>
      <c r="AB1892" s="233" t="str">
        <f>IF(B1892="insumo",_xlfn.XLOOKUP(S1892,Insumos!A:A,Insumos!D:D),"")</f>
        <v>HOFF - SOLUÇÕES EM FERRO LTDA</v>
      </c>
      <c r="AC1892" s="239">
        <f t="shared" ca="1" si="1552"/>
        <v>4.733828084735524E-3</v>
      </c>
      <c r="AE1892" s="240">
        <f ca="1">IFERROR(IF(OR(Z1892="",Z1892=0),"",IF(AF1892="","",IF(AF1892="R$/mês",Z1892/OBRA!$D$12,IF(AF1892="R$/m²",Z1892/OBRA!$D$10,IF(AF1892="R$/apto",Orçamento!Z1892/OBRA!$D$11,""))))),"")</f>
        <v>16.980877199302196</v>
      </c>
      <c r="AF1892" s="241" t="s">
        <v>154</v>
      </c>
    </row>
    <row r="1893" spans="1:32" s="10" customFormat="1" ht="13.15" hidden="1" customHeight="1" outlineLevel="3" collapsed="1" x14ac:dyDescent="0.2">
      <c r="A1893" s="227"/>
      <c r="B1893" s="228" t="s">
        <v>3</v>
      </c>
      <c r="C1893" s="229" t="str">
        <f t="shared" si="1550"/>
        <v/>
      </c>
      <c r="D1893" s="227" t="str">
        <f t="shared" ca="1" si="1553"/>
        <v>17.003.003</v>
      </c>
      <c r="E1893" s="228" t="str">
        <f t="shared" ca="1" si="1554"/>
        <v>17.003.002.003</v>
      </c>
      <c r="F1893" s="230">
        <f ca="1">IF($B1893="UNIDADE CONSTRUTIVA",OFFSET(F1893,-1,0)+1,LARGE(F$10:F1892,1))</f>
        <v>2</v>
      </c>
      <c r="G1893" s="228" t="str">
        <f t="shared" ca="1" si="1559"/>
        <v xml:space="preserve">   GERENCIAMENTO EXECUTIVO</v>
      </c>
      <c r="H1893" s="230">
        <f t="shared" ca="1" si="1555"/>
        <v>17</v>
      </c>
      <c r="I1893" s="228" t="str">
        <f t="shared" ca="1" si="1560"/>
        <v xml:space="preserve">   ESQUADRIAS - VIDROS E FERRAGENS</v>
      </c>
      <c r="J1893" s="230">
        <f t="shared" ca="1" si="1556"/>
        <v>3</v>
      </c>
      <c r="K1893" s="228" t="str">
        <f t="shared" ca="1" si="1561"/>
        <v xml:space="preserve">   ESQUADRIAS - VIDROS E FERRAGENS - 3º  ao 7º PAVIMENTO - TIPO</v>
      </c>
      <c r="L1893" s="231">
        <f t="shared" ca="1" si="1557"/>
        <v>3</v>
      </c>
      <c r="M1893" s="228" t="str">
        <f t="shared" ca="1" si="1562"/>
        <v xml:space="preserve">   Esquadrias de Madeira</v>
      </c>
      <c r="N1893" s="231">
        <f t="shared" ca="1" si="1558"/>
        <v>0</v>
      </c>
      <c r="O1893" s="228" t="str">
        <f t="shared" ca="1" si="1563"/>
        <v>Esquadrias Metálicas - Gaiola Fachadas - fornecimento e instalacao</v>
      </c>
      <c r="P1893" s="232" t="str">
        <f>IF(S1893="","",IF(Orçamento!$B1893="INSUMO",S1893,""))</f>
        <v/>
      </c>
      <c r="Q1893" s="244" t="str">
        <f t="shared" si="1564"/>
        <v/>
      </c>
      <c r="R1893" s="234">
        <f t="shared" ca="1" si="1565"/>
        <v>58.040000000000013</v>
      </c>
      <c r="S1893" s="233" t="s">
        <v>505</v>
      </c>
      <c r="T1893" s="242" t="s">
        <v>35</v>
      </c>
      <c r="U1893" s="235" t="str">
        <f>IF($B1893="insumo",R1893,"")</f>
        <v/>
      </c>
      <c r="V1893" s="320" t="s">
        <v>35</v>
      </c>
      <c r="W1893" s="236" t="str">
        <f>IFERROR(IF(B1893="INSUMO",_xlfn.XLOOKUP(S1893,Insumos!A:A,Insumos!C:C),""),"Inserir Preço")</f>
        <v/>
      </c>
      <c r="X1893" s="235" t="str">
        <f t="shared" ca="1" si="1566"/>
        <v/>
      </c>
      <c r="Y1893" s="236" t="str">
        <f t="shared" si="1517"/>
        <v/>
      </c>
      <c r="Z1893" s="237">
        <f t="shared" ca="1" si="1551"/>
        <v>43409.058799999999</v>
      </c>
      <c r="AA1893" s="238"/>
      <c r="AB1893" s="233" t="str">
        <f>IF(B1893="insumo",_xlfn.XLOOKUP(S1893,Insumos!A:A,Insumos!D:D),"")</f>
        <v/>
      </c>
      <c r="AC1893" s="239">
        <f t="shared" ca="1" si="1552"/>
        <v>6.2274252541271958E-3</v>
      </c>
      <c r="AE1893" s="240">
        <f ca="1">IFERROR(IF(OR(Z1893="",Z1893=0),"",IF(AF1893="","",IF(AF1893="R$/mês",Z1893/OBRA!$D$12,IF(AF1893="R$/m²",Z1893/OBRA!$D$10,IF(AF1893="R$/apto",Orçamento!Z1893/OBRA!$D$11,""))))),"")</f>
        <v>22.338610869531657</v>
      </c>
      <c r="AF1893" s="241" t="s">
        <v>154</v>
      </c>
    </row>
    <row r="1894" spans="1:32" s="10" customFormat="1" ht="13.15" hidden="1" customHeight="1" outlineLevel="4" x14ac:dyDescent="0.2">
      <c r="A1894" s="227"/>
      <c r="B1894" s="228" t="s">
        <v>4</v>
      </c>
      <c r="C1894" s="229">
        <f t="shared" si="1550"/>
        <v>1</v>
      </c>
      <c r="D1894" s="227" t="str">
        <f t="shared" ca="1" si="1553"/>
        <v>17.003.003.001</v>
      </c>
      <c r="E1894" s="228" t="str">
        <f t="shared" ca="1" si="1554"/>
        <v>17.003.003.001</v>
      </c>
      <c r="F1894" s="230">
        <f ca="1">IF($B1894="UNIDADE CONSTRUTIVA",OFFSET(F1894,-1,0)+1,LARGE(F$10:F1893,1))</f>
        <v>2</v>
      </c>
      <c r="G1894" s="228" t="str">
        <f t="shared" ca="1" si="1559"/>
        <v xml:space="preserve">   GERENCIAMENTO EXECUTIVO</v>
      </c>
      <c r="H1894" s="230">
        <f t="shared" ca="1" si="1555"/>
        <v>17</v>
      </c>
      <c r="I1894" s="228" t="str">
        <f t="shared" ca="1" si="1560"/>
        <v xml:space="preserve">   ESQUADRIAS - VIDROS E FERRAGENS</v>
      </c>
      <c r="J1894" s="230">
        <f t="shared" ca="1" si="1556"/>
        <v>3</v>
      </c>
      <c r="K1894" s="228" t="str">
        <f t="shared" ca="1" si="1561"/>
        <v xml:space="preserve">   ESQUADRIAS - VIDROS E FERRAGENS - 3º  ao 7º PAVIMENTO - TIPO</v>
      </c>
      <c r="L1894" s="231">
        <f t="shared" ca="1" si="1557"/>
        <v>3</v>
      </c>
      <c r="M1894" s="228" t="str">
        <f t="shared" ca="1" si="1562"/>
        <v xml:space="preserve">   Esquadrias de Madeira</v>
      </c>
      <c r="N1894" s="231">
        <f t="shared" ca="1" si="1558"/>
        <v>1</v>
      </c>
      <c r="O1894" s="228" t="str">
        <f t="shared" ca="1" si="1563"/>
        <v>Porta de madeira- folha leve/média - 60x210cm- fixacao com espuma expansiva</v>
      </c>
      <c r="P1894" s="232" t="str">
        <f>IF(S1894="","",IF(Orçamento!$B1894="INSUMO",S1894,""))</f>
        <v/>
      </c>
      <c r="Q1894" s="244" t="str">
        <f t="shared" si="1564"/>
        <v>Porta de madeira- folha leve/média - 60x210cm- fixacao com espuma expansiva</v>
      </c>
      <c r="R1894" s="234">
        <f t="shared" ca="1" si="1565"/>
        <v>20</v>
      </c>
      <c r="S1894" s="233" t="s">
        <v>507</v>
      </c>
      <c r="T1894" s="242" t="s">
        <v>142</v>
      </c>
      <c r="U1894" s="235">
        <v>20</v>
      </c>
      <c r="V1894" s="320" t="s">
        <v>35</v>
      </c>
      <c r="W1894" s="236" t="str">
        <f>IFERROR(IF(B1894="INSUMO",_xlfn.XLOOKUP(S1894,Insumos!A:A,Insumos!C:C),""),"Inserir Preço")</f>
        <v/>
      </c>
      <c r="X1894" s="235">
        <f t="shared" ca="1" si="1566"/>
        <v>20</v>
      </c>
      <c r="Y1894" s="236">
        <f t="shared" ca="1" si="1517"/>
        <v>447.39584000000002</v>
      </c>
      <c r="Z1894" s="237">
        <f t="shared" ca="1" si="1551"/>
        <v>8947.9168000000009</v>
      </c>
      <c r="AA1894" s="238"/>
      <c r="AB1894" s="233" t="str">
        <f>IF(B1894="insumo",_xlfn.XLOOKUP(S1894,Insumos!A:A,Insumos!D:D),"")</f>
        <v/>
      </c>
      <c r="AC1894" s="239">
        <f t="shared" ca="1" si="1552"/>
        <v>1.2836602449475135E-3</v>
      </c>
      <c r="AE1894" s="240">
        <f ca="1">IFERROR(IF(OR(Z1894="",Z1894=0),"",IF(AF1894="","",IF(AF1894="R$/mês",Z1894/OBRA!$D$12,IF(AF1894="R$/m²",Z1894/OBRA!$D$10,IF(AF1894="R$/apto",Orçamento!Z1894/OBRA!$D$11,""))))),"")</f>
        <v>4.6046617230075704</v>
      </c>
      <c r="AF1894" s="241" t="s">
        <v>154</v>
      </c>
    </row>
    <row r="1895" spans="1:32" s="10" customFormat="1" ht="13.15" hidden="1" customHeight="1" outlineLevel="4" x14ac:dyDescent="0.2">
      <c r="A1895" s="227"/>
      <c r="B1895" s="228" t="s">
        <v>19</v>
      </c>
      <c r="C1895" s="229">
        <f t="shared" si="1550"/>
        <v>7</v>
      </c>
      <c r="D1895" s="227" t="str">
        <f t="shared" si="1553"/>
        <v/>
      </c>
      <c r="E1895" s="228" t="str">
        <f t="shared" ca="1" si="1554"/>
        <v>17.003.003.001</v>
      </c>
      <c r="F1895" s="230">
        <f ca="1">IF($B1895="UNIDADE CONSTRUTIVA",OFFSET(F1895,-1,0)+1,LARGE(F$10:F1894,1))</f>
        <v>2</v>
      </c>
      <c r="G1895" s="228" t="str">
        <f t="shared" ca="1" si="1559"/>
        <v xml:space="preserve">   GERENCIAMENTO EXECUTIVO</v>
      </c>
      <c r="H1895" s="230">
        <f t="shared" ca="1" si="1555"/>
        <v>17</v>
      </c>
      <c r="I1895" s="228" t="str">
        <f t="shared" ca="1" si="1560"/>
        <v xml:space="preserve">   ESQUADRIAS - VIDROS E FERRAGENS</v>
      </c>
      <c r="J1895" s="230">
        <f t="shared" ca="1" si="1556"/>
        <v>3</v>
      </c>
      <c r="K1895" s="228" t="str">
        <f t="shared" ca="1" si="1561"/>
        <v xml:space="preserve">   ESQUADRIAS - VIDROS E FERRAGENS - 3º  ao 7º PAVIMENTO - TIPO</v>
      </c>
      <c r="L1895" s="231">
        <f t="shared" ca="1" si="1557"/>
        <v>3</v>
      </c>
      <c r="M1895" s="228" t="str">
        <f t="shared" ca="1" si="1562"/>
        <v xml:space="preserve">   Esquadrias de Madeira</v>
      </c>
      <c r="N1895" s="231">
        <f t="shared" ca="1" si="1558"/>
        <v>1</v>
      </c>
      <c r="O1895" s="228" t="str">
        <f t="shared" ca="1" si="1563"/>
        <v>Porta de madeira- folha leve/média - 60x210cm- fixacao com espuma expansiva</v>
      </c>
      <c r="P1895" s="232" t="str">
        <f>IF(S1895="","",IF(Orçamento!$B1895="INSUMO",S1895,""))</f>
        <v>ESPUMA EXPANSIVA DE POLIURETANO 500G</v>
      </c>
      <c r="Q1895" s="244" t="str">
        <f t="shared" si="1564"/>
        <v/>
      </c>
      <c r="R1895" s="234">
        <f t="shared" ca="1" si="1565"/>
        <v>20</v>
      </c>
      <c r="S1895" s="233" t="s">
        <v>376</v>
      </c>
      <c r="T1895" s="242" t="str">
        <f>_xlfn.XLOOKUP(S1895,Insumos!$A$3:$A$371,Insumos!$B$3:$B$371)</f>
        <v>UN</v>
      </c>
      <c r="U1895" s="235">
        <f ca="1">IF($B1895="insumo",R1895,"")</f>
        <v>20</v>
      </c>
      <c r="V1895" s="320">
        <v>0.38600000000000001</v>
      </c>
      <c r="W1895" s="236">
        <f>IFERROR(IF(B1895="INSUMO",_xlfn.XLOOKUP(S1895,Insumos!A:A,Insumos!C:C),""),"Inserir Preço")</f>
        <v>24.69</v>
      </c>
      <c r="X1895" s="235">
        <f t="shared" ca="1" si="1566"/>
        <v>7.7200000000000006</v>
      </c>
      <c r="Y1895" s="236">
        <f t="shared" si="1517"/>
        <v>9.5303400000000007</v>
      </c>
      <c r="Z1895" s="237">
        <f t="shared" ca="1" si="1551"/>
        <v>190.60680000000002</v>
      </c>
      <c r="AA1895" s="238"/>
      <c r="AB1895" s="233" t="str">
        <f>IF(B1895="insumo",_xlfn.XLOOKUP(S1895,Insumos!A:A,Insumos!D:D),"")</f>
        <v xml:space="preserve"> </v>
      </c>
      <c r="AC1895" s="239">
        <f t="shared" ca="1" si="1552"/>
        <v>2.7344283261178928E-5</v>
      </c>
      <c r="AE1895" s="240">
        <f ca="1">IFERROR(IF(OR(Z1895="",Z1895=0),"",IF(AF1895="","",IF(AF1895="R$/mês",Z1895/OBRA!$D$12,IF(AF1895="R$/m²",Z1895/OBRA!$D$10,IF(AF1895="R$/apto",Orçamento!Z1895/OBRA!$D$11,""))))),"")</f>
        <v>9.8087617008794648E-2</v>
      </c>
      <c r="AF1895" s="241" t="s">
        <v>154</v>
      </c>
    </row>
    <row r="1896" spans="1:32" s="10" customFormat="1" ht="13.15" hidden="1" customHeight="1" outlineLevel="4" x14ac:dyDescent="0.2">
      <c r="A1896" s="227"/>
      <c r="B1896" s="228" t="s">
        <v>19</v>
      </c>
      <c r="C1896" s="229">
        <f t="shared" si="1550"/>
        <v>1</v>
      </c>
      <c r="D1896" s="227" t="str">
        <f t="shared" si="1553"/>
        <v/>
      </c>
      <c r="E1896" s="228" t="str">
        <f t="shared" ca="1" si="1554"/>
        <v>17.003.003.001</v>
      </c>
      <c r="F1896" s="230">
        <f ca="1">IF($B1896="UNIDADE CONSTRUTIVA",OFFSET(F1896,-1,0)+1,LARGE(F$10:F1895,1))</f>
        <v>2</v>
      </c>
      <c r="G1896" s="228" t="str">
        <f t="shared" ca="1" si="1559"/>
        <v xml:space="preserve">   GERENCIAMENTO EXECUTIVO</v>
      </c>
      <c r="H1896" s="230">
        <f t="shared" ca="1" si="1555"/>
        <v>17</v>
      </c>
      <c r="I1896" s="228" t="str">
        <f t="shared" ca="1" si="1560"/>
        <v xml:space="preserve">   ESQUADRIAS - VIDROS E FERRAGENS</v>
      </c>
      <c r="J1896" s="230">
        <f t="shared" ca="1" si="1556"/>
        <v>3</v>
      </c>
      <c r="K1896" s="228" t="str">
        <f t="shared" ca="1" si="1561"/>
        <v xml:space="preserve">   ESQUADRIAS - VIDROS E FERRAGENS - 3º  ao 7º PAVIMENTO - TIPO</v>
      </c>
      <c r="L1896" s="231">
        <f t="shared" ca="1" si="1557"/>
        <v>3</v>
      </c>
      <c r="M1896" s="228" t="str">
        <f t="shared" ca="1" si="1562"/>
        <v xml:space="preserve">   Esquadrias de Madeira</v>
      </c>
      <c r="N1896" s="231">
        <f t="shared" ca="1" si="1558"/>
        <v>1</v>
      </c>
      <c r="O1896" s="228" t="str">
        <f t="shared" ca="1" si="1563"/>
        <v>Porta de madeira- folha leve/média - 60x210cm- fixacao com espuma expansiva</v>
      </c>
      <c r="P1896" s="232" t="str">
        <f>IF(S1896="","",IF(Orçamento!$B1896="INSUMO",S1896,""))</f>
        <v>P3 - PORTA MADEIRA ACABAMENTO MELAMÍNICO BRANCO - ABRIR (E. VERTIVAL) - 60X210</v>
      </c>
      <c r="Q1896" s="244" t="str">
        <f t="shared" si="1564"/>
        <v/>
      </c>
      <c r="R1896" s="234">
        <f t="shared" ca="1" si="1565"/>
        <v>20</v>
      </c>
      <c r="S1896" s="233" t="s">
        <v>698</v>
      </c>
      <c r="T1896" s="242" t="str">
        <f>_xlfn.XLOOKUP(S1896,Insumos!$A$3:$A$371,Insumos!$B$3:$B$371)</f>
        <v>UN</v>
      </c>
      <c r="U1896" s="235">
        <f ca="1">IF($B1896="insumo",R1896,"")</f>
        <v>20</v>
      </c>
      <c r="V1896" s="320">
        <v>1</v>
      </c>
      <c r="W1896" s="236">
        <f>IFERROR(IF(B1896="INSUMO",_xlfn.XLOOKUP(S1896,Insumos!A:A,Insumos!C:C),""),"Inserir Preço")</f>
        <v>437.8655</v>
      </c>
      <c r="X1896" s="235">
        <f t="shared" ca="1" si="1566"/>
        <v>20</v>
      </c>
      <c r="Y1896" s="236">
        <f t="shared" ref="Y1896:Y1959" si="1567">IF(B1896="insumo",W1896*V1896,IF(B1896="serviço",SUMIFS(Y:Y,B:B,"insumo",E:E,E1896,I:I,I1896),""))</f>
        <v>437.8655</v>
      </c>
      <c r="Z1896" s="237">
        <f t="shared" ca="1" si="1551"/>
        <v>8757.31</v>
      </c>
      <c r="AA1896" s="238"/>
      <c r="AB1896" s="233" t="str">
        <f>IF(B1896="insumo",_xlfn.XLOOKUP(S1896,Insumos!A:A,Insumos!D:D),"")</f>
        <v>MGM PRODUTOS SIDERURGICOS S/A</v>
      </c>
      <c r="AC1896" s="239">
        <f t="shared" ca="1" si="1552"/>
        <v>1.2563159616863343E-3</v>
      </c>
      <c r="AE1896" s="240">
        <f ca="1">IFERROR(IF(OR(Z1896="",Z1896=0),"",IF(AF1896="","",IF(AF1896="R$/mês",Z1896/OBRA!$D$12,IF(AF1896="R$/m²",Z1896/OBRA!$D$10,IF(AF1896="R$/apto",Orçamento!Z1896/OBRA!$D$11,""))))),"")</f>
        <v>4.5065741059987747</v>
      </c>
      <c r="AF1896" s="241" t="s">
        <v>154</v>
      </c>
    </row>
    <row r="1897" spans="1:32" s="10" customFormat="1" ht="13.15" hidden="1" customHeight="1" outlineLevel="4" x14ac:dyDescent="0.2">
      <c r="A1897" s="227"/>
      <c r="B1897" s="228" t="s">
        <v>4</v>
      </c>
      <c r="C1897" s="229">
        <f t="shared" si="1550"/>
        <v>2</v>
      </c>
      <c r="D1897" s="227" t="str">
        <f t="shared" ca="1" si="1553"/>
        <v>17.003.003.002</v>
      </c>
      <c r="E1897" s="228" t="str">
        <f t="shared" ca="1" si="1554"/>
        <v>17.003.003.002</v>
      </c>
      <c r="F1897" s="230">
        <f ca="1">IF($B1897="UNIDADE CONSTRUTIVA",OFFSET(F1897,-1,0)+1,LARGE(F$10:F1896,1))</f>
        <v>2</v>
      </c>
      <c r="G1897" s="228" t="str">
        <f t="shared" ca="1" si="1559"/>
        <v xml:space="preserve">   GERENCIAMENTO EXECUTIVO</v>
      </c>
      <c r="H1897" s="230">
        <f t="shared" ca="1" si="1555"/>
        <v>17</v>
      </c>
      <c r="I1897" s="228" t="str">
        <f t="shared" ca="1" si="1560"/>
        <v xml:space="preserve">   ESQUADRIAS - VIDROS E FERRAGENS</v>
      </c>
      <c r="J1897" s="230">
        <f t="shared" ca="1" si="1556"/>
        <v>3</v>
      </c>
      <c r="K1897" s="228" t="str">
        <f t="shared" ca="1" si="1561"/>
        <v xml:space="preserve">   ESQUADRIAS - VIDROS E FERRAGENS - 3º  ao 7º PAVIMENTO - TIPO</v>
      </c>
      <c r="L1897" s="231">
        <f t="shared" ca="1" si="1557"/>
        <v>3</v>
      </c>
      <c r="M1897" s="228" t="str">
        <f t="shared" ca="1" si="1562"/>
        <v xml:space="preserve">   Esquadrias de Madeira</v>
      </c>
      <c r="N1897" s="231">
        <f t="shared" ca="1" si="1558"/>
        <v>2</v>
      </c>
      <c r="O1897" s="228" t="str">
        <f t="shared" ca="1" si="1563"/>
        <v>Porta de madeira- folha leve/média - 70x210cm- fixacao com espuma expansiva</v>
      </c>
      <c r="P1897" s="232" t="str">
        <f>IF(S1897="","",IF(Orçamento!$B1897="INSUMO",S1897,""))</f>
        <v/>
      </c>
      <c r="Q1897" s="244" t="str">
        <f t="shared" si="1564"/>
        <v>Porta de madeira- folha leve/média - 70x210cm- fixacao com espuma expansiva</v>
      </c>
      <c r="R1897" s="234">
        <f t="shared" ca="1" si="1565"/>
        <v>15</v>
      </c>
      <c r="S1897" s="233" t="s">
        <v>705</v>
      </c>
      <c r="T1897" s="242" t="s">
        <v>142</v>
      </c>
      <c r="U1897" s="235">
        <v>15</v>
      </c>
      <c r="V1897" s="320" t="s">
        <v>35</v>
      </c>
      <c r="W1897" s="236" t="str">
        <f>IFERROR(IF(B1897="INSUMO",_xlfn.XLOOKUP(S1897,Insumos!A:A,Insumos!C:C),""),"Inserir Preço")</f>
        <v/>
      </c>
      <c r="X1897" s="235">
        <f t="shared" ca="1" si="1566"/>
        <v>15</v>
      </c>
      <c r="Y1897" s="236">
        <f t="shared" ca="1" si="1567"/>
        <v>467.52584000000002</v>
      </c>
      <c r="Z1897" s="237">
        <f t="shared" ca="1" si="1551"/>
        <v>7012.8876</v>
      </c>
      <c r="AA1897" s="238"/>
      <c r="AB1897" s="233" t="str">
        <f>IF(B1897="insumo",_xlfn.XLOOKUP(S1897,Insumos!A:A,Insumos!D:D),"")</f>
        <v/>
      </c>
      <c r="AC1897" s="239">
        <f t="shared" ca="1" si="1552"/>
        <v>1.0060626641505404E-3</v>
      </c>
      <c r="AE1897" s="240">
        <f ca="1">IFERROR(IF(OR(Z1897="",Z1897=0),"",IF(AF1897="","",IF(AF1897="R$/mês",Z1897/OBRA!$D$12,IF(AF1897="R$/m²",Z1897/OBRA!$D$10,IF(AF1897="R$/apto",Orçamento!Z1897/OBRA!$D$11,""))))),"")</f>
        <v>3.6088819131034411</v>
      </c>
      <c r="AF1897" s="241" t="s">
        <v>154</v>
      </c>
    </row>
    <row r="1898" spans="1:32" s="10" customFormat="1" ht="13.15" hidden="1" customHeight="1" outlineLevel="4" x14ac:dyDescent="0.2">
      <c r="A1898" s="227"/>
      <c r="B1898" s="228" t="s">
        <v>19</v>
      </c>
      <c r="C1898" s="229">
        <f t="shared" si="1550"/>
        <v>7</v>
      </c>
      <c r="D1898" s="227" t="str">
        <f t="shared" si="1553"/>
        <v/>
      </c>
      <c r="E1898" s="228" t="str">
        <f t="shared" ca="1" si="1554"/>
        <v>17.003.003.002</v>
      </c>
      <c r="F1898" s="230">
        <f ca="1">IF($B1898="UNIDADE CONSTRUTIVA",OFFSET(F1898,-1,0)+1,LARGE(F$10:F1897,1))</f>
        <v>2</v>
      </c>
      <c r="G1898" s="228" t="str">
        <f t="shared" ca="1" si="1559"/>
        <v xml:space="preserve">   GERENCIAMENTO EXECUTIVO</v>
      </c>
      <c r="H1898" s="230">
        <f t="shared" ca="1" si="1555"/>
        <v>17</v>
      </c>
      <c r="I1898" s="228" t="str">
        <f t="shared" ca="1" si="1560"/>
        <v xml:space="preserve">   ESQUADRIAS - VIDROS E FERRAGENS</v>
      </c>
      <c r="J1898" s="230">
        <f t="shared" ca="1" si="1556"/>
        <v>3</v>
      </c>
      <c r="K1898" s="228" t="str">
        <f t="shared" ca="1" si="1561"/>
        <v xml:space="preserve">   ESQUADRIAS - VIDROS E FERRAGENS - 3º  ao 7º PAVIMENTO - TIPO</v>
      </c>
      <c r="L1898" s="231">
        <f t="shared" ca="1" si="1557"/>
        <v>3</v>
      </c>
      <c r="M1898" s="228" t="str">
        <f t="shared" ca="1" si="1562"/>
        <v xml:space="preserve">   Esquadrias de Madeira</v>
      </c>
      <c r="N1898" s="231">
        <f t="shared" ca="1" si="1558"/>
        <v>2</v>
      </c>
      <c r="O1898" s="228" t="str">
        <f t="shared" ca="1" si="1563"/>
        <v>Porta de madeira- folha leve/média - 70x210cm- fixacao com espuma expansiva</v>
      </c>
      <c r="P1898" s="232" t="str">
        <f>IF(S1898="","",IF(Orçamento!$B1898="INSUMO",S1898,""))</f>
        <v>ESPUMA EXPANSIVA DE POLIURETANO 500G</v>
      </c>
      <c r="Q1898" s="244" t="str">
        <f t="shared" si="1564"/>
        <v/>
      </c>
      <c r="R1898" s="234">
        <f t="shared" ca="1" si="1565"/>
        <v>15</v>
      </c>
      <c r="S1898" s="233" t="s">
        <v>376</v>
      </c>
      <c r="T1898" s="242" t="str">
        <f>_xlfn.XLOOKUP(S1898,Insumos!$A$3:$A$371,Insumos!$B$3:$B$371)</f>
        <v>UN</v>
      </c>
      <c r="U1898" s="235">
        <f ca="1">IF($B1898="insumo",R1898,"")</f>
        <v>15</v>
      </c>
      <c r="V1898" s="320">
        <v>0.38600000000000001</v>
      </c>
      <c r="W1898" s="236">
        <f>IFERROR(IF(B1898="INSUMO",_xlfn.XLOOKUP(S1898,Insumos!A:A,Insumos!C:C),""),"Inserir Preço")</f>
        <v>24.69</v>
      </c>
      <c r="X1898" s="235">
        <f t="shared" ca="1" si="1566"/>
        <v>5.79</v>
      </c>
      <c r="Y1898" s="236">
        <f t="shared" si="1567"/>
        <v>9.5303400000000007</v>
      </c>
      <c r="Z1898" s="237">
        <f t="shared" ca="1" si="1551"/>
        <v>142.95510000000002</v>
      </c>
      <c r="AA1898" s="238"/>
      <c r="AB1898" s="233" t="str">
        <f>IF(B1898="insumo",_xlfn.XLOOKUP(S1898,Insumos!A:A,Insumos!D:D),"")</f>
        <v xml:space="preserve"> </v>
      </c>
      <c r="AC1898" s="239">
        <f t="shared" ca="1" si="1552"/>
        <v>2.0508212445884195E-5</v>
      </c>
      <c r="AE1898" s="240">
        <f ca="1">IFERROR(IF(OR(Z1898="",Z1898=0),"",IF(AF1898="","",IF(AF1898="R$/mês",Z1898/OBRA!$D$12,IF(AF1898="R$/m²",Z1898/OBRA!$D$10,IF(AF1898="R$/apto",Orçamento!Z1898/OBRA!$D$11,""))))),"")</f>
        <v>7.3565712756595986E-2</v>
      </c>
      <c r="AF1898" s="241" t="s">
        <v>154</v>
      </c>
    </row>
    <row r="1899" spans="1:32" s="10" customFormat="1" ht="13.15" hidden="1" customHeight="1" outlineLevel="4" x14ac:dyDescent="0.2">
      <c r="A1899" s="227"/>
      <c r="B1899" s="228" t="s">
        <v>19</v>
      </c>
      <c r="C1899" s="229">
        <f t="shared" si="1550"/>
        <v>2</v>
      </c>
      <c r="D1899" s="227" t="str">
        <f t="shared" si="1553"/>
        <v/>
      </c>
      <c r="E1899" s="228" t="str">
        <f t="shared" ca="1" si="1554"/>
        <v>17.003.003.002</v>
      </c>
      <c r="F1899" s="230">
        <f ca="1">IF($B1899="UNIDADE CONSTRUTIVA",OFFSET(F1899,-1,0)+1,LARGE(F$10:F1898,1))</f>
        <v>2</v>
      </c>
      <c r="G1899" s="228" t="str">
        <f t="shared" ca="1" si="1559"/>
        <v xml:space="preserve">   GERENCIAMENTO EXECUTIVO</v>
      </c>
      <c r="H1899" s="230">
        <f t="shared" ca="1" si="1555"/>
        <v>17</v>
      </c>
      <c r="I1899" s="228" t="str">
        <f t="shared" ca="1" si="1560"/>
        <v xml:space="preserve">   ESQUADRIAS - VIDROS E FERRAGENS</v>
      </c>
      <c r="J1899" s="230">
        <f t="shared" ca="1" si="1556"/>
        <v>3</v>
      </c>
      <c r="K1899" s="228" t="str">
        <f t="shared" ca="1" si="1561"/>
        <v xml:space="preserve">   ESQUADRIAS - VIDROS E FERRAGENS - 3º  ao 7º PAVIMENTO - TIPO</v>
      </c>
      <c r="L1899" s="231">
        <f t="shared" ca="1" si="1557"/>
        <v>3</v>
      </c>
      <c r="M1899" s="228" t="str">
        <f t="shared" ca="1" si="1562"/>
        <v xml:space="preserve">   Esquadrias de Madeira</v>
      </c>
      <c r="N1899" s="231">
        <f t="shared" ca="1" si="1558"/>
        <v>2</v>
      </c>
      <c r="O1899" s="228" t="str">
        <f t="shared" ca="1" si="1563"/>
        <v>Porta de madeira- folha leve/média - 70x210cm- fixacao com espuma expansiva</v>
      </c>
      <c r="P1899" s="232" t="str">
        <f>IF(S1899="","",IF(Orçamento!$B1899="INSUMO",S1899,""))</f>
        <v>P2 - PORTA MADEIRA ACABAMENTO MELAMÍNICO BRANCO - ABRIR (E. VERTIVAL) - 70X210</v>
      </c>
      <c r="Q1899" s="244" t="str">
        <f t="shared" si="1564"/>
        <v/>
      </c>
      <c r="R1899" s="234">
        <f t="shared" ca="1" si="1565"/>
        <v>15</v>
      </c>
      <c r="S1899" s="233" t="s">
        <v>697</v>
      </c>
      <c r="T1899" s="242" t="str">
        <f>_xlfn.XLOOKUP(S1899,Insumos!$A$3:$A$371,Insumos!$B$3:$B$371)</f>
        <v>UN</v>
      </c>
      <c r="U1899" s="235">
        <f ca="1">IF($B1899="insumo",R1899,"")</f>
        <v>15</v>
      </c>
      <c r="V1899" s="320">
        <v>1</v>
      </c>
      <c r="W1899" s="236">
        <f>IFERROR(IF(B1899="INSUMO",_xlfn.XLOOKUP(S1899,Insumos!A:A,Insumos!C:C),""),"Inserir Preço")</f>
        <v>457.99549999999999</v>
      </c>
      <c r="X1899" s="235">
        <f t="shared" ca="1" si="1566"/>
        <v>15</v>
      </c>
      <c r="Y1899" s="236">
        <f t="shared" si="1567"/>
        <v>457.99549999999999</v>
      </c>
      <c r="Z1899" s="237">
        <f t="shared" ca="1" si="1551"/>
        <v>6869.9324999999999</v>
      </c>
      <c r="AA1899" s="238"/>
      <c r="AB1899" s="233" t="str">
        <f>IF(B1899="insumo",_xlfn.XLOOKUP(S1899,Insumos!A:A,Insumos!D:D),"")</f>
        <v>MGM PRODUTOS SIDERURGICOS S/A</v>
      </c>
      <c r="AC1899" s="239">
        <f t="shared" ca="1" si="1552"/>
        <v>9.8555445170465635E-4</v>
      </c>
      <c r="AE1899" s="240">
        <f ca="1">IFERROR(IF(OR(Z1899="",Z1899=0),"",IF(AF1899="","",IF(AF1899="R$/mês",Z1899/OBRA!$D$12,IF(AF1899="R$/m²",Z1899/OBRA!$D$10,IF(AF1899="R$/apto",Orçamento!Z1899/OBRA!$D$11,""))))),"")</f>
        <v>3.5353162003468452</v>
      </c>
      <c r="AF1899" s="241" t="s">
        <v>154</v>
      </c>
    </row>
    <row r="1900" spans="1:32" s="10" customFormat="1" ht="13.15" hidden="1" customHeight="1" outlineLevel="4" x14ac:dyDescent="0.2">
      <c r="A1900" s="227"/>
      <c r="B1900" s="228" t="s">
        <v>4</v>
      </c>
      <c r="C1900" s="229">
        <f t="shared" si="1550"/>
        <v>3</v>
      </c>
      <c r="D1900" s="227" t="str">
        <f t="shared" ca="1" si="1553"/>
        <v>17.003.003.003</v>
      </c>
      <c r="E1900" s="228" t="str">
        <f t="shared" ca="1" si="1554"/>
        <v>17.003.003.003</v>
      </c>
      <c r="F1900" s="230">
        <f ca="1">IF($B1900="UNIDADE CONSTRUTIVA",OFFSET(F1900,-1,0)+1,LARGE(F$10:F1899,1))</f>
        <v>2</v>
      </c>
      <c r="G1900" s="228" t="str">
        <f t="shared" ca="1" si="1559"/>
        <v xml:space="preserve">   GERENCIAMENTO EXECUTIVO</v>
      </c>
      <c r="H1900" s="230">
        <f t="shared" ca="1" si="1555"/>
        <v>17</v>
      </c>
      <c r="I1900" s="228" t="str">
        <f t="shared" ca="1" si="1560"/>
        <v xml:space="preserve">   ESQUADRIAS - VIDROS E FERRAGENS</v>
      </c>
      <c r="J1900" s="230">
        <f t="shared" ca="1" si="1556"/>
        <v>3</v>
      </c>
      <c r="K1900" s="228" t="str">
        <f t="shared" ca="1" si="1561"/>
        <v xml:space="preserve">   ESQUADRIAS - VIDROS E FERRAGENS - 3º  ao 7º PAVIMENTO - TIPO</v>
      </c>
      <c r="L1900" s="231">
        <f t="shared" ca="1" si="1557"/>
        <v>3</v>
      </c>
      <c r="M1900" s="228" t="str">
        <f t="shared" ca="1" si="1562"/>
        <v xml:space="preserve">   Esquadrias de Madeira</v>
      </c>
      <c r="N1900" s="231">
        <f t="shared" ca="1" si="1558"/>
        <v>3</v>
      </c>
      <c r="O1900" s="228" t="str">
        <f t="shared" ca="1" si="1563"/>
        <v>Porta de madeira- folha leve/média - 80x210cm- fixacao com espuma expansiva</v>
      </c>
      <c r="P1900" s="232" t="str">
        <f>IF(S1900="","",IF(Orçamento!$B1900="INSUMO",S1900,""))</f>
        <v/>
      </c>
      <c r="Q1900" s="244" t="str">
        <f t="shared" si="1564"/>
        <v>Porta de madeira- folha leve/média - 80x210cm- fixacao com espuma expansiva</v>
      </c>
      <c r="R1900" s="234">
        <f t="shared" ca="1" si="1565"/>
        <v>35</v>
      </c>
      <c r="S1900" s="233" t="s">
        <v>508</v>
      </c>
      <c r="T1900" s="242" t="s">
        <v>142</v>
      </c>
      <c r="U1900" s="235">
        <v>35</v>
      </c>
      <c r="V1900" s="320" t="s">
        <v>35</v>
      </c>
      <c r="W1900" s="236" t="str">
        <f>IFERROR(IF(B1900="INSUMO",_xlfn.XLOOKUP(S1900,Insumos!A:A,Insumos!C:C),""),"Inserir Preço")</f>
        <v/>
      </c>
      <c r="X1900" s="235">
        <f t="shared" ca="1" si="1566"/>
        <v>35</v>
      </c>
      <c r="Y1900" s="236">
        <f t="shared" ca="1" si="1567"/>
        <v>483.03584000000001</v>
      </c>
      <c r="Z1900" s="237">
        <f t="shared" ca="1" si="1551"/>
        <v>16906.254400000002</v>
      </c>
      <c r="AA1900" s="238"/>
      <c r="AB1900" s="233" t="str">
        <f>IF(B1900="insumo",_xlfn.XLOOKUP(S1900,Insumos!A:A,Insumos!D:D),"")</f>
        <v/>
      </c>
      <c r="AC1900" s="239">
        <f t="shared" ca="1" si="1552"/>
        <v>2.4253563314590694E-3</v>
      </c>
      <c r="AE1900" s="240">
        <f ca="1">IFERROR(IF(OR(Z1900="",Z1900=0),"",IF(AF1900="","",IF(AF1900="R$/mês",Z1900/OBRA!$D$12,IF(AF1900="R$/m²",Z1900/OBRA!$D$10,IF(AF1900="R$/apto",Orçamento!Z1900/OBRA!$D$11,""))))),"")</f>
        <v>8.7000789407326984</v>
      </c>
      <c r="AF1900" s="241" t="s">
        <v>154</v>
      </c>
    </row>
    <row r="1901" spans="1:32" s="10" customFormat="1" ht="13.15" hidden="1" customHeight="1" outlineLevel="4" x14ac:dyDescent="0.2">
      <c r="A1901" s="227"/>
      <c r="B1901" s="228" t="s">
        <v>19</v>
      </c>
      <c r="C1901" s="229">
        <f t="shared" si="1550"/>
        <v>7</v>
      </c>
      <c r="D1901" s="227" t="str">
        <f t="shared" si="1553"/>
        <v/>
      </c>
      <c r="E1901" s="228" t="str">
        <f t="shared" ca="1" si="1554"/>
        <v>17.003.003.003</v>
      </c>
      <c r="F1901" s="230">
        <f ca="1">IF($B1901="UNIDADE CONSTRUTIVA",OFFSET(F1901,-1,0)+1,LARGE(F$10:F1900,1))</f>
        <v>2</v>
      </c>
      <c r="G1901" s="228" t="str">
        <f t="shared" ca="1" si="1559"/>
        <v xml:space="preserve">   GERENCIAMENTO EXECUTIVO</v>
      </c>
      <c r="H1901" s="230">
        <f t="shared" ca="1" si="1555"/>
        <v>17</v>
      </c>
      <c r="I1901" s="228" t="str">
        <f t="shared" ca="1" si="1560"/>
        <v xml:space="preserve">   ESQUADRIAS - VIDROS E FERRAGENS</v>
      </c>
      <c r="J1901" s="230">
        <f t="shared" ca="1" si="1556"/>
        <v>3</v>
      </c>
      <c r="K1901" s="228" t="str">
        <f t="shared" ca="1" si="1561"/>
        <v xml:space="preserve">   ESQUADRIAS - VIDROS E FERRAGENS - 3º  ao 7º PAVIMENTO - TIPO</v>
      </c>
      <c r="L1901" s="231">
        <f t="shared" ca="1" si="1557"/>
        <v>3</v>
      </c>
      <c r="M1901" s="228" t="str">
        <f t="shared" ca="1" si="1562"/>
        <v xml:space="preserve">   Esquadrias de Madeira</v>
      </c>
      <c r="N1901" s="231">
        <f t="shared" ca="1" si="1558"/>
        <v>3</v>
      </c>
      <c r="O1901" s="228" t="str">
        <f t="shared" ca="1" si="1563"/>
        <v>Porta de madeira- folha leve/média - 80x210cm- fixacao com espuma expansiva</v>
      </c>
      <c r="P1901" s="232" t="str">
        <f>IF(S1901="","",IF(Orçamento!$B1901="INSUMO",S1901,""))</f>
        <v>ESPUMA EXPANSIVA DE POLIURETANO 500G</v>
      </c>
      <c r="Q1901" s="244" t="str">
        <f t="shared" si="1564"/>
        <v/>
      </c>
      <c r="R1901" s="234">
        <f t="shared" ca="1" si="1565"/>
        <v>35</v>
      </c>
      <c r="S1901" s="233" t="s">
        <v>376</v>
      </c>
      <c r="T1901" s="242" t="str">
        <f>_xlfn.XLOOKUP(S1901,Insumos!$A$3:$A$371,Insumos!$B$3:$B$371)</f>
        <v>UN</v>
      </c>
      <c r="U1901" s="235">
        <f ca="1">IF($B1901="insumo",R1901,"")</f>
        <v>35</v>
      </c>
      <c r="V1901" s="320">
        <v>0.38600000000000001</v>
      </c>
      <c r="W1901" s="236">
        <f>IFERROR(IF(B1901="INSUMO",_xlfn.XLOOKUP(S1901,Insumos!A:A,Insumos!C:C),""),"Inserir Preço")</f>
        <v>24.69</v>
      </c>
      <c r="X1901" s="235">
        <f t="shared" ca="1" si="1566"/>
        <v>13.51</v>
      </c>
      <c r="Y1901" s="236">
        <f t="shared" si="1567"/>
        <v>9.5303400000000007</v>
      </c>
      <c r="Z1901" s="237">
        <f t="shared" ca="1" si="1551"/>
        <v>333.56190000000004</v>
      </c>
      <c r="AA1901" s="238"/>
      <c r="AB1901" s="233" t="str">
        <f>IF(B1901="insumo",_xlfn.XLOOKUP(S1901,Insumos!A:A,Insumos!D:D),"")</f>
        <v xml:space="preserve"> </v>
      </c>
      <c r="AC1901" s="239">
        <f t="shared" ca="1" si="1552"/>
        <v>4.785249570706312E-5</v>
      </c>
      <c r="AE1901" s="240">
        <f ca="1">IFERROR(IF(OR(Z1901="",Z1901=0),"",IF(AF1901="","",IF(AF1901="R$/mês",Z1901/OBRA!$D$12,IF(AF1901="R$/m²",Z1901/OBRA!$D$10,IF(AF1901="R$/apto",Orçamento!Z1901/OBRA!$D$11,""))))),"")</f>
        <v>0.17165332976539063</v>
      </c>
      <c r="AF1901" s="241" t="s">
        <v>154</v>
      </c>
    </row>
    <row r="1902" spans="1:32" s="10" customFormat="1" ht="13.15" hidden="1" customHeight="1" outlineLevel="4" x14ac:dyDescent="0.2">
      <c r="A1902" s="227"/>
      <c r="B1902" s="228" t="s">
        <v>19</v>
      </c>
      <c r="C1902" s="229">
        <f t="shared" si="1550"/>
        <v>3</v>
      </c>
      <c r="D1902" s="227" t="str">
        <f t="shared" si="1553"/>
        <v/>
      </c>
      <c r="E1902" s="228" t="str">
        <f t="shared" ca="1" si="1554"/>
        <v>17.003.003.003</v>
      </c>
      <c r="F1902" s="230">
        <f ca="1">IF($B1902="UNIDADE CONSTRUTIVA",OFFSET(F1902,-1,0)+1,LARGE(F$10:F1901,1))</f>
        <v>2</v>
      </c>
      <c r="G1902" s="228" t="str">
        <f t="shared" ca="1" si="1559"/>
        <v xml:space="preserve">   GERENCIAMENTO EXECUTIVO</v>
      </c>
      <c r="H1902" s="230">
        <f t="shared" ca="1" si="1555"/>
        <v>17</v>
      </c>
      <c r="I1902" s="228" t="str">
        <f t="shared" ca="1" si="1560"/>
        <v xml:space="preserve">   ESQUADRIAS - VIDROS E FERRAGENS</v>
      </c>
      <c r="J1902" s="230">
        <f t="shared" ca="1" si="1556"/>
        <v>3</v>
      </c>
      <c r="K1902" s="228" t="str">
        <f t="shared" ca="1" si="1561"/>
        <v xml:space="preserve">   ESQUADRIAS - VIDROS E FERRAGENS - 3º  ao 7º PAVIMENTO - TIPO</v>
      </c>
      <c r="L1902" s="231">
        <f t="shared" ca="1" si="1557"/>
        <v>3</v>
      </c>
      <c r="M1902" s="228" t="str">
        <f t="shared" ca="1" si="1562"/>
        <v xml:space="preserve">   Esquadrias de Madeira</v>
      </c>
      <c r="N1902" s="231">
        <f t="shared" ca="1" si="1558"/>
        <v>3</v>
      </c>
      <c r="O1902" s="228" t="str">
        <f t="shared" ca="1" si="1563"/>
        <v>Porta de madeira- folha leve/média - 80x210cm- fixacao com espuma expansiva</v>
      </c>
      <c r="P1902" s="232" t="str">
        <f>IF(S1902="","",IF(Orçamento!$B1902="INSUMO",S1902,""))</f>
        <v>P1 - PORTA MADEIRA ACABAMENTO MELAMÍNICO BRANCO - ABRIR (E. VERTIVAL) - 80X210</v>
      </c>
      <c r="Q1902" s="244" t="str">
        <f t="shared" si="1564"/>
        <v/>
      </c>
      <c r="R1902" s="234">
        <f t="shared" ca="1" si="1565"/>
        <v>35</v>
      </c>
      <c r="S1902" s="233" t="s">
        <v>696</v>
      </c>
      <c r="T1902" s="242" t="str">
        <f>_xlfn.XLOOKUP(S1902,Insumos!$A$3:$A$371,Insumos!$B$3:$B$371)</f>
        <v>UN</v>
      </c>
      <c r="U1902" s="235">
        <f ca="1">IF($B1902="insumo",R1902,"")</f>
        <v>35</v>
      </c>
      <c r="V1902" s="320">
        <v>1</v>
      </c>
      <c r="W1902" s="236">
        <f>IFERROR(IF(B1902="INSUMO",_xlfn.XLOOKUP(S1902,Insumos!A:A,Insumos!C:C),""),"Inserir Preço")</f>
        <v>473.50549999999998</v>
      </c>
      <c r="X1902" s="235">
        <f t="shared" ca="1" si="1566"/>
        <v>35</v>
      </c>
      <c r="Y1902" s="236">
        <f t="shared" si="1567"/>
        <v>473.50549999999998</v>
      </c>
      <c r="Z1902" s="237">
        <f t="shared" ca="1" si="1551"/>
        <v>16572.692500000001</v>
      </c>
      <c r="AA1902" s="238"/>
      <c r="AB1902" s="233" t="str">
        <f>IF(B1902="insumo",_xlfn.XLOOKUP(S1902,Insumos!A:A,Insumos!D:D),"")</f>
        <v>MGM PRODUTOS SIDERURGICOS S/A</v>
      </c>
      <c r="AC1902" s="239">
        <f t="shared" ca="1" si="1552"/>
        <v>2.3775038357520062E-3</v>
      </c>
      <c r="AE1902" s="240">
        <f ca="1">IFERROR(IF(OR(Z1902="",Z1902=0),"",IF(AF1902="","",IF(AF1902="R$/mês",Z1902/OBRA!$D$12,IF(AF1902="R$/m²",Z1902/OBRA!$D$10,IF(AF1902="R$/apto",Orçamento!Z1902/OBRA!$D$11,""))))),"")</f>
        <v>8.5284256109673073</v>
      </c>
      <c r="AF1902" s="241" t="s">
        <v>154</v>
      </c>
    </row>
    <row r="1903" spans="1:32" s="10" customFormat="1" ht="13.15" hidden="1" customHeight="1" outlineLevel="4" x14ac:dyDescent="0.2">
      <c r="A1903" s="227"/>
      <c r="B1903" s="228" t="s">
        <v>4</v>
      </c>
      <c r="C1903" s="229">
        <f t="shared" si="1550"/>
        <v>3</v>
      </c>
      <c r="D1903" s="227" t="str">
        <f t="shared" ca="1" si="1553"/>
        <v>17.003.003.004</v>
      </c>
      <c r="E1903" s="228" t="str">
        <f t="shared" ca="1" si="1554"/>
        <v>17.003.003.004</v>
      </c>
      <c r="F1903" s="230">
        <f ca="1">IF($B1903="UNIDADE CONSTRUTIVA",OFFSET(F1903,-1,0)+1,LARGE(F$10:F1902,1))</f>
        <v>2</v>
      </c>
      <c r="G1903" s="228" t="str">
        <f t="shared" ca="1" si="1559"/>
        <v xml:space="preserve">   GERENCIAMENTO EXECUTIVO</v>
      </c>
      <c r="H1903" s="230">
        <f t="shared" ca="1" si="1555"/>
        <v>17</v>
      </c>
      <c r="I1903" s="228" t="str">
        <f t="shared" ca="1" si="1560"/>
        <v xml:space="preserve">   ESQUADRIAS - VIDROS E FERRAGENS</v>
      </c>
      <c r="J1903" s="230">
        <f t="shared" ca="1" si="1556"/>
        <v>3</v>
      </c>
      <c r="K1903" s="228" t="str">
        <f t="shared" ca="1" si="1561"/>
        <v xml:space="preserve">   ESQUADRIAS - VIDROS E FERRAGENS - 3º  ao 7º PAVIMENTO - TIPO</v>
      </c>
      <c r="L1903" s="231">
        <f t="shared" ca="1" si="1557"/>
        <v>3</v>
      </c>
      <c r="M1903" s="228" t="str">
        <f t="shared" ca="1" si="1562"/>
        <v xml:space="preserve">   Esquadrias de Madeira</v>
      </c>
      <c r="N1903" s="231">
        <f t="shared" ca="1" si="1558"/>
        <v>4</v>
      </c>
      <c r="O1903" s="228" t="str">
        <f t="shared" ca="1" si="1563"/>
        <v>Fechadura (c/ chave) + Dobradiça / Portas Maciças</v>
      </c>
      <c r="P1903" s="232" t="str">
        <f>IF(S1903="","",IF(Orçamento!$B1903="INSUMO",S1903,""))</f>
        <v/>
      </c>
      <c r="Q1903" s="244" t="str">
        <f t="shared" si="1564"/>
        <v>Fechadura (c/ chave) + Dobradiça / Portas Maciças</v>
      </c>
      <c r="R1903" s="234">
        <f t="shared" ca="1" si="1565"/>
        <v>35</v>
      </c>
      <c r="S1903" s="233" t="s">
        <v>1064</v>
      </c>
      <c r="T1903" s="242" t="s">
        <v>142</v>
      </c>
      <c r="U1903" s="235">
        <f>U1900</f>
        <v>35</v>
      </c>
      <c r="V1903" s="320" t="s">
        <v>35</v>
      </c>
      <c r="W1903" s="236" t="str">
        <f>IFERROR(IF(B1903="INSUMO",_xlfn.XLOOKUP(S1903,Insumos!A:A,Insumos!C:C),""),"Inserir Preço")</f>
        <v/>
      </c>
      <c r="X1903" s="235">
        <f t="shared" ca="1" si="1566"/>
        <v>35</v>
      </c>
      <c r="Y1903" s="236">
        <f t="shared" ca="1" si="1567"/>
        <v>140</v>
      </c>
      <c r="Z1903" s="237">
        <f t="shared" ca="1" si="1551"/>
        <v>4900</v>
      </c>
      <c r="AA1903" s="238"/>
      <c r="AB1903" s="233" t="str">
        <f>IF(B1903="insumo",_xlfn.XLOOKUP(S1903,Insumos!A:A,Insumos!D:D),"")</f>
        <v/>
      </c>
      <c r="AC1903" s="239">
        <f t="shared" ca="1" si="1552"/>
        <v>7.0294967430215884E-4</v>
      </c>
      <c r="AE1903" s="240">
        <f ca="1">IFERROR(IF(OR(Z1903="",Z1903=0),"",IF(AF1903="","",IF(AF1903="R$/mês",Z1903/OBRA!$D$12,IF(AF1903="R$/m²",Z1903/OBRA!$D$10,IF(AF1903="R$/apto",Orçamento!Z1903/OBRA!$D$11,""))))),"")</f>
        <v>2.5215749036398161</v>
      </c>
      <c r="AF1903" s="241" t="s">
        <v>154</v>
      </c>
    </row>
    <row r="1904" spans="1:32" s="10" customFormat="1" ht="13.15" hidden="1" customHeight="1" outlineLevel="4" x14ac:dyDescent="0.2">
      <c r="A1904" s="227"/>
      <c r="B1904" s="228" t="s">
        <v>19</v>
      </c>
      <c r="C1904" s="229">
        <f t="shared" si="1550"/>
        <v>5</v>
      </c>
      <c r="D1904" s="227" t="str">
        <f t="shared" si="1553"/>
        <v/>
      </c>
      <c r="E1904" s="228" t="str">
        <f t="shared" ca="1" si="1554"/>
        <v>17.003.003.004</v>
      </c>
      <c r="F1904" s="230">
        <f ca="1">IF($B1904="UNIDADE CONSTRUTIVA",OFFSET(F1904,-1,0)+1,LARGE(F$10:F1903,1))</f>
        <v>2</v>
      </c>
      <c r="G1904" s="228" t="str">
        <f t="shared" ca="1" si="1559"/>
        <v xml:space="preserve">   GERENCIAMENTO EXECUTIVO</v>
      </c>
      <c r="H1904" s="230">
        <f t="shared" ca="1" si="1555"/>
        <v>17</v>
      </c>
      <c r="I1904" s="228" t="str">
        <f t="shared" ca="1" si="1560"/>
        <v xml:space="preserve">   ESQUADRIAS - VIDROS E FERRAGENS</v>
      </c>
      <c r="J1904" s="230">
        <f t="shared" ca="1" si="1556"/>
        <v>3</v>
      </c>
      <c r="K1904" s="228" t="str">
        <f t="shared" ca="1" si="1561"/>
        <v xml:space="preserve">   ESQUADRIAS - VIDROS E FERRAGENS - 3º  ao 7º PAVIMENTO - TIPO</v>
      </c>
      <c r="L1904" s="231">
        <f t="shared" ca="1" si="1557"/>
        <v>3</v>
      </c>
      <c r="M1904" s="228" t="str">
        <f t="shared" ca="1" si="1562"/>
        <v xml:space="preserve">   Esquadrias de Madeira</v>
      </c>
      <c r="N1904" s="231">
        <f t="shared" ca="1" si="1558"/>
        <v>4</v>
      </c>
      <c r="O1904" s="228" t="str">
        <f t="shared" ca="1" si="1563"/>
        <v>Fechadura (c/ chave) + Dobradiça / Portas Maciças</v>
      </c>
      <c r="P1904" s="232" t="str">
        <f>IF(S1904="","",IF(Orçamento!$B1904="INSUMO",S1904,""))</f>
        <v>Dobradiça aço inox - portas de madeira</v>
      </c>
      <c r="Q1904" s="244" t="str">
        <f t="shared" si="1564"/>
        <v/>
      </c>
      <c r="R1904" s="234">
        <f t="shared" ca="1" si="1565"/>
        <v>35</v>
      </c>
      <c r="S1904" s="233" t="s">
        <v>1061</v>
      </c>
      <c r="T1904" s="242" t="str">
        <f>_xlfn.XLOOKUP(S1904,Insumos!$A$3:$A$371,Insumos!$B$3:$B$371)</f>
        <v>UN</v>
      </c>
      <c r="U1904" s="235">
        <f ca="1">IF($B1904="insumo",R1904,"")</f>
        <v>35</v>
      </c>
      <c r="V1904" s="320">
        <v>3</v>
      </c>
      <c r="W1904" s="236">
        <f>IFERROR(IF(B1904="INSUMO",_xlfn.XLOOKUP(S1904,Insumos!A:A,Insumos!C:C),""),"Inserir Preço")</f>
        <v>15</v>
      </c>
      <c r="X1904" s="235">
        <f t="shared" ca="1" si="1566"/>
        <v>105</v>
      </c>
      <c r="Y1904" s="236">
        <f t="shared" si="1567"/>
        <v>45</v>
      </c>
      <c r="Z1904" s="237">
        <f t="shared" ca="1" si="1551"/>
        <v>1575</v>
      </c>
      <c r="AA1904" s="238"/>
      <c r="AB1904" s="233" t="str">
        <f>IF(B1904="insumo",_xlfn.XLOOKUP(S1904,Insumos!A:A,Insumos!D:D),"")</f>
        <v>Base de Dados</v>
      </c>
      <c r="AC1904" s="239">
        <f t="shared" ca="1" si="1552"/>
        <v>2.2594810959712249E-4</v>
      </c>
      <c r="AE1904" s="240">
        <f ca="1">IFERROR(IF(OR(Z1904="",Z1904=0),"",IF(AF1904="","",IF(AF1904="R$/mês",Z1904/OBRA!$D$12,IF(AF1904="R$/m²",Z1904/OBRA!$D$10,IF(AF1904="R$/apto",Orçamento!Z1904/OBRA!$D$11,""))))),"")</f>
        <v>0.81050621902708375</v>
      </c>
      <c r="AF1904" s="241" t="s">
        <v>154</v>
      </c>
    </row>
    <row r="1905" spans="1:32" s="10" customFormat="1" ht="13.15" hidden="1" customHeight="1" outlineLevel="4" x14ac:dyDescent="0.2">
      <c r="A1905" s="227"/>
      <c r="B1905" s="228" t="s">
        <v>19</v>
      </c>
      <c r="C1905" s="229">
        <f t="shared" si="1550"/>
        <v>3</v>
      </c>
      <c r="D1905" s="227" t="str">
        <f t="shared" si="1553"/>
        <v/>
      </c>
      <c r="E1905" s="228" t="str">
        <f t="shared" ca="1" si="1554"/>
        <v>17.003.003.004</v>
      </c>
      <c r="F1905" s="230">
        <f ca="1">IF($B1905="UNIDADE CONSTRUTIVA",OFFSET(F1905,-1,0)+1,LARGE(F$10:F1904,1))</f>
        <v>2</v>
      </c>
      <c r="G1905" s="228" t="str">
        <f t="shared" ca="1" si="1559"/>
        <v xml:space="preserve">   GERENCIAMENTO EXECUTIVO</v>
      </c>
      <c r="H1905" s="230">
        <f t="shared" ca="1" si="1555"/>
        <v>17</v>
      </c>
      <c r="I1905" s="228" t="str">
        <f t="shared" ca="1" si="1560"/>
        <v xml:space="preserve">   ESQUADRIAS - VIDROS E FERRAGENS</v>
      </c>
      <c r="J1905" s="230">
        <f t="shared" ca="1" si="1556"/>
        <v>3</v>
      </c>
      <c r="K1905" s="228" t="str">
        <f t="shared" ca="1" si="1561"/>
        <v xml:space="preserve">   ESQUADRIAS - VIDROS E FERRAGENS - 3º  ao 7º PAVIMENTO - TIPO</v>
      </c>
      <c r="L1905" s="231">
        <f t="shared" ca="1" si="1557"/>
        <v>3</v>
      </c>
      <c r="M1905" s="228" t="str">
        <f t="shared" ca="1" si="1562"/>
        <v xml:space="preserve">   Esquadrias de Madeira</v>
      </c>
      <c r="N1905" s="231">
        <f t="shared" ca="1" si="1558"/>
        <v>4</v>
      </c>
      <c r="O1905" s="228" t="str">
        <f t="shared" ca="1" si="1563"/>
        <v>Fechadura (c/ chave) + Dobradiça / Portas Maciças</v>
      </c>
      <c r="P1905" s="232" t="str">
        <f>IF(S1905="","",IF(Orçamento!$B1905="INSUMO",S1905,""))</f>
        <v>Fechadura Externa Com Maçaneta</v>
      </c>
      <c r="Q1905" s="244" t="str">
        <f t="shared" si="1564"/>
        <v/>
      </c>
      <c r="R1905" s="234">
        <f t="shared" ca="1" si="1565"/>
        <v>35</v>
      </c>
      <c r="S1905" s="233" t="s">
        <v>1062</v>
      </c>
      <c r="T1905" s="242" t="str">
        <f>_xlfn.XLOOKUP(S1905,Insumos!$A$3:$A$371,Insumos!$B$3:$B$371)</f>
        <v>UN</v>
      </c>
      <c r="U1905" s="235">
        <f ca="1">IF($B1905="insumo",R1905,"")</f>
        <v>35</v>
      </c>
      <c r="V1905" s="320">
        <v>1</v>
      </c>
      <c r="W1905" s="236">
        <f>IFERROR(IF(B1905="INSUMO",_xlfn.XLOOKUP(S1905,Insumos!A:A,Insumos!C:C),""),"Inserir Preço")</f>
        <v>95</v>
      </c>
      <c r="X1905" s="235">
        <f t="shared" ca="1" si="1566"/>
        <v>35</v>
      </c>
      <c r="Y1905" s="236">
        <f t="shared" si="1567"/>
        <v>95</v>
      </c>
      <c r="Z1905" s="237">
        <f t="shared" ca="1" si="1551"/>
        <v>3325</v>
      </c>
      <c r="AA1905" s="238"/>
      <c r="AB1905" s="233" t="str">
        <f>IF(B1905="insumo",_xlfn.XLOOKUP(S1905,Insumos!A:A,Insumos!D:D),"")</f>
        <v>Base de Dados</v>
      </c>
      <c r="AC1905" s="239">
        <f t="shared" ca="1" si="1552"/>
        <v>4.7700156470503632E-4</v>
      </c>
      <c r="AE1905" s="240">
        <f ca="1">IFERROR(IF(OR(Z1905="",Z1905=0),"",IF(AF1905="","",IF(AF1905="R$/mês",Z1905/OBRA!$D$12,IF(AF1905="R$/m²",Z1905/OBRA!$D$10,IF(AF1905="R$/apto",Orçamento!Z1905/OBRA!$D$11,""))))),"")</f>
        <v>1.7110686846127323</v>
      </c>
      <c r="AF1905" s="241" t="s">
        <v>154</v>
      </c>
    </row>
    <row r="1906" spans="1:32" s="10" customFormat="1" ht="13.15" hidden="1" customHeight="1" outlineLevel="4" x14ac:dyDescent="0.2">
      <c r="A1906" s="227"/>
      <c r="B1906" s="228" t="s">
        <v>4</v>
      </c>
      <c r="C1906" s="229">
        <f t="shared" si="1550"/>
        <v>2</v>
      </c>
      <c r="D1906" s="227" t="str">
        <f t="shared" ref="D1906:D1913" ca="1" si="1568">IF(B1906="Unidade Construtiva",TEXT(F1906,"00"),IF(B1906="Célula Construtiva",TEXT(H1906,"00"),IF(B1906="Etapa",CONCATENATE(TEXT(H1906,"00"),".",TEXT(J1906,"000")),IF(B1906="Subetapa",CONCATENATE(TEXT(H1906,"00"),".",TEXT(J1906,"000"),".",TEXT(L1906,"000")),IF(B1906="Serviço",CONCATENATE(TEXT(H1906,"00"),".",TEXT(J1906,"000"),".",TEXT(L1906,"000"),".",TEXT(N1906,"000")),"")))))</f>
        <v>17.003.003.005</v>
      </c>
      <c r="E1906" s="228" t="str">
        <f t="shared" ref="E1906:E1913" ca="1" si="1569">IF(B1906="*","",IFERROR(IF(B1906="SERVIÇO",D1906,OFFSET(E1906,-1,0)),""))</f>
        <v>17.003.003.005</v>
      </c>
      <c r="F1906" s="230">
        <f ca="1">IF($B1906="UNIDADE CONSTRUTIVA",OFFSET(F1906,-1,0)+1,LARGE(F$10:F1905,1))</f>
        <v>2</v>
      </c>
      <c r="G1906" s="228" t="str">
        <f ca="1">IF(B1906="*","",IF(B1906="UNIDADE CONSTRUTIVA",S1906,OFFSET(G1906,-1,0)))</f>
        <v xml:space="preserve">   GERENCIAMENTO EXECUTIVO</v>
      </c>
      <c r="H1906" s="230">
        <f t="shared" ref="H1906:H1913" ca="1" si="1570">IF(B1906="UNIDADE CONSTRUTIVA",0,IF(B1906="CÉLULA CONSTRUTIVA",OFFSET(H1906,-1,0)+1,OFFSET(H1906,-1,0)))</f>
        <v>17</v>
      </c>
      <c r="I1906" s="228" t="str">
        <f ca="1">IF(B1906="*","",IF(B1906="CÉLULA CONSTRUTIVA",S1906,OFFSET(I1906,-1,0)))</f>
        <v xml:space="preserve">   ESQUADRIAS - VIDROS E FERRAGENS</v>
      </c>
      <c r="J1906" s="230">
        <f t="shared" ref="J1906:J1913" ca="1" si="1571">IF(B1906="CÉLULA CONSTRUTIVA",0,IF(B1906="ETAPA",OFFSET(J1906,-1,0)+1,OFFSET(J1906,-1,0)))</f>
        <v>3</v>
      </c>
      <c r="K1906" s="228" t="str">
        <f ca="1">IF(B1906="*","",IF(B1906="ETAPA",S1906,OFFSET(K1906,-1,0)))</f>
        <v xml:space="preserve">   ESQUADRIAS - VIDROS E FERRAGENS - 3º  ao 7º PAVIMENTO - TIPO</v>
      </c>
      <c r="L1906" s="231">
        <f t="shared" ref="L1906:L1913" ca="1" si="1572">IF(B1906="ETAPA",0,IF(B1906="SUBETAPA",OFFSET(L1906,-1,0)+1,OFFSET(L1906,-1,0)))</f>
        <v>3</v>
      </c>
      <c r="M1906" s="228" t="str">
        <f ca="1">IF(B1906="*","",IF(B1906="SUBETAPA",S1906,OFFSET(M1906,-1,0)))</f>
        <v xml:space="preserve">   Esquadrias de Madeira</v>
      </c>
      <c r="N1906" s="231">
        <f t="shared" ref="N1906:N1913" ca="1" si="1573">IF(B1906="Subetapa",0,IF(B1906="serviço",OFFSET(N1906,-1,0)+1,OFFSET(N1906,-1,0)))</f>
        <v>5</v>
      </c>
      <c r="O1906" s="228" t="str">
        <f ca="1">IF(B1906="*","",IF(B1906="SERVIÇO",S1906,OFFSET(O1906,-1,0)))</f>
        <v>Fechadura (c/ chave) + Dobradiça / Portas Internas</v>
      </c>
      <c r="P1906" s="232" t="str">
        <f>IF(S1906="","",IF(Orçamento!$B1906="INSUMO",S1906,""))</f>
        <v/>
      </c>
      <c r="Q1906" s="244" t="str">
        <f>IF(B1906="","",IF(B1906="Serviço",S1906,""))</f>
        <v>Fechadura (c/ chave) + Dobradiça / Portas Internas</v>
      </c>
      <c r="R1906" s="234">
        <f ca="1">IF(B1906="serviço",U1906,OFFSET(R1906,-1,0))</f>
        <v>35</v>
      </c>
      <c r="S1906" s="233" t="s">
        <v>1065</v>
      </c>
      <c r="T1906" s="242" t="s">
        <v>142</v>
      </c>
      <c r="U1906" s="235">
        <f>U1897+U1894</f>
        <v>35</v>
      </c>
      <c r="V1906" s="320" t="s">
        <v>35</v>
      </c>
      <c r="W1906" s="236" t="str">
        <f>IFERROR(IF(B1906="INSUMO",_xlfn.XLOOKUP(S1906,Insumos!A:A,Insumos!C:C),""),"Inserir Preço")</f>
        <v/>
      </c>
      <c r="X1906" s="235">
        <f ca="1">IF(B1906="Complemento do insumo",V1906,IF(R1906="","",IF(B1906="serviço",R1906,IF(OR(B1906="insumo"),V1906*R1906,""))))</f>
        <v>35</v>
      </c>
      <c r="Y1906" s="236">
        <f t="shared" ca="1" si="1567"/>
        <v>130</v>
      </c>
      <c r="Z1906" s="237">
        <f t="shared" ca="1" si="1551"/>
        <v>4550</v>
      </c>
      <c r="AA1906" s="238"/>
      <c r="AB1906" s="233" t="str">
        <f>IF(B1906="insumo",_xlfn.XLOOKUP(S1906,Insumos!A:A,Insumos!D:D),"")</f>
        <v/>
      </c>
      <c r="AC1906" s="239">
        <f t="shared" ca="1" si="1552"/>
        <v>6.5273898328057603E-4</v>
      </c>
      <c r="AE1906" s="240">
        <f ca="1">IFERROR(IF(OR(Z1906="",Z1906=0),"",IF(AF1906="","",IF(AF1906="R$/mês",Z1906/OBRA!$D$12,IF(AF1906="R$/m²",Z1906/OBRA!$D$10,IF(AF1906="R$/apto",Orçamento!Z1906/OBRA!$D$11,""))))),"")</f>
        <v>2.3414624105226864</v>
      </c>
      <c r="AF1906" s="241" t="s">
        <v>154</v>
      </c>
    </row>
    <row r="1907" spans="1:32" s="10" customFormat="1" ht="13.15" hidden="1" customHeight="1" outlineLevel="4" x14ac:dyDescent="0.2">
      <c r="A1907" s="227"/>
      <c r="B1907" s="228" t="s">
        <v>19</v>
      </c>
      <c r="C1907" s="229">
        <f t="shared" si="1550"/>
        <v>5</v>
      </c>
      <c r="D1907" s="227" t="str">
        <f t="shared" si="1568"/>
        <v/>
      </c>
      <c r="E1907" s="228" t="str">
        <f t="shared" ca="1" si="1569"/>
        <v>17.003.003.005</v>
      </c>
      <c r="F1907" s="230">
        <f ca="1">IF($B1907="UNIDADE CONSTRUTIVA",OFFSET(F1907,-1,0)+1,LARGE(F$10:F1906,1))</f>
        <v>2</v>
      </c>
      <c r="G1907" s="228" t="str">
        <f ca="1">IF(B1907="*","",IF(B1907="UNIDADE CONSTRUTIVA",S1907,OFFSET(G1907,-1,0)))</f>
        <v xml:space="preserve">   GERENCIAMENTO EXECUTIVO</v>
      </c>
      <c r="H1907" s="230">
        <f t="shared" ca="1" si="1570"/>
        <v>17</v>
      </c>
      <c r="I1907" s="228" t="str">
        <f ca="1">IF(B1907="*","",IF(B1907="CÉLULA CONSTRUTIVA",S1907,OFFSET(I1907,-1,0)))</f>
        <v xml:space="preserve">   ESQUADRIAS - VIDROS E FERRAGENS</v>
      </c>
      <c r="J1907" s="230">
        <f t="shared" ca="1" si="1571"/>
        <v>3</v>
      </c>
      <c r="K1907" s="228" t="str">
        <f ca="1">IF(B1907="*","",IF(B1907="ETAPA",S1907,OFFSET(K1907,-1,0)))</f>
        <v xml:space="preserve">   ESQUADRIAS - VIDROS E FERRAGENS - 3º  ao 7º PAVIMENTO - TIPO</v>
      </c>
      <c r="L1907" s="231">
        <f t="shared" ca="1" si="1572"/>
        <v>3</v>
      </c>
      <c r="M1907" s="228" t="str">
        <f ca="1">IF(B1907="*","",IF(B1907="SUBETAPA",S1907,OFFSET(M1907,-1,0)))</f>
        <v xml:space="preserve">   Esquadrias de Madeira</v>
      </c>
      <c r="N1907" s="231">
        <f t="shared" ca="1" si="1573"/>
        <v>5</v>
      </c>
      <c r="O1907" s="228" t="str">
        <f ca="1">IF(B1907="*","",IF(B1907="SERVIÇO",S1907,OFFSET(O1907,-1,0)))</f>
        <v>Fechadura (c/ chave) + Dobradiça / Portas Internas</v>
      </c>
      <c r="P1907" s="232" t="str">
        <f>IF(S1907="","",IF(Orçamento!$B1907="INSUMO",S1907,""))</f>
        <v>Dobradiça aço inox - portas de madeira</v>
      </c>
      <c r="Q1907" s="244" t="str">
        <f>IF(B1907="","",IF(B1907="Serviço",S1907,""))</f>
        <v/>
      </c>
      <c r="R1907" s="234">
        <f ca="1">IF(B1907="serviço",U1907,OFFSET(R1907,-1,0))</f>
        <v>35</v>
      </c>
      <c r="S1907" s="233" t="s">
        <v>1061</v>
      </c>
      <c r="T1907" s="242" t="str">
        <f>_xlfn.XLOOKUP(S1907,Insumos!$A$3:$A$371,Insumos!$B$3:$B$371)</f>
        <v>UN</v>
      </c>
      <c r="U1907" s="235">
        <f ca="1">IF($B1907="insumo",R1907,"")</f>
        <v>35</v>
      </c>
      <c r="V1907" s="320">
        <v>3</v>
      </c>
      <c r="W1907" s="236">
        <f>IFERROR(IF(B1907="INSUMO",_xlfn.XLOOKUP(S1907,Insumos!A:A,Insumos!C:C),""),"Inserir Preço")</f>
        <v>15</v>
      </c>
      <c r="X1907" s="235">
        <f ca="1">IF(B1907="Complemento do insumo",V1907,IF(R1907="","",IF(B1907="serviço",R1907,IF(OR(B1907="insumo"),V1907*R1907,""))))</f>
        <v>105</v>
      </c>
      <c r="Y1907" s="236">
        <f t="shared" si="1567"/>
        <v>45</v>
      </c>
      <c r="Z1907" s="237">
        <f t="shared" ca="1" si="1551"/>
        <v>1575</v>
      </c>
      <c r="AA1907" s="238"/>
      <c r="AB1907" s="233" t="str">
        <f>IF(B1907="insumo",_xlfn.XLOOKUP(S1907,Insumos!A:A,Insumos!D:D),"")</f>
        <v>Base de Dados</v>
      </c>
      <c r="AC1907" s="239">
        <f t="shared" ca="1" si="1552"/>
        <v>2.2594810959712249E-4</v>
      </c>
      <c r="AE1907" s="240">
        <f ca="1">IFERROR(IF(OR(Z1907="",Z1907=0),"",IF(AF1907="","",IF(AF1907="R$/mês",Z1907/OBRA!$D$12,IF(AF1907="R$/m²",Z1907/OBRA!$D$10,IF(AF1907="R$/apto",Orçamento!Z1907/OBRA!$D$11,""))))),"")</f>
        <v>0.81050621902708375</v>
      </c>
      <c r="AF1907" s="241" t="s">
        <v>154</v>
      </c>
    </row>
    <row r="1908" spans="1:32" s="10" customFormat="1" ht="13.15" hidden="1" customHeight="1" outlineLevel="4" x14ac:dyDescent="0.2">
      <c r="A1908" s="227"/>
      <c r="B1908" s="228" t="s">
        <v>19</v>
      </c>
      <c r="C1908" s="229">
        <f t="shared" si="1550"/>
        <v>2</v>
      </c>
      <c r="D1908" s="227" t="str">
        <f t="shared" si="1568"/>
        <v/>
      </c>
      <c r="E1908" s="228" t="str">
        <f t="shared" ca="1" si="1569"/>
        <v>17.003.003.005</v>
      </c>
      <c r="F1908" s="230">
        <f ca="1">IF($B1908="UNIDADE CONSTRUTIVA",OFFSET(F1908,-1,0)+1,LARGE(F$10:F1907,1))</f>
        <v>2</v>
      </c>
      <c r="G1908" s="228" t="str">
        <f ca="1">IF(B1908="*","",IF(B1908="UNIDADE CONSTRUTIVA",S1908,OFFSET(G1908,-1,0)))</f>
        <v xml:space="preserve">   GERENCIAMENTO EXECUTIVO</v>
      </c>
      <c r="H1908" s="230">
        <f t="shared" ca="1" si="1570"/>
        <v>17</v>
      </c>
      <c r="I1908" s="228" t="str">
        <f ca="1">IF(B1908="*","",IF(B1908="CÉLULA CONSTRUTIVA",S1908,OFFSET(I1908,-1,0)))</f>
        <v xml:space="preserve">   ESQUADRIAS - VIDROS E FERRAGENS</v>
      </c>
      <c r="J1908" s="230">
        <f t="shared" ca="1" si="1571"/>
        <v>3</v>
      </c>
      <c r="K1908" s="228" t="str">
        <f ca="1">IF(B1908="*","",IF(B1908="ETAPA",S1908,OFFSET(K1908,-1,0)))</f>
        <v xml:space="preserve">   ESQUADRIAS - VIDROS E FERRAGENS - 3º  ao 7º PAVIMENTO - TIPO</v>
      </c>
      <c r="L1908" s="231">
        <f t="shared" ca="1" si="1572"/>
        <v>3</v>
      </c>
      <c r="M1908" s="228" t="str">
        <f ca="1">IF(B1908="*","",IF(B1908="SUBETAPA",S1908,OFFSET(M1908,-1,0)))</f>
        <v xml:space="preserve">   Esquadrias de Madeira</v>
      </c>
      <c r="N1908" s="231">
        <f t="shared" ca="1" si="1573"/>
        <v>5</v>
      </c>
      <c r="O1908" s="228" t="str">
        <f ca="1">IF(B1908="*","",IF(B1908="SERVIÇO",S1908,OFFSET(O1908,-1,0)))</f>
        <v>Fechadura (c/ chave) + Dobradiça / Portas Internas</v>
      </c>
      <c r="P1908" s="232" t="str">
        <f>IF(S1908="","",IF(Orçamento!$B1908="INSUMO",S1908,""))</f>
        <v>Fechadura Padrão Obra (c/ chave)</v>
      </c>
      <c r="Q1908" s="244" t="str">
        <f>IF(B1908="","",IF(B1908="Serviço",S1908,""))</f>
        <v/>
      </c>
      <c r="R1908" s="234">
        <f ca="1">IF(B1908="serviço",U1908,OFFSET(R1908,-1,0))</f>
        <v>35</v>
      </c>
      <c r="S1908" s="233" t="s">
        <v>1063</v>
      </c>
      <c r="T1908" s="242" t="str">
        <f>_xlfn.XLOOKUP(S1908,Insumos!$A$3:$A$371,Insumos!$B$3:$B$371)</f>
        <v>UN</v>
      </c>
      <c r="U1908" s="235">
        <f ca="1">IF($B1908="insumo",R1908,"")</f>
        <v>35</v>
      </c>
      <c r="V1908" s="320">
        <v>1</v>
      </c>
      <c r="W1908" s="236">
        <f>IFERROR(IF(B1908="INSUMO",_xlfn.XLOOKUP(S1908,Insumos!A:A,Insumos!C:C),""),"Inserir Preço")</f>
        <v>85</v>
      </c>
      <c r="X1908" s="235">
        <f ca="1">IF(B1908="Complemento do insumo",V1908,IF(R1908="","",IF(B1908="serviço",R1908,IF(OR(B1908="insumo"),V1908*R1908,""))))</f>
        <v>35</v>
      </c>
      <c r="Y1908" s="236">
        <f t="shared" si="1567"/>
        <v>85</v>
      </c>
      <c r="Z1908" s="237">
        <f t="shared" ca="1" si="1551"/>
        <v>2975</v>
      </c>
      <c r="AA1908" s="238"/>
      <c r="AB1908" s="233" t="str">
        <f>IF(B1908="insumo",_xlfn.XLOOKUP(S1908,Insumos!A:A,Insumos!D:D),"")</f>
        <v>Base de Dados</v>
      </c>
      <c r="AC1908" s="239">
        <f t="shared" ca="1" si="1552"/>
        <v>4.2679087368345357E-4</v>
      </c>
      <c r="AE1908" s="240">
        <f ca="1">IFERROR(IF(OR(Z1908="",Z1908=0),"",IF(AF1908="","",IF(AF1908="R$/mês",Z1908/OBRA!$D$12,IF(AF1908="R$/m²",Z1908/OBRA!$D$10,IF(AF1908="R$/apto",Orçamento!Z1908/OBRA!$D$11,""))))),"")</f>
        <v>1.5309561914956027</v>
      </c>
      <c r="AF1908" s="241" t="s">
        <v>154</v>
      </c>
    </row>
    <row r="1909" spans="1:32" s="10" customFormat="1" ht="13.15" hidden="1" customHeight="1" outlineLevel="4" x14ac:dyDescent="0.2">
      <c r="A1909" s="227"/>
      <c r="B1909" s="228" t="s">
        <v>4</v>
      </c>
      <c r="C1909" s="229">
        <f t="shared" si="1550"/>
        <v>3</v>
      </c>
      <c r="D1909" s="227" t="str">
        <f t="shared" ca="1" si="1568"/>
        <v>17.003.003.006</v>
      </c>
      <c r="E1909" s="228" t="str">
        <f t="shared" ca="1" si="1569"/>
        <v>17.003.003.006</v>
      </c>
      <c r="F1909" s="230">
        <f ca="1">IF($B1909="UNIDADE CONSTRUTIVA",OFFSET(F1909,-1,0)+1,LARGE(F$10:F1908,1))</f>
        <v>2</v>
      </c>
      <c r="G1909" s="228" t="str">
        <f ca="1">IF(B1909="*","",IF(B1909="UNIDADE CONSTRUTIVA",S1909,OFFSET(G1909,-1,0)))</f>
        <v xml:space="preserve">   GERENCIAMENTO EXECUTIVO</v>
      </c>
      <c r="H1909" s="230">
        <f t="shared" ca="1" si="1570"/>
        <v>17</v>
      </c>
      <c r="I1909" s="228" t="str">
        <f ca="1">IF(B1909="*","",IF(B1909="CÉLULA CONSTRUTIVA",S1909,OFFSET(I1909,-1,0)))</f>
        <v xml:space="preserve">   ESQUADRIAS - VIDROS E FERRAGENS</v>
      </c>
      <c r="J1909" s="230">
        <f t="shared" ca="1" si="1571"/>
        <v>3</v>
      </c>
      <c r="K1909" s="228" t="str">
        <f ca="1">IF(B1909="*","",IF(B1909="ETAPA",S1909,OFFSET(K1909,-1,0)))</f>
        <v xml:space="preserve">   ESQUADRIAS - VIDROS E FERRAGENS - 3º  ao 7º PAVIMENTO - TIPO</v>
      </c>
      <c r="L1909" s="231">
        <f t="shared" ca="1" si="1572"/>
        <v>3</v>
      </c>
      <c r="M1909" s="228" t="str">
        <f ca="1">IF(B1909="*","",IF(B1909="SUBETAPA",S1909,OFFSET(M1909,-1,0)))</f>
        <v xml:space="preserve">   Esquadrias de Madeira</v>
      </c>
      <c r="N1909" s="231">
        <f t="shared" ca="1" si="1573"/>
        <v>6</v>
      </c>
      <c r="O1909" s="228" t="str">
        <f ca="1">IF(B1909="*","",IF(B1909="SERVIÇO",S1909,OFFSET(O1909,-1,0)))</f>
        <v>Corrimão de madeira</v>
      </c>
      <c r="P1909" s="232" t="str">
        <f>IF(S1909="","",IF(Orçamento!$B1909="INSUMO",S1909,""))</f>
        <v/>
      </c>
      <c r="Q1909" s="244" t="str">
        <f>IF(B1909="","",IF(B1909="Serviço",S1909,""))</f>
        <v>Corrimão de madeira</v>
      </c>
      <c r="R1909" s="234">
        <f ca="1">IF(B1909="serviço",U1909,OFFSET(R1909,-1,0))</f>
        <v>18.2</v>
      </c>
      <c r="S1909" s="233" t="s">
        <v>1188</v>
      </c>
      <c r="T1909" s="242" t="s">
        <v>158</v>
      </c>
      <c r="U1909" s="235">
        <f>'Levantamento Adcional '!$H$5</f>
        <v>18.2</v>
      </c>
      <c r="V1909" s="320" t="s">
        <v>35</v>
      </c>
      <c r="W1909" s="236" t="str">
        <f>IFERROR(IF(B1909="INSUMO",_xlfn.XLOOKUP(S1909,Insumos!A:A,Insumos!C:C),""),"Inserir Preço")</f>
        <v/>
      </c>
      <c r="X1909" s="235">
        <f ca="1">IF(B1909="Complemento do insumo",V1909,IF(R1909="","",IF(B1909="serviço",R1909,IF(OR(B1909="insumo"),V1909*R1909,""))))</f>
        <v>18.2</v>
      </c>
      <c r="Y1909" s="236">
        <f t="shared" ca="1" si="1567"/>
        <v>60</v>
      </c>
      <c r="Z1909" s="237">
        <f t="shared" ca="1" si="1551"/>
        <v>1092</v>
      </c>
      <c r="AA1909" s="238"/>
      <c r="AB1909" s="233" t="str">
        <f>IF(B1909="insumo",_xlfn.XLOOKUP(S1909,Insumos!A:A,Insumos!D:D),"")</f>
        <v/>
      </c>
      <c r="AC1909" s="239">
        <f t="shared" ca="1" si="1552"/>
        <v>1.5665735598733826E-4</v>
      </c>
      <c r="AE1909" s="240">
        <f ca="1">IFERROR(IF(OR(Z1909="",Z1909=0),"",IF(AF1909="","",IF(AF1909="R$/mês",Z1909/OBRA!$D$12,IF(AF1909="R$/m²",Z1909/OBRA!$D$10,IF(AF1909="R$/apto",Orçamento!Z1909/OBRA!$D$11,""))))),"")</f>
        <v>0.56195097852544473</v>
      </c>
      <c r="AF1909" s="241" t="s">
        <v>154</v>
      </c>
    </row>
    <row r="1910" spans="1:32" s="10" customFormat="1" ht="13.15" hidden="1" customHeight="1" outlineLevel="4" x14ac:dyDescent="0.2">
      <c r="A1910" s="227"/>
      <c r="B1910" s="228" t="s">
        <v>19</v>
      </c>
      <c r="C1910" s="229">
        <f t="shared" si="1550"/>
        <v>3</v>
      </c>
      <c r="D1910" s="227" t="str">
        <f t="shared" si="1568"/>
        <v/>
      </c>
      <c r="E1910" s="228" t="str">
        <f t="shared" ca="1" si="1569"/>
        <v>17.003.003.006</v>
      </c>
      <c r="F1910" s="230">
        <f ca="1">IF($B1910="UNIDADE CONSTRUTIVA",OFFSET(F1910,-1,0)+1,LARGE(F$10:F1909,1))</f>
        <v>2</v>
      </c>
      <c r="G1910" s="228" t="str">
        <f ca="1">IF(B1910="*","",IF(B1910="UNIDADE CONSTRUTIVA",S1910,OFFSET(G1910,-1,0)))</f>
        <v xml:space="preserve">   GERENCIAMENTO EXECUTIVO</v>
      </c>
      <c r="H1910" s="230">
        <f t="shared" ca="1" si="1570"/>
        <v>17</v>
      </c>
      <c r="I1910" s="228" t="str">
        <f ca="1">IF(B1910="*","",IF(B1910="CÉLULA CONSTRUTIVA",S1910,OFFSET(I1910,-1,0)))</f>
        <v xml:space="preserve">   ESQUADRIAS - VIDROS E FERRAGENS</v>
      </c>
      <c r="J1910" s="230">
        <f t="shared" ca="1" si="1571"/>
        <v>3</v>
      </c>
      <c r="K1910" s="228" t="str">
        <f ca="1">IF(B1910="*","",IF(B1910="ETAPA",S1910,OFFSET(K1910,-1,0)))</f>
        <v xml:space="preserve">   ESQUADRIAS - VIDROS E FERRAGENS - 3º  ao 7º PAVIMENTO - TIPO</v>
      </c>
      <c r="L1910" s="231">
        <f t="shared" ca="1" si="1572"/>
        <v>3</v>
      </c>
      <c r="M1910" s="228" t="str">
        <f ca="1">IF(B1910="*","",IF(B1910="SUBETAPA",S1910,OFFSET(M1910,-1,0)))</f>
        <v xml:space="preserve">   Esquadrias de Madeira</v>
      </c>
      <c r="N1910" s="231">
        <f t="shared" ca="1" si="1573"/>
        <v>6</v>
      </c>
      <c r="O1910" s="228" t="str">
        <f ca="1">IF(B1910="*","",IF(B1910="SERVIÇO",S1910,OFFSET(O1910,-1,0)))</f>
        <v>Corrimão de madeira</v>
      </c>
      <c r="P1910" s="232" t="str">
        <f>IF(S1910="","",IF(Orçamento!$B1910="INSUMO",S1910,""))</f>
        <v>Corrimao parede de madeira</v>
      </c>
      <c r="Q1910" s="244" t="str">
        <f>IF(B1910="","",IF(B1910="Serviço",S1910,""))</f>
        <v/>
      </c>
      <c r="R1910" s="234">
        <f ca="1">IF(B1910="serviço",U1910,OFFSET(R1910,-1,0))</f>
        <v>18.2</v>
      </c>
      <c r="S1910" s="233" t="s">
        <v>1189</v>
      </c>
      <c r="T1910" s="242" t="str">
        <f>_xlfn.XLOOKUP(S1910,Insumos!$A$3:$A$371,Insumos!$B$3:$B$371)</f>
        <v>M</v>
      </c>
      <c r="U1910" s="235">
        <f ca="1">IF($B1910="insumo",R1910,"")</f>
        <v>18.2</v>
      </c>
      <c r="V1910" s="320">
        <v>1</v>
      </c>
      <c r="W1910" s="236">
        <f>IFERROR(IF(B1910="INSUMO",_xlfn.XLOOKUP(S1910,Insumos!A:A,Insumos!C:C),""),"Inserir Preço")</f>
        <v>60</v>
      </c>
      <c r="X1910" s="235">
        <f ca="1">IF(B1910="Complemento do insumo",V1910,IF(R1910="","",IF(B1910="serviço",R1910,IF(OR(B1910="insumo"),V1910*R1910,""))))</f>
        <v>18.2</v>
      </c>
      <c r="Y1910" s="236">
        <f t="shared" si="1567"/>
        <v>60</v>
      </c>
      <c r="Z1910" s="237">
        <f t="shared" ca="1" si="1551"/>
        <v>1092</v>
      </c>
      <c r="AA1910" s="238"/>
      <c r="AB1910" s="233" t="str">
        <f>IF(B1910="insumo",_xlfn.XLOOKUP(S1910,Insumos!A:A,Insumos!D:D),"")</f>
        <v>Base de Dados</v>
      </c>
      <c r="AC1910" s="239">
        <f t="shared" ca="1" si="1552"/>
        <v>1.5665735598733826E-4</v>
      </c>
      <c r="AE1910" s="240">
        <f ca="1">IFERROR(IF(OR(Z1910="",Z1910=0),"",IF(AF1910="","",IF(AF1910="R$/mês",Z1910/OBRA!$D$12,IF(AF1910="R$/m²",Z1910/OBRA!$D$10,IF(AF1910="R$/apto",Orçamento!Z1910/OBRA!$D$11,""))))),"")</f>
        <v>0.56195097852544473</v>
      </c>
      <c r="AF1910" s="241" t="s">
        <v>154</v>
      </c>
    </row>
    <row r="1911" spans="1:32" s="10" customFormat="1" ht="13.15" hidden="1" customHeight="1" outlineLevel="3" collapsed="1" x14ac:dyDescent="0.2">
      <c r="A1911" s="227"/>
      <c r="B1911" s="228" t="s">
        <v>3</v>
      </c>
      <c r="C1911" s="229" t="str">
        <f t="shared" si="1550"/>
        <v/>
      </c>
      <c r="D1911" s="227" t="str">
        <f t="shared" ca="1" si="1568"/>
        <v>17.003.004</v>
      </c>
      <c r="E1911" s="228" t="str">
        <f t="shared" ca="1" si="1569"/>
        <v>17.003.003.006</v>
      </c>
      <c r="F1911" s="230">
        <f ca="1">IF($B1911="UNIDADE CONSTRUTIVA",OFFSET(F1911,-1,0)+1,LARGE(F$10:F1910,1))</f>
        <v>2</v>
      </c>
      <c r="G1911" s="228" t="str">
        <f t="shared" ca="1" si="1559"/>
        <v xml:space="preserve">   GERENCIAMENTO EXECUTIVO</v>
      </c>
      <c r="H1911" s="230">
        <f t="shared" ca="1" si="1570"/>
        <v>17</v>
      </c>
      <c r="I1911" s="228" t="str">
        <f t="shared" ca="1" si="1560"/>
        <v xml:space="preserve">   ESQUADRIAS - VIDROS E FERRAGENS</v>
      </c>
      <c r="J1911" s="230">
        <f t="shared" ca="1" si="1571"/>
        <v>3</v>
      </c>
      <c r="K1911" s="228" t="str">
        <f t="shared" ca="1" si="1561"/>
        <v xml:space="preserve">   ESQUADRIAS - VIDROS E FERRAGENS - 3º  ao 7º PAVIMENTO - TIPO</v>
      </c>
      <c r="L1911" s="231">
        <f t="shared" ca="1" si="1572"/>
        <v>4</v>
      </c>
      <c r="M1911" s="228" t="str">
        <f t="shared" ca="1" si="1562"/>
        <v xml:space="preserve">   Mão de Obra</v>
      </c>
      <c r="N1911" s="231">
        <f t="shared" ca="1" si="1573"/>
        <v>0</v>
      </c>
      <c r="O1911" s="228" t="str">
        <f t="shared" ca="1" si="1563"/>
        <v>Corrimão de madeira</v>
      </c>
      <c r="P1911" s="232" t="str">
        <f>IF(S1911="","",IF(Orçamento!$B1911="INSUMO",S1911,""))</f>
        <v/>
      </c>
      <c r="Q1911" s="244" t="str">
        <f t="shared" si="1564"/>
        <v/>
      </c>
      <c r="R1911" s="234">
        <f t="shared" ca="1" si="1565"/>
        <v>18.2</v>
      </c>
      <c r="S1911" s="233" t="s">
        <v>438</v>
      </c>
      <c r="T1911" s="242" t="s">
        <v>35</v>
      </c>
      <c r="U1911" s="235" t="str">
        <f>IF($B1911="insumo",R1911,"")</f>
        <v/>
      </c>
      <c r="V1911" s="320" t="s">
        <v>35</v>
      </c>
      <c r="W1911" s="236" t="str">
        <f>IFERROR(IF(B1911="INSUMO",_xlfn.XLOOKUP(S1911,Insumos!A:A,Insumos!C:C),""),"Inserir Preço")</f>
        <v/>
      </c>
      <c r="X1911" s="235" t="str">
        <f t="shared" ca="1" si="1566"/>
        <v/>
      </c>
      <c r="Y1911" s="236" t="str">
        <f t="shared" si="1567"/>
        <v/>
      </c>
      <c r="Z1911" s="237">
        <f t="shared" ca="1" si="1551"/>
        <v>9100</v>
      </c>
      <c r="AA1911" s="238"/>
      <c r="AB1911" s="233" t="str">
        <f>IF(B1911="insumo",_xlfn.XLOOKUP(S1911,Insumos!A:A,Insumos!D:D),"")</f>
        <v/>
      </c>
      <c r="AC1911" s="239">
        <f t="shared" ca="1" si="1552"/>
        <v>1.3054779665611521E-3</v>
      </c>
      <c r="AE1911" s="240">
        <f ca="1">IFERROR(IF(OR(Z1911="",Z1911=0),"",IF(AF1911="","",IF(AF1911="R$/mês",Z1911/OBRA!$D$12,IF(AF1911="R$/m²",Z1911/OBRA!$D$10,IF(AF1911="R$/apto",Orçamento!Z1911/OBRA!$D$11,""))))),"")</f>
        <v>4.6829248210453729</v>
      </c>
      <c r="AF1911" s="241" t="s">
        <v>154</v>
      </c>
    </row>
    <row r="1912" spans="1:32" s="10" customFormat="1" ht="13.15" hidden="1" customHeight="1" outlineLevel="4" x14ac:dyDescent="0.2">
      <c r="A1912" s="227"/>
      <c r="B1912" s="228" t="s">
        <v>4</v>
      </c>
      <c r="C1912" s="229">
        <f t="shared" si="1550"/>
        <v>3</v>
      </c>
      <c r="D1912" s="227" t="str">
        <f t="shared" ca="1" si="1568"/>
        <v>17.003.004.001</v>
      </c>
      <c r="E1912" s="228" t="str">
        <f t="shared" ca="1" si="1569"/>
        <v>17.003.004.001</v>
      </c>
      <c r="F1912" s="230">
        <f ca="1">IF($B1912="UNIDADE CONSTRUTIVA",OFFSET(F1912,-1,0)+1,LARGE(F$10:F1911,1))</f>
        <v>2</v>
      </c>
      <c r="G1912" s="228" t="str">
        <f t="shared" ca="1" si="1559"/>
        <v xml:space="preserve">   GERENCIAMENTO EXECUTIVO</v>
      </c>
      <c r="H1912" s="230">
        <f t="shared" ca="1" si="1570"/>
        <v>17</v>
      </c>
      <c r="I1912" s="228" t="str">
        <f t="shared" ca="1" si="1560"/>
        <v xml:space="preserve">   ESQUADRIAS - VIDROS E FERRAGENS</v>
      </c>
      <c r="J1912" s="230">
        <f t="shared" ca="1" si="1571"/>
        <v>3</v>
      </c>
      <c r="K1912" s="228" t="str">
        <f t="shared" ca="1" si="1561"/>
        <v xml:space="preserve">   ESQUADRIAS - VIDROS E FERRAGENS - 3º  ao 7º PAVIMENTO - TIPO</v>
      </c>
      <c r="L1912" s="231">
        <f t="shared" ca="1" si="1572"/>
        <v>4</v>
      </c>
      <c r="M1912" s="228" t="str">
        <f t="shared" ca="1" si="1562"/>
        <v xml:space="preserve">   Mão de Obra</v>
      </c>
      <c r="N1912" s="231">
        <f t="shared" ca="1" si="1573"/>
        <v>1</v>
      </c>
      <c r="O1912" s="228" t="str">
        <f t="shared" ca="1" si="1563"/>
        <v>Mao de obra para instalação de portas de madeira</v>
      </c>
      <c r="P1912" s="232" t="str">
        <f>IF(S1912="","",IF(Orçamento!$B1912="INSUMO",S1912,""))</f>
        <v/>
      </c>
      <c r="Q1912" s="244" t="str">
        <f t="shared" si="1564"/>
        <v>Mao de obra para instalação de portas de madeira</v>
      </c>
      <c r="R1912" s="234">
        <f t="shared" ca="1" si="1565"/>
        <v>70</v>
      </c>
      <c r="S1912" s="233" t="s">
        <v>510</v>
      </c>
      <c r="T1912" s="242" t="s">
        <v>142</v>
      </c>
      <c r="U1912" s="235">
        <f>U1900+U1897+U1894</f>
        <v>70</v>
      </c>
      <c r="V1912" s="320" t="s">
        <v>35</v>
      </c>
      <c r="W1912" s="236" t="str">
        <f>IFERROR(IF(B1912="INSUMO",_xlfn.XLOOKUP(S1912,Insumos!A:A,Insumos!C:C),""),"Inserir Preço")</f>
        <v/>
      </c>
      <c r="X1912" s="235">
        <f t="shared" ca="1" si="1566"/>
        <v>70</v>
      </c>
      <c r="Y1912" s="236">
        <f t="shared" ca="1" si="1567"/>
        <v>130</v>
      </c>
      <c r="Z1912" s="237">
        <f t="shared" ca="1" si="1551"/>
        <v>9100</v>
      </c>
      <c r="AA1912" s="238"/>
      <c r="AB1912" s="233" t="str">
        <f>IF(B1912="insumo",_xlfn.XLOOKUP(S1912,Insumos!A:A,Insumos!D:D),"")</f>
        <v/>
      </c>
      <c r="AC1912" s="239">
        <f t="shared" ca="1" si="1552"/>
        <v>1.3054779665611521E-3</v>
      </c>
      <c r="AE1912" s="240">
        <f ca="1">IFERROR(IF(OR(Z1912="",Z1912=0),"",IF(AF1912="","",IF(AF1912="R$/mês",Z1912/OBRA!$D$12,IF(AF1912="R$/m²",Z1912/OBRA!$D$10,IF(AF1912="R$/apto",Orçamento!Z1912/OBRA!$D$11,""))))),"")</f>
        <v>4.6829248210453729</v>
      </c>
      <c r="AF1912" s="241" t="s">
        <v>154</v>
      </c>
    </row>
    <row r="1913" spans="1:32" s="10" customFormat="1" ht="13.15" hidden="1" customHeight="1" outlineLevel="4" x14ac:dyDescent="0.2">
      <c r="A1913" s="227"/>
      <c r="B1913" s="228" t="s">
        <v>19</v>
      </c>
      <c r="C1913" s="229">
        <f t="shared" si="1550"/>
        <v>3</v>
      </c>
      <c r="D1913" s="227" t="str">
        <f t="shared" si="1568"/>
        <v/>
      </c>
      <c r="E1913" s="228" t="str">
        <f t="shared" ca="1" si="1569"/>
        <v>17.003.004.001</v>
      </c>
      <c r="F1913" s="230">
        <f ca="1">IF($B1913="UNIDADE CONSTRUTIVA",OFFSET(F1913,-1,0)+1,LARGE(F$10:F1912,1))</f>
        <v>2</v>
      </c>
      <c r="G1913" s="228" t="str">
        <f t="shared" ca="1" si="1559"/>
        <v xml:space="preserve">   GERENCIAMENTO EXECUTIVO</v>
      </c>
      <c r="H1913" s="230">
        <f t="shared" ca="1" si="1570"/>
        <v>17</v>
      </c>
      <c r="I1913" s="228" t="str">
        <f t="shared" ca="1" si="1560"/>
        <v xml:space="preserve">   ESQUADRIAS - VIDROS E FERRAGENS</v>
      </c>
      <c r="J1913" s="230">
        <f t="shared" ca="1" si="1571"/>
        <v>3</v>
      </c>
      <c r="K1913" s="228" t="str">
        <f t="shared" ca="1" si="1561"/>
        <v xml:space="preserve">   ESQUADRIAS - VIDROS E FERRAGENS - 3º  ao 7º PAVIMENTO - TIPO</v>
      </c>
      <c r="L1913" s="231">
        <f t="shared" ca="1" si="1572"/>
        <v>4</v>
      </c>
      <c r="M1913" s="228" t="str">
        <f t="shared" ca="1" si="1562"/>
        <v xml:space="preserve">   Mão de Obra</v>
      </c>
      <c r="N1913" s="231">
        <f t="shared" ca="1" si="1573"/>
        <v>1</v>
      </c>
      <c r="O1913" s="228" t="str">
        <f t="shared" ca="1" si="1563"/>
        <v>Mao de obra para instalação de portas de madeira</v>
      </c>
      <c r="P1913" s="232" t="str">
        <f>IF(S1913="","",IF(Orçamento!$B1913="INSUMO",S1913,""))</f>
        <v>M.O. INSTALAÇÃO DE PORTAS DE MADEIRA</v>
      </c>
      <c r="Q1913" s="244" t="str">
        <f t="shared" si="1564"/>
        <v/>
      </c>
      <c r="R1913" s="234">
        <f t="shared" ca="1" si="1565"/>
        <v>70</v>
      </c>
      <c r="S1913" s="233" t="s">
        <v>316</v>
      </c>
      <c r="T1913" s="242" t="str">
        <f>_xlfn.XLOOKUP(S1913,Insumos!$A$3:$A$371,Insumos!$B$3:$B$371)</f>
        <v>UN</v>
      </c>
      <c r="U1913" s="235">
        <f ca="1">IF($B1913="insumo",R1913,"")</f>
        <v>70</v>
      </c>
      <c r="V1913" s="320">
        <v>1</v>
      </c>
      <c r="W1913" s="236">
        <f>IFERROR(IF(B1913="INSUMO",_xlfn.XLOOKUP(S1913,Insumos!A:A,Insumos!C:C),""),"Inserir Preço")</f>
        <v>130</v>
      </c>
      <c r="X1913" s="235">
        <f t="shared" ca="1" si="1566"/>
        <v>70</v>
      </c>
      <c r="Y1913" s="236">
        <f t="shared" si="1567"/>
        <v>130</v>
      </c>
      <c r="Z1913" s="237">
        <f t="shared" ca="1" si="1551"/>
        <v>9100</v>
      </c>
      <c r="AA1913" s="238"/>
      <c r="AB1913" s="233" t="str">
        <f>IF(B1913="insumo",_xlfn.XLOOKUP(S1913,Insumos!A:A,Insumos!D:D),"")</f>
        <v>Base de dados</v>
      </c>
      <c r="AC1913" s="239">
        <f t="shared" ca="1" si="1552"/>
        <v>1.3054779665611521E-3</v>
      </c>
      <c r="AE1913" s="240">
        <f ca="1">IFERROR(IF(OR(Z1913="",Z1913=0),"",IF(AF1913="","",IF(AF1913="R$/mês",Z1913/OBRA!$D$12,IF(AF1913="R$/m²",Z1913/OBRA!$D$10,IF(AF1913="R$/apto",Orçamento!Z1913/OBRA!$D$11,""))))),"")</f>
        <v>4.6829248210453729</v>
      </c>
      <c r="AF1913" s="241" t="s">
        <v>154</v>
      </c>
    </row>
    <row r="1914" spans="1:32" s="10" customFormat="1" ht="13.15" customHeight="1" outlineLevel="2" collapsed="1" x14ac:dyDescent="0.2">
      <c r="A1914" s="227"/>
      <c r="B1914" s="228" t="s">
        <v>2</v>
      </c>
      <c r="C1914" s="229" t="str">
        <f t="shared" si="1550"/>
        <v/>
      </c>
      <c r="D1914" s="227" t="str">
        <f t="shared" ca="1" si="1553"/>
        <v>17.004</v>
      </c>
      <c r="E1914" s="228" t="str">
        <f t="shared" ca="1" si="1554"/>
        <v>17.003.004.001</v>
      </c>
      <c r="F1914" s="230">
        <f ca="1">IF($B1914="UNIDADE CONSTRUTIVA",OFFSET(F1914,-1,0)+1,LARGE(F$10:F1913,1))</f>
        <v>2</v>
      </c>
      <c r="G1914" s="228" t="str">
        <f t="shared" ref="G1914:G1919" ca="1" si="1574">IF(B1914="*","",IF(B1914="UNIDADE CONSTRUTIVA",S1914,OFFSET(G1914,-1,0)))</f>
        <v xml:space="preserve">   GERENCIAMENTO EXECUTIVO</v>
      </c>
      <c r="H1914" s="230">
        <f t="shared" ca="1" si="1555"/>
        <v>17</v>
      </c>
      <c r="I1914" s="228" t="str">
        <f t="shared" ref="I1914:I1919" ca="1" si="1575">IF(B1914="*","",IF(B1914="CÉLULA CONSTRUTIVA",S1914,OFFSET(I1914,-1,0)))</f>
        <v xml:space="preserve">   ESQUADRIAS - VIDROS E FERRAGENS</v>
      </c>
      <c r="J1914" s="230">
        <f t="shared" ca="1" si="1556"/>
        <v>4</v>
      </c>
      <c r="K1914" s="228" t="str">
        <f t="shared" ref="K1914:K1919" ca="1" si="1576">IF(B1914="*","",IF(B1914="ETAPA",S1914,OFFSET(K1914,-1,0)))</f>
        <v xml:space="preserve">   ESQUADRIAS - VIDROS E FERRAGENS - 8º PAVIMENTO - COBERTURA</v>
      </c>
      <c r="L1914" s="231">
        <f t="shared" ca="1" si="1557"/>
        <v>0</v>
      </c>
      <c r="M1914" s="228" t="str">
        <f t="shared" ref="M1914:M1919" ca="1" si="1577">IF(B1914="*","",IF(B1914="SUBETAPA",S1914,OFFSET(M1914,-1,0)))</f>
        <v xml:space="preserve">   Mão de Obra</v>
      </c>
      <c r="N1914" s="231">
        <f t="shared" ca="1" si="1558"/>
        <v>1</v>
      </c>
      <c r="O1914" s="228" t="str">
        <f t="shared" ref="O1914:O1919" ca="1" si="1578">IF(B1914="*","",IF(B1914="SERVIÇO",S1914,OFFSET(O1914,-1,0)))</f>
        <v>Mao de obra para instalação de portas de madeira</v>
      </c>
      <c r="P1914" s="232" t="str">
        <f>IF(S1914="","",IF(Orçamento!$B1914="INSUMO",S1914,""))</f>
        <v/>
      </c>
      <c r="Q1914" s="244" t="str">
        <f t="shared" ref="Q1914:Q1919" si="1579">IF(B1914="","",IF(B1914="Serviço",S1914,""))</f>
        <v/>
      </c>
      <c r="R1914" s="234">
        <f t="shared" ref="R1914:R1919" ca="1" si="1580">IF(B1914="serviço",U1914,OFFSET(R1914,-1,0))</f>
        <v>70</v>
      </c>
      <c r="S1914" s="233" t="s">
        <v>638</v>
      </c>
      <c r="T1914" s="242" t="s">
        <v>35</v>
      </c>
      <c r="U1914" s="235" t="str">
        <f>IF($B1914="insumo",R1914,"")</f>
        <v/>
      </c>
      <c r="V1914" s="320" t="s">
        <v>35</v>
      </c>
      <c r="W1914" s="236" t="str">
        <f>IFERROR(IF(B1914="INSUMO",_xlfn.XLOOKUP(S1914,Insumos!A:A,Insumos!C:C),""),"Inserir Preço")</f>
        <v/>
      </c>
      <c r="X1914" s="235" t="str">
        <f t="shared" ref="X1914:X1919" ca="1" si="1581">IF(B1914="Complemento do insumo",V1914,IF(R1914="","",IF(B1914="serviço",R1914,IF(OR(B1914="insumo"),V1914*R1914,""))))</f>
        <v/>
      </c>
      <c r="Y1914" s="236" t="str">
        <f t="shared" si="1567"/>
        <v/>
      </c>
      <c r="Z1914" s="237">
        <f t="shared" ca="1" si="1551"/>
        <v>74857.172534782541</v>
      </c>
      <c r="AA1914" s="238"/>
      <c r="AB1914" s="233" t="str">
        <f>IF(B1914="insumo",_xlfn.XLOOKUP(S1914,Insumos!A:A,Insumos!D:D),"")</f>
        <v/>
      </c>
      <c r="AC1914" s="239">
        <f t="shared" ca="1" si="1552"/>
        <v>1.073894388826651E-2</v>
      </c>
      <c r="AE1914" s="240">
        <f ca="1">IFERROR(IF(OR(Z1914="",Z1914=0),"",IF(AF1914="","",IF(AF1914="R$/mês",Z1914/OBRA!$D$12,IF(AF1914="R$/m²",Z1914/OBRA!$D$10,IF(AF1914="R$/apto",Orçamento!Z1914/OBRA!$D$11,""))))),"")</f>
        <v>38.522034208396605</v>
      </c>
      <c r="AF1914" s="241" t="s">
        <v>154</v>
      </c>
    </row>
    <row r="1915" spans="1:32" s="10" customFormat="1" ht="13.15" hidden="1" customHeight="1" outlineLevel="3" collapsed="1" x14ac:dyDescent="0.2">
      <c r="A1915" s="227"/>
      <c r="B1915" s="228" t="s">
        <v>3</v>
      </c>
      <c r="C1915" s="229" t="str">
        <f t="shared" si="1550"/>
        <v/>
      </c>
      <c r="D1915" s="227" t="str">
        <f t="shared" ref="D1915:D1941" ca="1" si="1582">IF(B1915="Unidade Construtiva",TEXT(F1915,"00"),IF(B1915="Célula Construtiva",TEXT(H1915,"00"),IF(B1915="Etapa",CONCATENATE(TEXT(H1915,"00"),".",TEXT(J1915,"000")),IF(B1915="Subetapa",CONCATENATE(TEXT(H1915,"00"),".",TEXT(J1915,"000"),".",TEXT(L1915,"000")),IF(B1915="Serviço",CONCATENATE(TEXT(H1915,"00"),".",TEXT(J1915,"000"),".",TEXT(L1915,"000"),".",TEXT(N1915,"000")),"")))))</f>
        <v>17.004.001</v>
      </c>
      <c r="E1915" s="228" t="str">
        <f t="shared" ref="E1915:E1941" ca="1" si="1583">IF(B1915="*","",IFERROR(IF(B1915="SERVIÇO",D1915,OFFSET(E1915,-1,0)),""))</f>
        <v>17.003.004.001</v>
      </c>
      <c r="F1915" s="230">
        <f ca="1">IF($B1915="UNIDADE CONSTRUTIVA",OFFSET(F1915,-1,0)+1,LARGE(F$10:F1914,1))</f>
        <v>2</v>
      </c>
      <c r="G1915" s="228" t="str">
        <f t="shared" ca="1" si="1574"/>
        <v xml:space="preserve">   GERENCIAMENTO EXECUTIVO</v>
      </c>
      <c r="H1915" s="230">
        <f t="shared" ref="H1915:H1941" ca="1" si="1584">IF(B1915="UNIDADE CONSTRUTIVA",0,IF(B1915="CÉLULA CONSTRUTIVA",OFFSET(H1915,-1,0)+1,OFFSET(H1915,-1,0)))</f>
        <v>17</v>
      </c>
      <c r="I1915" s="228" t="str">
        <f t="shared" ca="1" si="1575"/>
        <v xml:space="preserve">   ESQUADRIAS - VIDROS E FERRAGENS</v>
      </c>
      <c r="J1915" s="230">
        <f t="shared" ref="J1915:J1941" ca="1" si="1585">IF(B1915="CÉLULA CONSTRUTIVA",0,IF(B1915="ETAPA",OFFSET(J1915,-1,0)+1,OFFSET(J1915,-1,0)))</f>
        <v>4</v>
      </c>
      <c r="K1915" s="228" t="str">
        <f t="shared" ca="1" si="1576"/>
        <v xml:space="preserve">   ESQUADRIAS - VIDROS E FERRAGENS - 8º PAVIMENTO - COBERTURA</v>
      </c>
      <c r="L1915" s="231">
        <f t="shared" ref="L1915:L1941" ca="1" si="1586">IF(B1915="ETAPA",0,IF(B1915="SUBETAPA",OFFSET(L1915,-1,0)+1,OFFSET(L1915,-1,0)))</f>
        <v>1</v>
      </c>
      <c r="M1915" s="228" t="str">
        <f t="shared" ca="1" si="1577"/>
        <v xml:space="preserve">   Esquadrias Alumínio</v>
      </c>
      <c r="N1915" s="231">
        <f t="shared" ref="N1915:N1941" ca="1" si="1587">IF(B1915="Subetapa",0,IF(B1915="serviço",OFFSET(N1915,-1,0)+1,OFFSET(N1915,-1,0)))</f>
        <v>0</v>
      </c>
      <c r="O1915" s="228" t="str">
        <f t="shared" ca="1" si="1578"/>
        <v>Mao de obra para instalação de portas de madeira</v>
      </c>
      <c r="P1915" s="232" t="str">
        <f>IF(S1915="","",IF(Orçamento!$B1915="INSUMO",S1915,""))</f>
        <v/>
      </c>
      <c r="Q1915" s="244" t="str">
        <f t="shared" si="1579"/>
        <v/>
      </c>
      <c r="R1915" s="234">
        <f t="shared" ca="1" si="1580"/>
        <v>70</v>
      </c>
      <c r="S1915" s="233" t="s">
        <v>635</v>
      </c>
      <c r="T1915" s="242" t="s">
        <v>35</v>
      </c>
      <c r="U1915" s="235" t="str">
        <f>IF($B1915="insumo",R1915,"")</f>
        <v/>
      </c>
      <c r="V1915" s="320" t="s">
        <v>35</v>
      </c>
      <c r="W1915" s="236" t="str">
        <f>IFERROR(IF(B1915="INSUMO",_xlfn.XLOOKUP(S1915,Insumos!A:A,Insumos!C:C),""),"Inserir Preço")</f>
        <v/>
      </c>
      <c r="X1915" s="235" t="str">
        <f t="shared" ca="1" si="1581"/>
        <v/>
      </c>
      <c r="Y1915" s="236" t="str">
        <f t="shared" si="1567"/>
        <v/>
      </c>
      <c r="Z1915" s="237">
        <f t="shared" ca="1" si="1551"/>
        <v>64474.490514782563</v>
      </c>
      <c r="AA1915" s="238"/>
      <c r="AB1915" s="233" t="str">
        <f>IF(B1915="insumo",_xlfn.XLOOKUP(S1915,Insumos!A:A,Insumos!D:D),"")</f>
        <v/>
      </c>
      <c r="AC1915" s="239">
        <f t="shared" ca="1" si="1552"/>
        <v>9.2494534914620476E-3</v>
      </c>
      <c r="AE1915" s="240">
        <f ca="1">IFERROR(IF(OR(Z1915="",Z1915=0),"",IF(AF1915="","",IF(AF1915="R$/mês",Z1915/OBRA!$D$12,IF(AF1915="R$/m²",Z1915/OBRA!$D$10,IF(AF1915="R$/apto",Orçamento!Z1915/OBRA!$D$11,""))))),"")</f>
        <v>33.179032083069202</v>
      </c>
      <c r="AF1915" s="241" t="s">
        <v>154</v>
      </c>
    </row>
    <row r="1916" spans="1:32" s="10" customFormat="1" ht="13.15" hidden="1" customHeight="1" outlineLevel="4" x14ac:dyDescent="0.2">
      <c r="A1916" s="227"/>
      <c r="B1916" s="228" t="s">
        <v>4</v>
      </c>
      <c r="C1916" s="229">
        <f t="shared" si="1550"/>
        <v>5</v>
      </c>
      <c r="D1916" s="227" t="str">
        <f t="shared" ca="1" si="1582"/>
        <v>17.004.001.001</v>
      </c>
      <c r="E1916" s="228" t="str">
        <f t="shared" ca="1" si="1583"/>
        <v>17.004.001.001</v>
      </c>
      <c r="F1916" s="230">
        <f ca="1">IF($B1916="UNIDADE CONSTRUTIVA",OFFSET(F1916,-1,0)+1,LARGE(F$10:F1915,1))</f>
        <v>2</v>
      </c>
      <c r="G1916" s="228" t="str">
        <f t="shared" ca="1" si="1574"/>
        <v xml:space="preserve">   GERENCIAMENTO EXECUTIVO</v>
      </c>
      <c r="H1916" s="230">
        <f t="shared" ca="1" si="1584"/>
        <v>17</v>
      </c>
      <c r="I1916" s="228" t="str">
        <f t="shared" ca="1" si="1575"/>
        <v xml:space="preserve">   ESQUADRIAS - VIDROS E FERRAGENS</v>
      </c>
      <c r="J1916" s="230">
        <f t="shared" ca="1" si="1585"/>
        <v>4</v>
      </c>
      <c r="K1916" s="228" t="str">
        <f t="shared" ca="1" si="1576"/>
        <v xml:space="preserve">   ESQUADRIAS - VIDROS E FERRAGENS - 8º PAVIMENTO - COBERTURA</v>
      </c>
      <c r="L1916" s="231">
        <f t="shared" ca="1" si="1586"/>
        <v>1</v>
      </c>
      <c r="M1916" s="228" t="str">
        <f t="shared" ca="1" si="1577"/>
        <v xml:space="preserve">   Esquadrias Alumínio</v>
      </c>
      <c r="N1916" s="231">
        <f t="shared" ca="1" si="1587"/>
        <v>1</v>
      </c>
      <c r="O1916" s="228" t="str">
        <f t="shared" ca="1" si="1578"/>
        <v>Fixacao de de contramarcos com argamassa</v>
      </c>
      <c r="P1916" s="232" t="str">
        <f>IF(S1916="","",IF(Orçamento!$B1916="INSUMO",S1916,""))</f>
        <v/>
      </c>
      <c r="Q1916" s="244" t="str">
        <f t="shared" si="1579"/>
        <v>Fixacao de de contramarcos com argamassa</v>
      </c>
      <c r="R1916" s="234">
        <f t="shared" ca="1" si="1580"/>
        <v>22.98</v>
      </c>
      <c r="S1916" s="233" t="s">
        <v>503</v>
      </c>
      <c r="T1916" s="242" t="s">
        <v>158</v>
      </c>
      <c r="U1916" s="235">
        <v>22.98</v>
      </c>
      <c r="V1916" s="320" t="s">
        <v>35</v>
      </c>
      <c r="W1916" s="236" t="str">
        <f>IFERROR(IF(B1916="INSUMO",_xlfn.XLOOKUP(S1916,Insumos!A:A,Insumos!C:C),""),"Inserir Preço")</f>
        <v/>
      </c>
      <c r="X1916" s="235">
        <f t="shared" ca="1" si="1581"/>
        <v>22.98</v>
      </c>
      <c r="Y1916" s="236">
        <f t="shared" ca="1" si="1567"/>
        <v>0.85</v>
      </c>
      <c r="Z1916" s="237">
        <f t="shared" ca="1" si="1551"/>
        <v>19.533000000000001</v>
      </c>
      <c r="AA1916" s="238"/>
      <c r="AB1916" s="233" t="str">
        <f>IF(B1916="insumo",_xlfn.XLOOKUP(S1916,Insumos!A:A,Insumos!D:D),"")</f>
        <v/>
      </c>
      <c r="AC1916" s="239">
        <f t="shared" ca="1" si="1552"/>
        <v>2.8021869363559326E-6</v>
      </c>
      <c r="AE1916" s="240">
        <f ca="1">IFERROR(IF(OR(Z1916="",Z1916=0),"",IF(AF1916="","",IF(AF1916="R$/mês",Z1916/OBRA!$D$12,IF(AF1916="R$/m²",Z1916/OBRA!$D$10,IF(AF1916="R$/apto",Orçamento!Z1916/OBRA!$D$11,""))))),"")</f>
        <v>1.0051820937305415E-2</v>
      </c>
      <c r="AF1916" s="241" t="s">
        <v>154</v>
      </c>
    </row>
    <row r="1917" spans="1:32" s="10" customFormat="1" ht="13.15" hidden="1" customHeight="1" outlineLevel="4" x14ac:dyDescent="0.2">
      <c r="A1917" s="227"/>
      <c r="B1917" s="228" t="s">
        <v>19</v>
      </c>
      <c r="C1917" s="229">
        <f t="shared" si="1550"/>
        <v>19</v>
      </c>
      <c r="D1917" s="227" t="str">
        <f t="shared" si="1582"/>
        <v/>
      </c>
      <c r="E1917" s="228" t="str">
        <f t="shared" ca="1" si="1583"/>
        <v>17.004.001.001</v>
      </c>
      <c r="F1917" s="230">
        <f ca="1">IF($B1917="UNIDADE CONSTRUTIVA",OFFSET(F1917,-1,0)+1,LARGE(F$10:F1916,1))</f>
        <v>2</v>
      </c>
      <c r="G1917" s="228" t="str">
        <f t="shared" ca="1" si="1574"/>
        <v xml:space="preserve">   GERENCIAMENTO EXECUTIVO</v>
      </c>
      <c r="H1917" s="230">
        <f t="shared" ca="1" si="1584"/>
        <v>17</v>
      </c>
      <c r="I1917" s="228" t="str">
        <f t="shared" ca="1" si="1575"/>
        <v xml:space="preserve">   ESQUADRIAS - VIDROS E FERRAGENS</v>
      </c>
      <c r="J1917" s="230">
        <f t="shared" ca="1" si="1585"/>
        <v>4</v>
      </c>
      <c r="K1917" s="228" t="str">
        <f t="shared" ca="1" si="1576"/>
        <v xml:space="preserve">   ESQUADRIAS - VIDROS E FERRAGENS - 8º PAVIMENTO - COBERTURA</v>
      </c>
      <c r="L1917" s="231">
        <f t="shared" ca="1" si="1586"/>
        <v>1</v>
      </c>
      <c r="M1917" s="228" t="str">
        <f t="shared" ca="1" si="1577"/>
        <v xml:space="preserve">   Esquadrias Alumínio</v>
      </c>
      <c r="N1917" s="231">
        <f t="shared" ca="1" si="1587"/>
        <v>1</v>
      </c>
      <c r="O1917" s="228" t="str">
        <f t="shared" ca="1" si="1578"/>
        <v>Fixacao de de contramarcos com argamassa</v>
      </c>
      <c r="P1917" s="232" t="str">
        <f>IF(S1917="","",IF(Orçamento!$B1917="INSUMO",S1917,""))</f>
        <v>ARGAMASSA ESTABILIZADA P/ ASSENTAMENTO</v>
      </c>
      <c r="Q1917" s="244" t="str">
        <f t="shared" si="1579"/>
        <v/>
      </c>
      <c r="R1917" s="234">
        <f t="shared" ca="1" si="1580"/>
        <v>22.98</v>
      </c>
      <c r="S1917" s="233" t="s">
        <v>206</v>
      </c>
      <c r="T1917" s="242" t="str">
        <f>_xlfn.XLOOKUP(S1917,Insumos!$A$3:$A$371,Insumos!$B$3:$B$371)</f>
        <v>M3</v>
      </c>
      <c r="U1917" s="235">
        <f ca="1">IF($B1917="insumo",R1917,"")</f>
        <v>22.98</v>
      </c>
      <c r="V1917" s="320">
        <v>2E-3</v>
      </c>
      <c r="W1917" s="236">
        <f>IFERROR(IF(B1917="INSUMO",_xlfn.XLOOKUP(S1917,Insumos!A:A,Insumos!C:C),""),"Inserir Preço")</f>
        <v>425</v>
      </c>
      <c r="X1917" s="235">
        <f t="shared" ca="1" si="1581"/>
        <v>4.5960000000000001E-2</v>
      </c>
      <c r="Y1917" s="236">
        <f t="shared" si="1567"/>
        <v>0.85</v>
      </c>
      <c r="Z1917" s="237">
        <f t="shared" ca="1" si="1551"/>
        <v>19.533000000000001</v>
      </c>
      <c r="AA1917" s="238"/>
      <c r="AB1917" s="233" t="str">
        <f>IF(B1917="insumo",_xlfn.XLOOKUP(S1917,Insumos!A:A,Insumos!D:D),"")</f>
        <v xml:space="preserve"> </v>
      </c>
      <c r="AC1917" s="239">
        <f t="shared" ca="1" si="1552"/>
        <v>2.8021869363559326E-6</v>
      </c>
      <c r="AE1917" s="240">
        <f ca="1">IFERROR(IF(OR(Z1917="",Z1917=0),"",IF(AF1917="","",IF(AF1917="R$/mês",Z1917/OBRA!$D$12,IF(AF1917="R$/m²",Z1917/OBRA!$D$10,IF(AF1917="R$/apto",Orçamento!Z1917/OBRA!$D$11,""))))),"")</f>
        <v>1.0051820937305415E-2</v>
      </c>
      <c r="AF1917" s="241" t="s">
        <v>154</v>
      </c>
    </row>
    <row r="1918" spans="1:32" s="10" customFormat="1" ht="13.15" hidden="1" customHeight="1" outlineLevel="4" x14ac:dyDescent="0.2">
      <c r="A1918" s="227"/>
      <c r="B1918" s="228" t="s">
        <v>4</v>
      </c>
      <c r="C1918" s="229">
        <f t="shared" si="1550"/>
        <v>5</v>
      </c>
      <c r="D1918" s="227" t="str">
        <f t="shared" ca="1" si="1582"/>
        <v>17.004.001.002</v>
      </c>
      <c r="E1918" s="228" t="str">
        <f t="shared" ca="1" si="1583"/>
        <v>17.004.001.002</v>
      </c>
      <c r="F1918" s="230">
        <f ca="1">IF($B1918="UNIDADE CONSTRUTIVA",OFFSET(F1918,-1,0)+1,LARGE(F$10:F1917,1))</f>
        <v>2</v>
      </c>
      <c r="G1918" s="228" t="str">
        <f t="shared" ca="1" si="1574"/>
        <v xml:space="preserve">   GERENCIAMENTO EXECUTIVO</v>
      </c>
      <c r="H1918" s="230">
        <f t="shared" ca="1" si="1584"/>
        <v>17</v>
      </c>
      <c r="I1918" s="228" t="str">
        <f t="shared" ca="1" si="1575"/>
        <v xml:space="preserve">   ESQUADRIAS - VIDROS E FERRAGENS</v>
      </c>
      <c r="J1918" s="230">
        <f t="shared" ca="1" si="1585"/>
        <v>4</v>
      </c>
      <c r="K1918" s="228" t="str">
        <f t="shared" ca="1" si="1576"/>
        <v xml:space="preserve">   ESQUADRIAS - VIDROS E FERRAGENS - 8º PAVIMENTO - COBERTURA</v>
      </c>
      <c r="L1918" s="231">
        <f t="shared" ca="1" si="1586"/>
        <v>1</v>
      </c>
      <c r="M1918" s="228" t="str">
        <f t="shared" ca="1" si="1577"/>
        <v xml:space="preserve">   Esquadrias Alumínio</v>
      </c>
      <c r="N1918" s="231">
        <f t="shared" ca="1" si="1587"/>
        <v>2</v>
      </c>
      <c r="O1918" s="228" t="str">
        <f t="shared" ca="1" si="1578"/>
        <v>Esquadrias de Aluminio - Fornecimento e instalacao incluindo vidros</v>
      </c>
      <c r="P1918" s="232" t="str">
        <f>IF(S1918="","",IF(Orçamento!$B1918="INSUMO",S1918,""))</f>
        <v/>
      </c>
      <c r="Q1918" s="244" t="str">
        <f t="shared" si="1579"/>
        <v>Esquadrias de Aluminio - Fornecimento e instalacao incluindo vidros</v>
      </c>
      <c r="R1918" s="234">
        <f t="shared" ca="1" si="1580"/>
        <v>23.130000000000003</v>
      </c>
      <c r="S1918" s="233" t="s">
        <v>504</v>
      </c>
      <c r="T1918" s="242" t="s">
        <v>140</v>
      </c>
      <c r="U1918" s="235">
        <v>23.130000000000003</v>
      </c>
      <c r="V1918" s="320" t="s">
        <v>35</v>
      </c>
      <c r="W1918" s="236" t="str">
        <f>IFERROR(IF(B1918="INSUMO",_xlfn.XLOOKUP(S1918,Insumos!A:A,Insumos!C:C),""),"Inserir Preço")</f>
        <v/>
      </c>
      <c r="X1918" s="235">
        <f t="shared" ca="1" si="1581"/>
        <v>23.130000000000003</v>
      </c>
      <c r="Y1918" s="236">
        <f t="shared" ca="1" si="1567"/>
        <v>830.73240202071486</v>
      </c>
      <c r="Z1918" s="237">
        <f t="shared" ca="1" si="1551"/>
        <v>19214.840458739138</v>
      </c>
      <c r="AA1918" s="238"/>
      <c r="AB1918" s="233" t="str">
        <f>IF(B1918="insumo",_xlfn.XLOOKUP(S1918,Insumos!A:A,Insumos!D:D),"")</f>
        <v/>
      </c>
      <c r="AC1918" s="239">
        <f t="shared" ca="1" si="1552"/>
        <v>2.7565440494364533E-3</v>
      </c>
      <c r="AE1918" s="240">
        <f ca="1">IFERROR(IF(OR(Z1918="",Z1918=0),"",IF(AF1918="","",IF(AF1918="R$/mês",Z1918/OBRA!$D$12,IF(AF1918="R$/m²",Z1918/OBRA!$D$10,IF(AF1918="R$/apto",Orçamento!Z1918/OBRA!$D$11,""))))),"")</f>
        <v>9.8880937710611398</v>
      </c>
      <c r="AF1918" s="241" t="s">
        <v>154</v>
      </c>
    </row>
    <row r="1919" spans="1:32" s="10" customFormat="1" ht="13.15" hidden="1" customHeight="1" outlineLevel="4" x14ac:dyDescent="0.2">
      <c r="A1919" s="227"/>
      <c r="B1919" s="228" t="s">
        <v>19</v>
      </c>
      <c r="C1919" s="229">
        <f t="shared" si="1550"/>
        <v>5</v>
      </c>
      <c r="D1919" s="227" t="str">
        <f t="shared" si="1582"/>
        <v/>
      </c>
      <c r="E1919" s="228" t="str">
        <f t="shared" ca="1" si="1583"/>
        <v>17.004.001.002</v>
      </c>
      <c r="F1919" s="230">
        <f ca="1">IF($B1919="UNIDADE CONSTRUTIVA",OFFSET(F1919,-1,0)+1,LARGE(F$10:F1918,1))</f>
        <v>2</v>
      </c>
      <c r="G1919" s="228" t="str">
        <f t="shared" ca="1" si="1574"/>
        <v xml:space="preserve">   GERENCIAMENTO EXECUTIVO</v>
      </c>
      <c r="H1919" s="230">
        <f t="shared" ca="1" si="1584"/>
        <v>17</v>
      </c>
      <c r="I1919" s="228" t="str">
        <f t="shared" ca="1" si="1575"/>
        <v xml:space="preserve">   ESQUADRIAS - VIDROS E FERRAGENS</v>
      </c>
      <c r="J1919" s="230">
        <f t="shared" ca="1" si="1585"/>
        <v>4</v>
      </c>
      <c r="K1919" s="228" t="str">
        <f t="shared" ca="1" si="1576"/>
        <v xml:space="preserve">   ESQUADRIAS - VIDROS E FERRAGENS - 8º PAVIMENTO - COBERTURA</v>
      </c>
      <c r="L1919" s="231">
        <f t="shared" ca="1" si="1586"/>
        <v>1</v>
      </c>
      <c r="M1919" s="228" t="str">
        <f t="shared" ca="1" si="1577"/>
        <v xml:space="preserve">   Esquadrias Alumínio</v>
      </c>
      <c r="N1919" s="231">
        <f t="shared" ca="1" si="1587"/>
        <v>2</v>
      </c>
      <c r="O1919" s="228" t="str">
        <f t="shared" ca="1" si="1578"/>
        <v>Esquadrias de Aluminio - Fornecimento e instalacao incluindo vidros</v>
      </c>
      <c r="P1919" s="232" t="str">
        <f>IF(S1919="","",IF(Orçamento!$B1919="INSUMO",S1919,""))</f>
        <v>ESQUADRIAS DE ALUMINIO</v>
      </c>
      <c r="Q1919" s="244" t="str">
        <f t="shared" si="1579"/>
        <v/>
      </c>
      <c r="R1919" s="234">
        <f t="shared" ca="1" si="1580"/>
        <v>23.130000000000003</v>
      </c>
      <c r="S1919" s="233" t="s">
        <v>238</v>
      </c>
      <c r="T1919" s="242" t="str">
        <f>_xlfn.XLOOKUP(S1919,Insumos!$A$3:$A$371,Insumos!$B$3:$B$371)</f>
        <v>M2</v>
      </c>
      <c r="U1919" s="235">
        <f ca="1">IF($B1919="insumo",R1919,"")</f>
        <v>23.130000000000003</v>
      </c>
      <c r="V1919" s="320">
        <v>1</v>
      </c>
      <c r="W1919" s="236">
        <f>IFERROR(IF(B1919="INSUMO",_xlfn.XLOOKUP(S1919,Insumos!A:A,Insumos!C:C),""),"Inserir Preço")</f>
        <v>830.73240202071486</v>
      </c>
      <c r="X1919" s="235">
        <f t="shared" ca="1" si="1581"/>
        <v>23.130000000000003</v>
      </c>
      <c r="Y1919" s="236">
        <f t="shared" si="1567"/>
        <v>830.73240202071486</v>
      </c>
      <c r="Z1919" s="237">
        <f t="shared" ca="1" si="1551"/>
        <v>19214.840458739138</v>
      </c>
      <c r="AA1919" s="238"/>
      <c r="AB1919" s="233" t="str">
        <f>IF(B1919="insumo",_xlfn.XLOOKUP(S1919,Insumos!A:A,Insumos!D:D),"")</f>
        <v>Fort Glass transparência que fortalece</v>
      </c>
      <c r="AC1919" s="239">
        <f t="shared" ca="1" si="1552"/>
        <v>2.7565440494364533E-3</v>
      </c>
      <c r="AE1919" s="240">
        <f ca="1">IFERROR(IF(OR(Z1919="",Z1919=0),"",IF(AF1919="","",IF(AF1919="R$/mês",Z1919/OBRA!$D$12,IF(AF1919="R$/m²",Z1919/OBRA!$D$10,IF(AF1919="R$/apto",Orçamento!Z1919/OBRA!$D$11,""))))),"")</f>
        <v>9.8880937710611398</v>
      </c>
      <c r="AF1919" s="241" t="s">
        <v>154</v>
      </c>
    </row>
    <row r="1920" spans="1:32" s="10" customFormat="1" ht="13.15" hidden="1" customHeight="1" outlineLevel="4" x14ac:dyDescent="0.2">
      <c r="A1920" s="227"/>
      <c r="B1920" s="228" t="s">
        <v>4</v>
      </c>
      <c r="C1920" s="229">
        <f t="shared" si="1550"/>
        <v>2</v>
      </c>
      <c r="D1920" s="227" t="str">
        <f t="shared" ca="1" si="1582"/>
        <v>17.004.001.003</v>
      </c>
      <c r="E1920" s="228" t="str">
        <f t="shared" ca="1" si="1583"/>
        <v>17.004.001.003</v>
      </c>
      <c r="F1920" s="230">
        <f ca="1">IF($B1920="UNIDADE CONSTRUTIVA",OFFSET(F1920,-1,0)+1,LARGE(F$10:F1919,1))</f>
        <v>2</v>
      </c>
      <c r="G1920" s="228" t="str">
        <f t="shared" ref="G1920:G1941" ca="1" si="1588">IF(B1920="*","",IF(B1920="UNIDADE CONSTRUTIVA",S1920,OFFSET(G1920,-1,0)))</f>
        <v xml:space="preserve">   GERENCIAMENTO EXECUTIVO</v>
      </c>
      <c r="H1920" s="230">
        <f t="shared" ca="1" si="1584"/>
        <v>17</v>
      </c>
      <c r="I1920" s="228" t="str">
        <f t="shared" ref="I1920:I1941" ca="1" si="1589">IF(B1920="*","",IF(B1920="CÉLULA CONSTRUTIVA",S1920,OFFSET(I1920,-1,0)))</f>
        <v xml:space="preserve">   ESQUADRIAS - VIDROS E FERRAGENS</v>
      </c>
      <c r="J1920" s="230">
        <f t="shared" ca="1" si="1585"/>
        <v>4</v>
      </c>
      <c r="K1920" s="228" t="str">
        <f t="shared" ref="K1920:K1941" ca="1" si="1590">IF(B1920="*","",IF(B1920="ETAPA",S1920,OFFSET(K1920,-1,0)))</f>
        <v xml:space="preserve">   ESQUADRIAS - VIDROS E FERRAGENS - 8º PAVIMENTO - COBERTURA</v>
      </c>
      <c r="L1920" s="231">
        <f t="shared" ca="1" si="1586"/>
        <v>1</v>
      </c>
      <c r="M1920" s="228" t="str">
        <f t="shared" ref="M1920:M1941" ca="1" si="1591">IF(B1920="*","",IF(B1920="SUBETAPA",S1920,OFFSET(M1920,-1,0)))</f>
        <v xml:space="preserve">   Esquadrias Alumínio</v>
      </c>
      <c r="N1920" s="231">
        <f t="shared" ca="1" si="1587"/>
        <v>3</v>
      </c>
      <c r="O1920" s="228" t="str">
        <f t="shared" ref="O1920:O1941" ca="1" si="1592">IF(B1920="*","",IF(B1920="SERVIÇO",S1920,OFFSET(O1920,-1,0)))</f>
        <v>Guarda-corpos de aluminio e vidro</v>
      </c>
      <c r="P1920" s="232" t="str">
        <f>IF(S1920="","",IF(Orçamento!$B1920="INSUMO",S1920,""))</f>
        <v/>
      </c>
      <c r="Q1920" s="244" t="str">
        <f t="shared" ref="Q1920:Q1941" si="1593">IF(B1920="","",IF(B1920="Serviço",S1920,""))</f>
        <v>Guarda-corpos de aluminio e vidro</v>
      </c>
      <c r="R1920" s="234">
        <f t="shared" ref="R1920:R1941" ca="1" si="1594">IF(B1920="serviço",U1920,OFFSET(R1920,-1,0))</f>
        <v>54.443999999999996</v>
      </c>
      <c r="S1920" s="233" t="s">
        <v>506</v>
      </c>
      <c r="T1920" s="242" t="s">
        <v>140</v>
      </c>
      <c r="U1920" s="235">
        <v>54.443999999999996</v>
      </c>
      <c r="V1920" s="320" t="s">
        <v>35</v>
      </c>
      <c r="W1920" s="236" t="str">
        <f>IFERROR(IF(B1920="INSUMO",_xlfn.XLOOKUP(S1920,Insumos!A:A,Insumos!C:C),""),"Inserir Preço")</f>
        <v/>
      </c>
      <c r="X1920" s="235">
        <f t="shared" ref="X1920:X1941" ca="1" si="1595">IF(B1920="Complemento do insumo",V1920,IF(R1920="","",IF(B1920="serviço",R1920,IF(OR(B1920="insumo"),V1920*R1920,""))))</f>
        <v>54.443999999999996</v>
      </c>
      <c r="Y1920" s="236">
        <f t="shared" ca="1" si="1567"/>
        <v>830.94770876576717</v>
      </c>
      <c r="Z1920" s="237">
        <f t="shared" ca="1" si="1551"/>
        <v>45240.117056043426</v>
      </c>
      <c r="AA1920" s="238"/>
      <c r="AB1920" s="233" t="str">
        <f>IF(B1920="insumo",_xlfn.XLOOKUP(S1920,Insumos!A:A,Insumos!D:D),"")</f>
        <v/>
      </c>
      <c r="AC1920" s="239">
        <f t="shared" ca="1" si="1552"/>
        <v>6.4901072550892381E-3</v>
      </c>
      <c r="AE1920" s="240">
        <f ca="1">IFERROR(IF(OR(Z1920="",Z1920=0),"",IF(AF1920="","",IF(AF1920="R$/mês",Z1920/OBRA!$D$12,IF(AF1920="R$/m²",Z1920/OBRA!$D$10,IF(AF1920="R$/apto",Orçamento!Z1920/OBRA!$D$11,""))))),"")</f>
        <v>23.280886491070756</v>
      </c>
      <c r="AF1920" s="241" t="s">
        <v>154</v>
      </c>
    </row>
    <row r="1921" spans="1:32" s="10" customFormat="1" ht="13.15" hidden="1" customHeight="1" outlineLevel="4" x14ac:dyDescent="0.2">
      <c r="A1921" s="227"/>
      <c r="B1921" s="228" t="s">
        <v>19</v>
      </c>
      <c r="C1921" s="229">
        <f t="shared" si="1550"/>
        <v>2</v>
      </c>
      <c r="D1921" s="227" t="str">
        <f t="shared" si="1582"/>
        <v/>
      </c>
      <c r="E1921" s="228" t="str">
        <f t="shared" ca="1" si="1583"/>
        <v>17.004.001.003</v>
      </c>
      <c r="F1921" s="230">
        <f ca="1">IF($B1921="UNIDADE CONSTRUTIVA",OFFSET(F1921,-1,0)+1,LARGE(F$10:F1920,1))</f>
        <v>2</v>
      </c>
      <c r="G1921" s="228" t="str">
        <f t="shared" ca="1" si="1588"/>
        <v xml:space="preserve">   GERENCIAMENTO EXECUTIVO</v>
      </c>
      <c r="H1921" s="230">
        <f t="shared" ca="1" si="1584"/>
        <v>17</v>
      </c>
      <c r="I1921" s="228" t="str">
        <f t="shared" ca="1" si="1589"/>
        <v xml:space="preserve">   ESQUADRIAS - VIDROS E FERRAGENS</v>
      </c>
      <c r="J1921" s="230">
        <f t="shared" ca="1" si="1585"/>
        <v>4</v>
      </c>
      <c r="K1921" s="228" t="str">
        <f t="shared" ca="1" si="1590"/>
        <v xml:space="preserve">   ESQUADRIAS - VIDROS E FERRAGENS - 8º PAVIMENTO - COBERTURA</v>
      </c>
      <c r="L1921" s="231">
        <f t="shared" ca="1" si="1586"/>
        <v>1</v>
      </c>
      <c r="M1921" s="228" t="str">
        <f t="shared" ca="1" si="1591"/>
        <v xml:space="preserve">   Esquadrias Alumínio</v>
      </c>
      <c r="N1921" s="231">
        <f t="shared" ca="1" si="1587"/>
        <v>3</v>
      </c>
      <c r="O1921" s="228" t="str">
        <f t="shared" ca="1" si="1592"/>
        <v>Guarda-corpos de aluminio e vidro</v>
      </c>
      <c r="P1921" s="232" t="str">
        <f>IF(S1921="","",IF(Orçamento!$B1921="INSUMO",S1921,""))</f>
        <v>GUARDA CORPO ALUMINIO COM VIDRO</v>
      </c>
      <c r="Q1921" s="244" t="str">
        <f t="shared" si="1593"/>
        <v/>
      </c>
      <c r="R1921" s="234">
        <f t="shared" ca="1" si="1594"/>
        <v>54.443999999999996</v>
      </c>
      <c r="S1921" s="233" t="s">
        <v>823</v>
      </c>
      <c r="T1921" s="242" t="s">
        <v>592</v>
      </c>
      <c r="U1921" s="235">
        <f ca="1">IF($B1921="insumo",R1921,"")</f>
        <v>54.443999999999996</v>
      </c>
      <c r="V1921" s="320">
        <v>1</v>
      </c>
      <c r="W1921" s="236">
        <f>IFERROR(IF(B1921="INSUMO",_xlfn.XLOOKUP(S1921,Insumos!A:A,Insumos!C:C),""),"Inserir Preço")</f>
        <v>830.94770876576717</v>
      </c>
      <c r="X1921" s="235">
        <f t="shared" ca="1" si="1595"/>
        <v>54.443999999999996</v>
      </c>
      <c r="Y1921" s="236">
        <f t="shared" si="1567"/>
        <v>830.94770876576717</v>
      </c>
      <c r="Z1921" s="237">
        <f t="shared" ca="1" si="1551"/>
        <v>45240.117056043426</v>
      </c>
      <c r="AA1921" s="238"/>
      <c r="AB1921" s="233" t="str">
        <f>IF(B1921="insumo",_xlfn.XLOOKUP(S1921,Insumos!A:A,Insumos!D:D),"")</f>
        <v>Fort Glass transparência que fortalece</v>
      </c>
      <c r="AC1921" s="239">
        <f t="shared" ca="1" si="1552"/>
        <v>6.4901072550892381E-3</v>
      </c>
      <c r="AE1921" s="240">
        <f ca="1">IFERROR(IF(OR(Z1921="",Z1921=0),"",IF(AF1921="","",IF(AF1921="R$/mês",Z1921/OBRA!$D$12,IF(AF1921="R$/m²",Z1921/OBRA!$D$10,IF(AF1921="R$/apto",Orçamento!Z1921/OBRA!$D$11,""))))),"")</f>
        <v>23.280886491070756</v>
      </c>
      <c r="AF1921" s="241" t="s">
        <v>154</v>
      </c>
    </row>
    <row r="1922" spans="1:32" s="10" customFormat="1" ht="13.15" hidden="1" customHeight="1" outlineLevel="3" collapsed="1" x14ac:dyDescent="0.2">
      <c r="A1922" s="227"/>
      <c r="B1922" s="228" t="s">
        <v>3</v>
      </c>
      <c r="C1922" s="229" t="str">
        <f t="shared" si="1550"/>
        <v/>
      </c>
      <c r="D1922" s="227" t="str">
        <f t="shared" ca="1" si="1582"/>
        <v>17.004.002</v>
      </c>
      <c r="E1922" s="228" t="str">
        <f t="shared" ca="1" si="1583"/>
        <v>17.004.001.003</v>
      </c>
      <c r="F1922" s="230">
        <f ca="1">IF($B1922="UNIDADE CONSTRUTIVA",OFFSET(F1922,-1,0)+1,LARGE(F$10:F1921,1))</f>
        <v>2</v>
      </c>
      <c r="G1922" s="228" t="str">
        <f ca="1">IF(B1922="*","",IF(B1922="UNIDADE CONSTRUTIVA",S1922,OFFSET(G1922,-1,0)))</f>
        <v xml:space="preserve">   GERENCIAMENTO EXECUTIVO</v>
      </c>
      <c r="H1922" s="230">
        <f t="shared" ca="1" si="1584"/>
        <v>17</v>
      </c>
      <c r="I1922" s="228" t="str">
        <f ca="1">IF(B1922="*","",IF(B1922="CÉLULA CONSTRUTIVA",S1922,OFFSET(I1922,-1,0)))</f>
        <v xml:space="preserve">   ESQUADRIAS - VIDROS E FERRAGENS</v>
      </c>
      <c r="J1922" s="230">
        <f t="shared" ca="1" si="1585"/>
        <v>4</v>
      </c>
      <c r="K1922" s="228" t="str">
        <f ca="1">IF(B1922="*","",IF(B1922="ETAPA",S1922,OFFSET(K1922,-1,0)))</f>
        <v xml:space="preserve">   ESQUADRIAS - VIDROS E FERRAGENS - 8º PAVIMENTO - COBERTURA</v>
      </c>
      <c r="L1922" s="231">
        <f t="shared" ca="1" si="1586"/>
        <v>2</v>
      </c>
      <c r="M1922" s="228" t="str">
        <f ca="1">IF(B1922="*","",IF(B1922="SUBETAPA",S1922,OFFSET(M1922,-1,0)))</f>
        <v xml:space="preserve">   Esquadrias metalicas</v>
      </c>
      <c r="N1922" s="231">
        <f t="shared" ca="1" si="1587"/>
        <v>0</v>
      </c>
      <c r="O1922" s="228" t="str">
        <f ca="1">IF(B1922="*","",IF(B1922="SERVIÇO",S1922,OFFSET(O1922,-1,0)))</f>
        <v>Guarda-corpos de aluminio e vidro</v>
      </c>
      <c r="P1922" s="232" t="str">
        <f>IF(S1922="","",IF(Orçamento!$B1922="INSUMO",S1922,""))</f>
        <v/>
      </c>
      <c r="Q1922" s="244" t="str">
        <f>IF(B1922="","",IF(B1922="Serviço",S1922,""))</f>
        <v/>
      </c>
      <c r="R1922" s="234">
        <f ca="1">IF(B1922="serviço",U1922,OFFSET(R1922,-1,0))</f>
        <v>54.443999999999996</v>
      </c>
      <c r="S1922" s="233" t="s">
        <v>502</v>
      </c>
      <c r="T1922" s="242" t="s">
        <v>35</v>
      </c>
      <c r="U1922" s="235" t="str">
        <f>IF($B1922="insumo",R1922,"")</f>
        <v/>
      </c>
      <c r="V1922" s="320" t="s">
        <v>35</v>
      </c>
      <c r="W1922" s="236" t="str">
        <f>IFERROR(IF(B1922="INSUMO",_xlfn.XLOOKUP(S1922,Insumos!A:A,Insumos!C:C),""),"Inserir Preço")</f>
        <v/>
      </c>
      <c r="X1922" s="235" t="str">
        <f ca="1">IF(B1922="Complemento do insumo",V1922,IF(R1922="","",IF(B1922="serviço",R1922,IF(OR(B1922="insumo"),V1922*R1922,""))))</f>
        <v/>
      </c>
      <c r="Y1922" s="236" t="str">
        <f t="shared" si="1567"/>
        <v/>
      </c>
      <c r="Z1922" s="237">
        <f t="shared" ca="1" si="1551"/>
        <v>5535.58</v>
      </c>
      <c r="AA1922" s="238"/>
      <c r="AB1922" s="233" t="str">
        <f>IF(B1922="insumo",_xlfn.XLOOKUP(S1922,Insumos!A:A,Insumos!D:D),"")</f>
        <v/>
      </c>
      <c r="AC1922" s="239">
        <f t="shared" ca="1" si="1552"/>
        <v>7.9412942001500907E-4</v>
      </c>
      <c r="AE1922" s="240">
        <f ca="1">IFERROR(IF(OR(Z1922="",Z1922=0),"",IF(AF1922="","",IF(AF1922="R$/mês",Z1922/OBRA!$D$12,IF(AF1922="R$/m²",Z1922/OBRA!$D$10,IF(AF1922="R$/apto",Orçamento!Z1922/OBRA!$D$11,""))))),"")</f>
        <v>2.8486488989980598</v>
      </c>
      <c r="AF1922" s="241" t="s">
        <v>154</v>
      </c>
    </row>
    <row r="1923" spans="1:32" s="10" customFormat="1" ht="13.15" hidden="1" customHeight="1" outlineLevel="4" x14ac:dyDescent="0.2">
      <c r="A1923" s="227"/>
      <c r="B1923" s="228" t="s">
        <v>4</v>
      </c>
      <c r="C1923" s="229">
        <f t="shared" si="1550"/>
        <v>5</v>
      </c>
      <c r="D1923" s="227" t="str">
        <f t="shared" ca="1" si="1582"/>
        <v>17.004.002.001</v>
      </c>
      <c r="E1923" s="228" t="str">
        <f t="shared" ca="1" si="1583"/>
        <v>17.004.002.001</v>
      </c>
      <c r="F1923" s="230">
        <f ca="1">IF($B1923="UNIDADE CONSTRUTIVA",OFFSET(F1923,-1,0)+1,LARGE(F$10:F1922,1))</f>
        <v>2</v>
      </c>
      <c r="G1923" s="228" t="str">
        <f t="shared" ca="1" si="1588"/>
        <v xml:space="preserve">   GERENCIAMENTO EXECUTIVO</v>
      </c>
      <c r="H1923" s="230">
        <f t="shared" ca="1" si="1584"/>
        <v>17</v>
      </c>
      <c r="I1923" s="228" t="str">
        <f t="shared" ca="1" si="1589"/>
        <v xml:space="preserve">   ESQUADRIAS - VIDROS E FERRAGENS</v>
      </c>
      <c r="J1923" s="230">
        <f t="shared" ca="1" si="1585"/>
        <v>4</v>
      </c>
      <c r="K1923" s="228" t="str">
        <f t="shared" ca="1" si="1590"/>
        <v xml:space="preserve">   ESQUADRIAS - VIDROS E FERRAGENS - 8º PAVIMENTO - COBERTURA</v>
      </c>
      <c r="L1923" s="231">
        <f t="shared" ca="1" si="1586"/>
        <v>2</v>
      </c>
      <c r="M1923" s="228" t="str">
        <f t="shared" ca="1" si="1591"/>
        <v xml:space="preserve">   Esquadrias metalicas</v>
      </c>
      <c r="N1923" s="231">
        <f t="shared" ca="1" si="1587"/>
        <v>1</v>
      </c>
      <c r="O1923" s="228" t="str">
        <f t="shared" ca="1" si="1592"/>
        <v>Esquadrias Metálicas - Porta Corta Fogo - fornecimento e instalacao</v>
      </c>
      <c r="P1923" s="232" t="str">
        <f>IF(S1923="","",IF(Orçamento!$B1923="INSUMO",S1923,""))</f>
        <v/>
      </c>
      <c r="Q1923" s="244" t="str">
        <f t="shared" si="1593"/>
        <v>Esquadrias Metálicas - Porta Corta Fogo - fornecimento e instalacao</v>
      </c>
      <c r="R1923" s="234">
        <f t="shared" ca="1" si="1594"/>
        <v>3</v>
      </c>
      <c r="S1923" s="233" t="s">
        <v>824</v>
      </c>
      <c r="T1923" s="242" t="s">
        <v>142</v>
      </c>
      <c r="U1923" s="235">
        <v>3</v>
      </c>
      <c r="V1923" s="320" t="s">
        <v>35</v>
      </c>
      <c r="W1923" s="236" t="str">
        <f>IFERROR(IF(B1923="INSUMO",_xlfn.XLOOKUP(S1923,Insumos!A:A,Insumos!C:C),""),"Inserir Preço")</f>
        <v/>
      </c>
      <c r="X1923" s="235">
        <f t="shared" ca="1" si="1595"/>
        <v>3</v>
      </c>
      <c r="Y1923" s="236">
        <f t="shared" ca="1" si="1567"/>
        <v>1569.69</v>
      </c>
      <c r="Z1923" s="237">
        <f t="shared" ca="1" si="1551"/>
        <v>4709.07</v>
      </c>
      <c r="AA1923" s="238"/>
      <c r="AB1923" s="233" t="str">
        <f>IF(B1923="insumo",_xlfn.XLOOKUP(S1923,Insumos!A:A,Insumos!D:D),"")</f>
        <v/>
      </c>
      <c r="AC1923" s="239">
        <f t="shared" ca="1" si="1552"/>
        <v>6.755590250542994E-4</v>
      </c>
      <c r="AE1923" s="240">
        <f ca="1">IFERROR(IF(OR(Z1923="",Z1923=0),"",IF(AF1923="","",IF(AF1923="R$/mês",Z1923/OBRA!$D$12,IF(AF1923="R$/m²",Z1923/OBRA!$D$10,IF(AF1923="R$/apto",Orçamento!Z1923/OBRA!$D$11,""))))),"")</f>
        <v>2.4233209656088057</v>
      </c>
      <c r="AF1923" s="241" t="s">
        <v>154</v>
      </c>
    </row>
    <row r="1924" spans="1:32" s="10" customFormat="1" ht="13.15" hidden="1" customHeight="1" outlineLevel="4" x14ac:dyDescent="0.2">
      <c r="A1924" s="227"/>
      <c r="B1924" s="228" t="s">
        <v>19</v>
      </c>
      <c r="C1924" s="229">
        <f t="shared" si="1550"/>
        <v>5</v>
      </c>
      <c r="D1924" s="227" t="str">
        <f t="shared" si="1582"/>
        <v/>
      </c>
      <c r="E1924" s="228" t="str">
        <f t="shared" ca="1" si="1583"/>
        <v>17.004.002.001</v>
      </c>
      <c r="F1924" s="230">
        <f ca="1">IF($B1924="UNIDADE CONSTRUTIVA",OFFSET(F1924,-1,0)+1,LARGE(F$10:F1923,1))</f>
        <v>2</v>
      </c>
      <c r="G1924" s="228" t="str">
        <f t="shared" ca="1" si="1588"/>
        <v xml:space="preserve">   GERENCIAMENTO EXECUTIVO</v>
      </c>
      <c r="H1924" s="230">
        <f t="shared" ca="1" si="1584"/>
        <v>17</v>
      </c>
      <c r="I1924" s="228" t="str">
        <f t="shared" ca="1" si="1589"/>
        <v xml:space="preserve">   ESQUADRIAS - VIDROS E FERRAGENS</v>
      </c>
      <c r="J1924" s="230">
        <f t="shared" ca="1" si="1585"/>
        <v>4</v>
      </c>
      <c r="K1924" s="228" t="str">
        <f t="shared" ca="1" si="1590"/>
        <v xml:space="preserve">   ESQUADRIAS - VIDROS E FERRAGENS - 8º PAVIMENTO - COBERTURA</v>
      </c>
      <c r="L1924" s="231">
        <f t="shared" ca="1" si="1586"/>
        <v>2</v>
      </c>
      <c r="M1924" s="228" t="str">
        <f t="shared" ca="1" si="1591"/>
        <v xml:space="preserve">   Esquadrias metalicas</v>
      </c>
      <c r="N1924" s="231">
        <f t="shared" ca="1" si="1587"/>
        <v>1</v>
      </c>
      <c r="O1924" s="228" t="str">
        <f t="shared" ca="1" si="1592"/>
        <v>Esquadrias Metálicas - Porta Corta Fogo - fornecimento e instalacao</v>
      </c>
      <c r="P1924" s="232" t="str">
        <f>IF(S1924="","",IF(Orçamento!$B1924="INSUMO",S1924,""))</f>
        <v>PCF - PORTA ESPECIAL  - ABRIR (E. VERTIVAL) - 80X210</v>
      </c>
      <c r="Q1924" s="244" t="str">
        <f t="shared" si="1593"/>
        <v/>
      </c>
      <c r="R1924" s="234">
        <f t="shared" ca="1" si="1594"/>
        <v>3</v>
      </c>
      <c r="S1924" s="233" t="s">
        <v>683</v>
      </c>
      <c r="T1924" s="242" t="str">
        <f>_xlfn.XLOOKUP(S1924,Insumos!$A$3:$A$371,Insumos!$B$3:$B$371)</f>
        <v>UN</v>
      </c>
      <c r="U1924" s="235">
        <f ca="1">IF($B1924="insumo",R1924,"")</f>
        <v>3</v>
      </c>
      <c r="V1924" s="320">
        <v>1</v>
      </c>
      <c r="W1924" s="236">
        <f>IFERROR(IF(B1924="INSUMO",_xlfn.XLOOKUP(S1924,Insumos!A:A,Insumos!C:C),""),"Inserir Preço")</f>
        <v>1569.69</v>
      </c>
      <c r="X1924" s="235">
        <f t="shared" ca="1" si="1595"/>
        <v>3</v>
      </c>
      <c r="Y1924" s="236">
        <f t="shared" si="1567"/>
        <v>1569.69</v>
      </c>
      <c r="Z1924" s="237">
        <f t="shared" ca="1" si="1551"/>
        <v>4709.07</v>
      </c>
      <c r="AA1924" s="238"/>
      <c r="AB1924" s="233" t="str">
        <f>IF(B1924="insumo",_xlfn.XLOOKUP(S1924,Insumos!A:A,Insumos!D:D),"")</f>
        <v xml:space="preserve"> </v>
      </c>
      <c r="AC1924" s="239">
        <f t="shared" ca="1" si="1552"/>
        <v>6.755590250542994E-4</v>
      </c>
      <c r="AE1924" s="240">
        <f ca="1">IFERROR(IF(OR(Z1924="",Z1924=0),"",IF(AF1924="","",IF(AF1924="R$/mês",Z1924/OBRA!$D$12,IF(AF1924="R$/m²",Z1924/OBRA!$D$10,IF(AF1924="R$/apto",Orçamento!Z1924/OBRA!$D$11,""))))),"")</f>
        <v>2.4233209656088057</v>
      </c>
      <c r="AF1924" s="241" t="s">
        <v>154</v>
      </c>
    </row>
    <row r="1925" spans="1:32" s="10" customFormat="1" ht="13.15" hidden="1" customHeight="1" outlineLevel="4" x14ac:dyDescent="0.2">
      <c r="A1925" s="227"/>
      <c r="B1925" s="228" t="s">
        <v>4</v>
      </c>
      <c r="C1925" s="229">
        <f t="shared" si="1550"/>
        <v>4</v>
      </c>
      <c r="D1925" s="227" t="str">
        <f t="shared" ca="1" si="1582"/>
        <v>17.004.002.002</v>
      </c>
      <c r="E1925" s="228" t="str">
        <f t="shared" ca="1" si="1583"/>
        <v>17.004.002.002</v>
      </c>
      <c r="F1925" s="230">
        <f ca="1">IF($B1925="UNIDADE CONSTRUTIVA",OFFSET(F1925,-1,0)+1,LARGE(F$10:F1924,1))</f>
        <v>2</v>
      </c>
      <c r="G1925" s="228" t="str">
        <f t="shared" ca="1" si="1588"/>
        <v xml:space="preserve">   GERENCIAMENTO EXECUTIVO</v>
      </c>
      <c r="H1925" s="230">
        <f t="shared" ca="1" si="1584"/>
        <v>17</v>
      </c>
      <c r="I1925" s="228" t="str">
        <f t="shared" ca="1" si="1589"/>
        <v xml:space="preserve">   ESQUADRIAS - VIDROS E FERRAGENS</v>
      </c>
      <c r="J1925" s="230">
        <f t="shared" ca="1" si="1585"/>
        <v>4</v>
      </c>
      <c r="K1925" s="228" t="str">
        <f t="shared" ca="1" si="1590"/>
        <v xml:space="preserve">   ESQUADRIAS - VIDROS E FERRAGENS - 8º PAVIMENTO - COBERTURA</v>
      </c>
      <c r="L1925" s="231">
        <f t="shared" ca="1" si="1586"/>
        <v>2</v>
      </c>
      <c r="M1925" s="228" t="str">
        <f t="shared" ca="1" si="1591"/>
        <v xml:space="preserve">   Esquadrias metalicas</v>
      </c>
      <c r="N1925" s="231">
        <f t="shared" ca="1" si="1587"/>
        <v>2</v>
      </c>
      <c r="O1925" s="228" t="str">
        <f t="shared" ca="1" si="1592"/>
        <v>Esquadrias Metálicas - Janela Fixa - fornecimento e instalacao</v>
      </c>
      <c r="P1925" s="232" t="str">
        <f>IF(S1925="","",IF(Orçamento!$B1925="INSUMO",S1925,""))</f>
        <v/>
      </c>
      <c r="Q1925" s="244" t="str">
        <f t="shared" si="1593"/>
        <v>Esquadrias Metálicas - Janela Fixa - fornecimento e instalacao</v>
      </c>
      <c r="R1925" s="234">
        <f t="shared" ca="1" si="1594"/>
        <v>1</v>
      </c>
      <c r="S1925" s="233" t="s">
        <v>825</v>
      </c>
      <c r="T1925" s="242" t="s">
        <v>142</v>
      </c>
      <c r="U1925" s="235">
        <v>1</v>
      </c>
      <c r="V1925" s="320" t="s">
        <v>35</v>
      </c>
      <c r="W1925" s="236" t="str">
        <f>IFERROR(IF(B1925="INSUMO",_xlfn.XLOOKUP(S1925,Insumos!A:A,Insumos!C:C),""),"Inserir Preço")</f>
        <v/>
      </c>
      <c r="X1925" s="235">
        <f t="shared" ca="1" si="1595"/>
        <v>1</v>
      </c>
      <c r="Y1925" s="236">
        <f t="shared" ca="1" si="1567"/>
        <v>826.51</v>
      </c>
      <c r="Z1925" s="237">
        <f t="shared" ca="1" si="1551"/>
        <v>826.51</v>
      </c>
      <c r="AA1925" s="238"/>
      <c r="AB1925" s="233" t="str">
        <f>IF(B1925="insumo",_xlfn.XLOOKUP(S1925,Insumos!A:A,Insumos!D:D),"")</f>
        <v/>
      </c>
      <c r="AC1925" s="239">
        <f t="shared" ca="1" si="1552"/>
        <v>1.1857039496070964E-4</v>
      </c>
      <c r="AE1925" s="240">
        <f ca="1">IFERROR(IF(OR(Z1925="",Z1925=0),"",IF(AF1925="","",IF(AF1925="R$/mês",Z1925/OBRA!$D$12,IF(AF1925="R$/m²",Z1925/OBRA!$D$10,IF(AF1925="R$/apto",Orçamento!Z1925/OBRA!$D$11,""))))),"")</f>
        <v>0.42532793338925395</v>
      </c>
      <c r="AF1925" s="241" t="s">
        <v>154</v>
      </c>
    </row>
    <row r="1926" spans="1:32" s="10" customFormat="1" ht="13.15" hidden="1" customHeight="1" outlineLevel="4" x14ac:dyDescent="0.2">
      <c r="A1926" s="227"/>
      <c r="B1926" s="228" t="s">
        <v>19</v>
      </c>
      <c r="C1926" s="229">
        <f t="shared" si="1550"/>
        <v>4</v>
      </c>
      <c r="D1926" s="227" t="str">
        <f>IF(B1926="Unidade Construtiva",TEXT(F1926,"00"),IF(B1926="Célula Construtiva",TEXT(H1926,"00"),IF(B1926="Etapa",CONCATENATE(TEXT(H1926,"00"),".",TEXT(J1926,"000")),IF(B1926="Subetapa",CONCATENATE(TEXT(H1926,"00"),".",TEXT(J1926,"000"),".",TEXT(L1926,"000")),IF(B1926="Serviço",CONCATENATE(TEXT(H1926,"00"),".",TEXT(J1926,"000"),".",TEXT(L1926,"000"),".",TEXT(N1926,"000")),"")))))</f>
        <v/>
      </c>
      <c r="E1926" s="228" t="str">
        <f ca="1">IF(B1926="*","",IFERROR(IF(B1926="SERVIÇO",D1926,OFFSET(E1926,-1,0)),""))</f>
        <v>17.004.002.002</v>
      </c>
      <c r="F1926" s="230">
        <f ca="1">IF($B1926="UNIDADE CONSTRUTIVA",OFFSET(F1926,-1,0)+1,LARGE(F$10:F1925,1))</f>
        <v>2</v>
      </c>
      <c r="G1926" s="228" t="str">
        <f ca="1">IF(B1926="*","",IF(B1926="UNIDADE CONSTRUTIVA",S1926,OFFSET(G1926,-1,0)))</f>
        <v xml:space="preserve">   GERENCIAMENTO EXECUTIVO</v>
      </c>
      <c r="H1926" s="230">
        <f ca="1">IF(B1926="UNIDADE CONSTRUTIVA",0,IF(B1926="CÉLULA CONSTRUTIVA",OFFSET(H1926,-1,0)+1,OFFSET(H1926,-1,0)))</f>
        <v>17</v>
      </c>
      <c r="I1926" s="228" t="str">
        <f ca="1">IF(B1926="*","",IF(B1926="CÉLULA CONSTRUTIVA",S1926,OFFSET(I1926,-1,0)))</f>
        <v xml:space="preserve">   ESQUADRIAS - VIDROS E FERRAGENS</v>
      </c>
      <c r="J1926" s="230">
        <f ca="1">IF(B1926="CÉLULA CONSTRUTIVA",0,IF(B1926="ETAPA",OFFSET(J1926,-1,0)+1,OFFSET(J1926,-1,0)))</f>
        <v>4</v>
      </c>
      <c r="K1926" s="228" t="str">
        <f ca="1">IF(B1926="*","",IF(B1926="ETAPA",S1926,OFFSET(K1926,-1,0)))</f>
        <v xml:space="preserve">   ESQUADRIAS - VIDROS E FERRAGENS - 8º PAVIMENTO - COBERTURA</v>
      </c>
      <c r="L1926" s="231">
        <f ca="1">IF(B1926="ETAPA",0,IF(B1926="SUBETAPA",OFFSET(L1926,-1,0)+1,OFFSET(L1926,-1,0)))</f>
        <v>2</v>
      </c>
      <c r="M1926" s="228" t="str">
        <f ca="1">IF(B1926="*","",IF(B1926="SUBETAPA",S1926,OFFSET(M1926,-1,0)))</f>
        <v xml:space="preserve">   Esquadrias metalicas</v>
      </c>
      <c r="N1926" s="231">
        <f ca="1">IF(B1926="Subetapa",0,IF(B1926="serviço",OFFSET(N1926,-1,0)+1,OFFSET(N1926,-1,0)))</f>
        <v>2</v>
      </c>
      <c r="O1926" s="228" t="str">
        <f ca="1">IF(B1926="*","",IF(B1926="SERVIÇO",S1926,OFFSET(O1926,-1,0)))</f>
        <v>Esquadrias Metálicas - Janela Fixa - fornecimento e instalacao</v>
      </c>
      <c r="P1926" s="232" t="str">
        <f>IF(S1926="","",IF(Orçamento!$B1926="INSUMO",S1926,""))</f>
        <v>G1 - JANELA METAL - GRADE VENTILAÇÃO PERMANENTE - 120X70</v>
      </c>
      <c r="Q1926" s="244" t="str">
        <f>IF(B1926="","",IF(B1926="Serviço",S1926,""))</f>
        <v/>
      </c>
      <c r="R1926" s="234">
        <f ca="1">IF(B1926="serviço",U1926,OFFSET(R1926,-1,0))</f>
        <v>1</v>
      </c>
      <c r="S1926" s="233" t="s">
        <v>694</v>
      </c>
      <c r="T1926" s="242" t="str">
        <f>_xlfn.XLOOKUP(S1926,Insumos!$A$3:$A$371,Insumos!$B$3:$B$371)</f>
        <v>un</v>
      </c>
      <c r="U1926" s="235">
        <f ca="1">IF($B1926="insumo",R1926,"")</f>
        <v>1</v>
      </c>
      <c r="V1926" s="320">
        <v>1</v>
      </c>
      <c r="W1926" s="236">
        <f>IFERROR(IF(B1926="INSUMO",_xlfn.XLOOKUP(S1926,Insumos!A:A,Insumos!C:C),""),"Inserir Preço")</f>
        <v>826.51</v>
      </c>
      <c r="X1926" s="235">
        <f t="shared" ca="1" si="1595"/>
        <v>1</v>
      </c>
      <c r="Y1926" s="236">
        <f t="shared" si="1567"/>
        <v>826.51</v>
      </c>
      <c r="Z1926" s="237">
        <f t="shared" ca="1" si="1551"/>
        <v>826.51</v>
      </c>
      <c r="AA1926" s="238"/>
      <c r="AB1926" s="233" t="str">
        <f>IF(B1926="insumo",_xlfn.XLOOKUP(S1926,Insumos!A:A,Insumos!D:D),"")</f>
        <v>HOFF - SOLUÇÕES EM FERRO LTDA</v>
      </c>
      <c r="AC1926" s="239">
        <f t="shared" ca="1" si="1552"/>
        <v>1.1857039496070964E-4</v>
      </c>
      <c r="AE1926" s="240">
        <f ca="1">IFERROR(IF(OR(Z1926="",Z1926=0),"",IF(AF1926="","",IF(AF1926="R$/mês",Z1926/OBRA!$D$12,IF(AF1926="R$/m²",Z1926/OBRA!$D$10,IF(AF1926="R$/apto",Orçamento!Z1926/OBRA!$D$11,""))))),"")</f>
        <v>0.42532793338925395</v>
      </c>
      <c r="AF1926" s="241" t="s">
        <v>154</v>
      </c>
    </row>
    <row r="1927" spans="1:32" s="10" customFormat="1" ht="13.15" hidden="1" customHeight="1" outlineLevel="3" collapsed="1" x14ac:dyDescent="0.2">
      <c r="A1927" s="227"/>
      <c r="B1927" s="228" t="s">
        <v>3</v>
      </c>
      <c r="C1927" s="229" t="str">
        <f t="shared" si="1550"/>
        <v/>
      </c>
      <c r="D1927" s="227" t="str">
        <f t="shared" ca="1" si="1582"/>
        <v>17.004.003</v>
      </c>
      <c r="E1927" s="228" t="str">
        <f t="shared" ca="1" si="1583"/>
        <v>17.004.002.002</v>
      </c>
      <c r="F1927" s="230">
        <f ca="1">IF($B1927="UNIDADE CONSTRUTIVA",OFFSET(F1927,-1,0)+1,LARGE(F$10:F1926,1))</f>
        <v>2</v>
      </c>
      <c r="G1927" s="228" t="str">
        <f t="shared" ca="1" si="1588"/>
        <v xml:space="preserve">   GERENCIAMENTO EXECUTIVO</v>
      </c>
      <c r="H1927" s="230">
        <f t="shared" ca="1" si="1584"/>
        <v>17</v>
      </c>
      <c r="I1927" s="228" t="str">
        <f t="shared" ca="1" si="1589"/>
        <v xml:space="preserve">   ESQUADRIAS - VIDROS E FERRAGENS</v>
      </c>
      <c r="J1927" s="230">
        <f t="shared" ca="1" si="1585"/>
        <v>4</v>
      </c>
      <c r="K1927" s="228" t="str">
        <f t="shared" ca="1" si="1590"/>
        <v xml:space="preserve">   ESQUADRIAS - VIDROS E FERRAGENS - 8º PAVIMENTO - COBERTURA</v>
      </c>
      <c r="L1927" s="231">
        <f t="shared" ca="1" si="1586"/>
        <v>3</v>
      </c>
      <c r="M1927" s="228" t="str">
        <f t="shared" ca="1" si="1591"/>
        <v xml:space="preserve">   Esquadrias de Madeira</v>
      </c>
      <c r="N1927" s="231">
        <f t="shared" ca="1" si="1587"/>
        <v>0</v>
      </c>
      <c r="O1927" s="228" t="str">
        <f t="shared" ca="1" si="1592"/>
        <v>Esquadrias Metálicas - Janela Fixa - fornecimento e instalacao</v>
      </c>
      <c r="P1927" s="232" t="str">
        <f>IF(S1927="","",IF(Orçamento!$B1927="INSUMO",S1927,""))</f>
        <v/>
      </c>
      <c r="Q1927" s="244" t="str">
        <f t="shared" si="1593"/>
        <v/>
      </c>
      <c r="R1927" s="234">
        <f t="shared" ca="1" si="1594"/>
        <v>1</v>
      </c>
      <c r="S1927" s="233" t="s">
        <v>505</v>
      </c>
      <c r="T1927" s="242" t="s">
        <v>35</v>
      </c>
      <c r="U1927" s="235" t="str">
        <f>IF($B1927="insumo",R1927,"")</f>
        <v/>
      </c>
      <c r="V1927" s="320" t="s">
        <v>35</v>
      </c>
      <c r="W1927" s="236" t="str">
        <f>IFERROR(IF(B1927="INSUMO",_xlfn.XLOOKUP(S1927,Insumos!A:A,Insumos!C:C),""),"Inserir Preço")</f>
        <v/>
      </c>
      <c r="X1927" s="235" t="str">
        <f t="shared" ca="1" si="1595"/>
        <v/>
      </c>
      <c r="Y1927" s="236" t="str">
        <f t="shared" si="1567"/>
        <v/>
      </c>
      <c r="Z1927" s="237">
        <f t="shared" ca="1" si="1551"/>
        <v>4457.1020200000003</v>
      </c>
      <c r="AA1927" s="238"/>
      <c r="AB1927" s="233" t="str">
        <f>IF(B1927="insumo",_xlfn.XLOOKUP(S1927,Insumos!A:A,Insumos!D:D),"")</f>
        <v/>
      </c>
      <c r="AC1927" s="239">
        <f t="shared" ca="1" si="1552"/>
        <v>6.3941192107969276E-4</v>
      </c>
      <c r="AE1927" s="240">
        <f ca="1">IFERROR(IF(OR(Z1927="",Z1927=0),"",IF(AF1927="","",IF(AF1927="R$/mês",Z1927/OBRA!$D$12,IF(AF1927="R$/m²",Z1927/OBRA!$D$10,IF(AF1927="R$/apto",Orçamento!Z1927/OBRA!$D$11,""))))),"")</f>
        <v>2.2936564482845574</v>
      </c>
      <c r="AF1927" s="241" t="s">
        <v>154</v>
      </c>
    </row>
    <row r="1928" spans="1:32" s="10" customFormat="1" ht="13.15" hidden="1" customHeight="1" outlineLevel="4" x14ac:dyDescent="0.2">
      <c r="A1928" s="227"/>
      <c r="B1928" s="228" t="s">
        <v>4</v>
      </c>
      <c r="C1928" s="229">
        <f t="shared" si="1550"/>
        <v>3</v>
      </c>
      <c r="D1928" s="227" t="str">
        <f t="shared" ca="1" si="1582"/>
        <v>17.004.003.001</v>
      </c>
      <c r="E1928" s="228" t="str">
        <f t="shared" ca="1" si="1583"/>
        <v>17.004.003.001</v>
      </c>
      <c r="F1928" s="230">
        <f ca="1">IF($B1928="UNIDADE CONSTRUTIVA",OFFSET(F1928,-1,0)+1,LARGE(F$10:F1927,1))</f>
        <v>2</v>
      </c>
      <c r="G1928" s="228" t="str">
        <f t="shared" ca="1" si="1588"/>
        <v xml:space="preserve">   GERENCIAMENTO EXECUTIVO</v>
      </c>
      <c r="H1928" s="230">
        <f t="shared" ca="1" si="1584"/>
        <v>17</v>
      </c>
      <c r="I1928" s="228" t="str">
        <f t="shared" ca="1" si="1589"/>
        <v xml:space="preserve">   ESQUADRIAS - VIDROS E FERRAGENS</v>
      </c>
      <c r="J1928" s="230">
        <f t="shared" ca="1" si="1585"/>
        <v>4</v>
      </c>
      <c r="K1928" s="228" t="str">
        <f t="shared" ca="1" si="1590"/>
        <v xml:space="preserve">   ESQUADRIAS - VIDROS E FERRAGENS - 8º PAVIMENTO - COBERTURA</v>
      </c>
      <c r="L1928" s="231">
        <f t="shared" ca="1" si="1586"/>
        <v>3</v>
      </c>
      <c r="M1928" s="228" t="str">
        <f t="shared" ca="1" si="1591"/>
        <v xml:space="preserve">   Esquadrias de Madeira</v>
      </c>
      <c r="N1928" s="231">
        <f t="shared" ca="1" si="1587"/>
        <v>1</v>
      </c>
      <c r="O1928" s="228" t="str">
        <f t="shared" ca="1" si="1592"/>
        <v>Porta de madeira- folha leve/média - 80x210cm- fixacao com espuma expansiva</v>
      </c>
      <c r="P1928" s="232" t="str">
        <f>IF(S1928="","",IF(Orçamento!$B1928="INSUMO",S1928,""))</f>
        <v/>
      </c>
      <c r="Q1928" s="244" t="str">
        <f t="shared" si="1593"/>
        <v>Porta de madeira- folha leve/média - 80x210cm- fixacao com espuma expansiva</v>
      </c>
      <c r="R1928" s="234">
        <f t="shared" ca="1" si="1594"/>
        <v>2</v>
      </c>
      <c r="S1928" s="233" t="s">
        <v>508</v>
      </c>
      <c r="T1928" s="242" t="s">
        <v>142</v>
      </c>
      <c r="U1928" s="235">
        <v>2</v>
      </c>
      <c r="V1928" s="320" t="s">
        <v>35</v>
      </c>
      <c r="W1928" s="236" t="str">
        <f>IFERROR(IF(B1928="INSUMO",_xlfn.XLOOKUP(S1928,Insumos!A:A,Insumos!C:C),""),"Inserir Preço")</f>
        <v/>
      </c>
      <c r="X1928" s="235">
        <f t="shared" ca="1" si="1595"/>
        <v>2</v>
      </c>
      <c r="Y1928" s="236">
        <f t="shared" ca="1" si="1567"/>
        <v>483.03584000000001</v>
      </c>
      <c r="Z1928" s="237">
        <f t="shared" ca="1" si="1551"/>
        <v>966.07168000000001</v>
      </c>
      <c r="AA1928" s="238"/>
      <c r="AB1928" s="233" t="str">
        <f>IF(B1928="insumo",_xlfn.XLOOKUP(S1928,Insumos!A:A,Insumos!D:D),"")</f>
        <v/>
      </c>
      <c r="AC1928" s="239">
        <f t="shared" ca="1" si="1552"/>
        <v>1.3859179036908968E-4</v>
      </c>
      <c r="AE1928" s="240">
        <f ca="1">IFERROR(IF(OR(Z1928="",Z1928=0),"",IF(AF1928="","",IF(AF1928="R$/mês",Z1928/OBRA!$D$12,IF(AF1928="R$/m²",Z1928/OBRA!$D$10,IF(AF1928="R$/apto",Orçamento!Z1928/OBRA!$D$11,""))))),"")</f>
        <v>0.49714736804186843</v>
      </c>
      <c r="AF1928" s="241" t="s">
        <v>154</v>
      </c>
    </row>
    <row r="1929" spans="1:32" s="10" customFormat="1" ht="13.15" hidden="1" customHeight="1" outlineLevel="4" x14ac:dyDescent="0.2">
      <c r="A1929" s="227"/>
      <c r="B1929" s="228" t="s">
        <v>19</v>
      </c>
      <c r="C1929" s="229">
        <f t="shared" si="1550"/>
        <v>7</v>
      </c>
      <c r="D1929" s="227" t="str">
        <f t="shared" si="1582"/>
        <v/>
      </c>
      <c r="E1929" s="228" t="str">
        <f t="shared" ca="1" si="1583"/>
        <v>17.004.003.001</v>
      </c>
      <c r="F1929" s="230">
        <f ca="1">IF($B1929="UNIDADE CONSTRUTIVA",OFFSET(F1929,-1,0)+1,LARGE(F$10:F1928,1))</f>
        <v>2</v>
      </c>
      <c r="G1929" s="228" t="str">
        <f t="shared" ca="1" si="1588"/>
        <v xml:space="preserve">   GERENCIAMENTO EXECUTIVO</v>
      </c>
      <c r="H1929" s="230">
        <f t="shared" ca="1" si="1584"/>
        <v>17</v>
      </c>
      <c r="I1929" s="228" t="str">
        <f t="shared" ca="1" si="1589"/>
        <v xml:space="preserve">   ESQUADRIAS - VIDROS E FERRAGENS</v>
      </c>
      <c r="J1929" s="230">
        <f t="shared" ca="1" si="1585"/>
        <v>4</v>
      </c>
      <c r="K1929" s="228" t="str">
        <f t="shared" ca="1" si="1590"/>
        <v xml:space="preserve">   ESQUADRIAS - VIDROS E FERRAGENS - 8º PAVIMENTO - COBERTURA</v>
      </c>
      <c r="L1929" s="231">
        <f t="shared" ca="1" si="1586"/>
        <v>3</v>
      </c>
      <c r="M1929" s="228" t="str">
        <f t="shared" ca="1" si="1591"/>
        <v xml:space="preserve">   Esquadrias de Madeira</v>
      </c>
      <c r="N1929" s="231">
        <f t="shared" ca="1" si="1587"/>
        <v>1</v>
      </c>
      <c r="O1929" s="228" t="str">
        <f t="shared" ca="1" si="1592"/>
        <v>Porta de madeira- folha leve/média - 80x210cm- fixacao com espuma expansiva</v>
      </c>
      <c r="P1929" s="232" t="str">
        <f>IF(S1929="","",IF(Orçamento!$B1929="INSUMO",S1929,""))</f>
        <v>ESPUMA EXPANSIVA DE POLIURETANO 500G</v>
      </c>
      <c r="Q1929" s="244" t="str">
        <f t="shared" si="1593"/>
        <v/>
      </c>
      <c r="R1929" s="234">
        <f t="shared" ca="1" si="1594"/>
        <v>2</v>
      </c>
      <c r="S1929" s="233" t="s">
        <v>376</v>
      </c>
      <c r="T1929" s="242" t="str">
        <f>_xlfn.XLOOKUP(S1929,Insumos!$A$3:$A$371,Insumos!$B$3:$B$371)</f>
        <v>UN</v>
      </c>
      <c r="U1929" s="235">
        <f ca="1">IF($B1929="insumo",R1929,"")</f>
        <v>2</v>
      </c>
      <c r="V1929" s="320">
        <v>0.38600000000000001</v>
      </c>
      <c r="W1929" s="236">
        <f>IFERROR(IF(B1929="INSUMO",_xlfn.XLOOKUP(S1929,Insumos!A:A,Insumos!C:C),""),"Inserir Preço")</f>
        <v>24.69</v>
      </c>
      <c r="X1929" s="235">
        <f t="shared" ca="1" si="1595"/>
        <v>0.77200000000000002</v>
      </c>
      <c r="Y1929" s="236">
        <f t="shared" si="1567"/>
        <v>9.5303400000000007</v>
      </c>
      <c r="Z1929" s="237">
        <f t="shared" ca="1" si="1551"/>
        <v>19.060680000000001</v>
      </c>
      <c r="AA1929" s="238"/>
      <c r="AB1929" s="233" t="str">
        <f>IF(B1929="insumo",_xlfn.XLOOKUP(S1929,Insumos!A:A,Insumos!D:D),"")</f>
        <v xml:space="preserve"> </v>
      </c>
      <c r="AC1929" s="239">
        <f t="shared" ca="1" si="1552"/>
        <v>2.7344283261178927E-6</v>
      </c>
      <c r="AE1929" s="240">
        <f ca="1">IFERROR(IF(OR(Z1929="",Z1929=0),"",IF(AF1929="","",IF(AF1929="R$/mês",Z1929/OBRA!$D$12,IF(AF1929="R$/m²",Z1929/OBRA!$D$10,IF(AF1929="R$/apto",Orçamento!Z1929/OBRA!$D$11,""))))),"")</f>
        <v>9.8087617008794648E-3</v>
      </c>
      <c r="AF1929" s="241" t="s">
        <v>154</v>
      </c>
    </row>
    <row r="1930" spans="1:32" s="10" customFormat="1" ht="13.15" hidden="1" customHeight="1" outlineLevel="4" x14ac:dyDescent="0.2">
      <c r="A1930" s="227"/>
      <c r="B1930" s="228" t="s">
        <v>19</v>
      </c>
      <c r="C1930" s="229">
        <f t="shared" si="1550"/>
        <v>3</v>
      </c>
      <c r="D1930" s="227" t="str">
        <f t="shared" si="1582"/>
        <v/>
      </c>
      <c r="E1930" s="228" t="str">
        <f t="shared" ca="1" si="1583"/>
        <v>17.004.003.001</v>
      </c>
      <c r="F1930" s="230">
        <f ca="1">IF($B1930="UNIDADE CONSTRUTIVA",OFFSET(F1930,-1,0)+1,LARGE(F$10:F1929,1))</f>
        <v>2</v>
      </c>
      <c r="G1930" s="228" t="str">
        <f t="shared" ca="1" si="1588"/>
        <v xml:space="preserve">   GERENCIAMENTO EXECUTIVO</v>
      </c>
      <c r="H1930" s="230">
        <f t="shared" ca="1" si="1584"/>
        <v>17</v>
      </c>
      <c r="I1930" s="228" t="str">
        <f t="shared" ca="1" si="1589"/>
        <v xml:space="preserve">   ESQUADRIAS - VIDROS E FERRAGENS</v>
      </c>
      <c r="J1930" s="230">
        <f t="shared" ca="1" si="1585"/>
        <v>4</v>
      </c>
      <c r="K1930" s="228" t="str">
        <f t="shared" ca="1" si="1590"/>
        <v xml:space="preserve">   ESQUADRIAS - VIDROS E FERRAGENS - 8º PAVIMENTO - COBERTURA</v>
      </c>
      <c r="L1930" s="231">
        <f t="shared" ca="1" si="1586"/>
        <v>3</v>
      </c>
      <c r="M1930" s="228" t="str">
        <f t="shared" ca="1" si="1591"/>
        <v xml:space="preserve">   Esquadrias de Madeira</v>
      </c>
      <c r="N1930" s="231">
        <f t="shared" ca="1" si="1587"/>
        <v>1</v>
      </c>
      <c r="O1930" s="228" t="str">
        <f t="shared" ca="1" si="1592"/>
        <v>Porta de madeira- folha leve/média - 80x210cm- fixacao com espuma expansiva</v>
      </c>
      <c r="P1930" s="232" t="str">
        <f>IF(S1930="","",IF(Orçamento!$B1930="INSUMO",S1930,""))</f>
        <v>P1 - PORTA MADEIRA ACABAMENTO MELAMÍNICO BRANCO - ABRIR (E. VERTIVAL) - 80X210</v>
      </c>
      <c r="Q1930" s="244" t="str">
        <f t="shared" si="1593"/>
        <v/>
      </c>
      <c r="R1930" s="234">
        <f t="shared" ca="1" si="1594"/>
        <v>2</v>
      </c>
      <c r="S1930" s="233" t="s">
        <v>696</v>
      </c>
      <c r="T1930" s="242" t="str">
        <f>_xlfn.XLOOKUP(S1930,Insumos!$A$3:$A$371,Insumos!$B$3:$B$371)</f>
        <v>UN</v>
      </c>
      <c r="U1930" s="235">
        <f ca="1">IF($B1930="insumo",R1930,"")</f>
        <v>2</v>
      </c>
      <c r="V1930" s="320">
        <v>1</v>
      </c>
      <c r="W1930" s="236">
        <f>IFERROR(IF(B1930="INSUMO",_xlfn.XLOOKUP(S1930,Insumos!A:A,Insumos!C:C),""),"Inserir Preço")</f>
        <v>473.50549999999998</v>
      </c>
      <c r="X1930" s="235">
        <f t="shared" ca="1" si="1595"/>
        <v>2</v>
      </c>
      <c r="Y1930" s="236">
        <f t="shared" si="1567"/>
        <v>473.50549999999998</v>
      </c>
      <c r="Z1930" s="237">
        <f t="shared" ca="1" si="1551"/>
        <v>947.01099999999997</v>
      </c>
      <c r="AA1930" s="238"/>
      <c r="AB1930" s="233" t="str">
        <f>IF(B1930="insumo",_xlfn.XLOOKUP(S1930,Insumos!A:A,Insumos!D:D),"")</f>
        <v>MGM PRODUTOS SIDERURGICOS S/A</v>
      </c>
      <c r="AC1930" s="239">
        <f t="shared" ca="1" si="1552"/>
        <v>1.3585736204297177E-4</v>
      </c>
      <c r="AE1930" s="240">
        <f ca="1">IFERROR(IF(OR(Z1930="",Z1930=0),"",IF(AF1930="","",IF(AF1930="R$/mês",Z1930/OBRA!$D$12,IF(AF1930="R$/m²",Z1930/OBRA!$D$10,IF(AF1930="R$/apto",Orçamento!Z1930/OBRA!$D$11,""))))),"")</f>
        <v>0.48733860634098897</v>
      </c>
      <c r="AF1930" s="241" t="s">
        <v>154</v>
      </c>
    </row>
    <row r="1931" spans="1:32" s="10" customFormat="1" ht="13.15" hidden="1" customHeight="1" outlineLevel="4" x14ac:dyDescent="0.2">
      <c r="A1931" s="227"/>
      <c r="B1931" s="228" t="s">
        <v>4</v>
      </c>
      <c r="C1931" s="229">
        <f t="shared" si="1550"/>
        <v>1</v>
      </c>
      <c r="D1931" s="227" t="str">
        <f t="shared" ca="1" si="1582"/>
        <v>17.004.003.002</v>
      </c>
      <c r="E1931" s="228" t="str">
        <f t="shared" ca="1" si="1583"/>
        <v>17.004.003.002</v>
      </c>
      <c r="F1931" s="230">
        <f ca="1">IF($B1931="UNIDADE CONSTRUTIVA",OFFSET(F1931,-1,0)+1,LARGE(F$10:F1930,1))</f>
        <v>2</v>
      </c>
      <c r="G1931" s="228" t="str">
        <f t="shared" ca="1" si="1588"/>
        <v xml:space="preserve">   GERENCIAMENTO EXECUTIVO</v>
      </c>
      <c r="H1931" s="230">
        <f t="shared" ca="1" si="1584"/>
        <v>17</v>
      </c>
      <c r="I1931" s="228" t="str">
        <f t="shared" ca="1" si="1589"/>
        <v xml:space="preserve">   ESQUADRIAS - VIDROS E FERRAGENS</v>
      </c>
      <c r="J1931" s="230">
        <f t="shared" ca="1" si="1585"/>
        <v>4</v>
      </c>
      <c r="K1931" s="228" t="str">
        <f t="shared" ca="1" si="1590"/>
        <v xml:space="preserve">   ESQUADRIAS - VIDROS E FERRAGENS - 8º PAVIMENTO - COBERTURA</v>
      </c>
      <c r="L1931" s="231">
        <f t="shared" ca="1" si="1586"/>
        <v>3</v>
      </c>
      <c r="M1931" s="228" t="str">
        <f t="shared" ca="1" si="1591"/>
        <v xml:space="preserve">   Esquadrias de Madeira</v>
      </c>
      <c r="N1931" s="231">
        <f t="shared" ca="1" si="1587"/>
        <v>2</v>
      </c>
      <c r="O1931" s="228" t="str">
        <f t="shared" ca="1" si="1592"/>
        <v>Porta de madeira, folha leve/média, 90x210cm, fixacao com espuma expansiva - fornecimento e instalacao</v>
      </c>
      <c r="P1931" s="232" t="str">
        <f>IF(S1931="","",IF(Orçamento!$B1931="INSUMO",S1931,""))</f>
        <v/>
      </c>
      <c r="Q1931" s="244" t="str">
        <f t="shared" si="1593"/>
        <v>Porta de madeira, folha leve/média, 90x210cm, fixacao com espuma expansiva - fornecimento e instalacao</v>
      </c>
      <c r="R1931" s="234">
        <f t="shared" ca="1" si="1594"/>
        <v>1</v>
      </c>
      <c r="S1931" s="233" t="s">
        <v>509</v>
      </c>
      <c r="T1931" s="242" t="s">
        <v>142</v>
      </c>
      <c r="U1931" s="235">
        <v>1</v>
      </c>
      <c r="V1931" s="320" t="s">
        <v>35</v>
      </c>
      <c r="W1931" s="236" t="str">
        <f>IFERROR(IF(B1931="INSUMO",_xlfn.XLOOKUP(S1931,Insumos!A:A,Insumos!C:C),""),"Inserir Preço")</f>
        <v/>
      </c>
      <c r="X1931" s="235">
        <f t="shared" ca="1" si="1595"/>
        <v>1</v>
      </c>
      <c r="Y1931" s="236">
        <f t="shared" ca="1" si="1567"/>
        <v>2836.4303399999999</v>
      </c>
      <c r="Z1931" s="237">
        <f t="shared" ca="1" si="1551"/>
        <v>2836.4303399999999</v>
      </c>
      <c r="AA1931" s="238"/>
      <c r="AB1931" s="233" t="str">
        <f>IF(B1931="insumo",_xlfn.XLOOKUP(S1931,Insumos!A:A,Insumos!D:D),"")</f>
        <v/>
      </c>
      <c r="AC1931" s="239">
        <f t="shared" ca="1" si="1552"/>
        <v>4.0691179258852279E-4</v>
      </c>
      <c r="AE1931" s="240">
        <f ca="1">IFERROR(IF(OR(Z1931="",Z1931=0),"",IF(AF1931="","",IF(AF1931="R$/mês",Z1931/OBRA!$D$12,IF(AF1931="R$/m²",Z1931/OBRA!$D$10,IF(AF1931="R$/apto",Orçamento!Z1931/OBRA!$D$11,""))))),"")</f>
        <v>1.4596472574013368</v>
      </c>
      <c r="AF1931" s="241" t="s">
        <v>154</v>
      </c>
    </row>
    <row r="1932" spans="1:32" s="10" customFormat="1" ht="13.15" hidden="1" customHeight="1" outlineLevel="4" x14ac:dyDescent="0.2">
      <c r="A1932" s="227"/>
      <c r="B1932" s="228" t="s">
        <v>19</v>
      </c>
      <c r="C1932" s="229">
        <f t="shared" ref="C1932:C1995" si="1596">IF(B1932="INSUMO",COUNTIFS(B:B,"INSUMO",S:S,S1932),IF(B1932="SERVIÇO",COUNTIFS(B:B,"SERVIÇO",S:S,S1932),""))</f>
        <v>7</v>
      </c>
      <c r="D1932" s="227" t="str">
        <f t="shared" si="1582"/>
        <v/>
      </c>
      <c r="E1932" s="228" t="str">
        <f t="shared" ca="1" si="1583"/>
        <v>17.004.003.002</v>
      </c>
      <c r="F1932" s="230">
        <f ca="1">IF($B1932="UNIDADE CONSTRUTIVA",OFFSET(F1932,-1,0)+1,LARGE(F$10:F1931,1))</f>
        <v>2</v>
      </c>
      <c r="G1932" s="228" t="str">
        <f t="shared" ca="1" si="1588"/>
        <v xml:space="preserve">   GERENCIAMENTO EXECUTIVO</v>
      </c>
      <c r="H1932" s="230">
        <f t="shared" ca="1" si="1584"/>
        <v>17</v>
      </c>
      <c r="I1932" s="228" t="str">
        <f t="shared" ca="1" si="1589"/>
        <v xml:space="preserve">   ESQUADRIAS - VIDROS E FERRAGENS</v>
      </c>
      <c r="J1932" s="230">
        <f t="shared" ca="1" si="1585"/>
        <v>4</v>
      </c>
      <c r="K1932" s="228" t="str">
        <f t="shared" ca="1" si="1590"/>
        <v xml:space="preserve">   ESQUADRIAS - VIDROS E FERRAGENS - 8º PAVIMENTO - COBERTURA</v>
      </c>
      <c r="L1932" s="231">
        <f t="shared" ca="1" si="1586"/>
        <v>3</v>
      </c>
      <c r="M1932" s="228" t="str">
        <f t="shared" ca="1" si="1591"/>
        <v xml:space="preserve">   Esquadrias de Madeira</v>
      </c>
      <c r="N1932" s="231">
        <f t="shared" ca="1" si="1587"/>
        <v>2</v>
      </c>
      <c r="O1932" s="228" t="str">
        <f t="shared" ca="1" si="1592"/>
        <v>Porta de madeira, folha leve/média, 90x210cm, fixacao com espuma expansiva - fornecimento e instalacao</v>
      </c>
      <c r="P1932" s="232" t="str">
        <f>IF(S1932="","",IF(Orçamento!$B1932="INSUMO",S1932,""))</f>
        <v>ESPUMA EXPANSIVA DE POLIURETANO 500G</v>
      </c>
      <c r="Q1932" s="244" t="str">
        <f t="shared" si="1593"/>
        <v/>
      </c>
      <c r="R1932" s="234">
        <f t="shared" ca="1" si="1594"/>
        <v>1</v>
      </c>
      <c r="S1932" s="233" t="s">
        <v>376</v>
      </c>
      <c r="T1932" s="242" t="str">
        <f>_xlfn.XLOOKUP(S1932,Insumos!$A$3:$A$371,Insumos!$B$3:$B$371)</f>
        <v>UN</v>
      </c>
      <c r="U1932" s="235">
        <f ca="1">IF($B1932="insumo",R1932,"")</f>
        <v>1</v>
      </c>
      <c r="V1932" s="320">
        <v>0.38600000000000001</v>
      </c>
      <c r="W1932" s="236">
        <f>IFERROR(IF(B1932="INSUMO",_xlfn.XLOOKUP(S1932,Insumos!A:A,Insumos!C:C),""),"Inserir Preço")</f>
        <v>24.69</v>
      </c>
      <c r="X1932" s="235">
        <f t="shared" ca="1" si="1595"/>
        <v>0.38600000000000001</v>
      </c>
      <c r="Y1932" s="236">
        <f t="shared" si="1567"/>
        <v>9.5303400000000007</v>
      </c>
      <c r="Z1932" s="237">
        <f t="shared" ref="Z1932:Z1995" ca="1" si="1597">IFERROR(IF(B1932="Unidade Construtiva",SUMIFS(Z:Z,B:B,"Célula Construtiva",G:G,G1932),IF(B1932="célula construtiva",SUMIFS(Z:Z,B:B,"Insumo",I:I,I1932,G:G,G1932),IF(B1932="ETAPA",SUMIFS(Z:Z,B:B,"Insumo",K:K,K1932,I:I,I1932,G:G,G1932),IF(B1932="subetapa",SUMIFS(Z:Z,M:M,M1932,B:B,"insumo",K:K,K1932,I:I,I1932,G:G,G1932),IF(B1932="complemento do insumo",V1932*W1932,IF(B1932="INSUMO",R1932*V1932*W1932,X1932*Y1932)))))),"")</f>
        <v>9.5303400000000007</v>
      </c>
      <c r="AA1932" s="238"/>
      <c r="AB1932" s="233" t="str">
        <f>IF(B1932="insumo",_xlfn.XLOOKUP(S1932,Insumos!A:A,Insumos!D:D),"")</f>
        <v xml:space="preserve"> </v>
      </c>
      <c r="AC1932" s="239">
        <f t="shared" ref="AC1932:AC1995" ca="1" si="1598">IFERROR(IF(B1932="","",Z1932/SUMIF(B:B,"INSUMO",Z:Z)),0)</f>
        <v>1.3672141630589463E-6</v>
      </c>
      <c r="AE1932" s="240">
        <f ca="1">IFERROR(IF(OR(Z1932="",Z1932=0),"",IF(AF1932="","",IF(AF1932="R$/mês",Z1932/OBRA!$D$12,IF(AF1932="R$/m²",Z1932/OBRA!$D$10,IF(AF1932="R$/apto",Orçamento!Z1932/OBRA!$D$11,""))))),"")</f>
        <v>4.9043808504397324E-3</v>
      </c>
      <c r="AF1932" s="241" t="s">
        <v>154</v>
      </c>
    </row>
    <row r="1933" spans="1:32" s="10" customFormat="1" ht="13.15" hidden="1" customHeight="1" outlineLevel="4" x14ac:dyDescent="0.2">
      <c r="A1933" s="227"/>
      <c r="B1933" s="228" t="s">
        <v>19</v>
      </c>
      <c r="C1933" s="229">
        <f t="shared" si="1596"/>
        <v>1</v>
      </c>
      <c r="D1933" s="227" t="str">
        <f t="shared" si="1582"/>
        <v/>
      </c>
      <c r="E1933" s="228" t="str">
        <f t="shared" ca="1" si="1583"/>
        <v>17.004.003.002</v>
      </c>
      <c r="F1933" s="230">
        <f ca="1">IF($B1933="UNIDADE CONSTRUTIVA",OFFSET(F1933,-1,0)+1,LARGE(F$10:F1932,1))</f>
        <v>2</v>
      </c>
      <c r="G1933" s="228" t="str">
        <f t="shared" ca="1" si="1588"/>
        <v xml:space="preserve">   GERENCIAMENTO EXECUTIVO</v>
      </c>
      <c r="H1933" s="230">
        <f t="shared" ca="1" si="1584"/>
        <v>17</v>
      </c>
      <c r="I1933" s="228" t="str">
        <f t="shared" ca="1" si="1589"/>
        <v xml:space="preserve">   ESQUADRIAS - VIDROS E FERRAGENS</v>
      </c>
      <c r="J1933" s="230">
        <f t="shared" ca="1" si="1585"/>
        <v>4</v>
      </c>
      <c r="K1933" s="228" t="str">
        <f t="shared" ca="1" si="1590"/>
        <v xml:space="preserve">   ESQUADRIAS - VIDROS E FERRAGENS - 8º PAVIMENTO - COBERTURA</v>
      </c>
      <c r="L1933" s="231">
        <f t="shared" ca="1" si="1586"/>
        <v>3</v>
      </c>
      <c r="M1933" s="228" t="str">
        <f t="shared" ca="1" si="1591"/>
        <v xml:space="preserve">   Esquadrias de Madeira</v>
      </c>
      <c r="N1933" s="231">
        <f t="shared" ca="1" si="1587"/>
        <v>2</v>
      </c>
      <c r="O1933" s="228" t="str">
        <f t="shared" ca="1" si="1592"/>
        <v>Porta de madeira, folha leve/média, 90x210cm, fixacao com espuma expansiva - fornecimento e instalacao</v>
      </c>
      <c r="P1933" s="232" t="str">
        <f>IF(S1933="","",IF(Orçamento!$B1933="INSUMO",S1933,""))</f>
        <v>P5 - PORTA MADEIRA ACABAMENTO MELAMÍNICO BRANCO - PIVOTANTE - 90X210</v>
      </c>
      <c r="Q1933" s="244" t="str">
        <f t="shared" si="1593"/>
        <v/>
      </c>
      <c r="R1933" s="234">
        <f t="shared" ca="1" si="1594"/>
        <v>1</v>
      </c>
      <c r="S1933" s="233" t="s">
        <v>699</v>
      </c>
      <c r="T1933" s="242" t="str">
        <f>_xlfn.XLOOKUP(S1933,Insumos!$A$3:$A$371,Insumos!$B$3:$B$371)</f>
        <v>UN</v>
      </c>
      <c r="U1933" s="235">
        <f ca="1">IF($B1933="insumo",R1933,"")</f>
        <v>1</v>
      </c>
      <c r="V1933" s="320">
        <v>1</v>
      </c>
      <c r="W1933" s="236">
        <f>IFERROR(IF(B1933="INSUMO",_xlfn.XLOOKUP(S1933,Insumos!A:A,Insumos!C:C),""),"Inserir Preço")</f>
        <v>2826.9</v>
      </c>
      <c r="X1933" s="235">
        <f t="shared" ca="1" si="1595"/>
        <v>1</v>
      </c>
      <c r="Y1933" s="236">
        <f t="shared" si="1567"/>
        <v>2826.9</v>
      </c>
      <c r="Z1933" s="237">
        <f t="shared" ca="1" si="1597"/>
        <v>2826.9</v>
      </c>
      <c r="AA1933" s="238"/>
      <c r="AB1933" s="233" t="str">
        <f>IF(B1933="insumo",_xlfn.XLOOKUP(S1933,Insumos!A:A,Insumos!D:D),"")</f>
        <v>MILÃO ACABAMENTOS LTDA</v>
      </c>
      <c r="AC1933" s="239">
        <f t="shared" ca="1" si="1598"/>
        <v>4.0554457842546386E-4</v>
      </c>
      <c r="AE1933" s="240">
        <f ca="1">IFERROR(IF(OR(Z1933="",Z1933=0),"",IF(AF1933="","",IF(AF1933="R$/mês",Z1933/OBRA!$D$12,IF(AF1933="R$/m²",Z1933/OBRA!$D$10,IF(AF1933="R$/apto",Orçamento!Z1933/OBRA!$D$11,""))))),"")</f>
        <v>1.4547428765508972</v>
      </c>
      <c r="AF1933" s="241" t="s">
        <v>154</v>
      </c>
    </row>
    <row r="1934" spans="1:32" s="10" customFormat="1" ht="13.15" hidden="1" customHeight="1" outlineLevel="4" x14ac:dyDescent="0.2">
      <c r="A1934" s="227"/>
      <c r="B1934" s="228" t="s">
        <v>4</v>
      </c>
      <c r="C1934" s="229">
        <f t="shared" si="1596"/>
        <v>3</v>
      </c>
      <c r="D1934" s="227" t="str">
        <f ca="1">IF(B1934="Unidade Construtiva",TEXT(F1934,"00"),IF(B1934="Célula Construtiva",TEXT(H1934,"00"),IF(B1934="Etapa",CONCATENATE(TEXT(H1934,"00"),".",TEXT(J1934,"000")),IF(B1934="Subetapa",CONCATENATE(TEXT(H1934,"00"),".",TEXT(J1934,"000"),".",TEXT(L1934,"000")),IF(B1934="Serviço",CONCATENATE(TEXT(H1934,"00"),".",TEXT(J1934,"000"),".",TEXT(L1934,"000"),".",TEXT(N1934,"000")),"")))))</f>
        <v>17.004.003.003</v>
      </c>
      <c r="E1934" s="228" t="str">
        <f ca="1">IF(B1934="*","",IFERROR(IF(B1934="SERVIÇO",D1934,OFFSET(E1934,-1,0)),""))</f>
        <v>17.004.003.003</v>
      </c>
      <c r="F1934" s="230">
        <f ca="1">IF($B1934="UNIDADE CONSTRUTIVA",OFFSET(F1934,-1,0)+1,LARGE(F$10:F1933,1))</f>
        <v>2</v>
      </c>
      <c r="G1934" s="228" t="str">
        <f ca="1">IF(B1934="*","",IF(B1934="UNIDADE CONSTRUTIVA",S1934,OFFSET(G1934,-1,0)))</f>
        <v xml:space="preserve">   GERENCIAMENTO EXECUTIVO</v>
      </c>
      <c r="H1934" s="230">
        <f ca="1">IF(B1934="UNIDADE CONSTRUTIVA",0,IF(B1934="CÉLULA CONSTRUTIVA",OFFSET(H1934,-1,0)+1,OFFSET(H1934,-1,0)))</f>
        <v>17</v>
      </c>
      <c r="I1934" s="228" t="str">
        <f ca="1">IF(B1934="*","",IF(B1934="CÉLULA CONSTRUTIVA",S1934,OFFSET(I1934,-1,0)))</f>
        <v xml:space="preserve">   ESQUADRIAS - VIDROS E FERRAGENS</v>
      </c>
      <c r="J1934" s="230">
        <f ca="1">IF(B1934="CÉLULA CONSTRUTIVA",0,IF(B1934="ETAPA",OFFSET(J1934,-1,0)+1,OFFSET(J1934,-1,0)))</f>
        <v>4</v>
      </c>
      <c r="K1934" s="228" t="str">
        <f ca="1">IF(B1934="*","",IF(B1934="ETAPA",S1934,OFFSET(K1934,-1,0)))</f>
        <v xml:space="preserve">   ESQUADRIAS - VIDROS E FERRAGENS - 8º PAVIMENTO - COBERTURA</v>
      </c>
      <c r="L1934" s="231">
        <f ca="1">IF(B1934="ETAPA",0,IF(B1934="SUBETAPA",OFFSET(L1934,-1,0)+1,OFFSET(L1934,-1,0)))</f>
        <v>3</v>
      </c>
      <c r="M1934" s="228" t="str">
        <f ca="1">IF(B1934="*","",IF(B1934="SUBETAPA",S1934,OFFSET(M1934,-1,0)))</f>
        <v xml:space="preserve">   Esquadrias de Madeira</v>
      </c>
      <c r="N1934" s="231">
        <f ca="1">IF(B1934="Subetapa",0,IF(B1934="serviço",OFFSET(N1934,-1,0)+1,OFFSET(N1934,-1,0)))</f>
        <v>3</v>
      </c>
      <c r="O1934" s="228" t="str">
        <f ca="1">IF(B1934="*","",IF(B1934="SERVIÇO",S1934,OFFSET(O1934,-1,0)))</f>
        <v>Fechadura (c/ chave) + Dobradiça / Portas Maciças</v>
      </c>
      <c r="P1934" s="232" t="str">
        <f>IF(S1934="","",IF(Orçamento!$B1934="INSUMO",S1934,""))</f>
        <v/>
      </c>
      <c r="Q1934" s="244" t="str">
        <f>IF(B1934="","",IF(B1934="Serviço",S1934,""))</f>
        <v>Fechadura (c/ chave) + Dobradiça / Portas Maciças</v>
      </c>
      <c r="R1934" s="234">
        <f ca="1">IF(B1934="serviço",U1934,OFFSET(R1934,-1,0))</f>
        <v>3</v>
      </c>
      <c r="S1934" s="233" t="s">
        <v>1064</v>
      </c>
      <c r="T1934" s="242" t="s">
        <v>142</v>
      </c>
      <c r="U1934" s="235">
        <f>U1931+U1928</f>
        <v>3</v>
      </c>
      <c r="V1934" s="320" t="s">
        <v>35</v>
      </c>
      <c r="W1934" s="236" t="str">
        <f>IFERROR(IF(B1934="INSUMO",_xlfn.XLOOKUP(S1934,Insumos!A:A,Insumos!C:C),""),"Inserir Preço")</f>
        <v/>
      </c>
      <c r="X1934" s="235">
        <f ca="1">IF(B1934="Complemento do insumo",V1934,IF(R1934="","",IF(B1934="serviço",R1934,IF(OR(B1934="insumo"),V1934*R1934,""))))</f>
        <v>3</v>
      </c>
      <c r="Y1934" s="236">
        <f t="shared" ca="1" si="1567"/>
        <v>140</v>
      </c>
      <c r="Z1934" s="237">
        <f t="shared" ca="1" si="1597"/>
        <v>420</v>
      </c>
      <c r="AA1934" s="238"/>
      <c r="AB1934" s="233" t="str">
        <f>IF(B1934="insumo",_xlfn.XLOOKUP(S1934,Insumos!A:A,Insumos!D:D),"")</f>
        <v/>
      </c>
      <c r="AC1934" s="239">
        <f t="shared" ca="1" si="1598"/>
        <v>6.0252829225899329E-5</v>
      </c>
      <c r="AE1934" s="240">
        <f ca="1">IFERROR(IF(OR(Z1934="",Z1934=0),"",IF(AF1934="","",IF(AF1934="R$/mês",Z1934/OBRA!$D$12,IF(AF1934="R$/m²",Z1934/OBRA!$D$10,IF(AF1934="R$/apto",Orçamento!Z1934/OBRA!$D$11,""))))),"")</f>
        <v>0.21613499174055567</v>
      </c>
      <c r="AF1934" s="241" t="s">
        <v>154</v>
      </c>
    </row>
    <row r="1935" spans="1:32" s="10" customFormat="1" ht="13.15" hidden="1" customHeight="1" outlineLevel="4" x14ac:dyDescent="0.2">
      <c r="A1935" s="227"/>
      <c r="B1935" s="228" t="s">
        <v>19</v>
      </c>
      <c r="C1935" s="229">
        <f t="shared" si="1596"/>
        <v>5</v>
      </c>
      <c r="D1935" s="227" t="str">
        <f>IF(B1935="Unidade Construtiva",TEXT(F1935,"00"),IF(B1935="Célula Construtiva",TEXT(H1935,"00"),IF(B1935="Etapa",CONCATENATE(TEXT(H1935,"00"),".",TEXT(J1935,"000")),IF(B1935="Subetapa",CONCATENATE(TEXT(H1935,"00"),".",TEXT(J1935,"000"),".",TEXT(L1935,"000")),IF(B1935="Serviço",CONCATENATE(TEXT(H1935,"00"),".",TEXT(J1935,"000"),".",TEXT(L1935,"000"),".",TEXT(N1935,"000")),"")))))</f>
        <v/>
      </c>
      <c r="E1935" s="228" t="str">
        <f ca="1">IF(B1935="*","",IFERROR(IF(B1935="SERVIÇO",D1935,OFFSET(E1935,-1,0)),""))</f>
        <v>17.004.003.003</v>
      </c>
      <c r="F1935" s="230">
        <f ca="1">IF($B1935="UNIDADE CONSTRUTIVA",OFFSET(F1935,-1,0)+1,LARGE(F$10:F1934,1))</f>
        <v>2</v>
      </c>
      <c r="G1935" s="228" t="str">
        <f ca="1">IF(B1935="*","",IF(B1935="UNIDADE CONSTRUTIVA",S1935,OFFSET(G1935,-1,0)))</f>
        <v xml:space="preserve">   GERENCIAMENTO EXECUTIVO</v>
      </c>
      <c r="H1935" s="230">
        <f ca="1">IF(B1935="UNIDADE CONSTRUTIVA",0,IF(B1935="CÉLULA CONSTRUTIVA",OFFSET(H1935,-1,0)+1,OFFSET(H1935,-1,0)))</f>
        <v>17</v>
      </c>
      <c r="I1935" s="228" t="str">
        <f ca="1">IF(B1935="*","",IF(B1935="CÉLULA CONSTRUTIVA",S1935,OFFSET(I1935,-1,0)))</f>
        <v xml:space="preserve">   ESQUADRIAS - VIDROS E FERRAGENS</v>
      </c>
      <c r="J1935" s="230">
        <f ca="1">IF(B1935="CÉLULA CONSTRUTIVA",0,IF(B1935="ETAPA",OFFSET(J1935,-1,0)+1,OFFSET(J1935,-1,0)))</f>
        <v>4</v>
      </c>
      <c r="K1935" s="228" t="str">
        <f ca="1">IF(B1935="*","",IF(B1935="ETAPA",S1935,OFFSET(K1935,-1,0)))</f>
        <v xml:space="preserve">   ESQUADRIAS - VIDROS E FERRAGENS - 8º PAVIMENTO - COBERTURA</v>
      </c>
      <c r="L1935" s="231">
        <f ca="1">IF(B1935="ETAPA",0,IF(B1935="SUBETAPA",OFFSET(L1935,-1,0)+1,OFFSET(L1935,-1,0)))</f>
        <v>3</v>
      </c>
      <c r="M1935" s="228" t="str">
        <f ca="1">IF(B1935="*","",IF(B1935="SUBETAPA",S1935,OFFSET(M1935,-1,0)))</f>
        <v xml:space="preserve">   Esquadrias de Madeira</v>
      </c>
      <c r="N1935" s="231">
        <f ca="1">IF(B1935="Subetapa",0,IF(B1935="serviço",OFFSET(N1935,-1,0)+1,OFFSET(N1935,-1,0)))</f>
        <v>3</v>
      </c>
      <c r="O1935" s="228" t="str">
        <f ca="1">IF(B1935="*","",IF(B1935="SERVIÇO",S1935,OFFSET(O1935,-1,0)))</f>
        <v>Fechadura (c/ chave) + Dobradiça / Portas Maciças</v>
      </c>
      <c r="P1935" s="232" t="str">
        <f>IF(S1935="","",IF(Orçamento!$B1935="INSUMO",S1935,""))</f>
        <v>Dobradiça aço inox - portas de madeira</v>
      </c>
      <c r="Q1935" s="244" t="str">
        <f>IF(B1935="","",IF(B1935="Serviço",S1935,""))</f>
        <v/>
      </c>
      <c r="R1935" s="234">
        <f ca="1">IF(B1935="serviço",U1935,OFFSET(R1935,-1,0))</f>
        <v>3</v>
      </c>
      <c r="S1935" s="233" t="s">
        <v>1061</v>
      </c>
      <c r="T1935" s="242" t="str">
        <f>_xlfn.XLOOKUP(S1935,Insumos!$A$3:$A$371,Insumos!$B$3:$B$371)</f>
        <v>UN</v>
      </c>
      <c r="U1935" s="235">
        <f ca="1">IF($B1935="insumo",R1935,"")</f>
        <v>3</v>
      </c>
      <c r="V1935" s="320">
        <v>3</v>
      </c>
      <c r="W1935" s="236">
        <f>IFERROR(IF(B1935="INSUMO",_xlfn.XLOOKUP(S1935,Insumos!A:A,Insumos!C:C),""),"Inserir Preço")</f>
        <v>15</v>
      </c>
      <c r="X1935" s="235">
        <f ca="1">IF(B1935="Complemento do insumo",V1935,IF(R1935="","",IF(B1935="serviço",R1935,IF(OR(B1935="insumo"),V1935*R1935,""))))</f>
        <v>9</v>
      </c>
      <c r="Y1935" s="236">
        <f t="shared" si="1567"/>
        <v>45</v>
      </c>
      <c r="Z1935" s="237">
        <f t="shared" ca="1" si="1597"/>
        <v>135</v>
      </c>
      <c r="AA1935" s="238"/>
      <c r="AB1935" s="233" t="str">
        <f>IF(B1935="insumo",_xlfn.XLOOKUP(S1935,Insumos!A:A,Insumos!D:D),"")</f>
        <v>Base de Dados</v>
      </c>
      <c r="AC1935" s="239">
        <f t="shared" ca="1" si="1598"/>
        <v>1.9366980822610498E-5</v>
      </c>
      <c r="AE1935" s="240">
        <f ca="1">IFERROR(IF(OR(Z1935="",Z1935=0),"",IF(AF1935="","",IF(AF1935="R$/mês",Z1935/OBRA!$D$12,IF(AF1935="R$/m²",Z1935/OBRA!$D$10,IF(AF1935="R$/apto",Orçamento!Z1935/OBRA!$D$11,""))))),"")</f>
        <v>6.9471961630892892E-2</v>
      </c>
      <c r="AF1935" s="241" t="s">
        <v>154</v>
      </c>
    </row>
    <row r="1936" spans="1:32" s="10" customFormat="1" ht="13.15" hidden="1" customHeight="1" outlineLevel="4" x14ac:dyDescent="0.2">
      <c r="A1936" s="227"/>
      <c r="B1936" s="228" t="s">
        <v>19</v>
      </c>
      <c r="C1936" s="229">
        <f t="shared" si="1596"/>
        <v>3</v>
      </c>
      <c r="D1936" s="227" t="str">
        <f>IF(B1936="Unidade Construtiva",TEXT(F1936,"00"),IF(B1936="Célula Construtiva",TEXT(H1936,"00"),IF(B1936="Etapa",CONCATENATE(TEXT(H1936,"00"),".",TEXT(J1936,"000")),IF(B1936="Subetapa",CONCATENATE(TEXT(H1936,"00"),".",TEXT(J1936,"000"),".",TEXT(L1936,"000")),IF(B1936="Serviço",CONCATENATE(TEXT(H1936,"00"),".",TEXT(J1936,"000"),".",TEXT(L1936,"000"),".",TEXT(N1936,"000")),"")))))</f>
        <v/>
      </c>
      <c r="E1936" s="228" t="str">
        <f ca="1">IF(B1936="*","",IFERROR(IF(B1936="SERVIÇO",D1936,OFFSET(E1936,-1,0)),""))</f>
        <v>17.004.003.003</v>
      </c>
      <c r="F1936" s="230">
        <f ca="1">IF($B1936="UNIDADE CONSTRUTIVA",OFFSET(F1936,-1,0)+1,LARGE(F$10:F1935,1))</f>
        <v>2</v>
      </c>
      <c r="G1936" s="228" t="str">
        <f ca="1">IF(B1936="*","",IF(B1936="UNIDADE CONSTRUTIVA",S1936,OFFSET(G1936,-1,0)))</f>
        <v xml:space="preserve">   GERENCIAMENTO EXECUTIVO</v>
      </c>
      <c r="H1936" s="230">
        <f ca="1">IF(B1936="UNIDADE CONSTRUTIVA",0,IF(B1936="CÉLULA CONSTRUTIVA",OFFSET(H1936,-1,0)+1,OFFSET(H1936,-1,0)))</f>
        <v>17</v>
      </c>
      <c r="I1936" s="228" t="str">
        <f ca="1">IF(B1936="*","",IF(B1936="CÉLULA CONSTRUTIVA",S1936,OFFSET(I1936,-1,0)))</f>
        <v xml:space="preserve">   ESQUADRIAS - VIDROS E FERRAGENS</v>
      </c>
      <c r="J1936" s="230">
        <f ca="1">IF(B1936="CÉLULA CONSTRUTIVA",0,IF(B1936="ETAPA",OFFSET(J1936,-1,0)+1,OFFSET(J1936,-1,0)))</f>
        <v>4</v>
      </c>
      <c r="K1936" s="228" t="str">
        <f ca="1">IF(B1936="*","",IF(B1936="ETAPA",S1936,OFFSET(K1936,-1,0)))</f>
        <v xml:space="preserve">   ESQUADRIAS - VIDROS E FERRAGENS - 8º PAVIMENTO - COBERTURA</v>
      </c>
      <c r="L1936" s="231">
        <f ca="1">IF(B1936="ETAPA",0,IF(B1936="SUBETAPA",OFFSET(L1936,-1,0)+1,OFFSET(L1936,-1,0)))</f>
        <v>3</v>
      </c>
      <c r="M1936" s="228" t="str">
        <f ca="1">IF(B1936="*","",IF(B1936="SUBETAPA",S1936,OFFSET(M1936,-1,0)))</f>
        <v xml:space="preserve">   Esquadrias de Madeira</v>
      </c>
      <c r="N1936" s="231">
        <f ca="1">IF(B1936="Subetapa",0,IF(B1936="serviço",OFFSET(N1936,-1,0)+1,OFFSET(N1936,-1,0)))</f>
        <v>3</v>
      </c>
      <c r="O1936" s="228" t="str">
        <f ca="1">IF(B1936="*","",IF(B1936="SERVIÇO",S1936,OFFSET(O1936,-1,0)))</f>
        <v>Fechadura (c/ chave) + Dobradiça / Portas Maciças</v>
      </c>
      <c r="P1936" s="232" t="str">
        <f>IF(S1936="","",IF(Orçamento!$B1936="INSUMO",S1936,""))</f>
        <v>Fechadura Externa Com Maçaneta</v>
      </c>
      <c r="Q1936" s="244" t="str">
        <f>IF(B1936="","",IF(B1936="Serviço",S1936,""))</f>
        <v/>
      </c>
      <c r="R1936" s="234">
        <f ca="1">IF(B1936="serviço",U1936,OFFSET(R1936,-1,0))</f>
        <v>3</v>
      </c>
      <c r="S1936" s="233" t="s">
        <v>1062</v>
      </c>
      <c r="T1936" s="242" t="str">
        <f>_xlfn.XLOOKUP(S1936,Insumos!$A$3:$A$371,Insumos!$B$3:$B$371)</f>
        <v>UN</v>
      </c>
      <c r="U1936" s="235">
        <f ca="1">IF($B1936="insumo",R1936,"")</f>
        <v>3</v>
      </c>
      <c r="V1936" s="320">
        <v>1</v>
      </c>
      <c r="W1936" s="236">
        <f>IFERROR(IF(B1936="INSUMO",_xlfn.XLOOKUP(S1936,Insumos!A:A,Insumos!C:C),""),"Inserir Preço")</f>
        <v>95</v>
      </c>
      <c r="X1936" s="235">
        <f ca="1">IF(B1936="Complemento do insumo",V1936,IF(R1936="","",IF(B1936="serviço",R1936,IF(OR(B1936="insumo"),V1936*R1936,""))))</f>
        <v>3</v>
      </c>
      <c r="Y1936" s="236">
        <f t="shared" si="1567"/>
        <v>95</v>
      </c>
      <c r="Z1936" s="237">
        <f t="shared" ca="1" si="1597"/>
        <v>285</v>
      </c>
      <c r="AA1936" s="238"/>
      <c r="AB1936" s="233" t="str">
        <f>IF(B1936="insumo",_xlfn.XLOOKUP(S1936,Insumos!A:A,Insumos!D:D),"")</f>
        <v>Base de Dados</v>
      </c>
      <c r="AC1936" s="239">
        <f t="shared" ca="1" si="1598"/>
        <v>4.0885848403288831E-5</v>
      </c>
      <c r="AE1936" s="240">
        <f ca="1">IFERROR(IF(OR(Z1936="",Z1936=0),"",IF(AF1936="","",IF(AF1936="R$/mês",Z1936/OBRA!$D$12,IF(AF1936="R$/m²",Z1936/OBRA!$D$10,IF(AF1936="R$/apto",Orçamento!Z1936/OBRA!$D$11,""))))),"")</f>
        <v>0.14666303010966278</v>
      </c>
      <c r="AF1936" s="241" t="s">
        <v>154</v>
      </c>
    </row>
    <row r="1937" spans="1:32" s="10" customFormat="1" ht="13.15" hidden="1" customHeight="1" outlineLevel="4" x14ac:dyDescent="0.2">
      <c r="A1937" s="227"/>
      <c r="B1937" s="228" t="s">
        <v>4</v>
      </c>
      <c r="C1937" s="229">
        <f t="shared" si="1596"/>
        <v>3</v>
      </c>
      <c r="D1937" s="227" t="str">
        <f ca="1">IF(B1937="Unidade Construtiva",TEXT(F1937,"00"),IF(B1937="Célula Construtiva",TEXT(H1937,"00"),IF(B1937="Etapa",CONCATENATE(TEXT(H1937,"00"),".",TEXT(J1937,"000")),IF(B1937="Subetapa",CONCATENATE(TEXT(H1937,"00"),".",TEXT(J1937,"000"),".",TEXT(L1937,"000")),IF(B1937="Serviço",CONCATENATE(TEXT(H1937,"00"),".",TEXT(J1937,"000"),".",TEXT(L1937,"000"),".",TEXT(N1937,"000")),"")))))</f>
        <v>17.004.003.004</v>
      </c>
      <c r="E1937" s="228" t="str">
        <f ca="1">IF(B1937="*","",IFERROR(IF(B1937="SERVIÇO",D1937,OFFSET(E1937,-1,0)),""))</f>
        <v>17.004.003.004</v>
      </c>
      <c r="F1937" s="230">
        <f ca="1">IF($B1937="UNIDADE CONSTRUTIVA",OFFSET(F1937,-1,0)+1,LARGE(F$10:F1936,1))</f>
        <v>2</v>
      </c>
      <c r="G1937" s="228" t="str">
        <f ca="1">IF(B1937="*","",IF(B1937="UNIDADE CONSTRUTIVA",S1937,OFFSET(G1937,-1,0)))</f>
        <v xml:space="preserve">   GERENCIAMENTO EXECUTIVO</v>
      </c>
      <c r="H1937" s="230">
        <f ca="1">IF(B1937="UNIDADE CONSTRUTIVA",0,IF(B1937="CÉLULA CONSTRUTIVA",OFFSET(H1937,-1,0)+1,OFFSET(H1937,-1,0)))</f>
        <v>17</v>
      </c>
      <c r="I1937" s="228" t="str">
        <f ca="1">IF(B1937="*","",IF(B1937="CÉLULA CONSTRUTIVA",S1937,OFFSET(I1937,-1,0)))</f>
        <v xml:space="preserve">   ESQUADRIAS - VIDROS E FERRAGENS</v>
      </c>
      <c r="J1937" s="230">
        <f ca="1">IF(B1937="CÉLULA CONSTRUTIVA",0,IF(B1937="ETAPA",OFFSET(J1937,-1,0)+1,OFFSET(J1937,-1,0)))</f>
        <v>4</v>
      </c>
      <c r="K1937" s="228" t="str">
        <f ca="1">IF(B1937="*","",IF(B1937="ETAPA",S1937,OFFSET(K1937,-1,0)))</f>
        <v xml:space="preserve">   ESQUADRIAS - VIDROS E FERRAGENS - 8º PAVIMENTO - COBERTURA</v>
      </c>
      <c r="L1937" s="231">
        <f ca="1">IF(B1937="ETAPA",0,IF(B1937="SUBETAPA",OFFSET(L1937,-1,0)+1,OFFSET(L1937,-1,0)))</f>
        <v>3</v>
      </c>
      <c r="M1937" s="228" t="str">
        <f ca="1">IF(B1937="*","",IF(B1937="SUBETAPA",S1937,OFFSET(M1937,-1,0)))</f>
        <v xml:space="preserve">   Esquadrias de Madeira</v>
      </c>
      <c r="N1937" s="231">
        <f ca="1">IF(B1937="Subetapa",0,IF(B1937="serviço",OFFSET(N1937,-1,0)+1,OFFSET(N1937,-1,0)))</f>
        <v>4</v>
      </c>
      <c r="O1937" s="228" t="str">
        <f ca="1">IF(B1937="*","",IF(B1937="SERVIÇO",S1937,OFFSET(O1937,-1,0)))</f>
        <v>Corrimão de madeira</v>
      </c>
      <c r="P1937" s="232" t="str">
        <f>IF(S1937="","",IF(Orçamento!$B1937="INSUMO",S1937,""))</f>
        <v/>
      </c>
      <c r="Q1937" s="244" t="str">
        <f>IF(B1937="","",IF(B1937="Serviço",S1937,""))</f>
        <v>Corrimão de madeira</v>
      </c>
      <c r="R1937" s="234">
        <f ca="1">IF(B1937="serviço",U1937,OFFSET(R1937,-1,0))</f>
        <v>3.9099999999999997</v>
      </c>
      <c r="S1937" s="233" t="s">
        <v>1188</v>
      </c>
      <c r="T1937" s="242" t="s">
        <v>158</v>
      </c>
      <c r="U1937" s="235">
        <f>'Levantamento Adcional '!$H$6</f>
        <v>3.9099999999999997</v>
      </c>
      <c r="V1937" s="320" t="s">
        <v>35</v>
      </c>
      <c r="W1937" s="236" t="str">
        <f>IFERROR(IF(B1937="INSUMO",_xlfn.XLOOKUP(S1937,Insumos!A:A,Insumos!C:C),""),"Inserir Preço")</f>
        <v/>
      </c>
      <c r="X1937" s="235">
        <f ca="1">IF(B1937="Complemento do insumo",V1937,IF(R1937="","",IF(B1937="serviço",R1937,IF(OR(B1937="insumo"),V1937*R1937,""))))</f>
        <v>3.9099999999999997</v>
      </c>
      <c r="Y1937" s="236">
        <f t="shared" ca="1" si="1567"/>
        <v>60</v>
      </c>
      <c r="Z1937" s="237">
        <f t="shared" ca="1" si="1597"/>
        <v>234.6</v>
      </c>
      <c r="AA1937" s="238"/>
      <c r="AB1937" s="233" t="str">
        <f>IF(B1937="insumo",_xlfn.XLOOKUP(S1937,Insumos!A:A,Insumos!D:D),"")</f>
        <v/>
      </c>
      <c r="AC1937" s="239">
        <f t="shared" ca="1" si="1598"/>
        <v>3.3655508896180908E-5</v>
      </c>
      <c r="AE1937" s="240">
        <f ca="1">IFERROR(IF(OR(Z1937="",Z1937=0),"",IF(AF1937="","",IF(AF1937="R$/mês",Z1937/OBRA!$D$12,IF(AF1937="R$/m²",Z1937/OBRA!$D$10,IF(AF1937="R$/apto",Orçamento!Z1937/OBRA!$D$11,""))))),"")</f>
        <v>0.12072683110079609</v>
      </c>
      <c r="AF1937" s="241" t="s">
        <v>154</v>
      </c>
    </row>
    <row r="1938" spans="1:32" s="10" customFormat="1" ht="13.15" hidden="1" customHeight="1" outlineLevel="4" x14ac:dyDescent="0.2">
      <c r="A1938" s="227"/>
      <c r="B1938" s="228" t="s">
        <v>19</v>
      </c>
      <c r="C1938" s="229">
        <f t="shared" si="1596"/>
        <v>3</v>
      </c>
      <c r="D1938" s="227" t="str">
        <f>IF(B1938="Unidade Construtiva",TEXT(F1938,"00"),IF(B1938="Célula Construtiva",TEXT(H1938,"00"),IF(B1938="Etapa",CONCATENATE(TEXT(H1938,"00"),".",TEXT(J1938,"000")),IF(B1938="Subetapa",CONCATENATE(TEXT(H1938,"00"),".",TEXT(J1938,"000"),".",TEXT(L1938,"000")),IF(B1938="Serviço",CONCATENATE(TEXT(H1938,"00"),".",TEXT(J1938,"000"),".",TEXT(L1938,"000"),".",TEXT(N1938,"000")),"")))))</f>
        <v/>
      </c>
      <c r="E1938" s="228" t="str">
        <f ca="1">IF(B1938="*","",IFERROR(IF(B1938="SERVIÇO",D1938,OFFSET(E1938,-1,0)),""))</f>
        <v>17.004.003.004</v>
      </c>
      <c r="F1938" s="230">
        <f ca="1">IF($B1938="UNIDADE CONSTRUTIVA",OFFSET(F1938,-1,0)+1,LARGE(F$10:F1937,1))</f>
        <v>2</v>
      </c>
      <c r="G1938" s="228" t="str">
        <f ca="1">IF(B1938="*","",IF(B1938="UNIDADE CONSTRUTIVA",S1938,OFFSET(G1938,-1,0)))</f>
        <v xml:space="preserve">   GERENCIAMENTO EXECUTIVO</v>
      </c>
      <c r="H1938" s="230">
        <f ca="1">IF(B1938="UNIDADE CONSTRUTIVA",0,IF(B1938="CÉLULA CONSTRUTIVA",OFFSET(H1938,-1,0)+1,OFFSET(H1938,-1,0)))</f>
        <v>17</v>
      </c>
      <c r="I1938" s="228" t="str">
        <f ca="1">IF(B1938="*","",IF(B1938="CÉLULA CONSTRUTIVA",S1938,OFFSET(I1938,-1,0)))</f>
        <v xml:space="preserve">   ESQUADRIAS - VIDROS E FERRAGENS</v>
      </c>
      <c r="J1938" s="230">
        <f ca="1">IF(B1938="CÉLULA CONSTRUTIVA",0,IF(B1938="ETAPA",OFFSET(J1938,-1,0)+1,OFFSET(J1938,-1,0)))</f>
        <v>4</v>
      </c>
      <c r="K1938" s="228" t="str">
        <f ca="1">IF(B1938="*","",IF(B1938="ETAPA",S1938,OFFSET(K1938,-1,0)))</f>
        <v xml:space="preserve">   ESQUADRIAS - VIDROS E FERRAGENS - 8º PAVIMENTO - COBERTURA</v>
      </c>
      <c r="L1938" s="231">
        <f ca="1">IF(B1938="ETAPA",0,IF(B1938="SUBETAPA",OFFSET(L1938,-1,0)+1,OFFSET(L1938,-1,0)))</f>
        <v>3</v>
      </c>
      <c r="M1938" s="228" t="str">
        <f ca="1">IF(B1938="*","",IF(B1938="SUBETAPA",S1938,OFFSET(M1938,-1,0)))</f>
        <v xml:space="preserve">   Esquadrias de Madeira</v>
      </c>
      <c r="N1938" s="231">
        <f ca="1">IF(B1938="Subetapa",0,IF(B1938="serviço",OFFSET(N1938,-1,0)+1,OFFSET(N1938,-1,0)))</f>
        <v>4</v>
      </c>
      <c r="O1938" s="228" t="str">
        <f ca="1">IF(B1938="*","",IF(B1938="SERVIÇO",S1938,OFFSET(O1938,-1,0)))</f>
        <v>Corrimão de madeira</v>
      </c>
      <c r="P1938" s="232" t="str">
        <f>IF(S1938="","",IF(Orçamento!$B1938="INSUMO",S1938,""))</f>
        <v>Corrimao parede de madeira</v>
      </c>
      <c r="Q1938" s="244" t="str">
        <f>IF(B1938="","",IF(B1938="Serviço",S1938,""))</f>
        <v/>
      </c>
      <c r="R1938" s="234">
        <f ca="1">IF(B1938="serviço",U1938,OFFSET(R1938,-1,0))</f>
        <v>3.9099999999999997</v>
      </c>
      <c r="S1938" s="233" t="s">
        <v>1189</v>
      </c>
      <c r="T1938" s="242" t="str">
        <f>_xlfn.XLOOKUP(S1938,Insumos!$A$3:$A$371,Insumos!$B$3:$B$371)</f>
        <v>M</v>
      </c>
      <c r="U1938" s="235">
        <f ca="1">IF($B1938="insumo",R1938,"")</f>
        <v>3.9099999999999997</v>
      </c>
      <c r="V1938" s="320">
        <v>1</v>
      </c>
      <c r="W1938" s="236">
        <f>IFERROR(IF(B1938="INSUMO",_xlfn.XLOOKUP(S1938,Insumos!A:A,Insumos!C:C),""),"Inserir Preço")</f>
        <v>60</v>
      </c>
      <c r="X1938" s="235">
        <f ca="1">IF(B1938="Complemento do insumo",V1938,IF(R1938="","",IF(B1938="serviço",R1938,IF(OR(B1938="insumo"),V1938*R1938,""))))</f>
        <v>3.9099999999999997</v>
      </c>
      <c r="Y1938" s="236">
        <f t="shared" si="1567"/>
        <v>60</v>
      </c>
      <c r="Z1938" s="237">
        <f t="shared" ca="1" si="1597"/>
        <v>234.6</v>
      </c>
      <c r="AA1938" s="238"/>
      <c r="AB1938" s="233" t="str">
        <f>IF(B1938="insumo",_xlfn.XLOOKUP(S1938,Insumos!A:A,Insumos!D:D),"")</f>
        <v>Base de Dados</v>
      </c>
      <c r="AC1938" s="239">
        <f t="shared" ca="1" si="1598"/>
        <v>3.3655508896180908E-5</v>
      </c>
      <c r="AE1938" s="240">
        <f ca="1">IFERROR(IF(OR(Z1938="",Z1938=0),"",IF(AF1938="","",IF(AF1938="R$/mês",Z1938/OBRA!$D$12,IF(AF1938="R$/m²",Z1938/OBRA!$D$10,IF(AF1938="R$/apto",Orçamento!Z1938/OBRA!$D$11,""))))),"")</f>
        <v>0.12072683110079609</v>
      </c>
      <c r="AF1938" s="241" t="s">
        <v>154</v>
      </c>
    </row>
    <row r="1939" spans="1:32" s="10" customFormat="1" ht="13.15" hidden="1" customHeight="1" outlineLevel="3" collapsed="1" x14ac:dyDescent="0.2">
      <c r="A1939" s="227"/>
      <c r="B1939" s="228" t="s">
        <v>3</v>
      </c>
      <c r="C1939" s="229" t="str">
        <f t="shared" si="1596"/>
        <v/>
      </c>
      <c r="D1939" s="227" t="str">
        <f t="shared" ca="1" si="1582"/>
        <v>17.004.004</v>
      </c>
      <c r="E1939" s="228" t="str">
        <f t="shared" ca="1" si="1583"/>
        <v>17.004.003.004</v>
      </c>
      <c r="F1939" s="230">
        <f ca="1">IF($B1939="UNIDADE CONSTRUTIVA",OFFSET(F1939,-1,0)+1,LARGE(F$10:F1938,1))</f>
        <v>2</v>
      </c>
      <c r="G1939" s="228" t="str">
        <f t="shared" ca="1" si="1588"/>
        <v xml:space="preserve">   GERENCIAMENTO EXECUTIVO</v>
      </c>
      <c r="H1939" s="230">
        <f t="shared" ca="1" si="1584"/>
        <v>17</v>
      </c>
      <c r="I1939" s="228" t="str">
        <f t="shared" ca="1" si="1589"/>
        <v xml:space="preserve">   ESQUADRIAS - VIDROS E FERRAGENS</v>
      </c>
      <c r="J1939" s="230">
        <f t="shared" ca="1" si="1585"/>
        <v>4</v>
      </c>
      <c r="K1939" s="228" t="str">
        <f t="shared" ca="1" si="1590"/>
        <v xml:space="preserve">   ESQUADRIAS - VIDROS E FERRAGENS - 8º PAVIMENTO - COBERTURA</v>
      </c>
      <c r="L1939" s="231">
        <f t="shared" ca="1" si="1586"/>
        <v>4</v>
      </c>
      <c r="M1939" s="228" t="str">
        <f t="shared" ca="1" si="1591"/>
        <v xml:space="preserve">   Mão de Obra</v>
      </c>
      <c r="N1939" s="231">
        <f t="shared" ca="1" si="1587"/>
        <v>0</v>
      </c>
      <c r="O1939" s="228" t="str">
        <f t="shared" ca="1" si="1592"/>
        <v>Corrimão de madeira</v>
      </c>
      <c r="P1939" s="232" t="str">
        <f>IF(S1939="","",IF(Orçamento!$B1939="INSUMO",S1939,""))</f>
        <v/>
      </c>
      <c r="Q1939" s="244" t="str">
        <f t="shared" si="1593"/>
        <v/>
      </c>
      <c r="R1939" s="234">
        <f t="shared" ca="1" si="1594"/>
        <v>3.9099999999999997</v>
      </c>
      <c r="S1939" s="233" t="s">
        <v>438</v>
      </c>
      <c r="T1939" s="242" t="s">
        <v>35</v>
      </c>
      <c r="U1939" s="235" t="str">
        <f>IF($B1939="insumo",R1939,"")</f>
        <v/>
      </c>
      <c r="V1939" s="320" t="s">
        <v>35</v>
      </c>
      <c r="W1939" s="236" t="str">
        <f>IFERROR(IF(B1939="INSUMO",_xlfn.XLOOKUP(S1939,Insumos!A:A,Insumos!C:C),""),"Inserir Preço")</f>
        <v/>
      </c>
      <c r="X1939" s="235" t="str">
        <f t="shared" ca="1" si="1595"/>
        <v/>
      </c>
      <c r="Y1939" s="236" t="str">
        <f t="shared" si="1567"/>
        <v/>
      </c>
      <c r="Z1939" s="237">
        <f t="shared" ca="1" si="1597"/>
        <v>390</v>
      </c>
      <c r="AA1939" s="238"/>
      <c r="AB1939" s="233" t="str">
        <f>IF(B1939="insumo",_xlfn.XLOOKUP(S1939,Insumos!A:A,Insumos!D:D),"")</f>
        <v/>
      </c>
      <c r="AC1939" s="239">
        <f t="shared" ca="1" si="1598"/>
        <v>5.5949055709763662E-5</v>
      </c>
      <c r="AE1939" s="240">
        <f ca="1">IFERROR(IF(OR(Z1939="",Z1939=0),"",IF(AF1939="","",IF(AF1939="R$/mês",Z1939/OBRA!$D$12,IF(AF1939="R$/m²",Z1939/OBRA!$D$10,IF(AF1939="R$/apto",Orçamento!Z1939/OBRA!$D$11,""))))),"")</f>
        <v>0.20069677804480168</v>
      </c>
      <c r="AF1939" s="241" t="s">
        <v>154</v>
      </c>
    </row>
    <row r="1940" spans="1:32" s="10" customFormat="1" ht="13.15" hidden="1" customHeight="1" outlineLevel="4" x14ac:dyDescent="0.2">
      <c r="A1940" s="227"/>
      <c r="B1940" s="228" t="s">
        <v>4</v>
      </c>
      <c r="C1940" s="229">
        <f t="shared" si="1596"/>
        <v>3</v>
      </c>
      <c r="D1940" s="227" t="str">
        <f t="shared" ca="1" si="1582"/>
        <v>17.004.004.001</v>
      </c>
      <c r="E1940" s="228" t="str">
        <f t="shared" ca="1" si="1583"/>
        <v>17.004.004.001</v>
      </c>
      <c r="F1940" s="230">
        <f ca="1">IF($B1940="UNIDADE CONSTRUTIVA",OFFSET(F1940,-1,0)+1,LARGE(F$10:F1939,1))</f>
        <v>2</v>
      </c>
      <c r="G1940" s="228" t="str">
        <f t="shared" ca="1" si="1588"/>
        <v xml:space="preserve">   GERENCIAMENTO EXECUTIVO</v>
      </c>
      <c r="H1940" s="230">
        <f t="shared" ca="1" si="1584"/>
        <v>17</v>
      </c>
      <c r="I1940" s="228" t="str">
        <f t="shared" ca="1" si="1589"/>
        <v xml:space="preserve">   ESQUADRIAS - VIDROS E FERRAGENS</v>
      </c>
      <c r="J1940" s="230">
        <f t="shared" ca="1" si="1585"/>
        <v>4</v>
      </c>
      <c r="K1940" s="228" t="str">
        <f t="shared" ca="1" si="1590"/>
        <v xml:space="preserve">   ESQUADRIAS - VIDROS E FERRAGENS - 8º PAVIMENTO - COBERTURA</v>
      </c>
      <c r="L1940" s="231">
        <f t="shared" ca="1" si="1586"/>
        <v>4</v>
      </c>
      <c r="M1940" s="228" t="str">
        <f t="shared" ca="1" si="1591"/>
        <v xml:space="preserve">   Mão de Obra</v>
      </c>
      <c r="N1940" s="231">
        <f t="shared" ca="1" si="1587"/>
        <v>1</v>
      </c>
      <c r="O1940" s="228" t="str">
        <f t="shared" ca="1" si="1592"/>
        <v>Mao de obra para instalação de portas de madeira</v>
      </c>
      <c r="P1940" s="232" t="str">
        <f>IF(S1940="","",IF(Orçamento!$B1940="INSUMO",S1940,""))</f>
        <v/>
      </c>
      <c r="Q1940" s="244" t="str">
        <f t="shared" si="1593"/>
        <v>Mao de obra para instalação de portas de madeira</v>
      </c>
      <c r="R1940" s="234">
        <f t="shared" ca="1" si="1594"/>
        <v>3</v>
      </c>
      <c r="S1940" s="233" t="s">
        <v>510</v>
      </c>
      <c r="T1940" s="242" t="s">
        <v>142</v>
      </c>
      <c r="U1940" s="235">
        <f>U1931+U1928</f>
        <v>3</v>
      </c>
      <c r="V1940" s="320" t="s">
        <v>35</v>
      </c>
      <c r="W1940" s="236" t="str">
        <f>IFERROR(IF(B1940="INSUMO",_xlfn.XLOOKUP(S1940,Insumos!A:A,Insumos!C:C),""),"Inserir Preço")</f>
        <v/>
      </c>
      <c r="X1940" s="235">
        <f t="shared" ca="1" si="1595"/>
        <v>3</v>
      </c>
      <c r="Y1940" s="236">
        <f t="shared" ca="1" si="1567"/>
        <v>130</v>
      </c>
      <c r="Z1940" s="237">
        <f t="shared" ca="1" si="1597"/>
        <v>390</v>
      </c>
      <c r="AA1940" s="238"/>
      <c r="AB1940" s="233" t="str">
        <f>IF(B1940="insumo",_xlfn.XLOOKUP(S1940,Insumos!A:A,Insumos!D:D),"")</f>
        <v/>
      </c>
      <c r="AC1940" s="239">
        <f t="shared" ca="1" si="1598"/>
        <v>5.5949055709763662E-5</v>
      </c>
      <c r="AE1940" s="240">
        <f ca="1">IFERROR(IF(OR(Z1940="",Z1940=0),"",IF(AF1940="","",IF(AF1940="R$/mês",Z1940/OBRA!$D$12,IF(AF1940="R$/m²",Z1940/OBRA!$D$10,IF(AF1940="R$/apto",Orçamento!Z1940/OBRA!$D$11,""))))),"")</f>
        <v>0.20069677804480168</v>
      </c>
      <c r="AF1940" s="241" t="s">
        <v>154</v>
      </c>
    </row>
    <row r="1941" spans="1:32" s="10" customFormat="1" ht="13.15" hidden="1" customHeight="1" outlineLevel="4" x14ac:dyDescent="0.2">
      <c r="A1941" s="227"/>
      <c r="B1941" s="228" t="s">
        <v>19</v>
      </c>
      <c r="C1941" s="229">
        <f t="shared" si="1596"/>
        <v>3</v>
      </c>
      <c r="D1941" s="227" t="str">
        <f t="shared" si="1582"/>
        <v/>
      </c>
      <c r="E1941" s="228" t="str">
        <f t="shared" ca="1" si="1583"/>
        <v>17.004.004.001</v>
      </c>
      <c r="F1941" s="230">
        <f ca="1">IF($B1941="UNIDADE CONSTRUTIVA",OFFSET(F1941,-1,0)+1,LARGE(F$10:F1940,1))</f>
        <v>2</v>
      </c>
      <c r="G1941" s="228" t="str">
        <f t="shared" ca="1" si="1588"/>
        <v xml:space="preserve">   GERENCIAMENTO EXECUTIVO</v>
      </c>
      <c r="H1941" s="230">
        <f t="shared" ca="1" si="1584"/>
        <v>17</v>
      </c>
      <c r="I1941" s="228" t="str">
        <f t="shared" ca="1" si="1589"/>
        <v xml:space="preserve">   ESQUADRIAS - VIDROS E FERRAGENS</v>
      </c>
      <c r="J1941" s="230">
        <f t="shared" ca="1" si="1585"/>
        <v>4</v>
      </c>
      <c r="K1941" s="228" t="str">
        <f t="shared" ca="1" si="1590"/>
        <v xml:space="preserve">   ESQUADRIAS - VIDROS E FERRAGENS - 8º PAVIMENTO - COBERTURA</v>
      </c>
      <c r="L1941" s="231">
        <f t="shared" ca="1" si="1586"/>
        <v>4</v>
      </c>
      <c r="M1941" s="228" t="str">
        <f t="shared" ca="1" si="1591"/>
        <v xml:space="preserve">   Mão de Obra</v>
      </c>
      <c r="N1941" s="231">
        <f t="shared" ca="1" si="1587"/>
        <v>1</v>
      </c>
      <c r="O1941" s="228" t="str">
        <f t="shared" ca="1" si="1592"/>
        <v>Mao de obra para instalação de portas de madeira</v>
      </c>
      <c r="P1941" s="232" t="str">
        <f>IF(S1941="","",IF(Orçamento!$B1941="INSUMO",S1941,""))</f>
        <v>M.O. INSTALAÇÃO DE PORTAS DE MADEIRA</v>
      </c>
      <c r="Q1941" s="244" t="str">
        <f t="shared" si="1593"/>
        <v/>
      </c>
      <c r="R1941" s="234">
        <f t="shared" ca="1" si="1594"/>
        <v>3</v>
      </c>
      <c r="S1941" s="233" t="s">
        <v>316</v>
      </c>
      <c r="T1941" s="242" t="str">
        <f>_xlfn.XLOOKUP(S1941,Insumos!$A$3:$A$371,Insumos!$B$3:$B$371)</f>
        <v>UN</v>
      </c>
      <c r="U1941" s="235">
        <f ca="1">IF($B1941="insumo",R1941,"")</f>
        <v>3</v>
      </c>
      <c r="V1941" s="320">
        <v>1</v>
      </c>
      <c r="W1941" s="236">
        <f>IFERROR(IF(B1941="INSUMO",_xlfn.XLOOKUP(S1941,Insumos!A:A,Insumos!C:C),""),"Inserir Preço")</f>
        <v>130</v>
      </c>
      <c r="X1941" s="235">
        <f t="shared" ca="1" si="1595"/>
        <v>3</v>
      </c>
      <c r="Y1941" s="236">
        <f t="shared" si="1567"/>
        <v>130</v>
      </c>
      <c r="Z1941" s="237">
        <f t="shared" ca="1" si="1597"/>
        <v>390</v>
      </c>
      <c r="AA1941" s="238"/>
      <c r="AB1941" s="233" t="str">
        <f>IF(B1941="insumo",_xlfn.XLOOKUP(S1941,Insumos!A:A,Insumos!D:D),"")</f>
        <v>Base de dados</v>
      </c>
      <c r="AC1941" s="239">
        <f t="shared" ca="1" si="1598"/>
        <v>5.5949055709763662E-5</v>
      </c>
      <c r="AE1941" s="240">
        <f ca="1">IFERROR(IF(OR(Z1941="",Z1941=0),"",IF(AF1941="","",IF(AF1941="R$/mês",Z1941/OBRA!$D$12,IF(AF1941="R$/m²",Z1941/OBRA!$D$10,IF(AF1941="R$/apto",Orçamento!Z1941/OBRA!$D$11,""))))),"")</f>
        <v>0.20069677804480168</v>
      </c>
      <c r="AF1941" s="241" t="s">
        <v>154</v>
      </c>
    </row>
    <row r="1942" spans="1:32" s="10" customFormat="1" ht="13.15" customHeight="1" outlineLevel="2" collapsed="1" x14ac:dyDescent="0.2">
      <c r="A1942" s="227"/>
      <c r="B1942" s="228" t="s">
        <v>2</v>
      </c>
      <c r="C1942" s="229" t="str">
        <f t="shared" si="1596"/>
        <v/>
      </c>
      <c r="D1942" s="227" t="str">
        <f t="shared" ref="D1942:D1975" ca="1" si="1599">IF(B1942="Unidade Construtiva",TEXT(F1942,"00"),IF(B1942="Célula Construtiva",TEXT(H1942,"00"),IF(B1942="Etapa",CONCATENATE(TEXT(H1942,"00"),".",TEXT(J1942,"000")),IF(B1942="Subetapa",CONCATENATE(TEXT(H1942,"00"),".",TEXT(J1942,"000"),".",TEXT(L1942,"000")),IF(B1942="Serviço",CONCATENATE(TEXT(H1942,"00"),".",TEXT(J1942,"000"),".",TEXT(L1942,"000"),".",TEXT(N1942,"000")),"")))))</f>
        <v>17.005</v>
      </c>
      <c r="E1942" s="228" t="str">
        <f t="shared" ref="E1942:E1975" ca="1" si="1600">IF(B1942="*","",IFERROR(IF(B1942="SERVIÇO",D1942,OFFSET(E1942,-1,0)),""))</f>
        <v>17.004.004.001</v>
      </c>
      <c r="F1942" s="230">
        <f ca="1">IF($B1942="UNIDADE CONSTRUTIVA",OFFSET(F1942,-1,0)+1,LARGE(F$10:F1941,1))</f>
        <v>2</v>
      </c>
      <c r="G1942" s="228" t="str">
        <f t="shared" ref="G1942:G1948" ca="1" si="1601">IF(B1942="*","",IF(B1942="UNIDADE CONSTRUTIVA",S1942,OFFSET(G1942,-1,0)))</f>
        <v xml:space="preserve">   GERENCIAMENTO EXECUTIVO</v>
      </c>
      <c r="H1942" s="230">
        <f t="shared" ref="H1942:H1975" ca="1" si="1602">IF(B1942="UNIDADE CONSTRUTIVA",0,IF(B1942="CÉLULA CONSTRUTIVA",OFFSET(H1942,-1,0)+1,OFFSET(H1942,-1,0)))</f>
        <v>17</v>
      </c>
      <c r="I1942" s="228" t="str">
        <f t="shared" ref="I1942:I1948" ca="1" si="1603">IF(B1942="*","",IF(B1942="CÉLULA CONSTRUTIVA",S1942,OFFSET(I1942,-1,0)))</f>
        <v xml:space="preserve">   ESQUADRIAS - VIDROS E FERRAGENS</v>
      </c>
      <c r="J1942" s="230">
        <f t="shared" ref="J1942:J1975" ca="1" si="1604">IF(B1942="CÉLULA CONSTRUTIVA",0,IF(B1942="ETAPA",OFFSET(J1942,-1,0)+1,OFFSET(J1942,-1,0)))</f>
        <v>5</v>
      </c>
      <c r="K1942" s="228" t="str">
        <f t="shared" ref="K1942:K1948" ca="1" si="1605">IF(B1942="*","",IF(B1942="ETAPA",S1942,OFFSET(K1942,-1,0)))</f>
        <v xml:space="preserve">   ESQUADRIAS - VIDROS E FERRAGENS - BARRILETE / CAIXA DÁGUA / CASA DE MÁQUINAS</v>
      </c>
      <c r="L1942" s="231">
        <f t="shared" ref="L1942:L1975" ca="1" si="1606">IF(B1942="ETAPA",0,IF(B1942="SUBETAPA",OFFSET(L1942,-1,0)+1,OFFSET(L1942,-1,0)))</f>
        <v>0</v>
      </c>
      <c r="M1942" s="228" t="str">
        <f t="shared" ref="M1942:M1948" ca="1" si="1607">IF(B1942="*","",IF(B1942="SUBETAPA",S1942,OFFSET(M1942,-1,0)))</f>
        <v xml:space="preserve">   Mão de Obra</v>
      </c>
      <c r="N1942" s="231">
        <f t="shared" ref="N1942:N1975" ca="1" si="1608">IF(B1942="Subetapa",0,IF(B1942="serviço",OFFSET(N1942,-1,0)+1,OFFSET(N1942,-1,0)))</f>
        <v>1</v>
      </c>
      <c r="O1942" s="228" t="str">
        <f t="shared" ref="O1942:O1948" ca="1" si="1609">IF(B1942="*","",IF(B1942="SERVIÇO",S1942,OFFSET(O1942,-1,0)))</f>
        <v>Mao de obra para instalação de portas de madeira</v>
      </c>
      <c r="P1942" s="232" t="str">
        <f>IF(S1942="","",IF(Orçamento!$B1942="INSUMO",S1942,""))</f>
        <v/>
      </c>
      <c r="Q1942" s="244" t="str">
        <f t="shared" ref="Q1942:Q1947" si="1610">IF(B1942="","",IF(B1942="Serviço",S1942,""))</f>
        <v/>
      </c>
      <c r="R1942" s="234">
        <f t="shared" ref="R1942:R1948" ca="1" si="1611">IF(B1942="serviço",U1942,OFFSET(R1942,-1,0))</f>
        <v>3</v>
      </c>
      <c r="S1942" s="233" t="s">
        <v>666</v>
      </c>
      <c r="T1942" s="242" t="s">
        <v>35</v>
      </c>
      <c r="U1942" s="235" t="str">
        <f>IF($B1942="insumo",R1942,"")</f>
        <v/>
      </c>
      <c r="V1942" s="320" t="s">
        <v>35</v>
      </c>
      <c r="W1942" s="236" t="str">
        <f>IFERROR(IF(B1942="INSUMO",_xlfn.XLOOKUP(S1942,Insumos!A:A,Insumos!C:C),""),"Inserir Preço")</f>
        <v/>
      </c>
      <c r="X1942" s="235" t="str">
        <f t="shared" ref="X1942:X1948" ca="1" si="1612">IF(B1942="Complemento do insumo",V1942,IF(R1942="","",IF(B1942="serviço",R1942,IF(OR(B1942="insumo"),V1942*R1942,""))))</f>
        <v/>
      </c>
      <c r="Y1942" s="236" t="str">
        <f t="shared" si="1567"/>
        <v/>
      </c>
      <c r="Z1942" s="237">
        <f t="shared" ca="1" si="1597"/>
        <v>19782.78236826371</v>
      </c>
      <c r="AA1942" s="238"/>
      <c r="AB1942" s="233" t="str">
        <f>IF(B1942="insumo",_xlfn.XLOOKUP(S1942,Insumos!A:A,Insumos!D:D),"")</f>
        <v/>
      </c>
      <c r="AC1942" s="239">
        <f t="shared" ca="1" si="1598"/>
        <v>2.838020494400299E-3</v>
      </c>
      <c r="AE1942" s="240">
        <f ca="1">IFERROR(IF(OR(Z1942="",Z1942=0),"",IF(AF1942="","",IF(AF1942="R$/mês",Z1942/OBRA!$D$12,IF(AF1942="R$/m²",Z1942/OBRA!$D$10,IF(AF1942="R$/apto",Orçamento!Z1942/OBRA!$D$11,""))))),"")</f>
        <v>10.180360723261636</v>
      </c>
      <c r="AF1942" s="241" t="s">
        <v>154</v>
      </c>
    </row>
    <row r="1943" spans="1:32" s="10" customFormat="1" ht="13.15" hidden="1" customHeight="1" outlineLevel="3" collapsed="1" x14ac:dyDescent="0.2">
      <c r="A1943" s="227"/>
      <c r="B1943" s="228" t="s">
        <v>3</v>
      </c>
      <c r="C1943" s="229" t="str">
        <f t="shared" si="1596"/>
        <v/>
      </c>
      <c r="D1943" s="227" t="str">
        <f t="shared" ca="1" si="1599"/>
        <v>17.005.001</v>
      </c>
      <c r="E1943" s="228" t="str">
        <f t="shared" ca="1" si="1600"/>
        <v>17.004.004.001</v>
      </c>
      <c r="F1943" s="230">
        <f ca="1">IF($B1943="UNIDADE CONSTRUTIVA",OFFSET(F1943,-1,0)+1,LARGE(F$10:F1942,1))</f>
        <v>2</v>
      </c>
      <c r="G1943" s="228" t="str">
        <f t="shared" ca="1" si="1601"/>
        <v xml:space="preserve">   GERENCIAMENTO EXECUTIVO</v>
      </c>
      <c r="H1943" s="230">
        <f t="shared" ca="1" si="1602"/>
        <v>17</v>
      </c>
      <c r="I1943" s="228" t="str">
        <f t="shared" ca="1" si="1603"/>
        <v xml:space="preserve">   ESQUADRIAS - VIDROS E FERRAGENS</v>
      </c>
      <c r="J1943" s="230">
        <f t="shared" ca="1" si="1604"/>
        <v>5</v>
      </c>
      <c r="K1943" s="228" t="str">
        <f t="shared" ca="1" si="1605"/>
        <v xml:space="preserve">   ESQUADRIAS - VIDROS E FERRAGENS - BARRILETE / CAIXA DÁGUA / CASA DE MÁQUINAS</v>
      </c>
      <c r="L1943" s="231">
        <f t="shared" ca="1" si="1606"/>
        <v>1</v>
      </c>
      <c r="M1943" s="228" t="str">
        <f t="shared" ca="1" si="1607"/>
        <v xml:space="preserve">   Esquadrias Alumínio</v>
      </c>
      <c r="N1943" s="231">
        <f t="shared" ca="1" si="1608"/>
        <v>0</v>
      </c>
      <c r="O1943" s="228" t="str">
        <f t="shared" ca="1" si="1609"/>
        <v>Mao de obra para instalação de portas de madeira</v>
      </c>
      <c r="P1943" s="232" t="str">
        <f>IF(S1943="","",IF(Orçamento!$B1943="INSUMO",S1943,""))</f>
        <v/>
      </c>
      <c r="Q1943" s="244" t="str">
        <f t="shared" si="1610"/>
        <v/>
      </c>
      <c r="R1943" s="234">
        <f t="shared" ca="1" si="1611"/>
        <v>3</v>
      </c>
      <c r="S1943" s="233" t="s">
        <v>635</v>
      </c>
      <c r="T1943" s="242" t="s">
        <v>35</v>
      </c>
      <c r="U1943" s="235" t="str">
        <f>IF($B1943="insumo",R1943,"")</f>
        <v/>
      </c>
      <c r="V1943" s="320" t="s">
        <v>35</v>
      </c>
      <c r="W1943" s="236" t="str">
        <f>IFERROR(IF(B1943="INSUMO",_xlfn.XLOOKUP(S1943,Insumos!A:A,Insumos!C:C),""),"Inserir Preço")</f>
        <v/>
      </c>
      <c r="X1943" s="235" t="str">
        <f t="shared" ca="1" si="1612"/>
        <v/>
      </c>
      <c r="Y1943" s="236" t="str">
        <f t="shared" si="1567"/>
        <v/>
      </c>
      <c r="Z1943" s="237">
        <f t="shared" ca="1" si="1597"/>
        <v>1773.9423682637082</v>
      </c>
      <c r="AA1943" s="238"/>
      <c r="AB1943" s="233" t="str">
        <f>IF(B1943="insumo",_xlfn.XLOOKUP(S1943,Insumos!A:A,Insumos!D:D),"")</f>
        <v/>
      </c>
      <c r="AC1943" s="239">
        <f t="shared" ca="1" si="1598"/>
        <v>2.5448820612281102E-4</v>
      </c>
      <c r="AE1943" s="240">
        <f ca="1">IFERROR(IF(OR(Z1943="",Z1943=0),"",IF(AF1943="","",IF(AF1943="R$/mês",Z1943/OBRA!$D$12,IF(AF1943="R$/m²",Z1943/OBRA!$D$10,IF(AF1943="R$/apto",Orçamento!Z1943/OBRA!$D$11,""))))),"")</f>
        <v>0.91288337884023418</v>
      </c>
      <c r="AF1943" s="241" t="s">
        <v>154</v>
      </c>
    </row>
    <row r="1944" spans="1:32" s="10" customFormat="1" ht="13.15" hidden="1" customHeight="1" outlineLevel="4" x14ac:dyDescent="0.2">
      <c r="A1944" s="227"/>
      <c r="B1944" s="228" t="s">
        <v>4</v>
      </c>
      <c r="C1944" s="229">
        <f t="shared" si="1596"/>
        <v>5</v>
      </c>
      <c r="D1944" s="227" t="str">
        <f t="shared" ca="1" si="1599"/>
        <v>17.005.001.001</v>
      </c>
      <c r="E1944" s="228" t="str">
        <f t="shared" ca="1" si="1600"/>
        <v>17.005.001.001</v>
      </c>
      <c r="F1944" s="230">
        <f ca="1">IF($B1944="UNIDADE CONSTRUTIVA",OFFSET(F1944,-1,0)+1,LARGE(F$10:F1943,1))</f>
        <v>2</v>
      </c>
      <c r="G1944" s="228" t="str">
        <f t="shared" ca="1" si="1601"/>
        <v xml:space="preserve">   GERENCIAMENTO EXECUTIVO</v>
      </c>
      <c r="H1944" s="230">
        <f t="shared" ca="1" si="1602"/>
        <v>17</v>
      </c>
      <c r="I1944" s="228" t="str">
        <f t="shared" ca="1" si="1603"/>
        <v xml:space="preserve">   ESQUADRIAS - VIDROS E FERRAGENS</v>
      </c>
      <c r="J1944" s="230">
        <f t="shared" ca="1" si="1604"/>
        <v>5</v>
      </c>
      <c r="K1944" s="228" t="str">
        <f t="shared" ca="1" si="1605"/>
        <v xml:space="preserve">   ESQUADRIAS - VIDROS E FERRAGENS - BARRILETE / CAIXA DÁGUA / CASA DE MÁQUINAS</v>
      </c>
      <c r="L1944" s="231">
        <f t="shared" ca="1" si="1606"/>
        <v>1</v>
      </c>
      <c r="M1944" s="228" t="str">
        <f t="shared" ca="1" si="1607"/>
        <v xml:space="preserve">   Esquadrias Alumínio</v>
      </c>
      <c r="N1944" s="231">
        <f t="shared" ca="1" si="1608"/>
        <v>1</v>
      </c>
      <c r="O1944" s="228" t="str">
        <f t="shared" ca="1" si="1609"/>
        <v>Fixacao de de contramarcos com argamassa</v>
      </c>
      <c r="P1944" s="232" t="str">
        <f>IF(S1944="","",IF(Orçamento!$B1944="INSUMO",S1944,""))</f>
        <v/>
      </c>
      <c r="Q1944" s="244" t="str">
        <f t="shared" si="1610"/>
        <v>Fixacao de de contramarcos com argamassa</v>
      </c>
      <c r="R1944" s="234">
        <f t="shared" ca="1" si="1611"/>
        <v>24.82</v>
      </c>
      <c r="S1944" s="233" t="s">
        <v>503</v>
      </c>
      <c r="T1944" s="242" t="s">
        <v>158</v>
      </c>
      <c r="U1944" s="235">
        <v>24.82</v>
      </c>
      <c r="V1944" s="320" t="s">
        <v>35</v>
      </c>
      <c r="W1944" s="236" t="str">
        <f>IFERROR(IF(B1944="INSUMO",_xlfn.XLOOKUP(S1944,Insumos!A:A,Insumos!C:C),""),"Inserir Preço")</f>
        <v/>
      </c>
      <c r="X1944" s="235">
        <f t="shared" ca="1" si="1612"/>
        <v>24.82</v>
      </c>
      <c r="Y1944" s="236">
        <f t="shared" ca="1" si="1567"/>
        <v>0.85</v>
      </c>
      <c r="Z1944" s="237">
        <f t="shared" ca="1" si="1597"/>
        <v>21.097000000000001</v>
      </c>
      <c r="AA1944" s="238"/>
      <c r="AB1944" s="233" t="str">
        <f>IF(B1944="insumo",_xlfn.XLOOKUP(S1944,Insumos!A:A,Insumos!D:D),"")</f>
        <v/>
      </c>
      <c r="AC1944" s="239">
        <f t="shared" ca="1" si="1598"/>
        <v>3.0265569956638052E-6</v>
      </c>
      <c r="AE1944" s="240">
        <f ca="1">IFERROR(IF(OR(Z1944="",Z1944=0),"",IF(AF1944="","",IF(AF1944="R$/mês",Z1944/OBRA!$D$12,IF(AF1944="R$/m²",Z1944/OBRA!$D$10,IF(AF1944="R$/apto",Orçamento!Z1944/OBRA!$D$11,""))))),"")</f>
        <v>1.0856666477977389E-2</v>
      </c>
      <c r="AF1944" s="241" t="s">
        <v>154</v>
      </c>
    </row>
    <row r="1945" spans="1:32" s="10" customFormat="1" ht="13.15" hidden="1" customHeight="1" outlineLevel="4" x14ac:dyDescent="0.2">
      <c r="A1945" s="227"/>
      <c r="B1945" s="228" t="s">
        <v>19</v>
      </c>
      <c r="C1945" s="229">
        <f t="shared" si="1596"/>
        <v>19</v>
      </c>
      <c r="D1945" s="227" t="str">
        <f t="shared" si="1599"/>
        <v/>
      </c>
      <c r="E1945" s="228" t="str">
        <f t="shared" ca="1" si="1600"/>
        <v>17.005.001.001</v>
      </c>
      <c r="F1945" s="230">
        <f ca="1">IF($B1945="UNIDADE CONSTRUTIVA",OFFSET(F1945,-1,0)+1,LARGE(F$10:F1944,1))</f>
        <v>2</v>
      </c>
      <c r="G1945" s="228" t="str">
        <f t="shared" ca="1" si="1601"/>
        <v xml:space="preserve">   GERENCIAMENTO EXECUTIVO</v>
      </c>
      <c r="H1945" s="230">
        <f t="shared" ca="1" si="1602"/>
        <v>17</v>
      </c>
      <c r="I1945" s="228" t="str">
        <f t="shared" ca="1" si="1603"/>
        <v xml:space="preserve">   ESQUADRIAS - VIDROS E FERRAGENS</v>
      </c>
      <c r="J1945" s="230">
        <f t="shared" ca="1" si="1604"/>
        <v>5</v>
      </c>
      <c r="K1945" s="228" t="str">
        <f t="shared" ca="1" si="1605"/>
        <v xml:space="preserve">   ESQUADRIAS - VIDROS E FERRAGENS - BARRILETE / CAIXA DÁGUA / CASA DE MÁQUINAS</v>
      </c>
      <c r="L1945" s="231">
        <f t="shared" ca="1" si="1606"/>
        <v>1</v>
      </c>
      <c r="M1945" s="228" t="str">
        <f t="shared" ca="1" si="1607"/>
        <v xml:space="preserve">   Esquadrias Alumínio</v>
      </c>
      <c r="N1945" s="231">
        <f t="shared" ca="1" si="1608"/>
        <v>1</v>
      </c>
      <c r="O1945" s="228" t="str">
        <f t="shared" ca="1" si="1609"/>
        <v>Fixacao de de contramarcos com argamassa</v>
      </c>
      <c r="P1945" s="232" t="str">
        <f>IF(S1945="","",IF(Orçamento!$B1945="INSUMO",S1945,""))</f>
        <v>ARGAMASSA ESTABILIZADA P/ ASSENTAMENTO</v>
      </c>
      <c r="Q1945" s="244" t="str">
        <f t="shared" si="1610"/>
        <v/>
      </c>
      <c r="R1945" s="234">
        <f t="shared" ca="1" si="1611"/>
        <v>24.82</v>
      </c>
      <c r="S1945" s="233" t="s">
        <v>206</v>
      </c>
      <c r="T1945" s="242" t="str">
        <f>_xlfn.XLOOKUP(S1945,Insumos!$A$3:$A$371,Insumos!$B$3:$B$371)</f>
        <v>M3</v>
      </c>
      <c r="U1945" s="235">
        <f ca="1">IF($B1945="insumo",R1945,"")</f>
        <v>24.82</v>
      </c>
      <c r="V1945" s="320">
        <v>2E-3</v>
      </c>
      <c r="W1945" s="236">
        <f>IFERROR(IF(B1945="INSUMO",_xlfn.XLOOKUP(S1945,Insumos!A:A,Insumos!C:C),""),"Inserir Preço")</f>
        <v>425</v>
      </c>
      <c r="X1945" s="235">
        <f t="shared" ca="1" si="1612"/>
        <v>4.9640000000000004E-2</v>
      </c>
      <c r="Y1945" s="236">
        <f t="shared" si="1567"/>
        <v>0.85</v>
      </c>
      <c r="Z1945" s="237">
        <f t="shared" ca="1" si="1597"/>
        <v>21.097000000000001</v>
      </c>
      <c r="AA1945" s="238"/>
      <c r="AB1945" s="233" t="str">
        <f>IF(B1945="insumo",_xlfn.XLOOKUP(S1945,Insumos!A:A,Insumos!D:D),"")</f>
        <v xml:space="preserve"> </v>
      </c>
      <c r="AC1945" s="239">
        <f t="shared" ca="1" si="1598"/>
        <v>3.0265569956638052E-6</v>
      </c>
      <c r="AE1945" s="240">
        <f ca="1">IFERROR(IF(OR(Z1945="",Z1945=0),"",IF(AF1945="","",IF(AF1945="R$/mês",Z1945/OBRA!$D$12,IF(AF1945="R$/m²",Z1945/OBRA!$D$10,IF(AF1945="R$/apto",Orçamento!Z1945/OBRA!$D$11,""))))),"")</f>
        <v>1.0856666477977389E-2</v>
      </c>
      <c r="AF1945" s="241" t="s">
        <v>154</v>
      </c>
    </row>
    <row r="1946" spans="1:32" s="10" customFormat="1" ht="13.15" hidden="1" customHeight="1" outlineLevel="4" x14ac:dyDescent="0.2">
      <c r="A1946" s="227"/>
      <c r="B1946" s="228" t="s">
        <v>4</v>
      </c>
      <c r="C1946" s="229">
        <f t="shared" si="1596"/>
        <v>5</v>
      </c>
      <c r="D1946" s="227" t="str">
        <f t="shared" ca="1" si="1599"/>
        <v>17.005.001.002</v>
      </c>
      <c r="E1946" s="228" t="str">
        <f t="shared" ca="1" si="1600"/>
        <v>17.005.001.002</v>
      </c>
      <c r="F1946" s="230">
        <f ca="1">IF($B1946="UNIDADE CONSTRUTIVA",OFFSET(F1946,-1,0)+1,LARGE(F$10:F1945,1))</f>
        <v>2</v>
      </c>
      <c r="G1946" s="228" t="str">
        <f t="shared" ca="1" si="1601"/>
        <v xml:space="preserve">   GERENCIAMENTO EXECUTIVO</v>
      </c>
      <c r="H1946" s="230">
        <f t="shared" ca="1" si="1602"/>
        <v>17</v>
      </c>
      <c r="I1946" s="228" t="str">
        <f t="shared" ca="1" si="1603"/>
        <v xml:space="preserve">   ESQUADRIAS - VIDROS E FERRAGENS</v>
      </c>
      <c r="J1946" s="230">
        <f t="shared" ca="1" si="1604"/>
        <v>5</v>
      </c>
      <c r="K1946" s="228" t="str">
        <f t="shared" ca="1" si="1605"/>
        <v xml:space="preserve">   ESQUADRIAS - VIDROS E FERRAGENS - BARRILETE / CAIXA DÁGUA / CASA DE MÁQUINAS</v>
      </c>
      <c r="L1946" s="231">
        <f t="shared" ca="1" si="1606"/>
        <v>1</v>
      </c>
      <c r="M1946" s="228" t="str">
        <f t="shared" ca="1" si="1607"/>
        <v xml:space="preserve">   Esquadrias Alumínio</v>
      </c>
      <c r="N1946" s="231">
        <f t="shared" ca="1" si="1608"/>
        <v>2</v>
      </c>
      <c r="O1946" s="228" t="str">
        <f t="shared" ca="1" si="1609"/>
        <v>Esquadrias de Aluminio - Fornecimento e instalacao incluindo vidros</v>
      </c>
      <c r="P1946" s="232" t="str">
        <f>IF(S1946="","",IF(Orçamento!$B1946="INSUMO",S1946,""))</f>
        <v/>
      </c>
      <c r="Q1946" s="244" t="str">
        <f t="shared" si="1610"/>
        <v>Esquadrias de Aluminio - Fornecimento e instalacao incluindo vidros</v>
      </c>
      <c r="R1946" s="234">
        <f t="shared" ca="1" si="1611"/>
        <v>2.11</v>
      </c>
      <c r="S1946" s="233" t="s">
        <v>504</v>
      </c>
      <c r="T1946" s="242" t="s">
        <v>140</v>
      </c>
      <c r="U1946" s="235">
        <v>2.11</v>
      </c>
      <c r="V1946" s="320" t="s">
        <v>35</v>
      </c>
      <c r="W1946" s="236" t="str">
        <f>IFERROR(IF(B1946="INSUMO",_xlfn.XLOOKUP(S1946,Insumos!A:A,Insumos!C:C),""),"Inserir Preço")</f>
        <v/>
      </c>
      <c r="X1946" s="235">
        <f t="shared" ca="1" si="1612"/>
        <v>2.11</v>
      </c>
      <c r="Y1946" s="236">
        <f t="shared" ca="1" si="1567"/>
        <v>830.73240202071486</v>
      </c>
      <c r="Z1946" s="237">
        <f t="shared" ca="1" si="1597"/>
        <v>1752.8453682637082</v>
      </c>
      <c r="AA1946" s="238"/>
      <c r="AB1946" s="233" t="str">
        <f>IF(B1946="insumo",_xlfn.XLOOKUP(S1946,Insumos!A:A,Insumos!D:D),"")</f>
        <v/>
      </c>
      <c r="AC1946" s="239">
        <f t="shared" ca="1" si="1598"/>
        <v>2.5146164912714719E-4</v>
      </c>
      <c r="AE1946" s="240">
        <f ca="1">IFERROR(IF(OR(Z1946="",Z1946=0),"",IF(AF1946="","",IF(AF1946="R$/mês",Z1946/OBRA!$D$12,IF(AF1946="R$/m²",Z1946/OBRA!$D$10,IF(AF1946="R$/apto",Orçamento!Z1946/OBRA!$D$11,""))))),"")</f>
        <v>0.90202671236225673</v>
      </c>
      <c r="AF1946" s="241" t="s">
        <v>154</v>
      </c>
    </row>
    <row r="1947" spans="1:32" s="10" customFormat="1" ht="13.15" hidden="1" customHeight="1" outlineLevel="4" x14ac:dyDescent="0.2">
      <c r="A1947" s="227"/>
      <c r="B1947" s="228" t="s">
        <v>19</v>
      </c>
      <c r="C1947" s="229">
        <f t="shared" si="1596"/>
        <v>5</v>
      </c>
      <c r="D1947" s="227" t="str">
        <f t="shared" si="1599"/>
        <v/>
      </c>
      <c r="E1947" s="228" t="str">
        <f t="shared" ca="1" si="1600"/>
        <v>17.005.001.002</v>
      </c>
      <c r="F1947" s="230">
        <f ca="1">IF($B1947="UNIDADE CONSTRUTIVA",OFFSET(F1947,-1,0)+1,LARGE(F$10:F1946,1))</f>
        <v>2</v>
      </c>
      <c r="G1947" s="228" t="str">
        <f t="shared" ca="1" si="1601"/>
        <v xml:space="preserve">   GERENCIAMENTO EXECUTIVO</v>
      </c>
      <c r="H1947" s="230">
        <f t="shared" ca="1" si="1602"/>
        <v>17</v>
      </c>
      <c r="I1947" s="228" t="str">
        <f t="shared" ca="1" si="1603"/>
        <v xml:space="preserve">   ESQUADRIAS - VIDROS E FERRAGENS</v>
      </c>
      <c r="J1947" s="230">
        <f t="shared" ca="1" si="1604"/>
        <v>5</v>
      </c>
      <c r="K1947" s="228" t="str">
        <f t="shared" ca="1" si="1605"/>
        <v xml:space="preserve">   ESQUADRIAS - VIDROS E FERRAGENS - BARRILETE / CAIXA DÁGUA / CASA DE MÁQUINAS</v>
      </c>
      <c r="L1947" s="231">
        <f t="shared" ca="1" si="1606"/>
        <v>1</v>
      </c>
      <c r="M1947" s="228" t="str">
        <f t="shared" ca="1" si="1607"/>
        <v xml:space="preserve">   Esquadrias Alumínio</v>
      </c>
      <c r="N1947" s="231">
        <f t="shared" ca="1" si="1608"/>
        <v>2</v>
      </c>
      <c r="O1947" s="228" t="str">
        <f t="shared" ca="1" si="1609"/>
        <v>Esquadrias de Aluminio - Fornecimento e instalacao incluindo vidros</v>
      </c>
      <c r="P1947" s="232" t="str">
        <f>IF(S1947="","",IF(Orçamento!$B1947="INSUMO",S1947,""))</f>
        <v>ESQUADRIAS DE ALUMINIO</v>
      </c>
      <c r="Q1947" s="244" t="str">
        <f t="shared" si="1610"/>
        <v/>
      </c>
      <c r="R1947" s="234">
        <f t="shared" ca="1" si="1611"/>
        <v>2.11</v>
      </c>
      <c r="S1947" s="233" t="s">
        <v>238</v>
      </c>
      <c r="T1947" s="242" t="str">
        <f>_xlfn.XLOOKUP(S1947,Insumos!$A$3:$A$371,Insumos!$B$3:$B$371)</f>
        <v>M2</v>
      </c>
      <c r="U1947" s="235">
        <f ca="1">IF($B1947="insumo",R1947,"")</f>
        <v>2.11</v>
      </c>
      <c r="V1947" s="320">
        <v>1</v>
      </c>
      <c r="W1947" s="236">
        <f>IFERROR(IF(B1947="INSUMO",_xlfn.XLOOKUP(S1947,Insumos!A:A,Insumos!C:C),""),"Inserir Preço")</f>
        <v>830.73240202071486</v>
      </c>
      <c r="X1947" s="235">
        <f t="shared" ca="1" si="1612"/>
        <v>2.11</v>
      </c>
      <c r="Y1947" s="236">
        <f t="shared" si="1567"/>
        <v>830.73240202071486</v>
      </c>
      <c r="Z1947" s="237">
        <f t="shared" ca="1" si="1597"/>
        <v>1752.8453682637082</v>
      </c>
      <c r="AA1947" s="238"/>
      <c r="AB1947" s="233" t="str">
        <f>IF(B1947="insumo",_xlfn.XLOOKUP(S1947,Insumos!A:A,Insumos!D:D),"")</f>
        <v>Fort Glass transparência que fortalece</v>
      </c>
      <c r="AC1947" s="239">
        <f t="shared" ca="1" si="1598"/>
        <v>2.5146164912714719E-4</v>
      </c>
      <c r="AE1947" s="240">
        <f ca="1">IFERROR(IF(OR(Z1947="",Z1947=0),"",IF(AF1947="","",IF(AF1947="R$/mês",Z1947/OBRA!$D$12,IF(AF1947="R$/m²",Z1947/OBRA!$D$10,IF(AF1947="R$/apto",Orçamento!Z1947/OBRA!$D$11,""))))),"")</f>
        <v>0.90202671236225673</v>
      </c>
      <c r="AF1947" s="241" t="s">
        <v>154</v>
      </c>
    </row>
    <row r="1948" spans="1:32" s="10" customFormat="1" ht="13.15" hidden="1" customHeight="1" outlineLevel="3" collapsed="1" x14ac:dyDescent="0.2">
      <c r="A1948" s="227"/>
      <c r="B1948" s="228" t="s">
        <v>3</v>
      </c>
      <c r="C1948" s="229" t="str">
        <f t="shared" si="1596"/>
        <v/>
      </c>
      <c r="D1948" s="227" t="str">
        <f t="shared" ca="1" si="1599"/>
        <v>17.005.002</v>
      </c>
      <c r="E1948" s="228" t="str">
        <f t="shared" ca="1" si="1600"/>
        <v>17.005.001.002</v>
      </c>
      <c r="F1948" s="230">
        <f ca="1">IF($B1948="UNIDADE CONSTRUTIVA",OFFSET(F1948,-1,0)+1,LARGE(F$10:F1947,1))</f>
        <v>2</v>
      </c>
      <c r="G1948" s="228" t="str">
        <f t="shared" ca="1" si="1601"/>
        <v xml:space="preserve">   GERENCIAMENTO EXECUTIVO</v>
      </c>
      <c r="H1948" s="230">
        <f t="shared" ca="1" si="1602"/>
        <v>17</v>
      </c>
      <c r="I1948" s="228" t="str">
        <f t="shared" ca="1" si="1603"/>
        <v xml:space="preserve">   ESQUADRIAS - VIDROS E FERRAGENS</v>
      </c>
      <c r="J1948" s="230">
        <f t="shared" ca="1" si="1604"/>
        <v>5</v>
      </c>
      <c r="K1948" s="228" t="str">
        <f t="shared" ca="1" si="1605"/>
        <v xml:space="preserve">   ESQUADRIAS - VIDROS E FERRAGENS - BARRILETE / CAIXA DÁGUA / CASA DE MÁQUINAS</v>
      </c>
      <c r="L1948" s="231">
        <f t="shared" ca="1" si="1606"/>
        <v>2</v>
      </c>
      <c r="M1948" s="228" t="str">
        <f t="shared" ca="1" si="1607"/>
        <v xml:space="preserve">   Esquadrias metalicas</v>
      </c>
      <c r="N1948" s="231">
        <f t="shared" ca="1" si="1608"/>
        <v>0</v>
      </c>
      <c r="O1948" s="228" t="str">
        <f t="shared" ca="1" si="1609"/>
        <v>Esquadrias de Aluminio - Fornecimento e instalacao incluindo vidros</v>
      </c>
      <c r="P1948" s="232" t="str">
        <f>IF(S1948="","",IF(Orçamento!$B1948="INSUMO",S1948,""))</f>
        <v/>
      </c>
      <c r="Q1948" s="244" t="str">
        <f>IF(B1948="","",IF(B1948="Serviço",S1948,""))</f>
        <v/>
      </c>
      <c r="R1948" s="234">
        <f t="shared" ca="1" si="1611"/>
        <v>2.11</v>
      </c>
      <c r="S1948" s="233" t="s">
        <v>502</v>
      </c>
      <c r="T1948" s="242" t="s">
        <v>35</v>
      </c>
      <c r="U1948" s="235" t="str">
        <f>IF($B1948="insumo",R1948,"")</f>
        <v/>
      </c>
      <c r="V1948" s="320" t="s">
        <v>35</v>
      </c>
      <c r="W1948" s="236" t="str">
        <f>IFERROR(IF(B1948="INSUMO",_xlfn.XLOOKUP(S1948,Insumos!A:A,Insumos!C:C),""),"Inserir Preço")</f>
        <v/>
      </c>
      <c r="X1948" s="235" t="str">
        <f t="shared" ca="1" si="1612"/>
        <v/>
      </c>
      <c r="Y1948" s="236" t="str">
        <f t="shared" si="1567"/>
        <v/>
      </c>
      <c r="Z1948" s="237">
        <f t="shared" ca="1" si="1597"/>
        <v>18008.84</v>
      </c>
      <c r="AA1948" s="238"/>
      <c r="AB1948" s="233" t="str">
        <f>IF(B1948="insumo",_xlfn.XLOOKUP(S1948,Insumos!A:A,Insumos!D:D),"")</f>
        <v/>
      </c>
      <c r="AC1948" s="239">
        <f t="shared" ca="1" si="1598"/>
        <v>2.5835322882774877E-3</v>
      </c>
      <c r="AE1948" s="240">
        <f ca="1">IFERROR(IF(OR(Z1948="",Z1948=0),"",IF(AF1948="","",IF(AF1948="R$/mês",Z1948/OBRA!$D$12,IF(AF1948="R$/m²",Z1948/OBRA!$D$10,IF(AF1948="R$/apto",Orçamento!Z1948/OBRA!$D$11,""))))),"")</f>
        <v>9.2674773444214011</v>
      </c>
      <c r="AF1948" s="241" t="s">
        <v>154</v>
      </c>
    </row>
    <row r="1949" spans="1:32" s="10" customFormat="1" ht="13.15" hidden="1" customHeight="1" outlineLevel="4" x14ac:dyDescent="0.2">
      <c r="A1949" s="227"/>
      <c r="B1949" s="228" t="s">
        <v>4</v>
      </c>
      <c r="C1949" s="229">
        <f t="shared" si="1596"/>
        <v>5</v>
      </c>
      <c r="D1949" s="227" t="str">
        <f t="shared" ca="1" si="1599"/>
        <v>17.005.002.001</v>
      </c>
      <c r="E1949" s="228" t="str">
        <f t="shared" ca="1" si="1600"/>
        <v>17.005.002.001</v>
      </c>
      <c r="F1949" s="230">
        <f ca="1">IF($B1949="UNIDADE CONSTRUTIVA",OFFSET(F1949,-1,0)+1,LARGE(F$10:F1948,1))</f>
        <v>2</v>
      </c>
      <c r="G1949" s="228" t="str">
        <f t="shared" ref="G1949:G1962" ca="1" si="1613">IF(B1949="*","",IF(B1949="UNIDADE CONSTRUTIVA",S1949,OFFSET(G1949,-1,0)))</f>
        <v xml:space="preserve">   GERENCIAMENTO EXECUTIVO</v>
      </c>
      <c r="H1949" s="230">
        <f t="shared" ca="1" si="1602"/>
        <v>17</v>
      </c>
      <c r="I1949" s="228" t="str">
        <f t="shared" ref="I1949:I1962" ca="1" si="1614">IF(B1949="*","",IF(B1949="CÉLULA CONSTRUTIVA",S1949,OFFSET(I1949,-1,0)))</f>
        <v xml:space="preserve">   ESQUADRIAS - VIDROS E FERRAGENS</v>
      </c>
      <c r="J1949" s="230">
        <f t="shared" ca="1" si="1604"/>
        <v>5</v>
      </c>
      <c r="K1949" s="228" t="str">
        <f t="shared" ref="K1949:K1962" ca="1" si="1615">IF(B1949="*","",IF(B1949="ETAPA",S1949,OFFSET(K1949,-1,0)))</f>
        <v xml:space="preserve">   ESQUADRIAS - VIDROS E FERRAGENS - BARRILETE / CAIXA DÁGUA / CASA DE MÁQUINAS</v>
      </c>
      <c r="L1949" s="231">
        <f t="shared" ca="1" si="1606"/>
        <v>2</v>
      </c>
      <c r="M1949" s="228" t="str">
        <f t="shared" ref="M1949:M1962" ca="1" si="1616">IF(B1949="*","",IF(B1949="SUBETAPA",S1949,OFFSET(M1949,-1,0)))</f>
        <v xml:space="preserve">   Esquadrias metalicas</v>
      </c>
      <c r="N1949" s="231">
        <f t="shared" ca="1" si="1608"/>
        <v>1</v>
      </c>
      <c r="O1949" s="228" t="str">
        <f t="shared" ref="O1949:O1962" ca="1" si="1617">IF(B1949="*","",IF(B1949="SERVIÇO",S1949,OFFSET(O1949,-1,0)))</f>
        <v>Esquadrias Metálicas - Porta Corta Fogo - fornecimento e instalacao</v>
      </c>
      <c r="P1949" s="232" t="str">
        <f>IF(S1949="","",IF(Orçamento!$B1949="INSUMO",S1949,""))</f>
        <v/>
      </c>
      <c r="Q1949" s="244" t="str">
        <f t="shared" ref="Q1949:Q1962" si="1618">IF(B1949="","",IF(B1949="Serviço",S1949,""))</f>
        <v>Esquadrias Metálicas - Porta Corta Fogo - fornecimento e instalacao</v>
      </c>
      <c r="R1949" s="234">
        <f t="shared" ref="R1949:R1962" ca="1" si="1619">IF(B1949="serviço",U1949,OFFSET(R1949,-1,0))</f>
        <v>1</v>
      </c>
      <c r="S1949" s="233" t="s">
        <v>824</v>
      </c>
      <c r="T1949" s="242" t="s">
        <v>142</v>
      </c>
      <c r="U1949" s="235">
        <v>1</v>
      </c>
      <c r="V1949" s="320" t="s">
        <v>35</v>
      </c>
      <c r="W1949" s="236" t="str">
        <f>IFERROR(IF(B1949="INSUMO",_xlfn.XLOOKUP(S1949,Insumos!A:A,Insumos!C:C),""),"Inserir Preço")</f>
        <v/>
      </c>
      <c r="X1949" s="235">
        <f t="shared" ref="X1949:X1962" ca="1" si="1620">IF(B1949="Complemento do insumo",V1949,IF(R1949="","",IF(B1949="serviço",R1949,IF(OR(B1949="insumo"),V1949*R1949,""))))</f>
        <v>1</v>
      </c>
      <c r="Y1949" s="236">
        <f t="shared" ca="1" si="1567"/>
        <v>1569.69</v>
      </c>
      <c r="Z1949" s="237">
        <f t="shared" ca="1" si="1597"/>
        <v>1569.69</v>
      </c>
      <c r="AA1949" s="238"/>
      <c r="AB1949" s="233" t="str">
        <f>IF(B1949="insumo",_xlfn.XLOOKUP(S1949,Insumos!A:A,Insumos!D:D),"")</f>
        <v/>
      </c>
      <c r="AC1949" s="239">
        <f t="shared" ca="1" si="1598"/>
        <v>2.2518634168476647E-4</v>
      </c>
      <c r="AE1949" s="240">
        <f ca="1">IFERROR(IF(OR(Z1949="",Z1949=0),"",IF(AF1949="","",IF(AF1949="R$/mês",Z1949/OBRA!$D$12,IF(AF1949="R$/m²",Z1949/OBRA!$D$10,IF(AF1949="R$/apto",Orçamento!Z1949/OBRA!$D$11,""))))),"")</f>
        <v>0.80777365520293531</v>
      </c>
      <c r="AF1949" s="241" t="s">
        <v>154</v>
      </c>
    </row>
    <row r="1950" spans="1:32" s="10" customFormat="1" ht="13.15" hidden="1" customHeight="1" outlineLevel="4" x14ac:dyDescent="0.2">
      <c r="A1950" s="227"/>
      <c r="B1950" s="228" t="s">
        <v>19</v>
      </c>
      <c r="C1950" s="229">
        <f t="shared" si="1596"/>
        <v>5</v>
      </c>
      <c r="D1950" s="227" t="str">
        <f t="shared" si="1599"/>
        <v/>
      </c>
      <c r="E1950" s="228" t="str">
        <f t="shared" ca="1" si="1600"/>
        <v>17.005.002.001</v>
      </c>
      <c r="F1950" s="230">
        <f ca="1">IF($B1950="UNIDADE CONSTRUTIVA",OFFSET(F1950,-1,0)+1,LARGE(F$10:F1949,1))</f>
        <v>2</v>
      </c>
      <c r="G1950" s="228" t="str">
        <f t="shared" ca="1" si="1613"/>
        <v xml:space="preserve">   GERENCIAMENTO EXECUTIVO</v>
      </c>
      <c r="H1950" s="230">
        <f t="shared" ca="1" si="1602"/>
        <v>17</v>
      </c>
      <c r="I1950" s="228" t="str">
        <f t="shared" ca="1" si="1614"/>
        <v xml:space="preserve">   ESQUADRIAS - VIDROS E FERRAGENS</v>
      </c>
      <c r="J1950" s="230">
        <f t="shared" ca="1" si="1604"/>
        <v>5</v>
      </c>
      <c r="K1950" s="228" t="str">
        <f t="shared" ca="1" si="1615"/>
        <v xml:space="preserve">   ESQUADRIAS - VIDROS E FERRAGENS - BARRILETE / CAIXA DÁGUA / CASA DE MÁQUINAS</v>
      </c>
      <c r="L1950" s="231">
        <f t="shared" ca="1" si="1606"/>
        <v>2</v>
      </c>
      <c r="M1950" s="228" t="str">
        <f t="shared" ca="1" si="1616"/>
        <v xml:space="preserve">   Esquadrias metalicas</v>
      </c>
      <c r="N1950" s="231">
        <f t="shared" ca="1" si="1608"/>
        <v>1</v>
      </c>
      <c r="O1950" s="228" t="str">
        <f t="shared" ca="1" si="1617"/>
        <v>Esquadrias Metálicas - Porta Corta Fogo - fornecimento e instalacao</v>
      </c>
      <c r="P1950" s="232" t="str">
        <f>IF(S1950="","",IF(Orçamento!$B1950="INSUMO",S1950,""))</f>
        <v>PCF - PORTA ESPECIAL  - ABRIR (E. VERTIVAL) - 80X210</v>
      </c>
      <c r="Q1950" s="244" t="str">
        <f t="shared" si="1618"/>
        <v/>
      </c>
      <c r="R1950" s="234">
        <f t="shared" ca="1" si="1619"/>
        <v>1</v>
      </c>
      <c r="S1950" s="233" t="s">
        <v>683</v>
      </c>
      <c r="T1950" s="242" t="str">
        <f>_xlfn.XLOOKUP(S1950,Insumos!$A$3:$A$371,Insumos!$B$3:$B$371)</f>
        <v>UN</v>
      </c>
      <c r="U1950" s="235">
        <f t="shared" ref="U1950:U1956" ca="1" si="1621">IF($B1950="insumo",R1950,"")</f>
        <v>1</v>
      </c>
      <c r="V1950" s="320">
        <v>1</v>
      </c>
      <c r="W1950" s="236">
        <f>IFERROR(IF(B1950="INSUMO",_xlfn.XLOOKUP(S1950,Insumos!A:A,Insumos!C:C),""),"Inserir Preço")</f>
        <v>1569.69</v>
      </c>
      <c r="X1950" s="235">
        <f t="shared" ca="1" si="1620"/>
        <v>1</v>
      </c>
      <c r="Y1950" s="236">
        <f t="shared" si="1567"/>
        <v>1569.69</v>
      </c>
      <c r="Z1950" s="237">
        <f t="shared" ca="1" si="1597"/>
        <v>1569.69</v>
      </c>
      <c r="AA1950" s="238"/>
      <c r="AB1950" s="233" t="str">
        <f>IF(B1950="insumo",_xlfn.XLOOKUP(S1950,Insumos!A:A,Insumos!D:D),"")</f>
        <v xml:space="preserve"> </v>
      </c>
      <c r="AC1950" s="239">
        <f t="shared" ca="1" si="1598"/>
        <v>2.2518634168476647E-4</v>
      </c>
      <c r="AE1950" s="240">
        <f ca="1">IFERROR(IF(OR(Z1950="",Z1950=0),"",IF(AF1950="","",IF(AF1950="R$/mês",Z1950/OBRA!$D$12,IF(AF1950="R$/m²",Z1950/OBRA!$D$10,IF(AF1950="R$/apto",Orçamento!Z1950/OBRA!$D$11,""))))),"")</f>
        <v>0.80777365520293531</v>
      </c>
      <c r="AF1950" s="241" t="s">
        <v>154</v>
      </c>
    </row>
    <row r="1951" spans="1:32" s="10" customFormat="1" ht="13.15" hidden="1" customHeight="1" outlineLevel="4" x14ac:dyDescent="0.2">
      <c r="A1951" s="227"/>
      <c r="B1951" s="228" t="s">
        <v>4</v>
      </c>
      <c r="C1951" s="229">
        <f t="shared" si="1596"/>
        <v>4</v>
      </c>
      <c r="D1951" s="227" t="str">
        <f t="shared" ca="1" si="1599"/>
        <v>17.005.002.002</v>
      </c>
      <c r="E1951" s="228" t="str">
        <f t="shared" ca="1" si="1600"/>
        <v>17.005.002.002</v>
      </c>
      <c r="F1951" s="230">
        <f ca="1">IF($B1951="UNIDADE CONSTRUTIVA",OFFSET(F1951,-1,0)+1,LARGE(F$10:F1950,1))</f>
        <v>2</v>
      </c>
      <c r="G1951" s="228" t="str">
        <f t="shared" ca="1" si="1613"/>
        <v xml:space="preserve">   GERENCIAMENTO EXECUTIVO</v>
      </c>
      <c r="H1951" s="230">
        <f t="shared" ca="1" si="1602"/>
        <v>17</v>
      </c>
      <c r="I1951" s="228" t="str">
        <f t="shared" ca="1" si="1614"/>
        <v xml:space="preserve">   ESQUADRIAS - VIDROS E FERRAGENS</v>
      </c>
      <c r="J1951" s="230">
        <f t="shared" ca="1" si="1604"/>
        <v>5</v>
      </c>
      <c r="K1951" s="228" t="str">
        <f t="shared" ca="1" si="1615"/>
        <v xml:space="preserve">   ESQUADRIAS - VIDROS E FERRAGENS - BARRILETE / CAIXA DÁGUA / CASA DE MÁQUINAS</v>
      </c>
      <c r="L1951" s="231">
        <f t="shared" ca="1" si="1606"/>
        <v>2</v>
      </c>
      <c r="M1951" s="228" t="str">
        <f t="shared" ca="1" si="1616"/>
        <v xml:space="preserve">   Esquadrias metalicas</v>
      </c>
      <c r="N1951" s="231">
        <f t="shared" ca="1" si="1608"/>
        <v>2</v>
      </c>
      <c r="O1951" s="228" t="str">
        <f t="shared" ca="1" si="1617"/>
        <v>Esquadrias Metálicas - Janela Fixa - fornecimento e instalacao</v>
      </c>
      <c r="P1951" s="232" t="str">
        <f>IF(S1951="","",IF(Orçamento!$B1951="INSUMO",S1951,""))</f>
        <v/>
      </c>
      <c r="Q1951" s="244" t="str">
        <f t="shared" si="1618"/>
        <v>Esquadrias Metálicas - Janela Fixa - fornecimento e instalacao</v>
      </c>
      <c r="R1951" s="234">
        <f t="shared" ca="1" si="1619"/>
        <v>3</v>
      </c>
      <c r="S1951" s="233" t="s">
        <v>825</v>
      </c>
      <c r="T1951" s="242" t="s">
        <v>142</v>
      </c>
      <c r="U1951" s="235">
        <v>3</v>
      </c>
      <c r="V1951" s="320" t="s">
        <v>35</v>
      </c>
      <c r="W1951" s="236" t="str">
        <f>IFERROR(IF(B1951="INSUMO",_xlfn.XLOOKUP(S1951,Insumos!A:A,Insumos!C:C),""),"Inserir Preço")</f>
        <v/>
      </c>
      <c r="X1951" s="235">
        <f t="shared" ca="1" si="1620"/>
        <v>3</v>
      </c>
      <c r="Y1951" s="236">
        <f t="shared" ca="1" si="1567"/>
        <v>826.51</v>
      </c>
      <c r="Z1951" s="237">
        <f t="shared" ca="1" si="1597"/>
        <v>2479.5299999999997</v>
      </c>
      <c r="AA1951" s="238"/>
      <c r="AB1951" s="233" t="str">
        <f>IF(B1951="insumo",_xlfn.XLOOKUP(S1951,Insumos!A:A,Insumos!D:D),"")</f>
        <v/>
      </c>
      <c r="AC1951" s="239">
        <f t="shared" ca="1" si="1598"/>
        <v>3.557111848821289E-4</v>
      </c>
      <c r="AE1951" s="240">
        <f ca="1">IFERROR(IF(OR(Z1951="",Z1951=0),"",IF(AF1951="","",IF(AF1951="R$/mês",Z1951/OBRA!$D$12,IF(AF1951="R$/m²",Z1951/OBRA!$D$10,IF(AF1951="R$/apto",Orçamento!Z1951/OBRA!$D$11,""))))),"")</f>
        <v>1.2759838001677617</v>
      </c>
      <c r="AF1951" s="241" t="s">
        <v>154</v>
      </c>
    </row>
    <row r="1952" spans="1:32" s="10" customFormat="1" ht="13.15" hidden="1" customHeight="1" outlineLevel="4" x14ac:dyDescent="0.2">
      <c r="A1952" s="227"/>
      <c r="B1952" s="228" t="s">
        <v>19</v>
      </c>
      <c r="C1952" s="229">
        <f t="shared" si="1596"/>
        <v>4</v>
      </c>
      <c r="D1952" s="227" t="str">
        <f t="shared" si="1599"/>
        <v/>
      </c>
      <c r="E1952" s="228" t="str">
        <f t="shared" ca="1" si="1600"/>
        <v>17.005.002.002</v>
      </c>
      <c r="F1952" s="230">
        <f ca="1">IF($B1952="UNIDADE CONSTRUTIVA",OFFSET(F1952,-1,0)+1,LARGE(F$10:F1951,1))</f>
        <v>2</v>
      </c>
      <c r="G1952" s="228" t="str">
        <f t="shared" ca="1" si="1613"/>
        <v xml:space="preserve">   GERENCIAMENTO EXECUTIVO</v>
      </c>
      <c r="H1952" s="230">
        <f t="shared" ca="1" si="1602"/>
        <v>17</v>
      </c>
      <c r="I1952" s="228" t="str">
        <f t="shared" ca="1" si="1614"/>
        <v xml:space="preserve">   ESQUADRIAS - VIDROS E FERRAGENS</v>
      </c>
      <c r="J1952" s="230">
        <f t="shared" ca="1" si="1604"/>
        <v>5</v>
      </c>
      <c r="K1952" s="228" t="str">
        <f t="shared" ca="1" si="1615"/>
        <v xml:space="preserve">   ESQUADRIAS - VIDROS E FERRAGENS - BARRILETE / CAIXA DÁGUA / CASA DE MÁQUINAS</v>
      </c>
      <c r="L1952" s="231">
        <f t="shared" ca="1" si="1606"/>
        <v>2</v>
      </c>
      <c r="M1952" s="228" t="str">
        <f t="shared" ca="1" si="1616"/>
        <v xml:space="preserve">   Esquadrias metalicas</v>
      </c>
      <c r="N1952" s="231">
        <f t="shared" ca="1" si="1608"/>
        <v>2</v>
      </c>
      <c r="O1952" s="228" t="str">
        <f t="shared" ca="1" si="1617"/>
        <v>Esquadrias Metálicas - Janela Fixa - fornecimento e instalacao</v>
      </c>
      <c r="P1952" s="232" t="str">
        <f>IF(S1952="","",IF(Orçamento!$B1952="INSUMO",S1952,""))</f>
        <v>G1 - JANELA METAL - GRADE VENTILAÇÃO PERMANENTE - 120X70</v>
      </c>
      <c r="Q1952" s="244" t="str">
        <f t="shared" si="1618"/>
        <v/>
      </c>
      <c r="R1952" s="234">
        <f t="shared" ca="1" si="1619"/>
        <v>3</v>
      </c>
      <c r="S1952" s="233" t="s">
        <v>694</v>
      </c>
      <c r="T1952" s="242" t="str">
        <f>_xlfn.XLOOKUP(S1952,Insumos!$A$3:$A$371,Insumos!$B$3:$B$371)</f>
        <v>un</v>
      </c>
      <c r="U1952" s="235">
        <f t="shared" ca="1" si="1621"/>
        <v>3</v>
      </c>
      <c r="V1952" s="320">
        <v>1</v>
      </c>
      <c r="W1952" s="236">
        <f>IFERROR(IF(B1952="INSUMO",_xlfn.XLOOKUP(S1952,Insumos!A:A,Insumos!C:C),""),"Inserir Preço")</f>
        <v>826.51</v>
      </c>
      <c r="X1952" s="235">
        <f t="shared" ca="1" si="1620"/>
        <v>3</v>
      </c>
      <c r="Y1952" s="236">
        <f t="shared" si="1567"/>
        <v>826.51</v>
      </c>
      <c r="Z1952" s="237">
        <f t="shared" ca="1" si="1597"/>
        <v>2479.5299999999997</v>
      </c>
      <c r="AA1952" s="238"/>
      <c r="AB1952" s="233" t="str">
        <f>IF(B1952="insumo",_xlfn.XLOOKUP(S1952,Insumos!A:A,Insumos!D:D),"")</f>
        <v>HOFF - SOLUÇÕES EM FERRO LTDA</v>
      </c>
      <c r="AC1952" s="239">
        <f t="shared" ca="1" si="1598"/>
        <v>3.557111848821289E-4</v>
      </c>
      <c r="AE1952" s="240">
        <f ca="1">IFERROR(IF(OR(Z1952="",Z1952=0),"",IF(AF1952="","",IF(AF1952="R$/mês",Z1952/OBRA!$D$12,IF(AF1952="R$/m²",Z1952/OBRA!$D$10,IF(AF1952="R$/apto",Orçamento!Z1952/OBRA!$D$11,""))))),"")</f>
        <v>1.2759838001677617</v>
      </c>
      <c r="AF1952" s="241" t="s">
        <v>154</v>
      </c>
    </row>
    <row r="1953" spans="1:32" s="10" customFormat="1" ht="13.15" hidden="1" customHeight="1" outlineLevel="4" x14ac:dyDescent="0.2">
      <c r="A1953" s="227"/>
      <c r="B1953" s="228" t="s">
        <v>4</v>
      </c>
      <c r="C1953" s="229">
        <f t="shared" si="1596"/>
        <v>1</v>
      </c>
      <c r="D1953" s="227" t="str">
        <f t="shared" ca="1" si="1599"/>
        <v>17.005.002.003</v>
      </c>
      <c r="E1953" s="228" t="str">
        <f t="shared" ca="1" si="1600"/>
        <v>17.005.002.003</v>
      </c>
      <c r="F1953" s="230">
        <f ca="1">IF($B1953="UNIDADE CONSTRUTIVA",OFFSET(F1953,-1,0)+1,LARGE(F$10:F1952,1))</f>
        <v>2</v>
      </c>
      <c r="G1953" s="228" t="str">
        <f ca="1">IF(B1953="*","",IF(B1953="UNIDADE CONSTRUTIVA",S1953,OFFSET(G1953,-1,0)))</f>
        <v xml:space="preserve">   GERENCIAMENTO EXECUTIVO</v>
      </c>
      <c r="H1953" s="230">
        <f t="shared" ca="1" si="1602"/>
        <v>17</v>
      </c>
      <c r="I1953" s="228" t="str">
        <f ca="1">IF(B1953="*","",IF(B1953="CÉLULA CONSTRUTIVA",S1953,OFFSET(I1953,-1,0)))</f>
        <v xml:space="preserve">   ESQUADRIAS - VIDROS E FERRAGENS</v>
      </c>
      <c r="J1953" s="230">
        <f t="shared" ca="1" si="1604"/>
        <v>5</v>
      </c>
      <c r="K1953" s="228" t="str">
        <f ca="1">IF(B1953="*","",IF(B1953="ETAPA",S1953,OFFSET(K1953,-1,0)))</f>
        <v xml:space="preserve">   ESQUADRIAS - VIDROS E FERRAGENS - BARRILETE / CAIXA DÁGUA / CASA DE MÁQUINAS</v>
      </c>
      <c r="L1953" s="231">
        <f t="shared" ca="1" si="1606"/>
        <v>2</v>
      </c>
      <c r="M1953" s="228" t="str">
        <f ca="1">IF(B1953="*","",IF(B1953="SUBETAPA",S1953,OFFSET(M1953,-1,0)))</f>
        <v xml:space="preserve">   Esquadrias metalicas</v>
      </c>
      <c r="N1953" s="231">
        <f t="shared" ca="1" si="1608"/>
        <v>3</v>
      </c>
      <c r="O1953" s="228" t="str">
        <f ca="1">IF(B1953="*","",IF(B1953="SERVIÇO",S1953,OFFSET(O1953,-1,0)))</f>
        <v>Esquadrias Metálicas - Alçapão 70x70 - fornecimento e instalacao</v>
      </c>
      <c r="P1953" s="232" t="str">
        <f>IF(S1953="","",IF(Orçamento!$B1953="INSUMO",S1953,""))</f>
        <v/>
      </c>
      <c r="Q1953" s="244" t="str">
        <f>IF(B1953="","",IF(B1953="Serviço",S1953,""))</f>
        <v>Esquadrias Metálicas - Alçapão 70x70 - fornecimento e instalacao</v>
      </c>
      <c r="R1953" s="234">
        <f ca="1">IF(B1953="serviço",U1953,OFFSET(R1953,-1,0))</f>
        <v>2</v>
      </c>
      <c r="S1953" s="233" t="s">
        <v>829</v>
      </c>
      <c r="T1953" s="242" t="s">
        <v>142</v>
      </c>
      <c r="U1953" s="235">
        <v>2</v>
      </c>
      <c r="V1953" s="320" t="s">
        <v>35</v>
      </c>
      <c r="W1953" s="236" t="str">
        <f>IFERROR(IF(B1953="INSUMO",_xlfn.XLOOKUP(S1953,Insumos!A:A,Insumos!C:C),""),"Inserir Preço")</f>
        <v/>
      </c>
      <c r="X1953" s="235">
        <f ca="1">IF(B1953="Complemento do insumo",V1953,IF(R1953="","",IF(B1953="serviço",R1953,IF(OR(B1953="insumo"),V1953*R1953,""))))</f>
        <v>2</v>
      </c>
      <c r="Y1953" s="236">
        <f t="shared" ca="1" si="1567"/>
        <v>1533.99</v>
      </c>
      <c r="Z1953" s="237">
        <f t="shared" ca="1" si="1597"/>
        <v>3067.98</v>
      </c>
      <c r="AA1953" s="238"/>
      <c r="AB1953" s="233" t="str">
        <f>IF(B1953="insumo",_xlfn.XLOOKUP(S1953,Insumos!A:A,Insumos!D:D),"")</f>
        <v/>
      </c>
      <c r="AC1953" s="239">
        <f t="shared" ca="1" si="1598"/>
        <v>4.4012970240113003E-4</v>
      </c>
      <c r="AE1953" s="240">
        <f ca="1">IFERROR(IF(OR(Z1953="",Z1953=0),"",IF(AF1953="","",IF(AF1953="R$/mês",Z1953/OBRA!$D$12,IF(AF1953="R$/m²",Z1953/OBRA!$D$10,IF(AF1953="R$/apto",Orçamento!Z1953/OBRA!$D$11,""))))),"")</f>
        <v>1.5788043618099761</v>
      </c>
      <c r="AF1953" s="241" t="s">
        <v>154</v>
      </c>
    </row>
    <row r="1954" spans="1:32" s="10" customFormat="1" ht="13.15" hidden="1" customHeight="1" outlineLevel="4" x14ac:dyDescent="0.2">
      <c r="A1954" s="227"/>
      <c r="B1954" s="228" t="s">
        <v>19</v>
      </c>
      <c r="C1954" s="229">
        <f t="shared" si="1596"/>
        <v>1</v>
      </c>
      <c r="D1954" s="227" t="str">
        <f t="shared" si="1599"/>
        <v/>
      </c>
      <c r="E1954" s="228" t="str">
        <f t="shared" ca="1" si="1600"/>
        <v>17.005.002.003</v>
      </c>
      <c r="F1954" s="230">
        <f ca="1">IF($B1954="UNIDADE CONSTRUTIVA",OFFSET(F1954,-1,0)+1,LARGE(F$10:F1953,1))</f>
        <v>2</v>
      </c>
      <c r="G1954" s="228" t="str">
        <f t="shared" ca="1" si="1613"/>
        <v xml:space="preserve">   GERENCIAMENTO EXECUTIVO</v>
      </c>
      <c r="H1954" s="230">
        <f t="shared" ca="1" si="1602"/>
        <v>17</v>
      </c>
      <c r="I1954" s="228" t="str">
        <f t="shared" ca="1" si="1614"/>
        <v xml:space="preserve">   ESQUADRIAS - VIDROS E FERRAGENS</v>
      </c>
      <c r="J1954" s="230">
        <f t="shared" ca="1" si="1604"/>
        <v>5</v>
      </c>
      <c r="K1954" s="228" t="str">
        <f t="shared" ca="1" si="1615"/>
        <v xml:space="preserve">   ESQUADRIAS - VIDROS E FERRAGENS - BARRILETE / CAIXA DÁGUA / CASA DE MÁQUINAS</v>
      </c>
      <c r="L1954" s="231">
        <f t="shared" ca="1" si="1606"/>
        <v>2</v>
      </c>
      <c r="M1954" s="228" t="str">
        <f t="shared" ca="1" si="1616"/>
        <v xml:space="preserve">   Esquadrias metalicas</v>
      </c>
      <c r="N1954" s="231">
        <f t="shared" ca="1" si="1608"/>
        <v>3</v>
      </c>
      <c r="O1954" s="228" t="str">
        <f t="shared" ca="1" si="1617"/>
        <v>Esquadrias Metálicas - Alçapão 70x70 - fornecimento e instalacao</v>
      </c>
      <c r="P1954" s="232" t="str">
        <f>IF(S1954="","",IF(Orçamento!$B1954="INSUMO",S1954,""))</f>
        <v>ALC01 - Alçapão 70X70</v>
      </c>
      <c r="Q1954" s="244" t="str">
        <f t="shared" si="1618"/>
        <v/>
      </c>
      <c r="R1954" s="234">
        <f t="shared" ca="1" si="1619"/>
        <v>2</v>
      </c>
      <c r="S1954" s="233" t="s">
        <v>704</v>
      </c>
      <c r="T1954" s="242" t="str">
        <f>_xlfn.XLOOKUP(S1954,Insumos!$A$3:$A$371,Insumos!$B$3:$B$371)</f>
        <v>un</v>
      </c>
      <c r="U1954" s="235">
        <f t="shared" ca="1" si="1621"/>
        <v>2</v>
      </c>
      <c r="V1954" s="320">
        <v>1</v>
      </c>
      <c r="W1954" s="236">
        <f>IFERROR(IF(B1954="INSUMO",_xlfn.XLOOKUP(S1954,Insumos!A:A,Insumos!C:C),""),"Inserir Preço")</f>
        <v>1533.99</v>
      </c>
      <c r="X1954" s="235">
        <f t="shared" ca="1" si="1620"/>
        <v>2</v>
      </c>
      <c r="Y1954" s="236">
        <f t="shared" si="1567"/>
        <v>1533.99</v>
      </c>
      <c r="Z1954" s="237">
        <f t="shared" ca="1" si="1597"/>
        <v>3067.98</v>
      </c>
      <c r="AA1954" s="238"/>
      <c r="AB1954" s="233" t="str">
        <f>IF(B1954="insumo",_xlfn.XLOOKUP(S1954,Insumos!A:A,Insumos!D:D),"")</f>
        <v>HOFF - SOLUÇÕES EM FERRO LTDA</v>
      </c>
      <c r="AC1954" s="239">
        <f t="shared" ca="1" si="1598"/>
        <v>4.4012970240113003E-4</v>
      </c>
      <c r="AE1954" s="240">
        <f ca="1">IFERROR(IF(OR(Z1954="",Z1954=0),"",IF(AF1954="","",IF(AF1954="R$/mês",Z1954/OBRA!$D$12,IF(AF1954="R$/m²",Z1954/OBRA!$D$10,IF(AF1954="R$/apto",Orçamento!Z1954/OBRA!$D$11,""))))),"")</f>
        <v>1.5788043618099761</v>
      </c>
      <c r="AF1954" s="241" t="s">
        <v>154</v>
      </c>
    </row>
    <row r="1955" spans="1:32" s="10" customFormat="1" ht="13.15" hidden="1" customHeight="1" outlineLevel="4" x14ac:dyDescent="0.2">
      <c r="A1955" s="227"/>
      <c r="B1955" s="228" t="s">
        <v>4</v>
      </c>
      <c r="C1955" s="229">
        <f t="shared" si="1596"/>
        <v>1</v>
      </c>
      <c r="D1955" s="227" t="str">
        <f t="shared" ca="1" si="1599"/>
        <v>17.005.002.004</v>
      </c>
      <c r="E1955" s="228" t="str">
        <f t="shared" ca="1" si="1600"/>
        <v>17.005.002.004</v>
      </c>
      <c r="F1955" s="230">
        <f ca="1">IF($B1955="UNIDADE CONSTRUTIVA",OFFSET(F1955,-1,0)+1,LARGE(F$10:F1954,1))</f>
        <v>2</v>
      </c>
      <c r="G1955" s="228" t="str">
        <f t="shared" ca="1" si="1613"/>
        <v xml:space="preserve">   GERENCIAMENTO EXECUTIVO</v>
      </c>
      <c r="H1955" s="230">
        <f t="shared" ca="1" si="1602"/>
        <v>17</v>
      </c>
      <c r="I1955" s="228" t="str">
        <f t="shared" ca="1" si="1614"/>
        <v xml:space="preserve">   ESQUADRIAS - VIDROS E FERRAGENS</v>
      </c>
      <c r="J1955" s="230">
        <f t="shared" ca="1" si="1604"/>
        <v>5</v>
      </c>
      <c r="K1955" s="228" t="str">
        <f t="shared" ca="1" si="1615"/>
        <v xml:space="preserve">   ESQUADRIAS - VIDROS E FERRAGENS - BARRILETE / CAIXA DÁGUA / CASA DE MÁQUINAS</v>
      </c>
      <c r="L1955" s="231">
        <f t="shared" ca="1" si="1606"/>
        <v>2</v>
      </c>
      <c r="M1955" s="228" t="str">
        <f t="shared" ca="1" si="1616"/>
        <v xml:space="preserve">   Esquadrias metalicas</v>
      </c>
      <c r="N1955" s="231">
        <f t="shared" ca="1" si="1608"/>
        <v>4</v>
      </c>
      <c r="O1955" s="228" t="str">
        <f t="shared" ca="1" si="1617"/>
        <v>Esquadrias Metálicas - Escada Marinheiro - fornecimento e instalacao</v>
      </c>
      <c r="P1955" s="232" t="str">
        <f>IF(S1955="","",IF(Orçamento!$B1955="INSUMO",S1955,""))</f>
        <v/>
      </c>
      <c r="Q1955" s="244" t="str">
        <f t="shared" si="1618"/>
        <v>Esquadrias Metálicas - Escada Marinheiro - fornecimento e instalacao</v>
      </c>
      <c r="R1955" s="234">
        <f t="shared" ca="1" si="1619"/>
        <v>2</v>
      </c>
      <c r="S1955" s="233" t="s">
        <v>828</v>
      </c>
      <c r="T1955" s="242" t="s">
        <v>142</v>
      </c>
      <c r="U1955" s="235">
        <v>2</v>
      </c>
      <c r="V1955" s="320" t="s">
        <v>35</v>
      </c>
      <c r="W1955" s="236" t="str">
        <f>IFERROR(IF(B1955="INSUMO",_xlfn.XLOOKUP(S1955,Insumos!A:A,Insumos!C:C),""),"Inserir Preço")</f>
        <v/>
      </c>
      <c r="X1955" s="235">
        <f t="shared" ca="1" si="1620"/>
        <v>2</v>
      </c>
      <c r="Y1955" s="236">
        <f t="shared" ca="1" si="1567"/>
        <v>5445.82</v>
      </c>
      <c r="Z1955" s="237">
        <f t="shared" ca="1" si="1597"/>
        <v>10891.64</v>
      </c>
      <c r="AA1955" s="238"/>
      <c r="AB1955" s="233" t="str">
        <f>IF(B1955="insumo",_xlfn.XLOOKUP(S1955,Insumos!A:A,Insumos!D:D),"")</f>
        <v/>
      </c>
      <c r="AC1955" s="239">
        <f t="shared" ca="1" si="1598"/>
        <v>1.5625050593094621E-3</v>
      </c>
      <c r="AE1955" s="240">
        <f ca="1">IFERROR(IF(OR(Z1955="",Z1955=0),"",IF(AF1955="","",IF(AF1955="R$/mês",Z1955/OBRA!$D$12,IF(AF1955="R$/m²",Z1955/OBRA!$D$10,IF(AF1955="R$/apto",Orçamento!Z1955/OBRA!$D$11,""))))),"")</f>
        <v>5.6049155272407276</v>
      </c>
      <c r="AF1955" s="241" t="s">
        <v>154</v>
      </c>
    </row>
    <row r="1956" spans="1:32" s="10" customFormat="1" ht="13.15" hidden="1" customHeight="1" outlineLevel="4" x14ac:dyDescent="0.2">
      <c r="A1956" s="227"/>
      <c r="B1956" s="228" t="s">
        <v>19</v>
      </c>
      <c r="C1956" s="229">
        <f t="shared" si="1596"/>
        <v>1</v>
      </c>
      <c r="D1956" s="227" t="str">
        <f t="shared" si="1599"/>
        <v/>
      </c>
      <c r="E1956" s="228" t="str">
        <f t="shared" ca="1" si="1600"/>
        <v>17.005.002.004</v>
      </c>
      <c r="F1956" s="230">
        <f ca="1">IF($B1956="UNIDADE CONSTRUTIVA",OFFSET(F1956,-1,0)+1,LARGE(F$10:F1955,1))</f>
        <v>2</v>
      </c>
      <c r="G1956" s="228" t="str">
        <f t="shared" ca="1" si="1613"/>
        <v xml:space="preserve">   GERENCIAMENTO EXECUTIVO</v>
      </c>
      <c r="H1956" s="230">
        <f t="shared" ca="1" si="1602"/>
        <v>17</v>
      </c>
      <c r="I1956" s="228" t="str">
        <f t="shared" ca="1" si="1614"/>
        <v xml:space="preserve">   ESQUADRIAS - VIDROS E FERRAGENS</v>
      </c>
      <c r="J1956" s="230">
        <f t="shared" ca="1" si="1604"/>
        <v>5</v>
      </c>
      <c r="K1956" s="228" t="str">
        <f t="shared" ca="1" si="1615"/>
        <v xml:space="preserve">   ESQUADRIAS - VIDROS E FERRAGENS - BARRILETE / CAIXA DÁGUA / CASA DE MÁQUINAS</v>
      </c>
      <c r="L1956" s="231">
        <f t="shared" ca="1" si="1606"/>
        <v>2</v>
      </c>
      <c r="M1956" s="228" t="str">
        <f t="shared" ca="1" si="1616"/>
        <v xml:space="preserve">   Esquadrias metalicas</v>
      </c>
      <c r="N1956" s="231">
        <f t="shared" ca="1" si="1608"/>
        <v>4</v>
      </c>
      <c r="O1956" s="228" t="str">
        <f t="shared" ca="1" si="1617"/>
        <v>Esquadrias Metálicas - Escada Marinheiro - fornecimento e instalacao</v>
      </c>
      <c r="P1956" s="232" t="str">
        <f>IF(S1956="","",IF(Orçamento!$B1956="INSUMO",S1956,""))</f>
        <v>ESC01 - Escada Marinheiro</v>
      </c>
      <c r="Q1956" s="244" t="str">
        <f t="shared" si="1618"/>
        <v/>
      </c>
      <c r="R1956" s="234">
        <f t="shared" ca="1" si="1619"/>
        <v>2</v>
      </c>
      <c r="S1956" s="233" t="s">
        <v>695</v>
      </c>
      <c r="T1956" s="242" t="str">
        <f>_xlfn.XLOOKUP(S1956,Insumos!$A$3:$A$371,Insumos!$B$3:$B$371)</f>
        <v>un</v>
      </c>
      <c r="U1956" s="235">
        <f t="shared" ca="1" si="1621"/>
        <v>2</v>
      </c>
      <c r="V1956" s="320">
        <v>1</v>
      </c>
      <c r="W1956" s="236">
        <f>IFERROR(IF(B1956="INSUMO",_xlfn.XLOOKUP(S1956,Insumos!A:A,Insumos!C:C),""),"Inserir Preço")</f>
        <v>5445.82</v>
      </c>
      <c r="X1956" s="235">
        <f t="shared" ca="1" si="1620"/>
        <v>2</v>
      </c>
      <c r="Y1956" s="236">
        <f t="shared" si="1567"/>
        <v>5445.82</v>
      </c>
      <c r="Z1956" s="237">
        <f t="shared" ca="1" si="1597"/>
        <v>10891.64</v>
      </c>
      <c r="AA1956" s="238"/>
      <c r="AB1956" s="233" t="str">
        <f>IF(B1956="insumo",_xlfn.XLOOKUP(S1956,Insumos!A:A,Insumos!D:D),"")</f>
        <v>HOFF - SOLUÇÕES EM FERRO LTDA</v>
      </c>
      <c r="AC1956" s="239">
        <f t="shared" ca="1" si="1598"/>
        <v>1.5625050593094621E-3</v>
      </c>
      <c r="AE1956" s="240">
        <f ca="1">IFERROR(IF(OR(Z1956="",Z1956=0),"",IF(AF1956="","",IF(AF1956="R$/mês",Z1956/OBRA!$D$12,IF(AF1956="R$/m²",Z1956/OBRA!$D$10,IF(AF1956="R$/apto",Orçamento!Z1956/OBRA!$D$11,""))))),"")</f>
        <v>5.6049155272407276</v>
      </c>
      <c r="AF1956" s="241" t="s">
        <v>154</v>
      </c>
    </row>
    <row r="1957" spans="1:32" s="10" customFormat="1" ht="13.15" customHeight="1" outlineLevel="1" x14ac:dyDescent="0.2">
      <c r="A1957" s="227"/>
      <c r="B1957" s="228" t="s">
        <v>1</v>
      </c>
      <c r="C1957" s="229" t="str">
        <f t="shared" si="1596"/>
        <v/>
      </c>
      <c r="D1957" s="227" t="str">
        <f t="shared" ca="1" si="1599"/>
        <v>18</v>
      </c>
      <c r="E1957" s="228" t="str">
        <f ca="1">IF(B1957="*","",IFERROR(IF(B1957="SERVIÇO",D1957,OFFSET(E1957,-1,0)),""))</f>
        <v>17.005.002.004</v>
      </c>
      <c r="F1957" s="230">
        <f ca="1">IF($B1957="UNIDADE CONSTRUTIVA",OFFSET(F1957,-1,0)+1,LARGE(F$10:F1956,1))</f>
        <v>2</v>
      </c>
      <c r="G1957" s="228" t="str">
        <f t="shared" ca="1" si="1613"/>
        <v xml:space="preserve">   GERENCIAMENTO EXECUTIVO</v>
      </c>
      <c r="H1957" s="230">
        <f ca="1">IF(B1957="UNIDADE CONSTRUTIVA",0,IF(B1957="CÉLULA CONSTRUTIVA",OFFSET(H1957,-1,0)+1,OFFSET(H1957,-1,0)))</f>
        <v>18</v>
      </c>
      <c r="I1957" s="228" t="str">
        <f t="shared" ca="1" si="1614"/>
        <v xml:space="preserve">   LOUÇAS E METAIS</v>
      </c>
      <c r="J1957" s="230">
        <f ca="1">IF(B1957="CÉLULA CONSTRUTIVA",0,IF(B1957="ETAPA",OFFSET(J1957,-1,0)+1,OFFSET(J1957,-1,0)))</f>
        <v>0</v>
      </c>
      <c r="K1957" s="228" t="str">
        <f t="shared" ca="1" si="1615"/>
        <v xml:space="preserve">   ESQUADRIAS - VIDROS E FERRAGENS - BARRILETE / CAIXA DÁGUA / CASA DE MÁQUINAS</v>
      </c>
      <c r="L1957" s="231">
        <f ca="1">IF(B1957="ETAPA",0,IF(B1957="SUBETAPA",OFFSET(L1957,-1,0)+1,OFFSET(L1957,-1,0)))</f>
        <v>2</v>
      </c>
      <c r="M1957" s="228" t="str">
        <f t="shared" ca="1" si="1616"/>
        <v xml:space="preserve">   Esquadrias metalicas</v>
      </c>
      <c r="N1957" s="231">
        <f ca="1">IF(B1957="Subetapa",0,IF(B1957="serviço",OFFSET(N1957,-1,0)+1,OFFSET(N1957,-1,0)))</f>
        <v>4</v>
      </c>
      <c r="O1957" s="228" t="str">
        <f t="shared" ca="1" si="1617"/>
        <v>Esquadrias Metálicas - Escada Marinheiro - fornecimento e instalacao</v>
      </c>
      <c r="P1957" s="232" t="str">
        <f>IF(S1957="","",IF(Orçamento!$B1957="INSUMO",S1957,""))</f>
        <v/>
      </c>
      <c r="Q1957" s="244" t="str">
        <f t="shared" si="1618"/>
        <v/>
      </c>
      <c r="R1957" s="234">
        <f t="shared" ca="1" si="1619"/>
        <v>2</v>
      </c>
      <c r="S1957" s="233" t="s">
        <v>1098</v>
      </c>
      <c r="T1957" s="242" t="s">
        <v>35</v>
      </c>
      <c r="U1957" s="235" t="str">
        <f>IF($B1957="insumo",R1957,"")</f>
        <v/>
      </c>
      <c r="V1957" s="320" t="s">
        <v>35</v>
      </c>
      <c r="W1957" s="236" t="str">
        <f>IFERROR(IF(B1957="INSUMO",_xlfn.XLOOKUP(S1957,Insumos!A:A,Insumos!C:C),""),"Inserir Preço")</f>
        <v/>
      </c>
      <c r="X1957" s="235" t="str">
        <f t="shared" ca="1" si="1620"/>
        <v/>
      </c>
      <c r="Y1957" s="236" t="str">
        <f t="shared" si="1567"/>
        <v/>
      </c>
      <c r="Z1957" s="237">
        <f t="shared" ca="1" si="1597"/>
        <v>85847.616000000009</v>
      </c>
      <c r="AA1957" s="238"/>
      <c r="AB1957" s="233" t="str">
        <f>IF(B1957="insumo",_xlfn.XLOOKUP(S1957,Insumos!A:A,Insumos!D:D),"")</f>
        <v/>
      </c>
      <c r="AC1957" s="239">
        <f t="shared" ca="1" si="1598"/>
        <v>1.2315623205472817E-2</v>
      </c>
      <c r="AE1957" s="240">
        <f ca="1">IFERROR(IF(OR(Z1957="",Z1957=0),"",IF(AF1957="","",IF(AF1957="R$/mês",Z1957/OBRA!$D$12,IF(AF1957="R$/m²",Z1957/OBRA!$D$10,IF(AF1957="R$/apto",Orçamento!Z1957/OBRA!$D$11,""))))),"")</f>
        <v>44.17779470263428</v>
      </c>
      <c r="AF1957" s="241" t="s">
        <v>154</v>
      </c>
    </row>
    <row r="1958" spans="1:32" s="10" customFormat="1" ht="13.15" customHeight="1" outlineLevel="2" collapsed="1" x14ac:dyDescent="0.2">
      <c r="A1958" s="227"/>
      <c r="B1958" s="228" t="s">
        <v>2</v>
      </c>
      <c r="C1958" s="229" t="str">
        <f t="shared" si="1596"/>
        <v/>
      </c>
      <c r="D1958" s="227" t="str">
        <f t="shared" ca="1" si="1599"/>
        <v>18.001</v>
      </c>
      <c r="E1958" s="228" t="str">
        <f t="shared" ca="1" si="1600"/>
        <v>17.005.002.004</v>
      </c>
      <c r="F1958" s="230">
        <f ca="1">IF($B1958="UNIDADE CONSTRUTIVA",OFFSET(F1958,-1,0)+1,LARGE(F$10:F1957,1))</f>
        <v>2</v>
      </c>
      <c r="G1958" s="228" t="str">
        <f t="shared" ca="1" si="1613"/>
        <v xml:space="preserve">   GERENCIAMENTO EXECUTIVO</v>
      </c>
      <c r="H1958" s="230">
        <f t="shared" ca="1" si="1602"/>
        <v>18</v>
      </c>
      <c r="I1958" s="228" t="str">
        <f t="shared" ca="1" si="1614"/>
        <v xml:space="preserve">   LOUÇAS E METAIS</v>
      </c>
      <c r="J1958" s="230">
        <f t="shared" ca="1" si="1604"/>
        <v>1</v>
      </c>
      <c r="K1958" s="228" t="str">
        <f t="shared" ca="1" si="1615"/>
        <v xml:space="preserve">   LOUÇAS E METAIS - 1º PAVIMENTO - SUBSOLO</v>
      </c>
      <c r="L1958" s="231">
        <f t="shared" ca="1" si="1606"/>
        <v>0</v>
      </c>
      <c r="M1958" s="228" t="str">
        <f t="shared" ca="1" si="1616"/>
        <v xml:space="preserve">   Esquadrias metalicas</v>
      </c>
      <c r="N1958" s="231">
        <f t="shared" ca="1" si="1608"/>
        <v>4</v>
      </c>
      <c r="O1958" s="228" t="str">
        <f t="shared" ca="1" si="1617"/>
        <v>Esquadrias Metálicas - Escada Marinheiro - fornecimento e instalacao</v>
      </c>
      <c r="P1958" s="232" t="str">
        <f>IF(S1958="","",IF(Orçamento!$B1958="INSUMO",S1958,""))</f>
        <v/>
      </c>
      <c r="Q1958" s="244" t="str">
        <f t="shared" si="1618"/>
        <v/>
      </c>
      <c r="R1958" s="234">
        <f t="shared" ca="1" si="1619"/>
        <v>2</v>
      </c>
      <c r="S1958" s="233" t="s">
        <v>1099</v>
      </c>
      <c r="T1958" s="242" t="s">
        <v>35</v>
      </c>
      <c r="U1958" s="235" t="str">
        <f>IF($B1958="insumo",R1958,"")</f>
        <v/>
      </c>
      <c r="V1958" s="320" t="s">
        <v>35</v>
      </c>
      <c r="W1958" s="236" t="str">
        <f>IFERROR(IF(B1958="INSUMO",_xlfn.XLOOKUP(S1958,Insumos!A:A,Insumos!C:C),""),"Inserir Preço")</f>
        <v/>
      </c>
      <c r="X1958" s="235" t="str">
        <f t="shared" ca="1" si="1620"/>
        <v/>
      </c>
      <c r="Y1958" s="236" t="str">
        <f t="shared" si="1567"/>
        <v/>
      </c>
      <c r="Z1958" s="237">
        <f t="shared" ca="1" si="1597"/>
        <v>128.55048571618244</v>
      </c>
      <c r="AA1958" s="238"/>
      <c r="AB1958" s="233" t="str">
        <f>IF(B1958="insumo",_xlfn.XLOOKUP(S1958,Insumos!A:A,Insumos!D:D),"")</f>
        <v/>
      </c>
      <c r="AC1958" s="239">
        <f t="shared" ca="1" si="1598"/>
        <v>1.8441739197056076E-5</v>
      </c>
      <c r="AE1958" s="240">
        <f ca="1">IFERROR(IF(OR(Z1958="",Z1958=0),"",IF(AF1958="","",IF(AF1958="R$/mês",Z1958/OBRA!$D$12,IF(AF1958="R$/m²",Z1958/OBRA!$D$10,IF(AF1958="R$/apto",Orçamento!Z1958/OBRA!$D$11,""))))),"")</f>
        <v>6.6152995639313122E-2</v>
      </c>
      <c r="AF1958" s="241" t="s">
        <v>154</v>
      </c>
    </row>
    <row r="1959" spans="1:32" s="10" customFormat="1" ht="13.15" hidden="1" customHeight="1" outlineLevel="3" collapsed="1" x14ac:dyDescent="0.2">
      <c r="A1959" s="227"/>
      <c r="B1959" s="228" t="s">
        <v>3</v>
      </c>
      <c r="C1959" s="229" t="str">
        <f t="shared" si="1596"/>
        <v/>
      </c>
      <c r="D1959" s="227" t="str">
        <f t="shared" ca="1" si="1599"/>
        <v>18.001.001</v>
      </c>
      <c r="E1959" s="228" t="str">
        <f t="shared" ca="1" si="1600"/>
        <v>17.005.002.004</v>
      </c>
      <c r="F1959" s="230">
        <f ca="1">IF($B1959="UNIDADE CONSTRUTIVA",OFFSET(F1959,-1,0)+1,LARGE(F$10:F1958,1))</f>
        <v>2</v>
      </c>
      <c r="G1959" s="228" t="str">
        <f t="shared" ca="1" si="1613"/>
        <v xml:space="preserve">   GERENCIAMENTO EXECUTIVO</v>
      </c>
      <c r="H1959" s="230">
        <f t="shared" ca="1" si="1602"/>
        <v>18</v>
      </c>
      <c r="I1959" s="228" t="str">
        <f t="shared" ca="1" si="1614"/>
        <v xml:space="preserve">   LOUÇAS E METAIS</v>
      </c>
      <c r="J1959" s="230">
        <f t="shared" ca="1" si="1604"/>
        <v>1</v>
      </c>
      <c r="K1959" s="228" t="str">
        <f t="shared" ca="1" si="1615"/>
        <v xml:space="preserve">   LOUÇAS E METAIS - 1º PAVIMENTO - SUBSOLO</v>
      </c>
      <c r="L1959" s="231">
        <f t="shared" ca="1" si="1606"/>
        <v>1</v>
      </c>
      <c r="M1959" s="228" t="str">
        <f t="shared" ca="1" si="1616"/>
        <v xml:space="preserve">   Aparelhos Sanitários - Louças - Metais e Acessórios</v>
      </c>
      <c r="N1959" s="231">
        <f t="shared" ca="1" si="1608"/>
        <v>0</v>
      </c>
      <c r="O1959" s="228" t="str">
        <f t="shared" ca="1" si="1617"/>
        <v>Esquadrias Metálicas - Escada Marinheiro - fornecimento e instalacao</v>
      </c>
      <c r="P1959" s="232" t="str">
        <f>IF(S1959="","",IF(Orçamento!$B1959="INSUMO",S1959,""))</f>
        <v/>
      </c>
      <c r="Q1959" s="244" t="str">
        <f t="shared" si="1618"/>
        <v/>
      </c>
      <c r="R1959" s="234">
        <f t="shared" ca="1" si="1619"/>
        <v>2</v>
      </c>
      <c r="S1959" s="233" t="s">
        <v>451</v>
      </c>
      <c r="T1959" s="242" t="s">
        <v>35</v>
      </c>
      <c r="U1959" s="235" t="str">
        <f>IF($B1959="insumo",R1959,"")</f>
        <v/>
      </c>
      <c r="V1959" s="320" t="s">
        <v>35</v>
      </c>
      <c r="W1959" s="236" t="str">
        <f>IFERROR(IF(B1959="INSUMO",_xlfn.XLOOKUP(S1959,Insumos!A:A,Insumos!C:C),""),"Inserir Preço")</f>
        <v/>
      </c>
      <c r="X1959" s="235" t="str">
        <f t="shared" ca="1" si="1620"/>
        <v/>
      </c>
      <c r="Y1959" s="236" t="str">
        <f t="shared" si="1567"/>
        <v/>
      </c>
      <c r="Z1959" s="237">
        <f t="shared" ca="1" si="1597"/>
        <v>75</v>
      </c>
      <c r="AA1959" s="238"/>
      <c r="AB1959" s="233" t="str">
        <f>IF(B1959="insumo",_xlfn.XLOOKUP(S1959,Insumos!A:A,Insumos!D:D),"")</f>
        <v/>
      </c>
      <c r="AC1959" s="239">
        <f t="shared" ca="1" si="1598"/>
        <v>1.0759433790339166E-5</v>
      </c>
      <c r="AE1959" s="240">
        <f ca="1">IFERROR(IF(OR(Z1959="",Z1959=0),"",IF(AF1959="","",IF(AF1959="R$/mês",Z1959/OBRA!$D$12,IF(AF1959="R$/m²",Z1959/OBRA!$D$10,IF(AF1959="R$/apto",Orçamento!Z1959/OBRA!$D$11,""))))),"")</f>
        <v>3.8595534239384943E-2</v>
      </c>
      <c r="AF1959" s="241" t="s">
        <v>154</v>
      </c>
    </row>
    <row r="1960" spans="1:32" s="10" customFormat="1" ht="13.15" hidden="1" customHeight="1" outlineLevel="4" x14ac:dyDescent="0.2">
      <c r="A1960" s="227"/>
      <c r="B1960" s="228" t="s">
        <v>4</v>
      </c>
      <c r="C1960" s="229">
        <f t="shared" si="1596"/>
        <v>1</v>
      </c>
      <c r="D1960" s="227" t="str">
        <f t="shared" ca="1" si="1599"/>
        <v>18.001.001.001</v>
      </c>
      <c r="E1960" s="228" t="str">
        <f t="shared" ca="1" si="1600"/>
        <v>18.001.001.001</v>
      </c>
      <c r="F1960" s="230">
        <f ca="1">IF($B1960="UNIDADE CONSTRUTIVA",OFFSET(F1960,-1,0)+1,LARGE(F$10:F1959,1))</f>
        <v>2</v>
      </c>
      <c r="G1960" s="228" t="str">
        <f t="shared" ca="1" si="1613"/>
        <v xml:space="preserve">   GERENCIAMENTO EXECUTIVO</v>
      </c>
      <c r="H1960" s="230">
        <f t="shared" ca="1" si="1602"/>
        <v>18</v>
      </c>
      <c r="I1960" s="228" t="str">
        <f t="shared" ca="1" si="1614"/>
        <v xml:space="preserve">   LOUÇAS E METAIS</v>
      </c>
      <c r="J1960" s="230">
        <f t="shared" ca="1" si="1604"/>
        <v>1</v>
      </c>
      <c r="K1960" s="228" t="str">
        <f t="shared" ca="1" si="1615"/>
        <v xml:space="preserve">   LOUÇAS E METAIS - 1º PAVIMENTO - SUBSOLO</v>
      </c>
      <c r="L1960" s="231">
        <f t="shared" ca="1" si="1606"/>
        <v>1</v>
      </c>
      <c r="M1960" s="228" t="str">
        <f t="shared" ca="1" si="1616"/>
        <v xml:space="preserve">   Aparelhos Sanitários - Louças - Metais e Acessórios</v>
      </c>
      <c r="N1960" s="231">
        <f t="shared" ca="1" si="1608"/>
        <v>1</v>
      </c>
      <c r="O1960" s="228" t="str">
        <f t="shared" ca="1" si="1617"/>
        <v>Torneira de Jardim</v>
      </c>
      <c r="P1960" s="232" t="str">
        <f>IF(S1960="","",IF(Orçamento!$B1960="INSUMO",S1960,""))</f>
        <v/>
      </c>
      <c r="Q1960" s="244" t="str">
        <f t="shared" si="1618"/>
        <v>Torneira de Jardim</v>
      </c>
      <c r="R1960" s="234">
        <f t="shared" ca="1" si="1619"/>
        <v>1</v>
      </c>
      <c r="S1960" s="233" t="s">
        <v>861</v>
      </c>
      <c r="T1960" s="242" t="s">
        <v>170</v>
      </c>
      <c r="U1960" s="235">
        <v>1</v>
      </c>
      <c r="V1960" s="320" t="s">
        <v>35</v>
      </c>
      <c r="W1960" s="236" t="str">
        <f>IFERROR(IF(B1960="INSUMO",_xlfn.XLOOKUP(S1960,Insumos!A:A,Insumos!C:C),""),"Inserir Preço")</f>
        <v/>
      </c>
      <c r="X1960" s="235">
        <f t="shared" ca="1" si="1620"/>
        <v>1</v>
      </c>
      <c r="Y1960" s="236">
        <f t="shared" ref="Y1960:Y2023" ca="1" si="1622">IF(B1960="insumo",W1960*V1960,IF(B1960="serviço",SUMIFS(Y:Y,B:B,"insumo",E:E,E1960,I:I,I1960),""))</f>
        <v>75</v>
      </c>
      <c r="Z1960" s="237">
        <f t="shared" ca="1" si="1597"/>
        <v>75</v>
      </c>
      <c r="AA1960" s="238"/>
      <c r="AB1960" s="233" t="str">
        <f>IF(B1960="insumo",_xlfn.XLOOKUP(S1960,Insumos!A:A,Insumos!D:D),"")</f>
        <v/>
      </c>
      <c r="AC1960" s="239">
        <f t="shared" ca="1" si="1598"/>
        <v>1.0759433790339166E-5</v>
      </c>
      <c r="AE1960" s="240">
        <f ca="1">IFERROR(IF(OR(Z1960="",Z1960=0),"",IF(AF1960="","",IF(AF1960="R$/mês",Z1960/OBRA!$D$12,IF(AF1960="R$/m²",Z1960/OBRA!$D$10,IF(AF1960="R$/apto",Orçamento!Z1960/OBRA!$D$11,""))))),"")</f>
        <v>3.8595534239384943E-2</v>
      </c>
      <c r="AF1960" s="241" t="s">
        <v>154</v>
      </c>
    </row>
    <row r="1961" spans="1:32" s="10" customFormat="1" ht="13.15" hidden="1" customHeight="1" outlineLevel="4" x14ac:dyDescent="0.2">
      <c r="A1961" s="227"/>
      <c r="B1961" s="228" t="s">
        <v>19</v>
      </c>
      <c r="C1961" s="229">
        <f t="shared" si="1596"/>
        <v>1</v>
      </c>
      <c r="D1961" s="227" t="str">
        <f t="shared" si="1599"/>
        <v/>
      </c>
      <c r="E1961" s="228" t="str">
        <f t="shared" ca="1" si="1600"/>
        <v>18.001.001.001</v>
      </c>
      <c r="F1961" s="230">
        <f ca="1">IF($B1961="UNIDADE CONSTRUTIVA",OFFSET(F1961,-1,0)+1,LARGE(F$10:F1960,1))</f>
        <v>2</v>
      </c>
      <c r="G1961" s="228" t="str">
        <f t="shared" ca="1" si="1613"/>
        <v xml:space="preserve">   GERENCIAMENTO EXECUTIVO</v>
      </c>
      <c r="H1961" s="230">
        <f t="shared" ca="1" si="1602"/>
        <v>18</v>
      </c>
      <c r="I1961" s="228" t="str">
        <f t="shared" ca="1" si="1614"/>
        <v xml:space="preserve">   LOUÇAS E METAIS</v>
      </c>
      <c r="J1961" s="230">
        <f t="shared" ca="1" si="1604"/>
        <v>1</v>
      </c>
      <c r="K1961" s="228" t="str">
        <f t="shared" ca="1" si="1615"/>
        <v xml:space="preserve">   LOUÇAS E METAIS - 1º PAVIMENTO - SUBSOLO</v>
      </c>
      <c r="L1961" s="231">
        <f t="shared" ca="1" si="1606"/>
        <v>1</v>
      </c>
      <c r="M1961" s="228" t="str">
        <f t="shared" ca="1" si="1616"/>
        <v xml:space="preserve">   Aparelhos Sanitários - Louças - Metais e Acessórios</v>
      </c>
      <c r="N1961" s="231">
        <f t="shared" ca="1" si="1608"/>
        <v>1</v>
      </c>
      <c r="O1961" s="228" t="str">
        <f t="shared" ca="1" si="1617"/>
        <v>Torneira de Jardim</v>
      </c>
      <c r="P1961" s="232" t="str">
        <f>IF(S1961="","",IF(Orçamento!$B1961="INSUMO",S1961,""))</f>
        <v>Torneira de Jardins</v>
      </c>
      <c r="Q1961" s="244" t="str">
        <f t="shared" si="1618"/>
        <v/>
      </c>
      <c r="R1961" s="234">
        <f t="shared" ca="1" si="1619"/>
        <v>1</v>
      </c>
      <c r="S1961" s="233" t="s">
        <v>689</v>
      </c>
      <c r="T1961" s="242" t="str">
        <f>_xlfn.XLOOKUP(S1961,Insumos!$A$3:$A$371,Insumos!$B$3:$B$371)</f>
        <v>un</v>
      </c>
      <c r="U1961" s="235">
        <f ca="1">IF($B1961="insumo",R1961,"")</f>
        <v>1</v>
      </c>
      <c r="V1961" s="320">
        <v>1</v>
      </c>
      <c r="W1961" s="236">
        <f>IFERROR(IF(B1961="INSUMO",_xlfn.XLOOKUP(S1961,Insumos!A:A,Insumos!C:C),""),"Inserir Preço")</f>
        <v>75</v>
      </c>
      <c r="X1961" s="235">
        <f t="shared" ca="1" si="1620"/>
        <v>1</v>
      </c>
      <c r="Y1961" s="236">
        <f t="shared" si="1622"/>
        <v>75</v>
      </c>
      <c r="Z1961" s="237">
        <f t="shared" ca="1" si="1597"/>
        <v>75</v>
      </c>
      <c r="AA1961" s="238"/>
      <c r="AB1961" s="233" t="str">
        <f>IF(B1961="insumo",_xlfn.XLOOKUP(S1961,Insumos!A:A,Insumos!D:D),"")</f>
        <v>Base de Dados</v>
      </c>
      <c r="AC1961" s="239">
        <f t="shared" ca="1" si="1598"/>
        <v>1.0759433790339166E-5</v>
      </c>
      <c r="AE1961" s="240">
        <f ca="1">IFERROR(IF(OR(Z1961="",Z1961=0),"",IF(AF1961="","",IF(AF1961="R$/mês",Z1961/OBRA!$D$12,IF(AF1961="R$/m²",Z1961/OBRA!$D$10,IF(AF1961="R$/apto",Orçamento!Z1961/OBRA!$D$11,""))))),"")</f>
        <v>3.8595534239384943E-2</v>
      </c>
      <c r="AF1961" s="241" t="s">
        <v>154</v>
      </c>
    </row>
    <row r="1962" spans="1:32" s="10" customFormat="1" ht="13.15" hidden="1" customHeight="1" outlineLevel="3" collapsed="1" x14ac:dyDescent="0.2">
      <c r="A1962" s="227"/>
      <c r="B1962" s="228" t="s">
        <v>3</v>
      </c>
      <c r="C1962" s="229" t="str">
        <f t="shared" si="1596"/>
        <v/>
      </c>
      <c r="D1962" s="227" t="str">
        <f t="shared" ca="1" si="1599"/>
        <v>18.001.002</v>
      </c>
      <c r="E1962" s="228" t="str">
        <f t="shared" ca="1" si="1600"/>
        <v>18.001.001.001</v>
      </c>
      <c r="F1962" s="230">
        <f ca="1">IF($B1962="UNIDADE CONSTRUTIVA",OFFSET(F1962,-1,0)+1,LARGE(F$10:F1961,1))</f>
        <v>2</v>
      </c>
      <c r="G1962" s="228" t="str">
        <f t="shared" ca="1" si="1613"/>
        <v xml:space="preserve">   GERENCIAMENTO EXECUTIVO</v>
      </c>
      <c r="H1962" s="230">
        <f t="shared" ca="1" si="1602"/>
        <v>18</v>
      </c>
      <c r="I1962" s="228" t="str">
        <f t="shared" ca="1" si="1614"/>
        <v xml:space="preserve">   LOUÇAS E METAIS</v>
      </c>
      <c r="J1962" s="230">
        <f t="shared" ca="1" si="1604"/>
        <v>1</v>
      </c>
      <c r="K1962" s="228" t="str">
        <f t="shared" ca="1" si="1615"/>
        <v xml:space="preserve">   LOUÇAS E METAIS - 1º PAVIMENTO - SUBSOLO</v>
      </c>
      <c r="L1962" s="231">
        <f t="shared" ca="1" si="1606"/>
        <v>2</v>
      </c>
      <c r="M1962" s="228" t="str">
        <f t="shared" ca="1" si="1616"/>
        <v xml:space="preserve">   Mão de Obra</v>
      </c>
      <c r="N1962" s="231">
        <f t="shared" ca="1" si="1608"/>
        <v>0</v>
      </c>
      <c r="O1962" s="228" t="str">
        <f t="shared" ca="1" si="1617"/>
        <v>Torneira de Jardim</v>
      </c>
      <c r="P1962" s="232" t="str">
        <f>IF(S1962="","",IF(Orçamento!$B1962="INSUMO",S1962,""))</f>
        <v/>
      </c>
      <c r="Q1962" s="244" t="str">
        <f t="shared" si="1618"/>
        <v/>
      </c>
      <c r="R1962" s="234">
        <f t="shared" ca="1" si="1619"/>
        <v>1</v>
      </c>
      <c r="S1962" s="233" t="s">
        <v>438</v>
      </c>
      <c r="T1962" s="242" t="s">
        <v>35</v>
      </c>
      <c r="U1962" s="235" t="str">
        <f>IF($B1962="insumo",R1962,"")</f>
        <v/>
      </c>
      <c r="V1962" s="320" t="s">
        <v>35</v>
      </c>
      <c r="W1962" s="236" t="str">
        <f>IFERROR(IF(B1962="INSUMO",_xlfn.XLOOKUP(S1962,Insumos!A:A,Insumos!C:C),""),"Inserir Preço")</f>
        <v/>
      </c>
      <c r="X1962" s="235" t="str">
        <f t="shared" ca="1" si="1620"/>
        <v/>
      </c>
      <c r="Y1962" s="236" t="str">
        <f t="shared" si="1622"/>
        <v/>
      </c>
      <c r="Z1962" s="237">
        <f t="shared" ca="1" si="1597"/>
        <v>53.550485716182429</v>
      </c>
      <c r="AA1962" s="238"/>
      <c r="AB1962" s="233" t="str">
        <f>IF(B1962="insumo",_xlfn.XLOOKUP(S1962,Insumos!A:A,Insumos!D:D),"")</f>
        <v/>
      </c>
      <c r="AC1962" s="239">
        <f t="shared" ca="1" si="1598"/>
        <v>7.682305406716908E-6</v>
      </c>
      <c r="AE1962" s="240">
        <f ca="1">IFERROR(IF(OR(Z1962="",Z1962=0),"",IF(AF1962="","",IF(AF1962="R$/mês",Z1962/OBRA!$D$12,IF(AF1962="R$/m²",Z1962/OBRA!$D$10,IF(AF1962="R$/apto",Orçamento!Z1962/OBRA!$D$11,""))))),"")</f>
        <v>2.7557461399928176E-2</v>
      </c>
      <c r="AF1962" s="241" t="s">
        <v>154</v>
      </c>
    </row>
    <row r="1963" spans="1:32" s="10" customFormat="1" ht="13.15" hidden="1" customHeight="1" outlineLevel="4" x14ac:dyDescent="0.2">
      <c r="A1963" s="227"/>
      <c r="B1963" s="228" t="s">
        <v>4</v>
      </c>
      <c r="C1963" s="229">
        <f t="shared" si="1596"/>
        <v>4</v>
      </c>
      <c r="D1963" s="227" t="str">
        <f t="shared" ca="1" si="1599"/>
        <v>18.001.002.001</v>
      </c>
      <c r="E1963" s="228" t="str">
        <f t="shared" ca="1" si="1600"/>
        <v>18.001.002.001</v>
      </c>
      <c r="F1963" s="230">
        <f ca="1">IF($B1963="UNIDADE CONSTRUTIVA",OFFSET(F1963,-1,0)+1,LARGE(F$10:F1962,1))</f>
        <v>2</v>
      </c>
      <c r="G1963" s="228" t="str">
        <f ca="1">IF(B1963="*","",IF(B1963="UNIDADE CONSTRUTIVA",S1963,OFFSET(G1963,-1,0)))</f>
        <v xml:space="preserve">   GERENCIAMENTO EXECUTIVO</v>
      </c>
      <c r="H1963" s="230">
        <f t="shared" ca="1" si="1602"/>
        <v>18</v>
      </c>
      <c r="I1963" s="228" t="str">
        <f ca="1">IF(B1963="*","",IF(B1963="CÉLULA CONSTRUTIVA",S1963,OFFSET(I1963,-1,0)))</f>
        <v xml:space="preserve">   LOUÇAS E METAIS</v>
      </c>
      <c r="J1963" s="230">
        <f t="shared" ca="1" si="1604"/>
        <v>1</v>
      </c>
      <c r="K1963" s="228" t="str">
        <f ca="1">IF(B1963="*","",IF(B1963="ETAPA",S1963,OFFSET(K1963,-1,0)))</f>
        <v xml:space="preserve">   LOUÇAS E METAIS - 1º PAVIMENTO - SUBSOLO</v>
      </c>
      <c r="L1963" s="231">
        <f t="shared" ca="1" si="1606"/>
        <v>2</v>
      </c>
      <c r="M1963" s="228" t="str">
        <f ca="1">IF(B1963="*","",IF(B1963="SUBETAPA",S1963,OFFSET(M1963,-1,0)))</f>
        <v xml:space="preserve">   Mão de Obra</v>
      </c>
      <c r="N1963" s="231">
        <f t="shared" ca="1" si="1608"/>
        <v>1</v>
      </c>
      <c r="O1963" s="228" t="str">
        <f ca="1">IF(B1963="*","",IF(B1963="SERVIÇO",S1963,OFFSET(O1963,-1,0)))</f>
        <v>Loucas e metais</v>
      </c>
      <c r="P1963" s="232" t="str">
        <f>IF(S1963="","",IF(Orçamento!$B1963="INSUMO",S1963,""))</f>
        <v/>
      </c>
      <c r="Q1963" s="244" t="str">
        <f>IF(B1963="","",IF(B1963="Serviço",S1963,""))</f>
        <v>Loucas e metais</v>
      </c>
      <c r="R1963" s="234">
        <f ca="1">IF(B1963="serviço",U1963,OFFSET(R1963,-1,0))</f>
        <v>1.0583099943909571E-3</v>
      </c>
      <c r="S1963" s="233" t="s">
        <v>452</v>
      </c>
      <c r="T1963" s="242" t="s">
        <v>170</v>
      </c>
      <c r="U1963" s="330">
        <f>'Custos Serviços'!$D$104/'Custos Serviços'!$D$103</f>
        <v>1.0583099943909571E-3</v>
      </c>
      <c r="V1963" s="320" t="s">
        <v>35</v>
      </c>
      <c r="W1963" s="236" t="str">
        <f>IFERROR(IF(B1963="INSUMO",_xlfn.XLOOKUP(S1963,Insumos!A:A,Insumos!C:C),""),"Inserir Preço")</f>
        <v/>
      </c>
      <c r="X1963" s="235">
        <f t="shared" ref="X1963:X1968" ca="1" si="1623">IF(B1963="Complemento do insumo",V1963,IF(R1963="","",IF(B1963="serviço",R1963,IF(OR(B1963="insumo"),V1963*R1963,""))))</f>
        <v>1.0583099943909571E-3</v>
      </c>
      <c r="Y1963" s="236">
        <f t="shared" ca="1" si="1622"/>
        <v>50600</v>
      </c>
      <c r="Z1963" s="237">
        <f t="shared" ca="1" si="1597"/>
        <v>53.550485716182429</v>
      </c>
      <c r="AA1963" s="238"/>
      <c r="AB1963" s="233" t="str">
        <f>IF(B1963="insumo",_xlfn.XLOOKUP(S1963,Insumos!A:A,Insumos!D:D),"")</f>
        <v/>
      </c>
      <c r="AC1963" s="239">
        <f t="shared" ca="1" si="1598"/>
        <v>7.682305406716908E-6</v>
      </c>
      <c r="AE1963" s="240">
        <f ca="1">IFERROR(IF(OR(Z1963="",Z1963=0),"",IF(AF1963="","",IF(AF1963="R$/mês",Z1963/OBRA!$D$12,IF(AF1963="R$/m²",Z1963/OBRA!$D$10,IF(AF1963="R$/apto",Orçamento!Z1963/OBRA!$D$11,""))))),"")</f>
        <v>2.7557461399928176E-2</v>
      </c>
      <c r="AF1963" s="241" t="s">
        <v>154</v>
      </c>
    </row>
    <row r="1964" spans="1:32" s="10" customFormat="1" ht="13.15" hidden="1" customHeight="1" outlineLevel="4" x14ac:dyDescent="0.2">
      <c r="A1964" s="227"/>
      <c r="B1964" s="228" t="s">
        <v>19</v>
      </c>
      <c r="C1964" s="229">
        <f t="shared" si="1596"/>
        <v>4</v>
      </c>
      <c r="D1964" s="227" t="str">
        <f t="shared" si="1599"/>
        <v/>
      </c>
      <c r="E1964" s="228" t="str">
        <f t="shared" ca="1" si="1600"/>
        <v>18.001.002.001</v>
      </c>
      <c r="F1964" s="230">
        <f ca="1">IF($B1964="UNIDADE CONSTRUTIVA",OFFSET(F1964,-1,0)+1,LARGE(F$10:F1963,1))</f>
        <v>2</v>
      </c>
      <c r="G1964" s="228" t="str">
        <f ca="1">IF(B1964="*","",IF(B1964="UNIDADE CONSTRUTIVA",S1964,OFFSET(G1964,-1,0)))</f>
        <v xml:space="preserve">   GERENCIAMENTO EXECUTIVO</v>
      </c>
      <c r="H1964" s="230">
        <f t="shared" ca="1" si="1602"/>
        <v>18</v>
      </c>
      <c r="I1964" s="228" t="str">
        <f ca="1">IF(B1964="*","",IF(B1964="CÉLULA CONSTRUTIVA",S1964,OFFSET(I1964,-1,0)))</f>
        <v xml:space="preserve">   LOUÇAS E METAIS</v>
      </c>
      <c r="J1964" s="230">
        <f t="shared" ca="1" si="1604"/>
        <v>1</v>
      </c>
      <c r="K1964" s="228" t="str">
        <f ca="1">IF(B1964="*","",IF(B1964="ETAPA",S1964,OFFSET(K1964,-1,0)))</f>
        <v xml:space="preserve">   LOUÇAS E METAIS - 1º PAVIMENTO - SUBSOLO</v>
      </c>
      <c r="L1964" s="231">
        <f t="shared" ca="1" si="1606"/>
        <v>2</v>
      </c>
      <c r="M1964" s="228" t="str">
        <f ca="1">IF(B1964="*","",IF(B1964="SUBETAPA",S1964,OFFSET(M1964,-1,0)))</f>
        <v xml:space="preserve">   Mão de Obra</v>
      </c>
      <c r="N1964" s="231">
        <f t="shared" ca="1" si="1608"/>
        <v>1</v>
      </c>
      <c r="O1964" s="228" t="str">
        <f ca="1">IF(B1964="*","",IF(B1964="SERVIÇO",S1964,OFFSET(O1964,-1,0)))</f>
        <v>Loucas e metais</v>
      </c>
      <c r="P1964" s="232" t="str">
        <f>IF(S1964="","",IF(Orçamento!$B1964="INSUMO",S1964,""))</f>
        <v>LOUÇAS E METAIS</v>
      </c>
      <c r="Q1964" s="244" t="str">
        <f>IF(B1964="","",IF(B1964="Serviço",S1964,""))</f>
        <v/>
      </c>
      <c r="R1964" s="234">
        <f ca="1">IF(B1964="serviço",U1964,OFFSET(R1964,-1,0))</f>
        <v>1.0583099943909571E-3</v>
      </c>
      <c r="S1964" s="233" t="s">
        <v>833</v>
      </c>
      <c r="T1964" s="242" t="str">
        <f>_xlfn.XLOOKUP(S1964,Insumos!$A$3:$A$371,Insumos!$B$3:$B$371)</f>
        <v>VB</v>
      </c>
      <c r="U1964" s="235">
        <f ca="1">IF($B1964="insumo",R1964,"")</f>
        <v>1.0583099943909571E-3</v>
      </c>
      <c r="V1964" s="320">
        <v>1</v>
      </c>
      <c r="W1964" s="236">
        <f>IFERROR(IF(B1964="INSUMO",_xlfn.XLOOKUP(S1964,Insumos!A:A,Insumos!C:C),""),"Inserir Preço")</f>
        <v>50600</v>
      </c>
      <c r="X1964" s="235">
        <f t="shared" ca="1" si="1623"/>
        <v>1.0583099943909571E-3</v>
      </c>
      <c r="Y1964" s="236">
        <f t="shared" si="1622"/>
        <v>50600</v>
      </c>
      <c r="Z1964" s="237">
        <f t="shared" ca="1" si="1597"/>
        <v>53.550485716182429</v>
      </c>
      <c r="AA1964" s="238"/>
      <c r="AB1964" s="233" t="str">
        <f>IF(B1964="insumo",_xlfn.XLOOKUP(S1964,Insumos!A:A,Insumos!D:D),"")</f>
        <v>Aba Custo Serviços</v>
      </c>
      <c r="AC1964" s="239">
        <f t="shared" ca="1" si="1598"/>
        <v>7.682305406716908E-6</v>
      </c>
      <c r="AE1964" s="240">
        <f ca="1">IFERROR(IF(OR(Z1964="",Z1964=0),"",IF(AF1964="","",IF(AF1964="R$/mês",Z1964/OBRA!$D$12,IF(AF1964="R$/m²",Z1964/OBRA!$D$10,IF(AF1964="R$/apto",Orçamento!Z1964/OBRA!$D$11,""))))),"")</f>
        <v>2.7557461399928176E-2</v>
      </c>
      <c r="AF1964" s="241" t="s">
        <v>154</v>
      </c>
    </row>
    <row r="1965" spans="1:32" s="10" customFormat="1" ht="12" customHeight="1" outlineLevel="2" collapsed="1" x14ac:dyDescent="0.2">
      <c r="A1965" s="227"/>
      <c r="B1965" s="228" t="s">
        <v>2</v>
      </c>
      <c r="C1965" s="229" t="str">
        <f t="shared" si="1596"/>
        <v/>
      </c>
      <c r="D1965" s="227" t="str">
        <f t="shared" ca="1" si="1599"/>
        <v>18.002</v>
      </c>
      <c r="E1965" s="228" t="str">
        <f t="shared" ca="1" si="1600"/>
        <v>18.001.002.001</v>
      </c>
      <c r="F1965" s="230">
        <f ca="1">IF($B1965="UNIDADE CONSTRUTIVA",OFFSET(F1965,-1,0)+1,LARGE(F$10:F1964,1))</f>
        <v>2</v>
      </c>
      <c r="G1965" s="228" t="str">
        <f t="shared" ref="G1965:G1991" ca="1" si="1624">IF(B1965="*","",IF(B1965="UNIDADE CONSTRUTIVA",S1965,OFFSET(G1965,-1,0)))</f>
        <v xml:space="preserve">   GERENCIAMENTO EXECUTIVO</v>
      </c>
      <c r="H1965" s="230">
        <f t="shared" ca="1" si="1602"/>
        <v>18</v>
      </c>
      <c r="I1965" s="228" t="str">
        <f t="shared" ref="I1965:I1991" ca="1" si="1625">IF(B1965="*","",IF(B1965="CÉLULA CONSTRUTIVA",S1965,OFFSET(I1965,-1,0)))</f>
        <v xml:space="preserve">   LOUÇAS E METAIS</v>
      </c>
      <c r="J1965" s="230">
        <f t="shared" ca="1" si="1604"/>
        <v>2</v>
      </c>
      <c r="K1965" s="228" t="str">
        <f t="shared" ref="K1965:K1991" ca="1" si="1626">IF(B1965="*","",IF(B1965="ETAPA",S1965,OFFSET(K1965,-1,0)))</f>
        <v xml:space="preserve">   LOUÇAS E METAIS - 2º PAVIMENTO - TÉRREO</v>
      </c>
      <c r="L1965" s="231">
        <f t="shared" ca="1" si="1606"/>
        <v>0</v>
      </c>
      <c r="M1965" s="228" t="str">
        <f t="shared" ref="M1965:M1991" ca="1" si="1627">IF(B1965="*","",IF(B1965="SUBETAPA",S1965,OFFSET(M1965,-1,0)))</f>
        <v xml:space="preserve">   Mão de Obra</v>
      </c>
      <c r="N1965" s="231">
        <f t="shared" ca="1" si="1608"/>
        <v>1</v>
      </c>
      <c r="O1965" s="228" t="str">
        <f t="shared" ref="O1965:O1991" ca="1" si="1628">IF(B1965="*","",IF(B1965="SERVIÇO",S1965,OFFSET(O1965,-1,0)))</f>
        <v>Loucas e metais</v>
      </c>
      <c r="P1965" s="232" t="str">
        <f>IF(S1965="","",IF(Orçamento!$B1965="INSUMO",S1965,""))</f>
        <v/>
      </c>
      <c r="Q1965" s="244" t="str">
        <f t="shared" ref="Q1965:Q1991" si="1629">IF(B1965="","",IF(B1965="Serviço",S1965,""))</f>
        <v/>
      </c>
      <c r="R1965" s="234">
        <f t="shared" ref="R1965:R1991" ca="1" si="1630">IF(B1965="serviço",U1965,OFFSET(R1965,-1,0))</f>
        <v>1.0583099943909571E-3</v>
      </c>
      <c r="S1965" s="233" t="s">
        <v>1100</v>
      </c>
      <c r="T1965" s="242" t="s">
        <v>35</v>
      </c>
      <c r="U1965" s="235" t="str">
        <f>IF($B1965="insumo",R1965,"")</f>
        <v/>
      </c>
      <c r="V1965" s="320" t="s">
        <v>35</v>
      </c>
      <c r="W1965" s="236" t="str">
        <f>IFERROR(IF(B1965="INSUMO",_xlfn.XLOOKUP(S1965,Insumos!A:A,Insumos!C:C),""),"Inserir Preço")</f>
        <v/>
      </c>
      <c r="X1965" s="235" t="str">
        <f t="shared" ca="1" si="1623"/>
        <v/>
      </c>
      <c r="Y1965" s="236" t="str">
        <f t="shared" si="1622"/>
        <v/>
      </c>
      <c r="Z1965" s="237">
        <f t="shared" ca="1" si="1597"/>
        <v>20169.977974950765</v>
      </c>
      <c r="AA1965" s="238"/>
      <c r="AB1965" s="233" t="str">
        <f>IF(B1965="insumo",_xlfn.XLOOKUP(S1965,Insumos!A:A,Insumos!D:D),"")</f>
        <v/>
      </c>
      <c r="AC1965" s="239">
        <f t="shared" ca="1" si="1598"/>
        <v>2.8935672343210934E-3</v>
      </c>
      <c r="AE1965" s="240">
        <f ca="1">IFERROR(IF(OR(Z1965="",Z1965=0),"",IF(AF1965="","",IF(AF1965="R$/mês",Z1965/OBRA!$D$12,IF(AF1965="R$/m²",Z1965/OBRA!$D$10,IF(AF1965="R$/apto",Orçamento!Z1965/OBRA!$D$11,""))))),"")</f>
        <v>10.379614340531365</v>
      </c>
      <c r="AF1965" s="241" t="s">
        <v>154</v>
      </c>
    </row>
    <row r="1966" spans="1:32" s="10" customFormat="1" ht="13.15" hidden="1" customHeight="1" outlineLevel="3" collapsed="1" x14ac:dyDescent="0.2">
      <c r="A1966" s="227"/>
      <c r="B1966" s="228" t="s">
        <v>3</v>
      </c>
      <c r="C1966" s="229" t="str">
        <f t="shared" si="1596"/>
        <v/>
      </c>
      <c r="D1966" s="227" t="str">
        <f t="shared" ca="1" si="1599"/>
        <v>18.002.001</v>
      </c>
      <c r="E1966" s="228" t="str">
        <f t="shared" ca="1" si="1600"/>
        <v>18.001.002.001</v>
      </c>
      <c r="F1966" s="230">
        <f ca="1">IF($B1966="UNIDADE CONSTRUTIVA",OFFSET(F1966,-1,0)+1,LARGE(F$10:F1965,1))</f>
        <v>2</v>
      </c>
      <c r="G1966" s="228" t="str">
        <f t="shared" ca="1" si="1624"/>
        <v xml:space="preserve">   GERENCIAMENTO EXECUTIVO</v>
      </c>
      <c r="H1966" s="230">
        <f t="shared" ca="1" si="1602"/>
        <v>18</v>
      </c>
      <c r="I1966" s="228" t="str">
        <f t="shared" ca="1" si="1625"/>
        <v xml:space="preserve">   LOUÇAS E METAIS</v>
      </c>
      <c r="J1966" s="230">
        <f t="shared" ca="1" si="1604"/>
        <v>2</v>
      </c>
      <c r="K1966" s="228" t="str">
        <f t="shared" ca="1" si="1626"/>
        <v xml:space="preserve">   LOUÇAS E METAIS - 2º PAVIMENTO - TÉRREO</v>
      </c>
      <c r="L1966" s="231">
        <f t="shared" ca="1" si="1606"/>
        <v>1</v>
      </c>
      <c r="M1966" s="228" t="str">
        <f t="shared" ca="1" si="1627"/>
        <v xml:space="preserve">   Aparelhos Sanitários - Louças - Metais e Acessórios</v>
      </c>
      <c r="N1966" s="231">
        <f t="shared" ca="1" si="1608"/>
        <v>0</v>
      </c>
      <c r="O1966" s="228" t="str">
        <f t="shared" ca="1" si="1628"/>
        <v>Loucas e metais</v>
      </c>
      <c r="P1966" s="232" t="str">
        <f>IF(S1966="","",IF(Orçamento!$B1966="INSUMO",S1966,""))</f>
        <v/>
      </c>
      <c r="Q1966" s="244" t="str">
        <f t="shared" si="1629"/>
        <v/>
      </c>
      <c r="R1966" s="234">
        <f t="shared" ca="1" si="1630"/>
        <v>1.0583099943909571E-3</v>
      </c>
      <c r="S1966" s="233" t="s">
        <v>451</v>
      </c>
      <c r="T1966" s="242" t="s">
        <v>35</v>
      </c>
      <c r="U1966" s="235" t="str">
        <f>IF($B1966="insumo",R1966,"")</f>
        <v/>
      </c>
      <c r="V1966" s="320" t="s">
        <v>35</v>
      </c>
      <c r="W1966" s="236" t="str">
        <f>IFERROR(IF(B1966="INSUMO",_xlfn.XLOOKUP(S1966,Insumos!A:A,Insumos!C:C),""),"Inserir Preço")</f>
        <v/>
      </c>
      <c r="X1966" s="235" t="str">
        <f t="shared" ca="1" si="1623"/>
        <v/>
      </c>
      <c r="Y1966" s="236" t="str">
        <f t="shared" si="1622"/>
        <v/>
      </c>
      <c r="Z1966" s="237">
        <f t="shared" ca="1" si="1597"/>
        <v>11366.725999999999</v>
      </c>
      <c r="AA1966" s="238"/>
      <c r="AB1966" s="233" t="str">
        <f>IF(B1966="insumo",_xlfn.XLOOKUP(S1966,Insumos!A:A,Insumos!D:D),"")</f>
        <v/>
      </c>
      <c r="AC1966" s="239">
        <f t="shared" ca="1" si="1598"/>
        <v>1.6306604774656897E-3</v>
      </c>
      <c r="AE1966" s="240">
        <f ca="1">IFERROR(IF(OR(Z1966="",Z1966=0),"",IF(AF1966="","",IF(AF1966="R$/mês",Z1966/OBRA!$D$12,IF(AF1966="R$/m²",Z1966/OBRA!$D$10,IF(AF1966="R$/apto",Orçamento!Z1966/OBRA!$D$11,""))))),"")</f>
        <v>5.8493981669694266</v>
      </c>
      <c r="AF1966" s="241" t="s">
        <v>154</v>
      </c>
    </row>
    <row r="1967" spans="1:32" s="10" customFormat="1" ht="13.15" hidden="1" customHeight="1" outlineLevel="4" x14ac:dyDescent="0.2">
      <c r="A1967" s="227"/>
      <c r="B1967" s="228" t="s">
        <v>4</v>
      </c>
      <c r="C1967" s="229">
        <f t="shared" si="1596"/>
        <v>3</v>
      </c>
      <c r="D1967" s="227" t="str">
        <f t="shared" ca="1" si="1599"/>
        <v>18.002.001.001</v>
      </c>
      <c r="E1967" s="228" t="str">
        <f t="shared" ca="1" si="1600"/>
        <v>18.002.001.001</v>
      </c>
      <c r="F1967" s="230">
        <f ca="1">IF($B1967="UNIDADE CONSTRUTIVA",OFFSET(F1967,-1,0)+1,LARGE(F$10:F1966,1))</f>
        <v>2</v>
      </c>
      <c r="G1967" s="228" t="str">
        <f t="shared" ca="1" si="1624"/>
        <v xml:space="preserve">   GERENCIAMENTO EXECUTIVO</v>
      </c>
      <c r="H1967" s="230">
        <f t="shared" ca="1" si="1602"/>
        <v>18</v>
      </c>
      <c r="I1967" s="228" t="str">
        <f t="shared" ca="1" si="1625"/>
        <v xml:space="preserve">   LOUÇAS E METAIS</v>
      </c>
      <c r="J1967" s="230">
        <f t="shared" ca="1" si="1604"/>
        <v>2</v>
      </c>
      <c r="K1967" s="228" t="str">
        <f t="shared" ca="1" si="1626"/>
        <v xml:space="preserve">   LOUÇAS E METAIS - 2º PAVIMENTO - TÉRREO</v>
      </c>
      <c r="L1967" s="231">
        <f t="shared" ca="1" si="1606"/>
        <v>1</v>
      </c>
      <c r="M1967" s="228" t="str">
        <f t="shared" ca="1" si="1627"/>
        <v xml:space="preserve">   Aparelhos Sanitários - Louças - Metais e Acessórios</v>
      </c>
      <c r="N1967" s="231">
        <f t="shared" ca="1" si="1608"/>
        <v>1</v>
      </c>
      <c r="O1967" s="228" t="str">
        <f t="shared" ca="1" si="1628"/>
        <v>Bacia com Caixa Acoplada</v>
      </c>
      <c r="P1967" s="232" t="str">
        <f>IF(S1967="","",IF(Orçamento!$B1967="INSUMO",S1967,""))</f>
        <v/>
      </c>
      <c r="Q1967" s="244" t="str">
        <f t="shared" si="1629"/>
        <v>Bacia com Caixa Acoplada</v>
      </c>
      <c r="R1967" s="234">
        <f t="shared" ca="1" si="1630"/>
        <v>5</v>
      </c>
      <c r="S1967" s="233" t="s">
        <v>834</v>
      </c>
      <c r="T1967" s="242" t="s">
        <v>142</v>
      </c>
      <c r="U1967" s="235">
        <v>5</v>
      </c>
      <c r="V1967" s="320" t="s">
        <v>35</v>
      </c>
      <c r="W1967" s="236" t="str">
        <f>IFERROR(IF(B1967="INSUMO",_xlfn.XLOOKUP(S1967,Insumos!A:A,Insumos!C:C),""),"Inserir Preço")</f>
        <v/>
      </c>
      <c r="X1967" s="235">
        <f t="shared" ca="1" si="1623"/>
        <v>5</v>
      </c>
      <c r="Y1967" s="236">
        <f t="shared" ca="1" si="1622"/>
        <v>471.46600000000001</v>
      </c>
      <c r="Z1967" s="237">
        <f t="shared" ca="1" si="1597"/>
        <v>2357.33</v>
      </c>
      <c r="AA1967" s="238"/>
      <c r="AB1967" s="233" t="str">
        <f>IF(B1967="insumo",_xlfn.XLOOKUP(S1967,Insumos!A:A,Insumos!D:D),"")</f>
        <v/>
      </c>
      <c r="AC1967" s="239">
        <f t="shared" ca="1" si="1598"/>
        <v>3.3818048075973632E-4</v>
      </c>
      <c r="AE1967" s="240">
        <f ca="1">IFERROR(IF(OR(Z1967="",Z1967=0),"",IF(AF1967="","",IF(AF1967="R$/mês",Z1967/OBRA!$D$12,IF(AF1967="R$/m²",Z1967/OBRA!$D$10,IF(AF1967="R$/apto",Orçamento!Z1967/OBRA!$D$11,""))))),"")</f>
        <v>1.2130988097137241</v>
      </c>
      <c r="AF1967" s="241" t="s">
        <v>154</v>
      </c>
    </row>
    <row r="1968" spans="1:32" s="10" customFormat="1" ht="13.15" hidden="1" customHeight="1" outlineLevel="4" x14ac:dyDescent="0.2">
      <c r="A1968" s="227"/>
      <c r="B1968" s="228" t="s">
        <v>19</v>
      </c>
      <c r="C1968" s="229">
        <f t="shared" si="1596"/>
        <v>3</v>
      </c>
      <c r="D1968" s="227" t="str">
        <f t="shared" si="1599"/>
        <v/>
      </c>
      <c r="E1968" s="228" t="str">
        <f t="shared" ca="1" si="1600"/>
        <v>18.002.001.001</v>
      </c>
      <c r="F1968" s="230">
        <f ca="1">IF($B1968="UNIDADE CONSTRUTIVA",OFFSET(F1968,-1,0)+1,LARGE(F$10:F1967,1))</f>
        <v>2</v>
      </c>
      <c r="G1968" s="228" t="str">
        <f t="shared" ca="1" si="1624"/>
        <v xml:space="preserve">   GERENCIAMENTO EXECUTIVO</v>
      </c>
      <c r="H1968" s="230">
        <f t="shared" ca="1" si="1602"/>
        <v>18</v>
      </c>
      <c r="I1968" s="228" t="str">
        <f t="shared" ca="1" si="1625"/>
        <v xml:space="preserve">   LOUÇAS E METAIS</v>
      </c>
      <c r="J1968" s="230">
        <f t="shared" ca="1" si="1604"/>
        <v>2</v>
      </c>
      <c r="K1968" s="228" t="str">
        <f t="shared" ca="1" si="1626"/>
        <v xml:space="preserve">   LOUÇAS E METAIS - 2º PAVIMENTO - TÉRREO</v>
      </c>
      <c r="L1968" s="231">
        <f t="shared" ca="1" si="1606"/>
        <v>1</v>
      </c>
      <c r="M1968" s="228" t="str">
        <f t="shared" ca="1" si="1627"/>
        <v xml:space="preserve">   Aparelhos Sanitários - Louças - Metais e Acessórios</v>
      </c>
      <c r="N1968" s="231">
        <f t="shared" ca="1" si="1608"/>
        <v>1</v>
      </c>
      <c r="O1968" s="228" t="str">
        <f t="shared" ca="1" si="1628"/>
        <v>Bacia com Caixa Acoplada</v>
      </c>
      <c r="P1968" s="232" t="str">
        <f>IF(S1968="","",IF(Orçamento!$B1968="INSUMO",S1968,""))</f>
        <v>BACIA SANITARIA LOUCA P/CAIXA ACOPLADA</v>
      </c>
      <c r="Q1968" s="244" t="str">
        <f t="shared" si="1629"/>
        <v/>
      </c>
      <c r="R1968" s="234">
        <f t="shared" ca="1" si="1630"/>
        <v>5</v>
      </c>
      <c r="S1968" s="233" t="s">
        <v>835</v>
      </c>
      <c r="T1968" s="242" t="str">
        <f>_xlfn.XLOOKUP(S1968,Insumos!$A$3:$A$371,Insumos!$B$3:$B$371)</f>
        <v>un</v>
      </c>
      <c r="U1968" s="235">
        <f t="shared" ref="U1968:U1975" ca="1" si="1631">IF($B1968="insumo",R1968,"")</f>
        <v>5</v>
      </c>
      <c r="V1968" s="320">
        <v>1</v>
      </c>
      <c r="W1968" s="236">
        <f>IFERROR(IF(B1968="INSUMO",_xlfn.XLOOKUP(S1968,Insumos!A:A,Insumos!C:C),""),"Inserir Preço")</f>
        <v>285</v>
      </c>
      <c r="X1968" s="235">
        <f t="shared" ca="1" si="1623"/>
        <v>5</v>
      </c>
      <c r="Y1968" s="236">
        <f t="shared" si="1622"/>
        <v>285</v>
      </c>
      <c r="Z1968" s="237">
        <f t="shared" ca="1" si="1597"/>
        <v>1425</v>
      </c>
      <c r="AA1968" s="238"/>
      <c r="AB1968" s="233" t="str">
        <f>IF(B1968="insumo",_xlfn.XLOOKUP(S1968,Insumos!A:A,Insumos!D:D),"")</f>
        <v>Base de Dados</v>
      </c>
      <c r="AC1968" s="239">
        <f t="shared" ca="1" si="1598"/>
        <v>2.0442924201644416E-4</v>
      </c>
      <c r="AE1968" s="240">
        <f ca="1">IFERROR(IF(OR(Z1968="",Z1968=0),"",IF(AF1968="","",IF(AF1968="R$/mês",Z1968/OBRA!$D$12,IF(AF1968="R$/m²",Z1968/OBRA!$D$10,IF(AF1968="R$/apto",Orçamento!Z1968/OBRA!$D$11,""))))),"")</f>
        <v>0.73331515054831387</v>
      </c>
      <c r="AF1968" s="241" t="s">
        <v>154</v>
      </c>
    </row>
    <row r="1969" spans="1:32" s="10" customFormat="1" ht="13.15" hidden="1" customHeight="1" outlineLevel="4" x14ac:dyDescent="0.2">
      <c r="A1969" s="227"/>
      <c r="B1969" s="228" t="s">
        <v>19</v>
      </c>
      <c r="C1969" s="229">
        <f t="shared" si="1596"/>
        <v>3</v>
      </c>
      <c r="D1969" s="227" t="str">
        <f t="shared" si="1599"/>
        <v/>
      </c>
      <c r="E1969" s="228" t="str">
        <f t="shared" ca="1" si="1600"/>
        <v>18.002.001.001</v>
      </c>
      <c r="F1969" s="230">
        <f ca="1">IF($B1969="UNIDADE CONSTRUTIVA",OFFSET(F1969,-1,0)+1,LARGE(F$10:F1968,1))</f>
        <v>2</v>
      </c>
      <c r="G1969" s="228" t="str">
        <f t="shared" ca="1" si="1624"/>
        <v xml:space="preserve">   GERENCIAMENTO EXECUTIVO</v>
      </c>
      <c r="H1969" s="230">
        <f t="shared" ca="1" si="1602"/>
        <v>18</v>
      </c>
      <c r="I1969" s="228" t="str">
        <f t="shared" ca="1" si="1625"/>
        <v xml:space="preserve">   LOUÇAS E METAIS</v>
      </c>
      <c r="J1969" s="230">
        <f t="shared" ca="1" si="1604"/>
        <v>2</v>
      </c>
      <c r="K1969" s="228" t="str">
        <f t="shared" ca="1" si="1626"/>
        <v xml:space="preserve">   LOUÇAS E METAIS - 2º PAVIMENTO - TÉRREO</v>
      </c>
      <c r="L1969" s="231">
        <f t="shared" ca="1" si="1606"/>
        <v>1</v>
      </c>
      <c r="M1969" s="228" t="str">
        <f t="shared" ca="1" si="1627"/>
        <v xml:space="preserve">   Aparelhos Sanitários - Louças - Metais e Acessórios</v>
      </c>
      <c r="N1969" s="231">
        <f t="shared" ca="1" si="1608"/>
        <v>1</v>
      </c>
      <c r="O1969" s="228" t="str">
        <f t="shared" ca="1" si="1628"/>
        <v>Bacia com Caixa Acoplada</v>
      </c>
      <c r="P1969" s="232" t="str">
        <f>IF(S1969="","",IF(Orçamento!$B1969="INSUMO",S1969,""))</f>
        <v>CAIXA ACOPLADA LOUCA P/DESCARGA</v>
      </c>
      <c r="Q1969" s="244" t="str">
        <f t="shared" si="1629"/>
        <v/>
      </c>
      <c r="R1969" s="234">
        <f t="shared" ca="1" si="1630"/>
        <v>5</v>
      </c>
      <c r="S1969" s="233" t="s">
        <v>836</v>
      </c>
      <c r="T1969" s="242" t="str">
        <f>_xlfn.XLOOKUP(S1969,Insumos!$A$3:$A$371,Insumos!$B$3:$B$371)</f>
        <v>un</v>
      </c>
      <c r="U1969" s="235">
        <f t="shared" ca="1" si="1631"/>
        <v>5</v>
      </c>
      <c r="V1969" s="320">
        <v>1</v>
      </c>
      <c r="W1969" s="236">
        <f>IFERROR(IF(B1969="INSUMO",_xlfn.XLOOKUP(S1969,Insumos!A:A,Insumos!C:C),""),"Inserir Preço")</f>
        <v>130.49</v>
      </c>
      <c r="X1969" s="235">
        <f t="shared" ref="X1969:X1991" ca="1" si="1632">IF(B1969="Complemento do insumo",V1969,IF(R1969="","",IF(B1969="serviço",R1969,IF(OR(B1969="insumo"),V1969*R1969,""))))</f>
        <v>5</v>
      </c>
      <c r="Y1969" s="236">
        <f t="shared" si="1622"/>
        <v>130.49</v>
      </c>
      <c r="Z1969" s="237">
        <f t="shared" ca="1" si="1597"/>
        <v>652.45000000000005</v>
      </c>
      <c r="AA1969" s="238"/>
      <c r="AB1969" s="233" t="str">
        <f>IF(B1969="insumo",_xlfn.XLOOKUP(S1969,Insumos!A:A,Insumos!D:D),"")</f>
        <v>Base de Dados</v>
      </c>
      <c r="AC1969" s="239">
        <f t="shared" ca="1" si="1598"/>
        <v>9.3599901020090525E-5</v>
      </c>
      <c r="AE1969" s="240">
        <f ca="1">IFERROR(IF(OR(Z1969="",Z1969=0),"",IF(AF1969="","",IF(AF1969="R$/mês",Z1969/OBRA!$D$12,IF(AF1969="R$/m²",Z1969/OBRA!$D$10,IF(AF1969="R$/apto",Orçamento!Z1969/OBRA!$D$11,""))))),"")</f>
        <v>0.33575541752648941</v>
      </c>
      <c r="AF1969" s="241" t="s">
        <v>154</v>
      </c>
    </row>
    <row r="1970" spans="1:32" s="10" customFormat="1" ht="13.15" hidden="1" customHeight="1" outlineLevel="4" x14ac:dyDescent="0.2">
      <c r="A1970" s="227"/>
      <c r="B1970" s="228" t="s">
        <v>19</v>
      </c>
      <c r="C1970" s="229">
        <f t="shared" si="1596"/>
        <v>3</v>
      </c>
      <c r="D1970" s="227" t="str">
        <f t="shared" si="1599"/>
        <v/>
      </c>
      <c r="E1970" s="228" t="str">
        <f t="shared" ca="1" si="1600"/>
        <v>18.002.001.001</v>
      </c>
      <c r="F1970" s="230">
        <f ca="1">IF($B1970="UNIDADE CONSTRUTIVA",OFFSET(F1970,-1,0)+1,LARGE(F$10:F1969,1))</f>
        <v>2</v>
      </c>
      <c r="G1970" s="228" t="str">
        <f t="shared" ca="1" si="1624"/>
        <v xml:space="preserve">   GERENCIAMENTO EXECUTIVO</v>
      </c>
      <c r="H1970" s="230">
        <f t="shared" ca="1" si="1602"/>
        <v>18</v>
      </c>
      <c r="I1970" s="228" t="str">
        <f t="shared" ca="1" si="1625"/>
        <v xml:space="preserve">   LOUÇAS E METAIS</v>
      </c>
      <c r="J1970" s="230">
        <f t="shared" ca="1" si="1604"/>
        <v>2</v>
      </c>
      <c r="K1970" s="228" t="str">
        <f t="shared" ca="1" si="1626"/>
        <v xml:space="preserve">   LOUÇAS E METAIS - 2º PAVIMENTO - TÉRREO</v>
      </c>
      <c r="L1970" s="231">
        <f t="shared" ca="1" si="1606"/>
        <v>1</v>
      </c>
      <c r="M1970" s="228" t="str">
        <f t="shared" ca="1" si="1627"/>
        <v xml:space="preserve">   Aparelhos Sanitários - Louças - Metais e Acessórios</v>
      </c>
      <c r="N1970" s="231">
        <f t="shared" ca="1" si="1608"/>
        <v>1</v>
      </c>
      <c r="O1970" s="228" t="str">
        <f t="shared" ca="1" si="1628"/>
        <v>Bacia com Caixa Acoplada</v>
      </c>
      <c r="P1970" s="232" t="str">
        <f>IF(S1970="","",IF(Orçamento!$B1970="INSUMO",S1970,""))</f>
        <v>ANEL VEDACAO C/GUIA P/VASO SANITARIO 4"</v>
      </c>
      <c r="Q1970" s="244" t="str">
        <f t="shared" si="1629"/>
        <v/>
      </c>
      <c r="R1970" s="234">
        <f t="shared" ca="1" si="1630"/>
        <v>5</v>
      </c>
      <c r="S1970" s="233" t="s">
        <v>837</v>
      </c>
      <c r="T1970" s="242" t="str">
        <f>_xlfn.XLOOKUP(S1970,Insumos!$A$3:$A$371,Insumos!$B$3:$B$371)</f>
        <v>un</v>
      </c>
      <c r="U1970" s="235">
        <f t="shared" ca="1" si="1631"/>
        <v>5</v>
      </c>
      <c r="V1970" s="320">
        <v>1</v>
      </c>
      <c r="W1970" s="236">
        <f>IFERROR(IF(B1970="INSUMO",_xlfn.XLOOKUP(S1970,Insumos!A:A,Insumos!C:C),""),"Inserir Preço")</f>
        <v>15.9</v>
      </c>
      <c r="X1970" s="235">
        <f t="shared" ca="1" si="1632"/>
        <v>5</v>
      </c>
      <c r="Y1970" s="236">
        <f t="shared" si="1622"/>
        <v>15.9</v>
      </c>
      <c r="Z1970" s="237">
        <f t="shared" ca="1" si="1597"/>
        <v>79.5</v>
      </c>
      <c r="AA1970" s="238"/>
      <c r="AB1970" s="233" t="str">
        <f>IF(B1970="insumo",_xlfn.XLOOKUP(S1970,Insumos!A:A,Insumos!D:D),"")</f>
        <v>Base de Dados</v>
      </c>
      <c r="AC1970" s="239">
        <f t="shared" ca="1" si="1598"/>
        <v>1.1404999817759516E-5</v>
      </c>
      <c r="AE1970" s="240">
        <f ca="1">IFERROR(IF(OR(Z1970="",Z1970=0),"",IF(AF1970="","",IF(AF1970="R$/mês",Z1970/OBRA!$D$12,IF(AF1970="R$/m²",Z1970/OBRA!$D$10,IF(AF1970="R$/apto",Orçamento!Z1970/OBRA!$D$11,""))))),"")</f>
        <v>4.0911266293748035E-2</v>
      </c>
      <c r="AF1970" s="241" t="s">
        <v>154</v>
      </c>
    </row>
    <row r="1971" spans="1:32" s="10" customFormat="1" ht="13.15" hidden="1" customHeight="1" outlineLevel="4" x14ac:dyDescent="0.2">
      <c r="A1971" s="227"/>
      <c r="B1971" s="228" t="s">
        <v>19</v>
      </c>
      <c r="C1971" s="229">
        <f t="shared" si="1596"/>
        <v>6</v>
      </c>
      <c r="D1971" s="227" t="str">
        <f t="shared" si="1599"/>
        <v/>
      </c>
      <c r="E1971" s="228" t="str">
        <f t="shared" ca="1" si="1600"/>
        <v>18.002.001.001</v>
      </c>
      <c r="F1971" s="230">
        <f ca="1">IF($B1971="UNIDADE CONSTRUTIVA",OFFSET(F1971,-1,0)+1,LARGE(F$10:F1970,1))</f>
        <v>2</v>
      </c>
      <c r="G1971" s="228" t="str">
        <f t="shared" ca="1" si="1624"/>
        <v xml:space="preserve">   GERENCIAMENTO EXECUTIVO</v>
      </c>
      <c r="H1971" s="230">
        <f t="shared" ca="1" si="1602"/>
        <v>18</v>
      </c>
      <c r="I1971" s="228" t="str">
        <f t="shared" ca="1" si="1625"/>
        <v xml:space="preserve">   LOUÇAS E METAIS</v>
      </c>
      <c r="J1971" s="230">
        <f t="shared" ca="1" si="1604"/>
        <v>2</v>
      </c>
      <c r="K1971" s="228" t="str">
        <f t="shared" ca="1" si="1626"/>
        <v xml:space="preserve">   LOUÇAS E METAIS - 2º PAVIMENTO - TÉRREO</v>
      </c>
      <c r="L1971" s="231">
        <f t="shared" ca="1" si="1606"/>
        <v>1</v>
      </c>
      <c r="M1971" s="228" t="str">
        <f t="shared" ca="1" si="1627"/>
        <v xml:space="preserve">   Aparelhos Sanitários - Louças - Metais e Acessórios</v>
      </c>
      <c r="N1971" s="231">
        <f t="shared" ca="1" si="1608"/>
        <v>1</v>
      </c>
      <c r="O1971" s="228" t="str">
        <f t="shared" ca="1" si="1628"/>
        <v>Bacia com Caixa Acoplada</v>
      </c>
      <c r="P1971" s="232" t="str">
        <f>IF(S1971="","",IF(Orçamento!$B1971="INSUMO",S1971,""))</f>
        <v>ENGATE FLEXIVEL PVC 1/2"X30CM NBR 14878</v>
      </c>
      <c r="Q1971" s="244" t="str">
        <f t="shared" si="1629"/>
        <v/>
      </c>
      <c r="R1971" s="234">
        <f t="shared" ca="1" si="1630"/>
        <v>5</v>
      </c>
      <c r="S1971" s="233" t="s">
        <v>838</v>
      </c>
      <c r="T1971" s="242" t="str">
        <f>_xlfn.XLOOKUP(S1971,Insumos!$A$3:$A$371,Insumos!$B$3:$B$371)</f>
        <v>un</v>
      </c>
      <c r="U1971" s="235">
        <f t="shared" ca="1" si="1631"/>
        <v>5</v>
      </c>
      <c r="V1971" s="320">
        <v>1</v>
      </c>
      <c r="W1971" s="236">
        <f>IFERROR(IF(B1971="INSUMO",_xlfn.XLOOKUP(S1971,Insumos!A:A,Insumos!C:C),""),"Inserir Preço")</f>
        <v>14.75</v>
      </c>
      <c r="X1971" s="235">
        <f t="shared" ca="1" si="1632"/>
        <v>5</v>
      </c>
      <c r="Y1971" s="236">
        <f t="shared" si="1622"/>
        <v>14.75</v>
      </c>
      <c r="Z1971" s="237">
        <f t="shared" ca="1" si="1597"/>
        <v>73.75</v>
      </c>
      <c r="AA1971" s="238"/>
      <c r="AB1971" s="233" t="str">
        <f>IF(B1971="insumo",_xlfn.XLOOKUP(S1971,Insumos!A:A,Insumos!D:D),"")</f>
        <v>Base de Dados</v>
      </c>
      <c r="AC1971" s="239">
        <f t="shared" ca="1" si="1598"/>
        <v>1.0580109893833513E-5</v>
      </c>
      <c r="AE1971" s="240">
        <f ca="1">IFERROR(IF(OR(Z1971="",Z1971=0),"",IF(AF1971="","",IF(AF1971="R$/mês",Z1971/OBRA!$D$12,IF(AF1971="R$/m²",Z1971/OBRA!$D$10,IF(AF1971="R$/apto",Orçamento!Z1971/OBRA!$D$11,""))))),"")</f>
        <v>3.7952275335395191E-2</v>
      </c>
      <c r="AF1971" s="241" t="s">
        <v>154</v>
      </c>
    </row>
    <row r="1972" spans="1:32" s="10" customFormat="1" ht="13.15" hidden="1" customHeight="1" outlineLevel="4" x14ac:dyDescent="0.2">
      <c r="A1972" s="227"/>
      <c r="B1972" s="228" t="s">
        <v>19</v>
      </c>
      <c r="C1972" s="229">
        <f t="shared" si="1596"/>
        <v>4</v>
      </c>
      <c r="D1972" s="227" t="str">
        <f t="shared" si="1599"/>
        <v/>
      </c>
      <c r="E1972" s="228" t="str">
        <f t="shared" ca="1" si="1600"/>
        <v>18.002.001.001</v>
      </c>
      <c r="F1972" s="230">
        <f ca="1">IF($B1972="UNIDADE CONSTRUTIVA",OFFSET(F1972,-1,0)+1,LARGE(F$10:F1971,1))</f>
        <v>2</v>
      </c>
      <c r="G1972" s="228" t="str">
        <f t="shared" ca="1" si="1624"/>
        <v xml:space="preserve">   GERENCIAMENTO EXECUTIVO</v>
      </c>
      <c r="H1972" s="230">
        <f t="shared" ca="1" si="1602"/>
        <v>18</v>
      </c>
      <c r="I1972" s="228" t="str">
        <f t="shared" ca="1" si="1625"/>
        <v xml:space="preserve">   LOUÇAS E METAIS</v>
      </c>
      <c r="J1972" s="230">
        <f t="shared" ca="1" si="1604"/>
        <v>2</v>
      </c>
      <c r="K1972" s="228" t="str">
        <f t="shared" ca="1" si="1626"/>
        <v xml:space="preserve">   LOUÇAS E METAIS - 2º PAVIMENTO - TÉRREO</v>
      </c>
      <c r="L1972" s="231">
        <f t="shared" ca="1" si="1606"/>
        <v>1</v>
      </c>
      <c r="M1972" s="228" t="str">
        <f t="shared" ca="1" si="1627"/>
        <v xml:space="preserve">   Aparelhos Sanitários - Louças - Metais e Acessórios</v>
      </c>
      <c r="N1972" s="231">
        <f t="shared" ca="1" si="1608"/>
        <v>1</v>
      </c>
      <c r="O1972" s="228" t="str">
        <f t="shared" ca="1" si="1628"/>
        <v>Bacia com Caixa Acoplada</v>
      </c>
      <c r="P1972" s="232" t="str">
        <f>IF(S1972="","",IF(Orçamento!$B1972="INSUMO",S1972,""))</f>
        <v>PARAFUSO ACO CARBONO CAB. CASTELO ARRUELA E BUCHA S08</v>
      </c>
      <c r="Q1972" s="244" t="str">
        <f t="shared" si="1629"/>
        <v/>
      </c>
      <c r="R1972" s="234">
        <f t="shared" ca="1" si="1630"/>
        <v>5</v>
      </c>
      <c r="S1972" s="233" t="s">
        <v>839</v>
      </c>
      <c r="T1972" s="242" t="str">
        <f>_xlfn.XLOOKUP(S1972,Insumos!$A$3:$A$371,Insumos!$B$3:$B$371)</f>
        <v>UN</v>
      </c>
      <c r="U1972" s="235">
        <f t="shared" ca="1" si="1631"/>
        <v>5</v>
      </c>
      <c r="V1972" s="320">
        <v>4</v>
      </c>
      <c r="W1972" s="236">
        <f>IFERROR(IF(B1972="INSUMO",_xlfn.XLOOKUP(S1972,Insumos!A:A,Insumos!C:C),""),"Inserir Preço")</f>
        <v>1.4</v>
      </c>
      <c r="X1972" s="235">
        <f t="shared" ca="1" si="1632"/>
        <v>20</v>
      </c>
      <c r="Y1972" s="236">
        <f t="shared" si="1622"/>
        <v>5.6</v>
      </c>
      <c r="Z1972" s="237">
        <f t="shared" ca="1" si="1597"/>
        <v>28</v>
      </c>
      <c r="AA1972" s="238"/>
      <c r="AB1972" s="233" t="str">
        <f>IF(B1972="insumo",_xlfn.XLOOKUP(S1972,Insumos!A:A,Insumos!D:D),"")</f>
        <v>Base de Dados</v>
      </c>
      <c r="AC1972" s="239">
        <f t="shared" ca="1" si="1598"/>
        <v>4.0168552817266216E-6</v>
      </c>
      <c r="AE1972" s="240">
        <f ca="1">IFERROR(IF(OR(Z1972="",Z1972=0),"",IF(AF1972="","",IF(AF1972="R$/mês",Z1972/OBRA!$D$12,IF(AF1972="R$/m²",Z1972/OBRA!$D$10,IF(AF1972="R$/apto",Orçamento!Z1972/OBRA!$D$11,""))))),"")</f>
        <v>1.4408999449370378E-2</v>
      </c>
      <c r="AF1972" s="241" t="s">
        <v>154</v>
      </c>
    </row>
    <row r="1973" spans="1:32" s="10" customFormat="1" ht="13.15" hidden="1" customHeight="1" outlineLevel="4" x14ac:dyDescent="0.2">
      <c r="A1973" s="227"/>
      <c r="B1973" s="228" t="s">
        <v>19</v>
      </c>
      <c r="C1973" s="229">
        <f t="shared" si="1596"/>
        <v>7</v>
      </c>
      <c r="D1973" s="227" t="str">
        <f t="shared" si="1599"/>
        <v/>
      </c>
      <c r="E1973" s="228" t="str">
        <f t="shared" ca="1" si="1600"/>
        <v>18.002.001.001</v>
      </c>
      <c r="F1973" s="230">
        <f ca="1">IF($B1973="UNIDADE CONSTRUTIVA",OFFSET(F1973,-1,0)+1,LARGE(F$10:F1972,1))</f>
        <v>2</v>
      </c>
      <c r="G1973" s="228" t="str">
        <f t="shared" ca="1" si="1624"/>
        <v xml:space="preserve">   GERENCIAMENTO EXECUTIVO</v>
      </c>
      <c r="H1973" s="230">
        <f t="shared" ca="1" si="1602"/>
        <v>18</v>
      </c>
      <c r="I1973" s="228" t="str">
        <f t="shared" ca="1" si="1625"/>
        <v xml:space="preserve">   LOUÇAS E METAIS</v>
      </c>
      <c r="J1973" s="230">
        <f t="shared" ca="1" si="1604"/>
        <v>2</v>
      </c>
      <c r="K1973" s="228" t="str">
        <f t="shared" ca="1" si="1626"/>
        <v xml:space="preserve">   LOUÇAS E METAIS - 2º PAVIMENTO - TÉRREO</v>
      </c>
      <c r="L1973" s="231">
        <f t="shared" ca="1" si="1606"/>
        <v>1</v>
      </c>
      <c r="M1973" s="228" t="str">
        <f t="shared" ca="1" si="1627"/>
        <v xml:space="preserve">   Aparelhos Sanitários - Louças - Metais e Acessórios</v>
      </c>
      <c r="N1973" s="231">
        <f t="shared" ca="1" si="1608"/>
        <v>1</v>
      </c>
      <c r="O1973" s="228" t="str">
        <f t="shared" ca="1" si="1628"/>
        <v>Bacia com Caixa Acoplada</v>
      </c>
      <c r="P1973" s="232" t="str">
        <f>IF(S1973="","",IF(Orçamento!$B1973="INSUMO",S1973,""))</f>
        <v>FITA VEDA ROSCA 18MMX50M NBR 13124</v>
      </c>
      <c r="Q1973" s="244" t="str">
        <f t="shared" si="1629"/>
        <v/>
      </c>
      <c r="R1973" s="234">
        <f t="shared" ca="1" si="1630"/>
        <v>5</v>
      </c>
      <c r="S1973" s="233" t="s">
        <v>840</v>
      </c>
      <c r="T1973" s="242" t="str">
        <f>_xlfn.XLOOKUP(S1973,Insumos!$A$3:$A$371,Insumos!$B$3:$B$371)</f>
        <v>UN</v>
      </c>
      <c r="U1973" s="235">
        <f t="shared" ca="1" si="1631"/>
        <v>5</v>
      </c>
      <c r="V1973" s="320">
        <v>0.84</v>
      </c>
      <c r="W1973" s="236">
        <f>IFERROR(IF(B1973="INSUMO",_xlfn.XLOOKUP(S1973,Insumos!A:A,Insumos!C:C),""),"Inserir Preço")</f>
        <v>6.56</v>
      </c>
      <c r="X1973" s="235">
        <f t="shared" ca="1" si="1632"/>
        <v>4.2</v>
      </c>
      <c r="Y1973" s="236">
        <f t="shared" si="1622"/>
        <v>5.5103999999999997</v>
      </c>
      <c r="Z1973" s="237">
        <f t="shared" ca="1" si="1597"/>
        <v>27.552</v>
      </c>
      <c r="AA1973" s="238"/>
      <c r="AB1973" s="233" t="str">
        <f>IF(B1973="insumo",_xlfn.XLOOKUP(S1973,Insumos!A:A,Insumos!D:D),"")</f>
        <v xml:space="preserve"> </v>
      </c>
      <c r="AC1973" s="239">
        <f t="shared" ca="1" si="1598"/>
        <v>3.9525855972189955E-6</v>
      </c>
      <c r="AE1973" s="240">
        <f ca="1">IFERROR(IF(OR(Z1973="",Z1973=0),"",IF(AF1973="","",IF(AF1973="R$/mês",Z1973/OBRA!$D$12,IF(AF1973="R$/m²",Z1973/OBRA!$D$10,IF(AF1973="R$/apto",Orçamento!Z1973/OBRA!$D$11,""))))),"")</f>
        <v>1.4178455458180451E-2</v>
      </c>
      <c r="AF1973" s="241" t="s">
        <v>154</v>
      </c>
    </row>
    <row r="1974" spans="1:32" s="10" customFormat="1" ht="13.15" hidden="1" customHeight="1" outlineLevel="4" x14ac:dyDescent="0.2">
      <c r="A1974" s="227"/>
      <c r="B1974" s="228" t="s">
        <v>19</v>
      </c>
      <c r="C1974" s="229">
        <f t="shared" si="1596"/>
        <v>7</v>
      </c>
      <c r="D1974" s="227" t="str">
        <f t="shared" si="1599"/>
        <v/>
      </c>
      <c r="E1974" s="228" t="str">
        <f t="shared" ca="1" si="1600"/>
        <v>18.002.001.001</v>
      </c>
      <c r="F1974" s="230">
        <f ca="1">IF($B1974="UNIDADE CONSTRUTIVA",OFFSET(F1974,-1,0)+1,LARGE(F$10:F1973,1))</f>
        <v>2</v>
      </c>
      <c r="G1974" s="228" t="str">
        <f t="shared" ca="1" si="1624"/>
        <v xml:space="preserve">   GERENCIAMENTO EXECUTIVO</v>
      </c>
      <c r="H1974" s="230">
        <f t="shared" ca="1" si="1602"/>
        <v>18</v>
      </c>
      <c r="I1974" s="228" t="str">
        <f t="shared" ca="1" si="1625"/>
        <v xml:space="preserve">   LOUÇAS E METAIS</v>
      </c>
      <c r="J1974" s="230">
        <f t="shared" ca="1" si="1604"/>
        <v>2</v>
      </c>
      <c r="K1974" s="228" t="str">
        <f t="shared" ca="1" si="1626"/>
        <v xml:space="preserve">   LOUÇAS E METAIS - 2º PAVIMENTO - TÉRREO</v>
      </c>
      <c r="L1974" s="231">
        <f t="shared" ca="1" si="1606"/>
        <v>1</v>
      </c>
      <c r="M1974" s="228" t="str">
        <f t="shared" ca="1" si="1627"/>
        <v xml:space="preserve">   Aparelhos Sanitários - Louças - Metais e Acessórios</v>
      </c>
      <c r="N1974" s="231">
        <f t="shared" ca="1" si="1608"/>
        <v>1</v>
      </c>
      <c r="O1974" s="228" t="str">
        <f t="shared" ca="1" si="1628"/>
        <v>Bacia com Caixa Acoplada</v>
      </c>
      <c r="P1974" s="232" t="str">
        <f>IF(S1974="","",IF(Orçamento!$B1974="INSUMO",S1974,""))</f>
        <v>MASSA PLASTICA BRANCA BI-COMPONENTE POLIESTER 400G</v>
      </c>
      <c r="Q1974" s="244" t="str">
        <f t="shared" si="1629"/>
        <v/>
      </c>
      <c r="R1974" s="234">
        <f t="shared" ca="1" si="1630"/>
        <v>5</v>
      </c>
      <c r="S1974" s="233" t="s">
        <v>841</v>
      </c>
      <c r="T1974" s="242" t="str">
        <f>_xlfn.XLOOKUP(S1974,Insumos!$A$3:$A$371,Insumos!$B$3:$B$371)</f>
        <v>UN</v>
      </c>
      <c r="U1974" s="235">
        <f t="shared" ca="1" si="1631"/>
        <v>5</v>
      </c>
      <c r="V1974" s="320">
        <v>1</v>
      </c>
      <c r="W1974" s="236">
        <f>IFERROR(IF(B1974="INSUMO",_xlfn.XLOOKUP(S1974,Insumos!A:A,Insumos!C:C),""),"Inserir Preço")</f>
        <v>12.88</v>
      </c>
      <c r="X1974" s="235">
        <f t="shared" ca="1" si="1632"/>
        <v>5</v>
      </c>
      <c r="Y1974" s="236">
        <f t="shared" si="1622"/>
        <v>12.88</v>
      </c>
      <c r="Z1974" s="237">
        <f t="shared" ca="1" si="1597"/>
        <v>64.400000000000006</v>
      </c>
      <c r="AA1974" s="238"/>
      <c r="AB1974" s="233" t="str">
        <f>IF(B1974="insumo",_xlfn.XLOOKUP(S1974,Insumos!A:A,Insumos!D:D),"")</f>
        <v xml:space="preserve"> </v>
      </c>
      <c r="AC1974" s="239">
        <f t="shared" ca="1" si="1598"/>
        <v>9.2387671479712316E-6</v>
      </c>
      <c r="AE1974" s="240">
        <f ca="1">IFERROR(IF(OR(Z1974="",Z1974=0),"",IF(AF1974="","",IF(AF1974="R$/mês",Z1974/OBRA!$D$12,IF(AF1974="R$/m²",Z1974/OBRA!$D$10,IF(AF1974="R$/apto",Orçamento!Z1974/OBRA!$D$11,""))))),"")</f>
        <v>3.3140698733551875E-2</v>
      </c>
      <c r="AF1974" s="241" t="s">
        <v>154</v>
      </c>
    </row>
    <row r="1975" spans="1:32" s="10" customFormat="1" ht="13.15" hidden="1" customHeight="1" outlineLevel="4" x14ac:dyDescent="0.2">
      <c r="A1975" s="227"/>
      <c r="B1975" s="228" t="s">
        <v>19</v>
      </c>
      <c r="C1975" s="229">
        <f t="shared" si="1596"/>
        <v>7</v>
      </c>
      <c r="D1975" s="227" t="str">
        <f t="shared" si="1599"/>
        <v/>
      </c>
      <c r="E1975" s="228" t="str">
        <f t="shared" ca="1" si="1600"/>
        <v>18.002.001.001</v>
      </c>
      <c r="F1975" s="230">
        <f ca="1">IF($B1975="UNIDADE CONSTRUTIVA",OFFSET(F1975,-1,0)+1,LARGE(F$10:F1974,1))</f>
        <v>2</v>
      </c>
      <c r="G1975" s="228" t="str">
        <f t="shared" ca="1" si="1624"/>
        <v xml:space="preserve">   GERENCIAMENTO EXECUTIVO</v>
      </c>
      <c r="H1975" s="230">
        <f t="shared" ca="1" si="1602"/>
        <v>18</v>
      </c>
      <c r="I1975" s="228" t="str">
        <f t="shared" ca="1" si="1625"/>
        <v xml:space="preserve">   LOUÇAS E METAIS</v>
      </c>
      <c r="J1975" s="230">
        <f t="shared" ca="1" si="1604"/>
        <v>2</v>
      </c>
      <c r="K1975" s="228" t="str">
        <f t="shared" ca="1" si="1626"/>
        <v xml:space="preserve">   LOUÇAS E METAIS - 2º PAVIMENTO - TÉRREO</v>
      </c>
      <c r="L1975" s="231">
        <f t="shared" ca="1" si="1606"/>
        <v>1</v>
      </c>
      <c r="M1975" s="228" t="str">
        <f t="shared" ca="1" si="1627"/>
        <v xml:space="preserve">   Aparelhos Sanitários - Louças - Metais e Acessórios</v>
      </c>
      <c r="N1975" s="231">
        <f t="shared" ca="1" si="1608"/>
        <v>1</v>
      </c>
      <c r="O1975" s="228" t="str">
        <f t="shared" ca="1" si="1628"/>
        <v>Bacia com Caixa Acoplada</v>
      </c>
      <c r="P1975" s="232" t="str">
        <f>IF(S1975="","",IF(Orçamento!$B1975="INSUMO",S1975,""))</f>
        <v>SELANTE PU40 BASE POLIURETANO BRANCO 280ML</v>
      </c>
      <c r="Q1975" s="244" t="str">
        <f t="shared" si="1629"/>
        <v/>
      </c>
      <c r="R1975" s="234">
        <f t="shared" ca="1" si="1630"/>
        <v>5</v>
      </c>
      <c r="S1975" s="233" t="s">
        <v>842</v>
      </c>
      <c r="T1975" s="242" t="str">
        <f>_xlfn.XLOOKUP(S1975,Insumos!$A$3:$A$371,Insumos!$B$3:$B$371)</f>
        <v>UN</v>
      </c>
      <c r="U1975" s="235">
        <f t="shared" ca="1" si="1631"/>
        <v>5</v>
      </c>
      <c r="V1975" s="320">
        <v>8.4000000000000005E-2</v>
      </c>
      <c r="W1975" s="236">
        <f>IFERROR(IF(B1975="INSUMO",_xlfn.XLOOKUP(S1975,Insumos!A:A,Insumos!C:C),""),"Inserir Preço")</f>
        <v>15.9</v>
      </c>
      <c r="X1975" s="235">
        <f t="shared" ca="1" si="1632"/>
        <v>0.42000000000000004</v>
      </c>
      <c r="Y1975" s="236">
        <f t="shared" si="1622"/>
        <v>1.3356000000000001</v>
      </c>
      <c r="Z1975" s="237">
        <f t="shared" ca="1" si="1597"/>
        <v>6.6780000000000008</v>
      </c>
      <c r="AA1975" s="238"/>
      <c r="AB1975" s="233" t="str">
        <f>IF(B1975="insumo",_xlfn.XLOOKUP(S1975,Insumos!A:A,Insumos!D:D),"")</f>
        <v xml:space="preserve"> </v>
      </c>
      <c r="AC1975" s="239">
        <f t="shared" ca="1" si="1598"/>
        <v>9.5801998469179938E-7</v>
      </c>
      <c r="AE1975" s="240">
        <f ca="1">IFERROR(IF(OR(Z1975="",Z1975=0),"",IF(AF1975="","",IF(AF1975="R$/mês",Z1975/OBRA!$D$12,IF(AF1975="R$/m²",Z1975/OBRA!$D$10,IF(AF1975="R$/apto",Orçamento!Z1975/OBRA!$D$11,""))))),"")</f>
        <v>3.4365463686748354E-3</v>
      </c>
      <c r="AF1975" s="241" t="s">
        <v>154</v>
      </c>
    </row>
    <row r="1976" spans="1:32" s="10" customFormat="1" ht="13.15" hidden="1" customHeight="1" outlineLevel="4" x14ac:dyDescent="0.2">
      <c r="A1976" s="227"/>
      <c r="B1976" s="228" t="s">
        <v>4</v>
      </c>
      <c r="C1976" s="229">
        <f t="shared" si="1596"/>
        <v>2</v>
      </c>
      <c r="D1976" s="227" t="str">
        <f t="shared" ref="D1976:D2016" ca="1" si="1633">IF(B1976="Unidade Construtiva",TEXT(F1976,"00"),IF(B1976="Célula Construtiva",TEXT(H1976,"00"),IF(B1976="Etapa",CONCATENATE(TEXT(H1976,"00"),".",TEXT(J1976,"000")),IF(B1976="Subetapa",CONCATENATE(TEXT(H1976,"00"),".",TEXT(J1976,"000"),".",TEXT(L1976,"000")),IF(B1976="Serviço",CONCATENATE(TEXT(H1976,"00"),".",TEXT(J1976,"000"),".",TEXT(L1976,"000"),".",TEXT(N1976,"000")),"")))))</f>
        <v>18.002.001.002</v>
      </c>
      <c r="E1976" s="228" t="str">
        <f t="shared" ref="E1976:E2016" ca="1" si="1634">IF(B1976="*","",IFERROR(IF(B1976="SERVIÇO",D1976,OFFSET(E1976,-1,0)),""))</f>
        <v>18.002.001.002</v>
      </c>
      <c r="F1976" s="230">
        <f ca="1">IF($B1976="UNIDADE CONSTRUTIVA",OFFSET(F1976,-1,0)+1,LARGE(F$10:F1975,1))</f>
        <v>2</v>
      </c>
      <c r="G1976" s="228" t="str">
        <f t="shared" ca="1" si="1624"/>
        <v xml:space="preserve">   GERENCIAMENTO EXECUTIVO</v>
      </c>
      <c r="H1976" s="230">
        <f t="shared" ref="H1976:H2016" ca="1" si="1635">IF(B1976="UNIDADE CONSTRUTIVA",0,IF(B1976="CÉLULA CONSTRUTIVA",OFFSET(H1976,-1,0)+1,OFFSET(H1976,-1,0)))</f>
        <v>18</v>
      </c>
      <c r="I1976" s="228" t="str">
        <f t="shared" ca="1" si="1625"/>
        <v xml:space="preserve">   LOUÇAS E METAIS</v>
      </c>
      <c r="J1976" s="230">
        <f t="shared" ref="J1976:J2016" ca="1" si="1636">IF(B1976="CÉLULA CONSTRUTIVA",0,IF(B1976="ETAPA",OFFSET(J1976,-1,0)+1,OFFSET(J1976,-1,0)))</f>
        <v>2</v>
      </c>
      <c r="K1976" s="228" t="str">
        <f t="shared" ca="1" si="1626"/>
        <v xml:space="preserve">   LOUÇAS E METAIS - 2º PAVIMENTO - TÉRREO</v>
      </c>
      <c r="L1976" s="231">
        <f t="shared" ref="L1976:L2016" ca="1" si="1637">IF(B1976="ETAPA",0,IF(B1976="SUBETAPA",OFFSET(L1976,-1,0)+1,OFFSET(L1976,-1,0)))</f>
        <v>1</v>
      </c>
      <c r="M1976" s="228" t="str">
        <f t="shared" ca="1" si="1627"/>
        <v xml:space="preserve">   Aparelhos Sanitários - Louças - Metais e Acessórios</v>
      </c>
      <c r="N1976" s="231">
        <f t="shared" ref="N1976:N2016" ca="1" si="1638">IF(B1976="Subetapa",0,IF(B1976="serviço",OFFSET(N1976,-1,0)+1,OFFSET(N1976,-1,0)))</f>
        <v>2</v>
      </c>
      <c r="O1976" s="228" t="str">
        <f t="shared" ca="1" si="1628"/>
        <v>Lavatório  / Metais</v>
      </c>
      <c r="P1976" s="232" t="str">
        <f>IF(S1976="","",IF(Orçamento!$B1976="INSUMO",S1976,""))</f>
        <v/>
      </c>
      <c r="Q1976" s="244" t="str">
        <f t="shared" si="1629"/>
        <v>Lavatório  / Metais</v>
      </c>
      <c r="R1976" s="234">
        <f t="shared" ca="1" si="1630"/>
        <v>1</v>
      </c>
      <c r="S1976" s="233" t="s">
        <v>854</v>
      </c>
      <c r="T1976" s="242" t="s">
        <v>142</v>
      </c>
      <c r="U1976" s="235">
        <v>1</v>
      </c>
      <c r="V1976" s="320" t="s">
        <v>35</v>
      </c>
      <c r="W1976" s="236" t="str">
        <f>IFERROR(IF(B1976="INSUMO",_xlfn.XLOOKUP(S1976,Insumos!A:A,Insumos!C:C),""),"Inserir Preço")</f>
        <v/>
      </c>
      <c r="X1976" s="235">
        <f t="shared" ca="1" si="1632"/>
        <v>1</v>
      </c>
      <c r="Y1976" s="236">
        <f t="shared" ca="1" si="1622"/>
        <v>568.67599999999993</v>
      </c>
      <c r="Z1976" s="237">
        <f t="shared" ca="1" si="1597"/>
        <v>568.67599999999993</v>
      </c>
      <c r="AA1976" s="238"/>
      <c r="AB1976" s="233" t="str">
        <f>IF(B1976="insumo",_xlfn.XLOOKUP(S1976,Insumos!A:A,Insumos!D:D),"")</f>
        <v/>
      </c>
      <c r="AC1976" s="239">
        <f t="shared" ca="1" si="1598"/>
        <v>8.1581756935398858E-5</v>
      </c>
      <c r="AE1976" s="240">
        <f ca="1">IFERROR(IF(OR(Z1976="",Z1976=0),"",IF(AF1976="","",IF(AF1976="R$/mês",Z1976/OBRA!$D$12,IF(AF1976="R$/m²",Z1976/OBRA!$D$10,IF(AF1976="R$/apto",Orçamento!Z1976/OBRA!$D$11,""))))),"")</f>
        <v>0.29264472038821959</v>
      </c>
      <c r="AF1976" s="241" t="s">
        <v>154</v>
      </c>
    </row>
    <row r="1977" spans="1:32" s="10" customFormat="1" ht="13.15" hidden="1" customHeight="1" outlineLevel="4" x14ac:dyDescent="0.2">
      <c r="A1977" s="227"/>
      <c r="B1977" s="228" t="s">
        <v>19</v>
      </c>
      <c r="C1977" s="229">
        <f t="shared" si="1596"/>
        <v>7</v>
      </c>
      <c r="D1977" s="227" t="str">
        <f t="shared" si="1633"/>
        <v/>
      </c>
      <c r="E1977" s="228" t="str">
        <f t="shared" ca="1" si="1634"/>
        <v>18.002.001.002</v>
      </c>
      <c r="F1977" s="230">
        <f ca="1">IF($B1977="UNIDADE CONSTRUTIVA",OFFSET(F1977,-1,0)+1,LARGE(F$10:F1976,1))</f>
        <v>2</v>
      </c>
      <c r="G1977" s="228" t="str">
        <f t="shared" ca="1" si="1624"/>
        <v xml:space="preserve">   GERENCIAMENTO EXECUTIVO</v>
      </c>
      <c r="H1977" s="230">
        <f t="shared" ca="1" si="1635"/>
        <v>18</v>
      </c>
      <c r="I1977" s="228" t="str">
        <f t="shared" ca="1" si="1625"/>
        <v xml:space="preserve">   LOUÇAS E METAIS</v>
      </c>
      <c r="J1977" s="230">
        <f t="shared" ca="1" si="1636"/>
        <v>2</v>
      </c>
      <c r="K1977" s="228" t="str">
        <f t="shared" ca="1" si="1626"/>
        <v xml:space="preserve">   LOUÇAS E METAIS - 2º PAVIMENTO - TÉRREO</v>
      </c>
      <c r="L1977" s="231">
        <f t="shared" ca="1" si="1637"/>
        <v>1</v>
      </c>
      <c r="M1977" s="228" t="str">
        <f t="shared" ca="1" si="1627"/>
        <v xml:space="preserve">   Aparelhos Sanitários - Louças - Metais e Acessórios</v>
      </c>
      <c r="N1977" s="231">
        <f t="shared" ca="1" si="1638"/>
        <v>2</v>
      </c>
      <c r="O1977" s="228" t="str">
        <f t="shared" ca="1" si="1628"/>
        <v>Lavatório  / Metais</v>
      </c>
      <c r="P1977" s="232" t="str">
        <f>IF(S1977="","",IF(Orçamento!$B1977="INSUMO",S1977,""))</f>
        <v>FITA VEDA ROSCA 18MMX50M NBR 13124</v>
      </c>
      <c r="Q1977" s="244" t="str">
        <f t="shared" si="1629"/>
        <v/>
      </c>
      <c r="R1977" s="234">
        <f t="shared" ca="1" si="1630"/>
        <v>1</v>
      </c>
      <c r="S1977" s="233" t="s">
        <v>840</v>
      </c>
      <c r="T1977" s="242" t="str">
        <f>_xlfn.XLOOKUP(S1977,Insumos!$A$3:$A$371,Insumos!$B$3:$B$371)</f>
        <v>UN</v>
      </c>
      <c r="U1977" s="235">
        <f t="shared" ref="U1977:U1984" ca="1" si="1639">IF($B1977="insumo",R1977,"")</f>
        <v>1</v>
      </c>
      <c r="V1977" s="320">
        <v>0.84</v>
      </c>
      <c r="W1977" s="236">
        <f>IFERROR(IF(B1977="INSUMO",_xlfn.XLOOKUP(S1977,Insumos!A:A,Insumos!C:C),""),"Inserir Preço")</f>
        <v>6.56</v>
      </c>
      <c r="X1977" s="235">
        <f t="shared" ca="1" si="1632"/>
        <v>0.84</v>
      </c>
      <c r="Y1977" s="236">
        <f t="shared" si="1622"/>
        <v>5.5103999999999997</v>
      </c>
      <c r="Z1977" s="237">
        <f t="shared" ca="1" si="1597"/>
        <v>5.5103999999999997</v>
      </c>
      <c r="AA1977" s="238"/>
      <c r="AB1977" s="233" t="str">
        <f>IF(B1977="insumo",_xlfn.XLOOKUP(S1977,Insumos!A:A,Insumos!D:D),"")</f>
        <v xml:space="preserve"> </v>
      </c>
      <c r="AC1977" s="239">
        <f t="shared" ca="1" si="1598"/>
        <v>7.9051711944379915E-7</v>
      </c>
      <c r="AE1977" s="240">
        <f ca="1">IFERROR(IF(OR(Z1977="",Z1977=0),"",IF(AF1977="","",IF(AF1977="R$/mês",Z1977/OBRA!$D$12,IF(AF1977="R$/m²",Z1977/OBRA!$D$10,IF(AF1977="R$/apto",Orçamento!Z1977/OBRA!$D$11,""))))),"")</f>
        <v>2.8356910916360902E-3</v>
      </c>
      <c r="AF1977" s="241" t="s">
        <v>154</v>
      </c>
    </row>
    <row r="1978" spans="1:32" s="10" customFormat="1" ht="13.15" hidden="1" customHeight="1" outlineLevel="4" x14ac:dyDescent="0.2">
      <c r="A1978" s="227"/>
      <c r="B1978" s="228" t="s">
        <v>19</v>
      </c>
      <c r="C1978" s="229">
        <f t="shared" si="1596"/>
        <v>7</v>
      </c>
      <c r="D1978" s="227" t="str">
        <f t="shared" si="1633"/>
        <v/>
      </c>
      <c r="E1978" s="228" t="str">
        <f t="shared" ca="1" si="1634"/>
        <v>18.002.001.002</v>
      </c>
      <c r="F1978" s="230">
        <f ca="1">IF($B1978="UNIDADE CONSTRUTIVA",OFFSET(F1978,-1,0)+1,LARGE(F$10:F1977,1))</f>
        <v>2</v>
      </c>
      <c r="G1978" s="228" t="str">
        <f t="shared" ca="1" si="1624"/>
        <v xml:space="preserve">   GERENCIAMENTO EXECUTIVO</v>
      </c>
      <c r="H1978" s="230">
        <f t="shared" ca="1" si="1635"/>
        <v>18</v>
      </c>
      <c r="I1978" s="228" t="str">
        <f t="shared" ca="1" si="1625"/>
        <v xml:space="preserve">   LOUÇAS E METAIS</v>
      </c>
      <c r="J1978" s="230">
        <f t="shared" ca="1" si="1636"/>
        <v>2</v>
      </c>
      <c r="K1978" s="228" t="str">
        <f t="shared" ca="1" si="1626"/>
        <v xml:space="preserve">   LOUÇAS E METAIS - 2º PAVIMENTO - TÉRREO</v>
      </c>
      <c r="L1978" s="231">
        <f t="shared" ca="1" si="1637"/>
        <v>1</v>
      </c>
      <c r="M1978" s="228" t="str">
        <f t="shared" ca="1" si="1627"/>
        <v xml:space="preserve">   Aparelhos Sanitários - Louças - Metais e Acessórios</v>
      </c>
      <c r="N1978" s="231">
        <f t="shared" ca="1" si="1638"/>
        <v>2</v>
      </c>
      <c r="O1978" s="228" t="str">
        <f t="shared" ca="1" si="1628"/>
        <v>Lavatório  / Metais</v>
      </c>
      <c r="P1978" s="232" t="str">
        <f>IF(S1978="","",IF(Orçamento!$B1978="INSUMO",S1978,""))</f>
        <v>MASSA PLASTICA BRANCA BI-COMPONENTE POLIESTER 400G</v>
      </c>
      <c r="Q1978" s="244" t="str">
        <f t="shared" si="1629"/>
        <v/>
      </c>
      <c r="R1978" s="234">
        <f t="shared" ca="1" si="1630"/>
        <v>1</v>
      </c>
      <c r="S1978" s="233" t="s">
        <v>841</v>
      </c>
      <c r="T1978" s="242" t="str">
        <f>_xlfn.XLOOKUP(S1978,Insumos!$A$3:$A$371,Insumos!$B$3:$B$371)</f>
        <v>UN</v>
      </c>
      <c r="U1978" s="235">
        <f t="shared" ca="1" si="1639"/>
        <v>1</v>
      </c>
      <c r="V1978" s="320">
        <v>1</v>
      </c>
      <c r="W1978" s="236">
        <f>IFERROR(IF(B1978="INSUMO",_xlfn.XLOOKUP(S1978,Insumos!A:A,Insumos!C:C),""),"Inserir Preço")</f>
        <v>12.88</v>
      </c>
      <c r="X1978" s="235">
        <f t="shared" ca="1" si="1632"/>
        <v>1</v>
      </c>
      <c r="Y1978" s="236">
        <f t="shared" si="1622"/>
        <v>12.88</v>
      </c>
      <c r="Z1978" s="237">
        <f t="shared" ca="1" si="1597"/>
        <v>12.88</v>
      </c>
      <c r="AA1978" s="238"/>
      <c r="AB1978" s="233" t="str">
        <f>IF(B1978="insumo",_xlfn.XLOOKUP(S1978,Insumos!A:A,Insumos!D:D),"")</f>
        <v xml:space="preserve"> </v>
      </c>
      <c r="AC1978" s="239">
        <f t="shared" ca="1" si="1598"/>
        <v>1.8477534295942462E-6</v>
      </c>
      <c r="AE1978" s="240">
        <f ca="1">IFERROR(IF(OR(Z1978="",Z1978=0),"",IF(AF1978="","",IF(AF1978="R$/mês",Z1978/OBRA!$D$12,IF(AF1978="R$/m²",Z1978/OBRA!$D$10,IF(AF1978="R$/apto",Orçamento!Z1978/OBRA!$D$11,""))))),"")</f>
        <v>6.628139746710374E-3</v>
      </c>
      <c r="AF1978" s="241" t="s">
        <v>154</v>
      </c>
    </row>
    <row r="1979" spans="1:32" s="10" customFormat="1" ht="13.15" hidden="1" customHeight="1" outlineLevel="4" x14ac:dyDescent="0.2">
      <c r="A1979" s="227"/>
      <c r="B1979" s="228" t="s">
        <v>19</v>
      </c>
      <c r="C1979" s="229">
        <f t="shared" si="1596"/>
        <v>7</v>
      </c>
      <c r="D1979" s="227" t="str">
        <f t="shared" si="1633"/>
        <v/>
      </c>
      <c r="E1979" s="228" t="str">
        <f t="shared" ca="1" si="1634"/>
        <v>18.002.001.002</v>
      </c>
      <c r="F1979" s="230">
        <f ca="1">IF($B1979="UNIDADE CONSTRUTIVA",OFFSET(F1979,-1,0)+1,LARGE(F$10:F1978,1))</f>
        <v>2</v>
      </c>
      <c r="G1979" s="228" t="str">
        <f t="shared" ca="1" si="1624"/>
        <v xml:space="preserve">   GERENCIAMENTO EXECUTIVO</v>
      </c>
      <c r="H1979" s="230">
        <f t="shared" ca="1" si="1635"/>
        <v>18</v>
      </c>
      <c r="I1979" s="228" t="str">
        <f t="shared" ca="1" si="1625"/>
        <v xml:space="preserve">   LOUÇAS E METAIS</v>
      </c>
      <c r="J1979" s="230">
        <f t="shared" ca="1" si="1636"/>
        <v>2</v>
      </c>
      <c r="K1979" s="228" t="str">
        <f t="shared" ca="1" si="1626"/>
        <v xml:space="preserve">   LOUÇAS E METAIS - 2º PAVIMENTO - TÉRREO</v>
      </c>
      <c r="L1979" s="231">
        <f t="shared" ca="1" si="1637"/>
        <v>1</v>
      </c>
      <c r="M1979" s="228" t="str">
        <f t="shared" ca="1" si="1627"/>
        <v xml:space="preserve">   Aparelhos Sanitários - Louças - Metais e Acessórios</v>
      </c>
      <c r="N1979" s="231">
        <f t="shared" ca="1" si="1638"/>
        <v>2</v>
      </c>
      <c r="O1979" s="228" t="str">
        <f t="shared" ca="1" si="1628"/>
        <v>Lavatório  / Metais</v>
      </c>
      <c r="P1979" s="232" t="str">
        <f>IF(S1979="","",IF(Orçamento!$B1979="INSUMO",S1979,""))</f>
        <v>SELANTE PU40 BASE POLIURETANO BRANCO 280ML</v>
      </c>
      <c r="Q1979" s="244" t="str">
        <f t="shared" si="1629"/>
        <v/>
      </c>
      <c r="R1979" s="234">
        <f t="shared" ca="1" si="1630"/>
        <v>1</v>
      </c>
      <c r="S1979" s="233" t="s">
        <v>842</v>
      </c>
      <c r="T1979" s="242" t="str">
        <f>_xlfn.XLOOKUP(S1979,Insumos!$A$3:$A$371,Insumos!$B$3:$B$371)</f>
        <v>UN</v>
      </c>
      <c r="U1979" s="235">
        <f t="shared" ca="1" si="1639"/>
        <v>1</v>
      </c>
      <c r="V1979" s="320">
        <v>8.4000000000000005E-2</v>
      </c>
      <c r="W1979" s="236">
        <f>IFERROR(IF(B1979="INSUMO",_xlfn.XLOOKUP(S1979,Insumos!A:A,Insumos!C:C),""),"Inserir Preço")</f>
        <v>15.9</v>
      </c>
      <c r="X1979" s="235">
        <f t="shared" ca="1" si="1632"/>
        <v>8.4000000000000005E-2</v>
      </c>
      <c r="Y1979" s="236">
        <f t="shared" si="1622"/>
        <v>1.3356000000000001</v>
      </c>
      <c r="Z1979" s="237">
        <f t="shared" ca="1" si="1597"/>
        <v>1.3356000000000001</v>
      </c>
      <c r="AA1979" s="238"/>
      <c r="AB1979" s="233" t="str">
        <f>IF(B1979="insumo",_xlfn.XLOOKUP(S1979,Insumos!A:A,Insumos!D:D),"")</f>
        <v xml:space="preserve"> </v>
      </c>
      <c r="AC1979" s="239">
        <f t="shared" ca="1" si="1598"/>
        <v>1.9160399693835989E-7</v>
      </c>
      <c r="AE1979" s="240">
        <f ca="1">IFERROR(IF(OR(Z1979="",Z1979=0),"",IF(AF1979="","",IF(AF1979="R$/mês",Z1979/OBRA!$D$12,IF(AF1979="R$/m²",Z1979/OBRA!$D$10,IF(AF1979="R$/apto",Orçamento!Z1979/OBRA!$D$11,""))))),"")</f>
        <v>6.8730927373496708E-4</v>
      </c>
      <c r="AF1979" s="241" t="s">
        <v>154</v>
      </c>
    </row>
    <row r="1980" spans="1:32" s="10" customFormat="1" ht="13.15" hidden="1" customHeight="1" outlineLevel="4" x14ac:dyDescent="0.2">
      <c r="A1980" s="227"/>
      <c r="B1980" s="228" t="s">
        <v>19</v>
      </c>
      <c r="C1980" s="229">
        <f t="shared" si="1596"/>
        <v>6</v>
      </c>
      <c r="D1980" s="227" t="str">
        <f t="shared" si="1633"/>
        <v/>
      </c>
      <c r="E1980" s="228" t="str">
        <f t="shared" ca="1" si="1634"/>
        <v>18.002.001.002</v>
      </c>
      <c r="F1980" s="230">
        <f ca="1">IF($B1980="UNIDADE CONSTRUTIVA",OFFSET(F1980,-1,0)+1,LARGE(F$10:F1979,1))</f>
        <v>2</v>
      </c>
      <c r="G1980" s="228" t="str">
        <f t="shared" ca="1" si="1624"/>
        <v xml:space="preserve">   GERENCIAMENTO EXECUTIVO</v>
      </c>
      <c r="H1980" s="230">
        <f t="shared" ca="1" si="1635"/>
        <v>18</v>
      </c>
      <c r="I1980" s="228" t="str">
        <f t="shared" ca="1" si="1625"/>
        <v xml:space="preserve">   LOUÇAS E METAIS</v>
      </c>
      <c r="J1980" s="230">
        <f t="shared" ca="1" si="1636"/>
        <v>2</v>
      </c>
      <c r="K1980" s="228" t="str">
        <f t="shared" ca="1" si="1626"/>
        <v xml:space="preserve">   LOUÇAS E METAIS - 2º PAVIMENTO - TÉRREO</v>
      </c>
      <c r="L1980" s="231">
        <f t="shared" ca="1" si="1637"/>
        <v>1</v>
      </c>
      <c r="M1980" s="228" t="str">
        <f t="shared" ca="1" si="1627"/>
        <v xml:space="preserve">   Aparelhos Sanitários - Louças - Metais e Acessórios</v>
      </c>
      <c r="N1980" s="231">
        <f t="shared" ca="1" si="1638"/>
        <v>2</v>
      </c>
      <c r="O1980" s="228" t="str">
        <f t="shared" ca="1" si="1628"/>
        <v>Lavatório  / Metais</v>
      </c>
      <c r="P1980" s="232" t="str">
        <f>IF(S1980="","",IF(Orçamento!$B1980="INSUMO",S1980,""))</f>
        <v>ENGATE FLEXIVEL PVC 1/2"X30CM NBR 14878</v>
      </c>
      <c r="Q1980" s="244" t="str">
        <f t="shared" si="1629"/>
        <v/>
      </c>
      <c r="R1980" s="234">
        <f t="shared" ca="1" si="1630"/>
        <v>1</v>
      </c>
      <c r="S1980" s="233" t="s">
        <v>838</v>
      </c>
      <c r="T1980" s="242" t="str">
        <f>_xlfn.XLOOKUP(S1980,Insumos!$A$3:$A$371,Insumos!$B$3:$B$371)</f>
        <v>un</v>
      </c>
      <c r="U1980" s="235">
        <f t="shared" ca="1" si="1639"/>
        <v>1</v>
      </c>
      <c r="V1980" s="320">
        <v>1</v>
      </c>
      <c r="W1980" s="236">
        <f>IFERROR(IF(B1980="INSUMO",_xlfn.XLOOKUP(S1980,Insumos!A:A,Insumos!C:C),""),"Inserir Preço")</f>
        <v>14.75</v>
      </c>
      <c r="X1980" s="235">
        <f t="shared" ca="1" si="1632"/>
        <v>1</v>
      </c>
      <c r="Y1980" s="236">
        <f t="shared" si="1622"/>
        <v>14.75</v>
      </c>
      <c r="Z1980" s="237">
        <f t="shared" ca="1" si="1597"/>
        <v>14.75</v>
      </c>
      <c r="AA1980" s="238"/>
      <c r="AB1980" s="233" t="str">
        <f>IF(B1980="insumo",_xlfn.XLOOKUP(S1980,Insumos!A:A,Insumos!D:D),"")</f>
        <v>Base de Dados</v>
      </c>
      <c r="AC1980" s="239">
        <f t="shared" ca="1" si="1598"/>
        <v>2.1160219787667025E-6</v>
      </c>
      <c r="AE1980" s="240">
        <f ca="1">IFERROR(IF(OR(Z1980="",Z1980=0),"",IF(AF1980="","",IF(AF1980="R$/mês",Z1980/OBRA!$D$12,IF(AF1980="R$/m²",Z1980/OBRA!$D$10,IF(AF1980="R$/apto",Orçamento!Z1980/OBRA!$D$11,""))))),"")</f>
        <v>7.5904550670790388E-3</v>
      </c>
      <c r="AF1980" s="241" t="s">
        <v>154</v>
      </c>
    </row>
    <row r="1981" spans="1:32" s="10" customFormat="1" ht="13.15" hidden="1" customHeight="1" outlineLevel="4" x14ac:dyDescent="0.2">
      <c r="A1981" s="227"/>
      <c r="B1981" s="228" t="s">
        <v>19</v>
      </c>
      <c r="C1981" s="229">
        <f t="shared" si="1596"/>
        <v>2</v>
      </c>
      <c r="D1981" s="227" t="str">
        <f t="shared" si="1633"/>
        <v/>
      </c>
      <c r="E1981" s="228" t="str">
        <f t="shared" ca="1" si="1634"/>
        <v>18.002.001.002</v>
      </c>
      <c r="F1981" s="230">
        <f ca="1">IF($B1981="UNIDADE CONSTRUTIVA",OFFSET(F1981,-1,0)+1,LARGE(F$10:F1980,1))</f>
        <v>2</v>
      </c>
      <c r="G1981" s="228" t="str">
        <f t="shared" ca="1" si="1624"/>
        <v xml:space="preserve">   GERENCIAMENTO EXECUTIVO</v>
      </c>
      <c r="H1981" s="230">
        <f t="shared" ca="1" si="1635"/>
        <v>18</v>
      </c>
      <c r="I1981" s="228" t="str">
        <f t="shared" ca="1" si="1625"/>
        <v xml:space="preserve">   LOUÇAS E METAIS</v>
      </c>
      <c r="J1981" s="230">
        <f t="shared" ca="1" si="1636"/>
        <v>2</v>
      </c>
      <c r="K1981" s="228" t="str">
        <f t="shared" ca="1" si="1626"/>
        <v xml:space="preserve">   LOUÇAS E METAIS - 2º PAVIMENTO - TÉRREO</v>
      </c>
      <c r="L1981" s="231">
        <f t="shared" ca="1" si="1637"/>
        <v>1</v>
      </c>
      <c r="M1981" s="228" t="str">
        <f t="shared" ca="1" si="1627"/>
        <v xml:space="preserve">   Aparelhos Sanitários - Louças - Metais e Acessórios</v>
      </c>
      <c r="N1981" s="231">
        <f t="shared" ca="1" si="1638"/>
        <v>2</v>
      </c>
      <c r="O1981" s="228" t="str">
        <f t="shared" ca="1" si="1628"/>
        <v>Lavatório  / Metais</v>
      </c>
      <c r="P1981" s="232" t="str">
        <f>IF(S1981="","",IF(Orçamento!$B1981="INSUMO",S1981,""))</f>
        <v>CUBA LOUCA P/LAVATORIO REDONDA EMBUTIR</v>
      </c>
      <c r="Q1981" s="244" t="str">
        <f t="shared" si="1629"/>
        <v/>
      </c>
      <c r="R1981" s="234">
        <f t="shared" ca="1" si="1630"/>
        <v>1</v>
      </c>
      <c r="S1981" s="233" t="s">
        <v>852</v>
      </c>
      <c r="T1981" s="242" t="str">
        <f>_xlfn.XLOOKUP(S1981,Insumos!$A$3:$A$371,Insumos!$B$3:$B$371)</f>
        <v>un</v>
      </c>
      <c r="U1981" s="235">
        <f t="shared" ca="1" si="1639"/>
        <v>1</v>
      </c>
      <c r="V1981" s="320">
        <v>1</v>
      </c>
      <c r="W1981" s="236">
        <f>IFERROR(IF(B1981="INSUMO",_xlfn.XLOOKUP(S1981,Insumos!A:A,Insumos!C:C),""),"Inserir Preço")</f>
        <v>265.89999999999998</v>
      </c>
      <c r="X1981" s="235">
        <f t="shared" ca="1" si="1632"/>
        <v>1</v>
      </c>
      <c r="Y1981" s="236">
        <f t="shared" si="1622"/>
        <v>265.89999999999998</v>
      </c>
      <c r="Z1981" s="237">
        <f t="shared" ca="1" si="1597"/>
        <v>265.89999999999998</v>
      </c>
      <c r="AA1981" s="238"/>
      <c r="AB1981" s="233" t="str">
        <f>IF(B1981="insumo",_xlfn.XLOOKUP(S1981,Insumos!A:A,Insumos!D:D),"")</f>
        <v>Base de Dados</v>
      </c>
      <c r="AC1981" s="239">
        <f t="shared" ca="1" si="1598"/>
        <v>3.8145779264682454E-5</v>
      </c>
      <c r="AE1981" s="240">
        <f ca="1">IFERROR(IF(OR(Z1981="",Z1981=0),"",IF(AF1981="","",IF(AF1981="R$/mês",Z1981/OBRA!$D$12,IF(AF1981="R$/m²",Z1981/OBRA!$D$10,IF(AF1981="R$/apto",Orçamento!Z1981/OBRA!$D$11,""))))),"")</f>
        <v>0.13683403405669939</v>
      </c>
      <c r="AF1981" s="241" t="s">
        <v>154</v>
      </c>
    </row>
    <row r="1982" spans="1:32" s="10" customFormat="1" ht="13.15" hidden="1" customHeight="1" outlineLevel="4" x14ac:dyDescent="0.2">
      <c r="A1982" s="227"/>
      <c r="B1982" s="228" t="s">
        <v>19</v>
      </c>
      <c r="C1982" s="229">
        <f t="shared" si="1596"/>
        <v>4</v>
      </c>
      <c r="D1982" s="227" t="str">
        <f t="shared" si="1633"/>
        <v/>
      </c>
      <c r="E1982" s="228" t="str">
        <f t="shared" ca="1" si="1634"/>
        <v>18.002.001.002</v>
      </c>
      <c r="F1982" s="230">
        <f ca="1">IF($B1982="UNIDADE CONSTRUTIVA",OFFSET(F1982,-1,0)+1,LARGE(F$10:F1981,1))</f>
        <v>2</v>
      </c>
      <c r="G1982" s="228" t="str">
        <f t="shared" ca="1" si="1624"/>
        <v xml:space="preserve">   GERENCIAMENTO EXECUTIVO</v>
      </c>
      <c r="H1982" s="230">
        <f t="shared" ca="1" si="1635"/>
        <v>18</v>
      </c>
      <c r="I1982" s="228" t="str">
        <f t="shared" ca="1" si="1625"/>
        <v xml:space="preserve">   LOUÇAS E METAIS</v>
      </c>
      <c r="J1982" s="230">
        <f t="shared" ca="1" si="1636"/>
        <v>2</v>
      </c>
      <c r="K1982" s="228" t="str">
        <f t="shared" ca="1" si="1626"/>
        <v xml:space="preserve">   LOUÇAS E METAIS - 2º PAVIMENTO - TÉRREO</v>
      </c>
      <c r="L1982" s="231">
        <f t="shared" ca="1" si="1637"/>
        <v>1</v>
      </c>
      <c r="M1982" s="228" t="str">
        <f t="shared" ca="1" si="1627"/>
        <v xml:space="preserve">   Aparelhos Sanitários - Louças - Metais e Acessórios</v>
      </c>
      <c r="N1982" s="231">
        <f t="shared" ca="1" si="1638"/>
        <v>2</v>
      </c>
      <c r="O1982" s="228" t="str">
        <f t="shared" ca="1" si="1628"/>
        <v>Lavatório  / Metais</v>
      </c>
      <c r="P1982" s="232" t="str">
        <f>IF(S1982="","",IF(Orçamento!$B1982="INSUMO",S1982,""))</f>
        <v>SIFAO PVC FLEXIVEL MULTIUSO BRANCO 63CM</v>
      </c>
      <c r="Q1982" s="244" t="str">
        <f t="shared" si="1629"/>
        <v/>
      </c>
      <c r="R1982" s="234">
        <f t="shared" ca="1" si="1630"/>
        <v>1</v>
      </c>
      <c r="S1982" s="233" t="s">
        <v>845</v>
      </c>
      <c r="T1982" s="242" t="str">
        <f>_xlfn.XLOOKUP(S1982,Insumos!$A$3:$A$371,Insumos!$B$3:$B$371)</f>
        <v>un</v>
      </c>
      <c r="U1982" s="235">
        <f t="shared" ca="1" si="1639"/>
        <v>1</v>
      </c>
      <c r="V1982" s="320">
        <v>1</v>
      </c>
      <c r="W1982" s="236">
        <f>IFERROR(IF(B1982="INSUMO",_xlfn.XLOOKUP(S1982,Insumos!A:A,Insumos!C:C),""),"Inserir Preço")</f>
        <v>13.9</v>
      </c>
      <c r="X1982" s="235">
        <f t="shared" ca="1" si="1632"/>
        <v>1</v>
      </c>
      <c r="Y1982" s="236">
        <f t="shared" si="1622"/>
        <v>13.9</v>
      </c>
      <c r="Z1982" s="237">
        <f t="shared" ca="1" si="1597"/>
        <v>13.9</v>
      </c>
      <c r="AA1982" s="238"/>
      <c r="AB1982" s="233" t="str">
        <f>IF(B1982="insumo",_xlfn.XLOOKUP(S1982,Insumos!A:A,Insumos!D:D),"")</f>
        <v>Base de Dados</v>
      </c>
      <c r="AC1982" s="239">
        <f t="shared" ca="1" si="1598"/>
        <v>1.9940817291428587E-6</v>
      </c>
      <c r="AE1982" s="240">
        <f ca="1">IFERROR(IF(OR(Z1982="",Z1982=0),"",IF(AF1982="","",IF(AF1982="R$/mês",Z1982/OBRA!$D$12,IF(AF1982="R$/m²",Z1982/OBRA!$D$10,IF(AF1982="R$/apto",Orçamento!Z1982/OBRA!$D$11,""))))),"")</f>
        <v>7.1530390123660092E-3</v>
      </c>
      <c r="AF1982" s="241" t="s">
        <v>154</v>
      </c>
    </row>
    <row r="1983" spans="1:32" s="10" customFormat="1" ht="13.15" hidden="1" customHeight="1" outlineLevel="4" x14ac:dyDescent="0.2">
      <c r="A1983" s="227"/>
      <c r="B1983" s="228" t="s">
        <v>19</v>
      </c>
      <c r="C1983" s="229">
        <f t="shared" si="1596"/>
        <v>2</v>
      </c>
      <c r="D1983" s="227" t="str">
        <f t="shared" si="1633"/>
        <v/>
      </c>
      <c r="E1983" s="228" t="str">
        <f t="shared" ca="1" si="1634"/>
        <v>18.002.001.002</v>
      </c>
      <c r="F1983" s="230">
        <f ca="1">IF($B1983="UNIDADE CONSTRUTIVA",OFFSET(F1983,-1,0)+1,LARGE(F$10:F1982,1))</f>
        <v>2</v>
      </c>
      <c r="G1983" s="228" t="str">
        <f t="shared" ca="1" si="1624"/>
        <v xml:space="preserve">   GERENCIAMENTO EXECUTIVO</v>
      </c>
      <c r="H1983" s="230">
        <f t="shared" ca="1" si="1635"/>
        <v>18</v>
      </c>
      <c r="I1983" s="228" t="str">
        <f t="shared" ca="1" si="1625"/>
        <v xml:space="preserve">   LOUÇAS E METAIS</v>
      </c>
      <c r="J1983" s="230">
        <f t="shared" ca="1" si="1636"/>
        <v>2</v>
      </c>
      <c r="K1983" s="228" t="str">
        <f t="shared" ca="1" si="1626"/>
        <v xml:space="preserve">   LOUÇAS E METAIS - 2º PAVIMENTO - TÉRREO</v>
      </c>
      <c r="L1983" s="231">
        <f t="shared" ca="1" si="1637"/>
        <v>1</v>
      </c>
      <c r="M1983" s="228" t="str">
        <f t="shared" ca="1" si="1627"/>
        <v xml:space="preserve">   Aparelhos Sanitários - Louças - Metais e Acessórios</v>
      </c>
      <c r="N1983" s="231">
        <f t="shared" ca="1" si="1638"/>
        <v>2</v>
      </c>
      <c r="O1983" s="228" t="str">
        <f t="shared" ca="1" si="1628"/>
        <v>Lavatório  / Metais</v>
      </c>
      <c r="P1983" s="232" t="str">
        <f>IF(S1983="","",IF(Orçamento!$B1983="INSUMO",S1983,""))</f>
        <v>VALVULA P/LAVATORIO ACO CARBONO CROMADO 1"</v>
      </c>
      <c r="Q1983" s="244" t="str">
        <f t="shared" si="1629"/>
        <v/>
      </c>
      <c r="R1983" s="234">
        <f t="shared" ca="1" si="1630"/>
        <v>1</v>
      </c>
      <c r="S1983" s="233" t="s">
        <v>850</v>
      </c>
      <c r="T1983" s="242" t="str">
        <f>_xlfn.XLOOKUP(S1983,Insumos!$A$3:$A$371,Insumos!$B$3:$B$371)</f>
        <v>UN</v>
      </c>
      <c r="U1983" s="235">
        <f t="shared" ca="1" si="1639"/>
        <v>1</v>
      </c>
      <c r="V1983" s="320">
        <v>1</v>
      </c>
      <c r="W1983" s="236">
        <f>IFERROR(IF(B1983="INSUMO",_xlfn.XLOOKUP(S1983,Insumos!A:A,Insumos!C:C),""),"Inserir Preço")</f>
        <v>24.5</v>
      </c>
      <c r="X1983" s="235">
        <f t="shared" ca="1" si="1632"/>
        <v>1</v>
      </c>
      <c r="Y1983" s="236">
        <f t="shared" si="1622"/>
        <v>24.5</v>
      </c>
      <c r="Z1983" s="237">
        <f t="shared" ca="1" si="1597"/>
        <v>24.5</v>
      </c>
      <c r="AA1983" s="238"/>
      <c r="AB1983" s="233" t="str">
        <f>IF(B1983="insumo",_xlfn.XLOOKUP(S1983,Insumos!A:A,Insumos!D:D),"")</f>
        <v>Base de Dados</v>
      </c>
      <c r="AC1983" s="239">
        <f t="shared" ca="1" si="1598"/>
        <v>3.5147483715107941E-6</v>
      </c>
      <c r="AE1983" s="240">
        <f ca="1">IFERROR(IF(OR(Z1983="",Z1983=0),"",IF(AF1983="","",IF(AF1983="R$/mês",Z1983/OBRA!$D$12,IF(AF1983="R$/m²",Z1983/OBRA!$D$10,IF(AF1983="R$/apto",Orçamento!Z1983/OBRA!$D$11,""))))),"")</f>
        <v>1.2607874518199081E-2</v>
      </c>
      <c r="AF1983" s="241" t="s">
        <v>154</v>
      </c>
    </row>
    <row r="1984" spans="1:32" s="10" customFormat="1" ht="13.15" hidden="1" customHeight="1" outlineLevel="4" x14ac:dyDescent="0.2">
      <c r="A1984" s="227"/>
      <c r="B1984" s="228" t="s">
        <v>19</v>
      </c>
      <c r="C1984" s="229">
        <f t="shared" si="1596"/>
        <v>2</v>
      </c>
      <c r="D1984" s="227" t="str">
        <f t="shared" si="1633"/>
        <v/>
      </c>
      <c r="E1984" s="228" t="str">
        <f t="shared" ca="1" si="1634"/>
        <v>18.002.001.002</v>
      </c>
      <c r="F1984" s="230">
        <f ca="1">IF($B1984="UNIDADE CONSTRUTIVA",OFFSET(F1984,-1,0)+1,LARGE(F$10:F1983,1))</f>
        <v>2</v>
      </c>
      <c r="G1984" s="228" t="str">
        <f t="shared" ca="1" si="1624"/>
        <v xml:space="preserve">   GERENCIAMENTO EXECUTIVO</v>
      </c>
      <c r="H1984" s="230">
        <f t="shared" ca="1" si="1635"/>
        <v>18</v>
      </c>
      <c r="I1984" s="228" t="str">
        <f t="shared" ca="1" si="1625"/>
        <v xml:space="preserve">   LOUÇAS E METAIS</v>
      </c>
      <c r="J1984" s="230">
        <f t="shared" ca="1" si="1636"/>
        <v>2</v>
      </c>
      <c r="K1984" s="228" t="str">
        <f t="shared" ca="1" si="1626"/>
        <v xml:space="preserve">   LOUÇAS E METAIS - 2º PAVIMENTO - TÉRREO</v>
      </c>
      <c r="L1984" s="231">
        <f t="shared" ca="1" si="1637"/>
        <v>1</v>
      </c>
      <c r="M1984" s="228" t="str">
        <f t="shared" ca="1" si="1627"/>
        <v xml:space="preserve">   Aparelhos Sanitários - Louças - Metais e Acessórios</v>
      </c>
      <c r="N1984" s="231">
        <f t="shared" ca="1" si="1638"/>
        <v>2</v>
      </c>
      <c r="O1984" s="228" t="str">
        <f t="shared" ca="1" si="1628"/>
        <v>Lavatório  / Metais</v>
      </c>
      <c r="P1984" s="232" t="str">
        <f>IF(S1984="","",IF(Orçamento!$B1984="INSUMO",S1984,""))</f>
        <v>TORNEIRA LATAO CROMADO MESA P/LAVATORIO 1/2" NOVA PERTUTTI BICA BAIXA</v>
      </c>
      <c r="Q1984" s="244" t="str">
        <f t="shared" si="1629"/>
        <v/>
      </c>
      <c r="R1984" s="234">
        <f t="shared" ca="1" si="1630"/>
        <v>1</v>
      </c>
      <c r="S1984" s="233" t="s">
        <v>849</v>
      </c>
      <c r="T1984" s="242" t="str">
        <f>_xlfn.XLOOKUP(S1984,Insumos!$A$3:$A$371,Insumos!$B$3:$B$371)</f>
        <v>un</v>
      </c>
      <c r="U1984" s="235">
        <f t="shared" ca="1" si="1639"/>
        <v>1</v>
      </c>
      <c r="V1984" s="320">
        <v>1</v>
      </c>
      <c r="W1984" s="236">
        <f>IFERROR(IF(B1984="INSUMO",_xlfn.XLOOKUP(S1984,Insumos!A:A,Insumos!C:C),""),"Inserir Preço")</f>
        <v>229.9</v>
      </c>
      <c r="X1984" s="235">
        <f t="shared" ca="1" si="1632"/>
        <v>1</v>
      </c>
      <c r="Y1984" s="236">
        <f t="shared" si="1622"/>
        <v>229.9</v>
      </c>
      <c r="Z1984" s="237">
        <f t="shared" ca="1" si="1597"/>
        <v>229.9</v>
      </c>
      <c r="AA1984" s="238"/>
      <c r="AB1984" s="233" t="str">
        <f>IF(B1984="insumo",_xlfn.XLOOKUP(S1984,Insumos!A:A,Insumos!D:D),"")</f>
        <v>Base de Dados</v>
      </c>
      <c r="AC1984" s="239">
        <f t="shared" ca="1" si="1598"/>
        <v>3.2981251045319659E-5</v>
      </c>
      <c r="AE1984" s="240">
        <f ca="1">IFERROR(IF(OR(Z1984="",Z1984=0),"",IF(AF1984="","",IF(AF1984="R$/mês",Z1984/OBRA!$D$12,IF(AF1984="R$/m²",Z1984/OBRA!$D$10,IF(AF1984="R$/apto",Orçamento!Z1984/OBRA!$D$11,""))))),"")</f>
        <v>0.11830817762179464</v>
      </c>
      <c r="AF1984" s="241" t="s">
        <v>154</v>
      </c>
    </row>
    <row r="1985" spans="1:32" s="10" customFormat="1" ht="13.15" hidden="1" customHeight="1" outlineLevel="4" x14ac:dyDescent="0.2">
      <c r="A1985" s="227"/>
      <c r="B1985" s="228" t="s">
        <v>4</v>
      </c>
      <c r="C1985" s="229">
        <f t="shared" si="1596"/>
        <v>2</v>
      </c>
      <c r="D1985" s="227" t="str">
        <f t="shared" ca="1" si="1633"/>
        <v>18.002.001.003</v>
      </c>
      <c r="E1985" s="228" t="str">
        <f t="shared" ca="1" si="1634"/>
        <v>18.002.001.003</v>
      </c>
      <c r="F1985" s="230">
        <f ca="1">IF($B1985="UNIDADE CONSTRUTIVA",OFFSET(F1985,-1,0)+1,LARGE(F$10:F1984,1))</f>
        <v>2</v>
      </c>
      <c r="G1985" s="228" t="str">
        <f t="shared" ca="1" si="1624"/>
        <v xml:space="preserve">   GERENCIAMENTO EXECUTIVO</v>
      </c>
      <c r="H1985" s="230">
        <f t="shared" ca="1" si="1635"/>
        <v>18</v>
      </c>
      <c r="I1985" s="228" t="str">
        <f t="shared" ca="1" si="1625"/>
        <v xml:space="preserve">   LOUÇAS E METAIS</v>
      </c>
      <c r="J1985" s="230">
        <f t="shared" ca="1" si="1636"/>
        <v>2</v>
      </c>
      <c r="K1985" s="228" t="str">
        <f t="shared" ca="1" si="1626"/>
        <v xml:space="preserve">   LOUÇAS E METAIS - 2º PAVIMENTO - TÉRREO</v>
      </c>
      <c r="L1985" s="231">
        <f t="shared" ca="1" si="1637"/>
        <v>1</v>
      </c>
      <c r="M1985" s="228" t="str">
        <f t="shared" ca="1" si="1627"/>
        <v xml:space="preserve">   Aparelhos Sanitários - Louças - Metais e Acessórios</v>
      </c>
      <c r="N1985" s="231">
        <f t="shared" ca="1" si="1638"/>
        <v>3</v>
      </c>
      <c r="O1985" s="228" t="str">
        <f t="shared" ca="1" si="1628"/>
        <v>Acabamento de Registro</v>
      </c>
      <c r="P1985" s="232" t="str">
        <f>IF(S1985="","",IF(Orçamento!$B1985="INSUMO",S1985,""))</f>
        <v/>
      </c>
      <c r="Q1985" s="244" t="str">
        <f t="shared" si="1629"/>
        <v>Acabamento de Registro</v>
      </c>
      <c r="R1985" s="234">
        <f t="shared" ca="1" si="1630"/>
        <v>1</v>
      </c>
      <c r="S1985" s="233" t="s">
        <v>687</v>
      </c>
      <c r="T1985" s="242" t="s">
        <v>142</v>
      </c>
      <c r="U1985" s="235">
        <v>1</v>
      </c>
      <c r="V1985" s="320" t="s">
        <v>35</v>
      </c>
      <c r="W1985" s="236" t="str">
        <f>IFERROR(IF(B1985="INSUMO",_xlfn.XLOOKUP(S1985,Insumos!A:A,Insumos!C:C),""),"Inserir Preço")</f>
        <v/>
      </c>
      <c r="X1985" s="235">
        <f t="shared" ca="1" si="1632"/>
        <v>1</v>
      </c>
      <c r="Y1985" s="236">
        <f t="shared" ca="1" si="1622"/>
        <v>66</v>
      </c>
      <c r="Z1985" s="237">
        <f t="shared" ca="1" si="1597"/>
        <v>66</v>
      </c>
      <c r="AA1985" s="238"/>
      <c r="AB1985" s="233" t="str">
        <f>IF(B1985="insumo",_xlfn.XLOOKUP(S1985,Insumos!A:A,Insumos!D:D),"")</f>
        <v/>
      </c>
      <c r="AC1985" s="239">
        <f t="shared" ca="1" si="1598"/>
        <v>9.4683017354984659E-6</v>
      </c>
      <c r="AE1985" s="240">
        <f ca="1">IFERROR(IF(OR(Z1985="",Z1985=0),"",IF(AF1985="","",IF(AF1985="R$/mês",Z1985/OBRA!$D$12,IF(AF1985="R$/m²",Z1985/OBRA!$D$10,IF(AF1985="R$/apto",Orçamento!Z1985/OBRA!$D$11,""))))),"")</f>
        <v>3.3964070130658747E-2</v>
      </c>
      <c r="AF1985" s="241" t="s">
        <v>154</v>
      </c>
    </row>
    <row r="1986" spans="1:32" s="10" customFormat="1" ht="13.15" hidden="1" customHeight="1" outlineLevel="4" x14ac:dyDescent="0.2">
      <c r="A1986" s="227"/>
      <c r="B1986" s="228" t="s">
        <v>19</v>
      </c>
      <c r="C1986" s="229">
        <f t="shared" si="1596"/>
        <v>2</v>
      </c>
      <c r="D1986" s="227" t="str">
        <f t="shared" si="1633"/>
        <v/>
      </c>
      <c r="E1986" s="228" t="str">
        <f t="shared" ca="1" si="1634"/>
        <v>18.002.001.003</v>
      </c>
      <c r="F1986" s="230">
        <f ca="1">IF($B1986="UNIDADE CONSTRUTIVA",OFFSET(F1986,-1,0)+1,LARGE(F$10:F1985,1))</f>
        <v>2</v>
      </c>
      <c r="G1986" s="228" t="str">
        <f t="shared" ca="1" si="1624"/>
        <v xml:space="preserve">   GERENCIAMENTO EXECUTIVO</v>
      </c>
      <c r="H1986" s="230">
        <f t="shared" ca="1" si="1635"/>
        <v>18</v>
      </c>
      <c r="I1986" s="228" t="str">
        <f t="shared" ca="1" si="1625"/>
        <v xml:space="preserve">   LOUÇAS E METAIS</v>
      </c>
      <c r="J1986" s="230">
        <f t="shared" ca="1" si="1636"/>
        <v>2</v>
      </c>
      <c r="K1986" s="228" t="str">
        <f t="shared" ca="1" si="1626"/>
        <v xml:space="preserve">   LOUÇAS E METAIS - 2º PAVIMENTO - TÉRREO</v>
      </c>
      <c r="L1986" s="231">
        <f t="shared" ca="1" si="1637"/>
        <v>1</v>
      </c>
      <c r="M1986" s="228" t="str">
        <f t="shared" ca="1" si="1627"/>
        <v xml:space="preserve">   Aparelhos Sanitários - Louças - Metais e Acessórios</v>
      </c>
      <c r="N1986" s="231">
        <f t="shared" ca="1" si="1638"/>
        <v>3</v>
      </c>
      <c r="O1986" s="228" t="str">
        <f t="shared" ca="1" si="1628"/>
        <v>Acabamento de Registro</v>
      </c>
      <c r="P1986" s="232" t="str">
        <f>IF(S1986="","",IF(Orçamento!$B1986="INSUMO",S1986,""))</f>
        <v>ACABAMENTO REGISTRO LATAO CROMADO 3/4" NBR 15705</v>
      </c>
      <c r="Q1986" s="244" t="str">
        <f t="shared" si="1629"/>
        <v/>
      </c>
      <c r="R1986" s="234">
        <f t="shared" ca="1" si="1630"/>
        <v>1</v>
      </c>
      <c r="S1986" s="233" t="s">
        <v>853</v>
      </c>
      <c r="T1986" s="242" t="str">
        <f>_xlfn.XLOOKUP(S1986,Insumos!$A$3:$A$371,Insumos!$B$3:$B$371)</f>
        <v>un</v>
      </c>
      <c r="U1986" s="235">
        <f ca="1">IF($B1986="insumo",R1986,"")</f>
        <v>1</v>
      </c>
      <c r="V1986" s="320">
        <v>1</v>
      </c>
      <c r="W1986" s="236">
        <f>IFERROR(IF(B1986="INSUMO",_xlfn.XLOOKUP(S1986,Insumos!A:A,Insumos!C:C),""),"Inserir Preço")</f>
        <v>66</v>
      </c>
      <c r="X1986" s="235">
        <f t="shared" ca="1" si="1632"/>
        <v>1</v>
      </c>
      <c r="Y1986" s="236">
        <f t="shared" si="1622"/>
        <v>66</v>
      </c>
      <c r="Z1986" s="237">
        <f t="shared" ca="1" si="1597"/>
        <v>66</v>
      </c>
      <c r="AA1986" s="238"/>
      <c r="AB1986" s="233" t="str">
        <f>IF(B1986="insumo",_xlfn.XLOOKUP(S1986,Insumos!A:A,Insumos!D:D),"")</f>
        <v>Base de Dados</v>
      </c>
      <c r="AC1986" s="239">
        <f t="shared" ca="1" si="1598"/>
        <v>9.4683017354984659E-6</v>
      </c>
      <c r="AE1986" s="240">
        <f ca="1">IFERROR(IF(OR(Z1986="",Z1986=0),"",IF(AF1986="","",IF(AF1986="R$/mês",Z1986/OBRA!$D$12,IF(AF1986="R$/m²",Z1986/OBRA!$D$10,IF(AF1986="R$/apto",Orçamento!Z1986/OBRA!$D$11,""))))),"")</f>
        <v>3.3964070130658747E-2</v>
      </c>
      <c r="AF1986" s="241" t="s">
        <v>154</v>
      </c>
    </row>
    <row r="1987" spans="1:32" s="10" customFormat="1" ht="13.15" hidden="1" customHeight="1" outlineLevel="4" x14ac:dyDescent="0.2">
      <c r="A1987" s="227"/>
      <c r="B1987" s="228" t="s">
        <v>4</v>
      </c>
      <c r="C1987" s="229">
        <f t="shared" si="1596"/>
        <v>2</v>
      </c>
      <c r="D1987" s="227" t="str">
        <f t="shared" ca="1" si="1633"/>
        <v>18.002.001.004</v>
      </c>
      <c r="E1987" s="228" t="str">
        <f t="shared" ca="1" si="1634"/>
        <v>18.002.001.004</v>
      </c>
      <c r="F1987" s="230">
        <f ca="1">IF($B1987="UNIDADE CONSTRUTIVA",OFFSET(F1987,-1,0)+1,LARGE(F$10:F1986,1))</f>
        <v>2</v>
      </c>
      <c r="G1987" s="228" t="str">
        <f t="shared" ca="1" si="1624"/>
        <v xml:space="preserve">   GERENCIAMENTO EXECUTIVO</v>
      </c>
      <c r="H1987" s="230">
        <f t="shared" ca="1" si="1635"/>
        <v>18</v>
      </c>
      <c r="I1987" s="228" t="str">
        <f t="shared" ca="1" si="1625"/>
        <v xml:space="preserve">   LOUÇAS E METAIS</v>
      </c>
      <c r="J1987" s="230">
        <f t="shared" ca="1" si="1636"/>
        <v>2</v>
      </c>
      <c r="K1987" s="228" t="str">
        <f t="shared" ca="1" si="1626"/>
        <v xml:space="preserve">   LOUÇAS E METAIS - 2º PAVIMENTO - TÉRREO</v>
      </c>
      <c r="L1987" s="231">
        <f t="shared" ca="1" si="1637"/>
        <v>1</v>
      </c>
      <c r="M1987" s="228" t="str">
        <f t="shared" ca="1" si="1627"/>
        <v xml:space="preserve">   Aparelhos Sanitários - Louças - Metais e Acessórios</v>
      </c>
      <c r="N1987" s="231">
        <f t="shared" ca="1" si="1638"/>
        <v>4</v>
      </c>
      <c r="O1987" s="228" t="str">
        <f t="shared" ca="1" si="1628"/>
        <v>Barras de Apoio PCD</v>
      </c>
      <c r="P1987" s="232" t="str">
        <f>IF(S1987="","",IF(Orçamento!$B1987="INSUMO",S1987,""))</f>
        <v/>
      </c>
      <c r="Q1987" s="244" t="str">
        <f t="shared" si="1629"/>
        <v>Barras de Apoio PCD</v>
      </c>
      <c r="R1987" s="234">
        <f t="shared" ca="1" si="1630"/>
        <v>16</v>
      </c>
      <c r="S1987" s="233" t="s">
        <v>843</v>
      </c>
      <c r="T1987" s="242" t="s">
        <v>142</v>
      </c>
      <c r="U1987" s="235">
        <f>2*8</f>
        <v>16</v>
      </c>
      <c r="V1987" s="320" t="s">
        <v>35</v>
      </c>
      <c r="W1987" s="236" t="str">
        <f>IFERROR(IF(B1987="INSUMO",_xlfn.XLOOKUP(S1987,Insumos!A:A,Insumos!C:C),""),"Inserir Preço")</f>
        <v/>
      </c>
      <c r="X1987" s="235">
        <f t="shared" ca="1" si="1632"/>
        <v>16</v>
      </c>
      <c r="Y1987" s="236">
        <f t="shared" ca="1" si="1622"/>
        <v>523.41999999999996</v>
      </c>
      <c r="Z1987" s="237">
        <f t="shared" ca="1" si="1597"/>
        <v>8374.7199999999993</v>
      </c>
      <c r="AA1987" s="238"/>
      <c r="AB1987" s="233" t="str">
        <f>IF(B1987="insumo",_xlfn.XLOOKUP(S1987,Insumos!A:A,Insumos!D:D),"")</f>
        <v/>
      </c>
      <c r="AC1987" s="239">
        <f t="shared" ca="1" si="1598"/>
        <v>1.201429938035056E-3</v>
      </c>
      <c r="AE1987" s="240">
        <f ca="1">IFERROR(IF(OR(Z1987="",Z1987=0),"",IF(AF1987="","",IF(AF1987="R$/mês",Z1987/OBRA!$D$12,IF(AF1987="R$/m²",Z1987/OBRA!$D$10,IF(AF1987="R$/apto",Orçamento!Z1987/OBRA!$D$11,""))))),"")</f>
        <v>4.3096905667368244</v>
      </c>
      <c r="AF1987" s="241" t="s">
        <v>154</v>
      </c>
    </row>
    <row r="1988" spans="1:32" s="10" customFormat="1" ht="13.15" hidden="1" customHeight="1" outlineLevel="4" x14ac:dyDescent="0.2">
      <c r="A1988" s="227"/>
      <c r="B1988" s="228" t="s">
        <v>19</v>
      </c>
      <c r="C1988" s="229">
        <f t="shared" si="1596"/>
        <v>2</v>
      </c>
      <c r="D1988" s="227" t="str">
        <f t="shared" si="1633"/>
        <v/>
      </c>
      <c r="E1988" s="228" t="str">
        <f t="shared" ca="1" si="1634"/>
        <v>18.002.001.004</v>
      </c>
      <c r="F1988" s="230">
        <f ca="1">IF($B1988="UNIDADE CONSTRUTIVA",OFFSET(F1988,-1,0)+1,LARGE(F$10:F1987,1))</f>
        <v>2</v>
      </c>
      <c r="G1988" s="228" t="str">
        <f t="shared" ca="1" si="1624"/>
        <v xml:space="preserve">   GERENCIAMENTO EXECUTIVO</v>
      </c>
      <c r="H1988" s="230">
        <f t="shared" ca="1" si="1635"/>
        <v>18</v>
      </c>
      <c r="I1988" s="228" t="str">
        <f t="shared" ca="1" si="1625"/>
        <v xml:space="preserve">   LOUÇAS E METAIS</v>
      </c>
      <c r="J1988" s="230">
        <f t="shared" ca="1" si="1636"/>
        <v>2</v>
      </c>
      <c r="K1988" s="228" t="str">
        <f t="shared" ca="1" si="1626"/>
        <v xml:space="preserve">   LOUÇAS E METAIS - 2º PAVIMENTO - TÉRREO</v>
      </c>
      <c r="L1988" s="231">
        <f t="shared" ca="1" si="1637"/>
        <v>1</v>
      </c>
      <c r="M1988" s="228" t="str">
        <f t="shared" ca="1" si="1627"/>
        <v xml:space="preserve">   Aparelhos Sanitários - Louças - Metais e Acessórios</v>
      </c>
      <c r="N1988" s="231">
        <f t="shared" ca="1" si="1638"/>
        <v>4</v>
      </c>
      <c r="O1988" s="228" t="str">
        <f t="shared" ca="1" si="1628"/>
        <v>Barras de Apoio PCD</v>
      </c>
      <c r="P1988" s="232" t="str">
        <f>IF(S1988="","",IF(Orçamento!$B1988="INSUMO",S1988,""))</f>
        <v>Barra de apoio PNE</v>
      </c>
      <c r="Q1988" s="244" t="str">
        <f t="shared" si="1629"/>
        <v/>
      </c>
      <c r="R1988" s="234">
        <f t="shared" ca="1" si="1630"/>
        <v>16</v>
      </c>
      <c r="S1988" s="233" t="s">
        <v>686</v>
      </c>
      <c r="T1988" s="242" t="str">
        <f>_xlfn.XLOOKUP(S1988,Insumos!$A$3:$A$371,Insumos!$B$3:$B$371)</f>
        <v>un</v>
      </c>
      <c r="U1988" s="235">
        <f ca="1">IF($B1988="insumo",R1988,"")</f>
        <v>16</v>
      </c>
      <c r="V1988" s="320">
        <v>1</v>
      </c>
      <c r="W1988" s="236">
        <f>IFERROR(IF(B1988="INSUMO",_xlfn.XLOOKUP(S1988,Insumos!A:A,Insumos!C:C),""),"Inserir Preço")</f>
        <v>519.66</v>
      </c>
      <c r="X1988" s="235">
        <f t="shared" ca="1" si="1632"/>
        <v>16</v>
      </c>
      <c r="Y1988" s="236">
        <f t="shared" si="1622"/>
        <v>519.66</v>
      </c>
      <c r="Z1988" s="237">
        <f t="shared" ca="1" si="1597"/>
        <v>8314.56</v>
      </c>
      <c r="AA1988" s="238"/>
      <c r="AB1988" s="233" t="str">
        <f>IF(B1988="insumo",_xlfn.XLOOKUP(S1988,Insumos!A:A,Insumos!D:D),"")</f>
        <v>Base de Dados</v>
      </c>
      <c r="AC1988" s="239">
        <f t="shared" ca="1" si="1598"/>
        <v>1.1927994375440321E-3</v>
      </c>
      <c r="AE1988" s="240">
        <f ca="1">IFERROR(IF(OR(Z1988="",Z1988=0),"",IF(AF1988="","",IF(AF1988="R$/mês",Z1988/OBRA!$D$12,IF(AF1988="R$/m²",Z1988/OBRA!$D$10,IF(AF1988="R$/apto",Orçamento!Z1988/OBRA!$D$11,""))))),"")</f>
        <v>4.2787318022056056</v>
      </c>
      <c r="AF1988" s="241" t="s">
        <v>154</v>
      </c>
    </row>
    <row r="1989" spans="1:32" s="10" customFormat="1" ht="13.15" hidden="1" customHeight="1" outlineLevel="4" x14ac:dyDescent="0.2">
      <c r="A1989" s="227"/>
      <c r="B1989" s="228" t="s">
        <v>19</v>
      </c>
      <c r="C1989" s="229">
        <f t="shared" si="1596"/>
        <v>6</v>
      </c>
      <c r="D1989" s="227" t="str">
        <f t="shared" si="1633"/>
        <v/>
      </c>
      <c r="E1989" s="228" t="str">
        <f t="shared" ca="1" si="1634"/>
        <v>18.002.001.004</v>
      </c>
      <c r="F1989" s="230">
        <f ca="1">IF($B1989="UNIDADE CONSTRUTIVA",OFFSET(F1989,-1,0)+1,LARGE(F$10:F1988,1))</f>
        <v>2</v>
      </c>
      <c r="G1989" s="228" t="str">
        <f t="shared" ca="1" si="1624"/>
        <v xml:space="preserve">   GERENCIAMENTO EXECUTIVO</v>
      </c>
      <c r="H1989" s="230">
        <f t="shared" ca="1" si="1635"/>
        <v>18</v>
      </c>
      <c r="I1989" s="228" t="str">
        <f t="shared" ca="1" si="1625"/>
        <v xml:space="preserve">   LOUÇAS E METAIS</v>
      </c>
      <c r="J1989" s="230">
        <f t="shared" ca="1" si="1636"/>
        <v>2</v>
      </c>
      <c r="K1989" s="228" t="str">
        <f t="shared" ca="1" si="1626"/>
        <v xml:space="preserve">   LOUÇAS E METAIS - 2º PAVIMENTO - TÉRREO</v>
      </c>
      <c r="L1989" s="231">
        <f t="shared" ca="1" si="1637"/>
        <v>1</v>
      </c>
      <c r="M1989" s="228" t="str">
        <f t="shared" ca="1" si="1627"/>
        <v xml:space="preserve">   Aparelhos Sanitários - Louças - Metais e Acessórios</v>
      </c>
      <c r="N1989" s="231">
        <f t="shared" ca="1" si="1638"/>
        <v>4</v>
      </c>
      <c r="O1989" s="228" t="str">
        <f t="shared" ca="1" si="1628"/>
        <v>Barras de Apoio PCD</v>
      </c>
      <c r="P1989" s="232" t="str">
        <f>IF(S1989="","",IF(Orçamento!$B1989="INSUMO",S1989,""))</f>
        <v>PARAFUSO ACO CARBONO CAB. SEXTAVADA ROSCA BROCANTE 1/4"X3/4"</v>
      </c>
      <c r="Q1989" s="244" t="str">
        <f t="shared" si="1629"/>
        <v/>
      </c>
      <c r="R1989" s="234">
        <f t="shared" ca="1" si="1630"/>
        <v>16</v>
      </c>
      <c r="S1989" s="233" t="s">
        <v>754</v>
      </c>
      <c r="T1989" s="242" t="str">
        <f>_xlfn.XLOOKUP(S1989,Insumos!$A$3:$A$371,Insumos!$B$3:$B$371)</f>
        <v>UN</v>
      </c>
      <c r="U1989" s="235">
        <f ca="1">IF($B1989="insumo",R1989,"")</f>
        <v>16</v>
      </c>
      <c r="V1989" s="320">
        <v>8</v>
      </c>
      <c r="W1989" s="236">
        <f>IFERROR(IF(B1989="INSUMO",_xlfn.XLOOKUP(S1989,Insumos!A:A,Insumos!C:C),""),"Inserir Preço")</f>
        <v>0.35</v>
      </c>
      <c r="X1989" s="235">
        <f t="shared" ca="1" si="1632"/>
        <v>128</v>
      </c>
      <c r="Y1989" s="236">
        <f t="shared" si="1622"/>
        <v>2.8</v>
      </c>
      <c r="Z1989" s="237">
        <f t="shared" ca="1" si="1597"/>
        <v>44.8</v>
      </c>
      <c r="AA1989" s="238"/>
      <c r="AB1989" s="233">
        <f>IF(B1989="insumo",_xlfn.XLOOKUP(S1989,Insumos!A:A,Insumos!D:D),"")</f>
        <v>0</v>
      </c>
      <c r="AC1989" s="239">
        <f t="shared" ca="1" si="1598"/>
        <v>6.4269684507625949E-6</v>
      </c>
      <c r="AE1989" s="240">
        <f ca="1">IFERROR(IF(OR(Z1989="",Z1989=0),"",IF(AF1989="","",IF(AF1989="R$/mês",Z1989/OBRA!$D$12,IF(AF1989="R$/m²",Z1989/OBRA!$D$10,IF(AF1989="R$/apto",Orçamento!Z1989/OBRA!$D$11,""))))),"")</f>
        <v>2.3054399118992604E-2</v>
      </c>
      <c r="AF1989" s="241" t="s">
        <v>154</v>
      </c>
    </row>
    <row r="1990" spans="1:32" s="10" customFormat="1" ht="13.15" hidden="1" customHeight="1" outlineLevel="4" x14ac:dyDescent="0.2">
      <c r="A1990" s="227"/>
      <c r="B1990" s="228" t="s">
        <v>19</v>
      </c>
      <c r="C1990" s="229">
        <f t="shared" si="1596"/>
        <v>5</v>
      </c>
      <c r="D1990" s="227" t="str">
        <f t="shared" si="1633"/>
        <v/>
      </c>
      <c r="E1990" s="228" t="str">
        <f t="shared" ca="1" si="1634"/>
        <v>18.002.001.004</v>
      </c>
      <c r="F1990" s="230">
        <f ca="1">IF($B1990="UNIDADE CONSTRUTIVA",OFFSET(F1990,-1,0)+1,LARGE(F$10:F1989,1))</f>
        <v>2</v>
      </c>
      <c r="G1990" s="228" t="str">
        <f t="shared" ca="1" si="1624"/>
        <v xml:space="preserve">   GERENCIAMENTO EXECUTIVO</v>
      </c>
      <c r="H1990" s="230">
        <f t="shared" ca="1" si="1635"/>
        <v>18</v>
      </c>
      <c r="I1990" s="228" t="str">
        <f t="shared" ca="1" si="1625"/>
        <v xml:space="preserve">   LOUÇAS E METAIS</v>
      </c>
      <c r="J1990" s="230">
        <f t="shared" ca="1" si="1636"/>
        <v>2</v>
      </c>
      <c r="K1990" s="228" t="str">
        <f t="shared" ca="1" si="1626"/>
        <v xml:space="preserve">   LOUÇAS E METAIS - 2º PAVIMENTO - TÉRREO</v>
      </c>
      <c r="L1990" s="231">
        <f t="shared" ca="1" si="1637"/>
        <v>1</v>
      </c>
      <c r="M1990" s="228" t="str">
        <f t="shared" ca="1" si="1627"/>
        <v xml:space="preserve">   Aparelhos Sanitários - Louças - Metais e Acessórios</v>
      </c>
      <c r="N1990" s="231">
        <f t="shared" ca="1" si="1638"/>
        <v>4</v>
      </c>
      <c r="O1990" s="228" t="str">
        <f t="shared" ca="1" si="1628"/>
        <v>Barras de Apoio PCD</v>
      </c>
      <c r="P1990" s="232" t="str">
        <f>IF(S1990="","",IF(Orçamento!$B1990="INSUMO",S1990,""))</f>
        <v>BUCHA FIXACAO NYLON FU 08</v>
      </c>
      <c r="Q1990" s="244" t="str">
        <f t="shared" si="1629"/>
        <v/>
      </c>
      <c r="R1990" s="234">
        <f t="shared" ca="1" si="1630"/>
        <v>16</v>
      </c>
      <c r="S1990" s="233" t="s">
        <v>761</v>
      </c>
      <c r="T1990" s="242" t="str">
        <f>_xlfn.XLOOKUP(S1990,Insumos!$A$3:$A$371,Insumos!$B$3:$B$371)</f>
        <v>UN</v>
      </c>
      <c r="U1990" s="235">
        <f ca="1">IF($B1990="insumo",R1990,"")</f>
        <v>16</v>
      </c>
      <c r="V1990" s="320">
        <v>8</v>
      </c>
      <c r="W1990" s="236">
        <f>IFERROR(IF(B1990="INSUMO",_xlfn.XLOOKUP(S1990,Insumos!A:A,Insumos!C:C),""),"Inserir Preço")</f>
        <v>0.12</v>
      </c>
      <c r="X1990" s="235">
        <f t="shared" ca="1" si="1632"/>
        <v>128</v>
      </c>
      <c r="Y1990" s="236">
        <f t="shared" si="1622"/>
        <v>0.96</v>
      </c>
      <c r="Z1990" s="237">
        <f t="shared" ca="1" si="1597"/>
        <v>15.36</v>
      </c>
      <c r="AA1990" s="238"/>
      <c r="AB1990" s="233" t="str">
        <f>IF(B1990="insumo",_xlfn.XLOOKUP(S1990,Insumos!A:A,Insumos!D:D),"")</f>
        <v xml:space="preserve"> </v>
      </c>
      <c r="AC1990" s="239">
        <f t="shared" ca="1" si="1598"/>
        <v>2.2035320402614612E-6</v>
      </c>
      <c r="AE1990" s="240">
        <f ca="1">IFERROR(IF(OR(Z1990="",Z1990=0),"",IF(AF1990="","",IF(AF1990="R$/mês",Z1990/OBRA!$D$12,IF(AF1990="R$/m²",Z1990/OBRA!$D$10,IF(AF1990="R$/apto",Orçamento!Z1990/OBRA!$D$11,""))))),"")</f>
        <v>7.9043654122260363E-3</v>
      </c>
      <c r="AF1990" s="241" t="s">
        <v>154</v>
      </c>
    </row>
    <row r="1991" spans="1:32" s="10" customFormat="1" ht="13.15" hidden="1" customHeight="1" outlineLevel="3" collapsed="1" x14ac:dyDescent="0.2">
      <c r="A1991" s="227"/>
      <c r="B1991" s="228" t="s">
        <v>3</v>
      </c>
      <c r="C1991" s="229" t="str">
        <f t="shared" si="1596"/>
        <v/>
      </c>
      <c r="D1991" s="227" t="str">
        <f t="shared" ca="1" si="1633"/>
        <v>18.002.002</v>
      </c>
      <c r="E1991" s="228" t="str">
        <f t="shared" ca="1" si="1634"/>
        <v>18.002.001.004</v>
      </c>
      <c r="F1991" s="230">
        <f ca="1">IF($B1991="UNIDADE CONSTRUTIVA",OFFSET(F1991,-1,0)+1,LARGE(F$10:F1990,1))</f>
        <v>2</v>
      </c>
      <c r="G1991" s="228" t="str">
        <f t="shared" ca="1" si="1624"/>
        <v xml:space="preserve">   GERENCIAMENTO EXECUTIVO</v>
      </c>
      <c r="H1991" s="230">
        <f t="shared" ca="1" si="1635"/>
        <v>18</v>
      </c>
      <c r="I1991" s="228" t="str">
        <f t="shared" ca="1" si="1625"/>
        <v xml:space="preserve">   LOUÇAS E METAIS</v>
      </c>
      <c r="J1991" s="230">
        <f t="shared" ca="1" si="1636"/>
        <v>2</v>
      </c>
      <c r="K1991" s="228" t="str">
        <f t="shared" ca="1" si="1626"/>
        <v xml:space="preserve">   LOUÇAS E METAIS - 2º PAVIMENTO - TÉRREO</v>
      </c>
      <c r="L1991" s="231">
        <f t="shared" ca="1" si="1637"/>
        <v>2</v>
      </c>
      <c r="M1991" s="228" t="str">
        <f t="shared" ca="1" si="1627"/>
        <v xml:space="preserve">   Mão de Obra</v>
      </c>
      <c r="N1991" s="231">
        <f t="shared" ca="1" si="1638"/>
        <v>0</v>
      </c>
      <c r="O1991" s="228" t="str">
        <f t="shared" ca="1" si="1628"/>
        <v>Barras de Apoio PCD</v>
      </c>
      <c r="P1991" s="232" t="str">
        <f>IF(S1991="","",IF(Orçamento!$B1991="INSUMO",S1991,""))</f>
        <v/>
      </c>
      <c r="Q1991" s="244" t="str">
        <f t="shared" si="1629"/>
        <v/>
      </c>
      <c r="R1991" s="234">
        <f t="shared" ca="1" si="1630"/>
        <v>16</v>
      </c>
      <c r="S1991" s="233" t="s">
        <v>438</v>
      </c>
      <c r="T1991" s="242" t="s">
        <v>35</v>
      </c>
      <c r="U1991" s="235" t="str">
        <f>IF($B1991="insumo",R1991,"")</f>
        <v/>
      </c>
      <c r="V1991" s="320" t="s">
        <v>35</v>
      </c>
      <c r="W1991" s="236" t="str">
        <f>IFERROR(IF(B1991="INSUMO",_xlfn.XLOOKUP(S1991,Insumos!A:A,Insumos!C:C),""),"Inserir Preço")</f>
        <v/>
      </c>
      <c r="X1991" s="235" t="str">
        <f t="shared" ca="1" si="1632"/>
        <v/>
      </c>
      <c r="Y1991" s="236" t="str">
        <f t="shared" si="1622"/>
        <v/>
      </c>
      <c r="Z1991" s="237">
        <f t="shared" ca="1" si="1597"/>
        <v>8803.2519749507646</v>
      </c>
      <c r="AA1991" s="238"/>
      <c r="AB1991" s="233" t="str">
        <f>IF(B1991="insumo",_xlfn.XLOOKUP(S1991,Insumos!A:A,Insumos!D:D),"")</f>
        <v/>
      </c>
      <c r="AC1991" s="239">
        <f t="shared" ca="1" si="1598"/>
        <v>1.2629067568554033E-3</v>
      </c>
      <c r="AE1991" s="240">
        <f ca="1">IFERROR(IF(OR(Z1991="",Z1991=0),"",IF(AF1991="","",IF(AF1991="R$/mês",Z1991/OBRA!$D$12,IF(AF1991="R$/m²",Z1991/OBRA!$D$10,IF(AF1991="R$/apto",Orçamento!Z1991/OBRA!$D$11,""))))),"")</f>
        <v>4.5302161735619375</v>
      </c>
      <c r="AF1991" s="241" t="s">
        <v>154</v>
      </c>
    </row>
    <row r="1992" spans="1:32" s="10" customFormat="1" ht="13.15" hidden="1" customHeight="1" outlineLevel="4" x14ac:dyDescent="0.2">
      <c r="A1992" s="227"/>
      <c r="B1992" s="228" t="s">
        <v>4</v>
      </c>
      <c r="C1992" s="229">
        <f t="shared" si="1596"/>
        <v>4</v>
      </c>
      <c r="D1992" s="227" t="str">
        <f t="shared" ca="1" si="1633"/>
        <v>18.002.002.001</v>
      </c>
      <c r="E1992" s="228" t="str">
        <f t="shared" ca="1" si="1634"/>
        <v>18.002.002.001</v>
      </c>
      <c r="F1992" s="230">
        <f ca="1">IF($B1992="UNIDADE CONSTRUTIVA",OFFSET(F1992,-1,0)+1,LARGE(F$10:F1991,1))</f>
        <v>2</v>
      </c>
      <c r="G1992" s="228" t="str">
        <f ca="1">IF(B1992="*","",IF(B1992="UNIDADE CONSTRUTIVA",S1992,OFFSET(G1992,-1,0)))</f>
        <v xml:space="preserve">   GERENCIAMENTO EXECUTIVO</v>
      </c>
      <c r="H1992" s="230">
        <f t="shared" ca="1" si="1635"/>
        <v>18</v>
      </c>
      <c r="I1992" s="228" t="str">
        <f ca="1">IF(B1992="*","",IF(B1992="CÉLULA CONSTRUTIVA",S1992,OFFSET(I1992,-1,0)))</f>
        <v xml:space="preserve">   LOUÇAS E METAIS</v>
      </c>
      <c r="J1992" s="230">
        <f t="shared" ca="1" si="1636"/>
        <v>2</v>
      </c>
      <c r="K1992" s="228" t="str">
        <f ca="1">IF(B1992="*","",IF(B1992="ETAPA",S1992,OFFSET(K1992,-1,0)))</f>
        <v xml:space="preserve">   LOUÇAS E METAIS - 2º PAVIMENTO - TÉRREO</v>
      </c>
      <c r="L1992" s="231">
        <f t="shared" ca="1" si="1637"/>
        <v>2</v>
      </c>
      <c r="M1992" s="228" t="str">
        <f ca="1">IF(B1992="*","",IF(B1992="SUBETAPA",S1992,OFFSET(M1992,-1,0)))</f>
        <v xml:space="preserve">   Mão de Obra</v>
      </c>
      <c r="N1992" s="231">
        <f t="shared" ca="1" si="1638"/>
        <v>1</v>
      </c>
      <c r="O1992" s="228" t="str">
        <f ca="1">IF(B1992="*","",IF(B1992="SERVIÇO",S1992,OFFSET(O1992,-1,0)))</f>
        <v>Loucas e metais</v>
      </c>
      <c r="P1992" s="232" t="str">
        <f>IF(S1992="","",IF(Orçamento!$B1992="INSUMO",S1992,""))</f>
        <v/>
      </c>
      <c r="Q1992" s="244" t="str">
        <f>IF(B1992="","",IF(B1992="Serviço",S1992,""))</f>
        <v>Loucas e metais</v>
      </c>
      <c r="R1992" s="234">
        <f ca="1">IF(B1992="serviço",U1992,OFFSET(R1992,-1,0))</f>
        <v>0.17397731175792025</v>
      </c>
      <c r="S1992" s="233" t="s">
        <v>452</v>
      </c>
      <c r="T1992" s="242" t="s">
        <v>170</v>
      </c>
      <c r="U1992" s="330">
        <f>'Custos Serviços'!$D$105/'Custos Serviços'!$D$103</f>
        <v>0.17397731175792025</v>
      </c>
      <c r="V1992" s="320" t="s">
        <v>35</v>
      </c>
      <c r="W1992" s="236" t="str">
        <f>IFERROR(IF(B1992="INSUMO",_xlfn.XLOOKUP(S1992,Insumos!A:A,Insumos!C:C),""),"Inserir Preço")</f>
        <v/>
      </c>
      <c r="X1992" s="235">
        <f ca="1">IF(B1992="Complemento do insumo",V1992,IF(R1992="","",IF(B1992="serviço",R1992,IF(OR(B1992="insumo"),V1992*R1992,""))))</f>
        <v>0.17397731175792025</v>
      </c>
      <c r="Y1992" s="236">
        <f t="shared" ca="1" si="1622"/>
        <v>50600</v>
      </c>
      <c r="Z1992" s="237">
        <f t="shared" ca="1" si="1597"/>
        <v>8803.2519749507646</v>
      </c>
      <c r="AA1992" s="238"/>
      <c r="AB1992" s="233" t="str">
        <f>IF(B1992="insumo",_xlfn.XLOOKUP(S1992,Insumos!A:A,Insumos!D:D),"")</f>
        <v/>
      </c>
      <c r="AC1992" s="239">
        <f t="shared" ca="1" si="1598"/>
        <v>1.2629067568554033E-3</v>
      </c>
      <c r="AE1992" s="240">
        <f ca="1">IFERROR(IF(OR(Z1992="",Z1992=0),"",IF(AF1992="","",IF(AF1992="R$/mês",Z1992/OBRA!$D$12,IF(AF1992="R$/m²",Z1992/OBRA!$D$10,IF(AF1992="R$/apto",Orçamento!Z1992/OBRA!$D$11,""))))),"")</f>
        <v>4.5302161735619375</v>
      </c>
      <c r="AF1992" s="241" t="s">
        <v>154</v>
      </c>
    </row>
    <row r="1993" spans="1:32" s="10" customFormat="1" ht="13.15" hidden="1" customHeight="1" outlineLevel="4" x14ac:dyDescent="0.2">
      <c r="A1993" s="227"/>
      <c r="B1993" s="228" t="s">
        <v>19</v>
      </c>
      <c r="C1993" s="229">
        <f t="shared" si="1596"/>
        <v>4</v>
      </c>
      <c r="D1993" s="227" t="str">
        <f t="shared" si="1633"/>
        <v/>
      </c>
      <c r="E1993" s="228" t="str">
        <f t="shared" ca="1" si="1634"/>
        <v>18.002.002.001</v>
      </c>
      <c r="F1993" s="230">
        <f ca="1">IF($B1993="UNIDADE CONSTRUTIVA",OFFSET(F1993,-1,0)+1,LARGE(F$10:F1992,1))</f>
        <v>2</v>
      </c>
      <c r="G1993" s="228" t="str">
        <f ca="1">IF(B1993="*","",IF(B1993="UNIDADE CONSTRUTIVA",S1993,OFFSET(G1993,-1,0)))</f>
        <v xml:space="preserve">   GERENCIAMENTO EXECUTIVO</v>
      </c>
      <c r="H1993" s="230">
        <f t="shared" ca="1" si="1635"/>
        <v>18</v>
      </c>
      <c r="I1993" s="228" t="str">
        <f ca="1">IF(B1993="*","",IF(B1993="CÉLULA CONSTRUTIVA",S1993,OFFSET(I1993,-1,0)))</f>
        <v xml:space="preserve">   LOUÇAS E METAIS</v>
      </c>
      <c r="J1993" s="230">
        <f t="shared" ca="1" si="1636"/>
        <v>2</v>
      </c>
      <c r="K1993" s="228" t="str">
        <f ca="1">IF(B1993="*","",IF(B1993="ETAPA",S1993,OFFSET(K1993,-1,0)))</f>
        <v xml:space="preserve">   LOUÇAS E METAIS - 2º PAVIMENTO - TÉRREO</v>
      </c>
      <c r="L1993" s="231">
        <f t="shared" ca="1" si="1637"/>
        <v>2</v>
      </c>
      <c r="M1993" s="228" t="str">
        <f ca="1">IF(B1993="*","",IF(B1993="SUBETAPA",S1993,OFFSET(M1993,-1,0)))</f>
        <v xml:space="preserve">   Mão de Obra</v>
      </c>
      <c r="N1993" s="231">
        <f t="shared" ca="1" si="1638"/>
        <v>1</v>
      </c>
      <c r="O1993" s="228" t="str">
        <f ca="1">IF(B1993="*","",IF(B1993="SERVIÇO",S1993,OFFSET(O1993,-1,0)))</f>
        <v>Loucas e metais</v>
      </c>
      <c r="P1993" s="232" t="str">
        <f>IF(S1993="","",IF(Orçamento!$B1993="INSUMO",S1993,""))</f>
        <v>LOUÇAS E METAIS</v>
      </c>
      <c r="Q1993" s="244" t="str">
        <f>IF(B1993="","",IF(B1993="Serviço",S1993,""))</f>
        <v/>
      </c>
      <c r="R1993" s="234">
        <f ca="1">IF(B1993="serviço",U1993,OFFSET(R1993,-1,0))</f>
        <v>0.17397731175792025</v>
      </c>
      <c r="S1993" s="233" t="s">
        <v>833</v>
      </c>
      <c r="T1993" s="242" t="str">
        <f>_xlfn.XLOOKUP(S1993,Insumos!$A$3:$A$371,Insumos!$B$3:$B$371)</f>
        <v>VB</v>
      </c>
      <c r="U1993" s="235">
        <f ca="1">IF($B1993="insumo",R1993,"")</f>
        <v>0.17397731175792025</v>
      </c>
      <c r="V1993" s="320">
        <v>1</v>
      </c>
      <c r="W1993" s="236">
        <f>IFERROR(IF(B1993="INSUMO",_xlfn.XLOOKUP(S1993,Insumos!A:A,Insumos!C:C),""),"Inserir Preço")</f>
        <v>50600</v>
      </c>
      <c r="X1993" s="235">
        <f ca="1">IF(B1993="Complemento do insumo",V1993,IF(R1993="","",IF(B1993="serviço",R1993,IF(OR(B1993="insumo"),V1993*R1993,""))))</f>
        <v>0.17397731175792025</v>
      </c>
      <c r="Y1993" s="236">
        <f t="shared" si="1622"/>
        <v>50600</v>
      </c>
      <c r="Z1993" s="237">
        <f t="shared" ca="1" si="1597"/>
        <v>8803.2519749507646</v>
      </c>
      <c r="AA1993" s="238"/>
      <c r="AB1993" s="233" t="str">
        <f>IF(B1993="insumo",_xlfn.XLOOKUP(S1993,Insumos!A:A,Insumos!D:D),"")</f>
        <v>Aba Custo Serviços</v>
      </c>
      <c r="AC1993" s="239">
        <f t="shared" ca="1" si="1598"/>
        <v>1.2629067568554033E-3</v>
      </c>
      <c r="AE1993" s="240">
        <f ca="1">IFERROR(IF(OR(Z1993="",Z1993=0),"",IF(AF1993="","",IF(AF1993="R$/mês",Z1993/OBRA!$D$12,IF(AF1993="R$/m²",Z1993/OBRA!$D$10,IF(AF1993="R$/apto",Orçamento!Z1993/OBRA!$D$11,""))))),"")</f>
        <v>4.5302161735619375</v>
      </c>
      <c r="AF1993" s="241" t="s">
        <v>154</v>
      </c>
    </row>
    <row r="1994" spans="1:32" s="10" customFormat="1" ht="13.15" customHeight="1" outlineLevel="2" collapsed="1" x14ac:dyDescent="0.2">
      <c r="A1994" s="227"/>
      <c r="B1994" s="228" t="s">
        <v>2</v>
      </c>
      <c r="C1994" s="229" t="str">
        <f t="shared" si="1596"/>
        <v/>
      </c>
      <c r="D1994" s="227" t="str">
        <f t="shared" ca="1" si="1633"/>
        <v>18.003</v>
      </c>
      <c r="E1994" s="228" t="str">
        <f t="shared" ca="1" si="1634"/>
        <v>18.002.002.001</v>
      </c>
      <c r="F1994" s="230">
        <f ca="1">IF($B1994="UNIDADE CONSTRUTIVA",OFFSET(F1994,-1,0)+1,LARGE(F$10:F1993,1))</f>
        <v>2</v>
      </c>
      <c r="G1994" s="228" t="str">
        <f t="shared" ref="G1994:G2004" ca="1" si="1640">IF(B1994="*","",IF(B1994="UNIDADE CONSTRUTIVA",S1994,OFFSET(G1994,-1,0)))</f>
        <v xml:space="preserve">   GERENCIAMENTO EXECUTIVO</v>
      </c>
      <c r="H1994" s="230">
        <f t="shared" ca="1" si="1635"/>
        <v>18</v>
      </c>
      <c r="I1994" s="228" t="str">
        <f t="shared" ref="I1994:I2004" ca="1" si="1641">IF(B1994="*","",IF(B1994="CÉLULA CONSTRUTIVA",S1994,OFFSET(I1994,-1,0)))</f>
        <v xml:space="preserve">   LOUÇAS E METAIS</v>
      </c>
      <c r="J1994" s="230">
        <f t="shared" ca="1" si="1636"/>
        <v>3</v>
      </c>
      <c r="K1994" s="228" t="str">
        <f t="shared" ref="K1994:K2004" ca="1" si="1642">IF(B1994="*","",IF(B1994="ETAPA",S1994,OFFSET(K1994,-1,0)))</f>
        <v xml:space="preserve">   LOUÇAS E METAIS - 3º  ao 7º PAVIMENTO - TIPO</v>
      </c>
      <c r="L1994" s="231">
        <f t="shared" ca="1" si="1637"/>
        <v>0</v>
      </c>
      <c r="M1994" s="228" t="str">
        <f t="shared" ref="M1994:M2004" ca="1" si="1643">IF(B1994="*","",IF(B1994="SUBETAPA",S1994,OFFSET(M1994,-1,0)))</f>
        <v xml:space="preserve">   Mão de Obra</v>
      </c>
      <c r="N1994" s="231">
        <f t="shared" ca="1" si="1638"/>
        <v>1</v>
      </c>
      <c r="O1994" s="228" t="str">
        <f t="shared" ref="O1994:O2004" ca="1" si="1644">IF(B1994="*","",IF(B1994="SERVIÇO",S1994,OFFSET(O1994,-1,0)))</f>
        <v>Loucas e metais</v>
      </c>
      <c r="P1994" s="232" t="str">
        <f>IF(S1994="","",IF(Orçamento!$B1994="INSUMO",S1994,""))</f>
        <v/>
      </c>
      <c r="Q1994" s="244" t="str">
        <f t="shared" ref="Q1994:Q2004" si="1645">IF(B1994="","",IF(B1994="Serviço",S1994,""))</f>
        <v/>
      </c>
      <c r="R1994" s="234">
        <f t="shared" ref="R1994:R2004" ca="1" si="1646">IF(B1994="serviço",U1994,OFFSET(R1994,-1,0))</f>
        <v>0.17397731175792025</v>
      </c>
      <c r="S1994" s="233" t="s">
        <v>1101</v>
      </c>
      <c r="T1994" s="242" t="s">
        <v>35</v>
      </c>
      <c r="U1994" s="235" t="str">
        <f>IF($B1994="insumo",R1994,"")</f>
        <v/>
      </c>
      <c r="V1994" s="320" t="s">
        <v>35</v>
      </c>
      <c r="W1994" s="236" t="str">
        <f>IFERROR(IF(B1994="INSUMO",_xlfn.XLOOKUP(S1994,Insumos!A:A,Insumos!C:C),""),"Inserir Preço")</f>
        <v/>
      </c>
      <c r="X1994" s="235" t="str">
        <f t="shared" ref="X1994:X2005" ca="1" si="1647">IF(B1994="Complemento do insumo",V1994,IF(R1994="","",IF(B1994="serviço",R1994,IF(OR(B1994="insumo"),V1994*R1994,""))))</f>
        <v/>
      </c>
      <c r="Y1994" s="236" t="str">
        <f t="shared" si="1622"/>
        <v/>
      </c>
      <c r="Z1994" s="237">
        <f t="shared" ca="1" si="1597"/>
        <v>50244.590741740612</v>
      </c>
      <c r="AA1994" s="238"/>
      <c r="AB1994" s="233" t="str">
        <f>IF(B1994="insumo",_xlfn.XLOOKUP(S1994,Insumos!A:A,Insumos!D:D),"")</f>
        <v/>
      </c>
      <c r="AC1994" s="239">
        <f t="shared" ca="1" si="1598"/>
        <v>7.2080446321126177E-3</v>
      </c>
      <c r="AE1994" s="240">
        <f ca="1">IFERROR(IF(OR(Z1994="",Z1994=0),"",IF(AF1994="","",IF(AF1994="R$/mês",Z1994/OBRA!$D$12,IF(AF1994="R$/m²",Z1994/OBRA!$D$10,IF(AF1994="R$/apto",Orçamento!Z1994/OBRA!$D$11,""))))),"")</f>
        <v>25.856224297556444</v>
      </c>
      <c r="AF1994" s="241" t="s">
        <v>154</v>
      </c>
    </row>
    <row r="1995" spans="1:32" s="10" customFormat="1" ht="13.15" hidden="1" customHeight="1" outlineLevel="3" collapsed="1" x14ac:dyDescent="0.2">
      <c r="A1995" s="227"/>
      <c r="B1995" s="228" t="s">
        <v>3</v>
      </c>
      <c r="C1995" s="229" t="str">
        <f t="shared" si="1596"/>
        <v/>
      </c>
      <c r="D1995" s="227" t="str">
        <f t="shared" ca="1" si="1633"/>
        <v>18.003.001</v>
      </c>
      <c r="E1995" s="228" t="str">
        <f t="shared" ca="1" si="1634"/>
        <v>18.002.002.001</v>
      </c>
      <c r="F1995" s="230">
        <f ca="1">IF($B1995="UNIDADE CONSTRUTIVA",OFFSET(F1995,-1,0)+1,LARGE(F$10:F1994,1))</f>
        <v>2</v>
      </c>
      <c r="G1995" s="228" t="str">
        <f t="shared" ca="1" si="1640"/>
        <v xml:space="preserve">   GERENCIAMENTO EXECUTIVO</v>
      </c>
      <c r="H1995" s="230">
        <f t="shared" ca="1" si="1635"/>
        <v>18</v>
      </c>
      <c r="I1995" s="228" t="str">
        <f t="shared" ca="1" si="1641"/>
        <v xml:space="preserve">   LOUÇAS E METAIS</v>
      </c>
      <c r="J1995" s="230">
        <f t="shared" ca="1" si="1636"/>
        <v>3</v>
      </c>
      <c r="K1995" s="228" t="str">
        <f t="shared" ca="1" si="1642"/>
        <v xml:space="preserve">   LOUÇAS E METAIS - 3º  ao 7º PAVIMENTO - TIPO</v>
      </c>
      <c r="L1995" s="231">
        <f t="shared" ca="1" si="1637"/>
        <v>1</v>
      </c>
      <c r="M1995" s="228" t="str">
        <f t="shared" ca="1" si="1643"/>
        <v xml:space="preserve">   Aparelhos Sanitários - Louças - Metais e Acessórios</v>
      </c>
      <c r="N1995" s="231">
        <f t="shared" ca="1" si="1638"/>
        <v>0</v>
      </c>
      <c r="O1995" s="228" t="str">
        <f t="shared" ca="1" si="1644"/>
        <v>Loucas e metais</v>
      </c>
      <c r="P1995" s="232" t="str">
        <f>IF(S1995="","",IF(Orçamento!$B1995="INSUMO",S1995,""))</f>
        <v/>
      </c>
      <c r="Q1995" s="244" t="str">
        <f t="shared" si="1645"/>
        <v/>
      </c>
      <c r="R1995" s="234">
        <f t="shared" ca="1" si="1646"/>
        <v>0.17397731175792025</v>
      </c>
      <c r="S1995" s="233" t="s">
        <v>451</v>
      </c>
      <c r="T1995" s="242" t="s">
        <v>35</v>
      </c>
      <c r="U1995" s="235" t="str">
        <f>IF($B1995="insumo",R1995,"")</f>
        <v/>
      </c>
      <c r="V1995" s="320" t="s">
        <v>35</v>
      </c>
      <c r="W1995" s="236" t="str">
        <f>IFERROR(IF(B1995="INSUMO",_xlfn.XLOOKUP(S1995,Insumos!A:A,Insumos!C:C),""),"Inserir Preço")</f>
        <v/>
      </c>
      <c r="X1995" s="235" t="str">
        <f t="shared" ca="1" si="1647"/>
        <v/>
      </c>
      <c r="Y1995" s="236" t="str">
        <f t="shared" si="1622"/>
        <v/>
      </c>
      <c r="Z1995" s="237">
        <f t="shared" ca="1" si="1597"/>
        <v>16501.310000000001</v>
      </c>
      <c r="AA1995" s="238"/>
      <c r="AB1995" s="233" t="str">
        <f>IF(B1995="insumo",_xlfn.XLOOKUP(S1995,Insumos!A:A,Insumos!D:D),"")</f>
        <v/>
      </c>
      <c r="AC1995" s="239">
        <f t="shared" ca="1" si="1598"/>
        <v>2.3672633653181547E-3</v>
      </c>
      <c r="AE1995" s="240">
        <f ca="1">IFERROR(IF(OR(Z1995="",Z1995=0),"",IF(AF1995="","",IF(AF1995="R$/mês",Z1995/OBRA!$D$12,IF(AF1995="R$/m²",Z1995/OBRA!$D$10,IF(AF1995="R$/apto",Orçamento!Z1995/OBRA!$D$11,""))))),"")</f>
        <v>8.4916916679960686</v>
      </c>
      <c r="AF1995" s="241" t="s">
        <v>154</v>
      </c>
    </row>
    <row r="1996" spans="1:32" s="10" customFormat="1" ht="13.15" hidden="1" customHeight="1" outlineLevel="4" x14ac:dyDescent="0.2">
      <c r="A1996" s="227"/>
      <c r="B1996" s="228" t="s">
        <v>4</v>
      </c>
      <c r="C1996" s="229">
        <f t="shared" ref="C1996:C2059" si="1648">IF(B1996="INSUMO",COUNTIFS(B:B,"INSUMO",S:S,S1996),IF(B1996="SERVIÇO",COUNTIFS(B:B,"SERVIÇO",S:S,S1996),""))</f>
        <v>3</v>
      </c>
      <c r="D1996" s="227" t="str">
        <f t="shared" ca="1" si="1633"/>
        <v>18.003.001.001</v>
      </c>
      <c r="E1996" s="228" t="str">
        <f t="shared" ca="1" si="1634"/>
        <v>18.003.001.001</v>
      </c>
      <c r="F1996" s="230">
        <f ca="1">IF($B1996="UNIDADE CONSTRUTIVA",OFFSET(F1996,-1,0)+1,LARGE(F$10:F1995,1))</f>
        <v>2</v>
      </c>
      <c r="G1996" s="228" t="str">
        <f t="shared" ca="1" si="1640"/>
        <v xml:space="preserve">   GERENCIAMENTO EXECUTIVO</v>
      </c>
      <c r="H1996" s="230">
        <f t="shared" ca="1" si="1635"/>
        <v>18</v>
      </c>
      <c r="I1996" s="228" t="str">
        <f t="shared" ca="1" si="1641"/>
        <v xml:space="preserve">   LOUÇAS E METAIS</v>
      </c>
      <c r="J1996" s="230">
        <f t="shared" ca="1" si="1636"/>
        <v>3</v>
      </c>
      <c r="K1996" s="228" t="str">
        <f t="shared" ca="1" si="1642"/>
        <v xml:space="preserve">   LOUÇAS E METAIS - 3º  ao 7º PAVIMENTO - TIPO</v>
      </c>
      <c r="L1996" s="231">
        <f t="shared" ca="1" si="1637"/>
        <v>1</v>
      </c>
      <c r="M1996" s="228" t="str">
        <f t="shared" ca="1" si="1643"/>
        <v xml:space="preserve">   Aparelhos Sanitários - Louças - Metais e Acessórios</v>
      </c>
      <c r="N1996" s="231">
        <f t="shared" ca="1" si="1638"/>
        <v>1</v>
      </c>
      <c r="O1996" s="228" t="str">
        <f t="shared" ca="1" si="1644"/>
        <v>Bacia com Caixa Acoplada</v>
      </c>
      <c r="P1996" s="232" t="str">
        <f>IF(S1996="","",IF(Orçamento!$B1996="INSUMO",S1996,""))</f>
        <v/>
      </c>
      <c r="Q1996" s="244" t="str">
        <f t="shared" si="1645"/>
        <v>Bacia com Caixa Acoplada</v>
      </c>
      <c r="R1996" s="234">
        <f t="shared" ca="1" si="1646"/>
        <v>35</v>
      </c>
      <c r="S1996" s="233" t="s">
        <v>834</v>
      </c>
      <c r="T1996" s="242" t="s">
        <v>142</v>
      </c>
      <c r="U1996" s="235">
        <v>35</v>
      </c>
      <c r="V1996" s="320" t="s">
        <v>35</v>
      </c>
      <c r="W1996" s="236" t="str">
        <f>IFERROR(IF(B1996="INSUMO",_xlfn.XLOOKUP(S1996,Insumos!A:A,Insumos!C:C),""),"Inserir Preço")</f>
        <v/>
      </c>
      <c r="X1996" s="235">
        <f t="shared" ca="1" si="1647"/>
        <v>35</v>
      </c>
      <c r="Y1996" s="236">
        <f t="shared" ca="1" si="1622"/>
        <v>471.46600000000001</v>
      </c>
      <c r="Z1996" s="237">
        <f t="shared" ref="Z1996:Z2059" ca="1" si="1649">IFERROR(IF(B1996="Unidade Construtiva",SUMIFS(Z:Z,B:B,"Célula Construtiva",G:G,G1996),IF(B1996="célula construtiva",SUMIFS(Z:Z,B:B,"Insumo",I:I,I1996,G:G,G1996),IF(B1996="ETAPA",SUMIFS(Z:Z,B:B,"Insumo",K:K,K1996,I:I,I1996,G:G,G1996),IF(B1996="subetapa",SUMIFS(Z:Z,M:M,M1996,B:B,"insumo",K:K,K1996,I:I,I1996,G:G,G1996),IF(B1996="complemento do insumo",V1996*W1996,IF(B1996="INSUMO",R1996*V1996*W1996,X1996*Y1996)))))),"")</f>
        <v>16501.310000000001</v>
      </c>
      <c r="AA1996" s="238"/>
      <c r="AB1996" s="233" t="str">
        <f>IF(B1996="insumo",_xlfn.XLOOKUP(S1996,Insumos!A:A,Insumos!D:D),"")</f>
        <v/>
      </c>
      <c r="AC1996" s="239">
        <f t="shared" ref="AC1996:AC2059" ca="1" si="1650">IFERROR(IF(B1996="","",Z1996/SUMIF(B:B,"INSUMO",Z:Z)),0)</f>
        <v>2.3672633653181547E-3</v>
      </c>
      <c r="AE1996" s="240">
        <f ca="1">IFERROR(IF(OR(Z1996="",Z1996=0),"",IF(AF1996="","",IF(AF1996="R$/mês",Z1996/OBRA!$D$12,IF(AF1996="R$/m²",Z1996/OBRA!$D$10,IF(AF1996="R$/apto",Orçamento!Z1996/OBRA!$D$11,""))))),"")</f>
        <v>8.4916916679960686</v>
      </c>
      <c r="AF1996" s="241" t="s">
        <v>154</v>
      </c>
    </row>
    <row r="1997" spans="1:32" s="10" customFormat="1" ht="13.15" hidden="1" customHeight="1" outlineLevel="4" x14ac:dyDescent="0.2">
      <c r="A1997" s="227"/>
      <c r="B1997" s="228" t="s">
        <v>19</v>
      </c>
      <c r="C1997" s="229">
        <f t="shared" si="1648"/>
        <v>3</v>
      </c>
      <c r="D1997" s="227" t="str">
        <f t="shared" si="1633"/>
        <v/>
      </c>
      <c r="E1997" s="228" t="str">
        <f t="shared" ca="1" si="1634"/>
        <v>18.003.001.001</v>
      </c>
      <c r="F1997" s="230">
        <f ca="1">IF($B1997="UNIDADE CONSTRUTIVA",OFFSET(F1997,-1,0)+1,LARGE(F$10:F1996,1))</f>
        <v>2</v>
      </c>
      <c r="G1997" s="228" t="str">
        <f t="shared" ca="1" si="1640"/>
        <v xml:space="preserve">   GERENCIAMENTO EXECUTIVO</v>
      </c>
      <c r="H1997" s="230">
        <f t="shared" ca="1" si="1635"/>
        <v>18</v>
      </c>
      <c r="I1997" s="228" t="str">
        <f t="shared" ca="1" si="1641"/>
        <v xml:space="preserve">   LOUÇAS E METAIS</v>
      </c>
      <c r="J1997" s="230">
        <f t="shared" ca="1" si="1636"/>
        <v>3</v>
      </c>
      <c r="K1997" s="228" t="str">
        <f t="shared" ca="1" si="1642"/>
        <v xml:space="preserve">   LOUÇAS E METAIS - 3º  ao 7º PAVIMENTO - TIPO</v>
      </c>
      <c r="L1997" s="231">
        <f t="shared" ca="1" si="1637"/>
        <v>1</v>
      </c>
      <c r="M1997" s="228" t="str">
        <f t="shared" ca="1" si="1643"/>
        <v xml:space="preserve">   Aparelhos Sanitários - Louças - Metais e Acessórios</v>
      </c>
      <c r="N1997" s="231">
        <f t="shared" ca="1" si="1638"/>
        <v>1</v>
      </c>
      <c r="O1997" s="228" t="str">
        <f t="shared" ca="1" si="1644"/>
        <v>Bacia com Caixa Acoplada</v>
      </c>
      <c r="P1997" s="232" t="str">
        <f>IF(S1997="","",IF(Orçamento!$B1997="INSUMO",S1997,""))</f>
        <v>BACIA SANITARIA LOUCA P/CAIXA ACOPLADA</v>
      </c>
      <c r="Q1997" s="244" t="str">
        <f t="shared" si="1645"/>
        <v/>
      </c>
      <c r="R1997" s="234">
        <f t="shared" ca="1" si="1646"/>
        <v>35</v>
      </c>
      <c r="S1997" s="233" t="s">
        <v>835</v>
      </c>
      <c r="T1997" s="242" t="str">
        <f>_xlfn.XLOOKUP(S1997,Insumos!$A$3:$A$371,Insumos!$B$3:$B$371)</f>
        <v>un</v>
      </c>
      <c r="U1997" s="235">
        <f t="shared" ref="U1997:U2004" ca="1" si="1651">IF($B1997="insumo",R1997,"")</f>
        <v>35</v>
      </c>
      <c r="V1997" s="320">
        <v>1</v>
      </c>
      <c r="W1997" s="236">
        <f>IFERROR(IF(B1997="INSUMO",_xlfn.XLOOKUP(S1997,Insumos!A:A,Insumos!C:C),""),"Inserir Preço")</f>
        <v>285</v>
      </c>
      <c r="X1997" s="235">
        <f t="shared" ca="1" si="1647"/>
        <v>35</v>
      </c>
      <c r="Y1997" s="236">
        <f t="shared" si="1622"/>
        <v>285</v>
      </c>
      <c r="Z1997" s="237">
        <f t="shared" ca="1" si="1649"/>
        <v>9975</v>
      </c>
      <c r="AA1997" s="238"/>
      <c r="AB1997" s="233" t="str">
        <f>IF(B1997="insumo",_xlfn.XLOOKUP(S1997,Insumos!A:A,Insumos!D:D),"")</f>
        <v>Base de Dados</v>
      </c>
      <c r="AC1997" s="239">
        <f t="shared" ca="1" si="1650"/>
        <v>1.431004694115109E-3</v>
      </c>
      <c r="AE1997" s="240">
        <f ca="1">IFERROR(IF(OR(Z1997="",Z1997=0),"",IF(AF1997="","",IF(AF1997="R$/mês",Z1997/OBRA!$D$12,IF(AF1997="R$/m²",Z1997/OBRA!$D$10,IF(AF1997="R$/apto",Orçamento!Z1997/OBRA!$D$11,""))))),"")</f>
        <v>5.1332060538381974</v>
      </c>
      <c r="AF1997" s="241" t="s">
        <v>154</v>
      </c>
    </row>
    <row r="1998" spans="1:32" s="10" customFormat="1" ht="13.15" hidden="1" customHeight="1" outlineLevel="4" x14ac:dyDescent="0.2">
      <c r="A1998" s="227"/>
      <c r="B1998" s="228" t="s">
        <v>19</v>
      </c>
      <c r="C1998" s="229">
        <f t="shared" si="1648"/>
        <v>3</v>
      </c>
      <c r="D1998" s="227" t="str">
        <f t="shared" si="1633"/>
        <v/>
      </c>
      <c r="E1998" s="228" t="str">
        <f t="shared" ca="1" si="1634"/>
        <v>18.003.001.001</v>
      </c>
      <c r="F1998" s="230">
        <f ca="1">IF($B1998="UNIDADE CONSTRUTIVA",OFFSET(F1998,-1,0)+1,LARGE(F$10:F1997,1))</f>
        <v>2</v>
      </c>
      <c r="G1998" s="228" t="str">
        <f t="shared" ca="1" si="1640"/>
        <v xml:space="preserve">   GERENCIAMENTO EXECUTIVO</v>
      </c>
      <c r="H1998" s="230">
        <f t="shared" ca="1" si="1635"/>
        <v>18</v>
      </c>
      <c r="I1998" s="228" t="str">
        <f t="shared" ca="1" si="1641"/>
        <v xml:space="preserve">   LOUÇAS E METAIS</v>
      </c>
      <c r="J1998" s="230">
        <f t="shared" ca="1" si="1636"/>
        <v>3</v>
      </c>
      <c r="K1998" s="228" t="str">
        <f t="shared" ca="1" si="1642"/>
        <v xml:space="preserve">   LOUÇAS E METAIS - 3º  ao 7º PAVIMENTO - TIPO</v>
      </c>
      <c r="L1998" s="231">
        <f t="shared" ca="1" si="1637"/>
        <v>1</v>
      </c>
      <c r="M1998" s="228" t="str">
        <f t="shared" ca="1" si="1643"/>
        <v xml:space="preserve">   Aparelhos Sanitários - Louças - Metais e Acessórios</v>
      </c>
      <c r="N1998" s="231">
        <f t="shared" ca="1" si="1638"/>
        <v>1</v>
      </c>
      <c r="O1998" s="228" t="str">
        <f t="shared" ca="1" si="1644"/>
        <v>Bacia com Caixa Acoplada</v>
      </c>
      <c r="P1998" s="232" t="str">
        <f>IF(S1998="","",IF(Orçamento!$B1998="INSUMO",S1998,""))</f>
        <v>CAIXA ACOPLADA LOUCA P/DESCARGA</v>
      </c>
      <c r="Q1998" s="244" t="str">
        <f t="shared" si="1645"/>
        <v/>
      </c>
      <c r="R1998" s="234">
        <f t="shared" ca="1" si="1646"/>
        <v>35</v>
      </c>
      <c r="S1998" s="233" t="s">
        <v>836</v>
      </c>
      <c r="T1998" s="242" t="str">
        <f>_xlfn.XLOOKUP(S1998,Insumos!$A$3:$A$371,Insumos!$B$3:$B$371)</f>
        <v>un</v>
      </c>
      <c r="U1998" s="235">
        <f t="shared" ca="1" si="1651"/>
        <v>35</v>
      </c>
      <c r="V1998" s="320">
        <v>1</v>
      </c>
      <c r="W1998" s="236">
        <f>IFERROR(IF(B1998="INSUMO",_xlfn.XLOOKUP(S1998,Insumos!A:A,Insumos!C:C),""),"Inserir Preço")</f>
        <v>130.49</v>
      </c>
      <c r="X1998" s="235">
        <f t="shared" ca="1" si="1647"/>
        <v>35</v>
      </c>
      <c r="Y1998" s="236">
        <f t="shared" si="1622"/>
        <v>130.49</v>
      </c>
      <c r="Z1998" s="237">
        <f t="shared" ca="1" si="1649"/>
        <v>4567.1500000000005</v>
      </c>
      <c r="AA1998" s="238"/>
      <c r="AB1998" s="233" t="str">
        <f>IF(B1998="insumo",_xlfn.XLOOKUP(S1998,Insumos!A:A,Insumos!D:D),"")</f>
        <v>Base de Dados</v>
      </c>
      <c r="AC1998" s="239">
        <f t="shared" ca="1" si="1650"/>
        <v>6.5519930714063365E-4</v>
      </c>
      <c r="AE1998" s="240">
        <f ca="1">IFERROR(IF(OR(Z1998="",Z1998=0),"",IF(AF1998="","",IF(AF1998="R$/mês",Z1998/OBRA!$D$12,IF(AF1998="R$/m²",Z1998/OBRA!$D$10,IF(AF1998="R$/apto",Orçamento!Z1998/OBRA!$D$11,""))))),"")</f>
        <v>2.3502879226854261</v>
      </c>
      <c r="AF1998" s="241" t="s">
        <v>154</v>
      </c>
    </row>
    <row r="1999" spans="1:32" s="10" customFormat="1" ht="13.15" hidden="1" customHeight="1" outlineLevel="4" x14ac:dyDescent="0.2">
      <c r="A1999" s="227"/>
      <c r="B1999" s="228" t="s">
        <v>19</v>
      </c>
      <c r="C1999" s="229">
        <f t="shared" si="1648"/>
        <v>3</v>
      </c>
      <c r="D1999" s="227" t="str">
        <f t="shared" si="1633"/>
        <v/>
      </c>
      <c r="E1999" s="228" t="str">
        <f t="shared" ca="1" si="1634"/>
        <v>18.003.001.001</v>
      </c>
      <c r="F1999" s="230">
        <f ca="1">IF($B1999="UNIDADE CONSTRUTIVA",OFFSET(F1999,-1,0)+1,LARGE(F$10:F1998,1))</f>
        <v>2</v>
      </c>
      <c r="G1999" s="228" t="str">
        <f t="shared" ca="1" si="1640"/>
        <v xml:space="preserve">   GERENCIAMENTO EXECUTIVO</v>
      </c>
      <c r="H1999" s="230">
        <f t="shared" ca="1" si="1635"/>
        <v>18</v>
      </c>
      <c r="I1999" s="228" t="str">
        <f t="shared" ca="1" si="1641"/>
        <v xml:space="preserve">   LOUÇAS E METAIS</v>
      </c>
      <c r="J1999" s="230">
        <f t="shared" ca="1" si="1636"/>
        <v>3</v>
      </c>
      <c r="K1999" s="228" t="str">
        <f t="shared" ca="1" si="1642"/>
        <v xml:space="preserve">   LOUÇAS E METAIS - 3º  ao 7º PAVIMENTO - TIPO</v>
      </c>
      <c r="L1999" s="231">
        <f t="shared" ca="1" si="1637"/>
        <v>1</v>
      </c>
      <c r="M1999" s="228" t="str">
        <f t="shared" ca="1" si="1643"/>
        <v xml:space="preserve">   Aparelhos Sanitários - Louças - Metais e Acessórios</v>
      </c>
      <c r="N1999" s="231">
        <f t="shared" ca="1" si="1638"/>
        <v>1</v>
      </c>
      <c r="O1999" s="228" t="str">
        <f t="shared" ca="1" si="1644"/>
        <v>Bacia com Caixa Acoplada</v>
      </c>
      <c r="P1999" s="232" t="str">
        <f>IF(S1999="","",IF(Orçamento!$B1999="INSUMO",S1999,""))</f>
        <v>ANEL VEDACAO C/GUIA P/VASO SANITARIO 4"</v>
      </c>
      <c r="Q1999" s="244" t="str">
        <f t="shared" si="1645"/>
        <v/>
      </c>
      <c r="R1999" s="234">
        <f t="shared" ca="1" si="1646"/>
        <v>35</v>
      </c>
      <c r="S1999" s="233" t="s">
        <v>837</v>
      </c>
      <c r="T1999" s="242" t="str">
        <f>_xlfn.XLOOKUP(S1999,Insumos!$A$3:$A$371,Insumos!$B$3:$B$371)</f>
        <v>un</v>
      </c>
      <c r="U1999" s="235">
        <f t="shared" ca="1" si="1651"/>
        <v>35</v>
      </c>
      <c r="V1999" s="320">
        <v>1</v>
      </c>
      <c r="W1999" s="236">
        <f>IFERROR(IF(B1999="INSUMO",_xlfn.XLOOKUP(S1999,Insumos!A:A,Insumos!C:C),""),"Inserir Preço")</f>
        <v>15.9</v>
      </c>
      <c r="X1999" s="235">
        <f t="shared" ca="1" si="1647"/>
        <v>35</v>
      </c>
      <c r="Y1999" s="236">
        <f t="shared" si="1622"/>
        <v>15.9</v>
      </c>
      <c r="Z1999" s="237">
        <f t="shared" ca="1" si="1649"/>
        <v>556.5</v>
      </c>
      <c r="AA1999" s="238"/>
      <c r="AB1999" s="233" t="str">
        <f>IF(B1999="insumo",_xlfn.XLOOKUP(S1999,Insumos!A:A,Insumos!D:D),"")</f>
        <v>Base de Dados</v>
      </c>
      <c r="AC1999" s="239">
        <f t="shared" ca="1" si="1650"/>
        <v>7.9834998724316608E-5</v>
      </c>
      <c r="AE1999" s="240">
        <f ca="1">IFERROR(IF(OR(Z1999="",Z1999=0),"",IF(AF1999="","",IF(AF1999="R$/mês",Z1999/OBRA!$D$12,IF(AF1999="R$/m²",Z1999/OBRA!$D$10,IF(AF1999="R$/apto",Orçamento!Z1999/OBRA!$D$11,""))))),"")</f>
        <v>0.28637886405623625</v>
      </c>
      <c r="AF1999" s="241" t="s">
        <v>154</v>
      </c>
    </row>
    <row r="2000" spans="1:32" s="10" customFormat="1" ht="13.15" hidden="1" customHeight="1" outlineLevel="4" x14ac:dyDescent="0.2">
      <c r="A2000" s="227"/>
      <c r="B2000" s="228" t="s">
        <v>19</v>
      </c>
      <c r="C2000" s="229">
        <f t="shared" si="1648"/>
        <v>6</v>
      </c>
      <c r="D2000" s="227" t="str">
        <f t="shared" si="1633"/>
        <v/>
      </c>
      <c r="E2000" s="228" t="str">
        <f t="shared" ca="1" si="1634"/>
        <v>18.003.001.001</v>
      </c>
      <c r="F2000" s="230">
        <f ca="1">IF($B2000="UNIDADE CONSTRUTIVA",OFFSET(F2000,-1,0)+1,LARGE(F$10:F1999,1))</f>
        <v>2</v>
      </c>
      <c r="G2000" s="228" t="str">
        <f t="shared" ca="1" si="1640"/>
        <v xml:space="preserve">   GERENCIAMENTO EXECUTIVO</v>
      </c>
      <c r="H2000" s="230">
        <f t="shared" ca="1" si="1635"/>
        <v>18</v>
      </c>
      <c r="I2000" s="228" t="str">
        <f t="shared" ca="1" si="1641"/>
        <v xml:space="preserve">   LOUÇAS E METAIS</v>
      </c>
      <c r="J2000" s="230">
        <f t="shared" ca="1" si="1636"/>
        <v>3</v>
      </c>
      <c r="K2000" s="228" t="str">
        <f t="shared" ca="1" si="1642"/>
        <v xml:space="preserve">   LOUÇAS E METAIS - 3º  ao 7º PAVIMENTO - TIPO</v>
      </c>
      <c r="L2000" s="231">
        <f t="shared" ca="1" si="1637"/>
        <v>1</v>
      </c>
      <c r="M2000" s="228" t="str">
        <f t="shared" ca="1" si="1643"/>
        <v xml:space="preserve">   Aparelhos Sanitários - Louças - Metais e Acessórios</v>
      </c>
      <c r="N2000" s="231">
        <f t="shared" ca="1" si="1638"/>
        <v>1</v>
      </c>
      <c r="O2000" s="228" t="str">
        <f t="shared" ca="1" si="1644"/>
        <v>Bacia com Caixa Acoplada</v>
      </c>
      <c r="P2000" s="232" t="str">
        <f>IF(S2000="","",IF(Orçamento!$B2000="INSUMO",S2000,""))</f>
        <v>ENGATE FLEXIVEL PVC 1/2"X30CM NBR 14878</v>
      </c>
      <c r="Q2000" s="244" t="str">
        <f t="shared" si="1645"/>
        <v/>
      </c>
      <c r="R2000" s="234">
        <f t="shared" ca="1" si="1646"/>
        <v>35</v>
      </c>
      <c r="S2000" s="233" t="s">
        <v>838</v>
      </c>
      <c r="T2000" s="242" t="str">
        <f>_xlfn.XLOOKUP(S2000,Insumos!$A$3:$A$371,Insumos!$B$3:$B$371)</f>
        <v>un</v>
      </c>
      <c r="U2000" s="235">
        <f t="shared" ca="1" si="1651"/>
        <v>35</v>
      </c>
      <c r="V2000" s="320">
        <v>1</v>
      </c>
      <c r="W2000" s="236">
        <f>IFERROR(IF(B2000="INSUMO",_xlfn.XLOOKUP(S2000,Insumos!A:A,Insumos!C:C),""),"Inserir Preço")</f>
        <v>14.75</v>
      </c>
      <c r="X2000" s="235">
        <f t="shared" ca="1" si="1647"/>
        <v>35</v>
      </c>
      <c r="Y2000" s="236">
        <f t="shared" si="1622"/>
        <v>14.75</v>
      </c>
      <c r="Z2000" s="237">
        <f t="shared" ca="1" si="1649"/>
        <v>516.25</v>
      </c>
      <c r="AA2000" s="238"/>
      <c r="AB2000" s="233" t="str">
        <f>IF(B2000="insumo",_xlfn.XLOOKUP(S2000,Insumos!A:A,Insumos!D:D),"")</f>
        <v>Base de Dados</v>
      </c>
      <c r="AC2000" s="239">
        <f t="shared" ca="1" si="1650"/>
        <v>7.4060769256834589E-5</v>
      </c>
      <c r="AE2000" s="240">
        <f ca="1">IFERROR(IF(OR(Z2000="",Z2000=0),"",IF(AF2000="","",IF(AF2000="R$/mês",Z2000/OBRA!$D$12,IF(AF2000="R$/m²",Z2000/OBRA!$D$10,IF(AF2000="R$/apto",Orçamento!Z2000/OBRA!$D$11,""))))),"")</f>
        <v>0.26566592734776634</v>
      </c>
      <c r="AF2000" s="241" t="s">
        <v>154</v>
      </c>
    </row>
    <row r="2001" spans="1:32" s="10" customFormat="1" ht="13.15" hidden="1" customHeight="1" outlineLevel="4" x14ac:dyDescent="0.2">
      <c r="A2001" s="227"/>
      <c r="B2001" s="228" t="s">
        <v>19</v>
      </c>
      <c r="C2001" s="229">
        <f t="shared" si="1648"/>
        <v>4</v>
      </c>
      <c r="D2001" s="227" t="str">
        <f t="shared" si="1633"/>
        <v/>
      </c>
      <c r="E2001" s="228" t="str">
        <f t="shared" ca="1" si="1634"/>
        <v>18.003.001.001</v>
      </c>
      <c r="F2001" s="230">
        <f ca="1">IF($B2001="UNIDADE CONSTRUTIVA",OFFSET(F2001,-1,0)+1,LARGE(F$10:F2000,1))</f>
        <v>2</v>
      </c>
      <c r="G2001" s="228" t="str">
        <f t="shared" ca="1" si="1640"/>
        <v xml:space="preserve">   GERENCIAMENTO EXECUTIVO</v>
      </c>
      <c r="H2001" s="230">
        <f t="shared" ca="1" si="1635"/>
        <v>18</v>
      </c>
      <c r="I2001" s="228" t="str">
        <f t="shared" ca="1" si="1641"/>
        <v xml:space="preserve">   LOUÇAS E METAIS</v>
      </c>
      <c r="J2001" s="230">
        <f t="shared" ca="1" si="1636"/>
        <v>3</v>
      </c>
      <c r="K2001" s="228" t="str">
        <f t="shared" ca="1" si="1642"/>
        <v xml:space="preserve">   LOUÇAS E METAIS - 3º  ao 7º PAVIMENTO - TIPO</v>
      </c>
      <c r="L2001" s="231">
        <f t="shared" ca="1" si="1637"/>
        <v>1</v>
      </c>
      <c r="M2001" s="228" t="str">
        <f t="shared" ca="1" si="1643"/>
        <v xml:space="preserve">   Aparelhos Sanitários - Louças - Metais e Acessórios</v>
      </c>
      <c r="N2001" s="231">
        <f t="shared" ca="1" si="1638"/>
        <v>1</v>
      </c>
      <c r="O2001" s="228" t="str">
        <f t="shared" ca="1" si="1644"/>
        <v>Bacia com Caixa Acoplada</v>
      </c>
      <c r="P2001" s="232" t="str">
        <f>IF(S2001="","",IF(Orçamento!$B2001="INSUMO",S2001,""))</f>
        <v>PARAFUSO ACO CARBONO CAB. CASTELO ARRUELA E BUCHA S08</v>
      </c>
      <c r="Q2001" s="244" t="str">
        <f t="shared" si="1645"/>
        <v/>
      </c>
      <c r="R2001" s="234">
        <f t="shared" ca="1" si="1646"/>
        <v>35</v>
      </c>
      <c r="S2001" s="233" t="s">
        <v>839</v>
      </c>
      <c r="T2001" s="242" t="str">
        <f>_xlfn.XLOOKUP(S2001,Insumos!$A$3:$A$371,Insumos!$B$3:$B$371)</f>
        <v>UN</v>
      </c>
      <c r="U2001" s="235">
        <f t="shared" ca="1" si="1651"/>
        <v>35</v>
      </c>
      <c r="V2001" s="320">
        <v>4</v>
      </c>
      <c r="W2001" s="236">
        <f>IFERROR(IF(B2001="INSUMO",_xlfn.XLOOKUP(S2001,Insumos!A:A,Insumos!C:C),""),"Inserir Preço")</f>
        <v>1.4</v>
      </c>
      <c r="X2001" s="235">
        <f t="shared" ca="1" si="1647"/>
        <v>140</v>
      </c>
      <c r="Y2001" s="236">
        <f t="shared" si="1622"/>
        <v>5.6</v>
      </c>
      <c r="Z2001" s="237">
        <f t="shared" ca="1" si="1649"/>
        <v>196</v>
      </c>
      <c r="AA2001" s="238"/>
      <c r="AB2001" s="233" t="str">
        <f>IF(B2001="insumo",_xlfn.XLOOKUP(S2001,Insumos!A:A,Insumos!D:D),"")</f>
        <v>Base de Dados</v>
      </c>
      <c r="AC2001" s="239">
        <f t="shared" ca="1" si="1650"/>
        <v>2.8117986972086353E-5</v>
      </c>
      <c r="AE2001" s="240">
        <f ca="1">IFERROR(IF(OR(Z2001="",Z2001=0),"",IF(AF2001="","",IF(AF2001="R$/mês",Z2001/OBRA!$D$12,IF(AF2001="R$/m²",Z2001/OBRA!$D$10,IF(AF2001="R$/apto",Orçamento!Z2001/OBRA!$D$11,""))))),"")</f>
        <v>0.10086299614559265</v>
      </c>
      <c r="AF2001" s="241" t="s">
        <v>154</v>
      </c>
    </row>
    <row r="2002" spans="1:32" s="10" customFormat="1" ht="13.15" hidden="1" customHeight="1" outlineLevel="4" x14ac:dyDescent="0.2">
      <c r="A2002" s="227"/>
      <c r="B2002" s="228" t="s">
        <v>19</v>
      </c>
      <c r="C2002" s="229">
        <f t="shared" si="1648"/>
        <v>7</v>
      </c>
      <c r="D2002" s="227" t="str">
        <f t="shared" si="1633"/>
        <v/>
      </c>
      <c r="E2002" s="228" t="str">
        <f t="shared" ca="1" si="1634"/>
        <v>18.003.001.001</v>
      </c>
      <c r="F2002" s="230">
        <f ca="1">IF($B2002="UNIDADE CONSTRUTIVA",OFFSET(F2002,-1,0)+1,LARGE(F$10:F2001,1))</f>
        <v>2</v>
      </c>
      <c r="G2002" s="228" t="str">
        <f t="shared" ca="1" si="1640"/>
        <v xml:space="preserve">   GERENCIAMENTO EXECUTIVO</v>
      </c>
      <c r="H2002" s="230">
        <f t="shared" ca="1" si="1635"/>
        <v>18</v>
      </c>
      <c r="I2002" s="228" t="str">
        <f t="shared" ca="1" si="1641"/>
        <v xml:space="preserve">   LOUÇAS E METAIS</v>
      </c>
      <c r="J2002" s="230">
        <f t="shared" ca="1" si="1636"/>
        <v>3</v>
      </c>
      <c r="K2002" s="228" t="str">
        <f t="shared" ca="1" si="1642"/>
        <v xml:space="preserve">   LOUÇAS E METAIS - 3º  ao 7º PAVIMENTO - TIPO</v>
      </c>
      <c r="L2002" s="231">
        <f t="shared" ca="1" si="1637"/>
        <v>1</v>
      </c>
      <c r="M2002" s="228" t="str">
        <f t="shared" ca="1" si="1643"/>
        <v xml:space="preserve">   Aparelhos Sanitários - Louças - Metais e Acessórios</v>
      </c>
      <c r="N2002" s="231">
        <f t="shared" ca="1" si="1638"/>
        <v>1</v>
      </c>
      <c r="O2002" s="228" t="str">
        <f t="shared" ca="1" si="1644"/>
        <v>Bacia com Caixa Acoplada</v>
      </c>
      <c r="P2002" s="232" t="str">
        <f>IF(S2002="","",IF(Orçamento!$B2002="INSUMO",S2002,""))</f>
        <v>FITA VEDA ROSCA 18MMX50M NBR 13124</v>
      </c>
      <c r="Q2002" s="244" t="str">
        <f t="shared" si="1645"/>
        <v/>
      </c>
      <c r="R2002" s="234">
        <f t="shared" ca="1" si="1646"/>
        <v>35</v>
      </c>
      <c r="S2002" s="233" t="s">
        <v>840</v>
      </c>
      <c r="T2002" s="242" t="str">
        <f>_xlfn.XLOOKUP(S2002,Insumos!$A$3:$A$371,Insumos!$B$3:$B$371)</f>
        <v>UN</v>
      </c>
      <c r="U2002" s="235">
        <f t="shared" ca="1" si="1651"/>
        <v>35</v>
      </c>
      <c r="V2002" s="320">
        <v>0.84</v>
      </c>
      <c r="W2002" s="236">
        <f>IFERROR(IF(B2002="INSUMO",_xlfn.XLOOKUP(S2002,Insumos!A:A,Insumos!C:C),""),"Inserir Preço")</f>
        <v>6.56</v>
      </c>
      <c r="X2002" s="235">
        <f t="shared" ca="1" si="1647"/>
        <v>29.4</v>
      </c>
      <c r="Y2002" s="236">
        <f t="shared" si="1622"/>
        <v>5.5103999999999997</v>
      </c>
      <c r="Z2002" s="237">
        <f t="shared" ca="1" si="1649"/>
        <v>192.86399999999998</v>
      </c>
      <c r="AA2002" s="238"/>
      <c r="AB2002" s="233" t="str">
        <f>IF(B2002="insumo",_xlfn.XLOOKUP(S2002,Insumos!A:A,Insumos!D:D),"")</f>
        <v xml:space="preserve"> </v>
      </c>
      <c r="AC2002" s="239">
        <f t="shared" ca="1" si="1650"/>
        <v>2.7668099180532968E-5</v>
      </c>
      <c r="AE2002" s="240">
        <f ca="1">IFERROR(IF(OR(Z2002="",Z2002=0),"",IF(AF2002="","",IF(AF2002="R$/mês",Z2002/OBRA!$D$12,IF(AF2002="R$/m²",Z2002/OBRA!$D$10,IF(AF2002="R$/apto",Orçamento!Z2002/OBRA!$D$11,""))))),"")</f>
        <v>9.9249188207263153E-2</v>
      </c>
      <c r="AF2002" s="241" t="s">
        <v>154</v>
      </c>
    </row>
    <row r="2003" spans="1:32" s="10" customFormat="1" ht="13.15" hidden="1" customHeight="1" outlineLevel="4" x14ac:dyDescent="0.2">
      <c r="A2003" s="227"/>
      <c r="B2003" s="228" t="s">
        <v>19</v>
      </c>
      <c r="C2003" s="229">
        <f t="shared" si="1648"/>
        <v>7</v>
      </c>
      <c r="D2003" s="227" t="str">
        <f t="shared" si="1633"/>
        <v/>
      </c>
      <c r="E2003" s="228" t="str">
        <f t="shared" ca="1" si="1634"/>
        <v>18.003.001.001</v>
      </c>
      <c r="F2003" s="230">
        <f ca="1">IF($B2003="UNIDADE CONSTRUTIVA",OFFSET(F2003,-1,0)+1,LARGE(F$10:F2002,1))</f>
        <v>2</v>
      </c>
      <c r="G2003" s="228" t="str">
        <f t="shared" ca="1" si="1640"/>
        <v xml:space="preserve">   GERENCIAMENTO EXECUTIVO</v>
      </c>
      <c r="H2003" s="230">
        <f t="shared" ca="1" si="1635"/>
        <v>18</v>
      </c>
      <c r="I2003" s="228" t="str">
        <f t="shared" ca="1" si="1641"/>
        <v xml:space="preserve">   LOUÇAS E METAIS</v>
      </c>
      <c r="J2003" s="230">
        <f t="shared" ca="1" si="1636"/>
        <v>3</v>
      </c>
      <c r="K2003" s="228" t="str">
        <f t="shared" ca="1" si="1642"/>
        <v xml:space="preserve">   LOUÇAS E METAIS - 3º  ao 7º PAVIMENTO - TIPO</v>
      </c>
      <c r="L2003" s="231">
        <f t="shared" ca="1" si="1637"/>
        <v>1</v>
      </c>
      <c r="M2003" s="228" t="str">
        <f t="shared" ca="1" si="1643"/>
        <v xml:space="preserve">   Aparelhos Sanitários - Louças - Metais e Acessórios</v>
      </c>
      <c r="N2003" s="231">
        <f t="shared" ca="1" si="1638"/>
        <v>1</v>
      </c>
      <c r="O2003" s="228" t="str">
        <f t="shared" ca="1" si="1644"/>
        <v>Bacia com Caixa Acoplada</v>
      </c>
      <c r="P2003" s="232" t="str">
        <f>IF(S2003="","",IF(Orçamento!$B2003="INSUMO",S2003,""))</f>
        <v>MASSA PLASTICA BRANCA BI-COMPONENTE POLIESTER 400G</v>
      </c>
      <c r="Q2003" s="244" t="str">
        <f t="shared" si="1645"/>
        <v/>
      </c>
      <c r="R2003" s="234">
        <f t="shared" ca="1" si="1646"/>
        <v>35</v>
      </c>
      <c r="S2003" s="233" t="s">
        <v>841</v>
      </c>
      <c r="T2003" s="242" t="str">
        <f>_xlfn.XLOOKUP(S2003,Insumos!$A$3:$A$371,Insumos!$B$3:$B$371)</f>
        <v>UN</v>
      </c>
      <c r="U2003" s="235">
        <f t="shared" ca="1" si="1651"/>
        <v>35</v>
      </c>
      <c r="V2003" s="320">
        <v>1</v>
      </c>
      <c r="W2003" s="236">
        <f>IFERROR(IF(B2003="INSUMO",_xlfn.XLOOKUP(S2003,Insumos!A:A,Insumos!C:C),""),"Inserir Preço")</f>
        <v>12.88</v>
      </c>
      <c r="X2003" s="235">
        <f t="shared" ca="1" si="1647"/>
        <v>35</v>
      </c>
      <c r="Y2003" s="236">
        <f t="shared" si="1622"/>
        <v>12.88</v>
      </c>
      <c r="Z2003" s="237">
        <f t="shared" ca="1" si="1649"/>
        <v>450.8</v>
      </c>
      <c r="AA2003" s="238"/>
      <c r="AB2003" s="233" t="str">
        <f>IF(B2003="insumo",_xlfn.XLOOKUP(S2003,Insumos!A:A,Insumos!D:D),"")</f>
        <v xml:space="preserve"> </v>
      </c>
      <c r="AC2003" s="239">
        <f t="shared" ca="1" si="1650"/>
        <v>6.4671370035798611E-5</v>
      </c>
      <c r="AE2003" s="240">
        <f ca="1">IFERROR(IF(OR(Z2003="",Z2003=0),"",IF(AF2003="","",IF(AF2003="R$/mês",Z2003/OBRA!$D$12,IF(AF2003="R$/m²",Z2003/OBRA!$D$10,IF(AF2003="R$/apto",Orçamento!Z2003/OBRA!$D$11,""))))),"")</f>
        <v>0.23198489113486309</v>
      </c>
      <c r="AF2003" s="241" t="s">
        <v>154</v>
      </c>
    </row>
    <row r="2004" spans="1:32" s="10" customFormat="1" ht="13.15" hidden="1" customHeight="1" outlineLevel="4" x14ac:dyDescent="0.2">
      <c r="A2004" s="227"/>
      <c r="B2004" s="228" t="s">
        <v>19</v>
      </c>
      <c r="C2004" s="229">
        <f t="shared" si="1648"/>
        <v>7</v>
      </c>
      <c r="D2004" s="227" t="str">
        <f t="shared" si="1633"/>
        <v/>
      </c>
      <c r="E2004" s="228" t="str">
        <f t="shared" ca="1" si="1634"/>
        <v>18.003.001.001</v>
      </c>
      <c r="F2004" s="230">
        <f ca="1">IF($B2004="UNIDADE CONSTRUTIVA",OFFSET(F2004,-1,0)+1,LARGE(F$10:F2003,1))</f>
        <v>2</v>
      </c>
      <c r="G2004" s="228" t="str">
        <f t="shared" ca="1" si="1640"/>
        <v xml:space="preserve">   GERENCIAMENTO EXECUTIVO</v>
      </c>
      <c r="H2004" s="230">
        <f t="shared" ca="1" si="1635"/>
        <v>18</v>
      </c>
      <c r="I2004" s="228" t="str">
        <f t="shared" ca="1" si="1641"/>
        <v xml:space="preserve">   LOUÇAS E METAIS</v>
      </c>
      <c r="J2004" s="230">
        <f t="shared" ca="1" si="1636"/>
        <v>3</v>
      </c>
      <c r="K2004" s="228" t="str">
        <f t="shared" ca="1" si="1642"/>
        <v xml:space="preserve">   LOUÇAS E METAIS - 3º  ao 7º PAVIMENTO - TIPO</v>
      </c>
      <c r="L2004" s="231">
        <f t="shared" ca="1" si="1637"/>
        <v>1</v>
      </c>
      <c r="M2004" s="228" t="str">
        <f t="shared" ca="1" si="1643"/>
        <v xml:space="preserve">   Aparelhos Sanitários - Louças - Metais e Acessórios</v>
      </c>
      <c r="N2004" s="231">
        <f t="shared" ca="1" si="1638"/>
        <v>1</v>
      </c>
      <c r="O2004" s="228" t="str">
        <f t="shared" ca="1" si="1644"/>
        <v>Bacia com Caixa Acoplada</v>
      </c>
      <c r="P2004" s="232" t="str">
        <f>IF(S2004="","",IF(Orçamento!$B2004="INSUMO",S2004,""))</f>
        <v>SELANTE PU40 BASE POLIURETANO BRANCO 280ML</v>
      </c>
      <c r="Q2004" s="244" t="str">
        <f t="shared" si="1645"/>
        <v/>
      </c>
      <c r="R2004" s="234">
        <f t="shared" ca="1" si="1646"/>
        <v>35</v>
      </c>
      <c r="S2004" s="233" t="s">
        <v>842</v>
      </c>
      <c r="T2004" s="242" t="str">
        <f>_xlfn.XLOOKUP(S2004,Insumos!$A$3:$A$371,Insumos!$B$3:$B$371)</f>
        <v>UN</v>
      </c>
      <c r="U2004" s="235">
        <f t="shared" ca="1" si="1651"/>
        <v>35</v>
      </c>
      <c r="V2004" s="320">
        <v>8.4000000000000005E-2</v>
      </c>
      <c r="W2004" s="236">
        <f>IFERROR(IF(B2004="INSUMO",_xlfn.XLOOKUP(S2004,Insumos!A:A,Insumos!C:C),""),"Inserir Preço")</f>
        <v>15.9</v>
      </c>
      <c r="X2004" s="235">
        <f t="shared" ca="1" si="1647"/>
        <v>2.9400000000000004</v>
      </c>
      <c r="Y2004" s="236">
        <f t="shared" si="1622"/>
        <v>1.3356000000000001</v>
      </c>
      <c r="Z2004" s="237">
        <f t="shared" ca="1" si="1649"/>
        <v>46.746000000000009</v>
      </c>
      <c r="AA2004" s="238"/>
      <c r="AB2004" s="233" t="str">
        <f>IF(B2004="insumo",_xlfn.XLOOKUP(S2004,Insumos!A:A,Insumos!D:D),"")</f>
        <v xml:space="preserve"> </v>
      </c>
      <c r="AC2004" s="239">
        <f t="shared" ca="1" si="1650"/>
        <v>6.7061398928425965E-6</v>
      </c>
      <c r="AE2004" s="240">
        <f ca="1">IFERROR(IF(OR(Z2004="",Z2004=0),"",IF(AF2004="","",IF(AF2004="R$/mês",Z2004/OBRA!$D$12,IF(AF2004="R$/m²",Z2004/OBRA!$D$10,IF(AF2004="R$/apto",Orçamento!Z2004/OBRA!$D$11,""))))),"")</f>
        <v>2.4055824580723851E-2</v>
      </c>
      <c r="AF2004" s="241" t="s">
        <v>154</v>
      </c>
    </row>
    <row r="2005" spans="1:32" s="10" customFormat="1" ht="13.15" hidden="1" customHeight="1" outlineLevel="3" collapsed="1" x14ac:dyDescent="0.2">
      <c r="A2005" s="227"/>
      <c r="B2005" s="228" t="s">
        <v>3</v>
      </c>
      <c r="C2005" s="229" t="str">
        <f t="shared" si="1648"/>
        <v/>
      </c>
      <c r="D2005" s="227" t="str">
        <f t="shared" ca="1" si="1633"/>
        <v>18.003.002</v>
      </c>
      <c r="E2005" s="228" t="str">
        <f t="shared" ca="1" si="1634"/>
        <v>18.003.001.001</v>
      </c>
      <c r="F2005" s="230">
        <f ca="1">IF($B2005="UNIDADE CONSTRUTIVA",OFFSET(F2005,-1,0)+1,LARGE(F$10:F2004,1))</f>
        <v>2</v>
      </c>
      <c r="G2005" s="228" t="str">
        <f ca="1">IF(B2005="*","",IF(B2005="UNIDADE CONSTRUTIVA",S2005,OFFSET(G2005,-1,0)))</f>
        <v xml:space="preserve">   GERENCIAMENTO EXECUTIVO</v>
      </c>
      <c r="H2005" s="230">
        <f t="shared" ca="1" si="1635"/>
        <v>18</v>
      </c>
      <c r="I2005" s="228" t="str">
        <f ca="1">IF(B2005="*","",IF(B2005="CÉLULA CONSTRUTIVA",S2005,OFFSET(I2005,-1,0)))</f>
        <v xml:space="preserve">   LOUÇAS E METAIS</v>
      </c>
      <c r="J2005" s="230">
        <f t="shared" ca="1" si="1636"/>
        <v>3</v>
      </c>
      <c r="K2005" s="228" t="str">
        <f ca="1">IF(B2005="*","",IF(B2005="ETAPA",S2005,OFFSET(K2005,-1,0)))</f>
        <v xml:space="preserve">   LOUÇAS E METAIS - 3º  ao 7º PAVIMENTO - TIPO</v>
      </c>
      <c r="L2005" s="231">
        <f t="shared" ca="1" si="1637"/>
        <v>2</v>
      </c>
      <c r="M2005" s="228" t="str">
        <f ca="1">IF(B2005="*","",IF(B2005="SUBETAPA",S2005,OFFSET(M2005,-1,0)))</f>
        <v xml:space="preserve">   Mão de Obra</v>
      </c>
      <c r="N2005" s="231">
        <f t="shared" ca="1" si="1638"/>
        <v>0</v>
      </c>
      <c r="O2005" s="228" t="str">
        <f ca="1">IF(B2005="*","",IF(B2005="SERVIÇO",S2005,OFFSET(O2005,-1,0)))</f>
        <v>Bacia com Caixa Acoplada</v>
      </c>
      <c r="P2005" s="232" t="str">
        <f>IF(S2005="","",IF(Orçamento!$B2005="INSUMO",S2005,""))</f>
        <v/>
      </c>
      <c r="Q2005" s="244" t="str">
        <f>IF(B2005="","",IF(B2005="Serviço",S2005,""))</f>
        <v/>
      </c>
      <c r="R2005" s="234">
        <f ca="1">IF(B2005="serviço",U2005,OFFSET(R2005,-1,0))</f>
        <v>35</v>
      </c>
      <c r="S2005" s="233" t="s">
        <v>438</v>
      </c>
      <c r="T2005" s="242" t="s">
        <v>35</v>
      </c>
      <c r="U2005" s="235" t="str">
        <f>IF($B2005="insumo",R2005,"")</f>
        <v/>
      </c>
      <c r="V2005" s="320" t="s">
        <v>35</v>
      </c>
      <c r="W2005" s="236" t="str">
        <f>IFERROR(IF(B2005="INSUMO",_xlfn.XLOOKUP(S2005,Insumos!A:A,Insumos!C:C),""),"Inserir Preço")</f>
        <v/>
      </c>
      <c r="X2005" s="235" t="str">
        <f t="shared" ca="1" si="1647"/>
        <v/>
      </c>
      <c r="Y2005" s="236" t="str">
        <f t="shared" si="1622"/>
        <v/>
      </c>
      <c r="Z2005" s="237">
        <f t="shared" ca="1" si="1649"/>
        <v>33743.280741740615</v>
      </c>
      <c r="AA2005" s="238"/>
      <c r="AB2005" s="233" t="str">
        <f>IF(B2005="insumo",_xlfn.XLOOKUP(S2005,Insumos!A:A,Insumos!D:D),"")</f>
        <v/>
      </c>
      <c r="AC2005" s="239">
        <f t="shared" ca="1" si="1650"/>
        <v>4.8407812667944639E-3</v>
      </c>
      <c r="AE2005" s="240">
        <f ca="1">IFERROR(IF(OR(Z2005="",Z2005=0),"",IF(AF2005="","",IF(AF2005="R$/mês",Z2005/OBRA!$D$12,IF(AF2005="R$/m²",Z2005/OBRA!$D$10,IF(AF2005="R$/apto",Orçamento!Z2005/OBRA!$D$11,""))))),"")</f>
        <v>17.364532629560379</v>
      </c>
      <c r="AF2005" s="241" t="s">
        <v>154</v>
      </c>
    </row>
    <row r="2006" spans="1:32" s="10" customFormat="1" ht="13.15" hidden="1" customHeight="1" outlineLevel="4" x14ac:dyDescent="0.2">
      <c r="A2006" s="227"/>
      <c r="B2006" s="228" t="s">
        <v>4</v>
      </c>
      <c r="C2006" s="229">
        <f t="shared" si="1648"/>
        <v>4</v>
      </c>
      <c r="D2006" s="227" t="str">
        <f t="shared" ca="1" si="1633"/>
        <v>18.003.002.001</v>
      </c>
      <c r="E2006" s="228" t="str">
        <f t="shared" ca="1" si="1634"/>
        <v>18.003.002.001</v>
      </c>
      <c r="F2006" s="230">
        <f ca="1">IF($B2006="UNIDADE CONSTRUTIVA",OFFSET(F2006,-1,0)+1,LARGE(F$10:F2005,1))</f>
        <v>2</v>
      </c>
      <c r="G2006" s="228" t="str">
        <f ca="1">IF(B2006="*","",IF(B2006="UNIDADE CONSTRUTIVA",S2006,OFFSET(G2006,-1,0)))</f>
        <v xml:space="preserve">   GERENCIAMENTO EXECUTIVO</v>
      </c>
      <c r="H2006" s="230">
        <f t="shared" ca="1" si="1635"/>
        <v>18</v>
      </c>
      <c r="I2006" s="228" t="str">
        <f ca="1">IF(B2006="*","",IF(B2006="CÉLULA CONSTRUTIVA",S2006,OFFSET(I2006,-1,0)))</f>
        <v xml:space="preserve">   LOUÇAS E METAIS</v>
      </c>
      <c r="J2006" s="230">
        <f t="shared" ca="1" si="1636"/>
        <v>3</v>
      </c>
      <c r="K2006" s="228" t="str">
        <f ca="1">IF(B2006="*","",IF(B2006="ETAPA",S2006,OFFSET(K2006,-1,0)))</f>
        <v xml:space="preserve">   LOUÇAS E METAIS - 3º  ao 7º PAVIMENTO - TIPO</v>
      </c>
      <c r="L2006" s="231">
        <f t="shared" ca="1" si="1637"/>
        <v>2</v>
      </c>
      <c r="M2006" s="228" t="str">
        <f ca="1">IF(B2006="*","",IF(B2006="SUBETAPA",S2006,OFFSET(M2006,-1,0)))</f>
        <v xml:space="preserve">   Mão de Obra</v>
      </c>
      <c r="N2006" s="231">
        <f t="shared" ca="1" si="1638"/>
        <v>1</v>
      </c>
      <c r="O2006" s="228" t="str">
        <f ca="1">IF(B2006="*","",IF(B2006="SERVIÇO",S2006,OFFSET(O2006,-1,0)))</f>
        <v>Loucas e metais</v>
      </c>
      <c r="P2006" s="232" t="str">
        <f>IF(S2006="","",IF(Orçamento!$B2006="INSUMO",S2006,""))</f>
        <v/>
      </c>
      <c r="Q2006" s="244" t="str">
        <f>IF(B2006="","",IF(B2006="Serviço",S2006,""))</f>
        <v>Loucas e metais</v>
      </c>
      <c r="R2006" s="234">
        <f ca="1">IF(B2006="serviço",U2006,OFFSET(R2006,-1,0))</f>
        <v>0.66686325576562477</v>
      </c>
      <c r="S2006" s="233" t="s">
        <v>452</v>
      </c>
      <c r="T2006" s="242" t="s">
        <v>170</v>
      </c>
      <c r="U2006" s="330">
        <f>'Custos Serviços'!$D$106/'Custos Serviços'!$D$103</f>
        <v>0.66686325576562477</v>
      </c>
      <c r="V2006" s="320" t="s">
        <v>35</v>
      </c>
      <c r="W2006" s="236" t="str">
        <f>IFERROR(IF(B2006="INSUMO",_xlfn.XLOOKUP(S2006,Insumos!A:A,Insumos!C:C),""),"Inserir Preço")</f>
        <v/>
      </c>
      <c r="X2006" s="235">
        <f t="shared" ref="X2006:X2011" ca="1" si="1652">IF(B2006="Complemento do insumo",V2006,IF(R2006="","",IF(B2006="serviço",R2006,IF(OR(B2006="insumo"),V2006*R2006,""))))</f>
        <v>0.66686325576562477</v>
      </c>
      <c r="Y2006" s="236">
        <f t="shared" ca="1" si="1622"/>
        <v>50600</v>
      </c>
      <c r="Z2006" s="237">
        <f t="shared" ca="1" si="1649"/>
        <v>33743.280741740615</v>
      </c>
      <c r="AA2006" s="238"/>
      <c r="AB2006" s="233" t="str">
        <f>IF(B2006="insumo",_xlfn.XLOOKUP(S2006,Insumos!A:A,Insumos!D:D),"")</f>
        <v/>
      </c>
      <c r="AC2006" s="239">
        <f t="shared" ca="1" si="1650"/>
        <v>4.8407812667944639E-3</v>
      </c>
      <c r="AE2006" s="240">
        <f ca="1">IFERROR(IF(OR(Z2006="",Z2006=0),"",IF(AF2006="","",IF(AF2006="R$/mês",Z2006/OBRA!$D$12,IF(AF2006="R$/m²",Z2006/OBRA!$D$10,IF(AF2006="R$/apto",Orçamento!Z2006/OBRA!$D$11,""))))),"")</f>
        <v>17.364532629560379</v>
      </c>
      <c r="AF2006" s="241" t="s">
        <v>154</v>
      </c>
    </row>
    <row r="2007" spans="1:32" s="10" customFormat="1" ht="13.15" hidden="1" customHeight="1" outlineLevel="4" x14ac:dyDescent="0.2">
      <c r="A2007" s="227"/>
      <c r="B2007" s="228" t="s">
        <v>19</v>
      </c>
      <c r="C2007" s="229">
        <f t="shared" si="1648"/>
        <v>4</v>
      </c>
      <c r="D2007" s="227" t="str">
        <f t="shared" si="1633"/>
        <v/>
      </c>
      <c r="E2007" s="228" t="str">
        <f t="shared" ca="1" si="1634"/>
        <v>18.003.002.001</v>
      </c>
      <c r="F2007" s="230">
        <f ca="1">IF($B2007="UNIDADE CONSTRUTIVA",OFFSET(F2007,-1,0)+1,LARGE(F$10:F2006,1))</f>
        <v>2</v>
      </c>
      <c r="G2007" s="228" t="str">
        <f ca="1">IF(B2007="*","",IF(B2007="UNIDADE CONSTRUTIVA",S2007,OFFSET(G2007,-1,0)))</f>
        <v xml:space="preserve">   GERENCIAMENTO EXECUTIVO</v>
      </c>
      <c r="H2007" s="230">
        <f t="shared" ca="1" si="1635"/>
        <v>18</v>
      </c>
      <c r="I2007" s="228" t="str">
        <f ca="1">IF(B2007="*","",IF(B2007="CÉLULA CONSTRUTIVA",S2007,OFFSET(I2007,-1,0)))</f>
        <v xml:space="preserve">   LOUÇAS E METAIS</v>
      </c>
      <c r="J2007" s="230">
        <f t="shared" ca="1" si="1636"/>
        <v>3</v>
      </c>
      <c r="K2007" s="228" t="str">
        <f ca="1">IF(B2007="*","",IF(B2007="ETAPA",S2007,OFFSET(K2007,-1,0)))</f>
        <v xml:space="preserve">   LOUÇAS E METAIS - 3º  ao 7º PAVIMENTO - TIPO</v>
      </c>
      <c r="L2007" s="231">
        <f t="shared" ca="1" si="1637"/>
        <v>2</v>
      </c>
      <c r="M2007" s="228" t="str">
        <f ca="1">IF(B2007="*","",IF(B2007="SUBETAPA",S2007,OFFSET(M2007,-1,0)))</f>
        <v xml:space="preserve">   Mão de Obra</v>
      </c>
      <c r="N2007" s="231">
        <f t="shared" ca="1" si="1638"/>
        <v>1</v>
      </c>
      <c r="O2007" s="228" t="str">
        <f ca="1">IF(B2007="*","",IF(B2007="SERVIÇO",S2007,OFFSET(O2007,-1,0)))</f>
        <v>Loucas e metais</v>
      </c>
      <c r="P2007" s="232" t="str">
        <f>IF(S2007="","",IF(Orçamento!$B2007="INSUMO",S2007,""))</f>
        <v>LOUÇAS E METAIS</v>
      </c>
      <c r="Q2007" s="244" t="str">
        <f>IF(B2007="","",IF(B2007="Serviço",S2007,""))</f>
        <v/>
      </c>
      <c r="R2007" s="234">
        <f ca="1">IF(B2007="serviço",U2007,OFFSET(R2007,-1,0))</f>
        <v>0.66686325576562477</v>
      </c>
      <c r="S2007" s="233" t="s">
        <v>833</v>
      </c>
      <c r="T2007" s="242" t="str">
        <f>_xlfn.XLOOKUP(S2007,Insumos!$A$3:$A$371,Insumos!$B$3:$B$371)</f>
        <v>VB</v>
      </c>
      <c r="U2007" s="235">
        <f ca="1">IF($B2007="insumo",R2007,"")</f>
        <v>0.66686325576562477</v>
      </c>
      <c r="V2007" s="320">
        <v>1</v>
      </c>
      <c r="W2007" s="236">
        <f>IFERROR(IF(B2007="INSUMO",_xlfn.XLOOKUP(S2007,Insumos!A:A,Insumos!C:C),""),"Inserir Preço")</f>
        <v>50600</v>
      </c>
      <c r="X2007" s="235">
        <f t="shared" ca="1" si="1652"/>
        <v>0.66686325576562477</v>
      </c>
      <c r="Y2007" s="236">
        <f t="shared" si="1622"/>
        <v>50600</v>
      </c>
      <c r="Z2007" s="237">
        <f t="shared" ca="1" si="1649"/>
        <v>33743.280741740615</v>
      </c>
      <c r="AA2007" s="238"/>
      <c r="AB2007" s="233" t="str">
        <f>IF(B2007="insumo",_xlfn.XLOOKUP(S2007,Insumos!A:A,Insumos!D:D),"")</f>
        <v>Aba Custo Serviços</v>
      </c>
      <c r="AC2007" s="239">
        <f t="shared" ca="1" si="1650"/>
        <v>4.8407812667944639E-3</v>
      </c>
      <c r="AE2007" s="240">
        <f ca="1">IFERROR(IF(OR(Z2007="",Z2007=0),"",IF(AF2007="","",IF(AF2007="R$/mês",Z2007/OBRA!$D$12,IF(AF2007="R$/m²",Z2007/OBRA!$D$10,IF(AF2007="R$/apto",Orçamento!Z2007/OBRA!$D$11,""))))),"")</f>
        <v>17.364532629560379</v>
      </c>
      <c r="AF2007" s="241" t="s">
        <v>154</v>
      </c>
    </row>
    <row r="2008" spans="1:32" s="10" customFormat="1" ht="13.15" customHeight="1" outlineLevel="2" collapsed="1" x14ac:dyDescent="0.2">
      <c r="A2008" s="227"/>
      <c r="B2008" s="228" t="s">
        <v>2</v>
      </c>
      <c r="C2008" s="229" t="str">
        <f t="shared" si="1648"/>
        <v/>
      </c>
      <c r="D2008" s="227" t="str">
        <f t="shared" ca="1" si="1633"/>
        <v>18.004</v>
      </c>
      <c r="E2008" s="228" t="str">
        <f t="shared" ca="1" si="1634"/>
        <v>18.003.002.001</v>
      </c>
      <c r="F2008" s="230">
        <f ca="1">IF($B2008="UNIDADE CONSTRUTIVA",OFFSET(F2008,-1,0)+1,LARGE(F$10:F2007,1))</f>
        <v>2</v>
      </c>
      <c r="G2008" s="228" t="str">
        <f t="shared" ref="G2008:G2016" ca="1" si="1653">IF(B2008="*","",IF(B2008="UNIDADE CONSTRUTIVA",S2008,OFFSET(G2008,-1,0)))</f>
        <v xml:space="preserve">   GERENCIAMENTO EXECUTIVO</v>
      </c>
      <c r="H2008" s="230">
        <f t="shared" ca="1" si="1635"/>
        <v>18</v>
      </c>
      <c r="I2008" s="228" t="str">
        <f t="shared" ref="I2008:I2016" ca="1" si="1654">IF(B2008="*","",IF(B2008="CÉLULA CONSTRUTIVA",S2008,OFFSET(I2008,-1,0)))</f>
        <v xml:space="preserve">   LOUÇAS E METAIS</v>
      </c>
      <c r="J2008" s="230">
        <f t="shared" ca="1" si="1636"/>
        <v>4</v>
      </c>
      <c r="K2008" s="228" t="str">
        <f t="shared" ref="K2008:K2016" ca="1" si="1655">IF(B2008="*","",IF(B2008="ETAPA",S2008,OFFSET(K2008,-1,0)))</f>
        <v xml:space="preserve">   LOUÇAS E METAIS - 8º PAVIMENTO - COBERTURA</v>
      </c>
      <c r="L2008" s="231">
        <f t="shared" ca="1" si="1637"/>
        <v>0</v>
      </c>
      <c r="M2008" s="228" t="str">
        <f t="shared" ref="M2008:M2016" ca="1" si="1656">IF(B2008="*","",IF(B2008="SUBETAPA",S2008,OFFSET(M2008,-1,0)))</f>
        <v xml:space="preserve">   Mão de Obra</v>
      </c>
      <c r="N2008" s="231">
        <f t="shared" ca="1" si="1638"/>
        <v>1</v>
      </c>
      <c r="O2008" s="228" t="str">
        <f t="shared" ref="O2008:O2016" ca="1" si="1657">IF(B2008="*","",IF(B2008="SERVIÇO",S2008,OFFSET(O2008,-1,0)))</f>
        <v>Loucas e metais</v>
      </c>
      <c r="P2008" s="232" t="str">
        <f>IF(S2008="","",IF(Orçamento!$B2008="INSUMO",S2008,""))</f>
        <v/>
      </c>
      <c r="Q2008" s="244" t="str">
        <f t="shared" ref="Q2008:Q2016" si="1658">IF(B2008="","",IF(B2008="Serviço",S2008,""))</f>
        <v/>
      </c>
      <c r="R2008" s="234">
        <f t="shared" ref="R2008:R2016" ca="1" si="1659">IF(B2008="serviço",U2008,OFFSET(R2008,-1,0))</f>
        <v>0.66686325576562477</v>
      </c>
      <c r="S2008" s="233" t="s">
        <v>1102</v>
      </c>
      <c r="T2008" s="242" t="s">
        <v>35</v>
      </c>
      <c r="U2008" s="235" t="str">
        <f>IF($B2008="insumo",R2008,"")</f>
        <v/>
      </c>
      <c r="V2008" s="320" t="s">
        <v>35</v>
      </c>
      <c r="W2008" s="236" t="str">
        <f>IFERROR(IF(B2008="INSUMO",_xlfn.XLOOKUP(S2008,Insumos!A:A,Insumos!C:C),""),"Inserir Preço")</f>
        <v/>
      </c>
      <c r="X2008" s="235" t="str">
        <f t="shared" ca="1" si="1652"/>
        <v/>
      </c>
      <c r="Y2008" s="236" t="str">
        <f t="shared" si="1622"/>
        <v/>
      </c>
      <c r="Z2008" s="237">
        <f t="shared" ca="1" si="1649"/>
        <v>15304.496797592441</v>
      </c>
      <c r="AA2008" s="238"/>
      <c r="AB2008" s="233" t="str">
        <f>IF(B2008="insumo",_xlfn.XLOOKUP(S2008,Insumos!A:A,Insumos!D:D),"")</f>
        <v/>
      </c>
      <c r="AC2008" s="239">
        <f t="shared" ca="1" si="1650"/>
        <v>2.1955695998420489E-3</v>
      </c>
      <c r="AE2008" s="240">
        <f ca="1">IFERROR(IF(OR(Z2008="",Z2008=0),"",IF(AF2008="","",IF(AF2008="R$/mês",Z2008/OBRA!$D$12,IF(AF2008="R$/m²",Z2008/OBRA!$D$10,IF(AF2008="R$/apto",Orçamento!Z2008/OBRA!$D$11,""))))),"")</f>
        <v>7.8758030689071497</v>
      </c>
      <c r="AF2008" s="241" t="s">
        <v>154</v>
      </c>
    </row>
    <row r="2009" spans="1:32" s="10" customFormat="1" ht="13.15" hidden="1" customHeight="1" outlineLevel="3" collapsed="1" x14ac:dyDescent="0.2">
      <c r="A2009" s="227"/>
      <c r="B2009" s="228" t="s">
        <v>3</v>
      </c>
      <c r="C2009" s="229" t="str">
        <f t="shared" si="1648"/>
        <v/>
      </c>
      <c r="D2009" s="227" t="str">
        <f t="shared" ca="1" si="1633"/>
        <v>18.004.001</v>
      </c>
      <c r="E2009" s="228" t="str">
        <f t="shared" ca="1" si="1634"/>
        <v>18.003.002.001</v>
      </c>
      <c r="F2009" s="230">
        <f ca="1">IF($B2009="UNIDADE CONSTRUTIVA",OFFSET(F2009,-1,0)+1,LARGE(F$10:F2008,1))</f>
        <v>2</v>
      </c>
      <c r="G2009" s="228" t="str">
        <f t="shared" ca="1" si="1653"/>
        <v xml:space="preserve">   GERENCIAMENTO EXECUTIVO</v>
      </c>
      <c r="H2009" s="230">
        <f t="shared" ca="1" si="1635"/>
        <v>18</v>
      </c>
      <c r="I2009" s="228" t="str">
        <f t="shared" ca="1" si="1654"/>
        <v xml:space="preserve">   LOUÇAS E METAIS</v>
      </c>
      <c r="J2009" s="230">
        <f t="shared" ca="1" si="1636"/>
        <v>4</v>
      </c>
      <c r="K2009" s="228" t="str">
        <f t="shared" ca="1" si="1655"/>
        <v xml:space="preserve">   LOUÇAS E METAIS - 8º PAVIMENTO - COBERTURA</v>
      </c>
      <c r="L2009" s="231">
        <f t="shared" ca="1" si="1637"/>
        <v>1</v>
      </c>
      <c r="M2009" s="228" t="str">
        <f t="shared" ca="1" si="1656"/>
        <v xml:space="preserve">   Aparelhos Sanitários - Louças - Metais e Acessórios</v>
      </c>
      <c r="N2009" s="231">
        <f t="shared" ca="1" si="1638"/>
        <v>0</v>
      </c>
      <c r="O2009" s="228" t="str">
        <f t="shared" ca="1" si="1657"/>
        <v>Loucas e metais</v>
      </c>
      <c r="P2009" s="232" t="str">
        <f>IF(S2009="","",IF(Orçamento!$B2009="INSUMO",S2009,""))</f>
        <v/>
      </c>
      <c r="Q2009" s="244" t="str">
        <f t="shared" si="1658"/>
        <v/>
      </c>
      <c r="R2009" s="234">
        <f t="shared" ca="1" si="1659"/>
        <v>0.66686325576562477</v>
      </c>
      <c r="S2009" s="233" t="s">
        <v>451</v>
      </c>
      <c r="T2009" s="242" t="s">
        <v>35</v>
      </c>
      <c r="U2009" s="235" t="str">
        <f>IF($B2009="insumo",R2009,"")</f>
        <v/>
      </c>
      <c r="V2009" s="320" t="s">
        <v>35</v>
      </c>
      <c r="W2009" s="236" t="str">
        <f>IFERROR(IF(B2009="INSUMO",_xlfn.XLOOKUP(S2009,Insumos!A:A,Insumos!C:C),""),"Inserir Preço")</f>
        <v/>
      </c>
      <c r="X2009" s="235" t="str">
        <f t="shared" ca="1" si="1652"/>
        <v/>
      </c>
      <c r="Y2009" s="236" t="str">
        <f t="shared" si="1622"/>
        <v/>
      </c>
      <c r="Z2009" s="237">
        <f t="shared" ca="1" si="1649"/>
        <v>7304.58</v>
      </c>
      <c r="AA2009" s="238"/>
      <c r="AB2009" s="233" t="str">
        <f>IF(B2009="insumo",_xlfn.XLOOKUP(S2009,Insumos!A:A,Insumos!D:D),"")</f>
        <v/>
      </c>
      <c r="AC2009" s="239">
        <f t="shared" ca="1" si="1650"/>
        <v>1.0479085983498089E-3</v>
      </c>
      <c r="AE2009" s="240">
        <f ca="1">IFERROR(IF(OR(Z2009="",Z2009=0),"",IF(AF2009="","",IF(AF2009="R$/mês",Z2009/OBRA!$D$12,IF(AF2009="R$/m²",Z2009/OBRA!$D$10,IF(AF2009="R$/apto",Orçamento!Z2009/OBRA!$D$11,""))))),"")</f>
        <v>3.7589888999243528</v>
      </c>
      <c r="AF2009" s="241" t="s">
        <v>154</v>
      </c>
    </row>
    <row r="2010" spans="1:32" s="10" customFormat="1" ht="13.15" hidden="1" customHeight="1" outlineLevel="4" x14ac:dyDescent="0.2">
      <c r="A2010" s="227"/>
      <c r="B2010" s="228" t="s">
        <v>4</v>
      </c>
      <c r="C2010" s="229">
        <f t="shared" si="1648"/>
        <v>3</v>
      </c>
      <c r="D2010" s="227" t="str">
        <f t="shared" ca="1" si="1633"/>
        <v>18.004.001.001</v>
      </c>
      <c r="E2010" s="228" t="str">
        <f t="shared" ca="1" si="1634"/>
        <v>18.004.001.001</v>
      </c>
      <c r="F2010" s="230">
        <f ca="1">IF($B2010="UNIDADE CONSTRUTIVA",OFFSET(F2010,-1,0)+1,LARGE(F$10:F2009,1))</f>
        <v>2</v>
      </c>
      <c r="G2010" s="228" t="str">
        <f t="shared" ca="1" si="1653"/>
        <v xml:space="preserve">   GERENCIAMENTO EXECUTIVO</v>
      </c>
      <c r="H2010" s="230">
        <f t="shared" ca="1" si="1635"/>
        <v>18</v>
      </c>
      <c r="I2010" s="228" t="str">
        <f t="shared" ca="1" si="1654"/>
        <v xml:space="preserve">   LOUÇAS E METAIS</v>
      </c>
      <c r="J2010" s="230">
        <f t="shared" ca="1" si="1636"/>
        <v>4</v>
      </c>
      <c r="K2010" s="228" t="str">
        <f t="shared" ca="1" si="1655"/>
        <v xml:space="preserve">   LOUÇAS E METAIS - 8º PAVIMENTO - COBERTURA</v>
      </c>
      <c r="L2010" s="231">
        <f t="shared" ca="1" si="1637"/>
        <v>1</v>
      </c>
      <c r="M2010" s="228" t="str">
        <f t="shared" ca="1" si="1656"/>
        <v xml:space="preserve">   Aparelhos Sanitários - Louças - Metais e Acessórios</v>
      </c>
      <c r="N2010" s="231">
        <f t="shared" ca="1" si="1638"/>
        <v>1</v>
      </c>
      <c r="O2010" s="228" t="str">
        <f t="shared" ca="1" si="1657"/>
        <v>Bacia com Caixa Acoplada</v>
      </c>
      <c r="P2010" s="232" t="str">
        <f>IF(S2010="","",IF(Orçamento!$B2010="INSUMO",S2010,""))</f>
        <v/>
      </c>
      <c r="Q2010" s="244" t="str">
        <f t="shared" si="1658"/>
        <v>Bacia com Caixa Acoplada</v>
      </c>
      <c r="R2010" s="234">
        <f t="shared" ca="1" si="1659"/>
        <v>1</v>
      </c>
      <c r="S2010" s="233" t="s">
        <v>834</v>
      </c>
      <c r="T2010" s="242" t="s">
        <v>142</v>
      </c>
      <c r="U2010" s="235">
        <v>1</v>
      </c>
      <c r="V2010" s="320" t="s">
        <v>35</v>
      </c>
      <c r="W2010" s="236" t="str">
        <f>IFERROR(IF(B2010="INSUMO",_xlfn.XLOOKUP(S2010,Insumos!A:A,Insumos!C:C),""),"Inserir Preço")</f>
        <v/>
      </c>
      <c r="X2010" s="235">
        <f t="shared" ca="1" si="1652"/>
        <v>1</v>
      </c>
      <c r="Y2010" s="236">
        <f t="shared" ca="1" si="1622"/>
        <v>471.46600000000001</v>
      </c>
      <c r="Z2010" s="237">
        <f t="shared" ca="1" si="1649"/>
        <v>471.46600000000001</v>
      </c>
      <c r="AA2010" s="238"/>
      <c r="AB2010" s="233" t="str">
        <f>IF(B2010="insumo",_xlfn.XLOOKUP(S2010,Insumos!A:A,Insumos!D:D),"")</f>
        <v/>
      </c>
      <c r="AC2010" s="239">
        <f t="shared" ca="1" si="1650"/>
        <v>6.7636096151947272E-5</v>
      </c>
      <c r="AE2010" s="240">
        <f ca="1">IFERROR(IF(OR(Z2010="",Z2010=0),"",IF(AF2010="","",IF(AF2010="R$/mês",Z2010/OBRA!$D$12,IF(AF2010="R$/m²",Z2010/OBRA!$D$10,IF(AF2010="R$/apto",Orçamento!Z2010/OBRA!$D$11,""))))),"")</f>
        <v>0.24261976194274482</v>
      </c>
      <c r="AF2010" s="241" t="s">
        <v>154</v>
      </c>
    </row>
    <row r="2011" spans="1:32" s="10" customFormat="1" ht="13.15" hidden="1" customHeight="1" outlineLevel="4" x14ac:dyDescent="0.2">
      <c r="A2011" s="227"/>
      <c r="B2011" s="228" t="s">
        <v>19</v>
      </c>
      <c r="C2011" s="229">
        <f t="shared" si="1648"/>
        <v>3</v>
      </c>
      <c r="D2011" s="227" t="str">
        <f t="shared" si="1633"/>
        <v/>
      </c>
      <c r="E2011" s="228" t="str">
        <f t="shared" ca="1" si="1634"/>
        <v>18.004.001.001</v>
      </c>
      <c r="F2011" s="230">
        <f ca="1">IF($B2011="UNIDADE CONSTRUTIVA",OFFSET(F2011,-1,0)+1,LARGE(F$10:F2010,1))</f>
        <v>2</v>
      </c>
      <c r="G2011" s="228" t="str">
        <f t="shared" ca="1" si="1653"/>
        <v xml:space="preserve">   GERENCIAMENTO EXECUTIVO</v>
      </c>
      <c r="H2011" s="230">
        <f t="shared" ca="1" si="1635"/>
        <v>18</v>
      </c>
      <c r="I2011" s="228" t="str">
        <f t="shared" ca="1" si="1654"/>
        <v xml:space="preserve">   LOUÇAS E METAIS</v>
      </c>
      <c r="J2011" s="230">
        <f t="shared" ca="1" si="1636"/>
        <v>4</v>
      </c>
      <c r="K2011" s="228" t="str">
        <f t="shared" ca="1" si="1655"/>
        <v xml:space="preserve">   LOUÇAS E METAIS - 8º PAVIMENTO - COBERTURA</v>
      </c>
      <c r="L2011" s="231">
        <f t="shared" ca="1" si="1637"/>
        <v>1</v>
      </c>
      <c r="M2011" s="228" t="str">
        <f t="shared" ca="1" si="1656"/>
        <v xml:space="preserve">   Aparelhos Sanitários - Louças - Metais e Acessórios</v>
      </c>
      <c r="N2011" s="231">
        <f t="shared" ca="1" si="1638"/>
        <v>1</v>
      </c>
      <c r="O2011" s="228" t="str">
        <f t="shared" ca="1" si="1657"/>
        <v>Bacia com Caixa Acoplada</v>
      </c>
      <c r="P2011" s="232" t="str">
        <f>IF(S2011="","",IF(Orçamento!$B2011="INSUMO",S2011,""))</f>
        <v>BACIA SANITARIA LOUCA P/CAIXA ACOPLADA</v>
      </c>
      <c r="Q2011" s="244" t="str">
        <f t="shared" si="1658"/>
        <v/>
      </c>
      <c r="R2011" s="234">
        <f t="shared" ca="1" si="1659"/>
        <v>1</v>
      </c>
      <c r="S2011" s="233" t="s">
        <v>835</v>
      </c>
      <c r="T2011" s="242" t="str">
        <f>_xlfn.XLOOKUP(S2011,Insumos!$A$3:$A$371,Insumos!$B$3:$B$371)</f>
        <v>un</v>
      </c>
      <c r="U2011" s="235">
        <f t="shared" ref="U2011:U2018" ca="1" si="1660">IF($B2011="insumo",R2011,"")</f>
        <v>1</v>
      </c>
      <c r="V2011" s="320">
        <v>1</v>
      </c>
      <c r="W2011" s="236">
        <f>IFERROR(IF(B2011="INSUMO",_xlfn.XLOOKUP(S2011,Insumos!A:A,Insumos!C:C),""),"Inserir Preço")</f>
        <v>285</v>
      </c>
      <c r="X2011" s="235">
        <f t="shared" ca="1" si="1652"/>
        <v>1</v>
      </c>
      <c r="Y2011" s="236">
        <f t="shared" si="1622"/>
        <v>285</v>
      </c>
      <c r="Z2011" s="237">
        <f t="shared" ca="1" si="1649"/>
        <v>285</v>
      </c>
      <c r="AA2011" s="238"/>
      <c r="AB2011" s="233" t="str">
        <f>IF(B2011="insumo",_xlfn.XLOOKUP(S2011,Insumos!A:A,Insumos!D:D),"")</f>
        <v>Base de Dados</v>
      </c>
      <c r="AC2011" s="239">
        <f t="shared" ca="1" si="1650"/>
        <v>4.0885848403288831E-5</v>
      </c>
      <c r="AE2011" s="240">
        <f ca="1">IFERROR(IF(OR(Z2011="",Z2011=0),"",IF(AF2011="","",IF(AF2011="R$/mês",Z2011/OBRA!$D$12,IF(AF2011="R$/m²",Z2011/OBRA!$D$10,IF(AF2011="R$/apto",Orçamento!Z2011/OBRA!$D$11,""))))),"")</f>
        <v>0.14666303010966278</v>
      </c>
      <c r="AF2011" s="241" t="s">
        <v>154</v>
      </c>
    </row>
    <row r="2012" spans="1:32" s="10" customFormat="1" ht="13.15" hidden="1" customHeight="1" outlineLevel="4" x14ac:dyDescent="0.2">
      <c r="A2012" s="227"/>
      <c r="B2012" s="228" t="s">
        <v>19</v>
      </c>
      <c r="C2012" s="229">
        <f t="shared" si="1648"/>
        <v>3</v>
      </c>
      <c r="D2012" s="227" t="str">
        <f t="shared" si="1633"/>
        <v/>
      </c>
      <c r="E2012" s="228" t="str">
        <f t="shared" ca="1" si="1634"/>
        <v>18.004.001.001</v>
      </c>
      <c r="F2012" s="230">
        <f ca="1">IF($B2012="UNIDADE CONSTRUTIVA",OFFSET(F2012,-1,0)+1,LARGE(F$10:F2011,1))</f>
        <v>2</v>
      </c>
      <c r="G2012" s="228" t="str">
        <f t="shared" ca="1" si="1653"/>
        <v xml:space="preserve">   GERENCIAMENTO EXECUTIVO</v>
      </c>
      <c r="H2012" s="230">
        <f t="shared" ca="1" si="1635"/>
        <v>18</v>
      </c>
      <c r="I2012" s="228" t="str">
        <f t="shared" ca="1" si="1654"/>
        <v xml:space="preserve">   LOUÇAS E METAIS</v>
      </c>
      <c r="J2012" s="230">
        <f t="shared" ca="1" si="1636"/>
        <v>4</v>
      </c>
      <c r="K2012" s="228" t="str">
        <f t="shared" ca="1" si="1655"/>
        <v xml:space="preserve">   LOUÇAS E METAIS - 8º PAVIMENTO - COBERTURA</v>
      </c>
      <c r="L2012" s="231">
        <f t="shared" ca="1" si="1637"/>
        <v>1</v>
      </c>
      <c r="M2012" s="228" t="str">
        <f t="shared" ca="1" si="1656"/>
        <v xml:space="preserve">   Aparelhos Sanitários - Louças - Metais e Acessórios</v>
      </c>
      <c r="N2012" s="231">
        <f t="shared" ca="1" si="1638"/>
        <v>1</v>
      </c>
      <c r="O2012" s="228" t="str">
        <f t="shared" ca="1" si="1657"/>
        <v>Bacia com Caixa Acoplada</v>
      </c>
      <c r="P2012" s="232" t="str">
        <f>IF(S2012="","",IF(Orçamento!$B2012="INSUMO",S2012,""))</f>
        <v>CAIXA ACOPLADA LOUCA P/DESCARGA</v>
      </c>
      <c r="Q2012" s="244" t="str">
        <f t="shared" si="1658"/>
        <v/>
      </c>
      <c r="R2012" s="234">
        <f t="shared" ca="1" si="1659"/>
        <v>1</v>
      </c>
      <c r="S2012" s="233" t="s">
        <v>836</v>
      </c>
      <c r="T2012" s="242" t="str">
        <f>_xlfn.XLOOKUP(S2012,Insumos!$A$3:$A$371,Insumos!$B$3:$B$371)</f>
        <v>un</v>
      </c>
      <c r="U2012" s="235">
        <f t="shared" ca="1" si="1660"/>
        <v>1</v>
      </c>
      <c r="V2012" s="320">
        <v>1</v>
      </c>
      <c r="W2012" s="236">
        <f>IFERROR(IF(B2012="INSUMO",_xlfn.XLOOKUP(S2012,Insumos!A:A,Insumos!C:C),""),"Inserir Preço")</f>
        <v>130.49</v>
      </c>
      <c r="X2012" s="235">
        <f t="shared" ref="X2012:X2026" ca="1" si="1661">IF(B2012="Complemento do insumo",V2012,IF(R2012="","",IF(B2012="serviço",R2012,IF(OR(B2012="insumo"),V2012*R2012,""))))</f>
        <v>1</v>
      </c>
      <c r="Y2012" s="236">
        <f t="shared" si="1622"/>
        <v>130.49</v>
      </c>
      <c r="Z2012" s="237">
        <f t="shared" ca="1" si="1649"/>
        <v>130.49</v>
      </c>
      <c r="AA2012" s="238"/>
      <c r="AB2012" s="233" t="str">
        <f>IF(B2012="insumo",_xlfn.XLOOKUP(S2012,Insumos!A:A,Insumos!D:D),"")</f>
        <v>Base de Dados</v>
      </c>
      <c r="AC2012" s="239">
        <f t="shared" ca="1" si="1650"/>
        <v>1.8719980204018103E-5</v>
      </c>
      <c r="AE2012" s="240">
        <f ca="1">IFERROR(IF(OR(Z2012="",Z2012=0),"",IF(AF2012="","",IF(AF2012="R$/mês",Z2012/OBRA!$D$12,IF(AF2012="R$/m²",Z2012/OBRA!$D$10,IF(AF2012="R$/apto",Orçamento!Z2012/OBRA!$D$11,""))))),"")</f>
        <v>6.7151083505297887E-2</v>
      </c>
      <c r="AF2012" s="241" t="s">
        <v>154</v>
      </c>
    </row>
    <row r="2013" spans="1:32" s="10" customFormat="1" ht="13.15" hidden="1" customHeight="1" outlineLevel="4" x14ac:dyDescent="0.2">
      <c r="A2013" s="227"/>
      <c r="B2013" s="228" t="s">
        <v>19</v>
      </c>
      <c r="C2013" s="229">
        <f t="shared" si="1648"/>
        <v>3</v>
      </c>
      <c r="D2013" s="227" t="str">
        <f t="shared" si="1633"/>
        <v/>
      </c>
      <c r="E2013" s="228" t="str">
        <f t="shared" ca="1" si="1634"/>
        <v>18.004.001.001</v>
      </c>
      <c r="F2013" s="230">
        <f ca="1">IF($B2013="UNIDADE CONSTRUTIVA",OFFSET(F2013,-1,0)+1,LARGE(F$10:F2012,1))</f>
        <v>2</v>
      </c>
      <c r="G2013" s="228" t="str">
        <f t="shared" ca="1" si="1653"/>
        <v xml:space="preserve">   GERENCIAMENTO EXECUTIVO</v>
      </c>
      <c r="H2013" s="230">
        <f t="shared" ca="1" si="1635"/>
        <v>18</v>
      </c>
      <c r="I2013" s="228" t="str">
        <f t="shared" ca="1" si="1654"/>
        <v xml:space="preserve">   LOUÇAS E METAIS</v>
      </c>
      <c r="J2013" s="230">
        <f t="shared" ca="1" si="1636"/>
        <v>4</v>
      </c>
      <c r="K2013" s="228" t="str">
        <f t="shared" ca="1" si="1655"/>
        <v xml:space="preserve">   LOUÇAS E METAIS - 8º PAVIMENTO - COBERTURA</v>
      </c>
      <c r="L2013" s="231">
        <f t="shared" ca="1" si="1637"/>
        <v>1</v>
      </c>
      <c r="M2013" s="228" t="str">
        <f t="shared" ca="1" si="1656"/>
        <v xml:space="preserve">   Aparelhos Sanitários - Louças - Metais e Acessórios</v>
      </c>
      <c r="N2013" s="231">
        <f t="shared" ca="1" si="1638"/>
        <v>1</v>
      </c>
      <c r="O2013" s="228" t="str">
        <f t="shared" ca="1" si="1657"/>
        <v>Bacia com Caixa Acoplada</v>
      </c>
      <c r="P2013" s="232" t="str">
        <f>IF(S2013="","",IF(Orçamento!$B2013="INSUMO",S2013,""))</f>
        <v>ANEL VEDACAO C/GUIA P/VASO SANITARIO 4"</v>
      </c>
      <c r="Q2013" s="244" t="str">
        <f t="shared" si="1658"/>
        <v/>
      </c>
      <c r="R2013" s="234">
        <f t="shared" ca="1" si="1659"/>
        <v>1</v>
      </c>
      <c r="S2013" s="233" t="s">
        <v>837</v>
      </c>
      <c r="T2013" s="242" t="str">
        <f>_xlfn.XLOOKUP(S2013,Insumos!$A$3:$A$371,Insumos!$B$3:$B$371)</f>
        <v>un</v>
      </c>
      <c r="U2013" s="235">
        <f t="shared" ca="1" si="1660"/>
        <v>1</v>
      </c>
      <c r="V2013" s="320">
        <v>1</v>
      </c>
      <c r="W2013" s="236">
        <f>IFERROR(IF(B2013="INSUMO",_xlfn.XLOOKUP(S2013,Insumos!A:A,Insumos!C:C),""),"Inserir Preço")</f>
        <v>15.9</v>
      </c>
      <c r="X2013" s="235">
        <f t="shared" ca="1" si="1661"/>
        <v>1</v>
      </c>
      <c r="Y2013" s="236">
        <f t="shared" si="1622"/>
        <v>15.9</v>
      </c>
      <c r="Z2013" s="237">
        <f t="shared" ca="1" si="1649"/>
        <v>15.9</v>
      </c>
      <c r="AA2013" s="238"/>
      <c r="AB2013" s="233" t="str">
        <f>IF(B2013="insumo",_xlfn.XLOOKUP(S2013,Insumos!A:A,Insumos!D:D),"")</f>
        <v>Base de Dados</v>
      </c>
      <c r="AC2013" s="239">
        <f t="shared" ca="1" si="1650"/>
        <v>2.2809999635519032E-6</v>
      </c>
      <c r="AE2013" s="240">
        <f ca="1">IFERROR(IF(OR(Z2013="",Z2013=0),"",IF(AF2013="","",IF(AF2013="R$/mês",Z2013/OBRA!$D$12,IF(AF2013="R$/m²",Z2013/OBRA!$D$10,IF(AF2013="R$/apto",Orçamento!Z2013/OBRA!$D$11,""))))),"")</f>
        <v>8.1822532587496073E-3</v>
      </c>
      <c r="AF2013" s="241" t="s">
        <v>154</v>
      </c>
    </row>
    <row r="2014" spans="1:32" s="10" customFormat="1" ht="13.15" hidden="1" customHeight="1" outlineLevel="4" x14ac:dyDescent="0.2">
      <c r="A2014" s="227"/>
      <c r="B2014" s="228" t="s">
        <v>19</v>
      </c>
      <c r="C2014" s="229">
        <f t="shared" si="1648"/>
        <v>6</v>
      </c>
      <c r="D2014" s="227" t="str">
        <f t="shared" si="1633"/>
        <v/>
      </c>
      <c r="E2014" s="228" t="str">
        <f t="shared" ca="1" si="1634"/>
        <v>18.004.001.001</v>
      </c>
      <c r="F2014" s="230">
        <f ca="1">IF($B2014="UNIDADE CONSTRUTIVA",OFFSET(F2014,-1,0)+1,LARGE(F$10:F2013,1))</f>
        <v>2</v>
      </c>
      <c r="G2014" s="228" t="str">
        <f t="shared" ca="1" si="1653"/>
        <v xml:space="preserve">   GERENCIAMENTO EXECUTIVO</v>
      </c>
      <c r="H2014" s="230">
        <f t="shared" ca="1" si="1635"/>
        <v>18</v>
      </c>
      <c r="I2014" s="228" t="str">
        <f t="shared" ca="1" si="1654"/>
        <v xml:space="preserve">   LOUÇAS E METAIS</v>
      </c>
      <c r="J2014" s="230">
        <f t="shared" ca="1" si="1636"/>
        <v>4</v>
      </c>
      <c r="K2014" s="228" t="str">
        <f t="shared" ca="1" si="1655"/>
        <v xml:space="preserve">   LOUÇAS E METAIS - 8º PAVIMENTO - COBERTURA</v>
      </c>
      <c r="L2014" s="231">
        <f t="shared" ca="1" si="1637"/>
        <v>1</v>
      </c>
      <c r="M2014" s="228" t="str">
        <f t="shared" ca="1" si="1656"/>
        <v xml:space="preserve">   Aparelhos Sanitários - Louças - Metais e Acessórios</v>
      </c>
      <c r="N2014" s="231">
        <f t="shared" ca="1" si="1638"/>
        <v>1</v>
      </c>
      <c r="O2014" s="228" t="str">
        <f t="shared" ca="1" si="1657"/>
        <v>Bacia com Caixa Acoplada</v>
      </c>
      <c r="P2014" s="232" t="str">
        <f>IF(S2014="","",IF(Orçamento!$B2014="INSUMO",S2014,""))</f>
        <v>ENGATE FLEXIVEL PVC 1/2"X30CM NBR 14878</v>
      </c>
      <c r="Q2014" s="244" t="str">
        <f t="shared" si="1658"/>
        <v/>
      </c>
      <c r="R2014" s="234">
        <f t="shared" ca="1" si="1659"/>
        <v>1</v>
      </c>
      <c r="S2014" s="233" t="s">
        <v>838</v>
      </c>
      <c r="T2014" s="242" t="str">
        <f>_xlfn.XLOOKUP(S2014,Insumos!$A$3:$A$371,Insumos!$B$3:$B$371)</f>
        <v>un</v>
      </c>
      <c r="U2014" s="235">
        <f t="shared" ca="1" si="1660"/>
        <v>1</v>
      </c>
      <c r="V2014" s="320">
        <v>1</v>
      </c>
      <c r="W2014" s="236">
        <f>IFERROR(IF(B2014="INSUMO",_xlfn.XLOOKUP(S2014,Insumos!A:A,Insumos!C:C),""),"Inserir Preço")</f>
        <v>14.75</v>
      </c>
      <c r="X2014" s="235">
        <f t="shared" ca="1" si="1661"/>
        <v>1</v>
      </c>
      <c r="Y2014" s="236">
        <f t="shared" si="1622"/>
        <v>14.75</v>
      </c>
      <c r="Z2014" s="237">
        <f t="shared" ca="1" si="1649"/>
        <v>14.75</v>
      </c>
      <c r="AA2014" s="238"/>
      <c r="AB2014" s="233" t="str">
        <f>IF(B2014="insumo",_xlfn.XLOOKUP(S2014,Insumos!A:A,Insumos!D:D),"")</f>
        <v>Base de Dados</v>
      </c>
      <c r="AC2014" s="239">
        <f t="shared" ca="1" si="1650"/>
        <v>2.1160219787667025E-6</v>
      </c>
      <c r="AE2014" s="240">
        <f ca="1">IFERROR(IF(OR(Z2014="",Z2014=0),"",IF(AF2014="","",IF(AF2014="R$/mês",Z2014/OBRA!$D$12,IF(AF2014="R$/m²",Z2014/OBRA!$D$10,IF(AF2014="R$/apto",Orçamento!Z2014/OBRA!$D$11,""))))),"")</f>
        <v>7.5904550670790388E-3</v>
      </c>
      <c r="AF2014" s="241" t="s">
        <v>154</v>
      </c>
    </row>
    <row r="2015" spans="1:32" s="10" customFormat="1" ht="13.15" hidden="1" customHeight="1" outlineLevel="4" x14ac:dyDescent="0.2">
      <c r="A2015" s="227"/>
      <c r="B2015" s="228" t="s">
        <v>19</v>
      </c>
      <c r="C2015" s="229">
        <f t="shared" si="1648"/>
        <v>4</v>
      </c>
      <c r="D2015" s="227" t="str">
        <f t="shared" si="1633"/>
        <v/>
      </c>
      <c r="E2015" s="228" t="str">
        <f t="shared" ca="1" si="1634"/>
        <v>18.004.001.001</v>
      </c>
      <c r="F2015" s="230">
        <f ca="1">IF($B2015="UNIDADE CONSTRUTIVA",OFFSET(F2015,-1,0)+1,LARGE(F$10:F2014,1))</f>
        <v>2</v>
      </c>
      <c r="G2015" s="228" t="str">
        <f t="shared" ca="1" si="1653"/>
        <v xml:space="preserve">   GERENCIAMENTO EXECUTIVO</v>
      </c>
      <c r="H2015" s="230">
        <f t="shared" ca="1" si="1635"/>
        <v>18</v>
      </c>
      <c r="I2015" s="228" t="str">
        <f t="shared" ca="1" si="1654"/>
        <v xml:space="preserve">   LOUÇAS E METAIS</v>
      </c>
      <c r="J2015" s="230">
        <f t="shared" ca="1" si="1636"/>
        <v>4</v>
      </c>
      <c r="K2015" s="228" t="str">
        <f t="shared" ca="1" si="1655"/>
        <v xml:space="preserve">   LOUÇAS E METAIS - 8º PAVIMENTO - COBERTURA</v>
      </c>
      <c r="L2015" s="231">
        <f t="shared" ca="1" si="1637"/>
        <v>1</v>
      </c>
      <c r="M2015" s="228" t="str">
        <f t="shared" ca="1" si="1656"/>
        <v xml:space="preserve">   Aparelhos Sanitários - Louças - Metais e Acessórios</v>
      </c>
      <c r="N2015" s="231">
        <f t="shared" ca="1" si="1638"/>
        <v>1</v>
      </c>
      <c r="O2015" s="228" t="str">
        <f t="shared" ca="1" si="1657"/>
        <v>Bacia com Caixa Acoplada</v>
      </c>
      <c r="P2015" s="232" t="str">
        <f>IF(S2015="","",IF(Orçamento!$B2015="INSUMO",S2015,""))</f>
        <v>PARAFUSO ACO CARBONO CAB. CASTELO ARRUELA E BUCHA S08</v>
      </c>
      <c r="Q2015" s="244" t="str">
        <f t="shared" si="1658"/>
        <v/>
      </c>
      <c r="R2015" s="234">
        <f t="shared" ca="1" si="1659"/>
        <v>1</v>
      </c>
      <c r="S2015" s="233" t="s">
        <v>839</v>
      </c>
      <c r="T2015" s="242" t="str">
        <f>_xlfn.XLOOKUP(S2015,Insumos!$A$3:$A$371,Insumos!$B$3:$B$371)</f>
        <v>UN</v>
      </c>
      <c r="U2015" s="235">
        <f t="shared" ca="1" si="1660"/>
        <v>1</v>
      </c>
      <c r="V2015" s="320">
        <v>4</v>
      </c>
      <c r="W2015" s="236">
        <f>IFERROR(IF(B2015="INSUMO",_xlfn.XLOOKUP(S2015,Insumos!A:A,Insumos!C:C),""),"Inserir Preço")</f>
        <v>1.4</v>
      </c>
      <c r="X2015" s="235">
        <f t="shared" ca="1" si="1661"/>
        <v>4</v>
      </c>
      <c r="Y2015" s="236">
        <f t="shared" si="1622"/>
        <v>5.6</v>
      </c>
      <c r="Z2015" s="237">
        <f t="shared" ca="1" si="1649"/>
        <v>5.6</v>
      </c>
      <c r="AA2015" s="238"/>
      <c r="AB2015" s="233" t="str">
        <f>IF(B2015="insumo",_xlfn.XLOOKUP(S2015,Insumos!A:A,Insumos!D:D),"")</f>
        <v>Base de Dados</v>
      </c>
      <c r="AC2015" s="239">
        <f t="shared" ca="1" si="1650"/>
        <v>8.0337105634532437E-7</v>
      </c>
      <c r="AE2015" s="240">
        <f ca="1">IFERROR(IF(OR(Z2015="",Z2015=0),"",IF(AF2015="","",IF(AF2015="R$/mês",Z2015/OBRA!$D$12,IF(AF2015="R$/m²",Z2015/OBRA!$D$10,IF(AF2015="R$/apto",Orçamento!Z2015/OBRA!$D$11,""))))),"")</f>
        <v>2.8817998898740755E-3</v>
      </c>
      <c r="AF2015" s="241" t="s">
        <v>154</v>
      </c>
    </row>
    <row r="2016" spans="1:32" s="10" customFormat="1" ht="13.15" hidden="1" customHeight="1" outlineLevel="4" x14ac:dyDescent="0.2">
      <c r="A2016" s="227"/>
      <c r="B2016" s="228" t="s">
        <v>19</v>
      </c>
      <c r="C2016" s="229">
        <f t="shared" si="1648"/>
        <v>7</v>
      </c>
      <c r="D2016" s="227" t="str">
        <f t="shared" si="1633"/>
        <v/>
      </c>
      <c r="E2016" s="228" t="str">
        <f t="shared" ca="1" si="1634"/>
        <v>18.004.001.001</v>
      </c>
      <c r="F2016" s="230">
        <f ca="1">IF($B2016="UNIDADE CONSTRUTIVA",OFFSET(F2016,-1,0)+1,LARGE(F$10:F2015,1))</f>
        <v>2</v>
      </c>
      <c r="G2016" s="228" t="str">
        <f t="shared" ca="1" si="1653"/>
        <v xml:space="preserve">   GERENCIAMENTO EXECUTIVO</v>
      </c>
      <c r="H2016" s="230">
        <f t="shared" ca="1" si="1635"/>
        <v>18</v>
      </c>
      <c r="I2016" s="228" t="str">
        <f t="shared" ca="1" si="1654"/>
        <v xml:space="preserve">   LOUÇAS E METAIS</v>
      </c>
      <c r="J2016" s="230">
        <f t="shared" ca="1" si="1636"/>
        <v>4</v>
      </c>
      <c r="K2016" s="228" t="str">
        <f t="shared" ca="1" si="1655"/>
        <v xml:space="preserve">   LOUÇAS E METAIS - 8º PAVIMENTO - COBERTURA</v>
      </c>
      <c r="L2016" s="231">
        <f t="shared" ca="1" si="1637"/>
        <v>1</v>
      </c>
      <c r="M2016" s="228" t="str">
        <f t="shared" ca="1" si="1656"/>
        <v xml:space="preserve">   Aparelhos Sanitários - Louças - Metais e Acessórios</v>
      </c>
      <c r="N2016" s="231">
        <f t="shared" ca="1" si="1638"/>
        <v>1</v>
      </c>
      <c r="O2016" s="228" t="str">
        <f t="shared" ca="1" si="1657"/>
        <v>Bacia com Caixa Acoplada</v>
      </c>
      <c r="P2016" s="232" t="str">
        <f>IF(S2016="","",IF(Orçamento!$B2016="INSUMO",S2016,""))</f>
        <v>FITA VEDA ROSCA 18MMX50M NBR 13124</v>
      </c>
      <c r="Q2016" s="244" t="str">
        <f t="shared" si="1658"/>
        <v/>
      </c>
      <c r="R2016" s="234">
        <f t="shared" ca="1" si="1659"/>
        <v>1</v>
      </c>
      <c r="S2016" s="233" t="s">
        <v>840</v>
      </c>
      <c r="T2016" s="242" t="str">
        <f>_xlfn.XLOOKUP(S2016,Insumos!$A$3:$A$371,Insumos!$B$3:$B$371)</f>
        <v>UN</v>
      </c>
      <c r="U2016" s="235">
        <f t="shared" ca="1" si="1660"/>
        <v>1</v>
      </c>
      <c r="V2016" s="320">
        <v>0.84</v>
      </c>
      <c r="W2016" s="236">
        <f>IFERROR(IF(B2016="INSUMO",_xlfn.XLOOKUP(S2016,Insumos!A:A,Insumos!C:C),""),"Inserir Preço")</f>
        <v>6.56</v>
      </c>
      <c r="X2016" s="235">
        <f t="shared" ca="1" si="1661"/>
        <v>0.84</v>
      </c>
      <c r="Y2016" s="236">
        <f t="shared" si="1622"/>
        <v>5.5103999999999997</v>
      </c>
      <c r="Z2016" s="237">
        <f t="shared" ca="1" si="1649"/>
        <v>5.5103999999999997</v>
      </c>
      <c r="AA2016" s="238"/>
      <c r="AB2016" s="233" t="str">
        <f>IF(B2016="insumo",_xlfn.XLOOKUP(S2016,Insumos!A:A,Insumos!D:D),"")</f>
        <v xml:space="preserve"> </v>
      </c>
      <c r="AC2016" s="239">
        <f t="shared" ca="1" si="1650"/>
        <v>7.9051711944379915E-7</v>
      </c>
      <c r="AE2016" s="240">
        <f ca="1">IFERROR(IF(OR(Z2016="",Z2016=0),"",IF(AF2016="","",IF(AF2016="R$/mês",Z2016/OBRA!$D$12,IF(AF2016="R$/m²",Z2016/OBRA!$D$10,IF(AF2016="R$/apto",Orçamento!Z2016/OBRA!$D$11,""))))),"")</f>
        <v>2.8356910916360902E-3</v>
      </c>
      <c r="AF2016" s="241" t="s">
        <v>154</v>
      </c>
    </row>
    <row r="2017" spans="1:32" s="10" customFormat="1" ht="13.15" hidden="1" customHeight="1" outlineLevel="4" x14ac:dyDescent="0.2">
      <c r="A2017" s="227"/>
      <c r="B2017" s="228" t="s">
        <v>19</v>
      </c>
      <c r="C2017" s="229">
        <f t="shared" si="1648"/>
        <v>7</v>
      </c>
      <c r="D2017" s="227" t="str">
        <f>IF(B2017="Unidade Construtiva",TEXT(F2017,"00"),IF(B2017="Célula Construtiva",TEXT(H2017,"00"),IF(B2017="Etapa",CONCATENATE(TEXT(H2017,"00"),".",TEXT(J2017,"000")),IF(B2017="Subetapa",CONCATENATE(TEXT(H2017,"00"),".",TEXT(J2017,"000"),".",TEXT(L2017,"000")),IF(B2017="Serviço",CONCATENATE(TEXT(H2017,"00"),".",TEXT(J2017,"000"),".",TEXT(L2017,"000"),".",TEXT(N2017,"000")),"")))))</f>
        <v/>
      </c>
      <c r="E2017" s="228" t="str">
        <f ca="1">IF(B2017="*","",IFERROR(IF(B2017="SERVIÇO",D2017,OFFSET(E2017,-1,0)),""))</f>
        <v>18.004.001.001</v>
      </c>
      <c r="F2017" s="230">
        <f ca="1">IF($B2017="UNIDADE CONSTRUTIVA",OFFSET(F2017,-1,0)+1,LARGE(F$10:F2016,1))</f>
        <v>2</v>
      </c>
      <c r="G2017" s="228" t="str">
        <f ca="1">IF(B2017="*","",IF(B2017="UNIDADE CONSTRUTIVA",S2017,OFFSET(G2017,-1,0)))</f>
        <v xml:space="preserve">   GERENCIAMENTO EXECUTIVO</v>
      </c>
      <c r="H2017" s="230">
        <f ca="1">IF(B2017="UNIDADE CONSTRUTIVA",0,IF(B2017="CÉLULA CONSTRUTIVA",OFFSET(H2017,-1,0)+1,OFFSET(H2017,-1,0)))</f>
        <v>18</v>
      </c>
      <c r="I2017" s="228" t="str">
        <f ca="1">IF(B2017="*","",IF(B2017="CÉLULA CONSTRUTIVA",S2017,OFFSET(I2017,-1,0)))</f>
        <v xml:space="preserve">   LOUÇAS E METAIS</v>
      </c>
      <c r="J2017" s="230">
        <f ca="1">IF(B2017="CÉLULA CONSTRUTIVA",0,IF(B2017="ETAPA",OFFSET(J2017,-1,0)+1,OFFSET(J2017,-1,0)))</f>
        <v>4</v>
      </c>
      <c r="K2017" s="228" t="str">
        <f ca="1">IF(B2017="*","",IF(B2017="ETAPA",S2017,OFFSET(K2017,-1,0)))</f>
        <v xml:space="preserve">   LOUÇAS E METAIS - 8º PAVIMENTO - COBERTURA</v>
      </c>
      <c r="L2017" s="231">
        <f ca="1">IF(B2017="ETAPA",0,IF(B2017="SUBETAPA",OFFSET(L2017,-1,0)+1,OFFSET(L2017,-1,0)))</f>
        <v>1</v>
      </c>
      <c r="M2017" s="228" t="str">
        <f ca="1">IF(B2017="*","",IF(B2017="SUBETAPA",S2017,OFFSET(M2017,-1,0)))</f>
        <v xml:space="preserve">   Aparelhos Sanitários - Louças - Metais e Acessórios</v>
      </c>
      <c r="N2017" s="231">
        <f ca="1">IF(B2017="Subetapa",0,IF(B2017="serviço",OFFSET(N2017,-1,0)+1,OFFSET(N2017,-1,0)))</f>
        <v>1</v>
      </c>
      <c r="O2017" s="228" t="str">
        <f ca="1">IF(B2017="*","",IF(B2017="SERVIÇO",S2017,OFFSET(O2017,-1,0)))</f>
        <v>Bacia com Caixa Acoplada</v>
      </c>
      <c r="P2017" s="232" t="str">
        <f>IF(S2017="","",IF(Orçamento!$B2017="INSUMO",S2017,""))</f>
        <v>MASSA PLASTICA BRANCA BI-COMPONENTE POLIESTER 400G</v>
      </c>
      <c r="Q2017" s="244" t="str">
        <f>IF(B2017="","",IF(B2017="Serviço",S2017,""))</f>
        <v/>
      </c>
      <c r="R2017" s="234">
        <f ca="1">IF(B2017="serviço",U2017,OFFSET(R2017,-1,0))</f>
        <v>1</v>
      </c>
      <c r="S2017" s="233" t="s">
        <v>841</v>
      </c>
      <c r="T2017" s="242" t="str">
        <f>_xlfn.XLOOKUP(S2017,Insumos!$A$3:$A$371,Insumos!$B$3:$B$371)</f>
        <v>UN</v>
      </c>
      <c r="U2017" s="235">
        <f t="shared" ca="1" si="1660"/>
        <v>1</v>
      </c>
      <c r="V2017" s="320">
        <v>1</v>
      </c>
      <c r="W2017" s="236">
        <f>IFERROR(IF(B2017="INSUMO",_xlfn.XLOOKUP(S2017,Insumos!A:A,Insumos!C:C),""),"Inserir Preço")</f>
        <v>12.88</v>
      </c>
      <c r="X2017" s="235">
        <f t="shared" ca="1" si="1661"/>
        <v>1</v>
      </c>
      <c r="Y2017" s="236">
        <f t="shared" si="1622"/>
        <v>12.88</v>
      </c>
      <c r="Z2017" s="237">
        <f t="shared" ca="1" si="1649"/>
        <v>12.88</v>
      </c>
      <c r="AA2017" s="238"/>
      <c r="AB2017" s="233" t="str">
        <f>IF(B2017="insumo",_xlfn.XLOOKUP(S2017,Insumos!A:A,Insumos!D:D),"")</f>
        <v xml:space="preserve"> </v>
      </c>
      <c r="AC2017" s="239">
        <f t="shared" ca="1" si="1650"/>
        <v>1.8477534295942462E-6</v>
      </c>
      <c r="AE2017" s="240">
        <f ca="1">IFERROR(IF(OR(Z2017="",Z2017=0),"",IF(AF2017="","",IF(AF2017="R$/mês",Z2017/OBRA!$D$12,IF(AF2017="R$/m²",Z2017/OBRA!$D$10,IF(AF2017="R$/apto",Orçamento!Z2017/OBRA!$D$11,""))))),"")</f>
        <v>6.628139746710374E-3</v>
      </c>
      <c r="AF2017" s="241" t="s">
        <v>154</v>
      </c>
    </row>
    <row r="2018" spans="1:32" s="10" customFormat="1" ht="13.15" hidden="1" customHeight="1" outlineLevel="4" x14ac:dyDescent="0.2">
      <c r="A2018" s="227"/>
      <c r="B2018" s="228" t="s">
        <v>19</v>
      </c>
      <c r="C2018" s="229">
        <f t="shared" si="1648"/>
        <v>7</v>
      </c>
      <c r="D2018" s="227" t="str">
        <f>IF(B2018="Unidade Construtiva",TEXT(F2018,"00"),IF(B2018="Célula Construtiva",TEXT(H2018,"00"),IF(B2018="Etapa",CONCATENATE(TEXT(H2018,"00"),".",TEXT(J2018,"000")),IF(B2018="Subetapa",CONCATENATE(TEXT(H2018,"00"),".",TEXT(J2018,"000"),".",TEXT(L2018,"000")),IF(B2018="Serviço",CONCATENATE(TEXT(H2018,"00"),".",TEXT(J2018,"000"),".",TEXT(L2018,"000"),".",TEXT(N2018,"000")),"")))))</f>
        <v/>
      </c>
      <c r="E2018" s="228" t="str">
        <f ca="1">IF(B2018="*","",IFERROR(IF(B2018="SERVIÇO",D2018,OFFSET(E2018,-1,0)),""))</f>
        <v>18.004.001.001</v>
      </c>
      <c r="F2018" s="230">
        <f ca="1">IF($B2018="UNIDADE CONSTRUTIVA",OFFSET(F2018,-1,0)+1,LARGE(F$10:F2017,1))</f>
        <v>2</v>
      </c>
      <c r="G2018" s="228" t="str">
        <f ca="1">IF(B2018="*","",IF(B2018="UNIDADE CONSTRUTIVA",S2018,OFFSET(G2018,-1,0)))</f>
        <v xml:space="preserve">   GERENCIAMENTO EXECUTIVO</v>
      </c>
      <c r="H2018" s="230">
        <f ca="1">IF(B2018="UNIDADE CONSTRUTIVA",0,IF(B2018="CÉLULA CONSTRUTIVA",OFFSET(H2018,-1,0)+1,OFFSET(H2018,-1,0)))</f>
        <v>18</v>
      </c>
      <c r="I2018" s="228" t="str">
        <f ca="1">IF(B2018="*","",IF(B2018="CÉLULA CONSTRUTIVA",S2018,OFFSET(I2018,-1,0)))</f>
        <v xml:space="preserve">   LOUÇAS E METAIS</v>
      </c>
      <c r="J2018" s="230">
        <f ca="1">IF(B2018="CÉLULA CONSTRUTIVA",0,IF(B2018="ETAPA",OFFSET(J2018,-1,0)+1,OFFSET(J2018,-1,0)))</f>
        <v>4</v>
      </c>
      <c r="K2018" s="228" t="str">
        <f ca="1">IF(B2018="*","",IF(B2018="ETAPA",S2018,OFFSET(K2018,-1,0)))</f>
        <v xml:space="preserve">   LOUÇAS E METAIS - 8º PAVIMENTO - COBERTURA</v>
      </c>
      <c r="L2018" s="231">
        <f ca="1">IF(B2018="ETAPA",0,IF(B2018="SUBETAPA",OFFSET(L2018,-1,0)+1,OFFSET(L2018,-1,0)))</f>
        <v>1</v>
      </c>
      <c r="M2018" s="228" t="str">
        <f ca="1">IF(B2018="*","",IF(B2018="SUBETAPA",S2018,OFFSET(M2018,-1,0)))</f>
        <v xml:space="preserve">   Aparelhos Sanitários - Louças - Metais e Acessórios</v>
      </c>
      <c r="N2018" s="231">
        <f ca="1">IF(B2018="Subetapa",0,IF(B2018="serviço",OFFSET(N2018,-1,0)+1,OFFSET(N2018,-1,0)))</f>
        <v>1</v>
      </c>
      <c r="O2018" s="228" t="str">
        <f ca="1">IF(B2018="*","",IF(B2018="SERVIÇO",S2018,OFFSET(O2018,-1,0)))</f>
        <v>Bacia com Caixa Acoplada</v>
      </c>
      <c r="P2018" s="232" t="str">
        <f>IF(S2018="","",IF(Orçamento!$B2018="INSUMO",S2018,""))</f>
        <v>SELANTE PU40 BASE POLIURETANO BRANCO 280ML</v>
      </c>
      <c r="Q2018" s="244" t="str">
        <f>IF(B2018="","",IF(B2018="Serviço",S2018,""))</f>
        <v/>
      </c>
      <c r="R2018" s="234">
        <f ca="1">IF(B2018="serviço",U2018,OFFSET(R2018,-1,0))</f>
        <v>1</v>
      </c>
      <c r="S2018" s="233" t="s">
        <v>842</v>
      </c>
      <c r="T2018" s="242" t="str">
        <f>_xlfn.XLOOKUP(S2018,Insumos!$A$3:$A$371,Insumos!$B$3:$B$371)</f>
        <v>UN</v>
      </c>
      <c r="U2018" s="235">
        <f t="shared" ca="1" si="1660"/>
        <v>1</v>
      </c>
      <c r="V2018" s="320">
        <v>8.4000000000000005E-2</v>
      </c>
      <c r="W2018" s="236">
        <f>IFERROR(IF(B2018="INSUMO",_xlfn.XLOOKUP(S2018,Insumos!A:A,Insumos!C:C),""),"Inserir Preço")</f>
        <v>15.9</v>
      </c>
      <c r="X2018" s="235">
        <f t="shared" ca="1" si="1661"/>
        <v>8.4000000000000005E-2</v>
      </c>
      <c r="Y2018" s="236">
        <f t="shared" si="1622"/>
        <v>1.3356000000000001</v>
      </c>
      <c r="Z2018" s="237">
        <f t="shared" ca="1" si="1649"/>
        <v>1.3356000000000001</v>
      </c>
      <c r="AA2018" s="238"/>
      <c r="AB2018" s="233" t="str">
        <f>IF(B2018="insumo",_xlfn.XLOOKUP(S2018,Insumos!A:A,Insumos!D:D),"")</f>
        <v xml:space="preserve"> </v>
      </c>
      <c r="AC2018" s="239">
        <f t="shared" ca="1" si="1650"/>
        <v>1.9160399693835989E-7</v>
      </c>
      <c r="AE2018" s="240">
        <f ca="1">IFERROR(IF(OR(Z2018="",Z2018=0),"",IF(AF2018="","",IF(AF2018="R$/mês",Z2018/OBRA!$D$12,IF(AF2018="R$/m²",Z2018/OBRA!$D$10,IF(AF2018="R$/apto",Orçamento!Z2018/OBRA!$D$11,""))))),"")</f>
        <v>6.8730927373496708E-4</v>
      </c>
      <c r="AF2018" s="241" t="s">
        <v>154</v>
      </c>
    </row>
    <row r="2019" spans="1:32" s="10" customFormat="1" ht="13.15" hidden="1" customHeight="1" outlineLevel="4" x14ac:dyDescent="0.2">
      <c r="A2019" s="227"/>
      <c r="B2019" s="228" t="s">
        <v>4</v>
      </c>
      <c r="C2019" s="229">
        <f t="shared" si="1648"/>
        <v>2</v>
      </c>
      <c r="D2019" s="227" t="str">
        <f t="shared" ref="D2019:D2026" ca="1" si="1662">IF(B2019="Unidade Construtiva",TEXT(F2019,"00"),IF(B2019="Célula Construtiva",TEXT(H2019,"00"),IF(B2019="Etapa",CONCATENATE(TEXT(H2019,"00"),".",TEXT(J2019,"000")),IF(B2019="Subetapa",CONCATENATE(TEXT(H2019,"00"),".",TEXT(J2019,"000"),".",TEXT(L2019,"000")),IF(B2019="Serviço",CONCATENATE(TEXT(H2019,"00"),".",TEXT(J2019,"000"),".",TEXT(L2019,"000"),".",TEXT(N2019,"000")),"")))))</f>
        <v>18.004.001.002</v>
      </c>
      <c r="E2019" s="228" t="str">
        <f t="shared" ref="E2019:E2026" ca="1" si="1663">IF(B2019="*","",IFERROR(IF(B2019="SERVIÇO",D2019,OFFSET(E2019,-1,0)),""))</f>
        <v>18.004.001.002</v>
      </c>
      <c r="F2019" s="230">
        <f ca="1">IF($B2019="UNIDADE CONSTRUTIVA",OFFSET(F2019,-1,0)+1,LARGE(F$10:F2018,1))</f>
        <v>2</v>
      </c>
      <c r="G2019" s="228" t="str">
        <f t="shared" ref="G2019:G2026" ca="1" si="1664">IF(B2019="*","",IF(B2019="UNIDADE CONSTRUTIVA",S2019,OFFSET(G2019,-1,0)))</f>
        <v xml:space="preserve">   GERENCIAMENTO EXECUTIVO</v>
      </c>
      <c r="H2019" s="230">
        <f t="shared" ref="H2019:H2026" ca="1" si="1665">IF(B2019="UNIDADE CONSTRUTIVA",0,IF(B2019="CÉLULA CONSTRUTIVA",OFFSET(H2019,-1,0)+1,OFFSET(H2019,-1,0)))</f>
        <v>18</v>
      </c>
      <c r="I2019" s="228" t="str">
        <f t="shared" ref="I2019:I2026" ca="1" si="1666">IF(B2019="*","",IF(B2019="CÉLULA CONSTRUTIVA",S2019,OFFSET(I2019,-1,0)))</f>
        <v xml:space="preserve">   LOUÇAS E METAIS</v>
      </c>
      <c r="J2019" s="230">
        <f t="shared" ref="J2019:J2026" ca="1" si="1667">IF(B2019="CÉLULA CONSTRUTIVA",0,IF(B2019="ETAPA",OFFSET(J2019,-1,0)+1,OFFSET(J2019,-1,0)))</f>
        <v>4</v>
      </c>
      <c r="K2019" s="228" t="str">
        <f t="shared" ref="K2019:K2026" ca="1" si="1668">IF(B2019="*","",IF(B2019="ETAPA",S2019,OFFSET(K2019,-1,0)))</f>
        <v xml:space="preserve">   LOUÇAS E METAIS - 8º PAVIMENTO - COBERTURA</v>
      </c>
      <c r="L2019" s="231">
        <f t="shared" ref="L2019:L2026" ca="1" si="1669">IF(B2019="ETAPA",0,IF(B2019="SUBETAPA",OFFSET(L2019,-1,0)+1,OFFSET(L2019,-1,0)))</f>
        <v>1</v>
      </c>
      <c r="M2019" s="228" t="str">
        <f t="shared" ref="M2019:M2026" ca="1" si="1670">IF(B2019="*","",IF(B2019="SUBETAPA",S2019,OFFSET(M2019,-1,0)))</f>
        <v xml:space="preserve">   Aparelhos Sanitários - Louças - Metais e Acessórios</v>
      </c>
      <c r="N2019" s="231">
        <f t="shared" ref="N2019:N2026" ca="1" si="1671">IF(B2019="Subetapa",0,IF(B2019="serviço",OFFSET(N2019,-1,0)+1,OFFSET(N2019,-1,0)))</f>
        <v>2</v>
      </c>
      <c r="O2019" s="228" t="str">
        <f t="shared" ref="O2019:O2026" ca="1" si="1672">IF(B2019="*","",IF(B2019="SERVIÇO",S2019,OFFSET(O2019,-1,0)))</f>
        <v>Lavatório  / Metais</v>
      </c>
      <c r="P2019" s="232" t="str">
        <f>IF(S2019="","",IF(Orçamento!$B2019="INSUMO",S2019,""))</f>
        <v/>
      </c>
      <c r="Q2019" s="244" t="str">
        <f t="shared" ref="Q2019:Q2026" si="1673">IF(B2019="","",IF(B2019="Serviço",S2019,""))</f>
        <v>Lavatório  / Metais</v>
      </c>
      <c r="R2019" s="234">
        <f t="shared" ref="R2019:R2026" ca="1" si="1674">IF(B2019="serviço",U2019,OFFSET(R2019,-1,0))</f>
        <v>1</v>
      </c>
      <c r="S2019" s="233" t="s">
        <v>854</v>
      </c>
      <c r="T2019" s="242" t="s">
        <v>142</v>
      </c>
      <c r="U2019" s="235">
        <v>1</v>
      </c>
      <c r="V2019" s="320" t="s">
        <v>35</v>
      </c>
      <c r="W2019" s="236" t="str">
        <f>IFERROR(IF(B2019="INSUMO",_xlfn.XLOOKUP(S2019,Insumos!A:A,Insumos!C:C),""),"Inserir Preço")</f>
        <v/>
      </c>
      <c r="X2019" s="235">
        <f t="shared" ca="1" si="1661"/>
        <v>1</v>
      </c>
      <c r="Y2019" s="236">
        <f t="shared" ca="1" si="1622"/>
        <v>568.67599999999993</v>
      </c>
      <c r="Z2019" s="237">
        <f t="shared" ca="1" si="1649"/>
        <v>568.67599999999993</v>
      </c>
      <c r="AA2019" s="238"/>
      <c r="AB2019" s="233" t="str">
        <f>IF(B2019="insumo",_xlfn.XLOOKUP(S2019,Insumos!A:A,Insumos!D:D),"")</f>
        <v/>
      </c>
      <c r="AC2019" s="239">
        <f t="shared" ca="1" si="1650"/>
        <v>8.1581756935398858E-5</v>
      </c>
      <c r="AE2019" s="240">
        <f ca="1">IFERROR(IF(OR(Z2019="",Z2019=0),"",IF(AF2019="","",IF(AF2019="R$/mês",Z2019/OBRA!$D$12,IF(AF2019="R$/m²",Z2019/OBRA!$D$10,IF(AF2019="R$/apto",Orçamento!Z2019/OBRA!$D$11,""))))),"")</f>
        <v>0.29264472038821959</v>
      </c>
      <c r="AF2019" s="241" t="s">
        <v>154</v>
      </c>
    </row>
    <row r="2020" spans="1:32" s="10" customFormat="1" ht="13.15" hidden="1" customHeight="1" outlineLevel="4" x14ac:dyDescent="0.2">
      <c r="A2020" s="227"/>
      <c r="B2020" s="228" t="s">
        <v>19</v>
      </c>
      <c r="C2020" s="229">
        <f t="shared" si="1648"/>
        <v>7</v>
      </c>
      <c r="D2020" s="227" t="str">
        <f t="shared" si="1662"/>
        <v/>
      </c>
      <c r="E2020" s="228" t="str">
        <f t="shared" ca="1" si="1663"/>
        <v>18.004.001.002</v>
      </c>
      <c r="F2020" s="230">
        <f ca="1">IF($B2020="UNIDADE CONSTRUTIVA",OFFSET(F2020,-1,0)+1,LARGE(F$10:F2019,1))</f>
        <v>2</v>
      </c>
      <c r="G2020" s="228" t="str">
        <f t="shared" ca="1" si="1664"/>
        <v xml:space="preserve">   GERENCIAMENTO EXECUTIVO</v>
      </c>
      <c r="H2020" s="230">
        <f t="shared" ca="1" si="1665"/>
        <v>18</v>
      </c>
      <c r="I2020" s="228" t="str">
        <f t="shared" ca="1" si="1666"/>
        <v xml:space="preserve">   LOUÇAS E METAIS</v>
      </c>
      <c r="J2020" s="230">
        <f t="shared" ca="1" si="1667"/>
        <v>4</v>
      </c>
      <c r="K2020" s="228" t="str">
        <f t="shared" ca="1" si="1668"/>
        <v xml:space="preserve">   LOUÇAS E METAIS - 8º PAVIMENTO - COBERTURA</v>
      </c>
      <c r="L2020" s="231">
        <f t="shared" ca="1" si="1669"/>
        <v>1</v>
      </c>
      <c r="M2020" s="228" t="str">
        <f t="shared" ca="1" si="1670"/>
        <v xml:space="preserve">   Aparelhos Sanitários - Louças - Metais e Acessórios</v>
      </c>
      <c r="N2020" s="231">
        <f t="shared" ca="1" si="1671"/>
        <v>2</v>
      </c>
      <c r="O2020" s="228" t="str">
        <f t="shared" ca="1" si="1672"/>
        <v>Lavatório  / Metais</v>
      </c>
      <c r="P2020" s="232" t="str">
        <f>IF(S2020="","",IF(Orçamento!$B2020="INSUMO",S2020,""))</f>
        <v>FITA VEDA ROSCA 18MMX50M NBR 13124</v>
      </c>
      <c r="Q2020" s="244" t="str">
        <f t="shared" si="1673"/>
        <v/>
      </c>
      <c r="R2020" s="234">
        <f t="shared" ca="1" si="1674"/>
        <v>1</v>
      </c>
      <c r="S2020" s="233" t="s">
        <v>840</v>
      </c>
      <c r="T2020" s="242" t="str">
        <f>_xlfn.XLOOKUP(S2020,Insumos!$A$3:$A$371,Insumos!$B$3:$B$371)</f>
        <v>UN</v>
      </c>
      <c r="U2020" s="235">
        <f t="shared" ref="U2020:U2027" ca="1" si="1675">IF($B2020="insumo",R2020,"")</f>
        <v>1</v>
      </c>
      <c r="V2020" s="320">
        <v>0.84</v>
      </c>
      <c r="W2020" s="236">
        <f>IFERROR(IF(B2020="INSUMO",_xlfn.XLOOKUP(S2020,Insumos!A:A,Insumos!C:C),""),"Inserir Preço")</f>
        <v>6.56</v>
      </c>
      <c r="X2020" s="235">
        <f t="shared" ca="1" si="1661"/>
        <v>0.84</v>
      </c>
      <c r="Y2020" s="236">
        <f t="shared" si="1622"/>
        <v>5.5103999999999997</v>
      </c>
      <c r="Z2020" s="237">
        <f t="shared" ca="1" si="1649"/>
        <v>5.5103999999999997</v>
      </c>
      <c r="AA2020" s="238"/>
      <c r="AB2020" s="233" t="str">
        <f>IF(B2020="insumo",_xlfn.XLOOKUP(S2020,Insumos!A:A,Insumos!D:D),"")</f>
        <v xml:space="preserve"> </v>
      </c>
      <c r="AC2020" s="239">
        <f t="shared" ca="1" si="1650"/>
        <v>7.9051711944379915E-7</v>
      </c>
      <c r="AE2020" s="240">
        <f ca="1">IFERROR(IF(OR(Z2020="",Z2020=0),"",IF(AF2020="","",IF(AF2020="R$/mês",Z2020/OBRA!$D$12,IF(AF2020="R$/m²",Z2020/OBRA!$D$10,IF(AF2020="R$/apto",Orçamento!Z2020/OBRA!$D$11,""))))),"")</f>
        <v>2.8356910916360902E-3</v>
      </c>
      <c r="AF2020" s="241" t="s">
        <v>154</v>
      </c>
    </row>
    <row r="2021" spans="1:32" s="10" customFormat="1" ht="13.15" hidden="1" customHeight="1" outlineLevel="4" x14ac:dyDescent="0.2">
      <c r="A2021" s="227"/>
      <c r="B2021" s="228" t="s">
        <v>19</v>
      </c>
      <c r="C2021" s="229">
        <f t="shared" si="1648"/>
        <v>7</v>
      </c>
      <c r="D2021" s="227" t="str">
        <f t="shared" si="1662"/>
        <v/>
      </c>
      <c r="E2021" s="228" t="str">
        <f t="shared" ca="1" si="1663"/>
        <v>18.004.001.002</v>
      </c>
      <c r="F2021" s="230">
        <f ca="1">IF($B2021="UNIDADE CONSTRUTIVA",OFFSET(F2021,-1,0)+1,LARGE(F$10:F2020,1))</f>
        <v>2</v>
      </c>
      <c r="G2021" s="228" t="str">
        <f t="shared" ca="1" si="1664"/>
        <v xml:space="preserve">   GERENCIAMENTO EXECUTIVO</v>
      </c>
      <c r="H2021" s="230">
        <f t="shared" ca="1" si="1665"/>
        <v>18</v>
      </c>
      <c r="I2021" s="228" t="str">
        <f t="shared" ca="1" si="1666"/>
        <v xml:space="preserve">   LOUÇAS E METAIS</v>
      </c>
      <c r="J2021" s="230">
        <f t="shared" ca="1" si="1667"/>
        <v>4</v>
      </c>
      <c r="K2021" s="228" t="str">
        <f t="shared" ca="1" si="1668"/>
        <v xml:space="preserve">   LOUÇAS E METAIS - 8º PAVIMENTO - COBERTURA</v>
      </c>
      <c r="L2021" s="231">
        <f t="shared" ca="1" si="1669"/>
        <v>1</v>
      </c>
      <c r="M2021" s="228" t="str">
        <f t="shared" ca="1" si="1670"/>
        <v xml:space="preserve">   Aparelhos Sanitários - Louças - Metais e Acessórios</v>
      </c>
      <c r="N2021" s="231">
        <f t="shared" ca="1" si="1671"/>
        <v>2</v>
      </c>
      <c r="O2021" s="228" t="str">
        <f t="shared" ca="1" si="1672"/>
        <v>Lavatório  / Metais</v>
      </c>
      <c r="P2021" s="232" t="str">
        <f>IF(S2021="","",IF(Orçamento!$B2021="INSUMO",S2021,""))</f>
        <v>MASSA PLASTICA BRANCA BI-COMPONENTE POLIESTER 400G</v>
      </c>
      <c r="Q2021" s="244" t="str">
        <f t="shared" si="1673"/>
        <v/>
      </c>
      <c r="R2021" s="234">
        <f t="shared" ca="1" si="1674"/>
        <v>1</v>
      </c>
      <c r="S2021" s="233" t="s">
        <v>841</v>
      </c>
      <c r="T2021" s="242" t="str">
        <f>_xlfn.XLOOKUP(S2021,Insumos!$A$3:$A$371,Insumos!$B$3:$B$371)</f>
        <v>UN</v>
      </c>
      <c r="U2021" s="235">
        <f t="shared" ca="1" si="1675"/>
        <v>1</v>
      </c>
      <c r="V2021" s="320">
        <v>1</v>
      </c>
      <c r="W2021" s="236">
        <f>IFERROR(IF(B2021="INSUMO",_xlfn.XLOOKUP(S2021,Insumos!A:A,Insumos!C:C),""),"Inserir Preço")</f>
        <v>12.88</v>
      </c>
      <c r="X2021" s="235">
        <f t="shared" ca="1" si="1661"/>
        <v>1</v>
      </c>
      <c r="Y2021" s="236">
        <f t="shared" si="1622"/>
        <v>12.88</v>
      </c>
      <c r="Z2021" s="237">
        <f t="shared" ca="1" si="1649"/>
        <v>12.88</v>
      </c>
      <c r="AA2021" s="238"/>
      <c r="AB2021" s="233" t="str">
        <f>IF(B2021="insumo",_xlfn.XLOOKUP(S2021,Insumos!A:A,Insumos!D:D),"")</f>
        <v xml:space="preserve"> </v>
      </c>
      <c r="AC2021" s="239">
        <f t="shared" ca="1" si="1650"/>
        <v>1.8477534295942462E-6</v>
      </c>
      <c r="AE2021" s="240">
        <f ca="1">IFERROR(IF(OR(Z2021="",Z2021=0),"",IF(AF2021="","",IF(AF2021="R$/mês",Z2021/OBRA!$D$12,IF(AF2021="R$/m²",Z2021/OBRA!$D$10,IF(AF2021="R$/apto",Orçamento!Z2021/OBRA!$D$11,""))))),"")</f>
        <v>6.628139746710374E-3</v>
      </c>
      <c r="AF2021" s="241" t="s">
        <v>154</v>
      </c>
    </row>
    <row r="2022" spans="1:32" s="10" customFormat="1" ht="13.15" hidden="1" customHeight="1" outlineLevel="4" x14ac:dyDescent="0.2">
      <c r="A2022" s="227"/>
      <c r="B2022" s="228" t="s">
        <v>19</v>
      </c>
      <c r="C2022" s="229">
        <f t="shared" si="1648"/>
        <v>7</v>
      </c>
      <c r="D2022" s="227" t="str">
        <f t="shared" si="1662"/>
        <v/>
      </c>
      <c r="E2022" s="228" t="str">
        <f t="shared" ca="1" si="1663"/>
        <v>18.004.001.002</v>
      </c>
      <c r="F2022" s="230">
        <f ca="1">IF($B2022="UNIDADE CONSTRUTIVA",OFFSET(F2022,-1,0)+1,LARGE(F$10:F2021,1))</f>
        <v>2</v>
      </c>
      <c r="G2022" s="228" t="str">
        <f t="shared" ca="1" si="1664"/>
        <v xml:space="preserve">   GERENCIAMENTO EXECUTIVO</v>
      </c>
      <c r="H2022" s="230">
        <f t="shared" ca="1" si="1665"/>
        <v>18</v>
      </c>
      <c r="I2022" s="228" t="str">
        <f t="shared" ca="1" si="1666"/>
        <v xml:space="preserve">   LOUÇAS E METAIS</v>
      </c>
      <c r="J2022" s="230">
        <f t="shared" ca="1" si="1667"/>
        <v>4</v>
      </c>
      <c r="K2022" s="228" t="str">
        <f t="shared" ca="1" si="1668"/>
        <v xml:space="preserve">   LOUÇAS E METAIS - 8º PAVIMENTO - COBERTURA</v>
      </c>
      <c r="L2022" s="231">
        <f t="shared" ca="1" si="1669"/>
        <v>1</v>
      </c>
      <c r="M2022" s="228" t="str">
        <f t="shared" ca="1" si="1670"/>
        <v xml:space="preserve">   Aparelhos Sanitários - Louças - Metais e Acessórios</v>
      </c>
      <c r="N2022" s="231">
        <f t="shared" ca="1" si="1671"/>
        <v>2</v>
      </c>
      <c r="O2022" s="228" t="str">
        <f t="shared" ca="1" si="1672"/>
        <v>Lavatório  / Metais</v>
      </c>
      <c r="P2022" s="232" t="str">
        <f>IF(S2022="","",IF(Orçamento!$B2022="INSUMO",S2022,""))</f>
        <v>SELANTE PU40 BASE POLIURETANO BRANCO 280ML</v>
      </c>
      <c r="Q2022" s="244" t="str">
        <f t="shared" si="1673"/>
        <v/>
      </c>
      <c r="R2022" s="234">
        <f t="shared" ca="1" si="1674"/>
        <v>1</v>
      </c>
      <c r="S2022" s="233" t="s">
        <v>842</v>
      </c>
      <c r="T2022" s="242" t="str">
        <f>_xlfn.XLOOKUP(S2022,Insumos!$A$3:$A$371,Insumos!$B$3:$B$371)</f>
        <v>UN</v>
      </c>
      <c r="U2022" s="235">
        <f t="shared" ca="1" si="1675"/>
        <v>1</v>
      </c>
      <c r="V2022" s="320">
        <v>8.4000000000000005E-2</v>
      </c>
      <c r="W2022" s="236">
        <f>IFERROR(IF(B2022="INSUMO",_xlfn.XLOOKUP(S2022,Insumos!A:A,Insumos!C:C),""),"Inserir Preço")</f>
        <v>15.9</v>
      </c>
      <c r="X2022" s="235">
        <f t="shared" ca="1" si="1661"/>
        <v>8.4000000000000005E-2</v>
      </c>
      <c r="Y2022" s="236">
        <f t="shared" si="1622"/>
        <v>1.3356000000000001</v>
      </c>
      <c r="Z2022" s="237">
        <f t="shared" ca="1" si="1649"/>
        <v>1.3356000000000001</v>
      </c>
      <c r="AA2022" s="238"/>
      <c r="AB2022" s="233" t="str">
        <f>IF(B2022="insumo",_xlfn.XLOOKUP(S2022,Insumos!A:A,Insumos!D:D),"")</f>
        <v xml:space="preserve"> </v>
      </c>
      <c r="AC2022" s="239">
        <f t="shared" ca="1" si="1650"/>
        <v>1.9160399693835989E-7</v>
      </c>
      <c r="AE2022" s="240">
        <f ca="1">IFERROR(IF(OR(Z2022="",Z2022=0),"",IF(AF2022="","",IF(AF2022="R$/mês",Z2022/OBRA!$D$12,IF(AF2022="R$/m²",Z2022/OBRA!$D$10,IF(AF2022="R$/apto",Orçamento!Z2022/OBRA!$D$11,""))))),"")</f>
        <v>6.8730927373496708E-4</v>
      </c>
      <c r="AF2022" s="241" t="s">
        <v>154</v>
      </c>
    </row>
    <row r="2023" spans="1:32" s="10" customFormat="1" ht="13.15" hidden="1" customHeight="1" outlineLevel="4" x14ac:dyDescent="0.2">
      <c r="A2023" s="227"/>
      <c r="B2023" s="228" t="s">
        <v>19</v>
      </c>
      <c r="C2023" s="229">
        <f t="shared" si="1648"/>
        <v>6</v>
      </c>
      <c r="D2023" s="227" t="str">
        <f t="shared" si="1662"/>
        <v/>
      </c>
      <c r="E2023" s="228" t="str">
        <f t="shared" ca="1" si="1663"/>
        <v>18.004.001.002</v>
      </c>
      <c r="F2023" s="230">
        <f ca="1">IF($B2023="UNIDADE CONSTRUTIVA",OFFSET(F2023,-1,0)+1,LARGE(F$10:F2022,1))</f>
        <v>2</v>
      </c>
      <c r="G2023" s="228" t="str">
        <f t="shared" ca="1" si="1664"/>
        <v xml:space="preserve">   GERENCIAMENTO EXECUTIVO</v>
      </c>
      <c r="H2023" s="230">
        <f t="shared" ca="1" si="1665"/>
        <v>18</v>
      </c>
      <c r="I2023" s="228" t="str">
        <f t="shared" ca="1" si="1666"/>
        <v xml:space="preserve">   LOUÇAS E METAIS</v>
      </c>
      <c r="J2023" s="230">
        <f t="shared" ca="1" si="1667"/>
        <v>4</v>
      </c>
      <c r="K2023" s="228" t="str">
        <f t="shared" ca="1" si="1668"/>
        <v xml:space="preserve">   LOUÇAS E METAIS - 8º PAVIMENTO - COBERTURA</v>
      </c>
      <c r="L2023" s="231">
        <f t="shared" ca="1" si="1669"/>
        <v>1</v>
      </c>
      <c r="M2023" s="228" t="str">
        <f t="shared" ca="1" si="1670"/>
        <v xml:space="preserve">   Aparelhos Sanitários - Louças - Metais e Acessórios</v>
      </c>
      <c r="N2023" s="231">
        <f t="shared" ca="1" si="1671"/>
        <v>2</v>
      </c>
      <c r="O2023" s="228" t="str">
        <f t="shared" ca="1" si="1672"/>
        <v>Lavatório  / Metais</v>
      </c>
      <c r="P2023" s="232" t="str">
        <f>IF(S2023="","",IF(Orçamento!$B2023="INSUMO",S2023,""))</f>
        <v>ENGATE FLEXIVEL PVC 1/2"X30CM NBR 14878</v>
      </c>
      <c r="Q2023" s="244" t="str">
        <f t="shared" si="1673"/>
        <v/>
      </c>
      <c r="R2023" s="234">
        <f t="shared" ca="1" si="1674"/>
        <v>1</v>
      </c>
      <c r="S2023" s="233" t="s">
        <v>838</v>
      </c>
      <c r="T2023" s="242" t="str">
        <f>_xlfn.XLOOKUP(S2023,Insumos!$A$3:$A$371,Insumos!$B$3:$B$371)</f>
        <v>un</v>
      </c>
      <c r="U2023" s="235">
        <f t="shared" ca="1" si="1675"/>
        <v>1</v>
      </c>
      <c r="V2023" s="320">
        <v>1</v>
      </c>
      <c r="W2023" s="236">
        <f>IFERROR(IF(B2023="INSUMO",_xlfn.XLOOKUP(S2023,Insumos!A:A,Insumos!C:C),""),"Inserir Preço")</f>
        <v>14.75</v>
      </c>
      <c r="X2023" s="235">
        <f t="shared" ca="1" si="1661"/>
        <v>1</v>
      </c>
      <c r="Y2023" s="236">
        <f t="shared" si="1622"/>
        <v>14.75</v>
      </c>
      <c r="Z2023" s="237">
        <f t="shared" ca="1" si="1649"/>
        <v>14.75</v>
      </c>
      <c r="AA2023" s="238"/>
      <c r="AB2023" s="233" t="str">
        <f>IF(B2023="insumo",_xlfn.XLOOKUP(S2023,Insumos!A:A,Insumos!D:D),"")</f>
        <v>Base de Dados</v>
      </c>
      <c r="AC2023" s="239">
        <f t="shared" ca="1" si="1650"/>
        <v>2.1160219787667025E-6</v>
      </c>
      <c r="AE2023" s="240">
        <f ca="1">IFERROR(IF(OR(Z2023="",Z2023=0),"",IF(AF2023="","",IF(AF2023="R$/mês",Z2023/OBRA!$D$12,IF(AF2023="R$/m²",Z2023/OBRA!$D$10,IF(AF2023="R$/apto",Orçamento!Z2023/OBRA!$D$11,""))))),"")</f>
        <v>7.5904550670790388E-3</v>
      </c>
      <c r="AF2023" s="241" t="s">
        <v>154</v>
      </c>
    </row>
    <row r="2024" spans="1:32" s="10" customFormat="1" ht="13.15" hidden="1" customHeight="1" outlineLevel="4" x14ac:dyDescent="0.2">
      <c r="A2024" s="227"/>
      <c r="B2024" s="228" t="s">
        <v>19</v>
      </c>
      <c r="C2024" s="229">
        <f t="shared" si="1648"/>
        <v>2</v>
      </c>
      <c r="D2024" s="227" t="str">
        <f t="shared" si="1662"/>
        <v/>
      </c>
      <c r="E2024" s="228" t="str">
        <f t="shared" ca="1" si="1663"/>
        <v>18.004.001.002</v>
      </c>
      <c r="F2024" s="230">
        <f ca="1">IF($B2024="UNIDADE CONSTRUTIVA",OFFSET(F2024,-1,0)+1,LARGE(F$10:F2023,1))</f>
        <v>2</v>
      </c>
      <c r="G2024" s="228" t="str">
        <f t="shared" ca="1" si="1664"/>
        <v xml:space="preserve">   GERENCIAMENTO EXECUTIVO</v>
      </c>
      <c r="H2024" s="230">
        <f t="shared" ca="1" si="1665"/>
        <v>18</v>
      </c>
      <c r="I2024" s="228" t="str">
        <f t="shared" ca="1" si="1666"/>
        <v xml:space="preserve">   LOUÇAS E METAIS</v>
      </c>
      <c r="J2024" s="230">
        <f t="shared" ca="1" si="1667"/>
        <v>4</v>
      </c>
      <c r="K2024" s="228" t="str">
        <f t="shared" ca="1" si="1668"/>
        <v xml:space="preserve">   LOUÇAS E METAIS - 8º PAVIMENTO - COBERTURA</v>
      </c>
      <c r="L2024" s="231">
        <f t="shared" ca="1" si="1669"/>
        <v>1</v>
      </c>
      <c r="M2024" s="228" t="str">
        <f t="shared" ca="1" si="1670"/>
        <v xml:space="preserve">   Aparelhos Sanitários - Louças - Metais e Acessórios</v>
      </c>
      <c r="N2024" s="231">
        <f t="shared" ca="1" si="1671"/>
        <v>2</v>
      </c>
      <c r="O2024" s="228" t="str">
        <f t="shared" ca="1" si="1672"/>
        <v>Lavatório  / Metais</v>
      </c>
      <c r="P2024" s="232" t="str">
        <f>IF(S2024="","",IF(Orçamento!$B2024="INSUMO",S2024,""))</f>
        <v>CUBA LOUCA P/LAVATORIO REDONDA EMBUTIR</v>
      </c>
      <c r="Q2024" s="244" t="str">
        <f t="shared" si="1673"/>
        <v/>
      </c>
      <c r="R2024" s="234">
        <f t="shared" ca="1" si="1674"/>
        <v>1</v>
      </c>
      <c r="S2024" s="233" t="s">
        <v>852</v>
      </c>
      <c r="T2024" s="242" t="str">
        <f>_xlfn.XLOOKUP(S2024,Insumos!$A$3:$A$371,Insumos!$B$3:$B$371)</f>
        <v>un</v>
      </c>
      <c r="U2024" s="235">
        <f t="shared" ca="1" si="1675"/>
        <v>1</v>
      </c>
      <c r="V2024" s="320">
        <v>1</v>
      </c>
      <c r="W2024" s="236">
        <f>IFERROR(IF(B2024="INSUMO",_xlfn.XLOOKUP(S2024,Insumos!A:A,Insumos!C:C),""),"Inserir Preço")</f>
        <v>265.89999999999998</v>
      </c>
      <c r="X2024" s="235">
        <f t="shared" ca="1" si="1661"/>
        <v>1</v>
      </c>
      <c r="Y2024" s="236">
        <f t="shared" ref="Y2024:Y2087" si="1676">IF(B2024="insumo",W2024*V2024,IF(B2024="serviço",SUMIFS(Y:Y,B:B,"insumo",E:E,E2024,I:I,I2024),""))</f>
        <v>265.89999999999998</v>
      </c>
      <c r="Z2024" s="237">
        <f t="shared" ca="1" si="1649"/>
        <v>265.89999999999998</v>
      </c>
      <c r="AA2024" s="238"/>
      <c r="AB2024" s="233" t="str">
        <f>IF(B2024="insumo",_xlfn.XLOOKUP(S2024,Insumos!A:A,Insumos!D:D),"")</f>
        <v>Base de Dados</v>
      </c>
      <c r="AC2024" s="239">
        <f t="shared" ca="1" si="1650"/>
        <v>3.8145779264682454E-5</v>
      </c>
      <c r="AE2024" s="240">
        <f ca="1">IFERROR(IF(OR(Z2024="",Z2024=0),"",IF(AF2024="","",IF(AF2024="R$/mês",Z2024/OBRA!$D$12,IF(AF2024="R$/m²",Z2024/OBRA!$D$10,IF(AF2024="R$/apto",Orçamento!Z2024/OBRA!$D$11,""))))),"")</f>
        <v>0.13683403405669939</v>
      </c>
      <c r="AF2024" s="241" t="s">
        <v>154</v>
      </c>
    </row>
    <row r="2025" spans="1:32" s="10" customFormat="1" ht="13.15" hidden="1" customHeight="1" outlineLevel="4" x14ac:dyDescent="0.2">
      <c r="A2025" s="227"/>
      <c r="B2025" s="228" t="s">
        <v>19</v>
      </c>
      <c r="C2025" s="229">
        <f t="shared" si="1648"/>
        <v>4</v>
      </c>
      <c r="D2025" s="227" t="str">
        <f t="shared" si="1662"/>
        <v/>
      </c>
      <c r="E2025" s="228" t="str">
        <f t="shared" ca="1" si="1663"/>
        <v>18.004.001.002</v>
      </c>
      <c r="F2025" s="230">
        <f ca="1">IF($B2025="UNIDADE CONSTRUTIVA",OFFSET(F2025,-1,0)+1,LARGE(F$10:F2024,1))</f>
        <v>2</v>
      </c>
      <c r="G2025" s="228" t="str">
        <f t="shared" ca="1" si="1664"/>
        <v xml:space="preserve">   GERENCIAMENTO EXECUTIVO</v>
      </c>
      <c r="H2025" s="230">
        <f t="shared" ca="1" si="1665"/>
        <v>18</v>
      </c>
      <c r="I2025" s="228" t="str">
        <f t="shared" ca="1" si="1666"/>
        <v xml:space="preserve">   LOUÇAS E METAIS</v>
      </c>
      <c r="J2025" s="230">
        <f t="shared" ca="1" si="1667"/>
        <v>4</v>
      </c>
      <c r="K2025" s="228" t="str">
        <f t="shared" ca="1" si="1668"/>
        <v xml:space="preserve">   LOUÇAS E METAIS - 8º PAVIMENTO - COBERTURA</v>
      </c>
      <c r="L2025" s="231">
        <f t="shared" ca="1" si="1669"/>
        <v>1</v>
      </c>
      <c r="M2025" s="228" t="str">
        <f t="shared" ca="1" si="1670"/>
        <v xml:space="preserve">   Aparelhos Sanitários - Louças - Metais e Acessórios</v>
      </c>
      <c r="N2025" s="231">
        <f t="shared" ca="1" si="1671"/>
        <v>2</v>
      </c>
      <c r="O2025" s="228" t="str">
        <f t="shared" ca="1" si="1672"/>
        <v>Lavatório  / Metais</v>
      </c>
      <c r="P2025" s="232" t="str">
        <f>IF(S2025="","",IF(Orçamento!$B2025="INSUMO",S2025,""))</f>
        <v>SIFAO PVC FLEXIVEL MULTIUSO BRANCO 63CM</v>
      </c>
      <c r="Q2025" s="244" t="str">
        <f t="shared" si="1673"/>
        <v/>
      </c>
      <c r="R2025" s="234">
        <f t="shared" ca="1" si="1674"/>
        <v>1</v>
      </c>
      <c r="S2025" s="233" t="s">
        <v>845</v>
      </c>
      <c r="T2025" s="242" t="str">
        <f>_xlfn.XLOOKUP(S2025,Insumos!$A$3:$A$371,Insumos!$B$3:$B$371)</f>
        <v>un</v>
      </c>
      <c r="U2025" s="235">
        <f t="shared" ca="1" si="1675"/>
        <v>1</v>
      </c>
      <c r="V2025" s="320">
        <v>1</v>
      </c>
      <c r="W2025" s="236">
        <f>IFERROR(IF(B2025="INSUMO",_xlfn.XLOOKUP(S2025,Insumos!A:A,Insumos!C:C),""),"Inserir Preço")</f>
        <v>13.9</v>
      </c>
      <c r="X2025" s="235">
        <f t="shared" ca="1" si="1661"/>
        <v>1</v>
      </c>
      <c r="Y2025" s="236">
        <f t="shared" si="1676"/>
        <v>13.9</v>
      </c>
      <c r="Z2025" s="237">
        <f t="shared" ca="1" si="1649"/>
        <v>13.9</v>
      </c>
      <c r="AA2025" s="238"/>
      <c r="AB2025" s="233" t="str">
        <f>IF(B2025="insumo",_xlfn.XLOOKUP(S2025,Insumos!A:A,Insumos!D:D),"")</f>
        <v>Base de Dados</v>
      </c>
      <c r="AC2025" s="239">
        <f t="shared" ca="1" si="1650"/>
        <v>1.9940817291428587E-6</v>
      </c>
      <c r="AE2025" s="240">
        <f ca="1">IFERROR(IF(OR(Z2025="",Z2025=0),"",IF(AF2025="","",IF(AF2025="R$/mês",Z2025/OBRA!$D$12,IF(AF2025="R$/m²",Z2025/OBRA!$D$10,IF(AF2025="R$/apto",Orçamento!Z2025/OBRA!$D$11,""))))),"")</f>
        <v>7.1530390123660092E-3</v>
      </c>
      <c r="AF2025" s="241" t="s">
        <v>154</v>
      </c>
    </row>
    <row r="2026" spans="1:32" s="10" customFormat="1" ht="13.15" hidden="1" customHeight="1" outlineLevel="4" x14ac:dyDescent="0.2">
      <c r="A2026" s="227"/>
      <c r="B2026" s="228" t="s">
        <v>19</v>
      </c>
      <c r="C2026" s="229">
        <f t="shared" si="1648"/>
        <v>2</v>
      </c>
      <c r="D2026" s="227" t="str">
        <f t="shared" si="1662"/>
        <v/>
      </c>
      <c r="E2026" s="228" t="str">
        <f t="shared" ca="1" si="1663"/>
        <v>18.004.001.002</v>
      </c>
      <c r="F2026" s="230">
        <f ca="1">IF($B2026="UNIDADE CONSTRUTIVA",OFFSET(F2026,-1,0)+1,LARGE(F$10:F2025,1))</f>
        <v>2</v>
      </c>
      <c r="G2026" s="228" t="str">
        <f t="shared" ca="1" si="1664"/>
        <v xml:space="preserve">   GERENCIAMENTO EXECUTIVO</v>
      </c>
      <c r="H2026" s="230">
        <f t="shared" ca="1" si="1665"/>
        <v>18</v>
      </c>
      <c r="I2026" s="228" t="str">
        <f t="shared" ca="1" si="1666"/>
        <v xml:space="preserve">   LOUÇAS E METAIS</v>
      </c>
      <c r="J2026" s="230">
        <f t="shared" ca="1" si="1667"/>
        <v>4</v>
      </c>
      <c r="K2026" s="228" t="str">
        <f t="shared" ca="1" si="1668"/>
        <v xml:space="preserve">   LOUÇAS E METAIS - 8º PAVIMENTO - COBERTURA</v>
      </c>
      <c r="L2026" s="231">
        <f t="shared" ca="1" si="1669"/>
        <v>1</v>
      </c>
      <c r="M2026" s="228" t="str">
        <f t="shared" ca="1" si="1670"/>
        <v xml:space="preserve">   Aparelhos Sanitários - Louças - Metais e Acessórios</v>
      </c>
      <c r="N2026" s="231">
        <f t="shared" ca="1" si="1671"/>
        <v>2</v>
      </c>
      <c r="O2026" s="228" t="str">
        <f t="shared" ca="1" si="1672"/>
        <v>Lavatório  / Metais</v>
      </c>
      <c r="P2026" s="232" t="str">
        <f>IF(S2026="","",IF(Orçamento!$B2026="INSUMO",S2026,""))</f>
        <v>VALVULA P/LAVATORIO ACO CARBONO CROMADO 1"</v>
      </c>
      <c r="Q2026" s="244" t="str">
        <f t="shared" si="1673"/>
        <v/>
      </c>
      <c r="R2026" s="234">
        <f t="shared" ca="1" si="1674"/>
        <v>1</v>
      </c>
      <c r="S2026" s="233" t="s">
        <v>850</v>
      </c>
      <c r="T2026" s="242" t="str">
        <f>_xlfn.XLOOKUP(S2026,Insumos!$A$3:$A$371,Insumos!$B$3:$B$371)</f>
        <v>UN</v>
      </c>
      <c r="U2026" s="235">
        <f t="shared" ca="1" si="1675"/>
        <v>1</v>
      </c>
      <c r="V2026" s="320">
        <v>1</v>
      </c>
      <c r="W2026" s="236">
        <f>IFERROR(IF(B2026="INSUMO",_xlfn.XLOOKUP(S2026,Insumos!A:A,Insumos!C:C),""),"Inserir Preço")</f>
        <v>24.5</v>
      </c>
      <c r="X2026" s="235">
        <f t="shared" ca="1" si="1661"/>
        <v>1</v>
      </c>
      <c r="Y2026" s="236">
        <f t="shared" si="1676"/>
        <v>24.5</v>
      </c>
      <c r="Z2026" s="237">
        <f t="shared" ca="1" si="1649"/>
        <v>24.5</v>
      </c>
      <c r="AA2026" s="238"/>
      <c r="AB2026" s="233" t="str">
        <f>IF(B2026="insumo",_xlfn.XLOOKUP(S2026,Insumos!A:A,Insumos!D:D),"")</f>
        <v>Base de Dados</v>
      </c>
      <c r="AC2026" s="239">
        <f t="shared" ca="1" si="1650"/>
        <v>3.5147483715107941E-6</v>
      </c>
      <c r="AE2026" s="240">
        <f ca="1">IFERROR(IF(OR(Z2026="",Z2026=0),"",IF(AF2026="","",IF(AF2026="R$/mês",Z2026/OBRA!$D$12,IF(AF2026="R$/m²",Z2026/OBRA!$D$10,IF(AF2026="R$/apto",Orçamento!Z2026/OBRA!$D$11,""))))),"")</f>
        <v>1.2607874518199081E-2</v>
      </c>
      <c r="AF2026" s="241" t="s">
        <v>154</v>
      </c>
    </row>
    <row r="2027" spans="1:32" s="10" customFormat="1" ht="13.15" hidden="1" customHeight="1" outlineLevel="4" x14ac:dyDescent="0.2">
      <c r="A2027" s="227"/>
      <c r="B2027" s="228" t="s">
        <v>19</v>
      </c>
      <c r="C2027" s="229">
        <f t="shared" si="1648"/>
        <v>2</v>
      </c>
      <c r="D2027" s="227" t="str">
        <f>IF(B2027="Unidade Construtiva",TEXT(F2027,"00"),IF(B2027="Célula Construtiva",TEXT(H2027,"00"),IF(B2027="Etapa",CONCATENATE(TEXT(H2027,"00"),".",TEXT(J2027,"000")),IF(B2027="Subetapa",CONCATENATE(TEXT(H2027,"00"),".",TEXT(J2027,"000"),".",TEXT(L2027,"000")),IF(B2027="Serviço",CONCATENATE(TEXT(H2027,"00"),".",TEXT(J2027,"000"),".",TEXT(L2027,"000"),".",TEXT(N2027,"000")),"")))))</f>
        <v/>
      </c>
      <c r="E2027" s="228" t="str">
        <f ca="1">IF(B2027="*","",IFERROR(IF(B2027="SERVIÇO",D2027,OFFSET(E2027,-1,0)),""))</f>
        <v>18.004.001.002</v>
      </c>
      <c r="F2027" s="230">
        <f ca="1">IF($B2027="UNIDADE CONSTRUTIVA",OFFSET(F2027,-1,0)+1,LARGE(F$10:F2026,1))</f>
        <v>2</v>
      </c>
      <c r="G2027" s="228" t="str">
        <f ca="1">IF(B2027="*","",IF(B2027="UNIDADE CONSTRUTIVA",S2027,OFFSET(G2027,-1,0)))</f>
        <v xml:space="preserve">   GERENCIAMENTO EXECUTIVO</v>
      </c>
      <c r="H2027" s="230">
        <f ca="1">IF(B2027="UNIDADE CONSTRUTIVA",0,IF(B2027="CÉLULA CONSTRUTIVA",OFFSET(H2027,-1,0)+1,OFFSET(H2027,-1,0)))</f>
        <v>18</v>
      </c>
      <c r="I2027" s="228" t="str">
        <f ca="1">IF(B2027="*","",IF(B2027="CÉLULA CONSTRUTIVA",S2027,OFFSET(I2027,-1,0)))</f>
        <v xml:space="preserve">   LOUÇAS E METAIS</v>
      </c>
      <c r="J2027" s="230">
        <f ca="1">IF(B2027="CÉLULA CONSTRUTIVA",0,IF(B2027="ETAPA",OFFSET(J2027,-1,0)+1,OFFSET(J2027,-1,0)))</f>
        <v>4</v>
      </c>
      <c r="K2027" s="228" t="str">
        <f ca="1">IF(B2027="*","",IF(B2027="ETAPA",S2027,OFFSET(K2027,-1,0)))</f>
        <v xml:space="preserve">   LOUÇAS E METAIS - 8º PAVIMENTO - COBERTURA</v>
      </c>
      <c r="L2027" s="231">
        <f ca="1">IF(B2027="ETAPA",0,IF(B2027="SUBETAPA",OFFSET(L2027,-1,0)+1,OFFSET(L2027,-1,0)))</f>
        <v>1</v>
      </c>
      <c r="M2027" s="228" t="str">
        <f ca="1">IF(B2027="*","",IF(B2027="SUBETAPA",S2027,OFFSET(M2027,-1,0)))</f>
        <v xml:space="preserve">   Aparelhos Sanitários - Louças - Metais e Acessórios</v>
      </c>
      <c r="N2027" s="231">
        <f ca="1">IF(B2027="Subetapa",0,IF(B2027="serviço",OFFSET(N2027,-1,0)+1,OFFSET(N2027,-1,0)))</f>
        <v>2</v>
      </c>
      <c r="O2027" s="228" t="str">
        <f ca="1">IF(B2027="*","",IF(B2027="SERVIÇO",S2027,OFFSET(O2027,-1,0)))</f>
        <v>Lavatório  / Metais</v>
      </c>
      <c r="P2027" s="232" t="str">
        <f>IF(S2027="","",IF(Orçamento!$B2027="INSUMO",S2027,""))</f>
        <v>TORNEIRA LATAO CROMADO MESA P/LAVATORIO 1/2" NOVA PERTUTTI BICA BAIXA</v>
      </c>
      <c r="Q2027" s="244" t="str">
        <f>IF(B2027="","",IF(B2027="Serviço",S2027,""))</f>
        <v/>
      </c>
      <c r="R2027" s="234">
        <f ca="1">IF(B2027="serviço",U2027,OFFSET(R2027,-1,0))</f>
        <v>1</v>
      </c>
      <c r="S2027" s="233" t="s">
        <v>849</v>
      </c>
      <c r="T2027" s="242" t="str">
        <f>_xlfn.XLOOKUP(S2027,Insumos!$A$3:$A$371,Insumos!$B$3:$B$371)</f>
        <v>un</v>
      </c>
      <c r="U2027" s="235">
        <f t="shared" ca="1" si="1675"/>
        <v>1</v>
      </c>
      <c r="V2027" s="320">
        <v>1</v>
      </c>
      <c r="W2027" s="236">
        <f>IFERROR(IF(B2027="INSUMO",_xlfn.XLOOKUP(S2027,Insumos!A:A,Insumos!C:C),""),"Inserir Preço")</f>
        <v>229.9</v>
      </c>
      <c r="X2027" s="235">
        <f ca="1">IF(B2027="Complemento do insumo",V2027,IF(R2027="","",IF(B2027="serviço",R2027,IF(OR(B2027="insumo"),V2027*R2027,""))))</f>
        <v>1</v>
      </c>
      <c r="Y2027" s="236">
        <f t="shared" si="1676"/>
        <v>229.9</v>
      </c>
      <c r="Z2027" s="237">
        <f t="shared" ca="1" si="1649"/>
        <v>229.9</v>
      </c>
      <c r="AA2027" s="238"/>
      <c r="AB2027" s="233" t="str">
        <f>IF(B2027="insumo",_xlfn.XLOOKUP(S2027,Insumos!A:A,Insumos!D:D),"")</f>
        <v>Base de Dados</v>
      </c>
      <c r="AC2027" s="239">
        <f t="shared" ca="1" si="1650"/>
        <v>3.2981251045319659E-5</v>
      </c>
      <c r="AE2027" s="240">
        <f ca="1">IFERROR(IF(OR(Z2027="",Z2027=0),"",IF(AF2027="","",IF(AF2027="R$/mês",Z2027/OBRA!$D$12,IF(AF2027="R$/m²",Z2027/OBRA!$D$10,IF(AF2027="R$/apto",Orçamento!Z2027/OBRA!$D$11,""))))),"")</f>
        <v>0.11830817762179464</v>
      </c>
      <c r="AF2027" s="241" t="s">
        <v>154</v>
      </c>
    </row>
    <row r="2028" spans="1:32" s="10" customFormat="1" ht="13.15" hidden="1" customHeight="1" outlineLevel="4" x14ac:dyDescent="0.2">
      <c r="A2028" s="227"/>
      <c r="B2028" s="228" t="s">
        <v>4</v>
      </c>
      <c r="C2028" s="229">
        <f t="shared" si="1648"/>
        <v>1</v>
      </c>
      <c r="D2028" s="227" t="str">
        <f ca="1">IF(B2028="Unidade Construtiva",TEXT(F2028,"00"),IF(B2028="Célula Construtiva",TEXT(H2028,"00"),IF(B2028="Etapa",CONCATENATE(TEXT(H2028,"00"),".",TEXT(J2028,"000")),IF(B2028="Subetapa",CONCATENATE(TEXT(H2028,"00"),".",TEXT(J2028,"000"),".",TEXT(L2028,"000")),IF(B2028="Serviço",CONCATENATE(TEXT(H2028,"00"),".",TEXT(J2028,"000"),".",TEXT(L2028,"000"),".",TEXT(N2028,"000")),"")))))</f>
        <v>18.004.001.003</v>
      </c>
      <c r="E2028" s="228" t="str">
        <f ca="1">IF(B2028="*","",IFERROR(IF(B2028="SERVIÇO",D2028,OFFSET(E2028,-1,0)),""))</f>
        <v>18.004.001.003</v>
      </c>
      <c r="F2028" s="230">
        <f ca="1">IF($B2028="UNIDADE CONSTRUTIVA",OFFSET(F2028,-1,0)+1,LARGE(F$10:F2027,1))</f>
        <v>2</v>
      </c>
      <c r="G2028" s="228" t="str">
        <f ca="1">IF(B2028="*","",IF(B2028="UNIDADE CONSTRUTIVA",S2028,OFFSET(G2028,-1,0)))</f>
        <v xml:space="preserve">   GERENCIAMENTO EXECUTIVO</v>
      </c>
      <c r="H2028" s="230">
        <f ca="1">IF(B2028="UNIDADE CONSTRUTIVA",0,IF(B2028="CÉLULA CONSTRUTIVA",OFFSET(H2028,-1,0)+1,OFFSET(H2028,-1,0)))</f>
        <v>18</v>
      </c>
      <c r="I2028" s="228" t="str">
        <f ca="1">IF(B2028="*","",IF(B2028="CÉLULA CONSTRUTIVA",S2028,OFFSET(I2028,-1,0)))</f>
        <v xml:space="preserve">   LOUÇAS E METAIS</v>
      </c>
      <c r="J2028" s="230">
        <f ca="1">IF(B2028="CÉLULA CONSTRUTIVA",0,IF(B2028="ETAPA",OFFSET(J2028,-1,0)+1,OFFSET(J2028,-1,0)))</f>
        <v>4</v>
      </c>
      <c r="K2028" s="228" t="str">
        <f ca="1">IF(B2028="*","",IF(B2028="ETAPA",S2028,OFFSET(K2028,-1,0)))</f>
        <v xml:space="preserve">   LOUÇAS E METAIS - 8º PAVIMENTO - COBERTURA</v>
      </c>
      <c r="L2028" s="231">
        <f ca="1">IF(B2028="ETAPA",0,IF(B2028="SUBETAPA",OFFSET(L2028,-1,0)+1,OFFSET(L2028,-1,0)))</f>
        <v>1</v>
      </c>
      <c r="M2028" s="228" t="str">
        <f ca="1">IF(B2028="*","",IF(B2028="SUBETAPA",S2028,OFFSET(M2028,-1,0)))</f>
        <v xml:space="preserve">   Aparelhos Sanitários - Louças - Metais e Acessórios</v>
      </c>
      <c r="N2028" s="231">
        <f ca="1">IF(B2028="Subetapa",0,IF(B2028="serviço",OFFSET(N2028,-1,0)+1,OFFSET(N2028,-1,0)))</f>
        <v>3</v>
      </c>
      <c r="O2028" s="228" t="str">
        <f ca="1">IF(B2028="*","",IF(B2028="SERVIÇO",S2028,OFFSET(O2028,-1,0)))</f>
        <v>Cuba simples em Inox / Metais</v>
      </c>
      <c r="P2028" s="232" t="str">
        <f>IF(S2028="","",IF(Orçamento!$B2028="INSUMO",S2028,""))</f>
        <v/>
      </c>
      <c r="Q2028" s="244" t="str">
        <f>IF(B2028="","",IF(B2028="Serviço",S2028,""))</f>
        <v>Cuba simples em Inox / Metais</v>
      </c>
      <c r="R2028" s="234">
        <f ca="1">IF(B2028="serviço",U2028,OFFSET(R2028,-1,0))</f>
        <v>1</v>
      </c>
      <c r="S2028" s="233" t="s">
        <v>848</v>
      </c>
      <c r="T2028" s="242" t="s">
        <v>142</v>
      </c>
      <c r="U2028" s="235">
        <v>1</v>
      </c>
      <c r="V2028" s="320" t="s">
        <v>35</v>
      </c>
      <c r="W2028" s="236" t="str">
        <f>IFERROR(IF(B2028="INSUMO",_xlfn.XLOOKUP(S2028,Insumos!A:A,Insumos!C:C),""),"Inserir Preço")</f>
        <v/>
      </c>
      <c r="X2028" s="235">
        <f ca="1">IF(B2028="Complemento do insumo",V2028,IF(R2028="","",IF(B2028="serviço",R2028,IF(OR(B2028="insumo"),V2028*R2028,""))))</f>
        <v>1</v>
      </c>
      <c r="Y2028" s="236">
        <f t="shared" ca="1" si="1676"/>
        <v>919.62599999999998</v>
      </c>
      <c r="Z2028" s="237">
        <f t="shared" ca="1" si="1649"/>
        <v>919.62599999999998</v>
      </c>
      <c r="AA2028" s="238"/>
      <c r="AB2028" s="233" t="str">
        <f>IF(B2028="insumo",_xlfn.XLOOKUP(S2028,Insumos!A:A,Insumos!D:D),"")</f>
        <v/>
      </c>
      <c r="AC2028" s="239">
        <f t="shared" ca="1" si="1650"/>
        <v>1.3192873411832593E-4</v>
      </c>
      <c r="AE2028" s="240">
        <f ca="1">IFERROR(IF(OR(Z2028="",Z2028=0),"",IF(AF2028="","",IF(AF2028="R$/mês",Z2028/OBRA!$D$12,IF(AF2028="R$/m²",Z2028/OBRA!$D$10,IF(AF2028="R$/apto",Orçamento!Z2028/OBRA!$D$11,""))))),"")</f>
        <v>0.47324609027238151</v>
      </c>
      <c r="AF2028" s="241" t="s">
        <v>154</v>
      </c>
    </row>
    <row r="2029" spans="1:32" s="10" customFormat="1" ht="13.15" hidden="1" customHeight="1" outlineLevel="4" x14ac:dyDescent="0.2">
      <c r="A2029" s="227"/>
      <c r="B2029" s="228" t="s">
        <v>19</v>
      </c>
      <c r="C2029" s="229">
        <f t="shared" si="1648"/>
        <v>1</v>
      </c>
      <c r="D2029" s="227" t="str">
        <f>IF(B2029="Unidade Construtiva",TEXT(F2029,"00"),IF(B2029="Célula Construtiva",TEXT(H2029,"00"),IF(B2029="Etapa",CONCATENATE(TEXT(H2029,"00"),".",TEXT(J2029,"000")),IF(B2029="Subetapa",CONCATENATE(TEXT(H2029,"00"),".",TEXT(J2029,"000"),".",TEXT(L2029,"000")),IF(B2029="Serviço",CONCATENATE(TEXT(H2029,"00"),".",TEXT(J2029,"000"),".",TEXT(L2029,"000"),".",TEXT(N2029,"000")),"")))))</f>
        <v/>
      </c>
      <c r="E2029" s="228" t="str">
        <f ca="1">IF(B2029="*","",IFERROR(IF(B2029="SERVIÇO",D2029,OFFSET(E2029,-1,0)),""))</f>
        <v>18.004.001.003</v>
      </c>
      <c r="F2029" s="230">
        <f ca="1">IF($B2029="UNIDADE CONSTRUTIVA",OFFSET(F2029,-1,0)+1,LARGE(F$10:F2028,1))</f>
        <v>2</v>
      </c>
      <c r="G2029" s="228" t="str">
        <f ca="1">IF(B2029="*","",IF(B2029="UNIDADE CONSTRUTIVA",S2029,OFFSET(G2029,-1,0)))</f>
        <v xml:space="preserve">   GERENCIAMENTO EXECUTIVO</v>
      </c>
      <c r="H2029" s="230">
        <f ca="1">IF(B2029="UNIDADE CONSTRUTIVA",0,IF(B2029="CÉLULA CONSTRUTIVA",OFFSET(H2029,-1,0)+1,OFFSET(H2029,-1,0)))</f>
        <v>18</v>
      </c>
      <c r="I2029" s="228" t="str">
        <f ca="1">IF(B2029="*","",IF(B2029="CÉLULA CONSTRUTIVA",S2029,OFFSET(I2029,-1,0)))</f>
        <v xml:space="preserve">   LOUÇAS E METAIS</v>
      </c>
      <c r="J2029" s="230">
        <f ca="1">IF(B2029="CÉLULA CONSTRUTIVA",0,IF(B2029="ETAPA",OFFSET(J2029,-1,0)+1,OFFSET(J2029,-1,0)))</f>
        <v>4</v>
      </c>
      <c r="K2029" s="228" t="str">
        <f ca="1">IF(B2029="*","",IF(B2029="ETAPA",S2029,OFFSET(K2029,-1,0)))</f>
        <v xml:space="preserve">   LOUÇAS E METAIS - 8º PAVIMENTO - COBERTURA</v>
      </c>
      <c r="L2029" s="231">
        <f ca="1">IF(B2029="ETAPA",0,IF(B2029="SUBETAPA",OFFSET(L2029,-1,0)+1,OFFSET(L2029,-1,0)))</f>
        <v>1</v>
      </c>
      <c r="M2029" s="228" t="str">
        <f ca="1">IF(B2029="*","",IF(B2029="SUBETAPA",S2029,OFFSET(M2029,-1,0)))</f>
        <v xml:space="preserve">   Aparelhos Sanitários - Louças - Metais e Acessórios</v>
      </c>
      <c r="N2029" s="231">
        <f ca="1">IF(B2029="Subetapa",0,IF(B2029="serviço",OFFSET(N2029,-1,0)+1,OFFSET(N2029,-1,0)))</f>
        <v>3</v>
      </c>
      <c r="O2029" s="228" t="str">
        <f ca="1">IF(B2029="*","",IF(B2029="SERVIÇO",S2029,OFFSET(O2029,-1,0)))</f>
        <v>Cuba simples em Inox / Metais</v>
      </c>
      <c r="P2029" s="232" t="str">
        <f>IF(S2029="","",IF(Orçamento!$B2029="INSUMO",S2029,""))</f>
        <v>CUBA ACO INOX 304 P/PIA COZINHA EMBUTIR SIMPLES Nº0 400X340X140MM</v>
      </c>
      <c r="Q2029" s="244" t="str">
        <f>IF(B2029="","",IF(B2029="Serviço",S2029,""))</f>
        <v/>
      </c>
      <c r="R2029" s="234">
        <f ca="1">IF(B2029="serviço",U2029,OFFSET(R2029,-1,0))</f>
        <v>1</v>
      </c>
      <c r="S2029" s="233" t="s">
        <v>844</v>
      </c>
      <c r="T2029" s="242" t="str">
        <f>_xlfn.XLOOKUP(S2029,Insumos!$A$3:$A$371,Insumos!$B$3:$B$371)</f>
        <v>un</v>
      </c>
      <c r="U2029" s="235">
        <f t="shared" ref="U2029:U2036" ca="1" si="1677">IF($B2029="insumo",R2029,"")</f>
        <v>1</v>
      </c>
      <c r="V2029" s="320">
        <v>1</v>
      </c>
      <c r="W2029" s="236">
        <f>IFERROR(IF(B2029="INSUMO",_xlfn.XLOOKUP(S2029,Insumos!A:A,Insumos!C:C),""),"Inserir Preço")</f>
        <v>652</v>
      </c>
      <c r="X2029" s="235">
        <f ca="1">IF(B2029="Complemento do insumo",V2029,IF(R2029="","",IF(B2029="serviço",R2029,IF(OR(B2029="insumo"),V2029*R2029,""))))</f>
        <v>1</v>
      </c>
      <c r="Y2029" s="236">
        <f t="shared" si="1676"/>
        <v>652</v>
      </c>
      <c r="Z2029" s="237">
        <f t="shared" ca="1" si="1649"/>
        <v>652</v>
      </c>
      <c r="AA2029" s="238"/>
      <c r="AB2029" s="233" t="str">
        <f>IF(B2029="insumo",_xlfn.XLOOKUP(S2029,Insumos!A:A,Insumos!D:D),"")</f>
        <v>Base de Dados</v>
      </c>
      <c r="AC2029" s="239">
        <f t="shared" ca="1" si="1650"/>
        <v>9.3535344417348487E-5</v>
      </c>
      <c r="AE2029" s="240">
        <f ca="1">IFERROR(IF(OR(Z2029="",Z2029=0),"",IF(AF2029="","",IF(AF2029="R$/mês",Z2029/OBRA!$D$12,IF(AF2029="R$/m²",Z2029/OBRA!$D$10,IF(AF2029="R$/apto",Orçamento!Z2029/OBRA!$D$11,""))))),"")</f>
        <v>0.33552384432105309</v>
      </c>
      <c r="AF2029" s="241" t="s">
        <v>154</v>
      </c>
    </row>
    <row r="2030" spans="1:32" s="10" customFormat="1" ht="13.15" hidden="1" customHeight="1" outlineLevel="4" x14ac:dyDescent="0.2">
      <c r="A2030" s="227"/>
      <c r="B2030" s="228" t="s">
        <v>19</v>
      </c>
      <c r="C2030" s="229">
        <f t="shared" si="1648"/>
        <v>4</v>
      </c>
      <c r="D2030" s="227" t="str">
        <f>IF(B2030="Unidade Construtiva",TEXT(F2030,"00"),IF(B2030="Célula Construtiva",TEXT(H2030,"00"),IF(B2030="Etapa",CONCATENATE(TEXT(H2030,"00"),".",TEXT(J2030,"000")),IF(B2030="Subetapa",CONCATENATE(TEXT(H2030,"00"),".",TEXT(J2030,"000"),".",TEXT(L2030,"000")),IF(B2030="Serviço",CONCATENATE(TEXT(H2030,"00"),".",TEXT(J2030,"000"),".",TEXT(L2030,"000"),".",TEXT(N2030,"000")),"")))))</f>
        <v/>
      </c>
      <c r="E2030" s="228" t="str">
        <f ca="1">IF(B2030="*","",IFERROR(IF(B2030="SERVIÇO",D2030,OFFSET(E2030,-1,0)),""))</f>
        <v>18.004.001.003</v>
      </c>
      <c r="F2030" s="230">
        <f ca="1">IF($B2030="UNIDADE CONSTRUTIVA",OFFSET(F2030,-1,0)+1,LARGE(F$10:F2029,1))</f>
        <v>2</v>
      </c>
      <c r="G2030" s="228" t="str">
        <f ca="1">IF(B2030="*","",IF(B2030="UNIDADE CONSTRUTIVA",S2030,OFFSET(G2030,-1,0)))</f>
        <v xml:space="preserve">   GERENCIAMENTO EXECUTIVO</v>
      </c>
      <c r="H2030" s="230">
        <f ca="1">IF(B2030="UNIDADE CONSTRUTIVA",0,IF(B2030="CÉLULA CONSTRUTIVA",OFFSET(H2030,-1,0)+1,OFFSET(H2030,-1,0)))</f>
        <v>18</v>
      </c>
      <c r="I2030" s="228" t="str">
        <f ca="1">IF(B2030="*","",IF(B2030="CÉLULA CONSTRUTIVA",S2030,OFFSET(I2030,-1,0)))</f>
        <v xml:space="preserve">   LOUÇAS E METAIS</v>
      </c>
      <c r="J2030" s="230">
        <f ca="1">IF(B2030="CÉLULA CONSTRUTIVA",0,IF(B2030="ETAPA",OFFSET(J2030,-1,0)+1,OFFSET(J2030,-1,0)))</f>
        <v>4</v>
      </c>
      <c r="K2030" s="228" t="str">
        <f ca="1">IF(B2030="*","",IF(B2030="ETAPA",S2030,OFFSET(K2030,-1,0)))</f>
        <v xml:space="preserve">   LOUÇAS E METAIS - 8º PAVIMENTO - COBERTURA</v>
      </c>
      <c r="L2030" s="231">
        <f ca="1">IF(B2030="ETAPA",0,IF(B2030="SUBETAPA",OFFSET(L2030,-1,0)+1,OFFSET(L2030,-1,0)))</f>
        <v>1</v>
      </c>
      <c r="M2030" s="228" t="str">
        <f ca="1">IF(B2030="*","",IF(B2030="SUBETAPA",S2030,OFFSET(M2030,-1,0)))</f>
        <v xml:space="preserve">   Aparelhos Sanitários - Louças - Metais e Acessórios</v>
      </c>
      <c r="N2030" s="231">
        <f ca="1">IF(B2030="Subetapa",0,IF(B2030="serviço",OFFSET(N2030,-1,0)+1,OFFSET(N2030,-1,0)))</f>
        <v>3</v>
      </c>
      <c r="O2030" s="228" t="str">
        <f ca="1">IF(B2030="*","",IF(B2030="SERVIÇO",S2030,OFFSET(O2030,-1,0)))</f>
        <v>Cuba simples em Inox / Metais</v>
      </c>
      <c r="P2030" s="232" t="str">
        <f>IF(S2030="","",IF(Orçamento!$B2030="INSUMO",S2030,""))</f>
        <v>SIFAO PVC FLEXIVEL MULTIUSO BRANCO 63CM</v>
      </c>
      <c r="Q2030" s="244" t="str">
        <f>IF(B2030="","",IF(B2030="Serviço",S2030,""))</f>
        <v/>
      </c>
      <c r="R2030" s="234">
        <f ca="1">IF(B2030="serviço",U2030,OFFSET(R2030,-1,0))</f>
        <v>1</v>
      </c>
      <c r="S2030" s="233" t="s">
        <v>845</v>
      </c>
      <c r="T2030" s="242" t="str">
        <f>_xlfn.XLOOKUP(S2030,Insumos!$A$3:$A$371,Insumos!$B$3:$B$371)</f>
        <v>un</v>
      </c>
      <c r="U2030" s="235">
        <f t="shared" ca="1" si="1677"/>
        <v>1</v>
      </c>
      <c r="V2030" s="320">
        <v>1</v>
      </c>
      <c r="W2030" s="236">
        <f>IFERROR(IF(B2030="INSUMO",_xlfn.XLOOKUP(S2030,Insumos!A:A,Insumos!C:C),""),"Inserir Preço")</f>
        <v>13.9</v>
      </c>
      <c r="X2030" s="235">
        <f ca="1">IF(B2030="Complemento do insumo",V2030,IF(R2030="","",IF(B2030="serviço",R2030,IF(OR(B2030="insumo"),V2030*R2030,""))))</f>
        <v>1</v>
      </c>
      <c r="Y2030" s="236">
        <f t="shared" si="1676"/>
        <v>13.9</v>
      </c>
      <c r="Z2030" s="237">
        <f t="shared" ca="1" si="1649"/>
        <v>13.9</v>
      </c>
      <c r="AA2030" s="238"/>
      <c r="AB2030" s="233" t="str">
        <f>IF(B2030="insumo",_xlfn.XLOOKUP(S2030,Insumos!A:A,Insumos!D:D),"")</f>
        <v>Base de Dados</v>
      </c>
      <c r="AC2030" s="239">
        <f t="shared" ca="1" si="1650"/>
        <v>1.9940817291428587E-6</v>
      </c>
      <c r="AE2030" s="240">
        <f ca="1">IFERROR(IF(OR(Z2030="",Z2030=0),"",IF(AF2030="","",IF(AF2030="R$/mês",Z2030/OBRA!$D$12,IF(AF2030="R$/m²",Z2030/OBRA!$D$10,IF(AF2030="R$/apto",Orçamento!Z2030/OBRA!$D$11,""))))),"")</f>
        <v>7.1530390123660092E-3</v>
      </c>
      <c r="AF2030" s="241" t="s">
        <v>154</v>
      </c>
    </row>
    <row r="2031" spans="1:32" s="10" customFormat="1" ht="13.15" hidden="1" customHeight="1" outlineLevel="4" x14ac:dyDescent="0.2">
      <c r="A2031" s="227"/>
      <c r="B2031" s="228" t="s">
        <v>19</v>
      </c>
      <c r="C2031" s="229">
        <f t="shared" si="1648"/>
        <v>6</v>
      </c>
      <c r="D2031" s="227" t="str">
        <f>IF(B2031="Unidade Construtiva",TEXT(F2031,"00"),IF(B2031="Célula Construtiva",TEXT(H2031,"00"),IF(B2031="Etapa",CONCATENATE(TEXT(H2031,"00"),".",TEXT(J2031,"000")),IF(B2031="Subetapa",CONCATENATE(TEXT(H2031,"00"),".",TEXT(J2031,"000"),".",TEXT(L2031,"000")),IF(B2031="Serviço",CONCATENATE(TEXT(H2031,"00"),".",TEXT(J2031,"000"),".",TEXT(L2031,"000"),".",TEXT(N2031,"000")),"")))))</f>
        <v/>
      </c>
      <c r="E2031" s="228" t="str">
        <f ca="1">IF(B2031="*","",IFERROR(IF(B2031="SERVIÇO",D2031,OFFSET(E2031,-1,0)),""))</f>
        <v>18.004.001.003</v>
      </c>
      <c r="F2031" s="230">
        <f ca="1">IF($B2031="UNIDADE CONSTRUTIVA",OFFSET(F2031,-1,0)+1,LARGE(F$10:F2030,1))</f>
        <v>2</v>
      </c>
      <c r="G2031" s="228" t="str">
        <f ca="1">IF(B2031="*","",IF(B2031="UNIDADE CONSTRUTIVA",S2031,OFFSET(G2031,-1,0)))</f>
        <v xml:space="preserve">   GERENCIAMENTO EXECUTIVO</v>
      </c>
      <c r="H2031" s="230">
        <f ca="1">IF(B2031="UNIDADE CONSTRUTIVA",0,IF(B2031="CÉLULA CONSTRUTIVA",OFFSET(H2031,-1,0)+1,OFFSET(H2031,-1,0)))</f>
        <v>18</v>
      </c>
      <c r="I2031" s="228" t="str">
        <f ca="1">IF(B2031="*","",IF(B2031="CÉLULA CONSTRUTIVA",S2031,OFFSET(I2031,-1,0)))</f>
        <v xml:space="preserve">   LOUÇAS E METAIS</v>
      </c>
      <c r="J2031" s="230">
        <f ca="1">IF(B2031="CÉLULA CONSTRUTIVA",0,IF(B2031="ETAPA",OFFSET(J2031,-1,0)+1,OFFSET(J2031,-1,0)))</f>
        <v>4</v>
      </c>
      <c r="K2031" s="228" t="str">
        <f ca="1">IF(B2031="*","",IF(B2031="ETAPA",S2031,OFFSET(K2031,-1,0)))</f>
        <v xml:space="preserve">   LOUÇAS E METAIS - 8º PAVIMENTO - COBERTURA</v>
      </c>
      <c r="L2031" s="231">
        <f ca="1">IF(B2031="ETAPA",0,IF(B2031="SUBETAPA",OFFSET(L2031,-1,0)+1,OFFSET(L2031,-1,0)))</f>
        <v>1</v>
      </c>
      <c r="M2031" s="228" t="str">
        <f ca="1">IF(B2031="*","",IF(B2031="SUBETAPA",S2031,OFFSET(M2031,-1,0)))</f>
        <v xml:space="preserve">   Aparelhos Sanitários - Louças - Metais e Acessórios</v>
      </c>
      <c r="N2031" s="231">
        <f ca="1">IF(B2031="Subetapa",0,IF(B2031="serviço",OFFSET(N2031,-1,0)+1,OFFSET(N2031,-1,0)))</f>
        <v>3</v>
      </c>
      <c r="O2031" s="228" t="str">
        <f ca="1">IF(B2031="*","",IF(B2031="SERVIÇO",S2031,OFFSET(O2031,-1,0)))</f>
        <v>Cuba simples em Inox / Metais</v>
      </c>
      <c r="P2031" s="232" t="str">
        <f>IF(S2031="","",IF(Orçamento!$B2031="INSUMO",S2031,""))</f>
        <v>ENGATE FLEXIVEL PVC 1/2"X30CM NBR 14878</v>
      </c>
      <c r="Q2031" s="244" t="str">
        <f>IF(B2031="","",IF(B2031="Serviço",S2031,""))</f>
        <v/>
      </c>
      <c r="R2031" s="234">
        <f ca="1">IF(B2031="serviço",U2031,OFFSET(R2031,-1,0))</f>
        <v>1</v>
      </c>
      <c r="S2031" s="233" t="s">
        <v>838</v>
      </c>
      <c r="T2031" s="242" t="str">
        <f>_xlfn.XLOOKUP(S2031,Insumos!$A$3:$A$371,Insumos!$B$3:$B$371)</f>
        <v>un</v>
      </c>
      <c r="U2031" s="235">
        <f t="shared" ca="1" si="1677"/>
        <v>1</v>
      </c>
      <c r="V2031" s="320">
        <v>1</v>
      </c>
      <c r="W2031" s="236">
        <f>IFERROR(IF(B2031="INSUMO",_xlfn.XLOOKUP(S2031,Insumos!A:A,Insumos!C:C),""),"Inserir Preço")</f>
        <v>14.75</v>
      </c>
      <c r="X2031" s="235">
        <f ca="1">IF(B2031="Complemento do insumo",V2031,IF(R2031="","",IF(B2031="serviço",R2031,IF(OR(B2031="insumo"),V2031*R2031,""))))</f>
        <v>1</v>
      </c>
      <c r="Y2031" s="236">
        <f t="shared" si="1676"/>
        <v>14.75</v>
      </c>
      <c r="Z2031" s="237">
        <f t="shared" ca="1" si="1649"/>
        <v>14.75</v>
      </c>
      <c r="AA2031" s="238"/>
      <c r="AB2031" s="233" t="str">
        <f>IF(B2031="insumo",_xlfn.XLOOKUP(S2031,Insumos!A:A,Insumos!D:D),"")</f>
        <v>Base de Dados</v>
      </c>
      <c r="AC2031" s="239">
        <f t="shared" ca="1" si="1650"/>
        <v>2.1160219787667025E-6</v>
      </c>
      <c r="AE2031" s="240">
        <f ca="1">IFERROR(IF(OR(Z2031="",Z2031=0),"",IF(AF2031="","",IF(AF2031="R$/mês",Z2031/OBRA!$D$12,IF(AF2031="R$/m²",Z2031/OBRA!$D$10,IF(AF2031="R$/apto",Orçamento!Z2031/OBRA!$D$11,""))))),"")</f>
        <v>7.5904550670790388E-3</v>
      </c>
      <c r="AF2031" s="241" t="s">
        <v>154</v>
      </c>
    </row>
    <row r="2032" spans="1:32" s="10" customFormat="1" ht="13.15" hidden="1" customHeight="1" outlineLevel="4" x14ac:dyDescent="0.2">
      <c r="A2032" s="227"/>
      <c r="B2032" s="228" t="s">
        <v>19</v>
      </c>
      <c r="C2032" s="229">
        <f t="shared" si="1648"/>
        <v>1</v>
      </c>
      <c r="D2032" s="227" t="str">
        <f t="shared" ref="D2032:D2047" si="1678">IF(B2032="Unidade Construtiva",TEXT(F2032,"00"),IF(B2032="Célula Construtiva",TEXT(H2032,"00"),IF(B2032="Etapa",CONCATENATE(TEXT(H2032,"00"),".",TEXT(J2032,"000")),IF(B2032="Subetapa",CONCATENATE(TEXT(H2032,"00"),".",TEXT(J2032,"000"),".",TEXT(L2032,"000")),IF(B2032="Serviço",CONCATENATE(TEXT(H2032,"00"),".",TEXT(J2032,"000"),".",TEXT(L2032,"000"),".",TEXT(N2032,"000")),"")))))</f>
        <v/>
      </c>
      <c r="E2032" s="228" t="str">
        <f t="shared" ref="E2032:E2047" ca="1" si="1679">IF(B2032="*","",IFERROR(IF(B2032="SERVIÇO",D2032,OFFSET(E2032,-1,0)),""))</f>
        <v>18.004.001.003</v>
      </c>
      <c r="F2032" s="230">
        <f ca="1">IF($B2032="UNIDADE CONSTRUTIVA",OFFSET(F2032,-1,0)+1,LARGE(F$10:F2031,1))</f>
        <v>2</v>
      </c>
      <c r="G2032" s="228" t="str">
        <f t="shared" ref="G2032:G2047" ca="1" si="1680">IF(B2032="*","",IF(B2032="UNIDADE CONSTRUTIVA",S2032,OFFSET(G2032,-1,0)))</f>
        <v xml:space="preserve">   GERENCIAMENTO EXECUTIVO</v>
      </c>
      <c r="H2032" s="230">
        <f t="shared" ref="H2032:H2047" ca="1" si="1681">IF(B2032="UNIDADE CONSTRUTIVA",0,IF(B2032="CÉLULA CONSTRUTIVA",OFFSET(H2032,-1,0)+1,OFFSET(H2032,-1,0)))</f>
        <v>18</v>
      </c>
      <c r="I2032" s="228" t="str">
        <f t="shared" ref="I2032:I2047" ca="1" si="1682">IF(B2032="*","",IF(B2032="CÉLULA CONSTRUTIVA",S2032,OFFSET(I2032,-1,0)))</f>
        <v xml:space="preserve">   LOUÇAS E METAIS</v>
      </c>
      <c r="J2032" s="230">
        <f t="shared" ref="J2032:J2047" ca="1" si="1683">IF(B2032="CÉLULA CONSTRUTIVA",0,IF(B2032="ETAPA",OFFSET(J2032,-1,0)+1,OFFSET(J2032,-1,0)))</f>
        <v>4</v>
      </c>
      <c r="K2032" s="228" t="str">
        <f t="shared" ref="K2032:K2047" ca="1" si="1684">IF(B2032="*","",IF(B2032="ETAPA",S2032,OFFSET(K2032,-1,0)))</f>
        <v xml:space="preserve">   LOUÇAS E METAIS - 8º PAVIMENTO - COBERTURA</v>
      </c>
      <c r="L2032" s="231">
        <f t="shared" ref="L2032:L2047" ca="1" si="1685">IF(B2032="ETAPA",0,IF(B2032="SUBETAPA",OFFSET(L2032,-1,0)+1,OFFSET(L2032,-1,0)))</f>
        <v>1</v>
      </c>
      <c r="M2032" s="228" t="str">
        <f t="shared" ref="M2032:M2047" ca="1" si="1686">IF(B2032="*","",IF(B2032="SUBETAPA",S2032,OFFSET(M2032,-1,0)))</f>
        <v xml:space="preserve">   Aparelhos Sanitários - Louças - Metais e Acessórios</v>
      </c>
      <c r="N2032" s="231">
        <f t="shared" ref="N2032:N2047" ca="1" si="1687">IF(B2032="Subetapa",0,IF(B2032="serviço",OFFSET(N2032,-1,0)+1,OFFSET(N2032,-1,0)))</f>
        <v>3</v>
      </c>
      <c r="O2032" s="228" t="str">
        <f t="shared" ref="O2032:O2047" ca="1" si="1688">IF(B2032="*","",IF(B2032="SERVIÇO",S2032,OFFSET(O2032,-1,0)))</f>
        <v>Cuba simples em Inox / Metais</v>
      </c>
      <c r="P2032" s="232" t="str">
        <f>IF(S2032="","",IF(Orçamento!$B2032="INSUMO",S2032,""))</f>
        <v>VALVULA COMUM P/PIA COZINHA ACO CARBONO CROMADO 1"</v>
      </c>
      <c r="Q2032" s="244" t="str">
        <f t="shared" ref="Q2032:Q2047" si="1689">IF(B2032="","",IF(B2032="Serviço",S2032,""))</f>
        <v/>
      </c>
      <c r="R2032" s="234">
        <f t="shared" ref="R2032:R2047" ca="1" si="1690">IF(B2032="serviço",U2032,OFFSET(R2032,-1,0))</f>
        <v>1</v>
      </c>
      <c r="S2032" s="233" t="s">
        <v>846</v>
      </c>
      <c r="T2032" s="242" t="str">
        <f>_xlfn.XLOOKUP(S2032,Insumos!$A$3:$A$371,Insumos!$B$3:$B$371)</f>
        <v>UN</v>
      </c>
      <c r="U2032" s="235">
        <f t="shared" ca="1" si="1677"/>
        <v>1</v>
      </c>
      <c r="V2032" s="320">
        <v>1</v>
      </c>
      <c r="W2032" s="236">
        <f>IFERROR(IF(B2032="INSUMO",_xlfn.XLOOKUP(S2032,Insumos!A:A,Insumos!C:C),""),"Inserir Preço")</f>
        <v>54.25</v>
      </c>
      <c r="X2032" s="235">
        <f t="shared" ref="X2032:X2047" ca="1" si="1691">IF(B2032="Complemento do insumo",V2032,IF(R2032="","",IF(B2032="serviço",R2032,IF(OR(B2032="insumo"),V2032*R2032,""))))</f>
        <v>1</v>
      </c>
      <c r="Y2032" s="236">
        <f t="shared" si="1676"/>
        <v>54.25</v>
      </c>
      <c r="Z2032" s="237">
        <f t="shared" ca="1" si="1649"/>
        <v>54.25</v>
      </c>
      <c r="AA2032" s="238"/>
      <c r="AB2032" s="233" t="str">
        <f>IF(B2032="insumo",_xlfn.XLOOKUP(S2032,Insumos!A:A,Insumos!D:D),"")</f>
        <v>Base de Dados</v>
      </c>
      <c r="AC2032" s="239">
        <f t="shared" ca="1" si="1650"/>
        <v>7.7826571083453293E-6</v>
      </c>
      <c r="AE2032" s="240">
        <f ca="1">IFERROR(IF(OR(Z2032="",Z2032=0),"",IF(AF2032="","",IF(AF2032="R$/mês",Z2032/OBRA!$D$12,IF(AF2032="R$/m²",Z2032/OBRA!$D$10,IF(AF2032="R$/apto",Orçamento!Z2032/OBRA!$D$11,""))))),"")</f>
        <v>2.7917436433155106E-2</v>
      </c>
      <c r="AF2032" s="241" t="s">
        <v>154</v>
      </c>
    </row>
    <row r="2033" spans="1:32" s="10" customFormat="1" ht="13.15" hidden="1" customHeight="1" outlineLevel="4" x14ac:dyDescent="0.2">
      <c r="A2033" s="227"/>
      <c r="B2033" s="228" t="s">
        <v>19</v>
      </c>
      <c r="C2033" s="229">
        <f t="shared" si="1648"/>
        <v>1</v>
      </c>
      <c r="D2033" s="227" t="str">
        <f t="shared" si="1678"/>
        <v/>
      </c>
      <c r="E2033" s="228" t="str">
        <f t="shared" ca="1" si="1679"/>
        <v>18.004.001.003</v>
      </c>
      <c r="F2033" s="230">
        <f ca="1">IF($B2033="UNIDADE CONSTRUTIVA",OFFSET(F2033,-1,0)+1,LARGE(F$10:F2032,1))</f>
        <v>2</v>
      </c>
      <c r="G2033" s="228" t="str">
        <f t="shared" ca="1" si="1680"/>
        <v xml:space="preserve">   GERENCIAMENTO EXECUTIVO</v>
      </c>
      <c r="H2033" s="230">
        <f t="shared" ca="1" si="1681"/>
        <v>18</v>
      </c>
      <c r="I2033" s="228" t="str">
        <f t="shared" ca="1" si="1682"/>
        <v xml:space="preserve">   LOUÇAS E METAIS</v>
      </c>
      <c r="J2033" s="230">
        <f t="shared" ca="1" si="1683"/>
        <v>4</v>
      </c>
      <c r="K2033" s="228" t="str">
        <f t="shared" ca="1" si="1684"/>
        <v xml:space="preserve">   LOUÇAS E METAIS - 8º PAVIMENTO - COBERTURA</v>
      </c>
      <c r="L2033" s="231">
        <f t="shared" ca="1" si="1685"/>
        <v>1</v>
      </c>
      <c r="M2033" s="228" t="str">
        <f t="shared" ca="1" si="1686"/>
        <v xml:space="preserve">   Aparelhos Sanitários - Louças - Metais e Acessórios</v>
      </c>
      <c r="N2033" s="231">
        <f t="shared" ca="1" si="1687"/>
        <v>3</v>
      </c>
      <c r="O2033" s="228" t="str">
        <f t="shared" ca="1" si="1688"/>
        <v>Cuba simples em Inox / Metais</v>
      </c>
      <c r="P2033" s="232" t="str">
        <f>IF(S2033="","",IF(Orçamento!$B2033="INSUMO",S2033,""))</f>
        <v>TORNEIRA LATAO CROMADO PAREDE P/PIA 1/2" C33 BICA ALTA</v>
      </c>
      <c r="Q2033" s="244" t="str">
        <f t="shared" si="1689"/>
        <v/>
      </c>
      <c r="R2033" s="234">
        <f t="shared" ca="1" si="1690"/>
        <v>1</v>
      </c>
      <c r="S2033" s="233" t="s">
        <v>847</v>
      </c>
      <c r="T2033" s="242" t="str">
        <f>_xlfn.XLOOKUP(S2033,Insumos!$A$3:$A$371,Insumos!$B$3:$B$371)</f>
        <v>un</v>
      </c>
      <c r="U2033" s="235">
        <f t="shared" ca="1" si="1677"/>
        <v>1</v>
      </c>
      <c r="V2033" s="320">
        <v>1</v>
      </c>
      <c r="W2033" s="236">
        <f>IFERROR(IF(B2033="INSUMO",_xlfn.XLOOKUP(S2033,Insumos!A:A,Insumos!C:C),""),"Inserir Preço")</f>
        <v>165</v>
      </c>
      <c r="X2033" s="235">
        <f t="shared" ca="1" si="1691"/>
        <v>1</v>
      </c>
      <c r="Y2033" s="236">
        <f t="shared" si="1676"/>
        <v>165</v>
      </c>
      <c r="Z2033" s="237">
        <f t="shared" ca="1" si="1649"/>
        <v>165</v>
      </c>
      <c r="AA2033" s="238"/>
      <c r="AB2033" s="233" t="str">
        <f>IF(B2033="insumo",_xlfn.XLOOKUP(S2033,Insumos!A:A,Insumos!D:D),"")</f>
        <v>Base de Dados</v>
      </c>
      <c r="AC2033" s="239">
        <f t="shared" ca="1" si="1650"/>
        <v>2.3670754338746163E-5</v>
      </c>
      <c r="AE2033" s="240">
        <f ca="1">IFERROR(IF(OR(Z2033="",Z2033=0),"",IF(AF2033="","",IF(AF2033="R$/mês",Z2033/OBRA!$D$12,IF(AF2033="R$/m²",Z2033/OBRA!$D$10,IF(AF2033="R$/apto",Orçamento!Z2033/OBRA!$D$11,""))))),"")</f>
        <v>8.4910175326646867E-2</v>
      </c>
      <c r="AF2033" s="241" t="s">
        <v>154</v>
      </c>
    </row>
    <row r="2034" spans="1:32" s="10" customFormat="1" ht="13.15" hidden="1" customHeight="1" outlineLevel="4" x14ac:dyDescent="0.2">
      <c r="A2034" s="227"/>
      <c r="B2034" s="228" t="s">
        <v>19</v>
      </c>
      <c r="C2034" s="229">
        <f t="shared" si="1648"/>
        <v>7</v>
      </c>
      <c r="D2034" s="227" t="str">
        <f t="shared" si="1678"/>
        <v/>
      </c>
      <c r="E2034" s="228" t="str">
        <f t="shared" ca="1" si="1679"/>
        <v>18.004.001.003</v>
      </c>
      <c r="F2034" s="230">
        <f ca="1">IF($B2034="UNIDADE CONSTRUTIVA",OFFSET(F2034,-1,0)+1,LARGE(F$10:F2033,1))</f>
        <v>2</v>
      </c>
      <c r="G2034" s="228" t="str">
        <f t="shared" ca="1" si="1680"/>
        <v xml:space="preserve">   GERENCIAMENTO EXECUTIVO</v>
      </c>
      <c r="H2034" s="230">
        <f t="shared" ca="1" si="1681"/>
        <v>18</v>
      </c>
      <c r="I2034" s="228" t="str">
        <f t="shared" ca="1" si="1682"/>
        <v xml:space="preserve">   LOUÇAS E METAIS</v>
      </c>
      <c r="J2034" s="230">
        <f t="shared" ca="1" si="1683"/>
        <v>4</v>
      </c>
      <c r="K2034" s="228" t="str">
        <f t="shared" ca="1" si="1684"/>
        <v xml:space="preserve">   LOUÇAS E METAIS - 8º PAVIMENTO - COBERTURA</v>
      </c>
      <c r="L2034" s="231">
        <f t="shared" ca="1" si="1685"/>
        <v>1</v>
      </c>
      <c r="M2034" s="228" t="str">
        <f t="shared" ca="1" si="1686"/>
        <v xml:space="preserve">   Aparelhos Sanitários - Louças - Metais e Acessórios</v>
      </c>
      <c r="N2034" s="231">
        <f t="shared" ca="1" si="1687"/>
        <v>3</v>
      </c>
      <c r="O2034" s="228" t="str">
        <f t="shared" ca="1" si="1688"/>
        <v>Cuba simples em Inox / Metais</v>
      </c>
      <c r="P2034" s="232" t="str">
        <f>IF(S2034="","",IF(Orçamento!$B2034="INSUMO",S2034,""))</f>
        <v>FITA VEDA ROSCA 18MMX50M NBR 13124</v>
      </c>
      <c r="Q2034" s="244" t="str">
        <f t="shared" si="1689"/>
        <v/>
      </c>
      <c r="R2034" s="234">
        <f t="shared" ca="1" si="1690"/>
        <v>1</v>
      </c>
      <c r="S2034" s="233" t="s">
        <v>840</v>
      </c>
      <c r="T2034" s="242" t="str">
        <f>_xlfn.XLOOKUP(S2034,Insumos!$A$3:$A$371,Insumos!$B$3:$B$371)</f>
        <v>UN</v>
      </c>
      <c r="U2034" s="235">
        <f t="shared" ca="1" si="1677"/>
        <v>1</v>
      </c>
      <c r="V2034" s="320">
        <v>0.84</v>
      </c>
      <c r="W2034" s="236">
        <f>IFERROR(IF(B2034="INSUMO",_xlfn.XLOOKUP(S2034,Insumos!A:A,Insumos!C:C),""),"Inserir Preço")</f>
        <v>6.56</v>
      </c>
      <c r="X2034" s="235">
        <f t="shared" ca="1" si="1691"/>
        <v>0.84</v>
      </c>
      <c r="Y2034" s="236">
        <f t="shared" si="1676"/>
        <v>5.5103999999999997</v>
      </c>
      <c r="Z2034" s="237">
        <f t="shared" ca="1" si="1649"/>
        <v>5.5103999999999997</v>
      </c>
      <c r="AA2034" s="238"/>
      <c r="AB2034" s="233" t="str">
        <f>IF(B2034="insumo",_xlfn.XLOOKUP(S2034,Insumos!A:A,Insumos!D:D),"")</f>
        <v xml:space="preserve"> </v>
      </c>
      <c r="AC2034" s="239">
        <f t="shared" ca="1" si="1650"/>
        <v>7.9051711944379915E-7</v>
      </c>
      <c r="AE2034" s="240">
        <f ca="1">IFERROR(IF(OR(Z2034="",Z2034=0),"",IF(AF2034="","",IF(AF2034="R$/mês",Z2034/OBRA!$D$12,IF(AF2034="R$/m²",Z2034/OBRA!$D$10,IF(AF2034="R$/apto",Orçamento!Z2034/OBRA!$D$11,""))))),"")</f>
        <v>2.8356910916360902E-3</v>
      </c>
      <c r="AF2034" s="241" t="s">
        <v>154</v>
      </c>
    </row>
    <row r="2035" spans="1:32" s="10" customFormat="1" ht="13.15" hidden="1" customHeight="1" outlineLevel="4" x14ac:dyDescent="0.2">
      <c r="A2035" s="227"/>
      <c r="B2035" s="228" t="s">
        <v>19</v>
      </c>
      <c r="C2035" s="229">
        <f t="shared" si="1648"/>
        <v>7</v>
      </c>
      <c r="D2035" s="227" t="str">
        <f t="shared" si="1678"/>
        <v/>
      </c>
      <c r="E2035" s="228" t="str">
        <f t="shared" ca="1" si="1679"/>
        <v>18.004.001.003</v>
      </c>
      <c r="F2035" s="230">
        <f ca="1">IF($B2035="UNIDADE CONSTRUTIVA",OFFSET(F2035,-1,0)+1,LARGE(F$10:F2034,1))</f>
        <v>2</v>
      </c>
      <c r="G2035" s="228" t="str">
        <f t="shared" ca="1" si="1680"/>
        <v xml:space="preserve">   GERENCIAMENTO EXECUTIVO</v>
      </c>
      <c r="H2035" s="230">
        <f t="shared" ca="1" si="1681"/>
        <v>18</v>
      </c>
      <c r="I2035" s="228" t="str">
        <f t="shared" ca="1" si="1682"/>
        <v xml:space="preserve">   LOUÇAS E METAIS</v>
      </c>
      <c r="J2035" s="230">
        <f t="shared" ca="1" si="1683"/>
        <v>4</v>
      </c>
      <c r="K2035" s="228" t="str">
        <f t="shared" ca="1" si="1684"/>
        <v xml:space="preserve">   LOUÇAS E METAIS - 8º PAVIMENTO - COBERTURA</v>
      </c>
      <c r="L2035" s="231">
        <f t="shared" ca="1" si="1685"/>
        <v>1</v>
      </c>
      <c r="M2035" s="228" t="str">
        <f t="shared" ca="1" si="1686"/>
        <v xml:space="preserve">   Aparelhos Sanitários - Louças - Metais e Acessórios</v>
      </c>
      <c r="N2035" s="231">
        <f t="shared" ca="1" si="1687"/>
        <v>3</v>
      </c>
      <c r="O2035" s="228" t="str">
        <f t="shared" ca="1" si="1688"/>
        <v>Cuba simples em Inox / Metais</v>
      </c>
      <c r="P2035" s="232" t="str">
        <f>IF(S2035="","",IF(Orçamento!$B2035="INSUMO",S2035,""))</f>
        <v>MASSA PLASTICA BRANCA BI-COMPONENTE POLIESTER 400G</v>
      </c>
      <c r="Q2035" s="244" t="str">
        <f t="shared" si="1689"/>
        <v/>
      </c>
      <c r="R2035" s="234">
        <f t="shared" ca="1" si="1690"/>
        <v>1</v>
      </c>
      <c r="S2035" s="233" t="s">
        <v>841</v>
      </c>
      <c r="T2035" s="242" t="str">
        <f>_xlfn.XLOOKUP(S2035,Insumos!$A$3:$A$371,Insumos!$B$3:$B$371)</f>
        <v>UN</v>
      </c>
      <c r="U2035" s="235">
        <f t="shared" ca="1" si="1677"/>
        <v>1</v>
      </c>
      <c r="V2035" s="320">
        <v>1</v>
      </c>
      <c r="W2035" s="236">
        <f>IFERROR(IF(B2035="INSUMO",_xlfn.XLOOKUP(S2035,Insumos!A:A,Insumos!C:C),""),"Inserir Preço")</f>
        <v>12.88</v>
      </c>
      <c r="X2035" s="235">
        <f t="shared" ca="1" si="1691"/>
        <v>1</v>
      </c>
      <c r="Y2035" s="236">
        <f t="shared" si="1676"/>
        <v>12.88</v>
      </c>
      <c r="Z2035" s="237">
        <f t="shared" ca="1" si="1649"/>
        <v>12.88</v>
      </c>
      <c r="AA2035" s="238"/>
      <c r="AB2035" s="233" t="str">
        <f>IF(B2035="insumo",_xlfn.XLOOKUP(S2035,Insumos!A:A,Insumos!D:D),"")</f>
        <v xml:space="preserve"> </v>
      </c>
      <c r="AC2035" s="239">
        <f t="shared" ca="1" si="1650"/>
        <v>1.8477534295942462E-6</v>
      </c>
      <c r="AE2035" s="240">
        <f ca="1">IFERROR(IF(OR(Z2035="",Z2035=0),"",IF(AF2035="","",IF(AF2035="R$/mês",Z2035/OBRA!$D$12,IF(AF2035="R$/m²",Z2035/OBRA!$D$10,IF(AF2035="R$/apto",Orçamento!Z2035/OBRA!$D$11,""))))),"")</f>
        <v>6.628139746710374E-3</v>
      </c>
      <c r="AF2035" s="241" t="s">
        <v>154</v>
      </c>
    </row>
    <row r="2036" spans="1:32" s="10" customFormat="1" ht="13.15" hidden="1" customHeight="1" outlineLevel="4" x14ac:dyDescent="0.2">
      <c r="A2036" s="227"/>
      <c r="B2036" s="228" t="s">
        <v>19</v>
      </c>
      <c r="C2036" s="229">
        <f t="shared" si="1648"/>
        <v>7</v>
      </c>
      <c r="D2036" s="227" t="str">
        <f t="shared" si="1678"/>
        <v/>
      </c>
      <c r="E2036" s="228" t="str">
        <f t="shared" ca="1" si="1679"/>
        <v>18.004.001.003</v>
      </c>
      <c r="F2036" s="230">
        <f ca="1">IF($B2036="UNIDADE CONSTRUTIVA",OFFSET(F2036,-1,0)+1,LARGE(F$10:F2035,1))</f>
        <v>2</v>
      </c>
      <c r="G2036" s="228" t="str">
        <f t="shared" ca="1" si="1680"/>
        <v xml:space="preserve">   GERENCIAMENTO EXECUTIVO</v>
      </c>
      <c r="H2036" s="230">
        <f t="shared" ca="1" si="1681"/>
        <v>18</v>
      </c>
      <c r="I2036" s="228" t="str">
        <f t="shared" ca="1" si="1682"/>
        <v xml:space="preserve">   LOUÇAS E METAIS</v>
      </c>
      <c r="J2036" s="230">
        <f t="shared" ca="1" si="1683"/>
        <v>4</v>
      </c>
      <c r="K2036" s="228" t="str">
        <f t="shared" ca="1" si="1684"/>
        <v xml:space="preserve">   LOUÇAS E METAIS - 8º PAVIMENTO - COBERTURA</v>
      </c>
      <c r="L2036" s="231">
        <f t="shared" ca="1" si="1685"/>
        <v>1</v>
      </c>
      <c r="M2036" s="228" t="str">
        <f t="shared" ca="1" si="1686"/>
        <v xml:space="preserve">   Aparelhos Sanitários - Louças - Metais e Acessórios</v>
      </c>
      <c r="N2036" s="231">
        <f t="shared" ca="1" si="1687"/>
        <v>3</v>
      </c>
      <c r="O2036" s="228" t="str">
        <f t="shared" ca="1" si="1688"/>
        <v>Cuba simples em Inox / Metais</v>
      </c>
      <c r="P2036" s="232" t="str">
        <f>IF(S2036="","",IF(Orçamento!$B2036="INSUMO",S2036,""))</f>
        <v>SELANTE PU40 BASE POLIURETANO BRANCO 280ML</v>
      </c>
      <c r="Q2036" s="244" t="str">
        <f t="shared" si="1689"/>
        <v/>
      </c>
      <c r="R2036" s="234">
        <f t="shared" ca="1" si="1690"/>
        <v>1</v>
      </c>
      <c r="S2036" s="233" t="s">
        <v>842</v>
      </c>
      <c r="T2036" s="242" t="str">
        <f>_xlfn.XLOOKUP(S2036,Insumos!$A$3:$A$371,Insumos!$B$3:$B$371)</f>
        <v>UN</v>
      </c>
      <c r="U2036" s="235">
        <f t="shared" ca="1" si="1677"/>
        <v>1</v>
      </c>
      <c r="V2036" s="320">
        <v>8.4000000000000005E-2</v>
      </c>
      <c r="W2036" s="236">
        <f>IFERROR(IF(B2036="INSUMO",_xlfn.XLOOKUP(S2036,Insumos!A:A,Insumos!C:C),""),"Inserir Preço")</f>
        <v>15.9</v>
      </c>
      <c r="X2036" s="235">
        <f t="shared" ca="1" si="1691"/>
        <v>8.4000000000000005E-2</v>
      </c>
      <c r="Y2036" s="236">
        <f t="shared" si="1676"/>
        <v>1.3356000000000001</v>
      </c>
      <c r="Z2036" s="237">
        <f t="shared" ca="1" si="1649"/>
        <v>1.3356000000000001</v>
      </c>
      <c r="AA2036" s="238"/>
      <c r="AB2036" s="233" t="str">
        <f>IF(B2036="insumo",_xlfn.XLOOKUP(S2036,Insumos!A:A,Insumos!D:D),"")</f>
        <v xml:space="preserve"> </v>
      </c>
      <c r="AC2036" s="239">
        <f t="shared" ca="1" si="1650"/>
        <v>1.9160399693835989E-7</v>
      </c>
      <c r="AE2036" s="240">
        <f ca="1">IFERROR(IF(OR(Z2036="",Z2036=0),"",IF(AF2036="","",IF(AF2036="R$/mês",Z2036/OBRA!$D$12,IF(AF2036="R$/m²",Z2036/OBRA!$D$10,IF(AF2036="R$/apto",Orçamento!Z2036/OBRA!$D$11,""))))),"")</f>
        <v>6.8730927373496708E-4</v>
      </c>
      <c r="AF2036" s="241" t="s">
        <v>154</v>
      </c>
    </row>
    <row r="2037" spans="1:32" s="10" customFormat="1" ht="13.15" hidden="1" customHeight="1" outlineLevel="4" x14ac:dyDescent="0.2">
      <c r="A2037" s="227"/>
      <c r="B2037" s="228" t="s">
        <v>4</v>
      </c>
      <c r="C2037" s="229">
        <f t="shared" si="1648"/>
        <v>1</v>
      </c>
      <c r="D2037" s="227" t="str">
        <f t="shared" ca="1" si="1678"/>
        <v>18.004.001.004</v>
      </c>
      <c r="E2037" s="228" t="str">
        <f t="shared" ca="1" si="1679"/>
        <v>18.004.001.004</v>
      </c>
      <c r="F2037" s="230">
        <f ca="1">IF($B2037="UNIDADE CONSTRUTIVA",OFFSET(F2037,-1,0)+1,LARGE(F$10:F2036,1))</f>
        <v>2</v>
      </c>
      <c r="G2037" s="228" t="str">
        <f t="shared" ca="1" si="1680"/>
        <v xml:space="preserve">   GERENCIAMENTO EXECUTIVO</v>
      </c>
      <c r="H2037" s="230">
        <f t="shared" ca="1" si="1681"/>
        <v>18</v>
      </c>
      <c r="I2037" s="228" t="str">
        <f t="shared" ca="1" si="1682"/>
        <v xml:space="preserve">   LOUÇAS E METAIS</v>
      </c>
      <c r="J2037" s="230">
        <f t="shared" ca="1" si="1683"/>
        <v>4</v>
      </c>
      <c r="K2037" s="228" t="str">
        <f t="shared" ca="1" si="1684"/>
        <v xml:space="preserve">   LOUÇAS E METAIS - 8º PAVIMENTO - COBERTURA</v>
      </c>
      <c r="L2037" s="231">
        <f t="shared" ca="1" si="1685"/>
        <v>1</v>
      </c>
      <c r="M2037" s="228" t="str">
        <f t="shared" ca="1" si="1686"/>
        <v xml:space="preserve">   Aparelhos Sanitários - Louças - Metais e Acessórios</v>
      </c>
      <c r="N2037" s="231">
        <f t="shared" ca="1" si="1687"/>
        <v>4</v>
      </c>
      <c r="O2037" s="228" t="str">
        <f t="shared" ca="1" si="1688"/>
        <v>Tanque de Louça</v>
      </c>
      <c r="P2037" s="232" t="str">
        <f>IF(S2037="","",IF(Orçamento!$B2037="INSUMO",S2037,""))</f>
        <v/>
      </c>
      <c r="Q2037" s="244" t="str">
        <f t="shared" si="1689"/>
        <v>Tanque de Louça</v>
      </c>
      <c r="R2037" s="234">
        <f t="shared" ca="1" si="1690"/>
        <v>2</v>
      </c>
      <c r="S2037" s="233" t="s">
        <v>858</v>
      </c>
      <c r="T2037" s="242" t="s">
        <v>142</v>
      </c>
      <c r="U2037" s="235">
        <v>2</v>
      </c>
      <c r="V2037" s="320" t="s">
        <v>35</v>
      </c>
      <c r="W2037" s="236" t="str">
        <f>IFERROR(IF(B2037="INSUMO",_xlfn.XLOOKUP(S2037,Insumos!A:A,Insumos!C:C),""),"Inserir Preço")</f>
        <v/>
      </c>
      <c r="X2037" s="235">
        <f t="shared" ca="1" si="1691"/>
        <v>2</v>
      </c>
      <c r="Y2037" s="236">
        <f t="shared" ca="1" si="1676"/>
        <v>259.63600000000002</v>
      </c>
      <c r="Z2037" s="237">
        <f t="shared" ca="1" si="1649"/>
        <v>519.27200000000005</v>
      </c>
      <c r="AA2037" s="238"/>
      <c r="AB2037" s="233" t="str">
        <f>IF(B2037="insumo",_xlfn.XLOOKUP(S2037,Insumos!A:A,Insumos!D:D),"")</f>
        <v/>
      </c>
      <c r="AC2037" s="239">
        <f t="shared" ca="1" si="1650"/>
        <v>7.4494302709026663E-5</v>
      </c>
      <c r="AE2037" s="240">
        <f ca="1">IFERROR(IF(OR(Z2037="",Z2037=0),"",IF(AF2037="","",IF(AF2037="R$/mês",Z2037/OBRA!$D$12,IF(AF2037="R$/m²",Z2037/OBRA!$D$10,IF(AF2037="R$/apto",Orçamento!Z2037/OBRA!$D$11,""))))),"")</f>
        <v>0.26722107007405199</v>
      </c>
      <c r="AF2037" s="241" t="s">
        <v>154</v>
      </c>
    </row>
    <row r="2038" spans="1:32" s="10" customFormat="1" ht="13.15" hidden="1" customHeight="1" outlineLevel="4" x14ac:dyDescent="0.2">
      <c r="A2038" s="227"/>
      <c r="B2038" s="228" t="s">
        <v>19</v>
      </c>
      <c r="C2038" s="229">
        <f t="shared" si="1648"/>
        <v>1</v>
      </c>
      <c r="D2038" s="227" t="str">
        <f t="shared" si="1678"/>
        <v/>
      </c>
      <c r="E2038" s="228" t="str">
        <f t="shared" ca="1" si="1679"/>
        <v>18.004.001.004</v>
      </c>
      <c r="F2038" s="230">
        <f ca="1">IF($B2038="UNIDADE CONSTRUTIVA",OFFSET(F2038,-1,0)+1,LARGE(F$10:F2037,1))</f>
        <v>2</v>
      </c>
      <c r="G2038" s="228" t="str">
        <f t="shared" ca="1" si="1680"/>
        <v xml:space="preserve">   GERENCIAMENTO EXECUTIVO</v>
      </c>
      <c r="H2038" s="230">
        <f t="shared" ca="1" si="1681"/>
        <v>18</v>
      </c>
      <c r="I2038" s="228" t="str">
        <f t="shared" ca="1" si="1682"/>
        <v xml:space="preserve">   LOUÇAS E METAIS</v>
      </c>
      <c r="J2038" s="230">
        <f t="shared" ca="1" si="1683"/>
        <v>4</v>
      </c>
      <c r="K2038" s="228" t="str">
        <f t="shared" ca="1" si="1684"/>
        <v xml:space="preserve">   LOUÇAS E METAIS - 8º PAVIMENTO - COBERTURA</v>
      </c>
      <c r="L2038" s="231">
        <f t="shared" ca="1" si="1685"/>
        <v>1</v>
      </c>
      <c r="M2038" s="228" t="str">
        <f t="shared" ca="1" si="1686"/>
        <v xml:space="preserve">   Aparelhos Sanitários - Louças - Metais e Acessórios</v>
      </c>
      <c r="N2038" s="231">
        <f t="shared" ca="1" si="1687"/>
        <v>4</v>
      </c>
      <c r="O2038" s="228" t="str">
        <f t="shared" ca="1" si="1688"/>
        <v>Tanque de Louça</v>
      </c>
      <c r="P2038" s="232" t="str">
        <f>IF(S2038="","",IF(Orçamento!$B2038="INSUMO",S2038,""))</f>
        <v>TANQUE LOUCA SUSPENSO</v>
      </c>
      <c r="Q2038" s="244" t="str">
        <f t="shared" si="1689"/>
        <v/>
      </c>
      <c r="R2038" s="234">
        <f t="shared" ca="1" si="1690"/>
        <v>2</v>
      </c>
      <c r="S2038" s="233" t="s">
        <v>860</v>
      </c>
      <c r="T2038" s="242" t="str">
        <f>_xlfn.XLOOKUP(S2038,Insumos!$A$3:$A$371,Insumos!$B$3:$B$371)</f>
        <v>un</v>
      </c>
      <c r="U2038" s="235">
        <f t="shared" ref="U2038:U2045" ca="1" si="1692">IF($B2038="insumo",R2038,"")</f>
        <v>2</v>
      </c>
      <c r="V2038" s="320">
        <v>1</v>
      </c>
      <c r="W2038" s="236">
        <f>IFERROR(IF(B2038="INSUMO",_xlfn.XLOOKUP(S2038,Insumos!A:A,Insumos!C:C),""),"Inserir Preço")</f>
        <v>152</v>
      </c>
      <c r="X2038" s="235">
        <f t="shared" ca="1" si="1691"/>
        <v>2</v>
      </c>
      <c r="Y2038" s="236">
        <f t="shared" si="1676"/>
        <v>152</v>
      </c>
      <c r="Z2038" s="237">
        <f t="shared" ca="1" si="1649"/>
        <v>304</v>
      </c>
      <c r="AA2038" s="238"/>
      <c r="AB2038" s="233" t="str">
        <f>IF(B2038="insumo",_xlfn.XLOOKUP(S2038,Insumos!A:A,Insumos!D:D),"")</f>
        <v>Base de Dados</v>
      </c>
      <c r="AC2038" s="239">
        <f t="shared" ca="1" si="1650"/>
        <v>4.3611571630174754E-5</v>
      </c>
      <c r="AE2038" s="240">
        <f ca="1">IFERROR(IF(OR(Z2038="",Z2038=0),"",IF(AF2038="","",IF(AF2038="R$/mês",Z2038/OBRA!$D$12,IF(AF2038="R$/m²",Z2038/OBRA!$D$10,IF(AF2038="R$/apto",Orçamento!Z2038/OBRA!$D$11,""))))),"")</f>
        <v>0.15644056545030696</v>
      </c>
      <c r="AF2038" s="241" t="s">
        <v>154</v>
      </c>
    </row>
    <row r="2039" spans="1:32" s="10" customFormat="1" ht="13.15" hidden="1" customHeight="1" outlineLevel="4" x14ac:dyDescent="0.2">
      <c r="A2039" s="227"/>
      <c r="B2039" s="228" t="s">
        <v>19</v>
      </c>
      <c r="C2039" s="229">
        <f t="shared" si="1648"/>
        <v>4</v>
      </c>
      <c r="D2039" s="227" t="str">
        <f t="shared" si="1678"/>
        <v/>
      </c>
      <c r="E2039" s="228" t="str">
        <f t="shared" ca="1" si="1679"/>
        <v>18.004.001.004</v>
      </c>
      <c r="F2039" s="230">
        <f ca="1">IF($B2039="UNIDADE CONSTRUTIVA",OFFSET(F2039,-1,0)+1,LARGE(F$10:F2038,1))</f>
        <v>2</v>
      </c>
      <c r="G2039" s="228" t="str">
        <f t="shared" ca="1" si="1680"/>
        <v xml:space="preserve">   GERENCIAMENTO EXECUTIVO</v>
      </c>
      <c r="H2039" s="230">
        <f t="shared" ca="1" si="1681"/>
        <v>18</v>
      </c>
      <c r="I2039" s="228" t="str">
        <f t="shared" ca="1" si="1682"/>
        <v xml:space="preserve">   LOUÇAS E METAIS</v>
      </c>
      <c r="J2039" s="230">
        <f t="shared" ca="1" si="1683"/>
        <v>4</v>
      </c>
      <c r="K2039" s="228" t="str">
        <f t="shared" ca="1" si="1684"/>
        <v xml:space="preserve">   LOUÇAS E METAIS - 8º PAVIMENTO - COBERTURA</v>
      </c>
      <c r="L2039" s="231">
        <f t="shared" ca="1" si="1685"/>
        <v>1</v>
      </c>
      <c r="M2039" s="228" t="str">
        <f t="shared" ca="1" si="1686"/>
        <v xml:space="preserve">   Aparelhos Sanitários - Louças - Metais e Acessórios</v>
      </c>
      <c r="N2039" s="231">
        <f t="shared" ca="1" si="1687"/>
        <v>4</v>
      </c>
      <c r="O2039" s="228" t="str">
        <f t="shared" ca="1" si="1688"/>
        <v>Tanque de Louça</v>
      </c>
      <c r="P2039" s="232" t="str">
        <f>IF(S2039="","",IF(Orçamento!$B2039="INSUMO",S2039,""))</f>
        <v>SIFAO PVC FLEXIVEL MULTIUSO BRANCO 63CM</v>
      </c>
      <c r="Q2039" s="244" t="str">
        <f t="shared" si="1689"/>
        <v/>
      </c>
      <c r="R2039" s="234">
        <f t="shared" ca="1" si="1690"/>
        <v>2</v>
      </c>
      <c r="S2039" s="233" t="s">
        <v>845</v>
      </c>
      <c r="T2039" s="242" t="str">
        <f>_xlfn.XLOOKUP(S2039,Insumos!$A$3:$A$371,Insumos!$B$3:$B$371)</f>
        <v>un</v>
      </c>
      <c r="U2039" s="235">
        <f t="shared" ca="1" si="1692"/>
        <v>2</v>
      </c>
      <c r="V2039" s="320">
        <v>1</v>
      </c>
      <c r="W2039" s="236">
        <f>IFERROR(IF(B2039="INSUMO",_xlfn.XLOOKUP(S2039,Insumos!A:A,Insumos!C:C),""),"Inserir Preço")</f>
        <v>13.9</v>
      </c>
      <c r="X2039" s="235">
        <f t="shared" ca="1" si="1691"/>
        <v>2</v>
      </c>
      <c r="Y2039" s="236">
        <f t="shared" si="1676"/>
        <v>13.9</v>
      </c>
      <c r="Z2039" s="237">
        <f t="shared" ca="1" si="1649"/>
        <v>27.8</v>
      </c>
      <c r="AA2039" s="238"/>
      <c r="AB2039" s="233" t="str">
        <f>IF(B2039="insumo",_xlfn.XLOOKUP(S2039,Insumos!A:A,Insumos!D:D),"")</f>
        <v>Base de Dados</v>
      </c>
      <c r="AC2039" s="239">
        <f t="shared" ca="1" si="1650"/>
        <v>3.9881634582857173E-6</v>
      </c>
      <c r="AE2039" s="240">
        <f ca="1">IFERROR(IF(OR(Z2039="",Z2039=0),"",IF(AF2039="","",IF(AF2039="R$/mês",Z2039/OBRA!$D$12,IF(AF2039="R$/m²",Z2039/OBRA!$D$10,IF(AF2039="R$/apto",Orçamento!Z2039/OBRA!$D$11,""))))),"")</f>
        <v>1.4306078024732018E-2</v>
      </c>
      <c r="AF2039" s="241" t="s">
        <v>154</v>
      </c>
    </row>
    <row r="2040" spans="1:32" s="10" customFormat="1" ht="13.15" hidden="1" customHeight="1" outlineLevel="4" x14ac:dyDescent="0.2">
      <c r="A2040" s="227"/>
      <c r="B2040" s="228" t="s">
        <v>19</v>
      </c>
      <c r="C2040" s="229">
        <f t="shared" si="1648"/>
        <v>4</v>
      </c>
      <c r="D2040" s="227" t="str">
        <f t="shared" si="1678"/>
        <v/>
      </c>
      <c r="E2040" s="228" t="str">
        <f t="shared" ca="1" si="1679"/>
        <v>18.004.001.004</v>
      </c>
      <c r="F2040" s="230">
        <f ca="1">IF($B2040="UNIDADE CONSTRUTIVA",OFFSET(F2040,-1,0)+1,LARGE(F$10:F2039,1))</f>
        <v>2</v>
      </c>
      <c r="G2040" s="228" t="str">
        <f t="shared" ca="1" si="1680"/>
        <v xml:space="preserve">   GERENCIAMENTO EXECUTIVO</v>
      </c>
      <c r="H2040" s="230">
        <f t="shared" ca="1" si="1681"/>
        <v>18</v>
      </c>
      <c r="I2040" s="228" t="str">
        <f t="shared" ca="1" si="1682"/>
        <v xml:space="preserve">   LOUÇAS E METAIS</v>
      </c>
      <c r="J2040" s="230">
        <f t="shared" ca="1" si="1683"/>
        <v>4</v>
      </c>
      <c r="K2040" s="228" t="str">
        <f t="shared" ca="1" si="1684"/>
        <v xml:space="preserve">   LOUÇAS E METAIS - 8º PAVIMENTO - COBERTURA</v>
      </c>
      <c r="L2040" s="231">
        <f t="shared" ca="1" si="1685"/>
        <v>1</v>
      </c>
      <c r="M2040" s="228" t="str">
        <f t="shared" ca="1" si="1686"/>
        <v xml:space="preserve">   Aparelhos Sanitários - Louças - Metais e Acessórios</v>
      </c>
      <c r="N2040" s="231">
        <f t="shared" ca="1" si="1687"/>
        <v>4</v>
      </c>
      <c r="O2040" s="228" t="str">
        <f t="shared" ca="1" si="1688"/>
        <v>Tanque de Louça</v>
      </c>
      <c r="P2040" s="232" t="str">
        <f>IF(S2040="","",IF(Orçamento!$B2040="INSUMO",S2040,""))</f>
        <v>PARAFUSO ACO CARBONO CAB. CASTELO ARRUELA E BUCHA S08</v>
      </c>
      <c r="Q2040" s="244" t="str">
        <f t="shared" si="1689"/>
        <v/>
      </c>
      <c r="R2040" s="234">
        <f t="shared" ca="1" si="1690"/>
        <v>2</v>
      </c>
      <c r="S2040" s="233" t="s">
        <v>839</v>
      </c>
      <c r="T2040" s="242" t="str">
        <f>_xlfn.XLOOKUP(S2040,Insumos!$A$3:$A$371,Insumos!$B$3:$B$371)</f>
        <v>UN</v>
      </c>
      <c r="U2040" s="235">
        <f t="shared" ca="1" si="1692"/>
        <v>2</v>
      </c>
      <c r="V2040" s="320">
        <v>4</v>
      </c>
      <c r="W2040" s="236">
        <f>IFERROR(IF(B2040="INSUMO",_xlfn.XLOOKUP(S2040,Insumos!A:A,Insumos!C:C),""),"Inserir Preço")</f>
        <v>1.4</v>
      </c>
      <c r="X2040" s="235">
        <f t="shared" ca="1" si="1691"/>
        <v>8</v>
      </c>
      <c r="Y2040" s="236">
        <f t="shared" si="1676"/>
        <v>5.6</v>
      </c>
      <c r="Z2040" s="237">
        <f t="shared" ca="1" si="1649"/>
        <v>11.2</v>
      </c>
      <c r="AA2040" s="238"/>
      <c r="AB2040" s="233" t="str">
        <f>IF(B2040="insumo",_xlfn.XLOOKUP(S2040,Insumos!A:A,Insumos!D:D),"")</f>
        <v>Base de Dados</v>
      </c>
      <c r="AC2040" s="239">
        <f t="shared" ca="1" si="1650"/>
        <v>1.6067421126906487E-6</v>
      </c>
      <c r="AE2040" s="240">
        <f ca="1">IFERROR(IF(OR(Z2040="",Z2040=0),"",IF(AF2040="","",IF(AF2040="R$/mês",Z2040/OBRA!$D$12,IF(AF2040="R$/m²",Z2040/OBRA!$D$10,IF(AF2040="R$/apto",Orçamento!Z2040/OBRA!$D$11,""))))),"")</f>
        <v>5.7635997797481509E-3</v>
      </c>
      <c r="AF2040" s="241" t="s">
        <v>154</v>
      </c>
    </row>
    <row r="2041" spans="1:32" s="10" customFormat="1" ht="13.15" hidden="1" customHeight="1" outlineLevel="4" x14ac:dyDescent="0.2">
      <c r="A2041" s="227"/>
      <c r="B2041" s="228" t="s">
        <v>19</v>
      </c>
      <c r="C2041" s="229">
        <f t="shared" si="1648"/>
        <v>1</v>
      </c>
      <c r="D2041" s="227" t="str">
        <f t="shared" si="1678"/>
        <v/>
      </c>
      <c r="E2041" s="228" t="str">
        <f t="shared" ca="1" si="1679"/>
        <v>18.004.001.004</v>
      </c>
      <c r="F2041" s="230">
        <f ca="1">IF($B2041="UNIDADE CONSTRUTIVA",OFFSET(F2041,-1,0)+1,LARGE(F$10:F2040,1))</f>
        <v>2</v>
      </c>
      <c r="G2041" s="228" t="str">
        <f t="shared" ca="1" si="1680"/>
        <v xml:space="preserve">   GERENCIAMENTO EXECUTIVO</v>
      </c>
      <c r="H2041" s="230">
        <f t="shared" ca="1" si="1681"/>
        <v>18</v>
      </c>
      <c r="I2041" s="228" t="str">
        <f t="shared" ca="1" si="1682"/>
        <v xml:space="preserve">   LOUÇAS E METAIS</v>
      </c>
      <c r="J2041" s="230">
        <f t="shared" ca="1" si="1683"/>
        <v>4</v>
      </c>
      <c r="K2041" s="228" t="str">
        <f t="shared" ca="1" si="1684"/>
        <v xml:space="preserve">   LOUÇAS E METAIS - 8º PAVIMENTO - COBERTURA</v>
      </c>
      <c r="L2041" s="231">
        <f t="shared" ca="1" si="1685"/>
        <v>1</v>
      </c>
      <c r="M2041" s="228" t="str">
        <f t="shared" ca="1" si="1686"/>
        <v xml:space="preserve">   Aparelhos Sanitários - Louças - Metais e Acessórios</v>
      </c>
      <c r="N2041" s="231">
        <f t="shared" ca="1" si="1687"/>
        <v>4</v>
      </c>
      <c r="O2041" s="228" t="str">
        <f t="shared" ca="1" si="1688"/>
        <v>Tanque de Louça</v>
      </c>
      <c r="P2041" s="232" t="str">
        <f>IF(S2041="","",IF(Orçamento!$B2041="INSUMO",S2041,""))</f>
        <v>VALVULA P/TANQUE ACO CARBONO CROMADO 1"</v>
      </c>
      <c r="Q2041" s="244" t="str">
        <f t="shared" si="1689"/>
        <v/>
      </c>
      <c r="R2041" s="234">
        <f t="shared" ca="1" si="1690"/>
        <v>2</v>
      </c>
      <c r="S2041" s="233" t="s">
        <v>851</v>
      </c>
      <c r="T2041" s="242" t="str">
        <f>_xlfn.XLOOKUP(S2041,Insumos!$A$3:$A$371,Insumos!$B$3:$B$371)</f>
        <v>UN</v>
      </c>
      <c r="U2041" s="235">
        <f t="shared" ca="1" si="1692"/>
        <v>2</v>
      </c>
      <c r="V2041" s="320">
        <v>1</v>
      </c>
      <c r="W2041" s="236">
        <f>IFERROR(IF(B2041="INSUMO",_xlfn.XLOOKUP(S2041,Insumos!A:A,Insumos!C:C),""),"Inserir Preço")</f>
        <v>28.51</v>
      </c>
      <c r="X2041" s="235">
        <f t="shared" ca="1" si="1691"/>
        <v>2</v>
      </c>
      <c r="Y2041" s="236">
        <f t="shared" si="1676"/>
        <v>28.51</v>
      </c>
      <c r="Z2041" s="237">
        <f t="shared" ca="1" si="1649"/>
        <v>57.02</v>
      </c>
      <c r="AA2041" s="238"/>
      <c r="AB2041" s="233" t="str">
        <f>IF(B2041="insumo",_xlfn.XLOOKUP(S2041,Insumos!A:A,Insumos!D:D),"")</f>
        <v>Base de Dados</v>
      </c>
      <c r="AC2041" s="239">
        <f t="shared" ca="1" si="1650"/>
        <v>8.1800388630018564E-6</v>
      </c>
      <c r="AE2041" s="240">
        <f ca="1">IFERROR(IF(OR(Z2041="",Z2041=0),"",IF(AF2041="","",IF(AF2041="R$/mês",Z2041/OBRA!$D$12,IF(AF2041="R$/m²",Z2041/OBRA!$D$10,IF(AF2041="R$/apto",Orçamento!Z2041/OBRA!$D$11,""))))),"")</f>
        <v>2.9342898164396392E-2</v>
      </c>
      <c r="AF2041" s="241" t="s">
        <v>154</v>
      </c>
    </row>
    <row r="2042" spans="1:32" s="10" customFormat="1" ht="13.15" hidden="1" customHeight="1" outlineLevel="4" x14ac:dyDescent="0.2">
      <c r="A2042" s="227"/>
      <c r="B2042" s="228" t="s">
        <v>19</v>
      </c>
      <c r="C2042" s="229">
        <f t="shared" si="1648"/>
        <v>1</v>
      </c>
      <c r="D2042" s="227" t="str">
        <f t="shared" si="1678"/>
        <v/>
      </c>
      <c r="E2042" s="228" t="str">
        <f t="shared" ca="1" si="1679"/>
        <v>18.004.001.004</v>
      </c>
      <c r="F2042" s="230">
        <f ca="1">IF($B2042="UNIDADE CONSTRUTIVA",OFFSET(F2042,-1,0)+1,LARGE(F$10:F2041,1))</f>
        <v>2</v>
      </c>
      <c r="G2042" s="228" t="str">
        <f t="shared" ca="1" si="1680"/>
        <v xml:space="preserve">   GERENCIAMENTO EXECUTIVO</v>
      </c>
      <c r="H2042" s="230">
        <f t="shared" ca="1" si="1681"/>
        <v>18</v>
      </c>
      <c r="I2042" s="228" t="str">
        <f t="shared" ca="1" si="1682"/>
        <v xml:space="preserve">   LOUÇAS E METAIS</v>
      </c>
      <c r="J2042" s="230">
        <f t="shared" ca="1" si="1683"/>
        <v>4</v>
      </c>
      <c r="K2042" s="228" t="str">
        <f t="shared" ca="1" si="1684"/>
        <v xml:space="preserve">   LOUÇAS E METAIS - 8º PAVIMENTO - COBERTURA</v>
      </c>
      <c r="L2042" s="231">
        <f t="shared" ca="1" si="1685"/>
        <v>1</v>
      </c>
      <c r="M2042" s="228" t="str">
        <f t="shared" ca="1" si="1686"/>
        <v xml:space="preserve">   Aparelhos Sanitários - Louças - Metais e Acessórios</v>
      </c>
      <c r="N2042" s="231">
        <f t="shared" ca="1" si="1687"/>
        <v>4</v>
      </c>
      <c r="O2042" s="228" t="str">
        <f t="shared" ca="1" si="1688"/>
        <v>Tanque de Louça</v>
      </c>
      <c r="P2042" s="232" t="str">
        <f>IF(S2042="","",IF(Orçamento!$B2042="INSUMO",S2042,""))</f>
        <v>TORNEIRA LATAO CROMADO PAREDE P/TANQUE 1/2" C33 C/SAIDA P/MAQUINA</v>
      </c>
      <c r="Q2042" s="244" t="str">
        <f t="shared" si="1689"/>
        <v/>
      </c>
      <c r="R2042" s="234">
        <f t="shared" ca="1" si="1690"/>
        <v>2</v>
      </c>
      <c r="S2042" s="233" t="s">
        <v>859</v>
      </c>
      <c r="T2042" s="242" t="str">
        <f>_xlfn.XLOOKUP(S2042,Insumos!$A$3:$A$371,Insumos!$B$3:$B$371)</f>
        <v>un</v>
      </c>
      <c r="U2042" s="235">
        <f t="shared" ca="1" si="1692"/>
        <v>2</v>
      </c>
      <c r="V2042" s="320">
        <v>1</v>
      </c>
      <c r="W2042" s="236">
        <f>IFERROR(IF(B2042="INSUMO",_xlfn.XLOOKUP(S2042,Insumos!A:A,Insumos!C:C),""),"Inserir Preço")</f>
        <v>39.9</v>
      </c>
      <c r="X2042" s="235">
        <f t="shared" ca="1" si="1691"/>
        <v>2</v>
      </c>
      <c r="Y2042" s="236">
        <f t="shared" si="1676"/>
        <v>39.9</v>
      </c>
      <c r="Z2042" s="237">
        <f t="shared" ca="1" si="1649"/>
        <v>79.8</v>
      </c>
      <c r="AA2042" s="238"/>
      <c r="AB2042" s="233" t="str">
        <f>IF(B2042="insumo",_xlfn.XLOOKUP(S2042,Insumos!A:A,Insumos!D:D),"")</f>
        <v>Base de Dados</v>
      </c>
      <c r="AC2042" s="239">
        <f t="shared" ca="1" si="1650"/>
        <v>1.1448037552920872E-5</v>
      </c>
      <c r="AE2042" s="240">
        <f ca="1">IFERROR(IF(OR(Z2042="",Z2042=0),"",IF(AF2042="","",IF(AF2042="R$/mês",Z2042/OBRA!$D$12,IF(AF2042="R$/m²",Z2042/OBRA!$D$10,IF(AF2042="R$/apto",Orçamento!Z2042/OBRA!$D$11,""))))),"")</f>
        <v>4.1065648430705579E-2</v>
      </c>
      <c r="AF2042" s="241" t="s">
        <v>154</v>
      </c>
    </row>
    <row r="2043" spans="1:32" s="10" customFormat="1" ht="13.15" hidden="1" customHeight="1" outlineLevel="4" x14ac:dyDescent="0.2">
      <c r="A2043" s="227"/>
      <c r="B2043" s="228" t="s">
        <v>19</v>
      </c>
      <c r="C2043" s="229">
        <f t="shared" si="1648"/>
        <v>7</v>
      </c>
      <c r="D2043" s="227" t="str">
        <f t="shared" si="1678"/>
        <v/>
      </c>
      <c r="E2043" s="228" t="str">
        <f t="shared" ca="1" si="1679"/>
        <v>18.004.001.004</v>
      </c>
      <c r="F2043" s="230">
        <f ca="1">IF($B2043="UNIDADE CONSTRUTIVA",OFFSET(F2043,-1,0)+1,LARGE(F$10:F2042,1))</f>
        <v>2</v>
      </c>
      <c r="G2043" s="228" t="str">
        <f t="shared" ca="1" si="1680"/>
        <v xml:space="preserve">   GERENCIAMENTO EXECUTIVO</v>
      </c>
      <c r="H2043" s="230">
        <f t="shared" ca="1" si="1681"/>
        <v>18</v>
      </c>
      <c r="I2043" s="228" t="str">
        <f t="shared" ca="1" si="1682"/>
        <v xml:space="preserve">   LOUÇAS E METAIS</v>
      </c>
      <c r="J2043" s="230">
        <f t="shared" ca="1" si="1683"/>
        <v>4</v>
      </c>
      <c r="K2043" s="228" t="str">
        <f t="shared" ca="1" si="1684"/>
        <v xml:space="preserve">   LOUÇAS E METAIS - 8º PAVIMENTO - COBERTURA</v>
      </c>
      <c r="L2043" s="231">
        <f t="shared" ca="1" si="1685"/>
        <v>1</v>
      </c>
      <c r="M2043" s="228" t="str">
        <f t="shared" ca="1" si="1686"/>
        <v xml:space="preserve">   Aparelhos Sanitários - Louças - Metais e Acessórios</v>
      </c>
      <c r="N2043" s="231">
        <f t="shared" ca="1" si="1687"/>
        <v>4</v>
      </c>
      <c r="O2043" s="228" t="str">
        <f t="shared" ca="1" si="1688"/>
        <v>Tanque de Louça</v>
      </c>
      <c r="P2043" s="232" t="str">
        <f>IF(S2043="","",IF(Orçamento!$B2043="INSUMO",S2043,""))</f>
        <v>FITA VEDA ROSCA 18MMX50M NBR 13124</v>
      </c>
      <c r="Q2043" s="244" t="str">
        <f t="shared" si="1689"/>
        <v/>
      </c>
      <c r="R2043" s="234">
        <f t="shared" ca="1" si="1690"/>
        <v>2</v>
      </c>
      <c r="S2043" s="233" t="s">
        <v>840</v>
      </c>
      <c r="T2043" s="242" t="str">
        <f>_xlfn.XLOOKUP(S2043,Insumos!$A$3:$A$371,Insumos!$B$3:$B$371)</f>
        <v>UN</v>
      </c>
      <c r="U2043" s="235">
        <f t="shared" ca="1" si="1692"/>
        <v>2</v>
      </c>
      <c r="V2043" s="320">
        <v>0.84</v>
      </c>
      <c r="W2043" s="236">
        <f>IFERROR(IF(B2043="INSUMO",_xlfn.XLOOKUP(S2043,Insumos!A:A,Insumos!C:C),""),"Inserir Preço")</f>
        <v>6.56</v>
      </c>
      <c r="X2043" s="235">
        <f t="shared" ca="1" si="1691"/>
        <v>1.68</v>
      </c>
      <c r="Y2043" s="236">
        <f t="shared" si="1676"/>
        <v>5.5103999999999997</v>
      </c>
      <c r="Z2043" s="237">
        <f t="shared" ca="1" si="1649"/>
        <v>11.020799999999999</v>
      </c>
      <c r="AA2043" s="238"/>
      <c r="AB2043" s="233" t="str">
        <f>IF(B2043="insumo",_xlfn.XLOOKUP(S2043,Insumos!A:A,Insumos!D:D),"")</f>
        <v xml:space="preserve"> </v>
      </c>
      <c r="AC2043" s="239">
        <f t="shared" ca="1" si="1650"/>
        <v>1.5810342388875983E-6</v>
      </c>
      <c r="AE2043" s="240">
        <f ca="1">IFERROR(IF(OR(Z2043="",Z2043=0),"",IF(AF2043="","",IF(AF2043="R$/mês",Z2043/OBRA!$D$12,IF(AF2043="R$/m²",Z2043/OBRA!$D$10,IF(AF2043="R$/apto",Orçamento!Z2043/OBRA!$D$11,""))))),"")</f>
        <v>5.6713821832721804E-3</v>
      </c>
      <c r="AF2043" s="241" t="s">
        <v>154</v>
      </c>
    </row>
    <row r="2044" spans="1:32" s="10" customFormat="1" ht="13.15" hidden="1" customHeight="1" outlineLevel="4" x14ac:dyDescent="0.2">
      <c r="A2044" s="227"/>
      <c r="B2044" s="228" t="s">
        <v>19</v>
      </c>
      <c r="C2044" s="229">
        <f t="shared" si="1648"/>
        <v>7</v>
      </c>
      <c r="D2044" s="227" t="str">
        <f t="shared" si="1678"/>
        <v/>
      </c>
      <c r="E2044" s="228" t="str">
        <f t="shared" ca="1" si="1679"/>
        <v>18.004.001.004</v>
      </c>
      <c r="F2044" s="230">
        <f ca="1">IF($B2044="UNIDADE CONSTRUTIVA",OFFSET(F2044,-1,0)+1,LARGE(F$10:F2043,1))</f>
        <v>2</v>
      </c>
      <c r="G2044" s="228" t="str">
        <f t="shared" ca="1" si="1680"/>
        <v xml:space="preserve">   GERENCIAMENTO EXECUTIVO</v>
      </c>
      <c r="H2044" s="230">
        <f t="shared" ca="1" si="1681"/>
        <v>18</v>
      </c>
      <c r="I2044" s="228" t="str">
        <f t="shared" ca="1" si="1682"/>
        <v xml:space="preserve">   LOUÇAS E METAIS</v>
      </c>
      <c r="J2044" s="230">
        <f t="shared" ca="1" si="1683"/>
        <v>4</v>
      </c>
      <c r="K2044" s="228" t="str">
        <f t="shared" ca="1" si="1684"/>
        <v xml:space="preserve">   LOUÇAS E METAIS - 8º PAVIMENTO - COBERTURA</v>
      </c>
      <c r="L2044" s="231">
        <f t="shared" ca="1" si="1685"/>
        <v>1</v>
      </c>
      <c r="M2044" s="228" t="str">
        <f t="shared" ca="1" si="1686"/>
        <v xml:space="preserve">   Aparelhos Sanitários - Louças - Metais e Acessórios</v>
      </c>
      <c r="N2044" s="231">
        <f t="shared" ca="1" si="1687"/>
        <v>4</v>
      </c>
      <c r="O2044" s="228" t="str">
        <f t="shared" ca="1" si="1688"/>
        <v>Tanque de Louça</v>
      </c>
      <c r="P2044" s="232" t="str">
        <f>IF(S2044="","",IF(Orçamento!$B2044="INSUMO",S2044,""))</f>
        <v>MASSA PLASTICA BRANCA BI-COMPONENTE POLIESTER 400G</v>
      </c>
      <c r="Q2044" s="244" t="str">
        <f t="shared" si="1689"/>
        <v/>
      </c>
      <c r="R2044" s="234">
        <f t="shared" ca="1" si="1690"/>
        <v>2</v>
      </c>
      <c r="S2044" s="233" t="s">
        <v>841</v>
      </c>
      <c r="T2044" s="242" t="str">
        <f>_xlfn.XLOOKUP(S2044,Insumos!$A$3:$A$371,Insumos!$B$3:$B$371)</f>
        <v>UN</v>
      </c>
      <c r="U2044" s="235">
        <f t="shared" ca="1" si="1692"/>
        <v>2</v>
      </c>
      <c r="V2044" s="320">
        <v>1</v>
      </c>
      <c r="W2044" s="236">
        <f>IFERROR(IF(B2044="INSUMO",_xlfn.XLOOKUP(S2044,Insumos!A:A,Insumos!C:C),""),"Inserir Preço")</f>
        <v>12.88</v>
      </c>
      <c r="X2044" s="235">
        <f t="shared" ca="1" si="1691"/>
        <v>2</v>
      </c>
      <c r="Y2044" s="236">
        <f t="shared" si="1676"/>
        <v>12.88</v>
      </c>
      <c r="Z2044" s="237">
        <f t="shared" ca="1" si="1649"/>
        <v>25.76</v>
      </c>
      <c r="AA2044" s="238"/>
      <c r="AB2044" s="233" t="str">
        <f>IF(B2044="insumo",_xlfn.XLOOKUP(S2044,Insumos!A:A,Insumos!D:D),"")</f>
        <v xml:space="preserve"> </v>
      </c>
      <c r="AC2044" s="239">
        <f t="shared" ca="1" si="1650"/>
        <v>3.6955068591884924E-6</v>
      </c>
      <c r="AE2044" s="240">
        <f ca="1">IFERROR(IF(OR(Z2044="",Z2044=0),"",IF(AF2044="","",IF(AF2044="R$/mês",Z2044/OBRA!$D$12,IF(AF2044="R$/m²",Z2044/OBRA!$D$10,IF(AF2044="R$/apto",Orçamento!Z2044/OBRA!$D$11,""))))),"")</f>
        <v>1.3256279493420748E-2</v>
      </c>
      <c r="AF2044" s="241" t="s">
        <v>154</v>
      </c>
    </row>
    <row r="2045" spans="1:32" s="10" customFormat="1" ht="13.15" hidden="1" customHeight="1" outlineLevel="4" x14ac:dyDescent="0.2">
      <c r="A2045" s="227"/>
      <c r="B2045" s="228" t="s">
        <v>19</v>
      </c>
      <c r="C2045" s="229">
        <f t="shared" si="1648"/>
        <v>7</v>
      </c>
      <c r="D2045" s="227" t="str">
        <f t="shared" si="1678"/>
        <v/>
      </c>
      <c r="E2045" s="228" t="str">
        <f t="shared" ca="1" si="1679"/>
        <v>18.004.001.004</v>
      </c>
      <c r="F2045" s="230">
        <f ca="1">IF($B2045="UNIDADE CONSTRUTIVA",OFFSET(F2045,-1,0)+1,LARGE(F$10:F2044,1))</f>
        <v>2</v>
      </c>
      <c r="G2045" s="228" t="str">
        <f t="shared" ca="1" si="1680"/>
        <v xml:space="preserve">   GERENCIAMENTO EXECUTIVO</v>
      </c>
      <c r="H2045" s="230">
        <f t="shared" ca="1" si="1681"/>
        <v>18</v>
      </c>
      <c r="I2045" s="228" t="str">
        <f t="shared" ca="1" si="1682"/>
        <v xml:space="preserve">   LOUÇAS E METAIS</v>
      </c>
      <c r="J2045" s="230">
        <f t="shared" ca="1" si="1683"/>
        <v>4</v>
      </c>
      <c r="K2045" s="228" t="str">
        <f t="shared" ca="1" si="1684"/>
        <v xml:space="preserve">   LOUÇAS E METAIS - 8º PAVIMENTO - COBERTURA</v>
      </c>
      <c r="L2045" s="231">
        <f t="shared" ca="1" si="1685"/>
        <v>1</v>
      </c>
      <c r="M2045" s="228" t="str">
        <f t="shared" ca="1" si="1686"/>
        <v xml:space="preserve">   Aparelhos Sanitários - Louças - Metais e Acessórios</v>
      </c>
      <c r="N2045" s="231">
        <f t="shared" ca="1" si="1687"/>
        <v>4</v>
      </c>
      <c r="O2045" s="228" t="str">
        <f t="shared" ca="1" si="1688"/>
        <v>Tanque de Louça</v>
      </c>
      <c r="P2045" s="232" t="str">
        <f>IF(S2045="","",IF(Orçamento!$B2045="INSUMO",S2045,""))</f>
        <v>SELANTE PU40 BASE POLIURETANO BRANCO 280ML</v>
      </c>
      <c r="Q2045" s="244" t="str">
        <f t="shared" si="1689"/>
        <v/>
      </c>
      <c r="R2045" s="234">
        <f t="shared" ca="1" si="1690"/>
        <v>2</v>
      </c>
      <c r="S2045" s="233" t="s">
        <v>842</v>
      </c>
      <c r="T2045" s="242" t="str">
        <f>_xlfn.XLOOKUP(S2045,Insumos!$A$3:$A$371,Insumos!$B$3:$B$371)</f>
        <v>UN</v>
      </c>
      <c r="U2045" s="235">
        <f t="shared" ca="1" si="1692"/>
        <v>2</v>
      </c>
      <c r="V2045" s="320">
        <v>8.4000000000000005E-2</v>
      </c>
      <c r="W2045" s="236">
        <f>IFERROR(IF(B2045="INSUMO",_xlfn.XLOOKUP(S2045,Insumos!A:A,Insumos!C:C),""),"Inserir Preço")</f>
        <v>15.9</v>
      </c>
      <c r="X2045" s="235">
        <f t="shared" ca="1" si="1691"/>
        <v>0.16800000000000001</v>
      </c>
      <c r="Y2045" s="236">
        <f t="shared" si="1676"/>
        <v>1.3356000000000001</v>
      </c>
      <c r="Z2045" s="237">
        <f t="shared" ca="1" si="1649"/>
        <v>2.6712000000000002</v>
      </c>
      <c r="AA2045" s="238"/>
      <c r="AB2045" s="233" t="str">
        <f>IF(B2045="insumo",_xlfn.XLOOKUP(S2045,Insumos!A:A,Insumos!D:D),"")</f>
        <v xml:space="preserve"> </v>
      </c>
      <c r="AC2045" s="239">
        <f t="shared" ca="1" si="1650"/>
        <v>3.8320799387671978E-7</v>
      </c>
      <c r="AE2045" s="240">
        <f ca="1">IFERROR(IF(OR(Z2045="",Z2045=0),"",IF(AF2045="","",IF(AF2045="R$/mês",Z2045/OBRA!$D$12,IF(AF2045="R$/m²",Z2045/OBRA!$D$10,IF(AF2045="R$/apto",Orçamento!Z2045/OBRA!$D$11,""))))),"")</f>
        <v>1.3746185474699342E-3</v>
      </c>
      <c r="AF2045" s="241" t="s">
        <v>154</v>
      </c>
    </row>
    <row r="2046" spans="1:32" s="10" customFormat="1" ht="13.15" hidden="1" customHeight="1" outlineLevel="4" x14ac:dyDescent="0.2">
      <c r="A2046" s="227"/>
      <c r="B2046" s="228" t="s">
        <v>4</v>
      </c>
      <c r="C2046" s="229">
        <f t="shared" si="1648"/>
        <v>2</v>
      </c>
      <c r="D2046" s="227" t="str">
        <f t="shared" ca="1" si="1678"/>
        <v>18.004.001.005</v>
      </c>
      <c r="E2046" s="228" t="str">
        <f t="shared" ca="1" si="1679"/>
        <v>18.004.001.005</v>
      </c>
      <c r="F2046" s="230">
        <f ca="1">IF($B2046="UNIDADE CONSTRUTIVA",OFFSET(F2046,-1,0)+1,LARGE(F$10:F2045,1))</f>
        <v>2</v>
      </c>
      <c r="G2046" s="228" t="str">
        <f t="shared" ca="1" si="1680"/>
        <v xml:space="preserve">   GERENCIAMENTO EXECUTIVO</v>
      </c>
      <c r="H2046" s="230">
        <f t="shared" ca="1" si="1681"/>
        <v>18</v>
      </c>
      <c r="I2046" s="228" t="str">
        <f t="shared" ca="1" si="1682"/>
        <v xml:space="preserve">   LOUÇAS E METAIS</v>
      </c>
      <c r="J2046" s="230">
        <f t="shared" ca="1" si="1683"/>
        <v>4</v>
      </c>
      <c r="K2046" s="228" t="str">
        <f t="shared" ca="1" si="1684"/>
        <v xml:space="preserve">   LOUÇAS E METAIS - 8º PAVIMENTO - COBERTURA</v>
      </c>
      <c r="L2046" s="231">
        <f t="shared" ca="1" si="1685"/>
        <v>1</v>
      </c>
      <c r="M2046" s="228" t="str">
        <f t="shared" ca="1" si="1686"/>
        <v xml:space="preserve">   Aparelhos Sanitários - Louças - Metais e Acessórios</v>
      </c>
      <c r="N2046" s="231">
        <f t="shared" ca="1" si="1687"/>
        <v>5</v>
      </c>
      <c r="O2046" s="228" t="str">
        <f t="shared" ca="1" si="1688"/>
        <v>Acabamento de Registro</v>
      </c>
      <c r="P2046" s="232" t="str">
        <f>IF(S2046="","",IF(Orçamento!$B2046="INSUMO",S2046,""))</f>
        <v/>
      </c>
      <c r="Q2046" s="244" t="str">
        <f t="shared" si="1689"/>
        <v>Acabamento de Registro</v>
      </c>
      <c r="R2046" s="234">
        <f t="shared" ca="1" si="1690"/>
        <v>2</v>
      </c>
      <c r="S2046" s="233" t="s">
        <v>687</v>
      </c>
      <c r="T2046" s="242" t="s">
        <v>142</v>
      </c>
      <c r="U2046" s="235">
        <v>2</v>
      </c>
      <c r="V2046" s="320" t="s">
        <v>35</v>
      </c>
      <c r="W2046" s="236" t="str">
        <f>IFERROR(IF(B2046="INSUMO",_xlfn.XLOOKUP(S2046,Insumos!A:A,Insumos!C:C),""),"Inserir Preço")</f>
        <v/>
      </c>
      <c r="X2046" s="235">
        <f t="shared" ca="1" si="1691"/>
        <v>2</v>
      </c>
      <c r="Y2046" s="236">
        <f t="shared" ca="1" si="1676"/>
        <v>66</v>
      </c>
      <c r="Z2046" s="237">
        <f t="shared" ca="1" si="1649"/>
        <v>132</v>
      </c>
      <c r="AA2046" s="238"/>
      <c r="AB2046" s="233" t="str">
        <f>IF(B2046="insumo",_xlfn.XLOOKUP(S2046,Insumos!A:A,Insumos!D:D),"")</f>
        <v/>
      </c>
      <c r="AC2046" s="239">
        <f t="shared" ca="1" si="1650"/>
        <v>1.8936603470996932E-5</v>
      </c>
      <c r="AE2046" s="240">
        <f ca="1">IFERROR(IF(OR(Z2046="",Z2046=0),"",IF(AF2046="","",IF(AF2046="R$/mês",Z2046/OBRA!$D$12,IF(AF2046="R$/m²",Z2046/OBRA!$D$10,IF(AF2046="R$/apto",Orçamento!Z2046/OBRA!$D$11,""))))),"")</f>
        <v>6.7928140261317493E-2</v>
      </c>
      <c r="AF2046" s="241" t="s">
        <v>154</v>
      </c>
    </row>
    <row r="2047" spans="1:32" s="10" customFormat="1" ht="13.15" hidden="1" customHeight="1" outlineLevel="4" x14ac:dyDescent="0.2">
      <c r="A2047" s="227"/>
      <c r="B2047" s="228" t="s">
        <v>19</v>
      </c>
      <c r="C2047" s="229">
        <f t="shared" si="1648"/>
        <v>2</v>
      </c>
      <c r="D2047" s="227" t="str">
        <f t="shared" si="1678"/>
        <v/>
      </c>
      <c r="E2047" s="228" t="str">
        <f t="shared" ca="1" si="1679"/>
        <v>18.004.001.005</v>
      </c>
      <c r="F2047" s="230">
        <f ca="1">IF($B2047="UNIDADE CONSTRUTIVA",OFFSET(F2047,-1,0)+1,LARGE(F$10:F2046,1))</f>
        <v>2</v>
      </c>
      <c r="G2047" s="228" t="str">
        <f t="shared" ca="1" si="1680"/>
        <v xml:space="preserve">   GERENCIAMENTO EXECUTIVO</v>
      </c>
      <c r="H2047" s="230">
        <f t="shared" ca="1" si="1681"/>
        <v>18</v>
      </c>
      <c r="I2047" s="228" t="str">
        <f t="shared" ca="1" si="1682"/>
        <v xml:space="preserve">   LOUÇAS E METAIS</v>
      </c>
      <c r="J2047" s="230">
        <f t="shared" ca="1" si="1683"/>
        <v>4</v>
      </c>
      <c r="K2047" s="228" t="str">
        <f t="shared" ca="1" si="1684"/>
        <v xml:space="preserve">   LOUÇAS E METAIS - 8º PAVIMENTO - COBERTURA</v>
      </c>
      <c r="L2047" s="231">
        <f t="shared" ca="1" si="1685"/>
        <v>1</v>
      </c>
      <c r="M2047" s="228" t="str">
        <f t="shared" ca="1" si="1686"/>
        <v xml:space="preserve">   Aparelhos Sanitários - Louças - Metais e Acessórios</v>
      </c>
      <c r="N2047" s="231">
        <f t="shared" ca="1" si="1687"/>
        <v>5</v>
      </c>
      <c r="O2047" s="228" t="str">
        <f t="shared" ca="1" si="1688"/>
        <v>Acabamento de Registro</v>
      </c>
      <c r="P2047" s="232" t="str">
        <f>IF(S2047="","",IF(Orçamento!$B2047="INSUMO",S2047,""))</f>
        <v>ACABAMENTO REGISTRO LATAO CROMADO 3/4" NBR 15705</v>
      </c>
      <c r="Q2047" s="244" t="str">
        <f t="shared" si="1689"/>
        <v/>
      </c>
      <c r="R2047" s="234">
        <f t="shared" ca="1" si="1690"/>
        <v>2</v>
      </c>
      <c r="S2047" s="233" t="s">
        <v>853</v>
      </c>
      <c r="T2047" s="242" t="str">
        <f>_xlfn.XLOOKUP(S2047,Insumos!$A$3:$A$371,Insumos!$B$3:$B$371)</f>
        <v>un</v>
      </c>
      <c r="U2047" s="235">
        <f ca="1">IF($B2047="insumo",R2047,"")</f>
        <v>2</v>
      </c>
      <c r="V2047" s="320">
        <v>1</v>
      </c>
      <c r="W2047" s="236">
        <f>IFERROR(IF(B2047="INSUMO",_xlfn.XLOOKUP(S2047,Insumos!A:A,Insumos!C:C),""),"Inserir Preço")</f>
        <v>66</v>
      </c>
      <c r="X2047" s="235">
        <f t="shared" ca="1" si="1691"/>
        <v>2</v>
      </c>
      <c r="Y2047" s="236">
        <f t="shared" si="1676"/>
        <v>66</v>
      </c>
      <c r="Z2047" s="237">
        <f t="shared" ca="1" si="1649"/>
        <v>132</v>
      </c>
      <c r="AA2047" s="238"/>
      <c r="AB2047" s="233" t="str">
        <f>IF(B2047="insumo",_xlfn.XLOOKUP(S2047,Insumos!A:A,Insumos!D:D),"")</f>
        <v>Base de Dados</v>
      </c>
      <c r="AC2047" s="239">
        <f t="shared" ca="1" si="1650"/>
        <v>1.8936603470996932E-5</v>
      </c>
      <c r="AE2047" s="240">
        <f ca="1">IFERROR(IF(OR(Z2047="",Z2047=0),"",IF(AF2047="","",IF(AF2047="R$/mês",Z2047/OBRA!$D$12,IF(AF2047="R$/m²",Z2047/OBRA!$D$10,IF(AF2047="R$/apto",Orçamento!Z2047/OBRA!$D$11,""))))),"")</f>
        <v>6.7928140261317493E-2</v>
      </c>
      <c r="AF2047" s="241" t="s">
        <v>154</v>
      </c>
    </row>
    <row r="2048" spans="1:32" s="10" customFormat="1" ht="13.15" hidden="1" customHeight="1" outlineLevel="4" x14ac:dyDescent="0.2">
      <c r="A2048" s="227"/>
      <c r="B2048" s="228" t="s">
        <v>4</v>
      </c>
      <c r="C2048" s="229">
        <f t="shared" si="1648"/>
        <v>2</v>
      </c>
      <c r="D2048" s="227" t="str">
        <f t="shared" ref="D2048:D2062" ca="1" si="1693">IF(B2048="Unidade Construtiva",TEXT(F2048,"00"),IF(B2048="Célula Construtiva",TEXT(H2048,"00"),IF(B2048="Etapa",CONCATENATE(TEXT(H2048,"00"),".",TEXT(J2048,"000")),IF(B2048="Subetapa",CONCATENATE(TEXT(H2048,"00"),".",TEXT(J2048,"000"),".",TEXT(L2048,"000")),IF(B2048="Serviço",CONCATENATE(TEXT(H2048,"00"),".",TEXT(J2048,"000"),".",TEXT(L2048,"000"),".",TEXT(N2048,"000")),"")))))</f>
        <v>18.004.001.006</v>
      </c>
      <c r="E2048" s="228" t="str">
        <f t="shared" ref="E2048:E2062" ca="1" si="1694">IF(B2048="*","",IFERROR(IF(B2048="SERVIÇO",D2048,OFFSET(E2048,-1,0)),""))</f>
        <v>18.004.001.006</v>
      </c>
      <c r="F2048" s="230">
        <f ca="1">IF($B2048="UNIDADE CONSTRUTIVA",OFFSET(F2048,-1,0)+1,LARGE(F$10:F2047,1))</f>
        <v>2</v>
      </c>
      <c r="G2048" s="228" t="str">
        <f ca="1">IF(B2048="*","",IF(B2048="UNIDADE CONSTRUTIVA",S2048,OFFSET(G2048,-1,0)))</f>
        <v xml:space="preserve">   GERENCIAMENTO EXECUTIVO</v>
      </c>
      <c r="H2048" s="230">
        <f t="shared" ref="H2048:H2062" ca="1" si="1695">IF(B2048="UNIDADE CONSTRUTIVA",0,IF(B2048="CÉLULA CONSTRUTIVA",OFFSET(H2048,-1,0)+1,OFFSET(H2048,-1,0)))</f>
        <v>18</v>
      </c>
      <c r="I2048" s="228" t="str">
        <f ca="1">IF(B2048="*","",IF(B2048="CÉLULA CONSTRUTIVA",S2048,OFFSET(I2048,-1,0)))</f>
        <v xml:space="preserve">   LOUÇAS E METAIS</v>
      </c>
      <c r="J2048" s="230">
        <f t="shared" ref="J2048:J2062" ca="1" si="1696">IF(B2048="CÉLULA CONSTRUTIVA",0,IF(B2048="ETAPA",OFFSET(J2048,-1,0)+1,OFFSET(J2048,-1,0)))</f>
        <v>4</v>
      </c>
      <c r="K2048" s="228" t="str">
        <f ca="1">IF(B2048="*","",IF(B2048="ETAPA",S2048,OFFSET(K2048,-1,0)))</f>
        <v xml:space="preserve">   LOUÇAS E METAIS - 8º PAVIMENTO - COBERTURA</v>
      </c>
      <c r="L2048" s="231">
        <f t="shared" ref="L2048:L2062" ca="1" si="1697">IF(B2048="ETAPA",0,IF(B2048="SUBETAPA",OFFSET(L2048,-1,0)+1,OFFSET(L2048,-1,0)))</f>
        <v>1</v>
      </c>
      <c r="M2048" s="228" t="str">
        <f ca="1">IF(B2048="*","",IF(B2048="SUBETAPA",S2048,OFFSET(M2048,-1,0)))</f>
        <v xml:space="preserve">   Aparelhos Sanitários - Louças - Metais e Acessórios</v>
      </c>
      <c r="N2048" s="231">
        <f t="shared" ref="N2048:N2062" ca="1" si="1698">IF(B2048="Subetapa",0,IF(B2048="serviço",OFFSET(N2048,-1,0)+1,OFFSET(N2048,-1,0)))</f>
        <v>6</v>
      </c>
      <c r="O2048" s="228" t="str">
        <f ca="1">IF(B2048="*","",IF(B2048="SERVIÇO",S2048,OFFSET(O2048,-1,0)))</f>
        <v>Barras de Apoio PCD</v>
      </c>
      <c r="P2048" s="232" t="str">
        <f>IF(S2048="","",IF(Orçamento!$B2048="INSUMO",S2048,""))</f>
        <v/>
      </c>
      <c r="Q2048" s="244" t="str">
        <f>IF(B2048="","",IF(B2048="Serviço",S2048,""))</f>
        <v>Barras de Apoio PCD</v>
      </c>
      <c r="R2048" s="234">
        <f ca="1">IF(B2048="serviço",U2048,OFFSET(R2048,-1,0))</f>
        <v>8</v>
      </c>
      <c r="S2048" s="233" t="s">
        <v>843</v>
      </c>
      <c r="T2048" s="242" t="s">
        <v>142</v>
      </c>
      <c r="U2048" s="235">
        <v>8</v>
      </c>
      <c r="V2048" s="320" t="s">
        <v>35</v>
      </c>
      <c r="W2048" s="236" t="str">
        <f>IFERROR(IF(B2048="INSUMO",_xlfn.XLOOKUP(S2048,Insumos!A:A,Insumos!C:C),""),"Inserir Preço")</f>
        <v/>
      </c>
      <c r="X2048" s="235">
        <f ca="1">IF(B2048="Complemento do insumo",V2048,IF(R2048="","",IF(B2048="serviço",R2048,IF(OR(B2048="insumo"),V2048*R2048,""))))</f>
        <v>8</v>
      </c>
      <c r="Y2048" s="236">
        <f t="shared" ca="1" si="1676"/>
        <v>523.41999999999996</v>
      </c>
      <c r="Z2048" s="237">
        <f t="shared" ca="1" si="1649"/>
        <v>4187.3599999999997</v>
      </c>
      <c r="AA2048" s="238"/>
      <c r="AB2048" s="233" t="str">
        <f>IF(B2048="insumo",_xlfn.XLOOKUP(S2048,Insumos!A:A,Insumos!D:D),"")</f>
        <v/>
      </c>
      <c r="AC2048" s="239">
        <f t="shared" ca="1" si="1650"/>
        <v>6.0071496901752802E-4</v>
      </c>
      <c r="AE2048" s="240">
        <f ca="1">IFERROR(IF(OR(Z2048="",Z2048=0),"",IF(AF2048="","",IF(AF2048="R$/mês",Z2048/OBRA!$D$12,IF(AF2048="R$/m²",Z2048/OBRA!$D$10,IF(AF2048="R$/apto",Orçamento!Z2048/OBRA!$D$11,""))))),"")</f>
        <v>2.1548452833684122</v>
      </c>
      <c r="AF2048" s="241" t="s">
        <v>154</v>
      </c>
    </row>
    <row r="2049" spans="1:32" s="10" customFormat="1" ht="13.15" hidden="1" customHeight="1" outlineLevel="4" x14ac:dyDescent="0.2">
      <c r="A2049" s="227"/>
      <c r="B2049" s="228" t="s">
        <v>19</v>
      </c>
      <c r="C2049" s="229">
        <f t="shared" si="1648"/>
        <v>2</v>
      </c>
      <c r="D2049" s="227" t="str">
        <f t="shared" si="1693"/>
        <v/>
      </c>
      <c r="E2049" s="228" t="str">
        <f t="shared" ca="1" si="1694"/>
        <v>18.004.001.006</v>
      </c>
      <c r="F2049" s="230">
        <f ca="1">IF($B2049="UNIDADE CONSTRUTIVA",OFFSET(F2049,-1,0)+1,LARGE(F$10:F2048,1))</f>
        <v>2</v>
      </c>
      <c r="G2049" s="228" t="str">
        <f t="shared" ref="G2049:G2061" ca="1" si="1699">IF(B2049="*","",IF(B2049="UNIDADE CONSTRUTIVA",S2049,OFFSET(G2049,-1,0)))</f>
        <v xml:space="preserve">   GERENCIAMENTO EXECUTIVO</v>
      </c>
      <c r="H2049" s="230">
        <f t="shared" ca="1" si="1695"/>
        <v>18</v>
      </c>
      <c r="I2049" s="228" t="str">
        <f t="shared" ref="I2049:I2061" ca="1" si="1700">IF(B2049="*","",IF(B2049="CÉLULA CONSTRUTIVA",S2049,OFFSET(I2049,-1,0)))</f>
        <v xml:space="preserve">   LOUÇAS E METAIS</v>
      </c>
      <c r="J2049" s="230">
        <f t="shared" ca="1" si="1696"/>
        <v>4</v>
      </c>
      <c r="K2049" s="228" t="str">
        <f t="shared" ref="K2049:K2061" ca="1" si="1701">IF(B2049="*","",IF(B2049="ETAPA",S2049,OFFSET(K2049,-1,0)))</f>
        <v xml:space="preserve">   LOUÇAS E METAIS - 8º PAVIMENTO - COBERTURA</v>
      </c>
      <c r="L2049" s="231">
        <f t="shared" ca="1" si="1697"/>
        <v>1</v>
      </c>
      <c r="M2049" s="228" t="str">
        <f t="shared" ref="M2049:M2061" ca="1" si="1702">IF(B2049="*","",IF(B2049="SUBETAPA",S2049,OFFSET(M2049,-1,0)))</f>
        <v xml:space="preserve">   Aparelhos Sanitários - Louças - Metais e Acessórios</v>
      </c>
      <c r="N2049" s="231">
        <f t="shared" ca="1" si="1698"/>
        <v>6</v>
      </c>
      <c r="O2049" s="228" t="str">
        <f t="shared" ref="O2049:O2061" ca="1" si="1703">IF(B2049="*","",IF(B2049="SERVIÇO",S2049,OFFSET(O2049,-1,0)))</f>
        <v>Barras de Apoio PCD</v>
      </c>
      <c r="P2049" s="232" t="str">
        <f>IF(S2049="","",IF(Orçamento!$B2049="INSUMO",S2049,""))</f>
        <v>Barra de apoio PNE</v>
      </c>
      <c r="Q2049" s="244" t="str">
        <f t="shared" ref="Q2049:Q2060" si="1704">IF(B2049="","",IF(B2049="Serviço",S2049,""))</f>
        <v/>
      </c>
      <c r="R2049" s="234">
        <f t="shared" ref="R2049:R2060" ca="1" si="1705">IF(B2049="serviço",U2049,OFFSET(R2049,-1,0))</f>
        <v>8</v>
      </c>
      <c r="S2049" s="233" t="s">
        <v>686</v>
      </c>
      <c r="T2049" s="242" t="str">
        <f>_xlfn.XLOOKUP(S2049,Insumos!$A$3:$A$371,Insumos!$B$3:$B$371)</f>
        <v>un</v>
      </c>
      <c r="U2049" s="235">
        <f ca="1">IF($B2049="insumo",R2049,"")</f>
        <v>8</v>
      </c>
      <c r="V2049" s="320">
        <v>1</v>
      </c>
      <c r="W2049" s="236">
        <f>IFERROR(IF(B2049="INSUMO",_xlfn.XLOOKUP(S2049,Insumos!A:A,Insumos!C:C),""),"Inserir Preço")</f>
        <v>519.66</v>
      </c>
      <c r="X2049" s="235">
        <f t="shared" ref="X2049:X2058" ca="1" si="1706">IF(B2049="Complemento do insumo",V2049,IF(R2049="","",IF(B2049="serviço",R2049,IF(OR(B2049="insumo"),V2049*R2049,""))))</f>
        <v>8</v>
      </c>
      <c r="Y2049" s="236">
        <f t="shared" si="1676"/>
        <v>519.66</v>
      </c>
      <c r="Z2049" s="237">
        <f t="shared" ca="1" si="1649"/>
        <v>4157.28</v>
      </c>
      <c r="AA2049" s="238"/>
      <c r="AB2049" s="233" t="str">
        <f>IF(B2049="insumo",_xlfn.XLOOKUP(S2049,Insumos!A:A,Insumos!D:D),"")</f>
        <v>Base de Dados</v>
      </c>
      <c r="AC2049" s="239">
        <f t="shared" ca="1" si="1650"/>
        <v>5.9639971877201603E-4</v>
      </c>
      <c r="AE2049" s="240">
        <f ca="1">IFERROR(IF(OR(Z2049="",Z2049=0),"",IF(AF2049="","",IF(AF2049="R$/mês",Z2049/OBRA!$D$12,IF(AF2049="R$/m²",Z2049/OBRA!$D$10,IF(AF2049="R$/apto",Orçamento!Z2049/OBRA!$D$11,""))))),"")</f>
        <v>2.1393659011028028</v>
      </c>
      <c r="AF2049" s="241" t="s">
        <v>154</v>
      </c>
    </row>
    <row r="2050" spans="1:32" s="10" customFormat="1" ht="13.15" hidden="1" customHeight="1" outlineLevel="4" x14ac:dyDescent="0.2">
      <c r="A2050" s="227"/>
      <c r="B2050" s="228" t="s">
        <v>19</v>
      </c>
      <c r="C2050" s="229">
        <f t="shared" si="1648"/>
        <v>6</v>
      </c>
      <c r="D2050" s="227" t="str">
        <f t="shared" si="1693"/>
        <v/>
      </c>
      <c r="E2050" s="228" t="str">
        <f t="shared" ca="1" si="1694"/>
        <v>18.004.001.006</v>
      </c>
      <c r="F2050" s="230">
        <f ca="1">IF($B2050="UNIDADE CONSTRUTIVA",OFFSET(F2050,-1,0)+1,LARGE(F$10:F2049,1))</f>
        <v>2</v>
      </c>
      <c r="G2050" s="228" t="str">
        <f t="shared" ca="1" si="1699"/>
        <v xml:space="preserve">   GERENCIAMENTO EXECUTIVO</v>
      </c>
      <c r="H2050" s="230">
        <f t="shared" ca="1" si="1695"/>
        <v>18</v>
      </c>
      <c r="I2050" s="228" t="str">
        <f t="shared" ca="1" si="1700"/>
        <v xml:space="preserve">   LOUÇAS E METAIS</v>
      </c>
      <c r="J2050" s="230">
        <f t="shared" ca="1" si="1696"/>
        <v>4</v>
      </c>
      <c r="K2050" s="228" t="str">
        <f t="shared" ca="1" si="1701"/>
        <v xml:space="preserve">   LOUÇAS E METAIS - 8º PAVIMENTO - COBERTURA</v>
      </c>
      <c r="L2050" s="231">
        <f t="shared" ca="1" si="1697"/>
        <v>1</v>
      </c>
      <c r="M2050" s="228" t="str">
        <f t="shared" ca="1" si="1702"/>
        <v xml:space="preserve">   Aparelhos Sanitários - Louças - Metais e Acessórios</v>
      </c>
      <c r="N2050" s="231">
        <f t="shared" ca="1" si="1698"/>
        <v>6</v>
      </c>
      <c r="O2050" s="228" t="str">
        <f t="shared" ca="1" si="1703"/>
        <v>Barras de Apoio PCD</v>
      </c>
      <c r="P2050" s="232" t="str">
        <f>IF(S2050="","",IF(Orçamento!$B2050="INSUMO",S2050,""))</f>
        <v>PARAFUSO ACO CARBONO CAB. SEXTAVADA ROSCA BROCANTE 1/4"X3/4"</v>
      </c>
      <c r="Q2050" s="244" t="str">
        <f t="shared" si="1704"/>
        <v/>
      </c>
      <c r="R2050" s="234">
        <f t="shared" ca="1" si="1705"/>
        <v>8</v>
      </c>
      <c r="S2050" s="233" t="s">
        <v>754</v>
      </c>
      <c r="T2050" s="242" t="str">
        <f>_xlfn.XLOOKUP(S2050,Insumos!$A$3:$A$371,Insumos!$B$3:$B$371)</f>
        <v>UN</v>
      </c>
      <c r="U2050" s="235">
        <f ca="1">IF($B2050="insumo",R2050,"")</f>
        <v>8</v>
      </c>
      <c r="V2050" s="320">
        <v>8</v>
      </c>
      <c r="W2050" s="236">
        <f>IFERROR(IF(B2050="INSUMO",_xlfn.XLOOKUP(S2050,Insumos!A:A,Insumos!C:C),""),"Inserir Preço")</f>
        <v>0.35</v>
      </c>
      <c r="X2050" s="235">
        <f t="shared" ca="1" si="1706"/>
        <v>64</v>
      </c>
      <c r="Y2050" s="236">
        <f t="shared" si="1676"/>
        <v>2.8</v>
      </c>
      <c r="Z2050" s="237">
        <f t="shared" ca="1" si="1649"/>
        <v>22.4</v>
      </c>
      <c r="AA2050" s="238"/>
      <c r="AB2050" s="233">
        <f>IF(B2050="insumo",_xlfn.XLOOKUP(S2050,Insumos!A:A,Insumos!D:D),"")</f>
        <v>0</v>
      </c>
      <c r="AC2050" s="239">
        <f t="shared" ca="1" si="1650"/>
        <v>3.2134842253812975E-6</v>
      </c>
      <c r="AE2050" s="240">
        <f ca="1">IFERROR(IF(OR(Z2050="",Z2050=0),"",IF(AF2050="","",IF(AF2050="R$/mês",Z2050/OBRA!$D$12,IF(AF2050="R$/m²",Z2050/OBRA!$D$10,IF(AF2050="R$/apto",Orçamento!Z2050/OBRA!$D$11,""))))),"")</f>
        <v>1.1527199559496302E-2</v>
      </c>
      <c r="AF2050" s="241" t="s">
        <v>154</v>
      </c>
    </row>
    <row r="2051" spans="1:32" s="10" customFormat="1" ht="13.15" hidden="1" customHeight="1" outlineLevel="4" x14ac:dyDescent="0.2">
      <c r="A2051" s="227"/>
      <c r="B2051" s="228" t="s">
        <v>19</v>
      </c>
      <c r="C2051" s="229">
        <f t="shared" si="1648"/>
        <v>5</v>
      </c>
      <c r="D2051" s="227" t="str">
        <f t="shared" si="1693"/>
        <v/>
      </c>
      <c r="E2051" s="228" t="str">
        <f t="shared" ca="1" si="1694"/>
        <v>18.004.001.006</v>
      </c>
      <c r="F2051" s="230">
        <f ca="1">IF($B2051="UNIDADE CONSTRUTIVA",OFFSET(F2051,-1,0)+1,LARGE(F$10:F2050,1))</f>
        <v>2</v>
      </c>
      <c r="G2051" s="228" t="str">
        <f t="shared" ca="1" si="1699"/>
        <v xml:space="preserve">   GERENCIAMENTO EXECUTIVO</v>
      </c>
      <c r="H2051" s="230">
        <f t="shared" ca="1" si="1695"/>
        <v>18</v>
      </c>
      <c r="I2051" s="228" t="str">
        <f t="shared" ca="1" si="1700"/>
        <v xml:space="preserve">   LOUÇAS E METAIS</v>
      </c>
      <c r="J2051" s="230">
        <f t="shared" ca="1" si="1696"/>
        <v>4</v>
      </c>
      <c r="K2051" s="228" t="str">
        <f t="shared" ca="1" si="1701"/>
        <v xml:space="preserve">   LOUÇAS E METAIS - 8º PAVIMENTO - COBERTURA</v>
      </c>
      <c r="L2051" s="231">
        <f t="shared" ca="1" si="1697"/>
        <v>1</v>
      </c>
      <c r="M2051" s="228" t="str">
        <f t="shared" ca="1" si="1702"/>
        <v xml:space="preserve">   Aparelhos Sanitários - Louças - Metais e Acessórios</v>
      </c>
      <c r="N2051" s="231">
        <f t="shared" ca="1" si="1698"/>
        <v>6</v>
      </c>
      <c r="O2051" s="228" t="str">
        <f t="shared" ca="1" si="1703"/>
        <v>Barras de Apoio PCD</v>
      </c>
      <c r="P2051" s="232" t="str">
        <f>IF(S2051="","",IF(Orçamento!$B2051="INSUMO",S2051,""))</f>
        <v>BUCHA FIXACAO NYLON FU 08</v>
      </c>
      <c r="Q2051" s="244" t="str">
        <f t="shared" si="1704"/>
        <v/>
      </c>
      <c r="R2051" s="234">
        <f t="shared" ca="1" si="1705"/>
        <v>8</v>
      </c>
      <c r="S2051" s="233" t="s">
        <v>761</v>
      </c>
      <c r="T2051" s="242" t="str">
        <f>_xlfn.XLOOKUP(S2051,Insumos!$A$3:$A$371,Insumos!$B$3:$B$371)</f>
        <v>UN</v>
      </c>
      <c r="U2051" s="235">
        <f ca="1">IF($B2051="insumo",R2051,"")</f>
        <v>8</v>
      </c>
      <c r="V2051" s="320">
        <v>8</v>
      </c>
      <c r="W2051" s="236">
        <f>IFERROR(IF(B2051="INSUMO",_xlfn.XLOOKUP(S2051,Insumos!A:A,Insumos!C:C),""),"Inserir Preço")</f>
        <v>0.12</v>
      </c>
      <c r="X2051" s="235">
        <f t="shared" ca="1" si="1706"/>
        <v>64</v>
      </c>
      <c r="Y2051" s="236">
        <f t="shared" si="1676"/>
        <v>0.96</v>
      </c>
      <c r="Z2051" s="237">
        <f t="shared" ca="1" si="1649"/>
        <v>7.68</v>
      </c>
      <c r="AA2051" s="238"/>
      <c r="AB2051" s="233" t="str">
        <f>IF(B2051="insumo",_xlfn.XLOOKUP(S2051,Insumos!A:A,Insumos!D:D),"")</f>
        <v xml:space="preserve"> </v>
      </c>
      <c r="AC2051" s="239">
        <f t="shared" ca="1" si="1650"/>
        <v>1.1017660201307306E-6</v>
      </c>
      <c r="AE2051" s="240">
        <f ca="1">IFERROR(IF(OR(Z2051="",Z2051=0),"",IF(AF2051="","",IF(AF2051="R$/mês",Z2051/OBRA!$D$12,IF(AF2051="R$/m²",Z2051/OBRA!$D$10,IF(AF2051="R$/apto",Orçamento!Z2051/OBRA!$D$11,""))))),"")</f>
        <v>3.9521827061130181E-3</v>
      </c>
      <c r="AF2051" s="241" t="s">
        <v>154</v>
      </c>
    </row>
    <row r="2052" spans="1:32" s="10" customFormat="1" ht="13.15" hidden="1" customHeight="1" outlineLevel="4" x14ac:dyDescent="0.2">
      <c r="A2052" s="227"/>
      <c r="B2052" s="228" t="s">
        <v>4</v>
      </c>
      <c r="C2052" s="229">
        <f t="shared" si="1648"/>
        <v>1</v>
      </c>
      <c r="D2052" s="227" t="str">
        <f t="shared" ca="1" si="1693"/>
        <v>18.004.001.007</v>
      </c>
      <c r="E2052" s="228" t="str">
        <f t="shared" ca="1" si="1694"/>
        <v>18.004.001.007</v>
      </c>
      <c r="F2052" s="230">
        <f ca="1">IF($B2052="UNIDADE CONSTRUTIVA",OFFSET(F2052,-1,0)+1,LARGE(F$10:F2051,1))</f>
        <v>2</v>
      </c>
      <c r="G2052" s="228" t="str">
        <f t="shared" ca="1" si="1699"/>
        <v xml:space="preserve">   GERENCIAMENTO EXECUTIVO</v>
      </c>
      <c r="H2052" s="230">
        <f t="shared" ca="1" si="1695"/>
        <v>18</v>
      </c>
      <c r="I2052" s="228" t="str">
        <f t="shared" ca="1" si="1700"/>
        <v xml:space="preserve">   LOUÇAS E METAIS</v>
      </c>
      <c r="J2052" s="230">
        <f t="shared" ca="1" si="1696"/>
        <v>4</v>
      </c>
      <c r="K2052" s="228" t="str">
        <f t="shared" ca="1" si="1701"/>
        <v xml:space="preserve">   LOUÇAS E METAIS - 8º PAVIMENTO - COBERTURA</v>
      </c>
      <c r="L2052" s="231">
        <f t="shared" ca="1" si="1697"/>
        <v>1</v>
      </c>
      <c r="M2052" s="228" t="str">
        <f t="shared" ca="1" si="1702"/>
        <v xml:space="preserve">   Aparelhos Sanitários - Louças - Metais e Acessórios</v>
      </c>
      <c r="N2052" s="231">
        <f t="shared" ca="1" si="1698"/>
        <v>7</v>
      </c>
      <c r="O2052" s="228" t="str">
        <f t="shared" ca="1" si="1703"/>
        <v>Bancada Pia Cozinha - Granito Comercial</v>
      </c>
      <c r="P2052" s="232" t="str">
        <f>IF(S2052="","",IF(Orçamento!$B2052="INSUMO",S2052,""))</f>
        <v/>
      </c>
      <c r="Q2052" s="244" t="str">
        <f t="shared" si="1704"/>
        <v>Bancada Pia Cozinha - Granito Comercial</v>
      </c>
      <c r="R2052" s="234">
        <f t="shared" ca="1" si="1705"/>
        <v>0.72</v>
      </c>
      <c r="S2052" s="233" t="s">
        <v>855</v>
      </c>
      <c r="T2052" s="242" t="s">
        <v>140</v>
      </c>
      <c r="U2052" s="235">
        <f>0.6*1.2</f>
        <v>0.72</v>
      </c>
      <c r="V2052" s="320" t="s">
        <v>35</v>
      </c>
      <c r="W2052" s="236" t="str">
        <f>IFERROR(IF(B2052="INSUMO",_xlfn.XLOOKUP(S2052,Insumos!A:A,Insumos!C:C),""),"Inserir Preço")</f>
        <v/>
      </c>
      <c r="X2052" s="235">
        <f t="shared" ca="1" si="1706"/>
        <v>0.72</v>
      </c>
      <c r="Y2052" s="236">
        <f t="shared" ca="1" si="1676"/>
        <v>638</v>
      </c>
      <c r="Z2052" s="237">
        <f t="shared" ca="1" si="1649"/>
        <v>459.35999999999996</v>
      </c>
      <c r="AA2052" s="238"/>
      <c r="AB2052" s="233" t="str">
        <f>IF(B2052="insumo",_xlfn.XLOOKUP(S2052,Insumos!A:A,Insumos!D:D),"")</f>
        <v/>
      </c>
      <c r="AC2052" s="239">
        <f t="shared" ca="1" si="1650"/>
        <v>6.5899380079069319E-5</v>
      </c>
      <c r="AE2052" s="240">
        <f ca="1">IFERROR(IF(OR(Z2052="",Z2052=0),"",IF(AF2052="","",IF(AF2052="R$/mês",Z2052/OBRA!$D$12,IF(AF2052="R$/m²",Z2052/OBRA!$D$10,IF(AF2052="R$/apto",Orçamento!Z2052/OBRA!$D$11,""))))),"")</f>
        <v>0.23638992810938486</v>
      </c>
      <c r="AF2052" s="241" t="s">
        <v>154</v>
      </c>
    </row>
    <row r="2053" spans="1:32" s="10" customFormat="1" ht="13.15" hidden="1" customHeight="1" outlineLevel="4" x14ac:dyDescent="0.2">
      <c r="A2053" s="227"/>
      <c r="B2053" s="228" t="s">
        <v>19</v>
      </c>
      <c r="C2053" s="229">
        <f t="shared" si="1648"/>
        <v>11</v>
      </c>
      <c r="D2053" s="227" t="str">
        <f t="shared" si="1693"/>
        <v/>
      </c>
      <c r="E2053" s="228" t="str">
        <f t="shared" ca="1" si="1694"/>
        <v>18.004.001.007</v>
      </c>
      <c r="F2053" s="230">
        <f ca="1">IF($B2053="UNIDADE CONSTRUTIVA",OFFSET(F2053,-1,0)+1,LARGE(F$10:F2052,1))</f>
        <v>2</v>
      </c>
      <c r="G2053" s="228" t="str">
        <f t="shared" ca="1" si="1699"/>
        <v xml:space="preserve">   GERENCIAMENTO EXECUTIVO</v>
      </c>
      <c r="H2053" s="230">
        <f t="shared" ca="1" si="1695"/>
        <v>18</v>
      </c>
      <c r="I2053" s="228" t="str">
        <f t="shared" ca="1" si="1700"/>
        <v xml:space="preserve">   LOUÇAS E METAIS</v>
      </c>
      <c r="J2053" s="230">
        <f t="shared" ca="1" si="1696"/>
        <v>4</v>
      </c>
      <c r="K2053" s="228" t="str">
        <f t="shared" ca="1" si="1701"/>
        <v xml:space="preserve">   LOUÇAS E METAIS - 8º PAVIMENTO - COBERTURA</v>
      </c>
      <c r="L2053" s="231">
        <f t="shared" ca="1" si="1697"/>
        <v>1</v>
      </c>
      <c r="M2053" s="228" t="str">
        <f t="shared" ca="1" si="1702"/>
        <v xml:space="preserve">   Aparelhos Sanitários - Louças - Metais e Acessórios</v>
      </c>
      <c r="N2053" s="231">
        <f t="shared" ca="1" si="1698"/>
        <v>7</v>
      </c>
      <c r="O2053" s="228" t="str">
        <f t="shared" ca="1" si="1703"/>
        <v>Bancada Pia Cozinha - Granito Comercial</v>
      </c>
      <c r="P2053" s="232" t="str">
        <f>IF(S2053="","",IF(Orçamento!$B2053="INSUMO",S2053,""))</f>
        <v>GRANITO POLIDO</v>
      </c>
      <c r="Q2053" s="244" t="str">
        <f t="shared" si="1704"/>
        <v/>
      </c>
      <c r="R2053" s="234">
        <f t="shared" ca="1" si="1705"/>
        <v>0.72</v>
      </c>
      <c r="S2053" s="233" t="s">
        <v>286</v>
      </c>
      <c r="T2053" s="242" t="str">
        <f>_xlfn.XLOOKUP(S2053,Insumos!$A$3:$A$371,Insumos!$B$3:$B$371)</f>
        <v>M2</v>
      </c>
      <c r="U2053" s="235">
        <f ca="1">IF($B2053="insumo",R2053,"")</f>
        <v>0.72</v>
      </c>
      <c r="V2053" s="320">
        <v>1</v>
      </c>
      <c r="W2053" s="236">
        <f>IFERROR(IF(B2053="INSUMO",_xlfn.XLOOKUP(S2053,Insumos!A:A,Insumos!C:C),""),"Inserir Preço")</f>
        <v>638</v>
      </c>
      <c r="X2053" s="235">
        <f t="shared" ca="1" si="1706"/>
        <v>0.72</v>
      </c>
      <c r="Y2053" s="236">
        <f t="shared" si="1676"/>
        <v>638</v>
      </c>
      <c r="Z2053" s="237">
        <f t="shared" ca="1" si="1649"/>
        <v>459.35999999999996</v>
      </c>
      <c r="AA2053" s="238"/>
      <c r="AB2053" s="233" t="str">
        <f>IF(B2053="insumo",_xlfn.XLOOKUP(S2053,Insumos!A:A,Insumos!D:D),"")</f>
        <v xml:space="preserve"> </v>
      </c>
      <c r="AC2053" s="239">
        <f t="shared" ca="1" si="1650"/>
        <v>6.5899380079069319E-5</v>
      </c>
      <c r="AE2053" s="240">
        <f ca="1">IFERROR(IF(OR(Z2053="",Z2053=0),"",IF(AF2053="","",IF(AF2053="R$/mês",Z2053/OBRA!$D$12,IF(AF2053="R$/m²",Z2053/OBRA!$D$10,IF(AF2053="R$/apto",Orçamento!Z2053/OBRA!$D$11,""))))),"")</f>
        <v>0.23638992810938486</v>
      </c>
      <c r="AF2053" s="241" t="s">
        <v>154</v>
      </c>
    </row>
    <row r="2054" spans="1:32" s="10" customFormat="1" ht="13.15" hidden="1" customHeight="1" outlineLevel="4" x14ac:dyDescent="0.2">
      <c r="A2054" s="227"/>
      <c r="B2054" s="228" t="s">
        <v>4</v>
      </c>
      <c r="C2054" s="229">
        <f t="shared" si="1648"/>
        <v>1</v>
      </c>
      <c r="D2054" s="227" t="str">
        <f t="shared" ca="1" si="1693"/>
        <v>18.004.001.008</v>
      </c>
      <c r="E2054" s="228" t="str">
        <f t="shared" ca="1" si="1694"/>
        <v>18.004.001.008</v>
      </c>
      <c r="F2054" s="230">
        <f ca="1">IF($B2054="UNIDADE CONSTRUTIVA",OFFSET(F2054,-1,0)+1,LARGE(F$10:F2053,1))</f>
        <v>2</v>
      </c>
      <c r="G2054" s="228" t="str">
        <f t="shared" ca="1" si="1699"/>
        <v xml:space="preserve">   GERENCIAMENTO EXECUTIVO</v>
      </c>
      <c r="H2054" s="230">
        <f t="shared" ca="1" si="1695"/>
        <v>18</v>
      </c>
      <c r="I2054" s="228" t="str">
        <f t="shared" ca="1" si="1700"/>
        <v xml:space="preserve">   LOUÇAS E METAIS</v>
      </c>
      <c r="J2054" s="230">
        <f t="shared" ca="1" si="1696"/>
        <v>4</v>
      </c>
      <c r="K2054" s="228" t="str">
        <f t="shared" ca="1" si="1701"/>
        <v xml:space="preserve">   LOUÇAS E METAIS - 8º PAVIMENTO - COBERTURA</v>
      </c>
      <c r="L2054" s="231">
        <f t="shared" ca="1" si="1697"/>
        <v>1</v>
      </c>
      <c r="M2054" s="228" t="str">
        <f t="shared" ca="1" si="1702"/>
        <v xml:space="preserve">   Aparelhos Sanitários - Louças - Metais e Acessórios</v>
      </c>
      <c r="N2054" s="231">
        <f t="shared" ca="1" si="1698"/>
        <v>8</v>
      </c>
      <c r="O2054" s="228" t="str">
        <f t="shared" ca="1" si="1703"/>
        <v>Acessórios - Instalação de Bancada Pia Cozinha</v>
      </c>
      <c r="P2054" s="232" t="str">
        <f>IF(S2054="","",IF(Orçamento!$B2054="INSUMO",S2054,""))</f>
        <v/>
      </c>
      <c r="Q2054" s="244" t="str">
        <f t="shared" si="1704"/>
        <v>Acessórios - Instalação de Bancada Pia Cozinha</v>
      </c>
      <c r="R2054" s="234">
        <f t="shared" ca="1" si="1705"/>
        <v>1</v>
      </c>
      <c r="S2054" s="233" t="s">
        <v>857</v>
      </c>
      <c r="T2054" s="242" t="s">
        <v>142</v>
      </c>
      <c r="U2054" s="235">
        <v>1</v>
      </c>
      <c r="V2054" s="320" t="s">
        <v>35</v>
      </c>
      <c r="W2054" s="236" t="str">
        <f>IFERROR(IF(B2054="INSUMO",_xlfn.XLOOKUP(S2054,Insumos!A:A,Insumos!C:C),""),"Inserir Preço")</f>
        <v/>
      </c>
      <c r="X2054" s="235">
        <f t="shared" ca="1" si="1706"/>
        <v>1</v>
      </c>
      <c r="Y2054" s="236">
        <f t="shared" ca="1" si="1676"/>
        <v>46.82</v>
      </c>
      <c r="Z2054" s="237">
        <f t="shared" ca="1" si="1649"/>
        <v>46.82</v>
      </c>
      <c r="AA2054" s="238"/>
      <c r="AB2054" s="233" t="str">
        <f>IF(B2054="insumo",_xlfn.XLOOKUP(S2054,Insumos!A:A,Insumos!D:D),"")</f>
        <v/>
      </c>
      <c r="AC2054" s="239">
        <f t="shared" ca="1" si="1650"/>
        <v>6.7167558675157295E-6</v>
      </c>
      <c r="AE2054" s="240">
        <f ca="1">IFERROR(IF(OR(Z2054="",Z2054=0),"",IF(AF2054="","",IF(AF2054="R$/mês",Z2054/OBRA!$D$12,IF(AF2054="R$/m²",Z2054/OBRA!$D$10,IF(AF2054="R$/apto",Orçamento!Z2054/OBRA!$D$11,""))))),"")</f>
        <v>2.409390550784004E-2</v>
      </c>
      <c r="AF2054" s="241" t="s">
        <v>154</v>
      </c>
    </row>
    <row r="2055" spans="1:32" s="10" customFormat="1" ht="13.15" hidden="1" customHeight="1" outlineLevel="4" x14ac:dyDescent="0.2">
      <c r="A2055" s="227"/>
      <c r="B2055" s="228" t="s">
        <v>19</v>
      </c>
      <c r="C2055" s="229">
        <f t="shared" si="1648"/>
        <v>1</v>
      </c>
      <c r="D2055" s="227" t="str">
        <f t="shared" si="1693"/>
        <v/>
      </c>
      <c r="E2055" s="228" t="str">
        <f t="shared" ca="1" si="1694"/>
        <v>18.004.001.008</v>
      </c>
      <c r="F2055" s="230">
        <f ca="1">IF($B2055="UNIDADE CONSTRUTIVA",OFFSET(F2055,-1,0)+1,LARGE(F$10:F2054,1))</f>
        <v>2</v>
      </c>
      <c r="G2055" s="228" t="str">
        <f t="shared" ca="1" si="1699"/>
        <v xml:space="preserve">   GERENCIAMENTO EXECUTIVO</v>
      </c>
      <c r="H2055" s="230">
        <f t="shared" ca="1" si="1695"/>
        <v>18</v>
      </c>
      <c r="I2055" s="228" t="str">
        <f t="shared" ca="1" si="1700"/>
        <v xml:space="preserve">   LOUÇAS E METAIS</v>
      </c>
      <c r="J2055" s="230">
        <f t="shared" ca="1" si="1696"/>
        <v>4</v>
      </c>
      <c r="K2055" s="228" t="str">
        <f t="shared" ca="1" si="1701"/>
        <v xml:space="preserve">   LOUÇAS E METAIS - 8º PAVIMENTO - COBERTURA</v>
      </c>
      <c r="L2055" s="231">
        <f t="shared" ca="1" si="1697"/>
        <v>1</v>
      </c>
      <c r="M2055" s="228" t="str">
        <f t="shared" ca="1" si="1702"/>
        <v xml:space="preserve">   Aparelhos Sanitários - Louças - Metais e Acessórios</v>
      </c>
      <c r="N2055" s="231">
        <f t="shared" ca="1" si="1698"/>
        <v>8</v>
      </c>
      <c r="O2055" s="228" t="str">
        <f t="shared" ca="1" si="1703"/>
        <v>Acessórios - Instalação de Bancada Pia Cozinha</v>
      </c>
      <c r="P2055" s="232" t="str">
        <f>IF(S2055="","",IF(Orçamento!$B2055="INSUMO",S2055,""))</f>
        <v>SUPORTE APOIO ACO CARBONO P/PIA 40CM TUBO 50X30X0,90MM BRANCO</v>
      </c>
      <c r="Q2055" s="244" t="str">
        <f t="shared" si="1704"/>
        <v/>
      </c>
      <c r="R2055" s="234">
        <f t="shared" ca="1" si="1705"/>
        <v>1</v>
      </c>
      <c r="S2055" s="233" t="s">
        <v>856</v>
      </c>
      <c r="T2055" s="242" t="str">
        <f>_xlfn.XLOOKUP(S2055,Insumos!$A$3:$A$371,Insumos!$B$3:$B$371)</f>
        <v>UN</v>
      </c>
      <c r="U2055" s="235">
        <f ca="1">IF($B2055="insumo",R2055,"")</f>
        <v>1</v>
      </c>
      <c r="V2055" s="320">
        <v>2</v>
      </c>
      <c r="W2055" s="236">
        <f>IFERROR(IF(B2055="INSUMO",_xlfn.XLOOKUP(S2055,Insumos!A:A,Insumos!C:C),""),"Inserir Preço")</f>
        <v>22</v>
      </c>
      <c r="X2055" s="235">
        <f t="shared" ca="1" si="1706"/>
        <v>2</v>
      </c>
      <c r="Y2055" s="236">
        <f t="shared" si="1676"/>
        <v>44</v>
      </c>
      <c r="Z2055" s="237">
        <f t="shared" ca="1" si="1649"/>
        <v>44</v>
      </c>
      <c r="AA2055" s="238"/>
      <c r="AB2055" s="233" t="str">
        <f>IF(B2055="insumo",_xlfn.XLOOKUP(S2055,Insumos!A:A,Insumos!D:D),"")</f>
        <v xml:space="preserve"> </v>
      </c>
      <c r="AC2055" s="239">
        <f t="shared" ca="1" si="1650"/>
        <v>6.312201156998977E-6</v>
      </c>
      <c r="AE2055" s="240">
        <f ca="1">IFERROR(IF(OR(Z2055="",Z2055=0),"",IF(AF2055="","",IF(AF2055="R$/mês",Z2055/OBRA!$D$12,IF(AF2055="R$/m²",Z2055/OBRA!$D$10,IF(AF2055="R$/apto",Orçamento!Z2055/OBRA!$D$11,""))))),"")</f>
        <v>2.2642713420439164E-2</v>
      </c>
      <c r="AF2055" s="241" t="s">
        <v>154</v>
      </c>
    </row>
    <row r="2056" spans="1:32" s="10" customFormat="1" ht="13.15" hidden="1" customHeight="1" outlineLevel="4" x14ac:dyDescent="0.2">
      <c r="A2056" s="227"/>
      <c r="B2056" s="228" t="s">
        <v>19</v>
      </c>
      <c r="C2056" s="229">
        <f t="shared" si="1648"/>
        <v>6</v>
      </c>
      <c r="D2056" s="227" t="str">
        <f t="shared" si="1693"/>
        <v/>
      </c>
      <c r="E2056" s="228" t="str">
        <f t="shared" ca="1" si="1694"/>
        <v>18.004.001.008</v>
      </c>
      <c r="F2056" s="230">
        <f ca="1">IF($B2056="UNIDADE CONSTRUTIVA",OFFSET(F2056,-1,0)+1,LARGE(F$10:F2055,1))</f>
        <v>2</v>
      </c>
      <c r="G2056" s="228" t="str">
        <f t="shared" ca="1" si="1699"/>
        <v xml:space="preserve">   GERENCIAMENTO EXECUTIVO</v>
      </c>
      <c r="H2056" s="230">
        <f t="shared" ca="1" si="1695"/>
        <v>18</v>
      </c>
      <c r="I2056" s="228" t="str">
        <f t="shared" ca="1" si="1700"/>
        <v xml:space="preserve">   LOUÇAS E METAIS</v>
      </c>
      <c r="J2056" s="230">
        <f t="shared" ca="1" si="1696"/>
        <v>4</v>
      </c>
      <c r="K2056" s="228" t="str">
        <f t="shared" ca="1" si="1701"/>
        <v xml:space="preserve">   LOUÇAS E METAIS - 8º PAVIMENTO - COBERTURA</v>
      </c>
      <c r="L2056" s="231">
        <f t="shared" ca="1" si="1697"/>
        <v>1</v>
      </c>
      <c r="M2056" s="228" t="str">
        <f t="shared" ca="1" si="1702"/>
        <v xml:space="preserve">   Aparelhos Sanitários - Louças - Metais e Acessórios</v>
      </c>
      <c r="N2056" s="231">
        <f t="shared" ca="1" si="1698"/>
        <v>8</v>
      </c>
      <c r="O2056" s="228" t="str">
        <f t="shared" ca="1" si="1703"/>
        <v>Acessórios - Instalação de Bancada Pia Cozinha</v>
      </c>
      <c r="P2056" s="232" t="str">
        <f>IF(S2056="","",IF(Orçamento!$B2056="INSUMO",S2056,""))</f>
        <v>PARAFUSO ACO CARBONO CAB. SEXTAVADA ROSCA BROCANTE 1/4"X3/4"</v>
      </c>
      <c r="Q2056" s="244" t="str">
        <f t="shared" si="1704"/>
        <v/>
      </c>
      <c r="R2056" s="234">
        <f t="shared" ca="1" si="1705"/>
        <v>1</v>
      </c>
      <c r="S2056" s="233" t="s">
        <v>754</v>
      </c>
      <c r="T2056" s="242" t="str">
        <f>_xlfn.XLOOKUP(S2056,Insumos!$A$3:$A$371,Insumos!$B$3:$B$371)</f>
        <v>UN</v>
      </c>
      <c r="U2056" s="235">
        <f ca="1">IF($B2056="insumo",R2056,"")</f>
        <v>1</v>
      </c>
      <c r="V2056" s="320">
        <v>6</v>
      </c>
      <c r="W2056" s="236">
        <f>IFERROR(IF(B2056="INSUMO",_xlfn.XLOOKUP(S2056,Insumos!A:A,Insumos!C:C),""),"Inserir Preço")</f>
        <v>0.35</v>
      </c>
      <c r="X2056" s="235">
        <f t="shared" ca="1" si="1706"/>
        <v>6</v>
      </c>
      <c r="Y2056" s="236">
        <f t="shared" si="1676"/>
        <v>2.0999999999999996</v>
      </c>
      <c r="Z2056" s="237">
        <f t="shared" ca="1" si="1649"/>
        <v>2.0999999999999996</v>
      </c>
      <c r="AA2056" s="238"/>
      <c r="AB2056" s="233">
        <f>IF(B2056="insumo",_xlfn.XLOOKUP(S2056,Insumos!A:A,Insumos!D:D),"")</f>
        <v>0</v>
      </c>
      <c r="AC2056" s="239">
        <f t="shared" ca="1" si="1650"/>
        <v>3.0126414612949661E-7</v>
      </c>
      <c r="AE2056" s="240">
        <f ca="1">IFERROR(IF(OR(Z2056="",Z2056=0),"",IF(AF2056="","",IF(AF2056="R$/mês",Z2056/OBRA!$D$12,IF(AF2056="R$/m²",Z2056/OBRA!$D$10,IF(AF2056="R$/apto",Orçamento!Z2056/OBRA!$D$11,""))))),"")</f>
        <v>1.0806749587027782E-3</v>
      </c>
      <c r="AF2056" s="241" t="s">
        <v>154</v>
      </c>
    </row>
    <row r="2057" spans="1:32" s="10" customFormat="1" ht="13.15" hidden="1" customHeight="1" outlineLevel="4" x14ac:dyDescent="0.2">
      <c r="A2057" s="227"/>
      <c r="B2057" s="228" t="s">
        <v>19</v>
      </c>
      <c r="C2057" s="229">
        <f t="shared" si="1648"/>
        <v>5</v>
      </c>
      <c r="D2057" s="227" t="str">
        <f t="shared" si="1693"/>
        <v/>
      </c>
      <c r="E2057" s="228" t="str">
        <f t="shared" ca="1" si="1694"/>
        <v>18.004.001.008</v>
      </c>
      <c r="F2057" s="230">
        <f ca="1">IF($B2057="UNIDADE CONSTRUTIVA",OFFSET(F2057,-1,0)+1,LARGE(F$10:F2056,1))</f>
        <v>2</v>
      </c>
      <c r="G2057" s="228" t="str">
        <f t="shared" ca="1" si="1699"/>
        <v xml:space="preserve">   GERENCIAMENTO EXECUTIVO</v>
      </c>
      <c r="H2057" s="230">
        <f t="shared" ca="1" si="1695"/>
        <v>18</v>
      </c>
      <c r="I2057" s="228" t="str">
        <f t="shared" ca="1" si="1700"/>
        <v xml:space="preserve">   LOUÇAS E METAIS</v>
      </c>
      <c r="J2057" s="230">
        <f t="shared" ca="1" si="1696"/>
        <v>4</v>
      </c>
      <c r="K2057" s="228" t="str">
        <f t="shared" ca="1" si="1701"/>
        <v xml:space="preserve">   LOUÇAS E METAIS - 8º PAVIMENTO - COBERTURA</v>
      </c>
      <c r="L2057" s="231">
        <f t="shared" ca="1" si="1697"/>
        <v>1</v>
      </c>
      <c r="M2057" s="228" t="str">
        <f t="shared" ca="1" si="1702"/>
        <v xml:space="preserve">   Aparelhos Sanitários - Louças - Metais e Acessórios</v>
      </c>
      <c r="N2057" s="231">
        <f t="shared" ca="1" si="1698"/>
        <v>8</v>
      </c>
      <c r="O2057" s="228" t="str">
        <f t="shared" ca="1" si="1703"/>
        <v>Acessórios - Instalação de Bancada Pia Cozinha</v>
      </c>
      <c r="P2057" s="232" t="str">
        <f>IF(S2057="","",IF(Orçamento!$B2057="INSUMO",S2057,""))</f>
        <v>BUCHA FIXACAO NYLON FU 08</v>
      </c>
      <c r="Q2057" s="244" t="str">
        <f t="shared" si="1704"/>
        <v/>
      </c>
      <c r="R2057" s="234">
        <f t="shared" ca="1" si="1705"/>
        <v>1</v>
      </c>
      <c r="S2057" s="233" t="s">
        <v>761</v>
      </c>
      <c r="T2057" s="242" t="str">
        <f>_xlfn.XLOOKUP(S2057,Insumos!$A$3:$A$371,Insumos!$B$3:$B$371)</f>
        <v>UN</v>
      </c>
      <c r="U2057" s="235">
        <f ca="1">IF($B2057="insumo",R2057,"")</f>
        <v>1</v>
      </c>
      <c r="V2057" s="320">
        <v>6</v>
      </c>
      <c r="W2057" s="236">
        <f>IFERROR(IF(B2057="INSUMO",_xlfn.XLOOKUP(S2057,Insumos!A:A,Insumos!C:C),""),"Inserir Preço")</f>
        <v>0.12</v>
      </c>
      <c r="X2057" s="235">
        <f t="shared" ca="1" si="1706"/>
        <v>6</v>
      </c>
      <c r="Y2057" s="236">
        <f t="shared" si="1676"/>
        <v>0.72</v>
      </c>
      <c r="Z2057" s="237">
        <f t="shared" ca="1" si="1649"/>
        <v>0.72</v>
      </c>
      <c r="AA2057" s="238"/>
      <c r="AB2057" s="233" t="str">
        <f>IF(B2057="insumo",_xlfn.XLOOKUP(S2057,Insumos!A:A,Insumos!D:D),"")</f>
        <v xml:space="preserve"> </v>
      </c>
      <c r="AC2057" s="239">
        <f t="shared" ca="1" si="1650"/>
        <v>1.0329056438725599E-7</v>
      </c>
      <c r="AE2057" s="240">
        <f ca="1">IFERROR(IF(OR(Z2057="",Z2057=0),"",IF(AF2057="","",IF(AF2057="R$/mês",Z2057/OBRA!$D$12,IF(AF2057="R$/m²",Z2057/OBRA!$D$10,IF(AF2057="R$/apto",Orçamento!Z2057/OBRA!$D$11,""))))),"")</f>
        <v>3.7051712869809542E-4</v>
      </c>
      <c r="AF2057" s="241" t="s">
        <v>154</v>
      </c>
    </row>
    <row r="2058" spans="1:32" s="10" customFormat="1" ht="13.15" hidden="1" customHeight="1" outlineLevel="3" collapsed="1" x14ac:dyDescent="0.2">
      <c r="A2058" s="227"/>
      <c r="B2058" s="228" t="s">
        <v>3</v>
      </c>
      <c r="C2058" s="229" t="str">
        <f t="shared" si="1648"/>
        <v/>
      </c>
      <c r="D2058" s="227" t="str">
        <f t="shared" ca="1" si="1693"/>
        <v>18.004.002</v>
      </c>
      <c r="E2058" s="228" t="str">
        <f t="shared" ca="1" si="1694"/>
        <v>18.004.001.008</v>
      </c>
      <c r="F2058" s="230">
        <f ca="1">IF($B2058="UNIDADE CONSTRUTIVA",OFFSET(F2058,-1,0)+1,LARGE(F$10:F2057,1))</f>
        <v>2</v>
      </c>
      <c r="G2058" s="228" t="str">
        <f t="shared" ca="1" si="1699"/>
        <v xml:space="preserve">   GERENCIAMENTO EXECUTIVO</v>
      </c>
      <c r="H2058" s="230">
        <f t="shared" ca="1" si="1695"/>
        <v>18</v>
      </c>
      <c r="I2058" s="228" t="str">
        <f t="shared" ca="1" si="1700"/>
        <v xml:space="preserve">   LOUÇAS E METAIS</v>
      </c>
      <c r="J2058" s="230">
        <f t="shared" ca="1" si="1696"/>
        <v>4</v>
      </c>
      <c r="K2058" s="228" t="str">
        <f t="shared" ca="1" si="1701"/>
        <v xml:space="preserve">   LOUÇAS E METAIS - 8º PAVIMENTO - COBERTURA</v>
      </c>
      <c r="L2058" s="231">
        <f t="shared" ca="1" si="1697"/>
        <v>2</v>
      </c>
      <c r="M2058" s="228" t="str">
        <f t="shared" ca="1" si="1702"/>
        <v xml:space="preserve">   Mão de Obra</v>
      </c>
      <c r="N2058" s="231">
        <f t="shared" ca="1" si="1698"/>
        <v>0</v>
      </c>
      <c r="O2058" s="228" t="str">
        <f t="shared" ca="1" si="1703"/>
        <v>Acessórios - Instalação de Bancada Pia Cozinha</v>
      </c>
      <c r="P2058" s="232" t="str">
        <f>IF(S2058="","",IF(Orçamento!$B2058="INSUMO",S2058,""))</f>
        <v/>
      </c>
      <c r="Q2058" s="244" t="str">
        <f t="shared" si="1704"/>
        <v/>
      </c>
      <c r="R2058" s="234">
        <f t="shared" ca="1" si="1705"/>
        <v>1</v>
      </c>
      <c r="S2058" s="233" t="s">
        <v>438</v>
      </c>
      <c r="T2058" s="242" t="s">
        <v>35</v>
      </c>
      <c r="U2058" s="235" t="str">
        <f>IF($B2058="insumo",R2058,"")</f>
        <v/>
      </c>
      <c r="V2058" s="320" t="s">
        <v>35</v>
      </c>
      <c r="W2058" s="236" t="str">
        <f>IFERROR(IF(B2058="INSUMO",_xlfn.XLOOKUP(S2058,Insumos!A:A,Insumos!C:C),""),"Inserir Preço")</f>
        <v/>
      </c>
      <c r="X2058" s="235" t="str">
        <f t="shared" ca="1" si="1706"/>
        <v/>
      </c>
      <c r="Y2058" s="236" t="str">
        <f t="shared" si="1676"/>
        <v/>
      </c>
      <c r="Z2058" s="237">
        <f t="shared" ca="1" si="1649"/>
        <v>7999.9167975924402</v>
      </c>
      <c r="AA2058" s="238"/>
      <c r="AB2058" s="233" t="str">
        <f>IF(B2058="insumo",_xlfn.XLOOKUP(S2058,Insumos!A:A,Insumos!D:D),"")</f>
        <v/>
      </c>
      <c r="AC2058" s="239">
        <f t="shared" ca="1" si="1650"/>
        <v>1.1476610014922398E-3</v>
      </c>
      <c r="AE2058" s="240">
        <f ca="1">IFERROR(IF(OR(Z2058="",Z2058=0),"",IF(AF2058="","",IF(AF2058="R$/mês",Z2058/OBRA!$D$12,IF(AF2058="R$/m²",Z2058/OBRA!$D$10,IF(AF2058="R$/apto",Orçamento!Z2058/OBRA!$D$11,""))))),"")</f>
        <v>4.1168141689827964</v>
      </c>
      <c r="AF2058" s="241" t="s">
        <v>154</v>
      </c>
    </row>
    <row r="2059" spans="1:32" s="10" customFormat="1" ht="13.15" hidden="1" customHeight="1" outlineLevel="4" x14ac:dyDescent="0.2">
      <c r="A2059" s="227"/>
      <c r="B2059" s="228" t="s">
        <v>4</v>
      </c>
      <c r="C2059" s="229">
        <f t="shared" si="1648"/>
        <v>4</v>
      </c>
      <c r="D2059" s="227" t="str">
        <f t="shared" ca="1" si="1693"/>
        <v>18.004.002.001</v>
      </c>
      <c r="E2059" s="228" t="str">
        <f t="shared" ca="1" si="1694"/>
        <v>18.004.002.001</v>
      </c>
      <c r="F2059" s="230">
        <f ca="1">IF($B2059="UNIDADE CONSTRUTIVA",OFFSET(F2059,-1,0)+1,LARGE(F$10:F2058,1))</f>
        <v>2</v>
      </c>
      <c r="G2059" s="228" t="str">
        <f t="shared" ca="1" si="1699"/>
        <v xml:space="preserve">   GERENCIAMENTO EXECUTIVO</v>
      </c>
      <c r="H2059" s="230">
        <f t="shared" ca="1" si="1695"/>
        <v>18</v>
      </c>
      <c r="I2059" s="228" t="str">
        <f t="shared" ca="1" si="1700"/>
        <v xml:space="preserve">   LOUÇAS E METAIS</v>
      </c>
      <c r="J2059" s="230">
        <f t="shared" ca="1" si="1696"/>
        <v>4</v>
      </c>
      <c r="K2059" s="228" t="str">
        <f t="shared" ca="1" si="1701"/>
        <v xml:space="preserve">   LOUÇAS E METAIS - 8º PAVIMENTO - COBERTURA</v>
      </c>
      <c r="L2059" s="231">
        <f t="shared" ca="1" si="1697"/>
        <v>2</v>
      </c>
      <c r="M2059" s="228" t="str">
        <f t="shared" ca="1" si="1702"/>
        <v xml:space="preserve">   Mão de Obra</v>
      </c>
      <c r="N2059" s="231">
        <f t="shared" ca="1" si="1698"/>
        <v>1</v>
      </c>
      <c r="O2059" s="228" t="str">
        <f t="shared" ca="1" si="1703"/>
        <v>Loucas e metais</v>
      </c>
      <c r="P2059" s="232" t="str">
        <f>IF(S2059="","",IF(Orçamento!$B2059="INSUMO",S2059,""))</f>
        <v/>
      </c>
      <c r="Q2059" s="244" t="str">
        <f t="shared" si="1704"/>
        <v>Loucas e metais</v>
      </c>
      <c r="R2059" s="234">
        <f t="shared" ca="1" si="1705"/>
        <v>0.15810112248206404</v>
      </c>
      <c r="S2059" s="233" t="s">
        <v>452</v>
      </c>
      <c r="T2059" s="242" t="s">
        <v>170</v>
      </c>
      <c r="U2059" s="330">
        <f>'Custos Serviços'!$D$107/'Custos Serviços'!$D$103</f>
        <v>0.15810112248206404</v>
      </c>
      <c r="V2059" s="320" t="s">
        <v>35</v>
      </c>
      <c r="W2059" s="236" t="str">
        <f>IFERROR(IF(B2059="INSUMO",_xlfn.XLOOKUP(S2059,Insumos!A:A,Insumos!C:C),""),"Inserir Preço")</f>
        <v/>
      </c>
      <c r="X2059" s="235">
        <f ca="1">IF(B2059="Complemento do insumo",V2059,IF(R2059="","",IF(B2059="serviço",R2059,IF(OR(B2059="insumo"),V2059*R2059,""))))</f>
        <v>0.15810112248206404</v>
      </c>
      <c r="Y2059" s="236">
        <f t="shared" ca="1" si="1676"/>
        <v>50600</v>
      </c>
      <c r="Z2059" s="237">
        <f t="shared" ca="1" si="1649"/>
        <v>7999.9167975924402</v>
      </c>
      <c r="AA2059" s="238"/>
      <c r="AB2059" s="233" t="str">
        <f>IF(B2059="insumo",_xlfn.XLOOKUP(S2059,Insumos!A:A,Insumos!D:D),"")</f>
        <v/>
      </c>
      <c r="AC2059" s="239">
        <f t="shared" ca="1" si="1650"/>
        <v>1.1476610014922398E-3</v>
      </c>
      <c r="AE2059" s="240">
        <f ca="1">IFERROR(IF(OR(Z2059="",Z2059=0),"",IF(AF2059="","",IF(AF2059="R$/mês",Z2059/OBRA!$D$12,IF(AF2059="R$/m²",Z2059/OBRA!$D$10,IF(AF2059="R$/apto",Orçamento!Z2059/OBRA!$D$11,""))))),"")</f>
        <v>4.1168141689827964</v>
      </c>
      <c r="AF2059" s="241" t="s">
        <v>154</v>
      </c>
    </row>
    <row r="2060" spans="1:32" s="10" customFormat="1" ht="13.15" hidden="1" customHeight="1" outlineLevel="4" x14ac:dyDescent="0.2">
      <c r="A2060" s="227"/>
      <c r="B2060" s="228" t="s">
        <v>19</v>
      </c>
      <c r="C2060" s="229">
        <f t="shared" ref="C2060:C2123" si="1707">IF(B2060="INSUMO",COUNTIFS(B:B,"INSUMO",S:S,S2060),IF(B2060="SERVIÇO",COUNTIFS(B:B,"SERVIÇO",S:S,S2060),""))</f>
        <v>4</v>
      </c>
      <c r="D2060" s="227" t="str">
        <f t="shared" si="1693"/>
        <v/>
      </c>
      <c r="E2060" s="228" t="str">
        <f t="shared" ca="1" si="1694"/>
        <v>18.004.002.001</v>
      </c>
      <c r="F2060" s="230">
        <f ca="1">IF($B2060="UNIDADE CONSTRUTIVA",OFFSET(F2060,-1,0)+1,LARGE(F$10:F2059,1))</f>
        <v>2</v>
      </c>
      <c r="G2060" s="228" t="str">
        <f t="shared" ca="1" si="1699"/>
        <v xml:space="preserve">   GERENCIAMENTO EXECUTIVO</v>
      </c>
      <c r="H2060" s="230">
        <f t="shared" ca="1" si="1695"/>
        <v>18</v>
      </c>
      <c r="I2060" s="228" t="str">
        <f t="shared" ca="1" si="1700"/>
        <v xml:space="preserve">   LOUÇAS E METAIS</v>
      </c>
      <c r="J2060" s="230">
        <f t="shared" ca="1" si="1696"/>
        <v>4</v>
      </c>
      <c r="K2060" s="228" t="str">
        <f t="shared" ca="1" si="1701"/>
        <v xml:space="preserve">   LOUÇAS E METAIS - 8º PAVIMENTO - COBERTURA</v>
      </c>
      <c r="L2060" s="231">
        <f t="shared" ca="1" si="1697"/>
        <v>2</v>
      </c>
      <c r="M2060" s="228" t="str">
        <f t="shared" ca="1" si="1702"/>
        <v xml:space="preserve">   Mão de Obra</v>
      </c>
      <c r="N2060" s="231">
        <f t="shared" ca="1" si="1698"/>
        <v>1</v>
      </c>
      <c r="O2060" s="228" t="str">
        <f t="shared" ca="1" si="1703"/>
        <v>Loucas e metais</v>
      </c>
      <c r="P2060" s="232" t="str">
        <f>IF(S2060="","",IF(Orçamento!$B2060="INSUMO",S2060,""))</f>
        <v>LOUÇAS E METAIS</v>
      </c>
      <c r="Q2060" s="244" t="str">
        <f t="shared" si="1704"/>
        <v/>
      </c>
      <c r="R2060" s="234">
        <f t="shared" ca="1" si="1705"/>
        <v>0.15810112248206404</v>
      </c>
      <c r="S2060" s="233" t="s">
        <v>833</v>
      </c>
      <c r="T2060" s="242" t="str">
        <f>_xlfn.XLOOKUP(S2060,Insumos!$A$3:$A$371,Insumos!$B$3:$B$371)</f>
        <v>VB</v>
      </c>
      <c r="U2060" s="235">
        <f ca="1">IF($B2060="insumo",R2060,"")</f>
        <v>0.15810112248206404</v>
      </c>
      <c r="V2060" s="320">
        <v>1</v>
      </c>
      <c r="W2060" s="236">
        <f>IFERROR(IF(B2060="INSUMO",_xlfn.XLOOKUP(S2060,Insumos!A:A,Insumos!C:C),""),"Inserir Preço")</f>
        <v>50600</v>
      </c>
      <c r="X2060" s="235">
        <f ca="1">IF(B2060="Complemento do insumo",V2060,IF(R2060="","",IF(B2060="serviço",R2060,IF(OR(B2060="insumo"),V2060*R2060,""))))</f>
        <v>0.15810112248206404</v>
      </c>
      <c r="Y2060" s="236">
        <f t="shared" si="1676"/>
        <v>50600</v>
      </c>
      <c r="Z2060" s="237">
        <f t="shared" ref="Z2060:Z2123" ca="1" si="1708">IFERROR(IF(B2060="Unidade Construtiva",SUMIFS(Z:Z,B:B,"Célula Construtiva",G:G,G2060),IF(B2060="célula construtiva",SUMIFS(Z:Z,B:B,"Insumo",I:I,I2060,G:G,G2060),IF(B2060="ETAPA",SUMIFS(Z:Z,B:B,"Insumo",K:K,K2060,I:I,I2060,G:G,G2060),IF(B2060="subetapa",SUMIFS(Z:Z,M:M,M2060,B:B,"insumo",K:K,K2060,I:I,I2060,G:G,G2060),IF(B2060="complemento do insumo",V2060*W2060,IF(B2060="INSUMO",R2060*V2060*W2060,X2060*Y2060)))))),"")</f>
        <v>7999.9167975924402</v>
      </c>
      <c r="AA2060" s="238"/>
      <c r="AB2060" s="233" t="str">
        <f>IF(B2060="insumo",_xlfn.XLOOKUP(S2060,Insumos!A:A,Insumos!D:D),"")</f>
        <v>Aba Custo Serviços</v>
      </c>
      <c r="AC2060" s="239">
        <f t="shared" ref="AC2060:AC2123" ca="1" si="1709">IFERROR(IF(B2060="","",Z2060/SUMIF(B:B,"INSUMO",Z:Z)),0)</f>
        <v>1.1476610014922398E-3</v>
      </c>
      <c r="AE2060" s="240">
        <f ca="1">IFERROR(IF(OR(Z2060="",Z2060=0),"",IF(AF2060="","",IF(AF2060="R$/mês",Z2060/OBRA!$D$12,IF(AF2060="R$/m²",Z2060/OBRA!$D$10,IF(AF2060="R$/apto",Orçamento!Z2060/OBRA!$D$11,""))))),"")</f>
        <v>4.1168141689827964</v>
      </c>
      <c r="AF2060" s="241" t="s">
        <v>154</v>
      </c>
    </row>
    <row r="2061" spans="1:32" s="10" customFormat="1" ht="13.15" customHeight="1" outlineLevel="1" x14ac:dyDescent="0.2">
      <c r="A2061" s="227"/>
      <c r="B2061" s="228" t="s">
        <v>1</v>
      </c>
      <c r="C2061" s="229" t="str">
        <f t="shared" si="1707"/>
        <v/>
      </c>
      <c r="D2061" s="227" t="str">
        <f t="shared" ca="1" si="1693"/>
        <v>19</v>
      </c>
      <c r="E2061" s="228" t="str">
        <f ca="1">IF(B2061="*","",IFERROR(IF(B2061="SERVIÇO",D2061,OFFSET(E2061,-1,0)),""))</f>
        <v>18.004.002.001</v>
      </c>
      <c r="F2061" s="230">
        <f ca="1">IF($B2061="UNIDADE CONSTRUTIVA",OFFSET(F2061,-1,0)+1,LARGE(F$10:F2060,1))</f>
        <v>2</v>
      </c>
      <c r="G2061" s="228" t="str">
        <f t="shared" ca="1" si="1699"/>
        <v xml:space="preserve">   GERENCIAMENTO EXECUTIVO</v>
      </c>
      <c r="H2061" s="230">
        <f ca="1">IF(B2061="UNIDADE CONSTRUTIVA",0,IF(B2061="CÉLULA CONSTRUTIVA",OFFSET(H2061,-1,0)+1,OFFSET(H2061,-1,0)))</f>
        <v>19</v>
      </c>
      <c r="I2061" s="228" t="str">
        <f t="shared" ca="1" si="1700"/>
        <v xml:space="preserve">   COBERTURA</v>
      </c>
      <c r="J2061" s="230">
        <f ca="1">IF(B2061="CÉLULA CONSTRUTIVA",0,IF(B2061="ETAPA",OFFSET(J2061,-1,0)+1,OFFSET(J2061,-1,0)))</f>
        <v>0</v>
      </c>
      <c r="K2061" s="228" t="str">
        <f t="shared" ca="1" si="1701"/>
        <v xml:space="preserve">   LOUÇAS E METAIS - 8º PAVIMENTO - COBERTURA</v>
      </c>
      <c r="L2061" s="231">
        <f ca="1">IF(B2061="ETAPA",0,IF(B2061="SUBETAPA",OFFSET(L2061,-1,0)+1,OFFSET(L2061,-1,0)))</f>
        <v>2</v>
      </c>
      <c r="M2061" s="228" t="str">
        <f t="shared" ca="1" si="1702"/>
        <v xml:space="preserve">   Mão de Obra</v>
      </c>
      <c r="N2061" s="231">
        <f ca="1">IF(B2061="Subetapa",0,IF(B2061="serviço",OFFSET(N2061,-1,0)+1,OFFSET(N2061,-1,0)))</f>
        <v>1</v>
      </c>
      <c r="O2061" s="228" t="str">
        <f t="shared" ca="1" si="1703"/>
        <v>Loucas e metais</v>
      </c>
      <c r="P2061" s="232" t="str">
        <f>IF(S2061="","",IF(Orçamento!$B2061="INSUMO",S2061,""))</f>
        <v/>
      </c>
      <c r="Q2061" s="244" t="str">
        <f>IF(B2061="","",IF(B2061="Serviço",S2061,""))</f>
        <v/>
      </c>
      <c r="R2061" s="234">
        <f t="shared" ref="R2061:R2120" ca="1" si="1710">IF(B2061="serviço",U2061,OFFSET(R2061,-1,0))</f>
        <v>0.15810112248206404</v>
      </c>
      <c r="S2061" s="233" t="s">
        <v>551</v>
      </c>
      <c r="T2061" s="242" t="s">
        <v>35</v>
      </c>
      <c r="U2061" s="235" t="str">
        <f>IF($B2061="insumo",R2061,"")</f>
        <v/>
      </c>
      <c r="V2061" s="320" t="s">
        <v>35</v>
      </c>
      <c r="W2061" s="236" t="str">
        <f>IFERROR(IF(B2061="INSUMO",_xlfn.XLOOKUP(S2061,Insumos!A:A,Insumos!C:C),""),"Inserir Preço")</f>
        <v/>
      </c>
      <c r="X2061" s="235" t="str">
        <f t="shared" ref="X2061:X2120" ca="1" si="1711">IF(B2061="Complemento do insumo",V2061,IF(R2061="","",IF(B2061="serviço",R2061,IF(OR(B2061="insumo"),V2061*R2061,""))))</f>
        <v/>
      </c>
      <c r="Y2061" s="236" t="str">
        <f t="shared" si="1676"/>
        <v/>
      </c>
      <c r="Z2061" s="237">
        <f t="shared" ca="1" si="1708"/>
        <v>38853.540965000007</v>
      </c>
      <c r="AA2061" s="238"/>
      <c r="AB2061" s="233" t="str">
        <f>IF(B2061="insumo",_xlfn.XLOOKUP(S2061,Insumos!A:A,Insumos!D:D),"")</f>
        <v/>
      </c>
      <c r="AC2061" s="239">
        <f t="shared" ca="1" si="1709"/>
        <v>5.5738946871086411E-3</v>
      </c>
      <c r="AE2061" s="240">
        <f ca="1">IFERROR(IF(OR(Z2061="",Z2061=0),"",IF(AF2061="","",IF(AF2061="R$/mês",Z2061/OBRA!$D$12,IF(AF2061="R$/m²",Z2061/OBRA!$D$10,IF(AF2061="R$/apto",Orçamento!Z2061/OBRA!$D$11,""))))),"")</f>
        <v>19.994308941813376</v>
      </c>
      <c r="AF2061" s="241" t="s">
        <v>154</v>
      </c>
    </row>
    <row r="2062" spans="1:32" s="10" customFormat="1" ht="13.15" customHeight="1" outlineLevel="2" collapsed="1" x14ac:dyDescent="0.2">
      <c r="A2062" s="227"/>
      <c r="B2062" s="228" t="s">
        <v>2</v>
      </c>
      <c r="C2062" s="229" t="str">
        <f t="shared" si="1707"/>
        <v/>
      </c>
      <c r="D2062" s="227" t="str">
        <f t="shared" ca="1" si="1693"/>
        <v>19.001</v>
      </c>
      <c r="E2062" s="228" t="str">
        <f t="shared" ca="1" si="1694"/>
        <v>18.004.002.001</v>
      </c>
      <c r="F2062" s="230">
        <f ca="1">IF($B2062="UNIDADE CONSTRUTIVA",OFFSET(F2062,-1,0)+1,LARGE(F$10:F2061,1))</f>
        <v>2</v>
      </c>
      <c r="G2062" s="228" t="str">
        <f t="shared" ref="G2062:G2121" ca="1" si="1712">IF(B2062="*","",IF(B2062="UNIDADE CONSTRUTIVA",S2062,OFFSET(G2062,-1,0)))</f>
        <v xml:space="preserve">   GERENCIAMENTO EXECUTIVO</v>
      </c>
      <c r="H2062" s="230">
        <f t="shared" ca="1" si="1695"/>
        <v>19</v>
      </c>
      <c r="I2062" s="228" t="str">
        <f t="shared" ref="I2062:I2121" ca="1" si="1713">IF(B2062="*","",IF(B2062="CÉLULA CONSTRUTIVA",S2062,OFFSET(I2062,-1,0)))</f>
        <v xml:space="preserve">   COBERTURA</v>
      </c>
      <c r="J2062" s="230">
        <f t="shared" ca="1" si="1696"/>
        <v>1</v>
      </c>
      <c r="K2062" s="228" t="str">
        <f t="shared" ref="K2062:K2121" ca="1" si="1714">IF(B2062="*","",IF(B2062="ETAPA",S2062,OFFSET(K2062,-1,0)))</f>
        <v xml:space="preserve">   COBERTURA</v>
      </c>
      <c r="L2062" s="231">
        <f t="shared" ca="1" si="1697"/>
        <v>0</v>
      </c>
      <c r="M2062" s="228" t="str">
        <f t="shared" ref="M2062:M2121" ca="1" si="1715">IF(B2062="*","",IF(B2062="SUBETAPA",S2062,OFFSET(M2062,-1,0)))</f>
        <v xml:space="preserve">   Mão de Obra</v>
      </c>
      <c r="N2062" s="231">
        <f t="shared" ca="1" si="1698"/>
        <v>1</v>
      </c>
      <c r="O2062" s="228" t="str">
        <f t="shared" ref="O2062:O2121" ca="1" si="1716">IF(B2062="*","",IF(B2062="SERVIÇO",S2062,OFFSET(O2062,-1,0)))</f>
        <v>Loucas e metais</v>
      </c>
      <c r="P2062" s="232" t="str">
        <f>IF(S2062="","",IF(Orçamento!$B2062="INSUMO",S2062,""))</f>
        <v/>
      </c>
      <c r="Q2062" s="244" t="str">
        <f>IF(B2062="","",IF(B2062="Serviço",S2062,""))</f>
        <v/>
      </c>
      <c r="R2062" s="234">
        <f t="shared" ca="1" si="1710"/>
        <v>0.15810112248206404</v>
      </c>
      <c r="S2062" s="233" t="s">
        <v>551</v>
      </c>
      <c r="T2062" s="242" t="s">
        <v>35</v>
      </c>
      <c r="U2062" s="235" t="str">
        <f>IF($B2062="insumo",R2062,"")</f>
        <v/>
      </c>
      <c r="V2062" s="320" t="s">
        <v>35</v>
      </c>
      <c r="W2062" s="236" t="str">
        <f>IFERROR(IF(B2062="INSUMO",_xlfn.XLOOKUP(S2062,Insumos!A:A,Insumos!C:C),""),"Inserir Preço")</f>
        <v/>
      </c>
      <c r="X2062" s="235" t="str">
        <f t="shared" ca="1" si="1711"/>
        <v/>
      </c>
      <c r="Y2062" s="236" t="str">
        <f t="shared" si="1676"/>
        <v/>
      </c>
      <c r="Z2062" s="237">
        <f t="shared" ca="1" si="1708"/>
        <v>38853.540965000007</v>
      </c>
      <c r="AA2062" s="238"/>
      <c r="AB2062" s="233" t="str">
        <f>IF(B2062="insumo",_xlfn.XLOOKUP(S2062,Insumos!A:A,Insumos!D:D),"")</f>
        <v/>
      </c>
      <c r="AC2062" s="239">
        <f t="shared" ca="1" si="1709"/>
        <v>5.5738946871086411E-3</v>
      </c>
      <c r="AE2062" s="240">
        <f ca="1">IFERROR(IF(OR(Z2062="",Z2062=0),"",IF(AF2062="","",IF(AF2062="R$/mês",Z2062/OBRA!$D$12,IF(AF2062="R$/m²",Z2062/OBRA!$D$10,IF(AF2062="R$/apto",Orçamento!Z2062/OBRA!$D$11,""))))),"")</f>
        <v>19.994308941813376</v>
      </c>
      <c r="AF2062" s="241" t="s">
        <v>154</v>
      </c>
    </row>
    <row r="2063" spans="1:32" s="10" customFormat="1" ht="13.15" hidden="1" customHeight="1" outlineLevel="3" collapsed="1" x14ac:dyDescent="0.2">
      <c r="A2063" s="227"/>
      <c r="B2063" s="228" t="s">
        <v>3</v>
      </c>
      <c r="C2063" s="229" t="str">
        <f t="shared" si="1707"/>
        <v/>
      </c>
      <c r="D2063" s="227" t="str">
        <f t="shared" ref="D2063:D2069" ca="1" si="1717">IF(B2063="Unidade Construtiva",TEXT(F2063,"00"),IF(B2063="Célula Construtiva",TEXT(H2063,"00"),IF(B2063="Etapa",CONCATENATE(TEXT(H2063,"00"),".",TEXT(J2063,"000")),IF(B2063="Subetapa",CONCATENATE(TEXT(H2063,"00"),".",TEXT(J2063,"000"),".",TEXT(L2063,"000")),IF(B2063="Serviço",CONCATENATE(TEXT(H2063,"00"),".",TEXT(J2063,"000"),".",TEXT(L2063,"000"),".",TEXT(N2063,"000")),"")))))</f>
        <v>19.001.001</v>
      </c>
      <c r="E2063" s="228" t="str">
        <f t="shared" ref="E2063:E2069" ca="1" si="1718">IF(B2063="*","",IFERROR(IF(B2063="SERVIÇO",D2063,OFFSET(E2063,-1,0)),""))</f>
        <v>18.004.002.001</v>
      </c>
      <c r="F2063" s="230">
        <f ca="1">IF($B2063="UNIDADE CONSTRUTIVA",OFFSET(F2063,-1,0)+1,LARGE(F$10:F2062,1))</f>
        <v>2</v>
      </c>
      <c r="G2063" s="228" t="str">
        <f t="shared" ref="G2063:G2069" ca="1" si="1719">IF(B2063="*","",IF(B2063="UNIDADE CONSTRUTIVA",S2063,OFFSET(G2063,-1,0)))</f>
        <v xml:space="preserve">   GERENCIAMENTO EXECUTIVO</v>
      </c>
      <c r="H2063" s="230">
        <f t="shared" ref="H2063:H2069" ca="1" si="1720">IF(B2063="UNIDADE CONSTRUTIVA",0,IF(B2063="CÉLULA CONSTRUTIVA",OFFSET(H2063,-1,0)+1,OFFSET(H2063,-1,0)))</f>
        <v>19</v>
      </c>
      <c r="I2063" s="228" t="str">
        <f t="shared" ref="I2063:I2069" ca="1" si="1721">IF(B2063="*","",IF(B2063="CÉLULA CONSTRUTIVA",S2063,OFFSET(I2063,-1,0)))</f>
        <v xml:space="preserve">   COBERTURA</v>
      </c>
      <c r="J2063" s="230">
        <f t="shared" ref="J2063:J2069" ca="1" si="1722">IF(B2063="CÉLULA CONSTRUTIVA",0,IF(B2063="ETAPA",OFFSET(J2063,-1,0)+1,OFFSET(J2063,-1,0)))</f>
        <v>1</v>
      </c>
      <c r="K2063" s="228" t="str">
        <f t="shared" ref="K2063:K2069" ca="1" si="1723">IF(B2063="*","",IF(B2063="ETAPA",S2063,OFFSET(K2063,-1,0)))</f>
        <v xml:space="preserve">   COBERTURA</v>
      </c>
      <c r="L2063" s="231">
        <f t="shared" ref="L2063:L2069" ca="1" si="1724">IF(B2063="ETAPA",0,IF(B2063="SUBETAPA",OFFSET(L2063,-1,0)+1,OFFSET(L2063,-1,0)))</f>
        <v>1</v>
      </c>
      <c r="M2063" s="228" t="str">
        <f t="shared" ref="M2063:M2069" ca="1" si="1725">IF(B2063="*","",IF(B2063="SUBETAPA",S2063,OFFSET(M2063,-1,0)))</f>
        <v xml:space="preserve">   Telhados</v>
      </c>
      <c r="N2063" s="231">
        <f t="shared" ref="N2063:N2069" ca="1" si="1726">IF(B2063="Subetapa",0,IF(B2063="serviço",OFFSET(N2063,-1,0)+1,OFFSET(N2063,-1,0)))</f>
        <v>0</v>
      </c>
      <c r="O2063" s="228" t="str">
        <f t="shared" ref="O2063:O2069" ca="1" si="1727">IF(B2063="*","",IF(B2063="SERVIÇO",S2063,OFFSET(O2063,-1,0)))</f>
        <v>Loucas e metais</v>
      </c>
      <c r="P2063" s="232" t="str">
        <f>IF(S2063="","",IF(Orçamento!$B2063="INSUMO",S2063,""))</f>
        <v/>
      </c>
      <c r="Q2063" s="244" t="str">
        <f t="shared" ref="Q2063:Q2069" si="1728">IF(B2063="","",IF(B2063="Serviço",S2063,""))</f>
        <v/>
      </c>
      <c r="R2063" s="234">
        <f t="shared" ref="R2063:R2069" ca="1" si="1729">IF(B2063="serviço",U2063,OFFSET(R2063,-1,0))</f>
        <v>0.15810112248206404</v>
      </c>
      <c r="S2063" s="233" t="s">
        <v>778</v>
      </c>
      <c r="T2063" s="242" t="s">
        <v>35</v>
      </c>
      <c r="U2063" s="235" t="str">
        <f>IF($B2063="insumo",R2063,"")</f>
        <v/>
      </c>
      <c r="V2063" s="320" t="s">
        <v>35</v>
      </c>
      <c r="W2063" s="236" t="str">
        <f>IFERROR(IF(B2063="INSUMO",_xlfn.XLOOKUP(S2063,Insumos!A:A,Insumos!C:C),""),"Inserir Preço")</f>
        <v/>
      </c>
      <c r="X2063" s="235" t="str">
        <f t="shared" ref="X2063:X2072" ca="1" si="1730">IF(B2063="Complemento do insumo",V2063,IF(R2063="","",IF(B2063="serviço",R2063,IF(OR(B2063="insumo"),V2063*R2063,""))))</f>
        <v/>
      </c>
      <c r="Y2063" s="236" t="str">
        <f t="shared" si="1676"/>
        <v/>
      </c>
      <c r="Z2063" s="237">
        <f t="shared" ca="1" si="1708"/>
        <v>10862.718565000003</v>
      </c>
      <c r="AA2063" s="238"/>
      <c r="AB2063" s="233" t="str">
        <f>IF(B2063="insumo",_xlfn.XLOOKUP(S2063,Insumos!A:A,Insumos!D:D),"")</f>
        <v/>
      </c>
      <c r="AC2063" s="239">
        <f t="shared" ca="1" si="1709"/>
        <v>1.5583560157760748E-3</v>
      </c>
      <c r="AE2063" s="240">
        <f ca="1">IFERROR(IF(OR(Z2063="",Z2063=0),"",IF(AF2063="","",IF(AF2063="R$/mês",Z2063/OBRA!$D$12,IF(AF2063="R$/m²",Z2063/OBRA!$D$10,IF(AF2063="R$/apto",Orçamento!Z2063/OBRA!$D$11,""))))),"")</f>
        <v>5.5900323507768013</v>
      </c>
      <c r="AF2063" s="241" t="s">
        <v>154</v>
      </c>
    </row>
    <row r="2064" spans="1:32" s="10" customFormat="1" ht="13.15" hidden="1" customHeight="1" outlineLevel="4" x14ac:dyDescent="0.2">
      <c r="A2064" s="227"/>
      <c r="B2064" s="228" t="s">
        <v>4</v>
      </c>
      <c r="C2064" s="229">
        <f t="shared" si="1707"/>
        <v>1</v>
      </c>
      <c r="D2064" s="227" t="str">
        <f t="shared" ca="1" si="1717"/>
        <v>19.001.001.001</v>
      </c>
      <c r="E2064" s="228" t="str">
        <f t="shared" ca="1" si="1718"/>
        <v>19.001.001.001</v>
      </c>
      <c r="F2064" s="230">
        <f ca="1">IF($B2064="UNIDADE CONSTRUTIVA",OFFSET(F2064,-1,0)+1,LARGE(F$10:F2063,1))</f>
        <v>2</v>
      </c>
      <c r="G2064" s="228" t="str">
        <f t="shared" ca="1" si="1719"/>
        <v xml:space="preserve">   GERENCIAMENTO EXECUTIVO</v>
      </c>
      <c r="H2064" s="230">
        <f t="shared" ca="1" si="1720"/>
        <v>19</v>
      </c>
      <c r="I2064" s="228" t="str">
        <f t="shared" ca="1" si="1721"/>
        <v xml:space="preserve">   COBERTURA</v>
      </c>
      <c r="J2064" s="230">
        <f t="shared" ca="1" si="1722"/>
        <v>1</v>
      </c>
      <c r="K2064" s="228" t="str">
        <f t="shared" ca="1" si="1723"/>
        <v xml:space="preserve">   COBERTURA</v>
      </c>
      <c r="L2064" s="231">
        <f t="shared" ca="1" si="1724"/>
        <v>1</v>
      </c>
      <c r="M2064" s="228" t="str">
        <f t="shared" ca="1" si="1725"/>
        <v xml:space="preserve">   Telhados</v>
      </c>
      <c r="N2064" s="231">
        <f t="shared" ca="1" si="1726"/>
        <v>1</v>
      </c>
      <c r="O2064" s="228" t="str">
        <f t="shared" ca="1" si="1727"/>
        <v>Estrutura de Madeira Apoiada em Parede</v>
      </c>
      <c r="P2064" s="232" t="str">
        <f>IF(S2064="","",IF(Orçamento!$B2064="INSUMO",S2064,""))</f>
        <v/>
      </c>
      <c r="Q2064" s="244" t="str">
        <f t="shared" si="1728"/>
        <v>Estrutura de Madeira Apoiada em Parede</v>
      </c>
      <c r="R2064" s="234">
        <f t="shared" ca="1" si="1729"/>
        <v>60.19</v>
      </c>
      <c r="S2064" s="233" t="s">
        <v>751</v>
      </c>
      <c r="T2064" s="242" t="s">
        <v>140</v>
      </c>
      <c r="U2064" s="235">
        <f>U2068</f>
        <v>60.19</v>
      </c>
      <c r="V2064" s="320" t="s">
        <v>35</v>
      </c>
      <c r="W2064" s="236" t="str">
        <f>IFERROR(IF(B2064="INSUMO",_xlfn.XLOOKUP(S2064,Insumos!A:A,Insumos!C:C),""),"Inserir Preço")</f>
        <v/>
      </c>
      <c r="X2064" s="235">
        <f t="shared" ca="1" si="1730"/>
        <v>60.19</v>
      </c>
      <c r="Y2064" s="236">
        <f t="shared" ca="1" si="1676"/>
        <v>104.2983</v>
      </c>
      <c r="Z2064" s="237">
        <f t="shared" ca="1" si="1708"/>
        <v>6277.7146769999999</v>
      </c>
      <c r="AA2064" s="238"/>
      <c r="AB2064" s="233" t="str">
        <f>IF(B2064="insumo",_xlfn.XLOOKUP(S2064,Insumos!A:A,Insumos!D:D),"")</f>
        <v/>
      </c>
      <c r="AC2064" s="239">
        <f t="shared" ca="1" si="1709"/>
        <v>9.0059540562429231E-4</v>
      </c>
      <c r="AE2064" s="240">
        <f ca="1">IFERROR(IF(OR(Z2064="",Z2064=0),"",IF(AF2064="","",IF(AF2064="R$/mês",Z2064/OBRA!$D$12,IF(AF2064="R$/m²",Z2064/OBRA!$D$10,IF(AF2064="R$/apto",Orçamento!Z2064/OBRA!$D$11,""))))),"")</f>
        <v>3.2305566901499052</v>
      </c>
      <c r="AF2064" s="241" t="s">
        <v>154</v>
      </c>
    </row>
    <row r="2065" spans="1:32" s="10" customFormat="1" ht="13.15" hidden="1" customHeight="1" outlineLevel="4" x14ac:dyDescent="0.2">
      <c r="A2065" s="227"/>
      <c r="B2065" s="228" t="s">
        <v>19</v>
      </c>
      <c r="C2065" s="229">
        <f t="shared" si="1707"/>
        <v>1</v>
      </c>
      <c r="D2065" s="227" t="str">
        <f>IF(B2065="Unidade Construtiva",TEXT(F2065,"00"),IF(B2065="Célula Construtiva",TEXT(H2065,"00"),IF(B2065="Etapa",CONCATENATE(TEXT(H2065,"00"),".",TEXT(J2065,"000")),IF(B2065="Subetapa",CONCATENATE(TEXT(H2065,"00"),".",TEXT(J2065,"000"),".",TEXT(L2065,"000")),IF(B2065="Serviço",CONCATENATE(TEXT(H2065,"00"),".",TEXT(J2065,"000"),".",TEXT(L2065,"000"),".",TEXT(N2065,"000")),"")))))</f>
        <v/>
      </c>
      <c r="E2065" s="228" t="str">
        <f ca="1">IF(B2065="*","",IFERROR(IF(B2065="SERVIÇO",D2065,OFFSET(E2065,-1,0)),""))</f>
        <v>19.001.001.001</v>
      </c>
      <c r="F2065" s="230">
        <f ca="1">IF($B2065="UNIDADE CONSTRUTIVA",OFFSET(F2065,-1,0)+1,LARGE(F$10:F2064,1))</f>
        <v>2</v>
      </c>
      <c r="G2065" s="228" t="str">
        <f ca="1">IF(B2065="*","",IF(B2065="UNIDADE CONSTRUTIVA",S2065,OFFSET(G2065,-1,0)))</f>
        <v xml:space="preserve">   GERENCIAMENTO EXECUTIVO</v>
      </c>
      <c r="H2065" s="230">
        <f ca="1">IF(B2065="UNIDADE CONSTRUTIVA",0,IF(B2065="CÉLULA CONSTRUTIVA",OFFSET(H2065,-1,0)+1,OFFSET(H2065,-1,0)))</f>
        <v>19</v>
      </c>
      <c r="I2065" s="228" t="str">
        <f ca="1">IF(B2065="*","",IF(B2065="CÉLULA CONSTRUTIVA",S2065,OFFSET(I2065,-1,0)))</f>
        <v xml:space="preserve">   COBERTURA</v>
      </c>
      <c r="J2065" s="230">
        <f ca="1">IF(B2065="CÉLULA CONSTRUTIVA",0,IF(B2065="ETAPA",OFFSET(J2065,-1,0)+1,OFFSET(J2065,-1,0)))</f>
        <v>1</v>
      </c>
      <c r="K2065" s="228" t="str">
        <f ca="1">IF(B2065="*","",IF(B2065="ETAPA",S2065,OFFSET(K2065,-1,0)))</f>
        <v xml:space="preserve">   COBERTURA</v>
      </c>
      <c r="L2065" s="231">
        <f ca="1">IF(B2065="ETAPA",0,IF(B2065="SUBETAPA",OFFSET(L2065,-1,0)+1,OFFSET(L2065,-1,0)))</f>
        <v>1</v>
      </c>
      <c r="M2065" s="228" t="str">
        <f ca="1">IF(B2065="*","",IF(B2065="SUBETAPA",S2065,OFFSET(M2065,-1,0)))</f>
        <v xml:space="preserve">   Telhados</v>
      </c>
      <c r="N2065" s="231">
        <f ca="1">IF(B2065="Subetapa",0,IF(B2065="serviço",OFFSET(N2065,-1,0)+1,OFFSET(N2065,-1,0)))</f>
        <v>1</v>
      </c>
      <c r="O2065" s="228" t="str">
        <f ca="1">IF(B2065="*","",IF(B2065="SERVIÇO",S2065,OFFSET(O2065,-1,0)))</f>
        <v>Estrutura de Madeira Apoiada em Parede</v>
      </c>
      <c r="P2065" s="232" t="str">
        <f>IF(S2065="","",IF(Orçamento!$B2065="INSUMO",S2065,""))</f>
        <v>PREGO DE ACO 18 X 27 COM CABECA</v>
      </c>
      <c r="Q2065" s="244" t="str">
        <f>IF(B2065="","",IF(B2065="Serviço",S2065,""))</f>
        <v/>
      </c>
      <c r="R2065" s="234">
        <f ca="1">IF(B2065="serviço",U2065,OFFSET(R2065,-1,0))</f>
        <v>60.19</v>
      </c>
      <c r="S2065" s="233" t="s">
        <v>399</v>
      </c>
      <c r="T2065" s="242" t="str">
        <f>_xlfn.XLOOKUP(S2065,Insumos!$A$3:$A$371,Insumos!$B$3:$B$371)</f>
        <v>KG</v>
      </c>
      <c r="U2065" s="235">
        <f ca="1">IF($B2065="insumo",R2065,"")</f>
        <v>60.19</v>
      </c>
      <c r="V2065" s="320">
        <v>0.23</v>
      </c>
      <c r="W2065" s="236">
        <f>IFERROR(IF(B2065="INSUMO",_xlfn.XLOOKUP(S2065,Insumos!A:A,Insumos!C:C),""),"Inserir Preço")</f>
        <v>12.120000000000001</v>
      </c>
      <c r="X2065" s="235">
        <f t="shared" ca="1" si="1730"/>
        <v>13.8437</v>
      </c>
      <c r="Y2065" s="236">
        <f t="shared" si="1676"/>
        <v>2.7876000000000003</v>
      </c>
      <c r="Z2065" s="237">
        <f t="shared" ca="1" si="1708"/>
        <v>167.78564400000002</v>
      </c>
      <c r="AA2065" s="238"/>
      <c r="AB2065" s="233" t="str">
        <f>IF(B2065="insumo",_xlfn.XLOOKUP(S2065,Insumos!A:A,Insumos!D:D),"")</f>
        <v xml:space="preserve"> </v>
      </c>
      <c r="AC2065" s="239">
        <f t="shared" ca="1" si="1709"/>
        <v>2.4070380367832241E-5</v>
      </c>
      <c r="AE2065" s="240">
        <f ca="1">IFERROR(IF(OR(Z2065="",Z2065=0),"",IF(AF2065="","",IF(AF2065="R$/mês",Z2065/OBRA!$D$12,IF(AF2065="R$/m²",Z2065/OBRA!$D$10,IF(AF2065="R$/apto",Orçamento!Z2065/OBRA!$D$11,""))))),"")</f>
        <v>8.6343687571723379E-2</v>
      </c>
      <c r="AF2065" s="241" t="s">
        <v>154</v>
      </c>
    </row>
    <row r="2066" spans="1:32" s="10" customFormat="1" ht="13.15" hidden="1" customHeight="1" outlineLevel="4" x14ac:dyDescent="0.2">
      <c r="A2066" s="227"/>
      <c r="B2066" s="228" t="s">
        <v>19</v>
      </c>
      <c r="C2066" s="229">
        <f t="shared" si="1707"/>
        <v>1</v>
      </c>
      <c r="D2066" s="227" t="str">
        <f t="shared" si="1717"/>
        <v/>
      </c>
      <c r="E2066" s="228" t="str">
        <f t="shared" ca="1" si="1718"/>
        <v>19.001.001.001</v>
      </c>
      <c r="F2066" s="230">
        <f ca="1">IF($B2066="UNIDADE CONSTRUTIVA",OFFSET(F2066,-1,0)+1,LARGE(F$10:F2065,1))</f>
        <v>2</v>
      </c>
      <c r="G2066" s="228" t="str">
        <f t="shared" ca="1" si="1719"/>
        <v xml:space="preserve">   GERENCIAMENTO EXECUTIVO</v>
      </c>
      <c r="H2066" s="230">
        <f t="shared" ca="1" si="1720"/>
        <v>19</v>
      </c>
      <c r="I2066" s="228" t="str">
        <f t="shared" ca="1" si="1721"/>
        <v xml:space="preserve">   COBERTURA</v>
      </c>
      <c r="J2066" s="230">
        <f t="shared" ca="1" si="1722"/>
        <v>1</v>
      </c>
      <c r="K2066" s="228" t="str">
        <f t="shared" ca="1" si="1723"/>
        <v xml:space="preserve">   COBERTURA</v>
      </c>
      <c r="L2066" s="231">
        <f t="shared" ca="1" si="1724"/>
        <v>1</v>
      </c>
      <c r="M2066" s="228" t="str">
        <f t="shared" ca="1" si="1725"/>
        <v xml:space="preserve">   Telhados</v>
      </c>
      <c r="N2066" s="231">
        <f t="shared" ca="1" si="1726"/>
        <v>1</v>
      </c>
      <c r="O2066" s="228" t="str">
        <f t="shared" ca="1" si="1727"/>
        <v>Estrutura de Madeira Apoiada em Parede</v>
      </c>
      <c r="P2066" s="232" t="str">
        <f>IF(S2066="","",IF(Orçamento!$B2066="INSUMO",S2066,""))</f>
        <v>CANTONEIRA ACO CARBONO ABAS IGUAIS 2"X1/8" (2,46KG/M) NBR 8261</v>
      </c>
      <c r="Q2066" s="244" t="str">
        <f t="shared" si="1728"/>
        <v/>
      </c>
      <c r="R2066" s="234">
        <f t="shared" ca="1" si="1729"/>
        <v>60.19</v>
      </c>
      <c r="S2066" s="233" t="s">
        <v>749</v>
      </c>
      <c r="T2066" s="242" t="str">
        <f>_xlfn.XLOOKUP(S2066,Insumos!$A$3:$A$371,Insumos!$B$3:$B$371)</f>
        <v>KG</v>
      </c>
      <c r="U2066" s="235">
        <f ca="1">IF($B2066="insumo",R2066,"")</f>
        <v>60.19</v>
      </c>
      <c r="V2066" s="320">
        <v>1.1100000000000001</v>
      </c>
      <c r="W2066" s="236">
        <f>IFERROR(IF(B2066="INSUMO",_xlfn.XLOOKUP(S2066,Insumos!A:A,Insumos!C:C),""),"Inserir Preço")</f>
        <v>10.37</v>
      </c>
      <c r="X2066" s="235">
        <f t="shared" ca="1" si="1730"/>
        <v>66.810900000000004</v>
      </c>
      <c r="Y2066" s="236">
        <f t="shared" si="1676"/>
        <v>11.5107</v>
      </c>
      <c r="Z2066" s="237">
        <f t="shared" ca="1" si="1708"/>
        <v>692.82903299999998</v>
      </c>
      <c r="AA2066" s="238"/>
      <c r="AB2066" s="233" t="str">
        <f>IF(B2066="insumo",_xlfn.XLOOKUP(S2066,Insumos!A:A,Insumos!D:D),"")</f>
        <v xml:space="preserve"> </v>
      </c>
      <c r="AC2066" s="239">
        <f t="shared" ca="1" si="1709"/>
        <v>9.9392641447842785E-5</v>
      </c>
      <c r="AE2066" s="240">
        <f ca="1">IFERROR(IF(OR(Z2066="",Z2066=0),"",IF(AF2066="","",IF(AF2066="R$/mês",Z2066/OBRA!$D$12,IF(AF2066="R$/m²",Z2066/OBRA!$D$10,IF(AF2066="R$/apto",Orçamento!Z2066/OBRA!$D$11,""))))),"")</f>
        <v>0.35653475553588609</v>
      </c>
      <c r="AF2066" s="241" t="s">
        <v>154</v>
      </c>
    </row>
    <row r="2067" spans="1:32" s="10" customFormat="1" ht="13.15" hidden="1" customHeight="1" outlineLevel="4" x14ac:dyDescent="0.2">
      <c r="A2067" s="227"/>
      <c r="B2067" s="228" t="s">
        <v>19</v>
      </c>
      <c r="C2067" s="229">
        <f t="shared" si="1707"/>
        <v>1</v>
      </c>
      <c r="D2067" s="227" t="str">
        <f t="shared" si="1717"/>
        <v/>
      </c>
      <c r="E2067" s="228" t="str">
        <f t="shared" ca="1" si="1718"/>
        <v>19.001.001.001</v>
      </c>
      <c r="F2067" s="230">
        <f ca="1">IF($B2067="UNIDADE CONSTRUTIVA",OFFSET(F2067,-1,0)+1,LARGE(F$10:F2066,1))</f>
        <v>2</v>
      </c>
      <c r="G2067" s="228" t="str">
        <f t="shared" ca="1" si="1719"/>
        <v xml:space="preserve">   GERENCIAMENTO EXECUTIVO</v>
      </c>
      <c r="H2067" s="230">
        <f t="shared" ca="1" si="1720"/>
        <v>19</v>
      </c>
      <c r="I2067" s="228" t="str">
        <f t="shared" ca="1" si="1721"/>
        <v xml:space="preserve">   COBERTURA</v>
      </c>
      <c r="J2067" s="230">
        <f t="shared" ca="1" si="1722"/>
        <v>1</v>
      </c>
      <c r="K2067" s="228" t="str">
        <f t="shared" ca="1" si="1723"/>
        <v xml:space="preserve">   COBERTURA</v>
      </c>
      <c r="L2067" s="231">
        <f t="shared" ca="1" si="1724"/>
        <v>1</v>
      </c>
      <c r="M2067" s="228" t="str">
        <f t="shared" ca="1" si="1725"/>
        <v xml:space="preserve">   Telhados</v>
      </c>
      <c r="N2067" s="231">
        <f t="shared" ca="1" si="1726"/>
        <v>1</v>
      </c>
      <c r="O2067" s="228" t="str">
        <f t="shared" ca="1" si="1727"/>
        <v>Estrutura de Madeira Apoiada em Parede</v>
      </c>
      <c r="P2067" s="232" t="str">
        <f>IF(S2067="","",IF(Orçamento!$B2067="INSUMO",S2067,""))</f>
        <v>MADEIRA LEI - PONTALETE ANGELIM PEDRA (M3) NBR 11700</v>
      </c>
      <c r="Q2067" s="244" t="str">
        <f t="shared" si="1728"/>
        <v/>
      </c>
      <c r="R2067" s="234">
        <f t="shared" ca="1" si="1729"/>
        <v>60.19</v>
      </c>
      <c r="S2067" s="233" t="s">
        <v>750</v>
      </c>
      <c r="T2067" s="242" t="str">
        <f>_xlfn.XLOOKUP(S2067,Insumos!$A$3:$A$371,Insumos!$B$3:$B$371)</f>
        <v>M3</v>
      </c>
      <c r="U2067" s="235">
        <f ca="1">IF($B2067="insumo",R2067,"")</f>
        <v>60.19</v>
      </c>
      <c r="V2067" s="320">
        <v>1.2E-2</v>
      </c>
      <c r="W2067" s="236">
        <f>IFERROR(IF(B2067="INSUMO",_xlfn.XLOOKUP(S2067,Insumos!A:A,Insumos!C:C),""),"Inserir Preço")</f>
        <v>7500</v>
      </c>
      <c r="X2067" s="235">
        <f t="shared" ca="1" si="1730"/>
        <v>0.72228000000000003</v>
      </c>
      <c r="Y2067" s="236">
        <f t="shared" si="1676"/>
        <v>90</v>
      </c>
      <c r="Z2067" s="237">
        <f t="shared" ca="1" si="1708"/>
        <v>5417.1</v>
      </c>
      <c r="AA2067" s="238"/>
      <c r="AB2067" s="233" t="str">
        <f>IF(B2067="insumo",_xlfn.XLOOKUP(S2067,Insumos!A:A,Insumos!D:D),"")</f>
        <v xml:space="preserve"> </v>
      </c>
      <c r="AC2067" s="239">
        <f t="shared" ca="1" si="1709"/>
        <v>7.7713238380861731E-4</v>
      </c>
      <c r="AE2067" s="240">
        <f ca="1">IFERROR(IF(OR(Z2067="",Z2067=0),"",IF(AF2067="","",IF(AF2067="R$/mês",Z2067/OBRA!$D$12,IF(AF2067="R$/m²",Z2067/OBRA!$D$10,IF(AF2067="R$/apto",Orçamento!Z2067/OBRA!$D$11,""))))),"")</f>
        <v>2.7876782470422956</v>
      </c>
      <c r="AF2067" s="241" t="s">
        <v>154</v>
      </c>
    </row>
    <row r="2068" spans="1:32" s="10" customFormat="1" ht="13.15" hidden="1" customHeight="1" outlineLevel="4" x14ac:dyDescent="0.2">
      <c r="A2068" s="227"/>
      <c r="B2068" s="228" t="s">
        <v>4</v>
      </c>
      <c r="C2068" s="229">
        <f t="shared" si="1707"/>
        <v>1</v>
      </c>
      <c r="D2068" s="227" t="str">
        <f t="shared" ca="1" si="1717"/>
        <v>19.001.001.002</v>
      </c>
      <c r="E2068" s="228" t="str">
        <f t="shared" ca="1" si="1718"/>
        <v>19.001.001.002</v>
      </c>
      <c r="F2068" s="230">
        <f ca="1">IF($B2068="UNIDADE CONSTRUTIVA",OFFSET(F2068,-1,0)+1,LARGE(F$10:F2067,1))</f>
        <v>2</v>
      </c>
      <c r="G2068" s="228" t="str">
        <f t="shared" ca="1" si="1719"/>
        <v xml:space="preserve">   GERENCIAMENTO EXECUTIVO</v>
      </c>
      <c r="H2068" s="230">
        <f t="shared" ca="1" si="1720"/>
        <v>19</v>
      </c>
      <c r="I2068" s="228" t="str">
        <f t="shared" ca="1" si="1721"/>
        <v xml:space="preserve">   COBERTURA</v>
      </c>
      <c r="J2068" s="230">
        <f t="shared" ca="1" si="1722"/>
        <v>1</v>
      </c>
      <c r="K2068" s="228" t="str">
        <f t="shared" ca="1" si="1723"/>
        <v xml:space="preserve">   COBERTURA</v>
      </c>
      <c r="L2068" s="231">
        <f t="shared" ca="1" si="1724"/>
        <v>1</v>
      </c>
      <c r="M2068" s="228" t="str">
        <f t="shared" ca="1" si="1725"/>
        <v xml:space="preserve">   Telhados</v>
      </c>
      <c r="N2068" s="231">
        <f t="shared" ca="1" si="1726"/>
        <v>2</v>
      </c>
      <c r="O2068" s="228" t="str">
        <f t="shared" ca="1" si="1727"/>
        <v>Cobertura Telha Fibrocimento</v>
      </c>
      <c r="P2068" s="232" t="str">
        <f>IF(S2068="","",IF(Orçamento!$B2068="INSUMO",S2068,""))</f>
        <v/>
      </c>
      <c r="Q2068" s="244" t="str">
        <f t="shared" si="1728"/>
        <v>Cobertura Telha Fibrocimento</v>
      </c>
      <c r="R2068" s="234">
        <f t="shared" ca="1" si="1729"/>
        <v>60.19</v>
      </c>
      <c r="S2068" s="233" t="s">
        <v>752</v>
      </c>
      <c r="T2068" s="242" t="s">
        <v>140</v>
      </c>
      <c r="U2068" s="235">
        <v>60.19</v>
      </c>
      <c r="V2068" s="320" t="s">
        <v>35</v>
      </c>
      <c r="W2068" s="236" t="str">
        <f>IFERROR(IF(B2068="INSUMO",_xlfn.XLOOKUP(S2068,Insumos!A:A,Insumos!C:C),""),"Inserir Preço")</f>
        <v/>
      </c>
      <c r="X2068" s="235">
        <f t="shared" ca="1" si="1730"/>
        <v>60.19</v>
      </c>
      <c r="Y2068" s="236">
        <f t="shared" ca="1" si="1676"/>
        <v>51.972999999999999</v>
      </c>
      <c r="Z2068" s="237">
        <f t="shared" ca="1" si="1708"/>
        <v>3128.2548699999998</v>
      </c>
      <c r="AA2068" s="238"/>
      <c r="AB2068" s="233" t="str">
        <f>IF(B2068="insumo",_xlfn.XLOOKUP(S2068,Insumos!A:A,Insumos!D:D),"")</f>
        <v/>
      </c>
      <c r="AC2068" s="239">
        <f t="shared" ca="1" si="1709"/>
        <v>4.4877668204094733E-4</v>
      </c>
      <c r="AE2068" s="240">
        <f ca="1">IFERROR(IF(OR(Z2068="",Z2068=0),"",IF(AF2068="","",IF(AF2068="R$/mês",Z2068/OBRA!$D$12,IF(AF2068="R$/m²",Z2068/OBRA!$D$10,IF(AF2068="R$/apto",Orçamento!Z2068/OBRA!$D$11,""))))),"")</f>
        <v>1.6098222392614356</v>
      </c>
      <c r="AF2068" s="241" t="s">
        <v>154</v>
      </c>
    </row>
    <row r="2069" spans="1:32" s="10" customFormat="1" ht="13.15" hidden="1" customHeight="1" outlineLevel="4" x14ac:dyDescent="0.2">
      <c r="A2069" s="227"/>
      <c r="B2069" s="228" t="s">
        <v>19</v>
      </c>
      <c r="C2069" s="229">
        <f t="shared" si="1707"/>
        <v>1</v>
      </c>
      <c r="D2069" s="227" t="str">
        <f t="shared" si="1717"/>
        <v/>
      </c>
      <c r="E2069" s="228" t="str">
        <f t="shared" ca="1" si="1718"/>
        <v>19.001.001.002</v>
      </c>
      <c r="F2069" s="230">
        <f ca="1">IF($B2069="UNIDADE CONSTRUTIVA",OFFSET(F2069,-1,0)+1,LARGE(F$10:F2068,1))</f>
        <v>2</v>
      </c>
      <c r="G2069" s="228" t="str">
        <f t="shared" ca="1" si="1719"/>
        <v xml:space="preserve">   GERENCIAMENTO EXECUTIVO</v>
      </c>
      <c r="H2069" s="230">
        <f t="shared" ca="1" si="1720"/>
        <v>19</v>
      </c>
      <c r="I2069" s="228" t="str">
        <f t="shared" ca="1" si="1721"/>
        <v xml:space="preserve">   COBERTURA</v>
      </c>
      <c r="J2069" s="230">
        <f t="shared" ca="1" si="1722"/>
        <v>1</v>
      </c>
      <c r="K2069" s="228" t="str">
        <f t="shared" ca="1" si="1723"/>
        <v xml:space="preserve">   COBERTURA</v>
      </c>
      <c r="L2069" s="231">
        <f t="shared" ca="1" si="1724"/>
        <v>1</v>
      </c>
      <c r="M2069" s="228" t="str">
        <f t="shared" ca="1" si="1725"/>
        <v xml:space="preserve">   Telhados</v>
      </c>
      <c r="N2069" s="231">
        <f t="shared" ca="1" si="1726"/>
        <v>2</v>
      </c>
      <c r="O2069" s="228" t="str">
        <f t="shared" ca="1" si="1727"/>
        <v>Cobertura Telha Fibrocimento</v>
      </c>
      <c r="P2069" s="232" t="str">
        <f>IF(S2069="","",IF(Orçamento!$B2069="INSUMO",S2069,""))</f>
        <v>TELHA FIBROCIMENTO NATURAL S/AMIANTO 08X1100X2130MM NBR 7581/15210</v>
      </c>
      <c r="Q2069" s="244" t="str">
        <f t="shared" si="1728"/>
        <v/>
      </c>
      <c r="R2069" s="234">
        <f t="shared" ca="1" si="1729"/>
        <v>60.19</v>
      </c>
      <c r="S2069" s="233" t="s">
        <v>753</v>
      </c>
      <c r="T2069" s="242" t="str">
        <f>_xlfn.XLOOKUP(S2069,Insumos!$A$3:$A$371,Insumos!$B$3:$B$371)</f>
        <v>M2</v>
      </c>
      <c r="U2069" s="235">
        <f ca="1">IF($B2069="insumo",R2069,"")</f>
        <v>60.19</v>
      </c>
      <c r="V2069" s="320">
        <v>1.1000000000000001</v>
      </c>
      <c r="W2069" s="236">
        <f>IFERROR(IF(B2069="INSUMO",_xlfn.XLOOKUP(S2069,Insumos!A:A,Insumos!C:C),""),"Inserir Preço")</f>
        <v>35.18</v>
      </c>
      <c r="X2069" s="235">
        <f t="shared" ca="1" si="1730"/>
        <v>66.209000000000003</v>
      </c>
      <c r="Y2069" s="236">
        <f t="shared" si="1676"/>
        <v>38.698</v>
      </c>
      <c r="Z2069" s="237">
        <f t="shared" ca="1" si="1708"/>
        <v>2329.2326200000002</v>
      </c>
      <c r="AA2069" s="238"/>
      <c r="AB2069" s="233" t="str">
        <f>IF(B2069="insumo",_xlfn.XLOOKUP(S2069,Insumos!A:A,Insumos!D:D),"")</f>
        <v xml:space="preserve"> </v>
      </c>
      <c r="AC2069" s="239">
        <f t="shared" ca="1" si="1709"/>
        <v>3.3414965542917638E-4</v>
      </c>
      <c r="AE2069" s="240">
        <f ca="1">IFERROR(IF(OR(Z2069="",Z2069=0),"",IF(AF2069="","",IF(AF2069="R$/mês",Z2069/OBRA!$D$12,IF(AF2069="R$/m²",Z2069/OBRA!$D$10,IF(AF2069="R$/apto",Orçamento!Z2069/OBRA!$D$11,""))))),"")</f>
        <v>1.1986396978226974</v>
      </c>
      <c r="AF2069" s="241" t="s">
        <v>154</v>
      </c>
    </row>
    <row r="2070" spans="1:32" s="10" customFormat="1" ht="13.15" hidden="1" customHeight="1" outlineLevel="4" x14ac:dyDescent="0.2">
      <c r="A2070" s="227"/>
      <c r="B2070" s="228" t="s">
        <v>19</v>
      </c>
      <c r="C2070" s="229">
        <f t="shared" si="1707"/>
        <v>3</v>
      </c>
      <c r="D2070" s="227" t="str">
        <f t="shared" ref="D2070:D2079" si="1731">IF(B2070="Unidade Construtiva",TEXT(F2070,"00"),IF(B2070="Célula Construtiva",TEXT(H2070,"00"),IF(B2070="Etapa",CONCATENATE(TEXT(H2070,"00"),".",TEXT(J2070,"000")),IF(B2070="Subetapa",CONCATENATE(TEXT(H2070,"00"),".",TEXT(J2070,"000"),".",TEXT(L2070,"000")),IF(B2070="Serviço",CONCATENATE(TEXT(H2070,"00"),".",TEXT(J2070,"000"),".",TEXT(L2070,"000"),".",TEXT(N2070,"000")),"")))))</f>
        <v/>
      </c>
      <c r="E2070" s="228" t="str">
        <f t="shared" ref="E2070:E2079" ca="1" si="1732">IF(B2070="*","",IFERROR(IF(B2070="SERVIÇO",D2070,OFFSET(E2070,-1,0)),""))</f>
        <v>19.001.001.002</v>
      </c>
      <c r="F2070" s="230">
        <f ca="1">IF($B2070="UNIDADE CONSTRUTIVA",OFFSET(F2070,-1,0)+1,LARGE(F$10:F2069,1))</f>
        <v>2</v>
      </c>
      <c r="G2070" s="228" t="str">
        <f t="shared" ref="G2070:G2079" ca="1" si="1733">IF(B2070="*","",IF(B2070="UNIDADE CONSTRUTIVA",S2070,OFFSET(G2070,-1,0)))</f>
        <v xml:space="preserve">   GERENCIAMENTO EXECUTIVO</v>
      </c>
      <c r="H2070" s="230">
        <f t="shared" ref="H2070:H2079" ca="1" si="1734">IF(B2070="UNIDADE CONSTRUTIVA",0,IF(B2070="CÉLULA CONSTRUTIVA",OFFSET(H2070,-1,0)+1,OFFSET(H2070,-1,0)))</f>
        <v>19</v>
      </c>
      <c r="I2070" s="228" t="str">
        <f t="shared" ref="I2070:I2079" ca="1" si="1735">IF(B2070="*","",IF(B2070="CÉLULA CONSTRUTIVA",S2070,OFFSET(I2070,-1,0)))</f>
        <v xml:space="preserve">   COBERTURA</v>
      </c>
      <c r="J2070" s="230">
        <f t="shared" ref="J2070:J2079" ca="1" si="1736">IF(B2070="CÉLULA CONSTRUTIVA",0,IF(B2070="ETAPA",OFFSET(J2070,-1,0)+1,OFFSET(J2070,-1,0)))</f>
        <v>1</v>
      </c>
      <c r="K2070" s="228" t="str">
        <f t="shared" ref="K2070:K2079" ca="1" si="1737">IF(B2070="*","",IF(B2070="ETAPA",S2070,OFFSET(K2070,-1,0)))</f>
        <v xml:space="preserve">   COBERTURA</v>
      </c>
      <c r="L2070" s="231">
        <f t="shared" ref="L2070:L2079" ca="1" si="1738">IF(B2070="ETAPA",0,IF(B2070="SUBETAPA",OFFSET(L2070,-1,0)+1,OFFSET(L2070,-1,0)))</f>
        <v>1</v>
      </c>
      <c r="M2070" s="228" t="str">
        <f t="shared" ref="M2070:M2079" ca="1" si="1739">IF(B2070="*","",IF(B2070="SUBETAPA",S2070,OFFSET(M2070,-1,0)))</f>
        <v xml:space="preserve">   Telhados</v>
      </c>
      <c r="N2070" s="231">
        <f t="shared" ref="N2070:N2079" ca="1" si="1740">IF(B2070="Subetapa",0,IF(B2070="serviço",OFFSET(N2070,-1,0)+1,OFFSET(N2070,-1,0)))</f>
        <v>2</v>
      </c>
      <c r="O2070" s="228" t="str">
        <f t="shared" ref="O2070:O2079" ca="1" si="1741">IF(B2070="*","",IF(B2070="SERVIÇO",S2070,OFFSET(O2070,-1,0)))</f>
        <v>Cobertura Telha Fibrocimento</v>
      </c>
      <c r="P2070" s="232" t="str">
        <f>IF(S2070="","",IF(Orçamento!$B2070="INSUMO",S2070,""))</f>
        <v>PRODUTO QUIMICO - VEDA CALHA 280G - CINZA</v>
      </c>
      <c r="Q2070" s="244" t="str">
        <f t="shared" ref="Q2070:Q2079" si="1742">IF(B2070="","",IF(B2070="Serviço",S2070,""))</f>
        <v/>
      </c>
      <c r="R2070" s="234">
        <f t="shared" ref="R2070:R2079" ca="1" si="1743">IF(B2070="serviço",U2070,OFFSET(R2070,-1,0))</f>
        <v>60.19</v>
      </c>
      <c r="S2070" s="233" t="s">
        <v>756</v>
      </c>
      <c r="T2070" s="242" t="str">
        <f>_xlfn.XLOOKUP(S2070,Insumos!$A$3:$A$371,Insumos!$B$3:$B$371)</f>
        <v>UN</v>
      </c>
      <c r="U2070" s="235">
        <f ca="1">IF($B2070="insumo",R2070,"")</f>
        <v>60.19</v>
      </c>
      <c r="V2070" s="320">
        <v>0.65</v>
      </c>
      <c r="W2070" s="236">
        <f>IFERROR(IF(B2070="INSUMO",_xlfn.XLOOKUP(S2070,Insumos!A:A,Insumos!C:C),""),"Inserir Preço")</f>
        <v>15.9</v>
      </c>
      <c r="X2070" s="235">
        <f t="shared" ca="1" si="1730"/>
        <v>39.1235</v>
      </c>
      <c r="Y2070" s="236">
        <f t="shared" si="1676"/>
        <v>10.335000000000001</v>
      </c>
      <c r="Z2070" s="237">
        <f t="shared" ca="1" si="1708"/>
        <v>622.06365000000005</v>
      </c>
      <c r="AA2070" s="238"/>
      <c r="AB2070" s="233" t="str">
        <f>IF(B2070="insumo",_xlfn.XLOOKUP(S2070,Insumos!A:A,Insumos!D:D),"")</f>
        <v xml:space="preserve"> </v>
      </c>
      <c r="AC2070" s="239">
        <f t="shared" ca="1" si="1709"/>
        <v>8.9240702074022893E-5</v>
      </c>
      <c r="AE2070" s="240">
        <f ca="1">IFERROR(IF(OR(Z2070="",Z2070=0),"",IF(AF2070="","",IF(AF2070="R$/mês",Z2070/OBRA!$D$12,IF(AF2070="R$/m²",Z2070/OBRA!$D$10,IF(AF2070="R$/apto",Orçamento!Z2070/OBRA!$D$11,""))))),"")</f>
        <v>0.32011838536869031</v>
      </c>
      <c r="AF2070" s="241" t="s">
        <v>154</v>
      </c>
    </row>
    <row r="2071" spans="1:32" s="10" customFormat="1" ht="13.15" hidden="1" customHeight="1" outlineLevel="4" x14ac:dyDescent="0.2">
      <c r="A2071" s="227"/>
      <c r="B2071" s="228" t="s">
        <v>19</v>
      </c>
      <c r="C2071" s="229">
        <f t="shared" si="1707"/>
        <v>6</v>
      </c>
      <c r="D2071" s="227" t="str">
        <f t="shared" si="1731"/>
        <v/>
      </c>
      <c r="E2071" s="228" t="str">
        <f t="shared" ca="1" si="1732"/>
        <v>19.001.001.002</v>
      </c>
      <c r="F2071" s="230">
        <f ca="1">IF($B2071="UNIDADE CONSTRUTIVA",OFFSET(F2071,-1,0)+1,LARGE(F$10:F2070,1))</f>
        <v>2</v>
      </c>
      <c r="G2071" s="228" t="str">
        <f t="shared" ca="1" si="1733"/>
        <v xml:space="preserve">   GERENCIAMENTO EXECUTIVO</v>
      </c>
      <c r="H2071" s="230">
        <f t="shared" ca="1" si="1734"/>
        <v>19</v>
      </c>
      <c r="I2071" s="228" t="str">
        <f t="shared" ca="1" si="1735"/>
        <v xml:space="preserve">   COBERTURA</v>
      </c>
      <c r="J2071" s="230">
        <f t="shared" ca="1" si="1736"/>
        <v>1</v>
      </c>
      <c r="K2071" s="228" t="str">
        <f t="shared" ca="1" si="1737"/>
        <v xml:space="preserve">   COBERTURA</v>
      </c>
      <c r="L2071" s="231">
        <f t="shared" ca="1" si="1738"/>
        <v>1</v>
      </c>
      <c r="M2071" s="228" t="str">
        <f t="shared" ca="1" si="1739"/>
        <v xml:space="preserve">   Telhados</v>
      </c>
      <c r="N2071" s="231">
        <f t="shared" ca="1" si="1740"/>
        <v>2</v>
      </c>
      <c r="O2071" s="228" t="str">
        <f t="shared" ca="1" si="1741"/>
        <v>Cobertura Telha Fibrocimento</v>
      </c>
      <c r="P2071" s="232" t="str">
        <f>IF(S2071="","",IF(Orçamento!$B2071="INSUMO",S2071,""))</f>
        <v>PARAFUSO ACO CARBONO CAB. SEXTAVADA ROSCA BROCANTE 1/4"X3/4"</v>
      </c>
      <c r="Q2071" s="244" t="str">
        <f t="shared" si="1742"/>
        <v/>
      </c>
      <c r="R2071" s="234">
        <f t="shared" ca="1" si="1743"/>
        <v>60.19</v>
      </c>
      <c r="S2071" s="233" t="s">
        <v>754</v>
      </c>
      <c r="T2071" s="242" t="str">
        <f>_xlfn.XLOOKUP(S2071,Insumos!$A$3:$A$371,Insumos!$B$3:$B$371)</f>
        <v>UN</v>
      </c>
      <c r="U2071" s="235">
        <f ca="1">IF($B2071="insumo",R2071,"")</f>
        <v>60.19</v>
      </c>
      <c r="V2071" s="320">
        <v>8</v>
      </c>
      <c r="W2071" s="236">
        <f>IFERROR(IF(B2071="INSUMO",_xlfn.XLOOKUP(S2071,Insumos!A:A,Insumos!C:C),""),"Inserir Preço")</f>
        <v>0.35</v>
      </c>
      <c r="X2071" s="235">
        <f t="shared" ca="1" si="1730"/>
        <v>481.52</v>
      </c>
      <c r="Y2071" s="236">
        <f t="shared" si="1676"/>
        <v>2.8</v>
      </c>
      <c r="Z2071" s="237">
        <f t="shared" ca="1" si="1708"/>
        <v>168.53199999999998</v>
      </c>
      <c r="AA2071" s="238"/>
      <c r="AB2071" s="233">
        <f>IF(B2071="insumo",_xlfn.XLOOKUP(S2071,Insumos!A:A,Insumos!D:D),"")</f>
        <v>0</v>
      </c>
      <c r="AC2071" s="239">
        <f t="shared" ca="1" si="1709"/>
        <v>2.4177451940712534E-5</v>
      </c>
      <c r="AE2071" s="240">
        <f ca="1">IFERROR(IF(OR(Z2071="",Z2071=0),"",IF(AF2071="","",IF(AF2071="R$/mês",Z2071/OBRA!$D$12,IF(AF2071="R$/m²",Z2071/OBRA!$D$10,IF(AF2071="R$/apto",Orçamento!Z2071/OBRA!$D$11,""))))),"")</f>
        <v>8.6727767685760293E-2</v>
      </c>
      <c r="AF2071" s="241" t="s">
        <v>154</v>
      </c>
    </row>
    <row r="2072" spans="1:32" s="10" customFormat="1" ht="13.15" hidden="1" customHeight="1" outlineLevel="4" x14ac:dyDescent="0.2">
      <c r="A2072" s="227"/>
      <c r="B2072" s="228" t="s">
        <v>19</v>
      </c>
      <c r="C2072" s="229">
        <f t="shared" si="1707"/>
        <v>1</v>
      </c>
      <c r="D2072" s="227" t="str">
        <f t="shared" si="1731"/>
        <v/>
      </c>
      <c r="E2072" s="228" t="str">
        <f t="shared" ca="1" si="1732"/>
        <v>19.001.001.002</v>
      </c>
      <c r="F2072" s="230">
        <f ca="1">IF($B2072="UNIDADE CONSTRUTIVA",OFFSET(F2072,-1,0)+1,LARGE(F$10:F2071,1))</f>
        <v>2</v>
      </c>
      <c r="G2072" s="228" t="str">
        <f t="shared" ca="1" si="1733"/>
        <v xml:space="preserve">   GERENCIAMENTO EXECUTIVO</v>
      </c>
      <c r="H2072" s="230">
        <f t="shared" ca="1" si="1734"/>
        <v>19</v>
      </c>
      <c r="I2072" s="228" t="str">
        <f t="shared" ca="1" si="1735"/>
        <v xml:space="preserve">   COBERTURA</v>
      </c>
      <c r="J2072" s="230">
        <f t="shared" ca="1" si="1736"/>
        <v>1</v>
      </c>
      <c r="K2072" s="228" t="str">
        <f t="shared" ca="1" si="1737"/>
        <v xml:space="preserve">   COBERTURA</v>
      </c>
      <c r="L2072" s="231">
        <f t="shared" ca="1" si="1738"/>
        <v>1</v>
      </c>
      <c r="M2072" s="228" t="str">
        <f t="shared" ca="1" si="1739"/>
        <v xml:space="preserve">   Telhados</v>
      </c>
      <c r="N2072" s="231">
        <f t="shared" ca="1" si="1740"/>
        <v>2</v>
      </c>
      <c r="O2072" s="228" t="str">
        <f t="shared" ca="1" si="1741"/>
        <v>Cobertura Telha Fibrocimento</v>
      </c>
      <c r="P2072" s="232" t="str">
        <f>IF(S2072="","",IF(Orçamento!$B2072="INSUMO",S2072,""))</f>
        <v>GANCHO CHATO ACO CARBONO P/TELHA TIPO "L" 1/2"X1/8"X140MM</v>
      </c>
      <c r="Q2072" s="244" t="str">
        <f t="shared" si="1742"/>
        <v/>
      </c>
      <c r="R2072" s="234">
        <f t="shared" ca="1" si="1743"/>
        <v>60.19</v>
      </c>
      <c r="S2072" s="233" t="s">
        <v>755</v>
      </c>
      <c r="T2072" s="242" t="str">
        <f>_xlfn.XLOOKUP(S2072,Insumos!$A$3:$A$371,Insumos!$B$3:$B$371)</f>
        <v>UN</v>
      </c>
      <c r="U2072" s="235">
        <f ca="1">IF($B2072="insumo",R2072,"")</f>
        <v>60.19</v>
      </c>
      <c r="V2072" s="320">
        <v>1</v>
      </c>
      <c r="W2072" s="236">
        <f>IFERROR(IF(B2072="INSUMO",_xlfn.XLOOKUP(S2072,Insumos!A:A,Insumos!C:C),""),"Inserir Preço")</f>
        <v>0.14000000000000001</v>
      </c>
      <c r="X2072" s="235">
        <f t="shared" ca="1" si="1730"/>
        <v>60.19</v>
      </c>
      <c r="Y2072" s="236">
        <f t="shared" si="1676"/>
        <v>0.14000000000000001</v>
      </c>
      <c r="Z2072" s="237">
        <f t="shared" ca="1" si="1708"/>
        <v>8.4266000000000005</v>
      </c>
      <c r="AA2072" s="238"/>
      <c r="AB2072" s="233">
        <f>IF(B2072="insumo",_xlfn.XLOOKUP(S2072,Insumos!A:A,Insumos!D:D),"")</f>
        <v>0</v>
      </c>
      <c r="AC2072" s="239">
        <f t="shared" ca="1" si="1709"/>
        <v>1.2088725970356268E-6</v>
      </c>
      <c r="AE2072" s="240">
        <f ca="1">IFERROR(IF(OR(Z2072="",Z2072=0),"",IF(AF2072="","",IF(AF2072="R$/mês",Z2072/OBRA!$D$12,IF(AF2072="R$/m²",Z2072/OBRA!$D$10,IF(AF2072="R$/apto",Orçamento!Z2072/OBRA!$D$11,""))))),"")</f>
        <v>4.3363883842880155E-3</v>
      </c>
      <c r="AF2072" s="241" t="s">
        <v>154</v>
      </c>
    </row>
    <row r="2073" spans="1:32" s="10" customFormat="1" ht="13.15" hidden="1" customHeight="1" outlineLevel="4" x14ac:dyDescent="0.2">
      <c r="A2073" s="227"/>
      <c r="B2073" s="228" t="s">
        <v>4</v>
      </c>
      <c r="C2073" s="229">
        <f t="shared" si="1707"/>
        <v>1</v>
      </c>
      <c r="D2073" s="227" t="str">
        <f t="shared" ca="1" si="1731"/>
        <v>19.001.001.003</v>
      </c>
      <c r="E2073" s="228" t="str">
        <f t="shared" ca="1" si="1732"/>
        <v>19.001.001.003</v>
      </c>
      <c r="F2073" s="230">
        <f ca="1">IF($B2073="UNIDADE CONSTRUTIVA",OFFSET(F2073,-1,0)+1,LARGE(F$10:F2072,1))</f>
        <v>2</v>
      </c>
      <c r="G2073" s="228" t="str">
        <f t="shared" ca="1" si="1733"/>
        <v xml:space="preserve">   GERENCIAMENTO EXECUTIVO</v>
      </c>
      <c r="H2073" s="230">
        <f t="shared" ca="1" si="1734"/>
        <v>19</v>
      </c>
      <c r="I2073" s="228" t="str">
        <f t="shared" ca="1" si="1735"/>
        <v xml:space="preserve">   COBERTURA</v>
      </c>
      <c r="J2073" s="230">
        <f t="shared" ca="1" si="1736"/>
        <v>1</v>
      </c>
      <c r="K2073" s="228" t="str">
        <f t="shared" ca="1" si="1737"/>
        <v xml:space="preserve">   COBERTURA</v>
      </c>
      <c r="L2073" s="231">
        <f t="shared" ca="1" si="1738"/>
        <v>1</v>
      </c>
      <c r="M2073" s="228" t="str">
        <f t="shared" ca="1" si="1739"/>
        <v xml:space="preserve">   Telhados</v>
      </c>
      <c r="N2073" s="231">
        <f t="shared" ca="1" si="1740"/>
        <v>3</v>
      </c>
      <c r="O2073" s="228" t="str">
        <f t="shared" ca="1" si="1741"/>
        <v>Calha em chapa galvanizada</v>
      </c>
      <c r="P2073" s="232" t="str">
        <f>IF(S2073="","",IF(Orçamento!$B2073="INSUMO",S2073,""))</f>
        <v/>
      </c>
      <c r="Q2073" s="244" t="str">
        <f t="shared" si="1742"/>
        <v>Calha em chapa galvanizada</v>
      </c>
      <c r="R2073" s="234">
        <f t="shared" ca="1" si="1743"/>
        <v>29.195999999999998</v>
      </c>
      <c r="S2073" s="233" t="s">
        <v>758</v>
      </c>
      <c r="T2073" s="242" t="s">
        <v>158</v>
      </c>
      <c r="U2073" s="235">
        <f>48.66*0.6</f>
        <v>29.195999999999998</v>
      </c>
      <c r="V2073" s="320" t="s">
        <v>35</v>
      </c>
      <c r="W2073" s="236" t="str">
        <f>IFERROR(IF(B2073="INSUMO",_xlfn.XLOOKUP(S2073,Insumos!A:A,Insumos!C:C),""),"Inserir Preço")</f>
        <v/>
      </c>
      <c r="X2073" s="235">
        <f t="shared" ref="X2073:X2082" ca="1" si="1744">IF(B2073="Complemento do insumo",V2073,IF(R2073="","",IF(B2073="serviço",R2073,IF(OR(B2073="insumo"),V2073*R2073,""))))</f>
        <v>29.195999999999998</v>
      </c>
      <c r="Y2073" s="236">
        <f t="shared" ca="1" si="1676"/>
        <v>35.081299999999999</v>
      </c>
      <c r="Z2073" s="237">
        <f t="shared" ca="1" si="1708"/>
        <v>1024.2336347999999</v>
      </c>
      <c r="AA2073" s="238"/>
      <c r="AB2073" s="233" t="str">
        <f>IF(B2073="insumo",_xlfn.XLOOKUP(S2073,Insumos!A:A,Insumos!D:D),"")</f>
        <v/>
      </c>
      <c r="AC2073" s="239">
        <f t="shared" ca="1" si="1709"/>
        <v>1.4693565305958699E-4</v>
      </c>
      <c r="AE2073" s="240">
        <f ca="1">IFERROR(IF(OR(Z2073="",Z2073=0),"",IF(AF2073="","",IF(AF2073="R$/mês",Z2073/OBRA!$D$12,IF(AF2073="R$/m²",Z2073/OBRA!$D$10,IF(AF2073="R$/apto",Orçamento!Z2073/OBRA!$D$11,""))))),"")</f>
        <v>0.52707792428070788</v>
      </c>
      <c r="AF2073" s="241" t="s">
        <v>154</v>
      </c>
    </row>
    <row r="2074" spans="1:32" s="10" customFormat="1" ht="13.15" hidden="1" customHeight="1" outlineLevel="4" x14ac:dyDescent="0.2">
      <c r="A2074" s="227"/>
      <c r="B2074" s="228" t="s">
        <v>19</v>
      </c>
      <c r="C2074" s="229">
        <f t="shared" si="1707"/>
        <v>1</v>
      </c>
      <c r="D2074" s="227" t="str">
        <f t="shared" si="1731"/>
        <v/>
      </c>
      <c r="E2074" s="228" t="str">
        <f t="shared" ca="1" si="1732"/>
        <v>19.001.001.003</v>
      </c>
      <c r="F2074" s="230">
        <f ca="1">IF($B2074="UNIDADE CONSTRUTIVA",OFFSET(F2074,-1,0)+1,LARGE(F$10:F2073,1))</f>
        <v>2</v>
      </c>
      <c r="G2074" s="228" t="str">
        <f t="shared" ca="1" si="1733"/>
        <v xml:space="preserve">   GERENCIAMENTO EXECUTIVO</v>
      </c>
      <c r="H2074" s="230">
        <f t="shared" ca="1" si="1734"/>
        <v>19</v>
      </c>
      <c r="I2074" s="228" t="str">
        <f t="shared" ca="1" si="1735"/>
        <v xml:space="preserve">   COBERTURA</v>
      </c>
      <c r="J2074" s="230">
        <f t="shared" ca="1" si="1736"/>
        <v>1</v>
      </c>
      <c r="K2074" s="228" t="str">
        <f t="shared" ca="1" si="1737"/>
        <v xml:space="preserve">   COBERTURA</v>
      </c>
      <c r="L2074" s="231">
        <f t="shared" ca="1" si="1738"/>
        <v>1</v>
      </c>
      <c r="M2074" s="228" t="str">
        <f t="shared" ca="1" si="1739"/>
        <v xml:space="preserve">   Telhados</v>
      </c>
      <c r="N2074" s="231">
        <f t="shared" ca="1" si="1740"/>
        <v>3</v>
      </c>
      <c r="O2074" s="228" t="str">
        <f t="shared" ca="1" si="1741"/>
        <v>Calha em chapa galvanizada</v>
      </c>
      <c r="P2074" s="232" t="str">
        <f>IF(S2074="","",IF(Orçamento!$B2074="INSUMO",S2074,""))</f>
        <v>CALHA ACO CARBONO GALVANIZADO CHAPA 24 DESENVOLVIMENTO 400MM</v>
      </c>
      <c r="Q2074" s="244" t="str">
        <f t="shared" si="1742"/>
        <v/>
      </c>
      <c r="R2074" s="234">
        <f t="shared" ca="1" si="1743"/>
        <v>29.195999999999998</v>
      </c>
      <c r="S2074" s="233" t="s">
        <v>762</v>
      </c>
      <c r="T2074" s="242" t="str">
        <f>_xlfn.XLOOKUP(S2074,Insumos!$A$3:$A$371,Insumos!$B$3:$B$371)</f>
        <v>M</v>
      </c>
      <c r="U2074" s="235">
        <f ca="1">IF($B2074="insumo",R2074,"")</f>
        <v>29.195999999999998</v>
      </c>
      <c r="V2074" s="320">
        <v>1.1499999999999999</v>
      </c>
      <c r="W2074" s="236">
        <f>IFERROR(IF(B2074="INSUMO",_xlfn.XLOOKUP(S2074,Insumos!A:A,Insumos!C:C),""),"Inserir Preço")</f>
        <v>30</v>
      </c>
      <c r="X2074" s="235">
        <f t="shared" ca="1" si="1744"/>
        <v>33.575399999999995</v>
      </c>
      <c r="Y2074" s="236">
        <f t="shared" si="1676"/>
        <v>34.5</v>
      </c>
      <c r="Z2074" s="237">
        <f t="shared" ca="1" si="1708"/>
        <v>1007.2619999999998</v>
      </c>
      <c r="AA2074" s="238"/>
      <c r="AB2074" s="233" t="str">
        <f>IF(B2074="insumo",_xlfn.XLOOKUP(S2074,Insumos!A:A,Insumos!D:D),"")</f>
        <v xml:space="preserve"> </v>
      </c>
      <c r="AC2074" s="239">
        <f t="shared" ca="1" si="1709"/>
        <v>1.4450091731366143E-4</v>
      </c>
      <c r="AE2074" s="240">
        <f ca="1">IFERROR(IF(OR(Z2074="",Z2074=0),"",IF(AF2074="","",IF(AF2074="R$/mês",Z2074/OBRA!$D$12,IF(AF2074="R$/m²",Z2074/OBRA!$D$10,IF(AF2074="R$/apto",Orçamento!Z2074/OBRA!$D$11,""))))),"")</f>
        <v>0.51834420012041793</v>
      </c>
      <c r="AF2074" s="241" t="s">
        <v>154</v>
      </c>
    </row>
    <row r="2075" spans="1:32" s="10" customFormat="1" ht="13.15" hidden="1" customHeight="1" outlineLevel="4" x14ac:dyDescent="0.2">
      <c r="A2075" s="227"/>
      <c r="B2075" s="228" t="s">
        <v>19</v>
      </c>
      <c r="C2075" s="229">
        <f t="shared" si="1707"/>
        <v>6</v>
      </c>
      <c r="D2075" s="227" t="str">
        <f t="shared" si="1731"/>
        <v/>
      </c>
      <c r="E2075" s="228" t="str">
        <f t="shared" ca="1" si="1732"/>
        <v>19.001.001.003</v>
      </c>
      <c r="F2075" s="230">
        <f ca="1">IF($B2075="UNIDADE CONSTRUTIVA",OFFSET(F2075,-1,0)+1,LARGE(F$10:F2074,1))</f>
        <v>2</v>
      </c>
      <c r="G2075" s="228" t="str">
        <f t="shared" ca="1" si="1733"/>
        <v xml:space="preserve">   GERENCIAMENTO EXECUTIVO</v>
      </c>
      <c r="H2075" s="230">
        <f t="shared" ca="1" si="1734"/>
        <v>19</v>
      </c>
      <c r="I2075" s="228" t="str">
        <f t="shared" ca="1" si="1735"/>
        <v xml:space="preserve">   COBERTURA</v>
      </c>
      <c r="J2075" s="230">
        <f t="shared" ca="1" si="1736"/>
        <v>1</v>
      </c>
      <c r="K2075" s="228" t="str">
        <f t="shared" ca="1" si="1737"/>
        <v xml:space="preserve">   COBERTURA</v>
      </c>
      <c r="L2075" s="231">
        <f t="shared" ca="1" si="1738"/>
        <v>1</v>
      </c>
      <c r="M2075" s="228" t="str">
        <f t="shared" ca="1" si="1739"/>
        <v xml:space="preserve">   Telhados</v>
      </c>
      <c r="N2075" s="231">
        <f t="shared" ca="1" si="1740"/>
        <v>3</v>
      </c>
      <c r="O2075" s="228" t="str">
        <f t="shared" ca="1" si="1741"/>
        <v>Calha em chapa galvanizada</v>
      </c>
      <c r="P2075" s="232" t="str">
        <f>IF(S2075="","",IF(Orçamento!$B2075="INSUMO",S2075,""))</f>
        <v>PARAFUSO ACO CARBONO CAB. SEXTAVADA ROSCA BROCANTE 1/4"X3/4"</v>
      </c>
      <c r="Q2075" s="244" t="str">
        <f t="shared" si="1742"/>
        <v/>
      </c>
      <c r="R2075" s="234">
        <f t="shared" ca="1" si="1743"/>
        <v>29.195999999999998</v>
      </c>
      <c r="S2075" s="233" t="s">
        <v>754</v>
      </c>
      <c r="T2075" s="242" t="str">
        <f>_xlfn.XLOOKUP(S2075,Insumos!$A$3:$A$371,Insumos!$B$3:$B$371)</f>
        <v>UN</v>
      </c>
      <c r="U2075" s="235">
        <f ca="1">IF($B2075="insumo",R2075,"")</f>
        <v>29.195999999999998</v>
      </c>
      <c r="V2075" s="320">
        <v>1</v>
      </c>
      <c r="W2075" s="236">
        <f>IFERROR(IF(B2075="INSUMO",_xlfn.XLOOKUP(S2075,Insumos!A:A,Insumos!C:C),""),"Inserir Preço")</f>
        <v>0.35</v>
      </c>
      <c r="X2075" s="235">
        <f t="shared" ca="1" si="1744"/>
        <v>29.195999999999998</v>
      </c>
      <c r="Y2075" s="236">
        <f t="shared" si="1676"/>
        <v>0.35</v>
      </c>
      <c r="Z2075" s="237">
        <f t="shared" ca="1" si="1708"/>
        <v>10.218599999999999</v>
      </c>
      <c r="AA2075" s="238"/>
      <c r="AB2075" s="233">
        <f>IF(B2075="insumo",_xlfn.XLOOKUP(S2075,Insumos!A:A,Insumos!D:D),"")</f>
        <v>0</v>
      </c>
      <c r="AC2075" s="239">
        <f t="shared" ca="1" si="1709"/>
        <v>1.4659513350661304E-6</v>
      </c>
      <c r="AE2075" s="240">
        <f ca="1">IFERROR(IF(OR(Z2075="",Z2075=0),"",IF(AF2075="","",IF(AF2075="R$/mês",Z2075/OBRA!$D$12,IF(AF2075="R$/m²",Z2075/OBRA!$D$10,IF(AF2075="R$/apto",Orçamento!Z2075/OBRA!$D$11,""))))),"")</f>
        <v>5.258564349047719E-3</v>
      </c>
      <c r="AF2075" s="241" t="s">
        <v>154</v>
      </c>
    </row>
    <row r="2076" spans="1:32" s="10" customFormat="1" ht="13.15" hidden="1" customHeight="1" outlineLevel="4" x14ac:dyDescent="0.2">
      <c r="A2076" s="227"/>
      <c r="B2076" s="228" t="s">
        <v>19</v>
      </c>
      <c r="C2076" s="229">
        <f t="shared" si="1707"/>
        <v>5</v>
      </c>
      <c r="D2076" s="227" t="str">
        <f>IF(B2076="Unidade Construtiva",TEXT(F2076,"00"),IF(B2076="Célula Construtiva",TEXT(H2076,"00"),IF(B2076="Etapa",CONCATENATE(TEXT(H2076,"00"),".",TEXT(J2076,"000")),IF(B2076="Subetapa",CONCATENATE(TEXT(H2076,"00"),".",TEXT(J2076,"000"),".",TEXT(L2076,"000")),IF(B2076="Serviço",CONCATENATE(TEXT(H2076,"00"),".",TEXT(J2076,"000"),".",TEXT(L2076,"000"),".",TEXT(N2076,"000")),"")))))</f>
        <v/>
      </c>
      <c r="E2076" s="228" t="str">
        <f ca="1">IF(B2076="*","",IFERROR(IF(B2076="SERVIÇO",D2076,OFFSET(E2076,-1,0)),""))</f>
        <v>19.001.001.003</v>
      </c>
      <c r="F2076" s="230">
        <f ca="1">IF($B2076="UNIDADE CONSTRUTIVA",OFFSET(F2076,-1,0)+1,LARGE(F$10:F2075,1))</f>
        <v>2</v>
      </c>
      <c r="G2076" s="228" t="str">
        <f ca="1">IF(B2076="*","",IF(B2076="UNIDADE CONSTRUTIVA",S2076,OFFSET(G2076,-1,0)))</f>
        <v xml:space="preserve">   GERENCIAMENTO EXECUTIVO</v>
      </c>
      <c r="H2076" s="230">
        <f ca="1">IF(B2076="UNIDADE CONSTRUTIVA",0,IF(B2076="CÉLULA CONSTRUTIVA",OFFSET(H2076,-1,0)+1,OFFSET(H2076,-1,0)))</f>
        <v>19</v>
      </c>
      <c r="I2076" s="228" t="str">
        <f ca="1">IF(B2076="*","",IF(B2076="CÉLULA CONSTRUTIVA",S2076,OFFSET(I2076,-1,0)))</f>
        <v xml:space="preserve">   COBERTURA</v>
      </c>
      <c r="J2076" s="230">
        <f ca="1">IF(B2076="CÉLULA CONSTRUTIVA",0,IF(B2076="ETAPA",OFFSET(J2076,-1,0)+1,OFFSET(J2076,-1,0)))</f>
        <v>1</v>
      </c>
      <c r="K2076" s="228" t="str">
        <f ca="1">IF(B2076="*","",IF(B2076="ETAPA",S2076,OFFSET(K2076,-1,0)))</f>
        <v xml:space="preserve">   COBERTURA</v>
      </c>
      <c r="L2076" s="231">
        <f ca="1">IF(B2076="ETAPA",0,IF(B2076="SUBETAPA",OFFSET(L2076,-1,0)+1,OFFSET(L2076,-1,0)))</f>
        <v>1</v>
      </c>
      <c r="M2076" s="228" t="str">
        <f ca="1">IF(B2076="*","",IF(B2076="SUBETAPA",S2076,OFFSET(M2076,-1,0)))</f>
        <v xml:space="preserve">   Telhados</v>
      </c>
      <c r="N2076" s="231">
        <f ca="1">IF(B2076="Subetapa",0,IF(B2076="serviço",OFFSET(N2076,-1,0)+1,OFFSET(N2076,-1,0)))</f>
        <v>3</v>
      </c>
      <c r="O2076" s="228" t="str">
        <f ca="1">IF(B2076="*","",IF(B2076="SERVIÇO",S2076,OFFSET(O2076,-1,0)))</f>
        <v>Calha em chapa galvanizada</v>
      </c>
      <c r="P2076" s="232" t="str">
        <f>IF(S2076="","",IF(Orçamento!$B2076="INSUMO",S2076,""))</f>
        <v>BUCHA FIXACAO NYLON FU 08</v>
      </c>
      <c r="Q2076" s="244" t="str">
        <f>IF(B2076="","",IF(B2076="Serviço",S2076,""))</f>
        <v/>
      </c>
      <c r="R2076" s="234">
        <f ca="1">IF(B2076="serviço",U2076,OFFSET(R2076,-1,0))</f>
        <v>29.195999999999998</v>
      </c>
      <c r="S2076" s="233" t="s">
        <v>761</v>
      </c>
      <c r="T2076" s="242" t="str">
        <f>_xlfn.XLOOKUP(S2076,Insumos!$A$3:$A$371,Insumos!$B$3:$B$371)</f>
        <v>UN</v>
      </c>
      <c r="U2076" s="235">
        <f ca="1">IF($B2076="insumo",R2076,"")</f>
        <v>29.195999999999998</v>
      </c>
      <c r="V2076" s="320">
        <v>1</v>
      </c>
      <c r="W2076" s="236">
        <f>IFERROR(IF(B2076="INSUMO",_xlfn.XLOOKUP(S2076,Insumos!A:A,Insumos!C:C),""),"Inserir Preço")</f>
        <v>0.12</v>
      </c>
      <c r="X2076" s="235">
        <f t="shared" ca="1" si="1744"/>
        <v>29.195999999999998</v>
      </c>
      <c r="Y2076" s="236">
        <f t="shared" si="1676"/>
        <v>0.12</v>
      </c>
      <c r="Z2076" s="237">
        <f t="shared" ca="1" si="1708"/>
        <v>3.5035199999999995</v>
      </c>
      <c r="AA2076" s="238"/>
      <c r="AB2076" s="233" t="str">
        <f>IF(B2076="insumo",_xlfn.XLOOKUP(S2076,Insumos!A:A,Insumos!D:D),"")</f>
        <v xml:space="preserve"> </v>
      </c>
      <c r="AC2076" s="239">
        <f t="shared" ca="1" si="1709"/>
        <v>5.0261188630838763E-7</v>
      </c>
      <c r="AE2076" s="240">
        <f ca="1">IFERROR(IF(OR(Z2076="",Z2076=0),"",IF(AF2076="","",IF(AF2076="R$/mês",Z2076/OBRA!$D$12,IF(AF2076="R$/m²",Z2076/OBRA!$D$10,IF(AF2076="R$/apto",Orçamento!Z2076/OBRA!$D$11,""))))),"")</f>
        <v>1.8029363482449322E-3</v>
      </c>
      <c r="AF2076" s="241" t="s">
        <v>154</v>
      </c>
    </row>
    <row r="2077" spans="1:32" s="10" customFormat="1" ht="13.15" hidden="1" customHeight="1" outlineLevel="4" x14ac:dyDescent="0.2">
      <c r="A2077" s="227"/>
      <c r="B2077" s="228" t="s">
        <v>19</v>
      </c>
      <c r="C2077" s="229">
        <f t="shared" si="1707"/>
        <v>3</v>
      </c>
      <c r="D2077" s="227" t="str">
        <f t="shared" si="1731"/>
        <v/>
      </c>
      <c r="E2077" s="228" t="str">
        <f t="shared" ca="1" si="1732"/>
        <v>19.001.001.003</v>
      </c>
      <c r="F2077" s="230">
        <f ca="1">IF($B2077="UNIDADE CONSTRUTIVA",OFFSET(F2077,-1,0)+1,LARGE(F$10:F2076,1))</f>
        <v>2</v>
      </c>
      <c r="G2077" s="228" t="str">
        <f t="shared" ca="1" si="1733"/>
        <v xml:space="preserve">   GERENCIAMENTO EXECUTIVO</v>
      </c>
      <c r="H2077" s="230">
        <f t="shared" ca="1" si="1734"/>
        <v>19</v>
      </c>
      <c r="I2077" s="228" t="str">
        <f t="shared" ca="1" si="1735"/>
        <v xml:space="preserve">   COBERTURA</v>
      </c>
      <c r="J2077" s="230">
        <f t="shared" ca="1" si="1736"/>
        <v>1</v>
      </c>
      <c r="K2077" s="228" t="str">
        <f t="shared" ca="1" si="1737"/>
        <v xml:space="preserve">   COBERTURA</v>
      </c>
      <c r="L2077" s="231">
        <f t="shared" ca="1" si="1738"/>
        <v>1</v>
      </c>
      <c r="M2077" s="228" t="str">
        <f t="shared" ca="1" si="1739"/>
        <v xml:space="preserve">   Telhados</v>
      </c>
      <c r="N2077" s="231">
        <f t="shared" ca="1" si="1740"/>
        <v>3</v>
      </c>
      <c r="O2077" s="228" t="str">
        <f t="shared" ca="1" si="1741"/>
        <v>Calha em chapa galvanizada</v>
      </c>
      <c r="P2077" s="232" t="str">
        <f>IF(S2077="","",IF(Orçamento!$B2077="INSUMO",S2077,""))</f>
        <v>PRODUTO QUIMICO - VEDA CALHA 280G - CINZA</v>
      </c>
      <c r="Q2077" s="244" t="str">
        <f t="shared" si="1742"/>
        <v/>
      </c>
      <c r="R2077" s="234">
        <f t="shared" ca="1" si="1743"/>
        <v>29.195999999999998</v>
      </c>
      <c r="S2077" s="233" t="s">
        <v>756</v>
      </c>
      <c r="T2077" s="242" t="str">
        <f>_xlfn.XLOOKUP(S2077,Insumos!$A$3:$A$371,Insumos!$B$3:$B$371)</f>
        <v>UN</v>
      </c>
      <c r="U2077" s="235">
        <f ca="1">IF($B2077="insumo",R2077,"")</f>
        <v>29.195999999999998</v>
      </c>
      <c r="V2077" s="320">
        <v>7.0000000000000001E-3</v>
      </c>
      <c r="W2077" s="236">
        <f>IFERROR(IF(B2077="INSUMO",_xlfn.XLOOKUP(S2077,Insumos!A:A,Insumos!C:C),""),"Inserir Preço")</f>
        <v>15.9</v>
      </c>
      <c r="X2077" s="235">
        <f t="shared" ca="1" si="1744"/>
        <v>0.204372</v>
      </c>
      <c r="Y2077" s="236">
        <f t="shared" si="1676"/>
        <v>0.11130000000000001</v>
      </c>
      <c r="Z2077" s="237">
        <f t="shared" ca="1" si="1708"/>
        <v>3.2495148</v>
      </c>
      <c r="AA2077" s="238"/>
      <c r="AB2077" s="233" t="str">
        <f>IF(B2077="insumo",_xlfn.XLOOKUP(S2077,Insumos!A:A,Insumos!D:D),"")</f>
        <v xml:space="preserve"> </v>
      </c>
      <c r="AC2077" s="239">
        <f t="shared" ca="1" si="1709"/>
        <v>4.6617252455102955E-7</v>
      </c>
      <c r="AE2077" s="240">
        <f ca="1">IFERROR(IF(OR(Z2077="",Z2077=0),"",IF(AF2077="","",IF(AF2077="R$/mês",Z2077/OBRA!$D$12,IF(AF2077="R$/m²",Z2077/OBRA!$D$10,IF(AF2077="R$/apto",Orçamento!Z2077/OBRA!$D$11,""))))),"")</f>
        <v>1.6722234629971749E-3</v>
      </c>
      <c r="AF2077" s="241" t="s">
        <v>154</v>
      </c>
    </row>
    <row r="2078" spans="1:32" s="10" customFormat="1" ht="13.15" hidden="1" customHeight="1" outlineLevel="4" x14ac:dyDescent="0.2">
      <c r="A2078" s="227"/>
      <c r="B2078" s="228" t="s">
        <v>4</v>
      </c>
      <c r="C2078" s="229">
        <f t="shared" si="1707"/>
        <v>1</v>
      </c>
      <c r="D2078" s="227" t="str">
        <f t="shared" ca="1" si="1731"/>
        <v>19.001.001.004</v>
      </c>
      <c r="E2078" s="228" t="str">
        <f t="shared" ca="1" si="1732"/>
        <v>19.001.001.004</v>
      </c>
      <c r="F2078" s="230">
        <f ca="1">IF($B2078="UNIDADE CONSTRUTIVA",OFFSET(F2078,-1,0)+1,LARGE(F$10:F2077,1))</f>
        <v>2</v>
      </c>
      <c r="G2078" s="228" t="str">
        <f t="shared" ca="1" si="1733"/>
        <v xml:space="preserve">   GERENCIAMENTO EXECUTIVO</v>
      </c>
      <c r="H2078" s="230">
        <f t="shared" ca="1" si="1734"/>
        <v>19</v>
      </c>
      <c r="I2078" s="228" t="str">
        <f t="shared" ca="1" si="1735"/>
        <v xml:space="preserve">   COBERTURA</v>
      </c>
      <c r="J2078" s="230">
        <f t="shared" ca="1" si="1736"/>
        <v>1</v>
      </c>
      <c r="K2078" s="228" t="str">
        <f t="shared" ca="1" si="1737"/>
        <v xml:space="preserve">   COBERTURA</v>
      </c>
      <c r="L2078" s="231">
        <f t="shared" ca="1" si="1738"/>
        <v>1</v>
      </c>
      <c r="M2078" s="228" t="str">
        <f t="shared" ca="1" si="1739"/>
        <v xml:space="preserve">   Telhados</v>
      </c>
      <c r="N2078" s="231">
        <f t="shared" ca="1" si="1740"/>
        <v>4</v>
      </c>
      <c r="O2078" s="228" t="str">
        <f t="shared" ca="1" si="1741"/>
        <v>Rufo de Manta Aluminizada larg 30 cm</v>
      </c>
      <c r="P2078" s="232" t="str">
        <f>IF(S2078="","",IF(Orçamento!$B2078="INSUMO",S2078,""))</f>
        <v/>
      </c>
      <c r="Q2078" s="244" t="str">
        <f t="shared" si="1742"/>
        <v>Rufo de Manta Aluminizada larg 30 cm</v>
      </c>
      <c r="R2078" s="234">
        <f t="shared" ca="1" si="1743"/>
        <v>19.463999999999999</v>
      </c>
      <c r="S2078" s="233" t="s">
        <v>759</v>
      </c>
      <c r="T2078" s="242" t="s">
        <v>158</v>
      </c>
      <c r="U2078" s="235">
        <f>48.66*0.4</f>
        <v>19.463999999999999</v>
      </c>
      <c r="V2078" s="320" t="s">
        <v>35</v>
      </c>
      <c r="W2078" s="236" t="str">
        <f>IFERROR(IF(B2078="INSUMO",_xlfn.XLOOKUP(S2078,Insumos!A:A,Insumos!C:C),""),"Inserir Preço")</f>
        <v/>
      </c>
      <c r="X2078" s="235">
        <f t="shared" ca="1" si="1744"/>
        <v>19.463999999999999</v>
      </c>
      <c r="Y2078" s="236">
        <f t="shared" ca="1" si="1676"/>
        <v>22.221299999999999</v>
      </c>
      <c r="Z2078" s="237">
        <f t="shared" ca="1" si="1708"/>
        <v>432.51538319999997</v>
      </c>
      <c r="AA2078" s="238"/>
      <c r="AB2078" s="233" t="str">
        <f>IF(B2078="insumo",_xlfn.XLOOKUP(S2078,Insumos!A:A,Insumos!D:D),"")</f>
        <v/>
      </c>
      <c r="AC2078" s="239">
        <f t="shared" ca="1" si="1709"/>
        <v>6.2048275051247633E-5</v>
      </c>
      <c r="AE2078" s="240">
        <f ca="1">IFERROR(IF(OR(Z2078="",Z2078=0),"",IF(AF2078="","",IF(AF2078="R$/mês",Z2078/OBRA!$D$12,IF(AF2078="R$/m²",Z2078/OBRA!$D$10,IF(AF2078="R$/apto",Orçamento!Z2078/OBRA!$D$11,""))))),"")</f>
        <v>0.22257549708475063</v>
      </c>
      <c r="AF2078" s="241" t="s">
        <v>154</v>
      </c>
    </row>
    <row r="2079" spans="1:32" s="10" customFormat="1" ht="13.15" hidden="1" customHeight="1" outlineLevel="4" x14ac:dyDescent="0.2">
      <c r="A2079" s="227"/>
      <c r="B2079" s="228" t="s">
        <v>19</v>
      </c>
      <c r="C2079" s="229">
        <f t="shared" si="1707"/>
        <v>1</v>
      </c>
      <c r="D2079" s="227" t="str">
        <f t="shared" si="1731"/>
        <v/>
      </c>
      <c r="E2079" s="228" t="str">
        <f t="shared" ca="1" si="1732"/>
        <v>19.001.001.004</v>
      </c>
      <c r="F2079" s="230">
        <f ca="1">IF($B2079="UNIDADE CONSTRUTIVA",OFFSET(F2079,-1,0)+1,LARGE(F$10:F2078,1))</f>
        <v>2</v>
      </c>
      <c r="G2079" s="228" t="str">
        <f t="shared" ca="1" si="1733"/>
        <v xml:space="preserve">   GERENCIAMENTO EXECUTIVO</v>
      </c>
      <c r="H2079" s="230">
        <f t="shared" ca="1" si="1734"/>
        <v>19</v>
      </c>
      <c r="I2079" s="228" t="str">
        <f t="shared" ca="1" si="1735"/>
        <v xml:space="preserve">   COBERTURA</v>
      </c>
      <c r="J2079" s="230">
        <f t="shared" ca="1" si="1736"/>
        <v>1</v>
      </c>
      <c r="K2079" s="228" t="str">
        <f t="shared" ca="1" si="1737"/>
        <v xml:space="preserve">   COBERTURA</v>
      </c>
      <c r="L2079" s="231">
        <f t="shared" ca="1" si="1738"/>
        <v>1</v>
      </c>
      <c r="M2079" s="228" t="str">
        <f t="shared" ca="1" si="1739"/>
        <v xml:space="preserve">   Telhados</v>
      </c>
      <c r="N2079" s="231">
        <f t="shared" ca="1" si="1740"/>
        <v>4</v>
      </c>
      <c r="O2079" s="228" t="str">
        <f t="shared" ca="1" si="1741"/>
        <v>Rufo de Manta Aluminizada larg 30 cm</v>
      </c>
      <c r="P2079" s="232" t="str">
        <f>IF(S2079="","",IF(Orçamento!$B2079="INSUMO",S2079,""))</f>
        <v>RUFO ACO CARBONO GALVANIZADO CHAPA 26 DESENVOLVIMENTO 350MM</v>
      </c>
      <c r="Q2079" s="244" t="str">
        <f t="shared" si="1742"/>
        <v/>
      </c>
      <c r="R2079" s="234">
        <f t="shared" ca="1" si="1743"/>
        <v>19.463999999999999</v>
      </c>
      <c r="S2079" s="233" t="s">
        <v>760</v>
      </c>
      <c r="T2079" s="242" t="str">
        <f>_xlfn.XLOOKUP(S2079,Insumos!$A$3:$A$371,Insumos!$B$3:$B$371)</f>
        <v>M</v>
      </c>
      <c r="U2079" s="235">
        <f ca="1">IF($B2079="insumo",R2079,"")</f>
        <v>19.463999999999999</v>
      </c>
      <c r="V2079" s="320">
        <v>1.1499999999999999</v>
      </c>
      <c r="W2079" s="236">
        <f>IFERROR(IF(B2079="INSUMO",_xlfn.XLOOKUP(S2079,Insumos!A:A,Insumos!C:C),""),"Inserir Preço")</f>
        <v>18</v>
      </c>
      <c r="X2079" s="235">
        <f t="shared" ca="1" si="1744"/>
        <v>22.383599999999998</v>
      </c>
      <c r="Y2079" s="236">
        <f t="shared" si="1676"/>
        <v>20.7</v>
      </c>
      <c r="Z2079" s="237">
        <f t="shared" ca="1" si="1708"/>
        <v>402.90479999999997</v>
      </c>
      <c r="AA2079" s="238"/>
      <c r="AB2079" s="233" t="str">
        <f>IF(B2079="insumo",_xlfn.XLOOKUP(S2079,Insumos!A:A,Insumos!D:D),"")</f>
        <v xml:space="preserve"> </v>
      </c>
      <c r="AC2079" s="239">
        <f t="shared" ca="1" si="1709"/>
        <v>5.7800366925464576E-5</v>
      </c>
      <c r="AE2079" s="240">
        <f ca="1">IFERROR(IF(OR(Z2079="",Z2079=0),"",IF(AF2079="","",IF(AF2079="R$/mês",Z2079/OBRA!$D$12,IF(AF2079="R$/m²",Z2079/OBRA!$D$10,IF(AF2079="R$/apto",Orçamento!Z2079/OBRA!$D$11,""))))),"")</f>
        <v>0.20733768004816722</v>
      </c>
      <c r="AF2079" s="241" t="s">
        <v>154</v>
      </c>
    </row>
    <row r="2080" spans="1:32" s="10" customFormat="1" ht="13.15" hidden="1" customHeight="1" outlineLevel="4" x14ac:dyDescent="0.2">
      <c r="A2080" s="227"/>
      <c r="B2080" s="228" t="s">
        <v>19</v>
      </c>
      <c r="C2080" s="229">
        <f t="shared" si="1707"/>
        <v>6</v>
      </c>
      <c r="D2080" s="227" t="str">
        <f t="shared" ref="D2080:D2101" si="1745">IF(B2080="Unidade Construtiva",TEXT(F2080,"00"),IF(B2080="Célula Construtiva",TEXT(H2080,"00"),IF(B2080="Etapa",CONCATENATE(TEXT(H2080,"00"),".",TEXT(J2080,"000")),IF(B2080="Subetapa",CONCATENATE(TEXT(H2080,"00"),".",TEXT(J2080,"000"),".",TEXT(L2080,"000")),IF(B2080="Serviço",CONCATENATE(TEXT(H2080,"00"),".",TEXT(J2080,"000"),".",TEXT(L2080,"000"),".",TEXT(N2080,"000")),"")))))</f>
        <v/>
      </c>
      <c r="E2080" s="228" t="str">
        <f t="shared" ref="E2080:E2101" ca="1" si="1746">IF(B2080="*","",IFERROR(IF(B2080="SERVIÇO",D2080,OFFSET(E2080,-1,0)),""))</f>
        <v>19.001.001.004</v>
      </c>
      <c r="F2080" s="230">
        <f ca="1">IF($B2080="UNIDADE CONSTRUTIVA",OFFSET(F2080,-1,0)+1,LARGE(F$10:F2079,1))</f>
        <v>2</v>
      </c>
      <c r="G2080" s="228" t="str">
        <f ca="1">IF(B2080="*","",IF(B2080="UNIDADE CONSTRUTIVA",S2080,OFFSET(G2080,-1,0)))</f>
        <v xml:space="preserve">   GERENCIAMENTO EXECUTIVO</v>
      </c>
      <c r="H2080" s="230">
        <f t="shared" ref="H2080:H2101" ca="1" si="1747">IF(B2080="UNIDADE CONSTRUTIVA",0,IF(B2080="CÉLULA CONSTRUTIVA",OFFSET(H2080,-1,0)+1,OFFSET(H2080,-1,0)))</f>
        <v>19</v>
      </c>
      <c r="I2080" s="228" t="str">
        <f ca="1">IF(B2080="*","",IF(B2080="CÉLULA CONSTRUTIVA",S2080,OFFSET(I2080,-1,0)))</f>
        <v xml:space="preserve">   COBERTURA</v>
      </c>
      <c r="J2080" s="230">
        <f t="shared" ref="J2080:J2101" ca="1" si="1748">IF(B2080="CÉLULA CONSTRUTIVA",0,IF(B2080="ETAPA",OFFSET(J2080,-1,0)+1,OFFSET(J2080,-1,0)))</f>
        <v>1</v>
      </c>
      <c r="K2080" s="228" t="str">
        <f ca="1">IF(B2080="*","",IF(B2080="ETAPA",S2080,OFFSET(K2080,-1,0)))</f>
        <v xml:space="preserve">   COBERTURA</v>
      </c>
      <c r="L2080" s="231">
        <f t="shared" ref="L2080:L2101" ca="1" si="1749">IF(B2080="ETAPA",0,IF(B2080="SUBETAPA",OFFSET(L2080,-1,0)+1,OFFSET(L2080,-1,0)))</f>
        <v>1</v>
      </c>
      <c r="M2080" s="228" t="str">
        <f ca="1">IF(B2080="*","",IF(B2080="SUBETAPA",S2080,OFFSET(M2080,-1,0)))</f>
        <v xml:space="preserve">   Telhados</v>
      </c>
      <c r="N2080" s="231">
        <f t="shared" ref="N2080:N2101" ca="1" si="1750">IF(B2080="Subetapa",0,IF(B2080="serviço",OFFSET(N2080,-1,0)+1,OFFSET(N2080,-1,0)))</f>
        <v>4</v>
      </c>
      <c r="O2080" s="228" t="str">
        <f ca="1">IF(B2080="*","",IF(B2080="SERVIÇO",S2080,OFFSET(O2080,-1,0)))</f>
        <v>Rufo de Manta Aluminizada larg 30 cm</v>
      </c>
      <c r="P2080" s="232" t="str">
        <f>IF(S2080="","",IF(Orçamento!$B2080="INSUMO",S2080,""))</f>
        <v>PARAFUSO ACO CARBONO CAB. SEXTAVADA ROSCA BROCANTE 1/4"X3/4"</v>
      </c>
      <c r="Q2080" s="244" t="str">
        <f>IF(B2080="","",IF(B2080="Serviço",S2080,""))</f>
        <v/>
      </c>
      <c r="R2080" s="234">
        <f ca="1">IF(B2080="serviço",U2080,OFFSET(R2080,-1,0))</f>
        <v>19.463999999999999</v>
      </c>
      <c r="S2080" s="233" t="s">
        <v>754</v>
      </c>
      <c r="T2080" s="242" t="str">
        <f>_xlfn.XLOOKUP(S2080,Insumos!$A$3:$A$371,Insumos!$B$3:$B$371)</f>
        <v>UN</v>
      </c>
      <c r="U2080" s="235">
        <f ca="1">IF($B2080="insumo",R2080,"")</f>
        <v>19.463999999999999</v>
      </c>
      <c r="V2080" s="320">
        <v>3</v>
      </c>
      <c r="W2080" s="236">
        <f>IFERROR(IF(B2080="INSUMO",_xlfn.XLOOKUP(S2080,Insumos!A:A,Insumos!C:C),""),"Inserir Preço")</f>
        <v>0.35</v>
      </c>
      <c r="X2080" s="235">
        <f t="shared" ca="1" si="1744"/>
        <v>58.391999999999996</v>
      </c>
      <c r="Y2080" s="236">
        <f t="shared" si="1676"/>
        <v>1.0499999999999998</v>
      </c>
      <c r="Z2080" s="237">
        <f t="shared" ca="1" si="1708"/>
        <v>20.437199999999997</v>
      </c>
      <c r="AA2080" s="238"/>
      <c r="AB2080" s="233">
        <f>IF(B2080="insumo",_xlfn.XLOOKUP(S2080,Insumos!A:A,Insumos!D:D),"")</f>
        <v>0</v>
      </c>
      <c r="AC2080" s="239">
        <f t="shared" ca="1" si="1709"/>
        <v>2.9319026701322608E-6</v>
      </c>
      <c r="AE2080" s="240">
        <f ca="1">IFERROR(IF(OR(Z2080="",Z2080=0),"",IF(AF2080="","",IF(AF2080="R$/mês",Z2080/OBRA!$D$12,IF(AF2080="R$/m²",Z2080/OBRA!$D$10,IF(AF2080="R$/apto",Orçamento!Z2080/OBRA!$D$11,""))))),"")</f>
        <v>1.0517128698095438E-2</v>
      </c>
      <c r="AF2080" s="241" t="s">
        <v>154</v>
      </c>
    </row>
    <row r="2081" spans="1:32" s="10" customFormat="1" ht="13.15" hidden="1" customHeight="1" outlineLevel="4" x14ac:dyDescent="0.2">
      <c r="A2081" s="227"/>
      <c r="B2081" s="228" t="s">
        <v>19</v>
      </c>
      <c r="C2081" s="229">
        <f t="shared" si="1707"/>
        <v>5</v>
      </c>
      <c r="D2081" s="227" t="str">
        <f t="shared" si="1745"/>
        <v/>
      </c>
      <c r="E2081" s="228" t="str">
        <f t="shared" ca="1" si="1746"/>
        <v>19.001.001.004</v>
      </c>
      <c r="F2081" s="230">
        <f ca="1">IF($B2081="UNIDADE CONSTRUTIVA",OFFSET(F2081,-1,0)+1,LARGE(F$10:F2080,1))</f>
        <v>2</v>
      </c>
      <c r="G2081" s="228" t="str">
        <f ca="1">IF(B2081="*","",IF(B2081="UNIDADE CONSTRUTIVA",S2081,OFFSET(G2081,-1,0)))</f>
        <v xml:space="preserve">   GERENCIAMENTO EXECUTIVO</v>
      </c>
      <c r="H2081" s="230">
        <f t="shared" ca="1" si="1747"/>
        <v>19</v>
      </c>
      <c r="I2081" s="228" t="str">
        <f ca="1">IF(B2081="*","",IF(B2081="CÉLULA CONSTRUTIVA",S2081,OFFSET(I2081,-1,0)))</f>
        <v xml:space="preserve">   COBERTURA</v>
      </c>
      <c r="J2081" s="230">
        <f t="shared" ca="1" si="1748"/>
        <v>1</v>
      </c>
      <c r="K2081" s="228" t="str">
        <f ca="1">IF(B2081="*","",IF(B2081="ETAPA",S2081,OFFSET(K2081,-1,0)))</f>
        <v xml:space="preserve">   COBERTURA</v>
      </c>
      <c r="L2081" s="231">
        <f t="shared" ca="1" si="1749"/>
        <v>1</v>
      </c>
      <c r="M2081" s="228" t="str">
        <f ca="1">IF(B2081="*","",IF(B2081="SUBETAPA",S2081,OFFSET(M2081,-1,0)))</f>
        <v xml:space="preserve">   Telhados</v>
      </c>
      <c r="N2081" s="231">
        <f t="shared" ca="1" si="1750"/>
        <v>4</v>
      </c>
      <c r="O2081" s="228" t="str">
        <f ca="1">IF(B2081="*","",IF(B2081="SERVIÇO",S2081,OFFSET(O2081,-1,0)))</f>
        <v>Rufo de Manta Aluminizada larg 30 cm</v>
      </c>
      <c r="P2081" s="232" t="str">
        <f>IF(S2081="","",IF(Orçamento!$B2081="INSUMO",S2081,""))</f>
        <v>BUCHA FIXACAO NYLON FU 08</v>
      </c>
      <c r="Q2081" s="244" t="str">
        <f>IF(B2081="","",IF(B2081="Serviço",S2081,""))</f>
        <v/>
      </c>
      <c r="R2081" s="234">
        <f ca="1">IF(B2081="serviço",U2081,OFFSET(R2081,-1,0))</f>
        <v>19.463999999999999</v>
      </c>
      <c r="S2081" s="233" t="s">
        <v>761</v>
      </c>
      <c r="T2081" s="242" t="str">
        <f>_xlfn.XLOOKUP(S2081,Insumos!$A$3:$A$371,Insumos!$B$3:$B$371)</f>
        <v>UN</v>
      </c>
      <c r="U2081" s="235">
        <f ca="1">IF($B2081="insumo",R2081,"")</f>
        <v>19.463999999999999</v>
      </c>
      <c r="V2081" s="320">
        <v>3</v>
      </c>
      <c r="W2081" s="236">
        <f>IFERROR(IF(B2081="INSUMO",_xlfn.XLOOKUP(S2081,Insumos!A:A,Insumos!C:C),""),"Inserir Preço")</f>
        <v>0.12</v>
      </c>
      <c r="X2081" s="235">
        <f t="shared" ca="1" si="1744"/>
        <v>58.391999999999996</v>
      </c>
      <c r="Y2081" s="236">
        <f t="shared" si="1676"/>
        <v>0.36</v>
      </c>
      <c r="Z2081" s="237">
        <f t="shared" ca="1" si="1708"/>
        <v>7.007039999999999</v>
      </c>
      <c r="AA2081" s="238"/>
      <c r="AB2081" s="233" t="str">
        <f>IF(B2081="insumo",_xlfn.XLOOKUP(S2081,Insumos!A:A,Insumos!D:D),"")</f>
        <v xml:space="preserve"> </v>
      </c>
      <c r="AC2081" s="239">
        <f t="shared" ca="1" si="1709"/>
        <v>1.0052237726167753E-6</v>
      </c>
      <c r="AE2081" s="240">
        <f ca="1">IFERROR(IF(OR(Z2081="",Z2081=0),"",IF(AF2081="","",IF(AF2081="R$/mês",Z2081/OBRA!$D$12,IF(AF2081="R$/m²",Z2081/OBRA!$D$10,IF(AF2081="R$/apto",Orçamento!Z2081/OBRA!$D$11,""))))),"")</f>
        <v>3.6058726964898645E-3</v>
      </c>
      <c r="AF2081" s="241" t="s">
        <v>154</v>
      </c>
    </row>
    <row r="2082" spans="1:32" s="10" customFormat="1" ht="13.15" hidden="1" customHeight="1" outlineLevel="4" x14ac:dyDescent="0.2">
      <c r="A2082" s="227"/>
      <c r="B2082" s="228" t="s">
        <v>19</v>
      </c>
      <c r="C2082" s="229">
        <f t="shared" si="1707"/>
        <v>3</v>
      </c>
      <c r="D2082" s="227" t="str">
        <f t="shared" si="1745"/>
        <v/>
      </c>
      <c r="E2082" s="228" t="str">
        <f t="shared" ca="1" si="1746"/>
        <v>19.001.001.004</v>
      </c>
      <c r="F2082" s="230">
        <f ca="1">IF($B2082="UNIDADE CONSTRUTIVA",OFFSET(F2082,-1,0)+1,LARGE(F$10:F2081,1))</f>
        <v>2</v>
      </c>
      <c r="G2082" s="228" t="str">
        <f ca="1">IF(B2082="*","",IF(B2082="UNIDADE CONSTRUTIVA",S2082,OFFSET(G2082,-1,0)))</f>
        <v xml:space="preserve">   GERENCIAMENTO EXECUTIVO</v>
      </c>
      <c r="H2082" s="230">
        <f t="shared" ca="1" si="1747"/>
        <v>19</v>
      </c>
      <c r="I2082" s="228" t="str">
        <f ca="1">IF(B2082="*","",IF(B2082="CÉLULA CONSTRUTIVA",S2082,OFFSET(I2082,-1,0)))</f>
        <v xml:space="preserve">   COBERTURA</v>
      </c>
      <c r="J2082" s="230">
        <f t="shared" ca="1" si="1748"/>
        <v>1</v>
      </c>
      <c r="K2082" s="228" t="str">
        <f ca="1">IF(B2082="*","",IF(B2082="ETAPA",S2082,OFFSET(K2082,-1,0)))</f>
        <v xml:space="preserve">   COBERTURA</v>
      </c>
      <c r="L2082" s="231">
        <f t="shared" ca="1" si="1749"/>
        <v>1</v>
      </c>
      <c r="M2082" s="228" t="str">
        <f ca="1">IF(B2082="*","",IF(B2082="SUBETAPA",S2082,OFFSET(M2082,-1,0)))</f>
        <v xml:space="preserve">   Telhados</v>
      </c>
      <c r="N2082" s="231">
        <f t="shared" ca="1" si="1750"/>
        <v>4</v>
      </c>
      <c r="O2082" s="228" t="str">
        <f ca="1">IF(B2082="*","",IF(B2082="SERVIÇO",S2082,OFFSET(O2082,-1,0)))</f>
        <v>Rufo de Manta Aluminizada larg 30 cm</v>
      </c>
      <c r="P2082" s="232" t="str">
        <f>IF(S2082="","",IF(Orçamento!$B2082="INSUMO",S2082,""))</f>
        <v>PRODUTO QUIMICO - VEDA CALHA 280G - CINZA</v>
      </c>
      <c r="Q2082" s="244" t="str">
        <f>IF(B2082="","",IF(B2082="Serviço",S2082,""))</f>
        <v/>
      </c>
      <c r="R2082" s="234">
        <f ca="1">IF(B2082="serviço",U2082,OFFSET(R2082,-1,0))</f>
        <v>19.463999999999999</v>
      </c>
      <c r="S2082" s="233" t="s">
        <v>756</v>
      </c>
      <c r="T2082" s="242" t="str">
        <f>_xlfn.XLOOKUP(S2082,Insumos!$A$3:$A$371,Insumos!$B$3:$B$371)</f>
        <v>UN</v>
      </c>
      <c r="U2082" s="235">
        <f ca="1">IF($B2082="insumo",R2082,"")</f>
        <v>19.463999999999999</v>
      </c>
      <c r="V2082" s="320">
        <v>7.0000000000000001E-3</v>
      </c>
      <c r="W2082" s="236">
        <f>IFERROR(IF(B2082="INSUMO",_xlfn.XLOOKUP(S2082,Insumos!A:A,Insumos!C:C),""),"Inserir Preço")</f>
        <v>15.9</v>
      </c>
      <c r="X2082" s="235">
        <f t="shared" ca="1" si="1744"/>
        <v>0.13624799999999998</v>
      </c>
      <c r="Y2082" s="236">
        <f t="shared" si="1676"/>
        <v>0.11130000000000001</v>
      </c>
      <c r="Z2082" s="237">
        <f t="shared" ca="1" si="1708"/>
        <v>2.1663431999999996</v>
      </c>
      <c r="AA2082" s="238"/>
      <c r="AB2082" s="233" t="str">
        <f>IF(B2082="insumo",_xlfn.XLOOKUP(S2082,Insumos!A:A,Insumos!D:D),"")</f>
        <v xml:space="preserve"> </v>
      </c>
      <c r="AC2082" s="239">
        <f t="shared" ca="1" si="1709"/>
        <v>3.1078168303401965E-7</v>
      </c>
      <c r="AE2082" s="240">
        <f ca="1">IFERROR(IF(OR(Z2082="",Z2082=0),"",IF(AF2082="","",IF(AF2082="R$/mês",Z2082/OBRA!$D$12,IF(AF2082="R$/m²",Z2082/OBRA!$D$10,IF(AF2082="R$/apto",Orçamento!Z2082/OBRA!$D$11,""))))),"")</f>
        <v>1.1148156419981162E-3</v>
      </c>
      <c r="AF2082" s="241" t="s">
        <v>154</v>
      </c>
    </row>
    <row r="2083" spans="1:32" s="10" customFormat="1" ht="13.15" hidden="1" customHeight="1" outlineLevel="3" collapsed="1" x14ac:dyDescent="0.2">
      <c r="A2083" s="227"/>
      <c r="B2083" s="228" t="s">
        <v>3</v>
      </c>
      <c r="C2083" s="229" t="str">
        <f t="shared" si="1707"/>
        <v/>
      </c>
      <c r="D2083" s="227" t="str">
        <f t="shared" ca="1" si="1745"/>
        <v>19.001.002</v>
      </c>
      <c r="E2083" s="228" t="str">
        <f t="shared" ca="1" si="1746"/>
        <v>19.001.001.004</v>
      </c>
      <c r="F2083" s="230">
        <f ca="1">IF($B2083="UNIDADE CONSTRUTIVA",OFFSET(F2083,-1,0)+1,LARGE(F$10:F2082,1))</f>
        <v>2</v>
      </c>
      <c r="G2083" s="228" t="str">
        <f t="shared" ca="1" si="1712"/>
        <v xml:space="preserve">   GERENCIAMENTO EXECUTIVO</v>
      </c>
      <c r="H2083" s="230">
        <f t="shared" ca="1" si="1747"/>
        <v>19</v>
      </c>
      <c r="I2083" s="228" t="str">
        <f t="shared" ca="1" si="1713"/>
        <v xml:space="preserve">   COBERTURA</v>
      </c>
      <c r="J2083" s="230">
        <f t="shared" ca="1" si="1748"/>
        <v>1</v>
      </c>
      <c r="K2083" s="228" t="str">
        <f t="shared" ca="1" si="1714"/>
        <v xml:space="preserve">   COBERTURA</v>
      </c>
      <c r="L2083" s="231">
        <f t="shared" ca="1" si="1749"/>
        <v>2</v>
      </c>
      <c r="M2083" s="228" t="str">
        <f t="shared" ca="1" si="1715"/>
        <v xml:space="preserve">   Pergolados</v>
      </c>
      <c r="N2083" s="231">
        <f t="shared" ca="1" si="1750"/>
        <v>0</v>
      </c>
      <c r="O2083" s="228" t="str">
        <f t="shared" ca="1" si="1716"/>
        <v>Rufo de Manta Aluminizada larg 30 cm</v>
      </c>
      <c r="P2083" s="232" t="str">
        <f>IF(S2083="","",IF(Orçamento!$B2083="INSUMO",S2083,""))</f>
        <v/>
      </c>
      <c r="Q2083" s="244" t="str">
        <f>IF(B2083="","",IF(B2083="Serviço",S2083,""))</f>
        <v/>
      </c>
      <c r="R2083" s="234">
        <f t="shared" ca="1" si="1710"/>
        <v>19.463999999999999</v>
      </c>
      <c r="S2083" s="233" t="s">
        <v>511</v>
      </c>
      <c r="T2083" s="242" t="s">
        <v>35</v>
      </c>
      <c r="U2083" s="235" t="str">
        <f>IF($B2083="insumo",R2083,"")</f>
        <v/>
      </c>
      <c r="V2083" s="320" t="s">
        <v>35</v>
      </c>
      <c r="W2083" s="236" t="str">
        <f>IFERROR(IF(B2083="INSUMO",_xlfn.XLOOKUP(S2083,Insumos!A:A,Insumos!C:C),""),"Inserir Preço")</f>
        <v/>
      </c>
      <c r="X2083" s="235" t="str">
        <f t="shared" ca="1" si="1711"/>
        <v/>
      </c>
      <c r="Y2083" s="236" t="str">
        <f t="shared" si="1676"/>
        <v/>
      </c>
      <c r="Z2083" s="237">
        <f t="shared" ca="1" si="1708"/>
        <v>3840.8224000000005</v>
      </c>
      <c r="AA2083" s="238"/>
      <c r="AB2083" s="233" t="str">
        <f>IF(B2083="insumo",_xlfn.XLOOKUP(S2083,Insumos!A:A,Insumos!D:D),"")</f>
        <v/>
      </c>
      <c r="AC2083" s="239">
        <f t="shared" ca="1" si="1709"/>
        <v>5.5100099084335436E-4</v>
      </c>
      <c r="AE2083" s="240">
        <f ca="1">IFERROR(IF(OR(Z2083="",Z2083=0),"",IF(AF2083="","",IF(AF2083="R$/mês",Z2083/OBRA!$D$12,IF(AF2083="R$/m²",Z2083/OBRA!$D$10,IF(AF2083="R$/apto",Orçamento!Z2083/OBRA!$D$11,""))))),"")</f>
        <v>1.9765145659546222</v>
      </c>
      <c r="AF2083" s="241" t="s">
        <v>154</v>
      </c>
    </row>
    <row r="2084" spans="1:32" s="10" customFormat="1" ht="13.15" hidden="1" customHeight="1" outlineLevel="4" x14ac:dyDescent="0.2">
      <c r="A2084" s="227"/>
      <c r="B2084" s="228" t="s">
        <v>4</v>
      </c>
      <c r="C2084" s="229">
        <f t="shared" si="1707"/>
        <v>1</v>
      </c>
      <c r="D2084" s="227" t="str">
        <f t="shared" ca="1" si="1745"/>
        <v>19.001.002.001</v>
      </c>
      <c r="E2084" s="228" t="str">
        <f t="shared" ca="1" si="1746"/>
        <v>19.001.002.001</v>
      </c>
      <c r="F2084" s="230">
        <f ca="1">IF($B2084="UNIDADE CONSTRUTIVA",OFFSET(F2084,-1,0)+1,LARGE(F$10:F2083,1))</f>
        <v>2</v>
      </c>
      <c r="G2084" s="228" t="str">
        <f t="shared" ca="1" si="1712"/>
        <v xml:space="preserve">   GERENCIAMENTO EXECUTIVO</v>
      </c>
      <c r="H2084" s="230">
        <f t="shared" ca="1" si="1747"/>
        <v>19</v>
      </c>
      <c r="I2084" s="228" t="str">
        <f t="shared" ca="1" si="1713"/>
        <v xml:space="preserve">   COBERTURA</v>
      </c>
      <c r="J2084" s="230">
        <f t="shared" ca="1" si="1748"/>
        <v>1</v>
      </c>
      <c r="K2084" s="228" t="str">
        <f t="shared" ca="1" si="1714"/>
        <v xml:space="preserve">   COBERTURA</v>
      </c>
      <c r="L2084" s="231">
        <f t="shared" ca="1" si="1749"/>
        <v>2</v>
      </c>
      <c r="M2084" s="228" t="str">
        <f t="shared" ca="1" si="1715"/>
        <v xml:space="preserve">   Pergolados</v>
      </c>
      <c r="N2084" s="231">
        <f t="shared" ca="1" si="1750"/>
        <v>1</v>
      </c>
      <c r="O2084" s="228" t="str">
        <f t="shared" ca="1" si="1716"/>
        <v xml:space="preserve">Pergolado de madeira </v>
      </c>
      <c r="P2084" s="232" t="str">
        <f>IF(S2084="","",IF(Orçamento!$B2084="INSUMO",S2084,""))</f>
        <v/>
      </c>
      <c r="Q2084" s="244" t="str">
        <f t="shared" ref="Q2084:Q2120" si="1751">IF(B2084="","",IF(B2084="Serviço",S2084,""))</f>
        <v xml:space="preserve">Pergolado de madeira </v>
      </c>
      <c r="R2084" s="234">
        <f t="shared" ca="1" si="1710"/>
        <v>5.48</v>
      </c>
      <c r="S2084" s="233" t="s">
        <v>1221</v>
      </c>
      <c r="T2084" s="242" t="s">
        <v>140</v>
      </c>
      <c r="U2084" s="235">
        <v>5.48</v>
      </c>
      <c r="V2084" s="320" t="s">
        <v>35</v>
      </c>
      <c r="W2084" s="236" t="str">
        <f>IFERROR(IF(B2084="INSUMO",_xlfn.XLOOKUP(S2084,Insumos!A:A,Insumos!C:C),""),"Inserir Preço")</f>
        <v/>
      </c>
      <c r="X2084" s="235">
        <f t="shared" ca="1" si="1711"/>
        <v>5.48</v>
      </c>
      <c r="Y2084" s="236">
        <f t="shared" ca="1" si="1676"/>
        <v>700.88</v>
      </c>
      <c r="Z2084" s="237">
        <f t="shared" ca="1" si="1708"/>
        <v>3840.8224000000005</v>
      </c>
      <c r="AA2084" s="238"/>
      <c r="AB2084" s="233" t="str">
        <f>IF(B2084="insumo",_xlfn.XLOOKUP(S2084,Insumos!A:A,Insumos!D:D),"")</f>
        <v/>
      </c>
      <c r="AC2084" s="239">
        <f t="shared" ca="1" si="1709"/>
        <v>5.5100099084335436E-4</v>
      </c>
      <c r="AE2084" s="240">
        <f ca="1">IFERROR(IF(OR(Z2084="",Z2084=0),"",IF(AF2084="","",IF(AF2084="R$/mês",Z2084/OBRA!$D$12,IF(AF2084="R$/m²",Z2084/OBRA!$D$10,IF(AF2084="R$/apto",Orçamento!Z2084/OBRA!$D$11,""))))),"")</f>
        <v>1.9765145659546222</v>
      </c>
      <c r="AF2084" s="241" t="s">
        <v>154</v>
      </c>
    </row>
    <row r="2085" spans="1:32" s="10" customFormat="1" ht="13.15" hidden="1" customHeight="1" outlineLevel="4" x14ac:dyDescent="0.2">
      <c r="A2085" s="227"/>
      <c r="B2085" s="228" t="s">
        <v>19</v>
      </c>
      <c r="C2085" s="229">
        <f t="shared" si="1707"/>
        <v>1</v>
      </c>
      <c r="D2085" s="227" t="str">
        <f t="shared" si="1745"/>
        <v/>
      </c>
      <c r="E2085" s="228" t="str">
        <f t="shared" ca="1" si="1746"/>
        <v>19.001.002.001</v>
      </c>
      <c r="F2085" s="230">
        <f ca="1">IF($B2085="UNIDADE CONSTRUTIVA",OFFSET(F2085,-1,0)+1,LARGE(F$10:F2084,1))</f>
        <v>2</v>
      </c>
      <c r="G2085" s="228" t="str">
        <f t="shared" ca="1" si="1712"/>
        <v xml:space="preserve">   GERENCIAMENTO EXECUTIVO</v>
      </c>
      <c r="H2085" s="230">
        <f t="shared" ca="1" si="1747"/>
        <v>19</v>
      </c>
      <c r="I2085" s="228" t="str">
        <f t="shared" ca="1" si="1713"/>
        <v xml:space="preserve">   COBERTURA</v>
      </c>
      <c r="J2085" s="230">
        <f t="shared" ca="1" si="1748"/>
        <v>1</v>
      </c>
      <c r="K2085" s="228" t="str">
        <f t="shared" ca="1" si="1714"/>
        <v xml:space="preserve">   COBERTURA</v>
      </c>
      <c r="L2085" s="231">
        <f t="shared" ca="1" si="1749"/>
        <v>2</v>
      </c>
      <c r="M2085" s="228" t="str">
        <f t="shared" ca="1" si="1715"/>
        <v xml:space="preserve">   Pergolados</v>
      </c>
      <c r="N2085" s="231">
        <f t="shared" ca="1" si="1750"/>
        <v>1</v>
      </c>
      <c r="O2085" s="228" t="str">
        <f t="shared" ca="1" si="1716"/>
        <v xml:space="preserve">Pergolado de madeira </v>
      </c>
      <c r="P2085" s="232" t="str">
        <f>IF(S2085="","",IF(Orçamento!$B2085="INSUMO",S2085,""))</f>
        <v>Pergolado de madeira</v>
      </c>
      <c r="Q2085" s="244" t="str">
        <f t="shared" si="1751"/>
        <v/>
      </c>
      <c r="R2085" s="234">
        <f t="shared" ca="1" si="1710"/>
        <v>5.48</v>
      </c>
      <c r="S2085" s="233" t="s">
        <v>347</v>
      </c>
      <c r="T2085" s="242" t="str">
        <f>_xlfn.XLOOKUP(S2085,Insumos!$A$3:$A$371,Insumos!$B$3:$B$371)</f>
        <v>M2</v>
      </c>
      <c r="U2085" s="235">
        <f ca="1">IF($B2085="insumo",R2085,"")</f>
        <v>5.48</v>
      </c>
      <c r="V2085" s="320">
        <v>1</v>
      </c>
      <c r="W2085" s="236">
        <f>IFERROR(IF(B2085="INSUMO",_xlfn.XLOOKUP(S2085,Insumos!A:A,Insumos!C:C),""),"Inserir Preço")</f>
        <v>700.88</v>
      </c>
      <c r="X2085" s="235">
        <f t="shared" ca="1" si="1711"/>
        <v>5.48</v>
      </c>
      <c r="Y2085" s="236">
        <f t="shared" si="1676"/>
        <v>700.88</v>
      </c>
      <c r="Z2085" s="237">
        <f t="shared" ca="1" si="1708"/>
        <v>3840.8224000000005</v>
      </c>
      <c r="AA2085" s="238"/>
      <c r="AB2085" s="233" t="str">
        <f>IF(B2085="insumo",_xlfn.XLOOKUP(S2085,Insumos!A:A,Insumos!D:D),"")</f>
        <v xml:space="preserve"> </v>
      </c>
      <c r="AC2085" s="239">
        <f t="shared" ca="1" si="1709"/>
        <v>5.5100099084335436E-4</v>
      </c>
      <c r="AE2085" s="240">
        <f ca="1">IFERROR(IF(OR(Z2085="",Z2085=0),"",IF(AF2085="","",IF(AF2085="R$/mês",Z2085/OBRA!$D$12,IF(AF2085="R$/m²",Z2085/OBRA!$D$10,IF(AF2085="R$/apto",Orçamento!Z2085/OBRA!$D$11,""))))),"")</f>
        <v>1.9765145659546222</v>
      </c>
      <c r="AF2085" s="241" t="s">
        <v>154</v>
      </c>
    </row>
    <row r="2086" spans="1:32" s="10" customFormat="1" ht="13.15" hidden="1" customHeight="1" outlineLevel="3" collapsed="1" x14ac:dyDescent="0.2">
      <c r="A2086" s="227"/>
      <c r="B2086" s="228" t="s">
        <v>3</v>
      </c>
      <c r="C2086" s="229" t="str">
        <f t="shared" si="1707"/>
        <v/>
      </c>
      <c r="D2086" s="227" t="str">
        <f t="shared" ca="1" si="1745"/>
        <v>19.001.003</v>
      </c>
      <c r="E2086" s="228" t="str">
        <f t="shared" ca="1" si="1746"/>
        <v>19.001.002.001</v>
      </c>
      <c r="F2086" s="230">
        <f ca="1">IF($B2086="UNIDADE CONSTRUTIVA",OFFSET(F2086,-1,0)+1,LARGE(F$10:F2085,1))</f>
        <v>2</v>
      </c>
      <c r="G2086" s="228" t="str">
        <f t="shared" ca="1" si="1712"/>
        <v xml:space="preserve">   GERENCIAMENTO EXECUTIVO</v>
      </c>
      <c r="H2086" s="230">
        <f t="shared" ca="1" si="1747"/>
        <v>19</v>
      </c>
      <c r="I2086" s="228" t="str">
        <f t="shared" ca="1" si="1713"/>
        <v xml:space="preserve">   COBERTURA</v>
      </c>
      <c r="J2086" s="230">
        <f t="shared" ca="1" si="1748"/>
        <v>1</v>
      </c>
      <c r="K2086" s="228" t="str">
        <f t="shared" ca="1" si="1714"/>
        <v xml:space="preserve">   COBERTURA</v>
      </c>
      <c r="L2086" s="231">
        <f t="shared" ca="1" si="1749"/>
        <v>3</v>
      </c>
      <c r="M2086" s="228" t="str">
        <f t="shared" ca="1" si="1715"/>
        <v xml:space="preserve">   Mão de Obra</v>
      </c>
      <c r="N2086" s="231">
        <f t="shared" ca="1" si="1750"/>
        <v>0</v>
      </c>
      <c r="O2086" s="228" t="str">
        <f t="shared" ca="1" si="1716"/>
        <v xml:space="preserve">Pergolado de madeira </v>
      </c>
      <c r="P2086" s="232" t="str">
        <f>IF(S2086="","",IF(Orçamento!$B2086="INSUMO",S2086,""))</f>
        <v/>
      </c>
      <c r="Q2086" s="244" t="str">
        <f t="shared" si="1751"/>
        <v/>
      </c>
      <c r="R2086" s="234">
        <f t="shared" ca="1" si="1710"/>
        <v>5.48</v>
      </c>
      <c r="S2086" s="233" t="s">
        <v>438</v>
      </c>
      <c r="T2086" s="242" t="s">
        <v>35</v>
      </c>
      <c r="U2086" s="235" t="str">
        <f>IF($B2086="insumo",R2086,"")</f>
        <v/>
      </c>
      <c r="V2086" s="320" t="s">
        <v>35</v>
      </c>
      <c r="W2086" s="236" t="str">
        <f>IFERROR(IF(B2086="INSUMO",_xlfn.XLOOKUP(S2086,Insumos!A:A,Insumos!C:C),""),"Inserir Preço")</f>
        <v/>
      </c>
      <c r="X2086" s="235" t="str">
        <f t="shared" ca="1" si="1711"/>
        <v/>
      </c>
      <c r="Y2086" s="236" t="str">
        <f t="shared" si="1676"/>
        <v/>
      </c>
      <c r="Z2086" s="237">
        <f t="shared" ca="1" si="1708"/>
        <v>24150</v>
      </c>
      <c r="AA2086" s="238"/>
      <c r="AB2086" s="233" t="str">
        <f>IF(B2086="insumo",_xlfn.XLOOKUP(S2086,Insumos!A:A,Insumos!D:D),"")</f>
        <v/>
      </c>
      <c r="AC2086" s="239">
        <f t="shared" ca="1" si="1709"/>
        <v>3.4645376804892112E-3</v>
      </c>
      <c r="AE2086" s="240">
        <f ca="1">IFERROR(IF(OR(Z2086="",Z2086=0),"",IF(AF2086="","",IF(AF2086="R$/mês",Z2086/OBRA!$D$12,IF(AF2086="R$/m²",Z2086/OBRA!$D$10,IF(AF2086="R$/apto",Orçamento!Z2086/OBRA!$D$11,""))))),"")</f>
        <v>12.42776202508195</v>
      </c>
      <c r="AF2086" s="241" t="s">
        <v>154</v>
      </c>
    </row>
    <row r="2087" spans="1:32" s="10" customFormat="1" ht="13.15" hidden="1" customHeight="1" outlineLevel="4" x14ac:dyDescent="0.2">
      <c r="A2087" s="227"/>
      <c r="B2087" s="228" t="s">
        <v>4</v>
      </c>
      <c r="C2087" s="229">
        <f t="shared" si="1707"/>
        <v>1</v>
      </c>
      <c r="D2087" s="227" t="str">
        <f t="shared" ca="1" si="1745"/>
        <v>19.001.003.001</v>
      </c>
      <c r="E2087" s="228" t="str">
        <f t="shared" ca="1" si="1746"/>
        <v>19.001.003.001</v>
      </c>
      <c r="F2087" s="230">
        <f ca="1">IF($B2087="UNIDADE CONSTRUTIVA",OFFSET(F2087,-1,0)+1,LARGE(F$10:F2086,1))</f>
        <v>2</v>
      </c>
      <c r="G2087" s="228" t="str">
        <f t="shared" ca="1" si="1712"/>
        <v xml:space="preserve">   GERENCIAMENTO EXECUTIVO</v>
      </c>
      <c r="H2087" s="230">
        <f t="shared" ca="1" si="1747"/>
        <v>19</v>
      </c>
      <c r="I2087" s="228" t="str">
        <f t="shared" ca="1" si="1713"/>
        <v xml:space="preserve">   COBERTURA</v>
      </c>
      <c r="J2087" s="230">
        <f t="shared" ca="1" si="1748"/>
        <v>1</v>
      </c>
      <c r="K2087" s="228" t="str">
        <f t="shared" ca="1" si="1714"/>
        <v xml:space="preserve">   COBERTURA</v>
      </c>
      <c r="L2087" s="231">
        <f t="shared" ca="1" si="1749"/>
        <v>3</v>
      </c>
      <c r="M2087" s="228" t="str">
        <f t="shared" ca="1" si="1715"/>
        <v xml:space="preserve">   Mão de Obra</v>
      </c>
      <c r="N2087" s="231">
        <f t="shared" ca="1" si="1750"/>
        <v>1</v>
      </c>
      <c r="O2087" s="228" t="str">
        <f t="shared" ca="1" si="1716"/>
        <v>Mao de obra para fixacao de Telhados</v>
      </c>
      <c r="P2087" s="232" t="str">
        <f>IF(S2087="","",IF(Orçamento!$B2087="INSUMO",S2087,""))</f>
        <v/>
      </c>
      <c r="Q2087" s="244" t="str">
        <f t="shared" si="1751"/>
        <v>Mao de obra para fixacao de Telhados</v>
      </c>
      <c r="R2087" s="234">
        <f t="shared" ca="1" si="1710"/>
        <v>65.67</v>
      </c>
      <c r="S2087" s="233" t="s">
        <v>830</v>
      </c>
      <c r="T2087" s="242" t="s">
        <v>140</v>
      </c>
      <c r="U2087" s="235">
        <f>U2068+U2084</f>
        <v>65.67</v>
      </c>
      <c r="V2087" s="320" t="s">
        <v>35</v>
      </c>
      <c r="W2087" s="236" t="str">
        <f>IFERROR(IF(B2087="INSUMO",_xlfn.XLOOKUP(S2087,Insumos!A:A,Insumos!C:C),""),"Inserir Preço")</f>
        <v/>
      </c>
      <c r="X2087" s="235">
        <f t="shared" ca="1" si="1711"/>
        <v>65.67</v>
      </c>
      <c r="Y2087" s="236">
        <f t="shared" ca="1" si="1676"/>
        <v>367.74783005938787</v>
      </c>
      <c r="Z2087" s="237">
        <f t="shared" ca="1" si="1708"/>
        <v>24150</v>
      </c>
      <c r="AA2087" s="238"/>
      <c r="AB2087" s="233" t="str">
        <f>IF(B2087="insumo",_xlfn.XLOOKUP(S2087,Insumos!A:A,Insumos!D:D),"")</f>
        <v/>
      </c>
      <c r="AC2087" s="239">
        <f t="shared" ca="1" si="1709"/>
        <v>3.4645376804892112E-3</v>
      </c>
      <c r="AE2087" s="240">
        <f ca="1">IFERROR(IF(OR(Z2087="",Z2087=0),"",IF(AF2087="","",IF(AF2087="R$/mês",Z2087/OBRA!$D$12,IF(AF2087="R$/m²",Z2087/OBRA!$D$10,IF(AF2087="R$/apto",Orçamento!Z2087/OBRA!$D$11,""))))),"")</f>
        <v>12.42776202508195</v>
      </c>
      <c r="AF2087" s="241" t="s">
        <v>154</v>
      </c>
    </row>
    <row r="2088" spans="1:32" s="10" customFormat="1" ht="13.15" hidden="1" customHeight="1" outlineLevel="4" x14ac:dyDescent="0.2">
      <c r="A2088" s="227"/>
      <c r="B2088" s="228" t="s">
        <v>19</v>
      </c>
      <c r="C2088" s="229">
        <f t="shared" si="1707"/>
        <v>1</v>
      </c>
      <c r="D2088" s="227" t="str">
        <f t="shared" si="1745"/>
        <v/>
      </c>
      <c r="E2088" s="228" t="str">
        <f t="shared" ca="1" si="1746"/>
        <v>19.001.003.001</v>
      </c>
      <c r="F2088" s="230">
        <f ca="1">IF($B2088="UNIDADE CONSTRUTIVA",OFFSET(F2088,-1,0)+1,LARGE(F$10:F2087,1))</f>
        <v>2</v>
      </c>
      <c r="G2088" s="228" t="str">
        <f t="shared" ca="1" si="1712"/>
        <v xml:space="preserve">   GERENCIAMENTO EXECUTIVO</v>
      </c>
      <c r="H2088" s="230">
        <f t="shared" ca="1" si="1747"/>
        <v>19</v>
      </c>
      <c r="I2088" s="228" t="str">
        <f t="shared" ca="1" si="1713"/>
        <v xml:space="preserve">   COBERTURA</v>
      </c>
      <c r="J2088" s="230">
        <f t="shared" ca="1" si="1748"/>
        <v>1</v>
      </c>
      <c r="K2088" s="228" t="str">
        <f t="shared" ca="1" si="1714"/>
        <v xml:space="preserve">   COBERTURA</v>
      </c>
      <c r="L2088" s="231">
        <f t="shared" ca="1" si="1749"/>
        <v>3</v>
      </c>
      <c r="M2088" s="228" t="str">
        <f t="shared" ca="1" si="1715"/>
        <v xml:space="preserve">   Mão de Obra</v>
      </c>
      <c r="N2088" s="231">
        <f t="shared" ca="1" si="1750"/>
        <v>1</v>
      </c>
      <c r="O2088" s="228" t="str">
        <f t="shared" ca="1" si="1716"/>
        <v>Mao de obra para fixacao de Telhados</v>
      </c>
      <c r="P2088" s="232" t="str">
        <f>IF(S2088="","",IF(Orçamento!$B2088="INSUMO",S2088,""))</f>
        <v>MAO DE OBRA PARA INSTALAÇÃO DE COBERTURA/CALHAS E RUFOS</v>
      </c>
      <c r="Q2088" s="244" t="str">
        <f t="shared" si="1751"/>
        <v/>
      </c>
      <c r="R2088" s="234">
        <f t="shared" ca="1" si="1710"/>
        <v>65.67</v>
      </c>
      <c r="S2088" s="233" t="s">
        <v>757</v>
      </c>
      <c r="T2088" s="242" t="str">
        <f>_xlfn.XLOOKUP(S2088,Insumos!$A$3:$A$371,Insumos!$B$3:$B$371)</f>
        <v>M2</v>
      </c>
      <c r="U2088" s="235">
        <f ca="1">IF($B2088="insumo",R2088,"")</f>
        <v>65.67</v>
      </c>
      <c r="V2088" s="320">
        <v>1</v>
      </c>
      <c r="W2088" s="236">
        <f>IFERROR(IF(B2088="INSUMO",_xlfn.XLOOKUP(S2088,Insumos!A:A,Insumos!C:C),""),"Inserir Preço")</f>
        <v>367.74783005938787</v>
      </c>
      <c r="X2088" s="235">
        <f t="shared" ca="1" si="1711"/>
        <v>65.67</v>
      </c>
      <c r="Y2088" s="236">
        <f t="shared" ref="Y2088:Y2147" si="1752">IF(B2088="insumo",W2088*V2088,IF(B2088="serviço",SUMIFS(Y:Y,B:B,"insumo",E:E,E2088,I:I,I2088),""))</f>
        <v>367.74783005938787</v>
      </c>
      <c r="Z2088" s="237">
        <f t="shared" ca="1" si="1708"/>
        <v>24150</v>
      </c>
      <c r="AA2088" s="238"/>
      <c r="AB2088" s="233" t="str">
        <f>IF(B2088="insumo",_xlfn.XLOOKUP(S2088,Insumos!A:A,Insumos!D:D),"")</f>
        <v>Aba Custo Serviços</v>
      </c>
      <c r="AC2088" s="239">
        <f t="shared" ca="1" si="1709"/>
        <v>3.4645376804892112E-3</v>
      </c>
      <c r="AE2088" s="240">
        <f ca="1">IFERROR(IF(OR(Z2088="",Z2088=0),"",IF(AF2088="","",IF(AF2088="R$/mês",Z2088/OBRA!$D$12,IF(AF2088="R$/m²",Z2088/OBRA!$D$10,IF(AF2088="R$/apto",Orçamento!Z2088/OBRA!$D$11,""))))),"")</f>
        <v>12.42776202508195</v>
      </c>
      <c r="AF2088" s="241" t="s">
        <v>154</v>
      </c>
    </row>
    <row r="2089" spans="1:32" s="10" customFormat="1" ht="13.15" customHeight="1" outlineLevel="1" x14ac:dyDescent="0.2">
      <c r="A2089" s="227"/>
      <c r="B2089" s="228" t="s">
        <v>1</v>
      </c>
      <c r="C2089" s="229" t="str">
        <f t="shared" si="1707"/>
        <v/>
      </c>
      <c r="D2089" s="227" t="str">
        <f t="shared" ca="1" si="1745"/>
        <v>20</v>
      </c>
      <c r="E2089" s="228" t="str">
        <f ca="1">IF(B2089="*","",IFERROR(IF(B2089="SERVIÇO",D2089,OFFSET(E2089,-1,0)),""))</f>
        <v>19.001.003.001</v>
      </c>
      <c r="F2089" s="230">
        <f ca="1">IF($B2089="UNIDADE CONSTRUTIVA",OFFSET(F2089,-1,0)+1,LARGE(F$10:F2088,1))</f>
        <v>2</v>
      </c>
      <c r="G2089" s="228" t="str">
        <f t="shared" ca="1" si="1712"/>
        <v xml:space="preserve">   GERENCIAMENTO EXECUTIVO</v>
      </c>
      <c r="H2089" s="230">
        <f ca="1">IF(B2089="UNIDADE CONSTRUTIVA",0,IF(B2089="CÉLULA CONSTRUTIVA",OFFSET(H2089,-1,0)+1,OFFSET(H2089,-1,0)))</f>
        <v>20</v>
      </c>
      <c r="I2089" s="228" t="str">
        <f t="shared" ca="1" si="1713"/>
        <v xml:space="preserve">   REVESTIMENTOS E ACABAMENTOS DE FACHADA</v>
      </c>
      <c r="J2089" s="230">
        <f ca="1">IF(B2089="CÉLULA CONSTRUTIVA",0,IF(B2089="ETAPA",OFFSET(J2089,-1,0)+1,OFFSET(J2089,-1,0)))</f>
        <v>0</v>
      </c>
      <c r="K2089" s="228" t="str">
        <f t="shared" ca="1" si="1714"/>
        <v xml:space="preserve">   COBERTURA</v>
      </c>
      <c r="L2089" s="231">
        <f ca="1">IF(B2089="ETAPA",0,IF(B2089="SUBETAPA",OFFSET(L2089,-1,0)+1,OFFSET(L2089,-1,0)))</f>
        <v>3</v>
      </c>
      <c r="M2089" s="228" t="str">
        <f t="shared" ca="1" si="1715"/>
        <v xml:space="preserve">   Mão de Obra</v>
      </c>
      <c r="N2089" s="231">
        <f ca="1">IF(B2089="Subetapa",0,IF(B2089="serviço",OFFSET(N2089,-1,0)+1,OFFSET(N2089,-1,0)))</f>
        <v>1</v>
      </c>
      <c r="O2089" s="228" t="str">
        <f t="shared" ca="1" si="1716"/>
        <v>Mao de obra para fixacao de Telhados</v>
      </c>
      <c r="P2089" s="232" t="str">
        <f>IF(S2089="","",IF(Orçamento!$B2089="INSUMO",S2089,""))</f>
        <v/>
      </c>
      <c r="Q2089" s="244" t="str">
        <f t="shared" si="1751"/>
        <v/>
      </c>
      <c r="R2089" s="234">
        <f t="shared" ca="1" si="1710"/>
        <v>65.67</v>
      </c>
      <c r="S2089" s="233" t="s">
        <v>552</v>
      </c>
      <c r="T2089" s="242" t="s">
        <v>35</v>
      </c>
      <c r="U2089" s="235" t="str">
        <f>IF($B2089="insumo",R2089,"")</f>
        <v/>
      </c>
      <c r="V2089" s="320" t="s">
        <v>35</v>
      </c>
      <c r="W2089" s="236" t="str">
        <f>IFERROR(IF(B2089="INSUMO",_xlfn.XLOOKUP(S2089,Insumos!A:A,Insumos!C:C),""),"Inserir Preço")</f>
        <v/>
      </c>
      <c r="X2089" s="235" t="str">
        <f t="shared" ca="1" si="1711"/>
        <v/>
      </c>
      <c r="Y2089" s="236" t="str">
        <f t="shared" si="1752"/>
        <v/>
      </c>
      <c r="Z2089" s="237">
        <f t="shared" ca="1" si="1708"/>
        <v>365385.57022599998</v>
      </c>
      <c r="AA2089" s="238"/>
      <c r="AB2089" s="233" t="str">
        <f>IF(B2089="insumo",_xlfn.XLOOKUP(S2089,Insumos!A:A,Insumos!D:D),"")</f>
        <v/>
      </c>
      <c r="AC2089" s="239">
        <f t="shared" ca="1" si="1709"/>
        <v>5.2417891343892915E-2</v>
      </c>
      <c r="AE2089" s="240">
        <f ca="1">IFERROR(IF(OR(Z2089="",Z2089=0),"",IF(AF2089="","",IF(AF2089="R$/mês",Z2089/OBRA!$D$12,IF(AF2089="R$/m²",Z2089/OBRA!$D$10,IF(AF2089="R$/apto",Orçamento!Z2089/OBRA!$D$11,""))))),"")</f>
        <v>188.03001714979698</v>
      </c>
      <c r="AF2089" s="241" t="s">
        <v>154</v>
      </c>
    </row>
    <row r="2090" spans="1:32" s="10" customFormat="1" ht="13.15" customHeight="1" outlineLevel="2" collapsed="1" x14ac:dyDescent="0.2">
      <c r="A2090" s="227"/>
      <c r="B2090" s="228" t="s">
        <v>2</v>
      </c>
      <c r="C2090" s="229" t="str">
        <f t="shared" si="1707"/>
        <v/>
      </c>
      <c r="D2090" s="227" t="str">
        <f t="shared" ca="1" si="1745"/>
        <v>20.001</v>
      </c>
      <c r="E2090" s="228" t="str">
        <f t="shared" ca="1" si="1746"/>
        <v>19.001.003.001</v>
      </c>
      <c r="F2090" s="230">
        <f ca="1">IF($B2090="UNIDADE CONSTRUTIVA",OFFSET(F2090,-1,0)+1,LARGE(F$10:F2089,1))</f>
        <v>2</v>
      </c>
      <c r="G2090" s="228" t="str">
        <f t="shared" ca="1" si="1712"/>
        <v xml:space="preserve">   GERENCIAMENTO EXECUTIVO</v>
      </c>
      <c r="H2090" s="230">
        <f t="shared" ca="1" si="1747"/>
        <v>20</v>
      </c>
      <c r="I2090" s="228" t="str">
        <f t="shared" ca="1" si="1713"/>
        <v xml:space="preserve">   REVESTIMENTOS E ACABAMENTOS DE FACHADA</v>
      </c>
      <c r="J2090" s="230">
        <f t="shared" ca="1" si="1748"/>
        <v>1</v>
      </c>
      <c r="K2090" s="228" t="str">
        <f t="shared" ca="1" si="1714"/>
        <v xml:space="preserve">   REVESTIMENTOS E ACABAMENTOS DE FACHADA</v>
      </c>
      <c r="L2090" s="231">
        <f t="shared" ca="1" si="1749"/>
        <v>0</v>
      </c>
      <c r="M2090" s="228" t="str">
        <f t="shared" ca="1" si="1715"/>
        <v xml:space="preserve">   Mão de Obra</v>
      </c>
      <c r="N2090" s="231">
        <f t="shared" ca="1" si="1750"/>
        <v>1</v>
      </c>
      <c r="O2090" s="228" t="str">
        <f t="shared" ca="1" si="1716"/>
        <v>Mao de obra para fixacao de Telhados</v>
      </c>
      <c r="P2090" s="232" t="str">
        <f>IF(S2090="","",IF(Orçamento!$B2090="INSUMO",S2090,""))</f>
        <v/>
      </c>
      <c r="Q2090" s="244" t="str">
        <f t="shared" si="1751"/>
        <v/>
      </c>
      <c r="R2090" s="234">
        <f t="shared" ca="1" si="1710"/>
        <v>65.67</v>
      </c>
      <c r="S2090" s="233" t="s">
        <v>552</v>
      </c>
      <c r="T2090" s="242" t="s">
        <v>35</v>
      </c>
      <c r="U2090" s="235" t="str">
        <f>IF($B2090="insumo",R2090,"")</f>
        <v/>
      </c>
      <c r="V2090" s="320" t="s">
        <v>35</v>
      </c>
      <c r="W2090" s="236" t="str">
        <f>IFERROR(IF(B2090="INSUMO",_xlfn.XLOOKUP(S2090,Insumos!A:A,Insumos!C:C),""),"Inserir Preço")</f>
        <v/>
      </c>
      <c r="X2090" s="235" t="str">
        <f t="shared" ca="1" si="1711"/>
        <v/>
      </c>
      <c r="Y2090" s="236" t="str">
        <f t="shared" si="1752"/>
        <v/>
      </c>
      <c r="Z2090" s="237">
        <f t="shared" ca="1" si="1708"/>
        <v>365385.57022599998</v>
      </c>
      <c r="AA2090" s="238"/>
      <c r="AB2090" s="233" t="str">
        <f>IF(B2090="insumo",_xlfn.XLOOKUP(S2090,Insumos!A:A,Insumos!D:D),"")</f>
        <v/>
      </c>
      <c r="AC2090" s="239">
        <f t="shared" ca="1" si="1709"/>
        <v>5.2417891343892915E-2</v>
      </c>
      <c r="AE2090" s="240">
        <f ca="1">IFERROR(IF(OR(Z2090="",Z2090=0),"",IF(AF2090="","",IF(AF2090="R$/mês",Z2090/OBRA!$D$12,IF(AF2090="R$/m²",Z2090/OBRA!$D$10,IF(AF2090="R$/apto",Orçamento!Z2090/OBRA!$D$11,""))))),"")</f>
        <v>188.03001714979698</v>
      </c>
      <c r="AF2090" s="241" t="s">
        <v>154</v>
      </c>
    </row>
    <row r="2091" spans="1:32" s="10" customFormat="1" ht="13.15" hidden="1" customHeight="1" outlineLevel="3" collapsed="1" x14ac:dyDescent="0.2">
      <c r="A2091" s="227"/>
      <c r="B2091" s="228" t="s">
        <v>3</v>
      </c>
      <c r="C2091" s="229" t="str">
        <f t="shared" si="1707"/>
        <v/>
      </c>
      <c r="D2091" s="227" t="str">
        <f t="shared" ca="1" si="1745"/>
        <v>20.001.001</v>
      </c>
      <c r="E2091" s="228" t="str">
        <f t="shared" ca="1" si="1746"/>
        <v>19.001.003.001</v>
      </c>
      <c r="F2091" s="230">
        <f ca="1">IF($B2091="UNIDADE CONSTRUTIVA",OFFSET(F2091,-1,0)+1,LARGE(F$10:F2090,1))</f>
        <v>2</v>
      </c>
      <c r="G2091" s="228" t="str">
        <f t="shared" ca="1" si="1712"/>
        <v xml:space="preserve">   GERENCIAMENTO EXECUTIVO</v>
      </c>
      <c r="H2091" s="230">
        <f t="shared" ca="1" si="1747"/>
        <v>20</v>
      </c>
      <c r="I2091" s="228" t="str">
        <f t="shared" ca="1" si="1713"/>
        <v xml:space="preserve">   REVESTIMENTOS E ACABAMENTOS DE FACHADA</v>
      </c>
      <c r="J2091" s="230">
        <f t="shared" ca="1" si="1748"/>
        <v>1</v>
      </c>
      <c r="K2091" s="228" t="str">
        <f t="shared" ca="1" si="1714"/>
        <v xml:space="preserve">   REVESTIMENTOS E ACABAMENTOS DE FACHADA</v>
      </c>
      <c r="L2091" s="231">
        <f t="shared" ca="1" si="1749"/>
        <v>1</v>
      </c>
      <c r="M2091" s="228" t="str">
        <f t="shared" ca="1" si="1715"/>
        <v xml:space="preserve">   Revestimento Argamassado em Fachada</v>
      </c>
      <c r="N2091" s="231">
        <f t="shared" ca="1" si="1750"/>
        <v>0</v>
      </c>
      <c r="O2091" s="228" t="str">
        <f t="shared" ca="1" si="1716"/>
        <v>Mao de obra para fixacao de Telhados</v>
      </c>
      <c r="P2091" s="232" t="str">
        <f>IF(S2091="","",IF(Orçamento!$B2091="INSUMO",S2091,""))</f>
        <v/>
      </c>
      <c r="Q2091" s="244" t="str">
        <f t="shared" si="1751"/>
        <v/>
      </c>
      <c r="R2091" s="234">
        <f t="shared" ca="1" si="1710"/>
        <v>65.67</v>
      </c>
      <c r="S2091" s="233" t="s">
        <v>512</v>
      </c>
      <c r="T2091" s="242" t="s">
        <v>35</v>
      </c>
      <c r="U2091" s="235" t="str">
        <f>IF($B2091="insumo",R2091,"")</f>
        <v/>
      </c>
      <c r="V2091" s="320" t="s">
        <v>35</v>
      </c>
      <c r="W2091" s="236" t="str">
        <f>IFERROR(IF(B2091="INSUMO",_xlfn.XLOOKUP(S2091,Insumos!A:A,Insumos!C:C),""),"Inserir Preço")</f>
        <v/>
      </c>
      <c r="X2091" s="235" t="str">
        <f t="shared" ca="1" si="1711"/>
        <v/>
      </c>
      <c r="Y2091" s="236" t="str">
        <f t="shared" si="1752"/>
        <v/>
      </c>
      <c r="Z2091" s="237">
        <f t="shared" ca="1" si="1708"/>
        <v>52834.37126</v>
      </c>
      <c r="AA2091" s="238"/>
      <c r="AB2091" s="233" t="str">
        <f>IF(B2091="insumo",_xlfn.XLOOKUP(S2091,Insumos!A:A,Insumos!D:D),"")</f>
        <v/>
      </c>
      <c r="AC2091" s="239">
        <f t="shared" ca="1" si="1709"/>
        <v>7.5795722590155795E-3</v>
      </c>
      <c r="AE2091" s="240">
        <f ca="1">IFERROR(IF(OR(Z2091="",Z2091=0),"",IF(AF2091="","",IF(AF2091="R$/mês",Z2091/OBRA!$D$12,IF(AF2091="R$/m²",Z2091/OBRA!$D$10,IF(AF2091="R$/apto",Orçamento!Z2091/OBRA!$D$11,""))))),"")</f>
        <v>27.188943799756075</v>
      </c>
      <c r="AF2091" s="241" t="s">
        <v>154</v>
      </c>
    </row>
    <row r="2092" spans="1:32" s="10" customFormat="1" ht="13.15" hidden="1" customHeight="1" outlineLevel="4" x14ac:dyDescent="0.2">
      <c r="A2092" s="227"/>
      <c r="B2092" s="228" t="s">
        <v>4</v>
      </c>
      <c r="C2092" s="229">
        <f t="shared" si="1707"/>
        <v>6</v>
      </c>
      <c r="D2092" s="227" t="str">
        <f t="shared" ca="1" si="1745"/>
        <v>20.001.001.001</v>
      </c>
      <c r="E2092" s="228" t="str">
        <f t="shared" ca="1" si="1746"/>
        <v>20.001.001.001</v>
      </c>
      <c r="F2092" s="230">
        <f ca="1">IF($B2092="UNIDADE CONSTRUTIVA",OFFSET(F2092,-1,0)+1,LARGE(F$10:F2091,1))</f>
        <v>2</v>
      </c>
      <c r="G2092" s="228" t="str">
        <f t="shared" ca="1" si="1712"/>
        <v xml:space="preserve">   GERENCIAMENTO EXECUTIVO</v>
      </c>
      <c r="H2092" s="230">
        <f t="shared" ca="1" si="1747"/>
        <v>20</v>
      </c>
      <c r="I2092" s="228" t="str">
        <f t="shared" ca="1" si="1713"/>
        <v xml:space="preserve">   REVESTIMENTOS E ACABAMENTOS DE FACHADA</v>
      </c>
      <c r="J2092" s="230">
        <f t="shared" ca="1" si="1748"/>
        <v>1</v>
      </c>
      <c r="K2092" s="228" t="str">
        <f t="shared" ca="1" si="1714"/>
        <v xml:space="preserve">   REVESTIMENTOS E ACABAMENTOS DE FACHADA</v>
      </c>
      <c r="L2092" s="231">
        <f t="shared" ca="1" si="1749"/>
        <v>1</v>
      </c>
      <c r="M2092" s="228" t="str">
        <f t="shared" ca="1" si="1715"/>
        <v xml:space="preserve">   Revestimento Argamassado em Fachada</v>
      </c>
      <c r="N2092" s="231">
        <f t="shared" ca="1" si="1750"/>
        <v>1</v>
      </c>
      <c r="O2092" s="228" t="str">
        <f t="shared" ca="1" si="1716"/>
        <v>Chapisco aplicado em estruturas de concreto, com desempenadeira dentada, de argamassa industrializada</v>
      </c>
      <c r="P2092" s="232" t="str">
        <f>IF(S2092="","",IF(Orçamento!$B2092="INSUMO",S2092,""))</f>
        <v/>
      </c>
      <c r="Q2092" s="244" t="str">
        <f t="shared" si="1751"/>
        <v>Chapisco aplicado em estruturas de concreto, com desempenadeira dentada, de argamassa industrializada</v>
      </c>
      <c r="R2092" s="234">
        <f t="shared" ca="1" si="1710"/>
        <v>650.13000000000011</v>
      </c>
      <c r="S2092" s="233" t="s">
        <v>479</v>
      </c>
      <c r="T2092" s="242" t="s">
        <v>140</v>
      </c>
      <c r="U2092" s="235">
        <v>650.13000000000011</v>
      </c>
      <c r="V2092" s="320" t="s">
        <v>35</v>
      </c>
      <c r="W2092" s="236" t="str">
        <f>IFERROR(IF(B2092="INSUMO",_xlfn.XLOOKUP(S2092,Insumos!A:A,Insumos!C:C),""),"Inserir Preço")</f>
        <v/>
      </c>
      <c r="X2092" s="235">
        <f t="shared" ca="1" si="1711"/>
        <v>650.13000000000011</v>
      </c>
      <c r="Y2092" s="236">
        <f t="shared" ca="1" si="1752"/>
        <v>5.5020000000000007</v>
      </c>
      <c r="Z2092" s="237">
        <f t="shared" ca="1" si="1708"/>
        <v>3577.015260000001</v>
      </c>
      <c r="AA2092" s="238"/>
      <c r="AB2092" s="233" t="str">
        <f>IF(B2092="insumo",_xlfn.XLOOKUP(S2092,Insumos!A:A,Insumos!D:D),"")</f>
        <v/>
      </c>
      <c r="AC2092" s="239">
        <f t="shared" ca="1" si="1709"/>
        <v>5.1315545142670467E-4</v>
      </c>
      <c r="AE2092" s="240">
        <f ca="1">IFERROR(IF(OR(Z2092="",Z2092=0),"",IF(AF2092="","",IF(AF2092="R$/mês",Z2092/OBRA!$D$12,IF(AF2092="R$/m²",Z2092/OBRA!$D$10,IF(AF2092="R$/apto",Orçamento!Z2092/OBRA!$D$11,""))))),"")</f>
        <v>1.8407575325617662</v>
      </c>
      <c r="AF2092" s="241" t="s">
        <v>154</v>
      </c>
    </row>
    <row r="2093" spans="1:32" s="10" customFormat="1" ht="13.15" hidden="1" customHeight="1" outlineLevel="4" x14ac:dyDescent="0.2">
      <c r="A2093" s="227"/>
      <c r="B2093" s="228" t="s">
        <v>19</v>
      </c>
      <c r="C2093" s="229">
        <f t="shared" si="1707"/>
        <v>11</v>
      </c>
      <c r="D2093" s="227" t="str">
        <f t="shared" si="1745"/>
        <v/>
      </c>
      <c r="E2093" s="228" t="str">
        <f t="shared" ca="1" si="1746"/>
        <v>20.001.001.001</v>
      </c>
      <c r="F2093" s="230">
        <f ca="1">IF($B2093="UNIDADE CONSTRUTIVA",OFFSET(F2093,-1,0)+1,LARGE(F$10:F2092,1))</f>
        <v>2</v>
      </c>
      <c r="G2093" s="228" t="str">
        <f t="shared" ca="1" si="1712"/>
        <v xml:space="preserve">   GERENCIAMENTO EXECUTIVO</v>
      </c>
      <c r="H2093" s="230">
        <f t="shared" ca="1" si="1747"/>
        <v>20</v>
      </c>
      <c r="I2093" s="228" t="str">
        <f t="shared" ca="1" si="1713"/>
        <v xml:space="preserve">   REVESTIMENTOS E ACABAMENTOS DE FACHADA</v>
      </c>
      <c r="J2093" s="230">
        <f t="shared" ca="1" si="1748"/>
        <v>1</v>
      </c>
      <c r="K2093" s="228" t="str">
        <f t="shared" ca="1" si="1714"/>
        <v xml:space="preserve">   REVESTIMENTOS E ACABAMENTOS DE FACHADA</v>
      </c>
      <c r="L2093" s="231">
        <f t="shared" ca="1" si="1749"/>
        <v>1</v>
      </c>
      <c r="M2093" s="228" t="str">
        <f t="shared" ca="1" si="1715"/>
        <v xml:space="preserve">   Revestimento Argamassado em Fachada</v>
      </c>
      <c r="N2093" s="231">
        <f t="shared" ca="1" si="1750"/>
        <v>1</v>
      </c>
      <c r="O2093" s="228" t="str">
        <f t="shared" ca="1" si="1716"/>
        <v>Chapisco aplicado em estruturas de concreto, com desempenadeira dentada, de argamassa industrializada</v>
      </c>
      <c r="P2093" s="232" t="str">
        <f>IF(S2093="","",IF(Orçamento!$B2093="INSUMO",S2093,""))</f>
        <v>CHAPISCO COLANTE 20KG</v>
      </c>
      <c r="Q2093" s="244" t="str">
        <f t="shared" si="1751"/>
        <v/>
      </c>
      <c r="R2093" s="234">
        <f t="shared" ca="1" si="1710"/>
        <v>650.13000000000011</v>
      </c>
      <c r="S2093" s="233" t="s">
        <v>1027</v>
      </c>
      <c r="T2093" s="242" t="str">
        <f>_xlfn.XLOOKUP(S2093,Insumos!$A$3:$A$371,Insumos!$B$3:$B$371)</f>
        <v>KG</v>
      </c>
      <c r="U2093" s="235">
        <f ca="1">IF($B2093="insumo",R2093,"")</f>
        <v>650.13000000000011</v>
      </c>
      <c r="V2093" s="320">
        <v>4.2</v>
      </c>
      <c r="W2093" s="236">
        <f>IFERROR(IF(B2093="INSUMO",_xlfn.XLOOKUP(S2093,Insumos!A:A,Insumos!C:C),""),"Inserir Preço")</f>
        <v>1.31</v>
      </c>
      <c r="X2093" s="235">
        <f t="shared" ca="1" si="1711"/>
        <v>2730.5460000000007</v>
      </c>
      <c r="Y2093" s="236">
        <f t="shared" si="1752"/>
        <v>5.5020000000000007</v>
      </c>
      <c r="Z2093" s="237">
        <f t="shared" ca="1" si="1708"/>
        <v>3577.015260000001</v>
      </c>
      <c r="AA2093" s="238"/>
      <c r="AB2093" s="233" t="str">
        <f>IF(B2093="insumo",_xlfn.XLOOKUP(S2093,Insumos!A:A,Insumos!D:D),"")</f>
        <v xml:space="preserve"> </v>
      </c>
      <c r="AC2093" s="239">
        <f t="shared" ca="1" si="1709"/>
        <v>5.1315545142670467E-4</v>
      </c>
      <c r="AE2093" s="240">
        <f ca="1">IFERROR(IF(OR(Z2093="",Z2093=0),"",IF(AF2093="","",IF(AF2093="R$/mês",Z2093/OBRA!$D$12,IF(AF2093="R$/m²",Z2093/OBRA!$D$10,IF(AF2093="R$/apto",Orçamento!Z2093/OBRA!$D$11,""))))),"")</f>
        <v>1.8407575325617662</v>
      </c>
      <c r="AF2093" s="241" t="s">
        <v>154</v>
      </c>
    </row>
    <row r="2094" spans="1:32" s="10" customFormat="1" ht="13.15" hidden="1" customHeight="1" outlineLevel="4" x14ac:dyDescent="0.2">
      <c r="A2094" s="227"/>
      <c r="B2094" s="228" t="s">
        <v>4</v>
      </c>
      <c r="C2094" s="229">
        <f t="shared" si="1707"/>
        <v>1</v>
      </c>
      <c r="D2094" s="227" t="str">
        <f t="shared" ca="1" si="1745"/>
        <v>20.001.001.002</v>
      </c>
      <c r="E2094" s="228" t="str">
        <f t="shared" ca="1" si="1746"/>
        <v>20.001.001.002</v>
      </c>
      <c r="F2094" s="230">
        <f ca="1">IF($B2094="UNIDADE CONSTRUTIVA",OFFSET(F2094,-1,0)+1,LARGE(F$10:F2093,1))</f>
        <v>2</v>
      </c>
      <c r="G2094" s="228" t="str">
        <f t="shared" ca="1" si="1712"/>
        <v xml:space="preserve">   GERENCIAMENTO EXECUTIVO</v>
      </c>
      <c r="H2094" s="230">
        <f t="shared" ca="1" si="1747"/>
        <v>20</v>
      </c>
      <c r="I2094" s="228" t="str">
        <f t="shared" ca="1" si="1713"/>
        <v xml:space="preserve">   REVESTIMENTOS E ACABAMENTOS DE FACHADA</v>
      </c>
      <c r="J2094" s="230">
        <f t="shared" ca="1" si="1748"/>
        <v>1</v>
      </c>
      <c r="K2094" s="228" t="str">
        <f t="shared" ca="1" si="1714"/>
        <v xml:space="preserve">   REVESTIMENTOS E ACABAMENTOS DE FACHADA</v>
      </c>
      <c r="L2094" s="231">
        <f t="shared" ca="1" si="1749"/>
        <v>1</v>
      </c>
      <c r="M2094" s="228" t="str">
        <f t="shared" ca="1" si="1715"/>
        <v xml:space="preserve">   Revestimento Argamassado em Fachada</v>
      </c>
      <c r="N2094" s="231">
        <f t="shared" ca="1" si="1750"/>
        <v>2</v>
      </c>
      <c r="O2094" s="228" t="str">
        <f t="shared" ca="1" si="1716"/>
        <v>Chapisco aplicado em alvenarias externas, com colher de pedreiro, de argamassa estabilizada</v>
      </c>
      <c r="P2094" s="232" t="str">
        <f>IF(S2094="","",IF(Orçamento!$B2094="INSUMO",S2094,""))</f>
        <v/>
      </c>
      <c r="Q2094" s="244" t="str">
        <f t="shared" si="1751"/>
        <v>Chapisco aplicado em alvenarias externas, com colher de pedreiro, de argamassa estabilizada</v>
      </c>
      <c r="R2094" s="234">
        <f t="shared" ca="1" si="1710"/>
        <v>1227.8999999999999</v>
      </c>
      <c r="S2094" s="233" t="s">
        <v>513</v>
      </c>
      <c r="T2094" s="242" t="s">
        <v>140</v>
      </c>
      <c r="U2094" s="235">
        <v>1227.8999999999999</v>
      </c>
      <c r="V2094" s="320" t="s">
        <v>35</v>
      </c>
      <c r="W2094" s="236" t="str">
        <f>IFERROR(IF(B2094="INSUMO",_xlfn.XLOOKUP(S2094,Insumos!A:A,Insumos!C:C),""),"Inserir Preço")</f>
        <v/>
      </c>
      <c r="X2094" s="235">
        <f t="shared" ca="1" si="1711"/>
        <v>1227.8999999999999</v>
      </c>
      <c r="Y2094" s="236">
        <f t="shared" ca="1" si="1752"/>
        <v>9.24</v>
      </c>
      <c r="Z2094" s="237">
        <f t="shared" ca="1" si="1708"/>
        <v>11345.795999999998</v>
      </c>
      <c r="AA2094" s="238"/>
      <c r="AB2094" s="233" t="str">
        <f>IF(B2094="insumo",_xlfn.XLOOKUP(S2094,Insumos!A:A,Insumos!D:D),"")</f>
        <v/>
      </c>
      <c r="AC2094" s="239">
        <f t="shared" ca="1" si="1709"/>
        <v>1.627657878142599E-3</v>
      </c>
      <c r="AE2094" s="240">
        <f ca="1">IFERROR(IF(OR(Z2094="",Z2094=0),"",IF(AF2094="","",IF(AF2094="R$/mês",Z2094/OBRA!$D$12,IF(AF2094="R$/m²",Z2094/OBRA!$D$10,IF(AF2094="R$/apto",Orçamento!Z2094/OBRA!$D$11,""))))),"")</f>
        <v>5.8386274398810221</v>
      </c>
      <c r="AF2094" s="241" t="s">
        <v>154</v>
      </c>
    </row>
    <row r="2095" spans="1:32" s="10" customFormat="1" ht="13.15" hidden="1" customHeight="1" outlineLevel="4" x14ac:dyDescent="0.2">
      <c r="A2095" s="227"/>
      <c r="B2095" s="228" t="s">
        <v>19</v>
      </c>
      <c r="C2095" s="229">
        <f t="shared" si="1707"/>
        <v>6</v>
      </c>
      <c r="D2095" s="227" t="str">
        <f t="shared" si="1745"/>
        <v/>
      </c>
      <c r="E2095" s="228" t="str">
        <f t="shared" ca="1" si="1746"/>
        <v>20.001.001.002</v>
      </c>
      <c r="F2095" s="230">
        <f ca="1">IF($B2095="UNIDADE CONSTRUTIVA",OFFSET(F2095,-1,0)+1,LARGE(F$10:F2094,1))</f>
        <v>2</v>
      </c>
      <c r="G2095" s="228" t="str">
        <f t="shared" ca="1" si="1712"/>
        <v xml:space="preserve">   GERENCIAMENTO EXECUTIVO</v>
      </c>
      <c r="H2095" s="230">
        <f t="shared" ca="1" si="1747"/>
        <v>20</v>
      </c>
      <c r="I2095" s="228" t="str">
        <f t="shared" ca="1" si="1713"/>
        <v xml:space="preserve">   REVESTIMENTOS E ACABAMENTOS DE FACHADA</v>
      </c>
      <c r="J2095" s="230">
        <f t="shared" ca="1" si="1748"/>
        <v>1</v>
      </c>
      <c r="K2095" s="228" t="str">
        <f t="shared" ca="1" si="1714"/>
        <v xml:space="preserve">   REVESTIMENTOS E ACABAMENTOS DE FACHADA</v>
      </c>
      <c r="L2095" s="231">
        <f t="shared" ca="1" si="1749"/>
        <v>1</v>
      </c>
      <c r="M2095" s="228" t="str">
        <f t="shared" ca="1" si="1715"/>
        <v xml:space="preserve">   Revestimento Argamassado em Fachada</v>
      </c>
      <c r="N2095" s="231">
        <f t="shared" ca="1" si="1750"/>
        <v>2</v>
      </c>
      <c r="O2095" s="228" t="str">
        <f t="shared" ca="1" si="1716"/>
        <v>Chapisco aplicado em alvenarias externas, com colher de pedreiro, de argamassa estabilizada</v>
      </c>
      <c r="P2095" s="232" t="str">
        <f>IF(S2095="","",IF(Orçamento!$B2095="INSUMO",S2095,""))</f>
        <v>ARGAMASSA ESTABILIZADA PARA CHAPISCO</v>
      </c>
      <c r="Q2095" s="244" t="str">
        <f t="shared" si="1751"/>
        <v/>
      </c>
      <c r="R2095" s="234">
        <f t="shared" ca="1" si="1710"/>
        <v>1227.8999999999999</v>
      </c>
      <c r="S2095" s="233" t="s">
        <v>328</v>
      </c>
      <c r="T2095" s="242" t="str">
        <f>_xlfn.XLOOKUP(S2095,Insumos!$A$3:$A$371,Insumos!$B$3:$B$371)</f>
        <v>M3</v>
      </c>
      <c r="U2095" s="235">
        <f ca="1">IF($B2095="insumo",R2095,"")</f>
        <v>1227.8999999999999</v>
      </c>
      <c r="V2095" s="320">
        <v>2.1999999999999999E-2</v>
      </c>
      <c r="W2095" s="236">
        <f>IFERROR(IF(B2095="INSUMO",_xlfn.XLOOKUP(S2095,Insumos!A:A,Insumos!C:C),""),"Inserir Preço")</f>
        <v>420</v>
      </c>
      <c r="X2095" s="235">
        <f t="shared" ca="1" si="1711"/>
        <v>27.013799999999996</v>
      </c>
      <c r="Y2095" s="236">
        <f t="shared" si="1752"/>
        <v>9.24</v>
      </c>
      <c r="Z2095" s="237">
        <f t="shared" ca="1" si="1708"/>
        <v>11345.795999999998</v>
      </c>
      <c r="AA2095" s="238"/>
      <c r="AB2095" s="233" t="str">
        <f>IF(B2095="insumo",_xlfn.XLOOKUP(S2095,Insumos!A:A,Insumos!D:D),"")</f>
        <v xml:space="preserve"> </v>
      </c>
      <c r="AC2095" s="239">
        <f t="shared" ca="1" si="1709"/>
        <v>1.627657878142599E-3</v>
      </c>
      <c r="AE2095" s="240">
        <f ca="1">IFERROR(IF(OR(Z2095="",Z2095=0),"",IF(AF2095="","",IF(AF2095="R$/mês",Z2095/OBRA!$D$12,IF(AF2095="R$/m²",Z2095/OBRA!$D$10,IF(AF2095="R$/apto",Orçamento!Z2095/OBRA!$D$11,""))))),"")</f>
        <v>5.8386274398810221</v>
      </c>
      <c r="AF2095" s="241" t="s">
        <v>154</v>
      </c>
    </row>
    <row r="2096" spans="1:32" s="10" customFormat="1" ht="13.15" hidden="1" customHeight="1" outlineLevel="4" x14ac:dyDescent="0.2">
      <c r="A2096" s="227"/>
      <c r="B2096" s="228" t="s">
        <v>4</v>
      </c>
      <c r="C2096" s="229">
        <f t="shared" si="1707"/>
        <v>1</v>
      </c>
      <c r="D2096" s="227" t="str">
        <f t="shared" ca="1" si="1745"/>
        <v>20.001.001.003</v>
      </c>
      <c r="E2096" s="228" t="str">
        <f t="shared" ca="1" si="1746"/>
        <v>20.001.001.003</v>
      </c>
      <c r="F2096" s="230">
        <f ca="1">IF($B2096="UNIDADE CONSTRUTIVA",OFFSET(F2096,-1,0)+1,LARGE(F$10:F2095,1))</f>
        <v>2</v>
      </c>
      <c r="G2096" s="228" t="str">
        <f t="shared" ca="1" si="1712"/>
        <v xml:space="preserve">   GERENCIAMENTO EXECUTIVO</v>
      </c>
      <c r="H2096" s="230">
        <f t="shared" ca="1" si="1747"/>
        <v>20</v>
      </c>
      <c r="I2096" s="228" t="str">
        <f t="shared" ca="1" si="1713"/>
        <v xml:space="preserve">   REVESTIMENTOS E ACABAMENTOS DE FACHADA</v>
      </c>
      <c r="J2096" s="230">
        <f t="shared" ca="1" si="1748"/>
        <v>1</v>
      </c>
      <c r="K2096" s="228" t="str">
        <f t="shared" ca="1" si="1714"/>
        <v xml:space="preserve">   REVESTIMENTOS E ACABAMENTOS DE FACHADA</v>
      </c>
      <c r="L2096" s="231">
        <f t="shared" ca="1" si="1749"/>
        <v>1</v>
      </c>
      <c r="M2096" s="228" t="str">
        <f t="shared" ca="1" si="1715"/>
        <v xml:space="preserve">   Revestimento Argamassado em Fachada</v>
      </c>
      <c r="N2096" s="231">
        <f t="shared" ca="1" si="1750"/>
        <v>3</v>
      </c>
      <c r="O2096" s="228" t="str">
        <f t="shared" ca="1" si="1716"/>
        <v>Massa unica para reboco externo em argamassa estabilizada, espessura de 35mm</v>
      </c>
      <c r="P2096" s="232" t="str">
        <f>IF(S2096="","",IF(Orçamento!$B2096="INSUMO",S2096,""))</f>
        <v/>
      </c>
      <c r="Q2096" s="244" t="str">
        <f t="shared" si="1751"/>
        <v>Massa unica para reboco externo em argamassa estabilizada, espessura de 35mm</v>
      </c>
      <c r="R2096" s="234">
        <f t="shared" ca="1" si="1710"/>
        <v>1878.05</v>
      </c>
      <c r="S2096" s="233" t="s">
        <v>514</v>
      </c>
      <c r="T2096" s="242" t="s">
        <v>140</v>
      </c>
      <c r="U2096" s="235">
        <v>1878.05</v>
      </c>
      <c r="V2096" s="320"/>
      <c r="W2096" s="236" t="str">
        <f>IFERROR(IF(B2096="INSUMO",_xlfn.XLOOKUP(S2096,Insumos!A:A,Insumos!C:C),""),"Inserir Preço")</f>
        <v/>
      </c>
      <c r="X2096" s="235">
        <f t="shared" ca="1" si="1711"/>
        <v>1878.05</v>
      </c>
      <c r="Y2096" s="236">
        <f t="shared" ca="1" si="1752"/>
        <v>19.2</v>
      </c>
      <c r="Z2096" s="237">
        <f t="shared" ca="1" si="1708"/>
        <v>36058.559999999998</v>
      </c>
      <c r="AA2096" s="238"/>
      <c r="AB2096" s="233" t="str">
        <f>IF(B2096="insumo",_xlfn.XLOOKUP(S2096,Insumos!A:A,Insumos!D:D),"")</f>
        <v/>
      </c>
      <c r="AC2096" s="239">
        <f t="shared" ca="1" si="1709"/>
        <v>5.1729291852662959E-3</v>
      </c>
      <c r="AE2096" s="240">
        <f ca="1">IFERROR(IF(OR(Z2096="",Z2096=0),"",IF(AF2096="","",IF(AF2096="R$/mês",Z2096/OBRA!$D$12,IF(AF2096="R$/m²",Z2096/OBRA!$D$10,IF(AF2096="R$/apto",Orçamento!Z2096/OBRA!$D$11,""))))),"")</f>
        <v>18.555991828038881</v>
      </c>
      <c r="AF2096" s="241" t="s">
        <v>154</v>
      </c>
    </row>
    <row r="2097" spans="1:32" s="10" customFormat="1" ht="13.15" hidden="1" customHeight="1" outlineLevel="4" x14ac:dyDescent="0.2">
      <c r="A2097" s="227"/>
      <c r="B2097" s="228" t="s">
        <v>19</v>
      </c>
      <c r="C2097" s="229">
        <f t="shared" si="1707"/>
        <v>11</v>
      </c>
      <c r="D2097" s="227" t="str">
        <f t="shared" si="1745"/>
        <v/>
      </c>
      <c r="E2097" s="228" t="str">
        <f t="shared" ca="1" si="1746"/>
        <v>20.001.001.003</v>
      </c>
      <c r="F2097" s="230">
        <f ca="1">IF($B2097="UNIDADE CONSTRUTIVA",OFFSET(F2097,-1,0)+1,LARGE(F$10:F2096,1))</f>
        <v>2</v>
      </c>
      <c r="G2097" s="228" t="str">
        <f t="shared" ca="1" si="1712"/>
        <v xml:space="preserve">   GERENCIAMENTO EXECUTIVO</v>
      </c>
      <c r="H2097" s="230">
        <f t="shared" ca="1" si="1747"/>
        <v>20</v>
      </c>
      <c r="I2097" s="228" t="str">
        <f t="shared" ca="1" si="1713"/>
        <v xml:space="preserve">   REVESTIMENTOS E ACABAMENTOS DE FACHADA</v>
      </c>
      <c r="J2097" s="230">
        <f t="shared" ca="1" si="1748"/>
        <v>1</v>
      </c>
      <c r="K2097" s="228" t="str">
        <f t="shared" ca="1" si="1714"/>
        <v xml:space="preserve">   REVESTIMENTOS E ACABAMENTOS DE FACHADA</v>
      </c>
      <c r="L2097" s="231">
        <f t="shared" ca="1" si="1749"/>
        <v>1</v>
      </c>
      <c r="M2097" s="228" t="str">
        <f t="shared" ca="1" si="1715"/>
        <v xml:space="preserve">   Revestimento Argamassado em Fachada</v>
      </c>
      <c r="N2097" s="231">
        <f t="shared" ca="1" si="1750"/>
        <v>3</v>
      </c>
      <c r="O2097" s="228" t="str">
        <f t="shared" ca="1" si="1716"/>
        <v>Massa unica para reboco externo em argamassa estabilizada, espessura de 35mm</v>
      </c>
      <c r="P2097" s="232" t="str">
        <f>IF(S2097="","",IF(Orçamento!$B2097="INSUMO",S2097,""))</f>
        <v>ARGAMASSA ESTABILIZADA PARA REBOCO</v>
      </c>
      <c r="Q2097" s="244" t="str">
        <f t="shared" si="1751"/>
        <v/>
      </c>
      <c r="R2097" s="234">
        <f t="shared" ca="1" si="1710"/>
        <v>1878.05</v>
      </c>
      <c r="S2097" s="233" t="s">
        <v>256</v>
      </c>
      <c r="T2097" s="242" t="str">
        <f>_xlfn.XLOOKUP(S2097,Insumos!$A$3:$A$371,Insumos!$B$3:$B$371)</f>
        <v>M3</v>
      </c>
      <c r="U2097" s="235">
        <f ca="1">IF($B2097="insumo",R2097,"")</f>
        <v>1878.05</v>
      </c>
      <c r="V2097" s="320">
        <v>0.04</v>
      </c>
      <c r="W2097" s="236">
        <f>IFERROR(IF(B2097="INSUMO",_xlfn.XLOOKUP(S2097,Insumos!A:A,Insumos!C:C),""),"Inserir Preço")</f>
        <v>480</v>
      </c>
      <c r="X2097" s="235">
        <f t="shared" ca="1" si="1711"/>
        <v>75.122</v>
      </c>
      <c r="Y2097" s="236">
        <f t="shared" si="1752"/>
        <v>19.2</v>
      </c>
      <c r="Z2097" s="237">
        <f t="shared" ca="1" si="1708"/>
        <v>36058.559999999998</v>
      </c>
      <c r="AA2097" s="238"/>
      <c r="AB2097" s="233" t="str">
        <f>IF(B2097="insumo",_xlfn.XLOOKUP(S2097,Insumos!A:A,Insumos!D:D),"")</f>
        <v xml:space="preserve"> </v>
      </c>
      <c r="AC2097" s="239">
        <f t="shared" ca="1" si="1709"/>
        <v>5.1729291852662959E-3</v>
      </c>
      <c r="AE2097" s="240">
        <f ca="1">IFERROR(IF(OR(Z2097="",Z2097=0),"",IF(AF2097="","",IF(AF2097="R$/mês",Z2097/OBRA!$D$12,IF(AF2097="R$/m²",Z2097/OBRA!$D$10,IF(AF2097="R$/apto",Orçamento!Z2097/OBRA!$D$11,""))))),"")</f>
        <v>18.555991828038881</v>
      </c>
      <c r="AF2097" s="241" t="s">
        <v>154</v>
      </c>
    </row>
    <row r="2098" spans="1:32" s="10" customFormat="1" ht="13.15" hidden="1" customHeight="1" outlineLevel="4" x14ac:dyDescent="0.2">
      <c r="A2098" s="227"/>
      <c r="B2098" s="228" t="s">
        <v>4</v>
      </c>
      <c r="C2098" s="229">
        <f t="shared" si="1707"/>
        <v>1</v>
      </c>
      <c r="D2098" s="227" t="str">
        <f t="shared" ca="1" si="1745"/>
        <v>20.001.001.004</v>
      </c>
      <c r="E2098" s="228" t="str">
        <f t="shared" ca="1" si="1746"/>
        <v>20.001.001.004</v>
      </c>
      <c r="F2098" s="230">
        <f ca="1">IF($B2098="UNIDADE CONSTRUTIVA",OFFSET(F2098,-1,0)+1,LARGE(F$10:F2097,1))</f>
        <v>2</v>
      </c>
      <c r="G2098" s="228" t="str">
        <f t="shared" ca="1" si="1712"/>
        <v xml:space="preserve">   GERENCIAMENTO EXECUTIVO</v>
      </c>
      <c r="H2098" s="230">
        <f t="shared" ca="1" si="1747"/>
        <v>20</v>
      </c>
      <c r="I2098" s="228" t="str">
        <f t="shared" ca="1" si="1713"/>
        <v xml:space="preserve">   REVESTIMENTOS E ACABAMENTOS DE FACHADA</v>
      </c>
      <c r="J2098" s="230">
        <f t="shared" ca="1" si="1748"/>
        <v>1</v>
      </c>
      <c r="K2098" s="228" t="str">
        <f t="shared" ca="1" si="1714"/>
        <v xml:space="preserve">   REVESTIMENTOS E ACABAMENTOS DE FACHADA</v>
      </c>
      <c r="L2098" s="231">
        <f t="shared" ca="1" si="1749"/>
        <v>1</v>
      </c>
      <c r="M2098" s="228" t="str">
        <f t="shared" ca="1" si="1715"/>
        <v xml:space="preserve">   Revestimento Argamassado em Fachada</v>
      </c>
      <c r="N2098" s="231">
        <f t="shared" ca="1" si="1750"/>
        <v>4</v>
      </c>
      <c r="O2098" s="228" t="str">
        <f t="shared" ca="1" si="1716"/>
        <v>Tela Soldada para Ligacao Alvenaria/Estrutura em Chapisco Externo 7,5x50cm</v>
      </c>
      <c r="P2098" s="232" t="str">
        <f>IF(S2098="","",IF(Orçamento!$B2098="INSUMO",S2098,""))</f>
        <v/>
      </c>
      <c r="Q2098" s="244" t="str">
        <f t="shared" si="1751"/>
        <v>Tela Soldada para Ligacao Alvenaria/Estrutura em Chapisco Externo 7,5x50cm</v>
      </c>
      <c r="R2098" s="234">
        <f t="shared" ca="1" si="1710"/>
        <v>1090</v>
      </c>
      <c r="S2098" s="233" t="s">
        <v>515</v>
      </c>
      <c r="T2098" s="242" t="s">
        <v>142</v>
      </c>
      <c r="U2098" s="235">
        <f>ROUNDUP(U2096*0.58,)</f>
        <v>1090</v>
      </c>
      <c r="V2098" s="320" t="s">
        <v>35</v>
      </c>
      <c r="W2098" s="236" t="str">
        <f>IFERROR(IF(B2098="INSUMO",_xlfn.XLOOKUP(S2098,Insumos!A:A,Insumos!C:C),""),"Inserir Preço")</f>
        <v/>
      </c>
      <c r="X2098" s="235">
        <f t="shared" ca="1" si="1711"/>
        <v>1090</v>
      </c>
      <c r="Y2098" s="236">
        <f t="shared" ca="1" si="1752"/>
        <v>1.7000000000000002</v>
      </c>
      <c r="Z2098" s="237">
        <f t="shared" ca="1" si="1708"/>
        <v>1853.0000000000002</v>
      </c>
      <c r="AA2098" s="238"/>
      <c r="AB2098" s="233" t="str">
        <f>IF(B2098="insumo",_xlfn.XLOOKUP(S2098,Insumos!A:A,Insumos!D:D),"")</f>
        <v/>
      </c>
      <c r="AC2098" s="239">
        <f t="shared" ca="1" si="1709"/>
        <v>2.6582974417997966E-4</v>
      </c>
      <c r="AE2098" s="240">
        <f ca="1">IFERROR(IF(OR(Z2098="",Z2098=0),"",IF(AF2098="","",IF(AF2098="R$/mês",Z2098/OBRA!$D$12,IF(AF2098="R$/m²",Z2098/OBRA!$D$10,IF(AF2098="R$/apto",Orçamento!Z2098/OBRA!$D$11,""))))),"")</f>
        <v>0.95356699927440403</v>
      </c>
      <c r="AF2098" s="241" t="s">
        <v>154</v>
      </c>
    </row>
    <row r="2099" spans="1:32" s="10" customFormat="1" ht="13.15" hidden="1" customHeight="1" outlineLevel="4" x14ac:dyDescent="0.2">
      <c r="A2099" s="227"/>
      <c r="B2099" s="228" t="s">
        <v>19</v>
      </c>
      <c r="C2099" s="229">
        <f t="shared" si="1707"/>
        <v>6</v>
      </c>
      <c r="D2099" s="227" t="str">
        <f t="shared" si="1745"/>
        <v/>
      </c>
      <c r="E2099" s="228" t="str">
        <f t="shared" ca="1" si="1746"/>
        <v>20.001.001.004</v>
      </c>
      <c r="F2099" s="230">
        <f ca="1">IF($B2099="UNIDADE CONSTRUTIVA",OFFSET(F2099,-1,0)+1,LARGE(F$10:F2098,1))</f>
        <v>2</v>
      </c>
      <c r="G2099" s="228" t="str">
        <f t="shared" ca="1" si="1712"/>
        <v xml:space="preserve">   GERENCIAMENTO EXECUTIVO</v>
      </c>
      <c r="H2099" s="230">
        <f t="shared" ca="1" si="1747"/>
        <v>20</v>
      </c>
      <c r="I2099" s="228" t="str">
        <f t="shared" ca="1" si="1713"/>
        <v xml:space="preserve">   REVESTIMENTOS E ACABAMENTOS DE FACHADA</v>
      </c>
      <c r="J2099" s="230">
        <f t="shared" ca="1" si="1748"/>
        <v>1</v>
      </c>
      <c r="K2099" s="228" t="str">
        <f t="shared" ca="1" si="1714"/>
        <v xml:space="preserve">   REVESTIMENTOS E ACABAMENTOS DE FACHADA</v>
      </c>
      <c r="L2099" s="231">
        <f t="shared" ca="1" si="1749"/>
        <v>1</v>
      </c>
      <c r="M2099" s="228" t="str">
        <f t="shared" ca="1" si="1715"/>
        <v xml:space="preserve">   Revestimento Argamassado em Fachada</v>
      </c>
      <c r="N2099" s="231">
        <f t="shared" ca="1" si="1750"/>
        <v>4</v>
      </c>
      <c r="O2099" s="228" t="str">
        <f t="shared" ca="1" si="1716"/>
        <v>Tela Soldada para Ligacao Alvenaria/Estrutura em Chapisco Externo 7,5x50cm</v>
      </c>
      <c r="P2099" s="232" t="str">
        <f>IF(S2099="","",IF(Orçamento!$B2099="INSUMO",S2099,""))</f>
        <v>TELA AMARRAÇÃO MALHA 15 X 15MM - 7,5 X 50CM D= 1,24MM</v>
      </c>
      <c r="Q2099" s="244" t="str">
        <f t="shared" si="1751"/>
        <v/>
      </c>
      <c r="R2099" s="234">
        <f t="shared" ca="1" si="1710"/>
        <v>1090</v>
      </c>
      <c r="S2099" s="233" t="s">
        <v>213</v>
      </c>
      <c r="T2099" s="242" t="str">
        <f>_xlfn.XLOOKUP(S2099,Insumos!$A$3:$A$371,Insumos!$B$3:$B$371)</f>
        <v>UN</v>
      </c>
      <c r="U2099" s="235">
        <f ca="1">IF($B2099="insumo",R2099,"")</f>
        <v>1090</v>
      </c>
      <c r="V2099" s="320">
        <v>1</v>
      </c>
      <c r="W2099" s="236">
        <f>IFERROR(IF(B2099="INSUMO",_xlfn.XLOOKUP(S2099,Insumos!A:A,Insumos!C:C),""),"Inserir Preço")</f>
        <v>1.1000000000000001</v>
      </c>
      <c r="X2099" s="235">
        <f t="shared" ca="1" si="1711"/>
        <v>1090</v>
      </c>
      <c r="Y2099" s="236">
        <f t="shared" si="1752"/>
        <v>1.1000000000000001</v>
      </c>
      <c r="Z2099" s="237">
        <f t="shared" ca="1" si="1708"/>
        <v>1199</v>
      </c>
      <c r="AA2099" s="238"/>
      <c r="AB2099" s="233" t="str">
        <f>IF(B2099="insumo",_xlfn.XLOOKUP(S2099,Insumos!A:A,Insumos!D:D),"")</f>
        <v>Base de dados</v>
      </c>
      <c r="AC2099" s="239">
        <f t="shared" ca="1" si="1709"/>
        <v>1.7200748152822212E-4</v>
      </c>
      <c r="AE2099" s="240">
        <f ca="1">IFERROR(IF(OR(Z2099="",Z2099=0),"",IF(AF2099="","",IF(AF2099="R$/mês",Z2099/OBRA!$D$12,IF(AF2099="R$/m²",Z2099/OBRA!$D$10,IF(AF2099="R$/apto",Orçamento!Z2099/OBRA!$D$11,""))))),"")</f>
        <v>0.61701394070696725</v>
      </c>
      <c r="AF2099" s="241" t="s">
        <v>154</v>
      </c>
    </row>
    <row r="2100" spans="1:32" s="10" customFormat="1" ht="13.15" hidden="1" customHeight="1" outlineLevel="4" x14ac:dyDescent="0.2">
      <c r="A2100" s="227"/>
      <c r="B2100" s="228" t="s">
        <v>19</v>
      </c>
      <c r="C2100" s="229">
        <f t="shared" si="1707"/>
        <v>6</v>
      </c>
      <c r="D2100" s="227" t="str">
        <f t="shared" si="1745"/>
        <v/>
      </c>
      <c r="E2100" s="228" t="str">
        <f t="shared" ca="1" si="1746"/>
        <v>20.001.001.004</v>
      </c>
      <c r="F2100" s="230">
        <f ca="1">IF($B2100="UNIDADE CONSTRUTIVA",OFFSET(F2100,-1,0)+1,LARGE(F$10:F2099,1))</f>
        <v>2</v>
      </c>
      <c r="G2100" s="228" t="str">
        <f t="shared" ca="1" si="1712"/>
        <v xml:space="preserve">   GERENCIAMENTO EXECUTIVO</v>
      </c>
      <c r="H2100" s="230">
        <f t="shared" ca="1" si="1747"/>
        <v>20</v>
      </c>
      <c r="I2100" s="228" t="str">
        <f t="shared" ca="1" si="1713"/>
        <v xml:space="preserve">   REVESTIMENTOS E ACABAMENTOS DE FACHADA</v>
      </c>
      <c r="J2100" s="230">
        <f t="shared" ca="1" si="1748"/>
        <v>1</v>
      </c>
      <c r="K2100" s="228" t="str">
        <f t="shared" ca="1" si="1714"/>
        <v xml:space="preserve">   REVESTIMENTOS E ACABAMENTOS DE FACHADA</v>
      </c>
      <c r="L2100" s="231">
        <f t="shared" ca="1" si="1749"/>
        <v>1</v>
      </c>
      <c r="M2100" s="228" t="str">
        <f t="shared" ca="1" si="1715"/>
        <v xml:space="preserve">   Revestimento Argamassado em Fachada</v>
      </c>
      <c r="N2100" s="231">
        <f t="shared" ca="1" si="1750"/>
        <v>4</v>
      </c>
      <c r="O2100" s="228" t="str">
        <f t="shared" ca="1" si="1716"/>
        <v>Tela Soldada para Ligacao Alvenaria/Estrutura em Chapisco Externo 7,5x50cm</v>
      </c>
      <c r="P2100" s="232" t="str">
        <f>IF(S2100="","",IF(Orçamento!$B2100="INSUMO",S2100,""))</f>
        <v>PINO LISO EM ACO GALVANIZADO 1/2 X 22MM COM ARRUELA</v>
      </c>
      <c r="Q2100" s="244" t="str">
        <f t="shared" si="1751"/>
        <v/>
      </c>
      <c r="R2100" s="234">
        <f t="shared" ca="1" si="1710"/>
        <v>1090</v>
      </c>
      <c r="S2100" s="233" t="s">
        <v>214</v>
      </c>
      <c r="T2100" s="242" t="str">
        <f>_xlfn.XLOOKUP(S2100,Insumos!$A$3:$A$371,Insumos!$B$3:$B$371)</f>
        <v>UN</v>
      </c>
      <c r="U2100" s="235">
        <f ca="1">IF($B2100="insumo",R2100,"")</f>
        <v>1090</v>
      </c>
      <c r="V2100" s="320">
        <v>1</v>
      </c>
      <c r="W2100" s="236">
        <f>IFERROR(IF(B2100="INSUMO",_xlfn.XLOOKUP(S2100,Insumos!A:A,Insumos!C:C),""),"Inserir Preço")</f>
        <v>0.3</v>
      </c>
      <c r="X2100" s="235">
        <f t="shared" ca="1" si="1711"/>
        <v>1090</v>
      </c>
      <c r="Y2100" s="236">
        <f t="shared" si="1752"/>
        <v>0.3</v>
      </c>
      <c r="Z2100" s="237">
        <f t="shared" ca="1" si="1708"/>
        <v>327</v>
      </c>
      <c r="AA2100" s="238"/>
      <c r="AB2100" s="233" t="str">
        <f>IF(B2100="insumo",_xlfn.XLOOKUP(S2100,Insumos!A:A,Insumos!D:D),"")</f>
        <v xml:space="preserve"> </v>
      </c>
      <c r="AC2100" s="239">
        <f t="shared" ca="1" si="1709"/>
        <v>4.6911131325878759E-5</v>
      </c>
      <c r="AE2100" s="240">
        <f ca="1">IFERROR(IF(OR(Z2100="",Z2100=0),"",IF(AF2100="","",IF(AF2100="R$/mês",Z2100/OBRA!$D$12,IF(AF2100="R$/m²",Z2100/OBRA!$D$10,IF(AF2100="R$/apto",Orçamento!Z2100/OBRA!$D$11,""))))),"")</f>
        <v>0.16827652928371833</v>
      </c>
      <c r="AF2100" s="241" t="s">
        <v>154</v>
      </c>
    </row>
    <row r="2101" spans="1:32" s="10" customFormat="1" ht="13.15" hidden="1" customHeight="1" outlineLevel="4" x14ac:dyDescent="0.2">
      <c r="A2101" s="227"/>
      <c r="B2101" s="228" t="s">
        <v>19</v>
      </c>
      <c r="C2101" s="229">
        <f t="shared" si="1707"/>
        <v>6</v>
      </c>
      <c r="D2101" s="227" t="str">
        <f t="shared" si="1745"/>
        <v/>
      </c>
      <c r="E2101" s="228" t="str">
        <f t="shared" ca="1" si="1746"/>
        <v>20.001.001.004</v>
      </c>
      <c r="F2101" s="230">
        <f ca="1">IF($B2101="UNIDADE CONSTRUTIVA",OFFSET(F2101,-1,0)+1,LARGE(F$10:F2100,1))</f>
        <v>2</v>
      </c>
      <c r="G2101" s="228" t="str">
        <f t="shared" ca="1" si="1712"/>
        <v xml:space="preserve">   GERENCIAMENTO EXECUTIVO</v>
      </c>
      <c r="H2101" s="230">
        <f t="shared" ca="1" si="1747"/>
        <v>20</v>
      </c>
      <c r="I2101" s="228" t="str">
        <f t="shared" ca="1" si="1713"/>
        <v xml:space="preserve">   REVESTIMENTOS E ACABAMENTOS DE FACHADA</v>
      </c>
      <c r="J2101" s="230">
        <f t="shared" ca="1" si="1748"/>
        <v>1</v>
      </c>
      <c r="K2101" s="228" t="str">
        <f t="shared" ca="1" si="1714"/>
        <v xml:space="preserve">   REVESTIMENTOS E ACABAMENTOS DE FACHADA</v>
      </c>
      <c r="L2101" s="231">
        <f t="shared" ca="1" si="1749"/>
        <v>1</v>
      </c>
      <c r="M2101" s="228" t="str">
        <f t="shared" ca="1" si="1715"/>
        <v xml:space="preserve">   Revestimento Argamassado em Fachada</v>
      </c>
      <c r="N2101" s="231">
        <f t="shared" ca="1" si="1750"/>
        <v>4</v>
      </c>
      <c r="O2101" s="228" t="str">
        <f t="shared" ca="1" si="1716"/>
        <v>Tela Soldada para Ligacao Alvenaria/Estrutura em Chapisco Externo 7,5x50cm</v>
      </c>
      <c r="P2101" s="232" t="str">
        <f>IF(S2101="","",IF(Orçamento!$B2101="INSUMO",S2101,""))</f>
        <v>CARTUCHO 22 - CARGA LEVE PARA FINCA PINO A POLVORA</v>
      </c>
      <c r="Q2101" s="244" t="str">
        <f t="shared" si="1751"/>
        <v/>
      </c>
      <c r="R2101" s="234">
        <f t="shared" ca="1" si="1710"/>
        <v>1090</v>
      </c>
      <c r="S2101" s="233" t="s">
        <v>215</v>
      </c>
      <c r="T2101" s="242" t="str">
        <f>_xlfn.XLOOKUP(S2101,Insumos!$A$3:$A$371,Insumos!$B$3:$B$371)</f>
        <v>UN</v>
      </c>
      <c r="U2101" s="235">
        <f ca="1">IF($B2101="insumo",R2101,"")</f>
        <v>1090</v>
      </c>
      <c r="V2101" s="320">
        <v>1</v>
      </c>
      <c r="W2101" s="236">
        <f>IFERROR(IF(B2101="INSUMO",_xlfn.XLOOKUP(S2101,Insumos!A:A,Insumos!C:C),""),"Inserir Preço")</f>
        <v>0.3</v>
      </c>
      <c r="X2101" s="235">
        <f t="shared" ca="1" si="1711"/>
        <v>1090</v>
      </c>
      <c r="Y2101" s="236">
        <f t="shared" si="1752"/>
        <v>0.3</v>
      </c>
      <c r="Z2101" s="237">
        <f t="shared" ca="1" si="1708"/>
        <v>327</v>
      </c>
      <c r="AA2101" s="238"/>
      <c r="AB2101" s="233" t="str">
        <f>IF(B2101="insumo",_xlfn.XLOOKUP(S2101,Insumos!A:A,Insumos!D:D),"")</f>
        <v xml:space="preserve"> </v>
      </c>
      <c r="AC2101" s="239">
        <f t="shared" ca="1" si="1709"/>
        <v>4.6911131325878759E-5</v>
      </c>
      <c r="AE2101" s="240">
        <f ca="1">IFERROR(IF(OR(Z2101="",Z2101=0),"",IF(AF2101="","",IF(AF2101="R$/mês",Z2101/OBRA!$D$12,IF(AF2101="R$/m²",Z2101/OBRA!$D$10,IF(AF2101="R$/apto",Orçamento!Z2101/OBRA!$D$11,""))))),"")</f>
        <v>0.16827652928371833</v>
      </c>
      <c r="AF2101" s="241" t="s">
        <v>154</v>
      </c>
    </row>
    <row r="2102" spans="1:32" s="10" customFormat="1" ht="13.15" hidden="1" customHeight="1" outlineLevel="3" collapsed="1" x14ac:dyDescent="0.2">
      <c r="A2102" s="227"/>
      <c r="B2102" s="228" t="s">
        <v>3</v>
      </c>
      <c r="C2102" s="229" t="str">
        <f t="shared" si="1707"/>
        <v/>
      </c>
      <c r="D2102" s="227" t="str">
        <f t="shared" ref="D2102:D2120" ca="1" si="1753">IF(B2102="Unidade Construtiva",TEXT(F2102,"00"),IF(B2102="Célula Construtiva",TEXT(H2102,"00"),IF(B2102="Etapa",CONCATENATE(TEXT(H2102,"00"),".",TEXT(J2102,"000")),IF(B2102="Subetapa",CONCATENATE(TEXT(H2102,"00"),".",TEXT(J2102,"000"),".",TEXT(L2102,"000")),IF(B2102="Serviço",CONCATENATE(TEXT(H2102,"00"),".",TEXT(J2102,"000"),".",TEXT(L2102,"000"),".",TEXT(N2102,"000")),"")))))</f>
        <v>20.001.002</v>
      </c>
      <c r="E2102" s="228" t="str">
        <f t="shared" ref="E2102:E2120" ca="1" si="1754">IF(B2102="*","",IFERROR(IF(B2102="SERVIÇO",D2102,OFFSET(E2102,-1,0)),""))</f>
        <v>20.001.001.004</v>
      </c>
      <c r="F2102" s="230">
        <f ca="1">IF($B2102="UNIDADE CONSTRUTIVA",OFFSET(F2102,-1,0)+1,LARGE(F$10:F2101,1))</f>
        <v>2</v>
      </c>
      <c r="G2102" s="228" t="str">
        <f t="shared" ca="1" si="1712"/>
        <v xml:space="preserve">   GERENCIAMENTO EXECUTIVO</v>
      </c>
      <c r="H2102" s="230">
        <f t="shared" ref="H2102:H2120" ca="1" si="1755">IF(B2102="UNIDADE CONSTRUTIVA",0,IF(B2102="CÉLULA CONSTRUTIVA",OFFSET(H2102,-1,0)+1,OFFSET(H2102,-1,0)))</f>
        <v>20</v>
      </c>
      <c r="I2102" s="228" t="str">
        <f t="shared" ca="1" si="1713"/>
        <v xml:space="preserve">   REVESTIMENTOS E ACABAMENTOS DE FACHADA</v>
      </c>
      <c r="J2102" s="230">
        <f t="shared" ref="J2102:J2120" ca="1" si="1756">IF(B2102="CÉLULA CONSTRUTIVA",0,IF(B2102="ETAPA",OFFSET(J2102,-1,0)+1,OFFSET(J2102,-1,0)))</f>
        <v>1</v>
      </c>
      <c r="K2102" s="228" t="str">
        <f t="shared" ca="1" si="1714"/>
        <v xml:space="preserve">   REVESTIMENTOS E ACABAMENTOS DE FACHADA</v>
      </c>
      <c r="L2102" s="231">
        <f t="shared" ref="L2102:L2120" ca="1" si="1757">IF(B2102="ETAPA",0,IF(B2102="SUBETAPA",OFFSET(L2102,-1,0)+1,OFFSET(L2102,-1,0)))</f>
        <v>2</v>
      </c>
      <c r="M2102" s="228" t="str">
        <f t="shared" ca="1" si="1715"/>
        <v xml:space="preserve">   Pintura e Textura em Fachada</v>
      </c>
      <c r="N2102" s="231">
        <f t="shared" ref="N2102:N2120" ca="1" si="1758">IF(B2102="Subetapa",0,IF(B2102="serviço",OFFSET(N2102,-1,0)+1,OFFSET(N2102,-1,0)))</f>
        <v>0</v>
      </c>
      <c r="O2102" s="228" t="str">
        <f t="shared" ca="1" si="1716"/>
        <v>Tela Soldada para Ligacao Alvenaria/Estrutura em Chapisco Externo 7,5x50cm</v>
      </c>
      <c r="P2102" s="232" t="str">
        <f>IF(S2102="","",IF(Orçamento!$B2102="INSUMO",S2102,""))</f>
        <v/>
      </c>
      <c r="Q2102" s="244" t="str">
        <f t="shared" si="1751"/>
        <v/>
      </c>
      <c r="R2102" s="234">
        <f t="shared" ca="1" si="1710"/>
        <v>1090</v>
      </c>
      <c r="S2102" s="233" t="s">
        <v>516</v>
      </c>
      <c r="T2102" s="242" t="s">
        <v>35</v>
      </c>
      <c r="U2102" s="235" t="str">
        <f>IF($B2102="insumo",R2102,"")</f>
        <v/>
      </c>
      <c r="V2102" s="320" t="s">
        <v>35</v>
      </c>
      <c r="W2102" s="236" t="str">
        <f>IFERROR(IF(B2102="INSUMO",_xlfn.XLOOKUP(S2102,Insumos!A:A,Insumos!C:C),""),"Inserir Preço")</f>
        <v/>
      </c>
      <c r="X2102" s="235" t="str">
        <f t="shared" ca="1" si="1711"/>
        <v/>
      </c>
      <c r="Y2102" s="236" t="str">
        <f t="shared" si="1752"/>
        <v/>
      </c>
      <c r="Z2102" s="237">
        <f t="shared" ca="1" si="1708"/>
        <v>13676.205816000002</v>
      </c>
      <c r="AA2102" s="238"/>
      <c r="AB2102" s="233" t="str">
        <f>IF(B2102="insumo",_xlfn.XLOOKUP(S2102,Insumos!A:A,Insumos!D:D),"")</f>
        <v/>
      </c>
      <c r="AC2102" s="239">
        <f t="shared" ca="1" si="1709"/>
        <v>1.9619764130707124E-3</v>
      </c>
      <c r="AE2102" s="240">
        <f ca="1">IFERROR(IF(OR(Z2102="",Z2102=0),"",IF(AF2102="","",IF(AF2102="R$/mês",Z2102/OBRA!$D$12,IF(AF2102="R$/m²",Z2102/OBRA!$D$10,IF(AF2102="R$/apto",Orçamento!Z2102/OBRA!$D$11,""))))),"")</f>
        <v>7.037872931150714</v>
      </c>
      <c r="AF2102" s="241" t="s">
        <v>154</v>
      </c>
    </row>
    <row r="2103" spans="1:32" s="10" customFormat="1" ht="13.15" hidden="1" customHeight="1" outlineLevel="4" x14ac:dyDescent="0.2">
      <c r="A2103" s="227"/>
      <c r="B2103" s="228" t="s">
        <v>4</v>
      </c>
      <c r="C2103" s="229">
        <f t="shared" si="1707"/>
        <v>1</v>
      </c>
      <c r="D2103" s="227" t="str">
        <f t="shared" ca="1" si="1753"/>
        <v>20.001.002.001</v>
      </c>
      <c r="E2103" s="228" t="str">
        <f t="shared" ca="1" si="1754"/>
        <v>20.001.002.001</v>
      </c>
      <c r="F2103" s="230">
        <f ca="1">IF($B2103="UNIDADE CONSTRUTIVA",OFFSET(F2103,-1,0)+1,LARGE(F$10:F2102,1))</f>
        <v>2</v>
      </c>
      <c r="G2103" s="228" t="str">
        <f t="shared" ca="1" si="1712"/>
        <v xml:space="preserve">   GERENCIAMENTO EXECUTIVO</v>
      </c>
      <c r="H2103" s="230">
        <f t="shared" ca="1" si="1755"/>
        <v>20</v>
      </c>
      <c r="I2103" s="228" t="str">
        <f t="shared" ca="1" si="1713"/>
        <v xml:space="preserve">   REVESTIMENTOS E ACABAMENTOS DE FACHADA</v>
      </c>
      <c r="J2103" s="230">
        <f t="shared" ca="1" si="1756"/>
        <v>1</v>
      </c>
      <c r="K2103" s="228" t="str">
        <f t="shared" ca="1" si="1714"/>
        <v xml:space="preserve">   REVESTIMENTOS E ACABAMENTOS DE FACHADA</v>
      </c>
      <c r="L2103" s="231">
        <f t="shared" ca="1" si="1757"/>
        <v>2</v>
      </c>
      <c r="M2103" s="228" t="str">
        <f t="shared" ca="1" si="1715"/>
        <v xml:space="preserve">   Pintura e Textura em Fachada</v>
      </c>
      <c r="N2103" s="231">
        <f t="shared" ca="1" si="1758"/>
        <v>1</v>
      </c>
      <c r="O2103" s="228" t="str">
        <f t="shared" ca="1" si="1716"/>
        <v>Fundo selador latex acrilico em paredes externas, 1 demao</v>
      </c>
      <c r="P2103" s="232" t="str">
        <f>IF(S2103="","",IF(Orçamento!$B2103="INSUMO",S2103,""))</f>
        <v/>
      </c>
      <c r="Q2103" s="244" t="str">
        <f t="shared" si="1751"/>
        <v>Fundo selador latex acrilico em paredes externas, 1 demao</v>
      </c>
      <c r="R2103" s="234">
        <f t="shared" ca="1" si="1710"/>
        <v>1624.8700000000001</v>
      </c>
      <c r="S2103" s="233" t="s">
        <v>517</v>
      </c>
      <c r="T2103" s="242" t="s">
        <v>140</v>
      </c>
      <c r="U2103" s="235">
        <v>1624.8700000000001</v>
      </c>
      <c r="V2103" s="320" t="s">
        <v>35</v>
      </c>
      <c r="W2103" s="236" t="str">
        <f>IFERROR(IF(B2103="INSUMO",_xlfn.XLOOKUP(S2103,Insumos!A:A,Insumos!C:C),""),"Inserir Preço")</f>
        <v/>
      </c>
      <c r="X2103" s="235">
        <f t="shared" ca="1" si="1711"/>
        <v>1624.8700000000001</v>
      </c>
      <c r="Y2103" s="236">
        <f t="shared" ca="1" si="1752"/>
        <v>1.4159999999999999</v>
      </c>
      <c r="Z2103" s="237">
        <f t="shared" ca="1" si="1708"/>
        <v>2300.81592</v>
      </c>
      <c r="AA2103" s="238"/>
      <c r="AB2103" s="233" t="str">
        <f>IF(B2103="insumo",_xlfn.XLOOKUP(S2103,Insumos!A:A,Insumos!D:D),"")</f>
        <v/>
      </c>
      <c r="AC2103" s="239">
        <f t="shared" ca="1" si="1709"/>
        <v>3.3007302073331059E-4</v>
      </c>
      <c r="AE2103" s="240">
        <f ca="1">IFERROR(IF(OR(Z2103="",Z2103=0),"",IF(AF2103="","",IF(AF2103="R$/mês",Z2103/OBRA!$D$12,IF(AF2103="R$/m²",Z2103/OBRA!$D$10,IF(AF2103="R$/apto",Orçamento!Z2103/OBRA!$D$11,""))))),"")</f>
        <v>1.1840162615850929</v>
      </c>
      <c r="AF2103" s="241" t="s">
        <v>154</v>
      </c>
    </row>
    <row r="2104" spans="1:32" s="10" customFormat="1" ht="13.15" hidden="1" customHeight="1" outlineLevel="4" x14ac:dyDescent="0.2">
      <c r="A2104" s="227"/>
      <c r="B2104" s="228" t="s">
        <v>19</v>
      </c>
      <c r="C2104" s="229">
        <f t="shared" si="1707"/>
        <v>1</v>
      </c>
      <c r="D2104" s="227" t="str">
        <f t="shared" si="1753"/>
        <v/>
      </c>
      <c r="E2104" s="228" t="str">
        <f t="shared" ca="1" si="1754"/>
        <v>20.001.002.001</v>
      </c>
      <c r="F2104" s="230">
        <f ca="1">IF($B2104="UNIDADE CONSTRUTIVA",OFFSET(F2104,-1,0)+1,LARGE(F$10:F2103,1))</f>
        <v>2</v>
      </c>
      <c r="G2104" s="228" t="str">
        <f t="shared" ca="1" si="1712"/>
        <v xml:space="preserve">   GERENCIAMENTO EXECUTIVO</v>
      </c>
      <c r="H2104" s="230">
        <f t="shared" ca="1" si="1755"/>
        <v>20</v>
      </c>
      <c r="I2104" s="228" t="str">
        <f t="shared" ca="1" si="1713"/>
        <v xml:space="preserve">   REVESTIMENTOS E ACABAMENTOS DE FACHADA</v>
      </c>
      <c r="J2104" s="230">
        <f t="shared" ca="1" si="1756"/>
        <v>1</v>
      </c>
      <c r="K2104" s="228" t="str">
        <f t="shared" ca="1" si="1714"/>
        <v xml:space="preserve">   REVESTIMENTOS E ACABAMENTOS DE FACHADA</v>
      </c>
      <c r="L2104" s="231">
        <f t="shared" ca="1" si="1757"/>
        <v>2</v>
      </c>
      <c r="M2104" s="228" t="str">
        <f t="shared" ca="1" si="1715"/>
        <v xml:space="preserve">   Pintura e Textura em Fachada</v>
      </c>
      <c r="N2104" s="231">
        <f t="shared" ca="1" si="1758"/>
        <v>1</v>
      </c>
      <c r="O2104" s="228" t="str">
        <f t="shared" ca="1" si="1716"/>
        <v>Fundo selador latex acrilico em paredes externas, 1 demao</v>
      </c>
      <c r="P2104" s="232" t="str">
        <f>IF(S2104="","",IF(Orçamento!$B2104="INSUMO",S2104,""))</f>
        <v>SELADOR ACRILICO</v>
      </c>
      <c r="Q2104" s="244" t="str">
        <f t="shared" si="1751"/>
        <v/>
      </c>
      <c r="R2104" s="234">
        <f t="shared" ca="1" si="1710"/>
        <v>1624.8700000000001</v>
      </c>
      <c r="S2104" s="233" t="s">
        <v>358</v>
      </c>
      <c r="T2104" s="242" t="str">
        <f>_xlfn.XLOOKUP(S2104,Insumos!$A$3:$A$371,Insumos!$B$3:$B$371)</f>
        <v>L</v>
      </c>
      <c r="U2104" s="235">
        <f ca="1">IF($B2104="insumo",R2104,"")</f>
        <v>1624.8700000000001</v>
      </c>
      <c r="V2104" s="320">
        <v>0.15</v>
      </c>
      <c r="W2104" s="236">
        <f>IFERROR(IF(B2104="INSUMO",_xlfn.XLOOKUP(S2104,Insumos!A:A,Insumos!C:C),""),"Inserir Preço")</f>
        <v>9.44</v>
      </c>
      <c r="X2104" s="235">
        <f t="shared" ca="1" si="1711"/>
        <v>243.73050000000001</v>
      </c>
      <c r="Y2104" s="236">
        <f t="shared" si="1752"/>
        <v>1.4159999999999999</v>
      </c>
      <c r="Z2104" s="237">
        <f t="shared" ca="1" si="1708"/>
        <v>2300.81592</v>
      </c>
      <c r="AA2104" s="238"/>
      <c r="AB2104" s="233" t="str">
        <f>IF(B2104="insumo",_xlfn.XLOOKUP(S2104,Insumos!A:A,Insumos!D:D),"")</f>
        <v xml:space="preserve"> </v>
      </c>
      <c r="AC2104" s="239">
        <f t="shared" ca="1" si="1709"/>
        <v>3.3007302073331059E-4</v>
      </c>
      <c r="AE2104" s="240">
        <f ca="1">IFERROR(IF(OR(Z2104="",Z2104=0),"",IF(AF2104="","",IF(AF2104="R$/mês",Z2104/OBRA!$D$12,IF(AF2104="R$/m²",Z2104/OBRA!$D$10,IF(AF2104="R$/apto",Orçamento!Z2104/OBRA!$D$11,""))))),"")</f>
        <v>1.1840162615850929</v>
      </c>
      <c r="AF2104" s="241" t="s">
        <v>154</v>
      </c>
    </row>
    <row r="2105" spans="1:32" s="10" customFormat="1" ht="13.15" hidden="1" customHeight="1" outlineLevel="4" x14ac:dyDescent="0.2">
      <c r="A2105" s="227"/>
      <c r="B2105" s="228" t="s">
        <v>4</v>
      </c>
      <c r="C2105" s="229">
        <f t="shared" si="1707"/>
        <v>1</v>
      </c>
      <c r="D2105" s="227" t="str">
        <f t="shared" ca="1" si="1753"/>
        <v>20.001.002.002</v>
      </c>
      <c r="E2105" s="228" t="str">
        <f t="shared" ca="1" si="1754"/>
        <v>20.001.002.002</v>
      </c>
      <c r="F2105" s="230">
        <f ca="1">IF($B2105="UNIDADE CONSTRUTIVA",OFFSET(F2105,-1,0)+1,LARGE(F$10:F2104,1))</f>
        <v>2</v>
      </c>
      <c r="G2105" s="228" t="str">
        <f t="shared" ca="1" si="1712"/>
        <v xml:space="preserve">   GERENCIAMENTO EXECUTIVO</v>
      </c>
      <c r="H2105" s="230">
        <f t="shared" ca="1" si="1755"/>
        <v>20</v>
      </c>
      <c r="I2105" s="228" t="str">
        <f t="shared" ca="1" si="1713"/>
        <v xml:space="preserve">   REVESTIMENTOS E ACABAMENTOS DE FACHADA</v>
      </c>
      <c r="J2105" s="230">
        <f t="shared" ca="1" si="1756"/>
        <v>1</v>
      </c>
      <c r="K2105" s="228" t="str">
        <f t="shared" ca="1" si="1714"/>
        <v xml:space="preserve">   REVESTIMENTOS E ACABAMENTOS DE FACHADA</v>
      </c>
      <c r="L2105" s="231">
        <f t="shared" ca="1" si="1757"/>
        <v>2</v>
      </c>
      <c r="M2105" s="228" t="str">
        <f t="shared" ca="1" si="1715"/>
        <v xml:space="preserve">   Pintura e Textura em Fachada</v>
      </c>
      <c r="N2105" s="231">
        <f t="shared" ca="1" si="1758"/>
        <v>2</v>
      </c>
      <c r="O2105" s="228" t="str">
        <f t="shared" ca="1" si="1716"/>
        <v>Pintura com tinta latex acrilica branca acabamento fosco em paredes externas 2 demaos</v>
      </c>
      <c r="P2105" s="232" t="str">
        <f>IF(S2105="","",IF(Orçamento!$B2105="INSUMO",S2105,""))</f>
        <v/>
      </c>
      <c r="Q2105" s="244" t="str">
        <f t="shared" si="1751"/>
        <v>Pintura com tinta latex acrilica branca acabamento fosco em paredes externas 2 demaos</v>
      </c>
      <c r="R2105" s="234">
        <f t="shared" ca="1" si="1710"/>
        <v>1624.8700000000001</v>
      </c>
      <c r="S2105" s="233" t="s">
        <v>518</v>
      </c>
      <c r="T2105" s="242" t="s">
        <v>140</v>
      </c>
      <c r="U2105" s="235">
        <v>1624.8700000000001</v>
      </c>
      <c r="V2105" s="320" t="s">
        <v>35</v>
      </c>
      <c r="W2105" s="236" t="str">
        <f>IFERROR(IF(B2105="INSUMO",_xlfn.XLOOKUP(S2105,Insumos!A:A,Insumos!C:C),""),"Inserir Preço")</f>
        <v/>
      </c>
      <c r="X2105" s="235">
        <f t="shared" ca="1" si="1711"/>
        <v>1624.8700000000001</v>
      </c>
      <c r="Y2105" s="236">
        <f t="shared" ca="1" si="1752"/>
        <v>7.0007999999999999</v>
      </c>
      <c r="Z2105" s="237">
        <f t="shared" ca="1" si="1708"/>
        <v>11375.389896000001</v>
      </c>
      <c r="AA2105" s="238"/>
      <c r="AB2105" s="233" t="str">
        <f>IF(B2105="insumo",_xlfn.XLOOKUP(S2105,Insumos!A:A,Insumos!D:D),"")</f>
        <v/>
      </c>
      <c r="AC2105" s="239">
        <f t="shared" ca="1" si="1709"/>
        <v>1.6319033923374018E-3</v>
      </c>
      <c r="AE2105" s="240">
        <f ca="1">IFERROR(IF(OR(Z2105="",Z2105=0),"",IF(AF2105="","",IF(AF2105="R$/mês",Z2105/OBRA!$D$12,IF(AF2105="R$/m²",Z2105/OBRA!$D$10,IF(AF2105="R$/apto",Orçamento!Z2105/OBRA!$D$11,""))))),"")</f>
        <v>5.8538566695656202</v>
      </c>
      <c r="AF2105" s="241" t="s">
        <v>154</v>
      </c>
    </row>
    <row r="2106" spans="1:32" s="10" customFormat="1" ht="13.15" hidden="1" customHeight="1" outlineLevel="4" x14ac:dyDescent="0.2">
      <c r="A2106" s="227"/>
      <c r="B2106" s="228" t="s">
        <v>19</v>
      </c>
      <c r="C2106" s="229">
        <f t="shared" si="1707"/>
        <v>13</v>
      </c>
      <c r="D2106" s="227" t="str">
        <f t="shared" si="1753"/>
        <v/>
      </c>
      <c r="E2106" s="228" t="str">
        <f t="shared" ca="1" si="1754"/>
        <v>20.001.002.002</v>
      </c>
      <c r="F2106" s="230">
        <f ca="1">IF($B2106="UNIDADE CONSTRUTIVA",OFFSET(F2106,-1,0)+1,LARGE(F$10:F2105,1))</f>
        <v>2</v>
      </c>
      <c r="G2106" s="228" t="str">
        <f t="shared" ca="1" si="1712"/>
        <v xml:space="preserve">   GERENCIAMENTO EXECUTIVO</v>
      </c>
      <c r="H2106" s="230">
        <f t="shared" ca="1" si="1755"/>
        <v>20</v>
      </c>
      <c r="I2106" s="228" t="str">
        <f t="shared" ca="1" si="1713"/>
        <v xml:space="preserve">   REVESTIMENTOS E ACABAMENTOS DE FACHADA</v>
      </c>
      <c r="J2106" s="230">
        <f t="shared" ca="1" si="1756"/>
        <v>1</v>
      </c>
      <c r="K2106" s="228" t="str">
        <f t="shared" ca="1" si="1714"/>
        <v xml:space="preserve">   REVESTIMENTOS E ACABAMENTOS DE FACHADA</v>
      </c>
      <c r="L2106" s="231">
        <f t="shared" ca="1" si="1757"/>
        <v>2</v>
      </c>
      <c r="M2106" s="228" t="str">
        <f t="shared" ca="1" si="1715"/>
        <v xml:space="preserve">   Pintura e Textura em Fachada</v>
      </c>
      <c r="N2106" s="231">
        <f t="shared" ca="1" si="1758"/>
        <v>2</v>
      </c>
      <c r="O2106" s="228" t="str">
        <f t="shared" ca="1" si="1716"/>
        <v>Pintura com tinta latex acrilica branca acabamento fosco em paredes externas 2 demaos</v>
      </c>
      <c r="P2106" s="232" t="str">
        <f>IF(S2106="","",IF(Orçamento!$B2106="INSUMO",S2106,""))</f>
        <v>TINTA ACRILICO PREMIUM FOSCO</v>
      </c>
      <c r="Q2106" s="244" t="str">
        <f t="shared" si="1751"/>
        <v/>
      </c>
      <c r="R2106" s="234">
        <f t="shared" ca="1" si="1710"/>
        <v>1624.8700000000001</v>
      </c>
      <c r="S2106" s="233" t="s">
        <v>264</v>
      </c>
      <c r="T2106" s="242" t="str">
        <f>_xlfn.XLOOKUP(S2106,Insumos!$A$3:$A$371,Insumos!$B$3:$B$371)</f>
        <v>L</v>
      </c>
      <c r="U2106" s="235">
        <f ca="1">IF($B2106="insumo",R2106,"")</f>
        <v>1624.8700000000001</v>
      </c>
      <c r="V2106" s="320">
        <v>0.24</v>
      </c>
      <c r="W2106" s="236">
        <f>IFERROR(IF(B2106="INSUMO",_xlfn.XLOOKUP(S2106,Insumos!A:A,Insumos!C:C),""),"Inserir Preço")</f>
        <v>29.17</v>
      </c>
      <c r="X2106" s="235">
        <f t="shared" ca="1" si="1711"/>
        <v>389.96879999999999</v>
      </c>
      <c r="Y2106" s="236">
        <f t="shared" si="1752"/>
        <v>7.0007999999999999</v>
      </c>
      <c r="Z2106" s="237">
        <f t="shared" ca="1" si="1708"/>
        <v>11375.389896000001</v>
      </c>
      <c r="AA2106" s="238"/>
      <c r="AB2106" s="233" t="str">
        <f>IF(B2106="insumo",_xlfn.XLOOKUP(S2106,Insumos!A:A,Insumos!D:D),"")</f>
        <v xml:space="preserve"> </v>
      </c>
      <c r="AC2106" s="239">
        <f t="shared" ca="1" si="1709"/>
        <v>1.6319033923374018E-3</v>
      </c>
      <c r="AE2106" s="240">
        <f ca="1">IFERROR(IF(OR(Z2106="",Z2106=0),"",IF(AF2106="","",IF(AF2106="R$/mês",Z2106/OBRA!$D$12,IF(AF2106="R$/m²",Z2106/OBRA!$D$10,IF(AF2106="R$/apto",Orçamento!Z2106/OBRA!$D$11,""))))),"")</f>
        <v>5.8538566695656202</v>
      </c>
      <c r="AF2106" s="241" t="s">
        <v>154</v>
      </c>
    </row>
    <row r="2107" spans="1:32" s="10" customFormat="1" ht="13.15" hidden="1" customHeight="1" outlineLevel="3" collapsed="1" x14ac:dyDescent="0.2">
      <c r="A2107" s="227"/>
      <c r="B2107" s="228" t="s">
        <v>3</v>
      </c>
      <c r="C2107" s="229" t="str">
        <f t="shared" si="1707"/>
        <v/>
      </c>
      <c r="D2107" s="227" t="str">
        <f t="shared" ca="1" si="1753"/>
        <v>20.001.003</v>
      </c>
      <c r="E2107" s="228" t="str">
        <f t="shared" ca="1" si="1754"/>
        <v>20.001.002.002</v>
      </c>
      <c r="F2107" s="230">
        <f ca="1">IF($B2107="UNIDADE CONSTRUTIVA",OFFSET(F2107,-1,0)+1,LARGE(F$10:F2106,1))</f>
        <v>2</v>
      </c>
      <c r="G2107" s="228" t="str">
        <f t="shared" ca="1" si="1712"/>
        <v xml:space="preserve">   GERENCIAMENTO EXECUTIVO</v>
      </c>
      <c r="H2107" s="230">
        <f t="shared" ca="1" si="1755"/>
        <v>20</v>
      </c>
      <c r="I2107" s="228" t="str">
        <f t="shared" ca="1" si="1713"/>
        <v xml:space="preserve">   REVESTIMENTOS E ACABAMENTOS DE FACHADA</v>
      </c>
      <c r="J2107" s="230">
        <f t="shared" ca="1" si="1756"/>
        <v>1</v>
      </c>
      <c r="K2107" s="228" t="str">
        <f t="shared" ca="1" si="1714"/>
        <v xml:space="preserve">   REVESTIMENTOS E ACABAMENTOS DE FACHADA</v>
      </c>
      <c r="L2107" s="231">
        <f t="shared" ca="1" si="1757"/>
        <v>3</v>
      </c>
      <c r="M2107" s="228" t="str">
        <f t="shared" ca="1" si="1715"/>
        <v xml:space="preserve">   Acabamentos Especiais em Fachada</v>
      </c>
      <c r="N2107" s="231">
        <f t="shared" ca="1" si="1758"/>
        <v>0</v>
      </c>
      <c r="O2107" s="228" t="str">
        <f t="shared" ca="1" si="1716"/>
        <v>Pintura com tinta latex acrilica branca acabamento fosco em paredes externas 2 demaos</v>
      </c>
      <c r="P2107" s="232" t="str">
        <f>IF(S2107="","",IF(Orçamento!$B2107="INSUMO",S2107,""))</f>
        <v/>
      </c>
      <c r="Q2107" s="244" t="str">
        <f t="shared" si="1751"/>
        <v/>
      </c>
      <c r="R2107" s="234">
        <f t="shared" ca="1" si="1710"/>
        <v>1624.8700000000001</v>
      </c>
      <c r="S2107" s="233" t="s">
        <v>519</v>
      </c>
      <c r="T2107" s="242" t="s">
        <v>35</v>
      </c>
      <c r="U2107" s="235" t="str">
        <f>IF($B2107="insumo",R2107,"")</f>
        <v/>
      </c>
      <c r="V2107" s="320" t="s">
        <v>35</v>
      </c>
      <c r="W2107" s="236" t="str">
        <f>IFERROR(IF(B2107="INSUMO",_xlfn.XLOOKUP(S2107,Insumos!A:A,Insumos!C:C),""),"Inserir Preço")</f>
        <v/>
      </c>
      <c r="X2107" s="235" t="str">
        <f t="shared" ca="1" si="1711"/>
        <v/>
      </c>
      <c r="Y2107" s="236" t="str">
        <f t="shared" si="1752"/>
        <v/>
      </c>
      <c r="Z2107" s="237">
        <f t="shared" ca="1" si="1708"/>
        <v>40354.993149999988</v>
      </c>
      <c r="AA2107" s="238"/>
      <c r="AB2107" s="233" t="str">
        <f>IF(B2107="insumo",_xlfn.XLOOKUP(S2107,Insumos!A:A,Insumos!D:D),"")</f>
        <v/>
      </c>
      <c r="AC2107" s="239">
        <f t="shared" ca="1" si="1709"/>
        <v>5.789291692093539E-3</v>
      </c>
      <c r="AE2107" s="240">
        <f ca="1">IFERROR(IF(OR(Z2107="",Z2107=0),"",IF(AF2107="","",IF(AF2107="R$/mês",Z2107/OBRA!$D$12,IF(AF2107="R$/m²",Z2107/OBRA!$D$10,IF(AF2107="R$/apto",Orçamento!Z2107/OBRA!$D$11,""))))),"")</f>
        <v>20.766966931346257</v>
      </c>
      <c r="AF2107" s="241" t="s">
        <v>154</v>
      </c>
    </row>
    <row r="2108" spans="1:32" s="10" customFormat="1" ht="13.15" hidden="1" customHeight="1" outlineLevel="4" x14ac:dyDescent="0.2">
      <c r="A2108" s="227"/>
      <c r="B2108" s="228" t="s">
        <v>4</v>
      </c>
      <c r="C2108" s="229">
        <f t="shared" si="1707"/>
        <v>1</v>
      </c>
      <c r="D2108" s="227" t="str">
        <f t="shared" ca="1" si="1753"/>
        <v>20.001.003.001</v>
      </c>
      <c r="E2108" s="228" t="str">
        <f t="shared" ca="1" si="1754"/>
        <v>20.001.003.001</v>
      </c>
      <c r="F2108" s="230">
        <f ca="1">IF($B2108="UNIDADE CONSTRUTIVA",OFFSET(F2108,-1,0)+1,LARGE(F$10:F2107,1))</f>
        <v>2</v>
      </c>
      <c r="G2108" s="228" t="str">
        <f t="shared" ca="1" si="1712"/>
        <v xml:space="preserve">   GERENCIAMENTO EXECUTIVO</v>
      </c>
      <c r="H2108" s="230">
        <f t="shared" ca="1" si="1755"/>
        <v>20</v>
      </c>
      <c r="I2108" s="228" t="str">
        <f t="shared" ca="1" si="1713"/>
        <v xml:space="preserve">   REVESTIMENTOS E ACABAMENTOS DE FACHADA</v>
      </c>
      <c r="J2108" s="230">
        <f t="shared" ca="1" si="1756"/>
        <v>1</v>
      </c>
      <c r="K2108" s="228" t="str">
        <f t="shared" ca="1" si="1714"/>
        <v xml:space="preserve">   REVESTIMENTOS E ACABAMENTOS DE FACHADA</v>
      </c>
      <c r="L2108" s="231">
        <f t="shared" ca="1" si="1757"/>
        <v>3</v>
      </c>
      <c r="M2108" s="228" t="str">
        <f t="shared" ca="1" si="1715"/>
        <v xml:space="preserve">   Acabamentos Especiais em Fachada</v>
      </c>
      <c r="N2108" s="231">
        <f t="shared" ca="1" si="1758"/>
        <v>1</v>
      </c>
      <c r="O2108" s="228" t="str">
        <f t="shared" ca="1" si="1716"/>
        <v>Revestimento Porcelanato - aplicacao em paredes externas</v>
      </c>
      <c r="P2108" s="232" t="str">
        <f>IF(S2108="","",IF(Orçamento!$B2108="INSUMO",S2108,""))</f>
        <v/>
      </c>
      <c r="Q2108" s="244" t="str">
        <f t="shared" si="1751"/>
        <v>Revestimento Porcelanato - aplicacao em paredes externas</v>
      </c>
      <c r="R2108" s="234">
        <f t="shared" ca="1" si="1710"/>
        <v>253.17999999999998</v>
      </c>
      <c r="S2108" s="233" t="s">
        <v>712</v>
      </c>
      <c r="T2108" s="242" t="s">
        <v>140</v>
      </c>
      <c r="U2108" s="235">
        <v>253.17999999999998</v>
      </c>
      <c r="V2108" s="320" t="s">
        <v>35</v>
      </c>
      <c r="W2108" s="236" t="str">
        <f>IFERROR(IF(B2108="INSUMO",_xlfn.XLOOKUP(S2108,Insumos!A:A,Insumos!C:C),""),"Inserir Preço")</f>
        <v/>
      </c>
      <c r="X2108" s="235">
        <f t="shared" ca="1" si="1711"/>
        <v>253.17999999999998</v>
      </c>
      <c r="Y2108" s="236">
        <f t="shared" ca="1" si="1752"/>
        <v>159.39249999999998</v>
      </c>
      <c r="Z2108" s="237">
        <f t="shared" ca="1" si="1708"/>
        <v>40354.993149999995</v>
      </c>
      <c r="AA2108" s="238"/>
      <c r="AB2108" s="233" t="str">
        <f>IF(B2108="insumo",_xlfn.XLOOKUP(S2108,Insumos!A:A,Insumos!D:D),"")</f>
        <v/>
      </c>
      <c r="AC2108" s="239">
        <f t="shared" ca="1" si="1709"/>
        <v>5.7892916920935398E-3</v>
      </c>
      <c r="AE2108" s="240">
        <f ca="1">IFERROR(IF(OR(Z2108="",Z2108=0),"",IF(AF2108="","",IF(AF2108="R$/mês",Z2108/OBRA!$D$12,IF(AF2108="R$/m²",Z2108/OBRA!$D$10,IF(AF2108="R$/apto",Orçamento!Z2108/OBRA!$D$11,""))))),"")</f>
        <v>20.766966931346261</v>
      </c>
      <c r="AF2108" s="241" t="s">
        <v>154</v>
      </c>
    </row>
    <row r="2109" spans="1:32" s="10" customFormat="1" ht="13.15" hidden="1" customHeight="1" outlineLevel="4" x14ac:dyDescent="0.2">
      <c r="A2109" s="227"/>
      <c r="B2109" s="228" t="s">
        <v>19</v>
      </c>
      <c r="C2109" s="229">
        <f t="shared" si="1707"/>
        <v>1</v>
      </c>
      <c r="D2109" s="227" t="str">
        <f t="shared" si="1753"/>
        <v/>
      </c>
      <c r="E2109" s="228" t="str">
        <f t="shared" ca="1" si="1754"/>
        <v>20.001.003.001</v>
      </c>
      <c r="F2109" s="230">
        <f ca="1">IF($B2109="UNIDADE CONSTRUTIVA",OFFSET(F2109,-1,0)+1,LARGE(F$10:F2108,1))</f>
        <v>2</v>
      </c>
      <c r="G2109" s="228" t="str">
        <f t="shared" ca="1" si="1712"/>
        <v xml:space="preserve">   GERENCIAMENTO EXECUTIVO</v>
      </c>
      <c r="H2109" s="230">
        <f t="shared" ca="1" si="1755"/>
        <v>20</v>
      </c>
      <c r="I2109" s="228" t="str">
        <f t="shared" ca="1" si="1713"/>
        <v xml:space="preserve">   REVESTIMENTOS E ACABAMENTOS DE FACHADA</v>
      </c>
      <c r="J2109" s="230">
        <f t="shared" ca="1" si="1756"/>
        <v>1</v>
      </c>
      <c r="K2109" s="228" t="str">
        <f t="shared" ca="1" si="1714"/>
        <v xml:space="preserve">   REVESTIMENTOS E ACABAMENTOS DE FACHADA</v>
      </c>
      <c r="L2109" s="231">
        <f t="shared" ca="1" si="1757"/>
        <v>3</v>
      </c>
      <c r="M2109" s="228" t="str">
        <f t="shared" ca="1" si="1715"/>
        <v xml:space="preserve">   Acabamentos Especiais em Fachada</v>
      </c>
      <c r="N2109" s="231">
        <f t="shared" ca="1" si="1758"/>
        <v>1</v>
      </c>
      <c r="O2109" s="228" t="str">
        <f t="shared" ca="1" si="1716"/>
        <v>Revestimento Porcelanato - aplicacao em paredes externas</v>
      </c>
      <c r="P2109" s="232" t="str">
        <f>IF(S2109="","",IF(Orçamento!$B2109="INSUMO",S2109,""))</f>
        <v>REVESTIMENTO -  PORCELANATO 20X120 EXT RET</v>
      </c>
      <c r="Q2109" s="244" t="str">
        <f t="shared" si="1751"/>
        <v/>
      </c>
      <c r="R2109" s="234">
        <f t="shared" ca="1" si="1710"/>
        <v>253.17999999999998</v>
      </c>
      <c r="S2109" s="233" t="s">
        <v>1066</v>
      </c>
      <c r="T2109" s="242" t="str">
        <f>_xlfn.XLOOKUP(S2109,Insumos!$A$3:$A$371,Insumos!$B$3:$B$371)</f>
        <v>M2</v>
      </c>
      <c r="U2109" s="235">
        <f t="shared" ref="U2109:U2114" ca="1" si="1759">IF($B2109="insumo",R2109,"")</f>
        <v>253.17999999999998</v>
      </c>
      <c r="V2109" s="320">
        <v>1.1499999999999999</v>
      </c>
      <c r="W2109" s="236">
        <f>IFERROR(IF(B2109="INSUMO",_xlfn.XLOOKUP(S2109,Insumos!A:A,Insumos!C:C),""),"Inserir Preço")</f>
        <v>125.5</v>
      </c>
      <c r="X2109" s="235">
        <f t="shared" ca="1" si="1711"/>
        <v>291.15699999999993</v>
      </c>
      <c r="Y2109" s="236">
        <f t="shared" si="1752"/>
        <v>144.32499999999999</v>
      </c>
      <c r="Z2109" s="237">
        <f t="shared" ca="1" si="1708"/>
        <v>36540.203499999989</v>
      </c>
      <c r="AA2109" s="238"/>
      <c r="AB2109" s="233">
        <f>IF(B2109="insumo",_xlfn.XLOOKUP(S2109,Insumos!A:A,Insumos!D:D),"")</f>
        <v>0</v>
      </c>
      <c r="AC2109" s="239">
        <f t="shared" ca="1" si="1709"/>
        <v>5.2420253365835908E-3</v>
      </c>
      <c r="AE2109" s="240">
        <f ca="1">IFERROR(IF(OR(Z2109="",Z2109=0),"",IF(AF2109="","",IF(AF2109="R$/mês",Z2109/OBRA!$D$12,IF(AF2109="R$/m²",Z2109/OBRA!$D$10,IF(AF2109="R$/apto",Orçamento!Z2109/OBRA!$D$11,""))))),"")</f>
        <v>18.803849003977906</v>
      </c>
      <c r="AF2109" s="241" t="s">
        <v>154</v>
      </c>
    </row>
    <row r="2110" spans="1:32" s="10" customFormat="1" ht="13.15" hidden="1" customHeight="1" outlineLevel="4" x14ac:dyDescent="0.2">
      <c r="A2110" s="227"/>
      <c r="B2110" s="228" t="s">
        <v>19</v>
      </c>
      <c r="C2110" s="229">
        <f t="shared" si="1707"/>
        <v>16</v>
      </c>
      <c r="D2110" s="227" t="str">
        <f t="shared" si="1753"/>
        <v/>
      </c>
      <c r="E2110" s="228" t="str">
        <f t="shared" ca="1" si="1754"/>
        <v>20.001.003.001</v>
      </c>
      <c r="F2110" s="230">
        <f ca="1">IF($B2110="UNIDADE CONSTRUTIVA",OFFSET(F2110,-1,0)+1,LARGE(F$10:F2109,1))</f>
        <v>2</v>
      </c>
      <c r="G2110" s="228" t="str">
        <f t="shared" ca="1" si="1712"/>
        <v xml:space="preserve">   GERENCIAMENTO EXECUTIVO</v>
      </c>
      <c r="H2110" s="230">
        <f t="shared" ca="1" si="1755"/>
        <v>20</v>
      </c>
      <c r="I2110" s="228" t="str">
        <f t="shared" ca="1" si="1713"/>
        <v xml:space="preserve">   REVESTIMENTOS E ACABAMENTOS DE FACHADA</v>
      </c>
      <c r="J2110" s="230">
        <f t="shared" ca="1" si="1756"/>
        <v>1</v>
      </c>
      <c r="K2110" s="228" t="str">
        <f t="shared" ca="1" si="1714"/>
        <v xml:space="preserve">   REVESTIMENTOS E ACABAMENTOS DE FACHADA</v>
      </c>
      <c r="L2110" s="231">
        <f t="shared" ca="1" si="1757"/>
        <v>3</v>
      </c>
      <c r="M2110" s="228" t="str">
        <f t="shared" ca="1" si="1715"/>
        <v xml:space="preserve">   Acabamentos Especiais em Fachada</v>
      </c>
      <c r="N2110" s="231">
        <f t="shared" ca="1" si="1758"/>
        <v>1</v>
      </c>
      <c r="O2110" s="228" t="str">
        <f t="shared" ca="1" si="1716"/>
        <v>Revestimento Porcelanato - aplicacao em paredes externas</v>
      </c>
      <c r="P2110" s="232" t="str">
        <f>IF(S2110="","",IF(Orçamento!$B2110="INSUMO",S2110,""))</f>
        <v>ARGAMASSA COLANTE AC III</v>
      </c>
      <c r="Q2110" s="244" t="str">
        <f t="shared" si="1751"/>
        <v/>
      </c>
      <c r="R2110" s="234">
        <f t="shared" ca="1" si="1710"/>
        <v>253.17999999999998</v>
      </c>
      <c r="S2110" s="233" t="s">
        <v>357</v>
      </c>
      <c r="T2110" s="242" t="str">
        <f>_xlfn.XLOOKUP(S2110,Insumos!$A$3:$A$371,Insumos!$B$3:$B$371)</f>
        <v>KG</v>
      </c>
      <c r="U2110" s="235">
        <f t="shared" ca="1" si="1759"/>
        <v>253.17999999999998</v>
      </c>
      <c r="V2110" s="320">
        <v>12.5</v>
      </c>
      <c r="W2110" s="236">
        <f>IFERROR(IF(B2110="INSUMO",_xlfn.XLOOKUP(S2110,Insumos!A:A,Insumos!C:C),""),"Inserir Preço")</f>
        <v>0.92500000000000004</v>
      </c>
      <c r="X2110" s="235">
        <f t="shared" ca="1" si="1711"/>
        <v>3164.7499999999995</v>
      </c>
      <c r="Y2110" s="236">
        <f t="shared" si="1752"/>
        <v>11.5625</v>
      </c>
      <c r="Z2110" s="237">
        <f t="shared" ca="1" si="1708"/>
        <v>2927.3937499999997</v>
      </c>
      <c r="AA2110" s="238"/>
      <c r="AB2110" s="233" t="str">
        <f>IF(B2110="insumo",_xlfn.XLOOKUP(S2110,Insumos!A:A,Insumos!D:D),"")</f>
        <v>Argabrus</v>
      </c>
      <c r="AC2110" s="239">
        <f t="shared" ca="1" si="1709"/>
        <v>4.1996132308503572E-4</v>
      </c>
      <c r="AE2110" s="240">
        <f ca="1">IFERROR(IF(OR(Z2110="",Z2110=0),"",IF(AF2110="","",IF(AF2110="R$/mês",Z2110/OBRA!$D$12,IF(AF2110="R$/m²",Z2110/OBRA!$D$10,IF(AF2110="R$/apto",Orçamento!Z2110/OBRA!$D$11,""))))),"")</f>
        <v>1.5064576761371529</v>
      </c>
      <c r="AF2110" s="241" t="s">
        <v>154</v>
      </c>
    </row>
    <row r="2111" spans="1:32" s="10" customFormat="1" ht="13.15" hidden="1" customHeight="1" outlineLevel="4" x14ac:dyDescent="0.2">
      <c r="A2111" s="227"/>
      <c r="B2111" s="228" t="s">
        <v>19</v>
      </c>
      <c r="C2111" s="229">
        <f t="shared" si="1707"/>
        <v>2</v>
      </c>
      <c r="D2111" s="227" t="str">
        <f>IF(B2111="Unidade Construtiva",TEXT(F2111,"00"),IF(B2111="Célula Construtiva",TEXT(H2111,"00"),IF(B2111="Etapa",CONCATENATE(TEXT(H2111,"00"),".",TEXT(J2111,"000")),IF(B2111="Subetapa",CONCATENATE(TEXT(H2111,"00"),".",TEXT(J2111,"000"),".",TEXT(L2111,"000")),IF(B2111="Serviço",CONCATENATE(TEXT(H2111,"00"),".",TEXT(J2111,"000"),".",TEXT(L2111,"000"),".",TEXT(N2111,"000")),"")))))</f>
        <v/>
      </c>
      <c r="E2111" s="228" t="str">
        <f ca="1">IF(B2111="*","",IFERROR(IF(B2111="SERVIÇO",D2111,OFFSET(E2111,-1,0)),""))</f>
        <v>20.001.003.001</v>
      </c>
      <c r="F2111" s="230">
        <f ca="1">IF($B2111="UNIDADE CONSTRUTIVA",OFFSET(F2111,-1,0)+1,LARGE(F$10:F2110,1))</f>
        <v>2</v>
      </c>
      <c r="G2111" s="228" t="str">
        <f ca="1">IF(B2111="*","",IF(B2111="UNIDADE CONSTRUTIVA",S2111,OFFSET(G2111,-1,0)))</f>
        <v xml:space="preserve">   GERENCIAMENTO EXECUTIVO</v>
      </c>
      <c r="H2111" s="230">
        <f ca="1">IF(B2111="UNIDADE CONSTRUTIVA",0,IF(B2111="CÉLULA CONSTRUTIVA",OFFSET(H2111,-1,0)+1,OFFSET(H2111,-1,0)))</f>
        <v>20</v>
      </c>
      <c r="I2111" s="228" t="str">
        <f ca="1">IF(B2111="*","",IF(B2111="CÉLULA CONSTRUTIVA",S2111,OFFSET(I2111,-1,0)))</f>
        <v xml:space="preserve">   REVESTIMENTOS E ACABAMENTOS DE FACHADA</v>
      </c>
      <c r="J2111" s="230">
        <f ca="1">IF(B2111="CÉLULA CONSTRUTIVA",0,IF(B2111="ETAPA",OFFSET(J2111,-1,0)+1,OFFSET(J2111,-1,0)))</f>
        <v>1</v>
      </c>
      <c r="K2111" s="228" t="str">
        <f ca="1">IF(B2111="*","",IF(B2111="ETAPA",S2111,OFFSET(K2111,-1,0)))</f>
        <v xml:space="preserve">   REVESTIMENTOS E ACABAMENTOS DE FACHADA</v>
      </c>
      <c r="L2111" s="231">
        <f ca="1">IF(B2111="ETAPA",0,IF(B2111="SUBETAPA",OFFSET(L2111,-1,0)+1,OFFSET(L2111,-1,0)))</f>
        <v>3</v>
      </c>
      <c r="M2111" s="228" t="str">
        <f ca="1">IF(B2111="*","",IF(B2111="SUBETAPA",S2111,OFFSET(M2111,-1,0)))</f>
        <v xml:space="preserve">   Acabamentos Especiais em Fachada</v>
      </c>
      <c r="N2111" s="231">
        <f ca="1">IF(B2111="Subetapa",0,IF(B2111="serviço",OFFSET(N2111,-1,0)+1,OFFSET(N2111,-1,0)))</f>
        <v>1</v>
      </c>
      <c r="O2111" s="228" t="str">
        <f ca="1">IF(B2111="*","",IF(B2111="SERVIÇO",S2111,OFFSET(O2111,-1,0)))</f>
        <v>Revestimento Porcelanato - aplicacao em paredes externas</v>
      </c>
      <c r="P2111" s="232" t="str">
        <f>IF(S2111="","",IF(Orçamento!$B2111="INSUMO",S2111,""))</f>
        <v>REJUNTE FLEXIVEL EPOXI BICOMPONENTE NBR 14992</v>
      </c>
      <c r="Q2111" s="244" t="str">
        <f>IF(B2111="","",IF(B2111="Serviço",S2111,""))</f>
        <v/>
      </c>
      <c r="R2111" s="234">
        <f ca="1">IF(B2111="serviço",U2111,OFFSET(R2111,-1,0))</f>
        <v>253.17999999999998</v>
      </c>
      <c r="S2111" s="233" t="s">
        <v>735</v>
      </c>
      <c r="T2111" s="242" t="str">
        <f>_xlfn.XLOOKUP(S2111,Insumos!$A$3:$A$371,Insumos!$B$3:$B$371)</f>
        <v>KG</v>
      </c>
      <c r="U2111" s="235">
        <f t="shared" ca="1" si="1759"/>
        <v>253.17999999999998</v>
      </c>
      <c r="V2111" s="320">
        <v>0.5</v>
      </c>
      <c r="W2111" s="236">
        <f>IFERROR(IF(B2111="INSUMO",_xlfn.XLOOKUP(S2111,Insumos!A:A,Insumos!C:C),""),"Inserir Preço")</f>
        <v>4.45</v>
      </c>
      <c r="X2111" s="235">
        <f t="shared" ca="1" si="1711"/>
        <v>126.58999999999999</v>
      </c>
      <c r="Y2111" s="236">
        <f t="shared" si="1752"/>
        <v>2.2250000000000001</v>
      </c>
      <c r="Z2111" s="237">
        <f t="shared" ca="1" si="1708"/>
        <v>563.32549999999992</v>
      </c>
      <c r="AA2111" s="238"/>
      <c r="AB2111" s="233" t="str">
        <f>IF(B2111="insumo",_xlfn.XLOOKUP(S2111,Insumos!A:A,Insumos!D:D),"")</f>
        <v>Distribuidora Sika</v>
      </c>
      <c r="AC2111" s="239">
        <f t="shared" ca="1" si="1709"/>
        <v>8.0814178928796058E-5</v>
      </c>
      <c r="AE2111" s="240">
        <f ca="1">IFERROR(IF(OR(Z2111="",Z2111=0),"",IF(AF2111="","",IF(AF2111="R$/mês",Z2111/OBRA!$D$12,IF(AF2111="R$/m²",Z2111/OBRA!$D$10,IF(AF2111="R$/apto",Orçamento!Z2111/OBRA!$D$11,""))))),"")</f>
        <v>0.28989131497558185</v>
      </c>
      <c r="AF2111" s="241" t="s">
        <v>154</v>
      </c>
    </row>
    <row r="2112" spans="1:32" s="10" customFormat="1" ht="13.15" hidden="1" customHeight="1" outlineLevel="4" x14ac:dyDescent="0.2">
      <c r="A2112" s="227"/>
      <c r="B2112" s="228" t="s">
        <v>19</v>
      </c>
      <c r="C2112" s="229">
        <f t="shared" si="1707"/>
        <v>14</v>
      </c>
      <c r="D2112" s="227" t="str">
        <f>IF(B2112="Unidade Construtiva",TEXT(F2112,"00"),IF(B2112="Célula Construtiva",TEXT(H2112,"00"),IF(B2112="Etapa",CONCATENATE(TEXT(H2112,"00"),".",TEXT(J2112,"000")),IF(B2112="Subetapa",CONCATENATE(TEXT(H2112,"00"),".",TEXT(J2112,"000"),".",TEXT(L2112,"000")),IF(B2112="Serviço",CONCATENATE(TEXT(H2112,"00"),".",TEXT(J2112,"000"),".",TEXT(L2112,"000"),".",TEXT(N2112,"000")),"")))))</f>
        <v/>
      </c>
      <c r="E2112" s="228" t="str">
        <f ca="1">IF(B2112="*","",IFERROR(IF(B2112="SERVIÇO",D2112,OFFSET(E2112,-1,0)),""))</f>
        <v>20.001.003.001</v>
      </c>
      <c r="F2112" s="230">
        <f ca="1">IF($B2112="UNIDADE CONSTRUTIVA",OFFSET(F2112,-1,0)+1,LARGE(F$10:F2111,1))</f>
        <v>2</v>
      </c>
      <c r="G2112" s="228" t="str">
        <f ca="1">IF(B2112="*","",IF(B2112="UNIDADE CONSTRUTIVA",S2112,OFFSET(G2112,-1,0)))</f>
        <v xml:space="preserve">   GERENCIAMENTO EXECUTIVO</v>
      </c>
      <c r="H2112" s="230">
        <f ca="1">IF(B2112="UNIDADE CONSTRUTIVA",0,IF(B2112="CÉLULA CONSTRUTIVA",OFFSET(H2112,-1,0)+1,OFFSET(H2112,-1,0)))</f>
        <v>20</v>
      </c>
      <c r="I2112" s="228" t="str">
        <f ca="1">IF(B2112="*","",IF(B2112="CÉLULA CONSTRUTIVA",S2112,OFFSET(I2112,-1,0)))</f>
        <v xml:space="preserve">   REVESTIMENTOS E ACABAMENTOS DE FACHADA</v>
      </c>
      <c r="J2112" s="230">
        <f ca="1">IF(B2112="CÉLULA CONSTRUTIVA",0,IF(B2112="ETAPA",OFFSET(J2112,-1,0)+1,OFFSET(J2112,-1,0)))</f>
        <v>1</v>
      </c>
      <c r="K2112" s="228" t="str">
        <f ca="1">IF(B2112="*","",IF(B2112="ETAPA",S2112,OFFSET(K2112,-1,0)))</f>
        <v xml:space="preserve">   REVESTIMENTOS E ACABAMENTOS DE FACHADA</v>
      </c>
      <c r="L2112" s="231">
        <f ca="1">IF(B2112="ETAPA",0,IF(B2112="SUBETAPA",OFFSET(L2112,-1,0)+1,OFFSET(L2112,-1,0)))</f>
        <v>3</v>
      </c>
      <c r="M2112" s="228" t="str">
        <f ca="1">IF(B2112="*","",IF(B2112="SUBETAPA",S2112,OFFSET(M2112,-1,0)))</f>
        <v xml:space="preserve">   Acabamentos Especiais em Fachada</v>
      </c>
      <c r="N2112" s="231">
        <f ca="1">IF(B2112="Subetapa",0,IF(B2112="serviço",OFFSET(N2112,-1,0)+1,OFFSET(N2112,-1,0)))</f>
        <v>1</v>
      </c>
      <c r="O2112" s="228" t="str">
        <f ca="1">IF(B2112="*","",IF(B2112="SERVIÇO",S2112,OFFSET(O2112,-1,0)))</f>
        <v>Revestimento Porcelanato - aplicacao em paredes externas</v>
      </c>
      <c r="P2112" s="232" t="str">
        <f>IF(S2112="","",IF(Orçamento!$B2112="INSUMO",S2112,""))</f>
        <v>ESPACADOR PVC NIVELAMENTO REVESTIMENTO 1,0MM NBR 6118</v>
      </c>
      <c r="Q2112" s="244" t="str">
        <f>IF(B2112="","",IF(B2112="Serviço",S2112,""))</f>
        <v/>
      </c>
      <c r="R2112" s="234">
        <f ca="1">IF(B2112="serviço",U2112,OFFSET(R2112,-1,0))</f>
        <v>253.17999999999998</v>
      </c>
      <c r="S2112" s="233" t="s">
        <v>715</v>
      </c>
      <c r="T2112" s="242" t="str">
        <f>_xlfn.XLOOKUP(S2112,Insumos!$A$3:$A$371,Insumos!$B$3:$B$371)</f>
        <v>UN</v>
      </c>
      <c r="U2112" s="235">
        <f t="shared" ca="1" si="1759"/>
        <v>253.17999999999998</v>
      </c>
      <c r="V2112" s="320">
        <v>4</v>
      </c>
      <c r="W2112" s="236">
        <f>IFERROR(IF(B2112="INSUMO",_xlfn.XLOOKUP(S2112,Insumos!A:A,Insumos!C:C),""),"Inserir Preço")</f>
        <v>0.22</v>
      </c>
      <c r="X2112" s="235">
        <f t="shared" ca="1" si="1711"/>
        <v>1012.7199999999999</v>
      </c>
      <c r="Y2112" s="236">
        <f t="shared" si="1752"/>
        <v>0.88</v>
      </c>
      <c r="Z2112" s="237">
        <f t="shared" ca="1" si="1708"/>
        <v>222.79839999999999</v>
      </c>
      <c r="AA2112" s="238"/>
      <c r="AB2112" s="233" t="str">
        <f>IF(B2112="insumo",_xlfn.XLOOKUP(S2112,Insumos!A:A,Insumos!D:D),"")</f>
        <v>Base de Dados</v>
      </c>
      <c r="AC2112" s="239">
        <f t="shared" ca="1" si="1709"/>
        <v>3.1962461778580018E-5</v>
      </c>
      <c r="AE2112" s="240">
        <f ca="1">IFERROR(IF(OR(Z2112="",Z2112=0),"",IF(AF2112="","",IF(AF2112="R$/mês",Z2112/OBRA!$D$12,IF(AF2112="R$/m²",Z2112/OBRA!$D$10,IF(AF2112="R$/apto",Orçamento!Z2112/OBRA!$D$11,""))))),"")</f>
        <v>0.11465364367573574</v>
      </c>
      <c r="AF2112" s="241" t="s">
        <v>154</v>
      </c>
    </row>
    <row r="2113" spans="1:32" s="10" customFormat="1" ht="13.15" hidden="1" customHeight="1" outlineLevel="4" x14ac:dyDescent="0.2">
      <c r="A2113" s="227"/>
      <c r="B2113" s="228" t="s">
        <v>19</v>
      </c>
      <c r="C2113" s="229">
        <f t="shared" si="1707"/>
        <v>14</v>
      </c>
      <c r="D2113" s="227" t="str">
        <f t="shared" si="1753"/>
        <v/>
      </c>
      <c r="E2113" s="228" t="str">
        <f t="shared" ca="1" si="1754"/>
        <v>20.001.003.001</v>
      </c>
      <c r="F2113" s="230">
        <f ca="1">IF($B2113="UNIDADE CONSTRUTIVA",OFFSET(F2113,-1,0)+1,LARGE(F$10:F2112,1))</f>
        <v>2</v>
      </c>
      <c r="G2113" s="228" t="str">
        <f t="shared" ca="1" si="1712"/>
        <v xml:space="preserve">   GERENCIAMENTO EXECUTIVO</v>
      </c>
      <c r="H2113" s="230">
        <f t="shared" ca="1" si="1755"/>
        <v>20</v>
      </c>
      <c r="I2113" s="228" t="str">
        <f t="shared" ca="1" si="1713"/>
        <v xml:space="preserve">   REVESTIMENTOS E ACABAMENTOS DE FACHADA</v>
      </c>
      <c r="J2113" s="230">
        <f t="shared" ca="1" si="1756"/>
        <v>1</v>
      </c>
      <c r="K2113" s="228" t="str">
        <f t="shared" ca="1" si="1714"/>
        <v xml:space="preserve">   REVESTIMENTOS E ACABAMENTOS DE FACHADA</v>
      </c>
      <c r="L2113" s="231">
        <f t="shared" ca="1" si="1757"/>
        <v>3</v>
      </c>
      <c r="M2113" s="228" t="str">
        <f t="shared" ca="1" si="1715"/>
        <v xml:space="preserve">   Acabamentos Especiais em Fachada</v>
      </c>
      <c r="N2113" s="231">
        <f t="shared" ca="1" si="1758"/>
        <v>1</v>
      </c>
      <c r="O2113" s="228" t="str">
        <f t="shared" ca="1" si="1716"/>
        <v>Revestimento Porcelanato - aplicacao em paredes externas</v>
      </c>
      <c r="P2113" s="232" t="str">
        <f>IF(S2113="","",IF(Orçamento!$B2113="INSUMO",S2113,""))</f>
        <v>CUNHA PVC P/NIVELAMENTO PISO NBR 6118</v>
      </c>
      <c r="Q2113" s="244" t="str">
        <f t="shared" si="1751"/>
        <v/>
      </c>
      <c r="R2113" s="234">
        <f t="shared" ca="1" si="1710"/>
        <v>253.17999999999998</v>
      </c>
      <c r="S2113" s="233" t="s">
        <v>717</v>
      </c>
      <c r="T2113" s="242" t="str">
        <f>_xlfn.XLOOKUP(S2113,Insumos!$A$3:$A$371,Insumos!$B$3:$B$371)</f>
        <v>UN</v>
      </c>
      <c r="U2113" s="235">
        <f t="shared" ca="1" si="1759"/>
        <v>253.17999999999998</v>
      </c>
      <c r="V2113" s="320">
        <v>2</v>
      </c>
      <c r="W2113" s="236">
        <f>IFERROR(IF(B2113="INSUMO",_xlfn.XLOOKUP(S2113,Insumos!A:A,Insumos!C:C),""),"Inserir Preço")</f>
        <v>0.2</v>
      </c>
      <c r="X2113" s="235">
        <f t="shared" ca="1" si="1711"/>
        <v>506.35999999999996</v>
      </c>
      <c r="Y2113" s="236">
        <f t="shared" si="1752"/>
        <v>0.4</v>
      </c>
      <c r="Z2113" s="237">
        <f t="shared" ca="1" si="1708"/>
        <v>101.27199999999999</v>
      </c>
      <c r="AA2113" s="238"/>
      <c r="AB2113" s="233" t="str">
        <f>IF(B2113="insumo",_xlfn.XLOOKUP(S2113,Insumos!A:A,Insumos!D:D),"")</f>
        <v>Base de Dados</v>
      </c>
      <c r="AC2113" s="239">
        <f t="shared" ca="1" si="1709"/>
        <v>1.4528391717536372E-5</v>
      </c>
      <c r="AE2113" s="240">
        <f ca="1">IFERROR(IF(OR(Z2113="",Z2113=0),"",IF(AF2113="","",IF(AF2113="R$/mês",Z2113/OBRA!$D$12,IF(AF2113="R$/m²",Z2113/OBRA!$D$10,IF(AF2113="R$/apto",Orçamento!Z2113/OBRA!$D$11,""))))),"")</f>
        <v>5.2115292579879888E-2</v>
      </c>
      <c r="AF2113" s="241" t="s">
        <v>154</v>
      </c>
    </row>
    <row r="2114" spans="1:32" s="10" customFormat="1" ht="13.15" hidden="1" customHeight="1" outlineLevel="3" collapsed="1" x14ac:dyDescent="0.2">
      <c r="A2114" s="227"/>
      <c r="B2114" s="228" t="s">
        <v>3</v>
      </c>
      <c r="C2114" s="229" t="str">
        <f t="shared" si="1707"/>
        <v/>
      </c>
      <c r="D2114" s="227" t="str">
        <f t="shared" ca="1" si="1753"/>
        <v>20.001.004</v>
      </c>
      <c r="E2114" s="228" t="str">
        <f t="shared" ca="1" si="1754"/>
        <v>20.001.003.001</v>
      </c>
      <c r="F2114" s="230">
        <f ca="1">IF($B2114="UNIDADE CONSTRUTIVA",OFFSET(F2114,-1,0)+1,LARGE(F$10:F2113,1))</f>
        <v>2</v>
      </c>
      <c r="G2114" s="228" t="str">
        <f t="shared" ca="1" si="1712"/>
        <v xml:space="preserve">   GERENCIAMENTO EXECUTIVO</v>
      </c>
      <c r="H2114" s="230">
        <f t="shared" ca="1" si="1755"/>
        <v>20</v>
      </c>
      <c r="I2114" s="228" t="str">
        <f t="shared" ca="1" si="1713"/>
        <v xml:space="preserve">   REVESTIMENTOS E ACABAMENTOS DE FACHADA</v>
      </c>
      <c r="J2114" s="230">
        <f t="shared" ca="1" si="1756"/>
        <v>1</v>
      </c>
      <c r="K2114" s="228" t="str">
        <f t="shared" ca="1" si="1714"/>
        <v xml:space="preserve">   REVESTIMENTOS E ACABAMENTOS DE FACHADA</v>
      </c>
      <c r="L2114" s="231">
        <f t="shared" ca="1" si="1757"/>
        <v>4</v>
      </c>
      <c r="M2114" s="228" t="str">
        <f t="shared" ca="1" si="1715"/>
        <v xml:space="preserve">   Mão de Obra</v>
      </c>
      <c r="N2114" s="231">
        <f t="shared" ca="1" si="1758"/>
        <v>0</v>
      </c>
      <c r="O2114" s="228" t="str">
        <f t="shared" ca="1" si="1716"/>
        <v>Revestimento Porcelanato - aplicacao em paredes externas</v>
      </c>
      <c r="P2114" s="232" t="str">
        <f>IF(S2114="","",IF(Orçamento!$B2114="INSUMO",S2114,""))</f>
        <v/>
      </c>
      <c r="Q2114" s="244" t="str">
        <f t="shared" si="1751"/>
        <v/>
      </c>
      <c r="R2114" s="234">
        <f t="shared" ca="1" si="1710"/>
        <v>253.17999999999998</v>
      </c>
      <c r="S2114" s="233" t="s">
        <v>438</v>
      </c>
      <c r="T2114" s="242" t="s">
        <v>35</v>
      </c>
      <c r="U2114" s="235" t="str">
        <f t="shared" si="1759"/>
        <v/>
      </c>
      <c r="V2114" s="320" t="s">
        <v>35</v>
      </c>
      <c r="W2114" s="236" t="str">
        <f>IFERROR(IF(B2114="INSUMO",_xlfn.XLOOKUP(S2114,Insumos!A:A,Insumos!C:C),""),"Inserir Preço")</f>
        <v/>
      </c>
      <c r="X2114" s="235" t="str">
        <f t="shared" ca="1" si="1711"/>
        <v/>
      </c>
      <c r="Y2114" s="236" t="str">
        <f t="shared" si="1752"/>
        <v/>
      </c>
      <c r="Z2114" s="237">
        <f t="shared" ca="1" si="1708"/>
        <v>258520</v>
      </c>
      <c r="AA2114" s="238"/>
      <c r="AB2114" s="233" t="str">
        <f>IF(B2114="insumo",_xlfn.XLOOKUP(S2114,Insumos!A:A,Insumos!D:D),"")</f>
        <v/>
      </c>
      <c r="AC2114" s="239">
        <f t="shared" ca="1" si="1709"/>
        <v>3.7087050979713085E-2</v>
      </c>
      <c r="AE2114" s="240">
        <f ca="1">IFERROR(IF(OR(Z2114="",Z2114=0),"",IF(AF2114="","",IF(AF2114="R$/mês",Z2114/OBRA!$D$12,IF(AF2114="R$/m²",Z2114/OBRA!$D$10,IF(AF2114="R$/apto",Orçamento!Z2114/OBRA!$D$11,""))))),"")</f>
        <v>133.03623348754394</v>
      </c>
      <c r="AF2114" s="241" t="s">
        <v>154</v>
      </c>
    </row>
    <row r="2115" spans="1:32" s="10" customFormat="1" ht="13.15" hidden="1" customHeight="1" outlineLevel="4" x14ac:dyDescent="0.2">
      <c r="A2115" s="227"/>
      <c r="B2115" s="228" t="s">
        <v>4</v>
      </c>
      <c r="C2115" s="229">
        <f t="shared" si="1707"/>
        <v>1</v>
      </c>
      <c r="D2115" s="227" t="str">
        <f t="shared" ca="1" si="1753"/>
        <v>20.001.004.001</v>
      </c>
      <c r="E2115" s="228" t="str">
        <f t="shared" ca="1" si="1754"/>
        <v>20.001.004.001</v>
      </c>
      <c r="F2115" s="230">
        <f ca="1">IF($B2115="UNIDADE CONSTRUTIVA",OFFSET(F2115,-1,0)+1,LARGE(F$10:F2114,1))</f>
        <v>2</v>
      </c>
      <c r="G2115" s="228" t="str">
        <f t="shared" ca="1" si="1712"/>
        <v xml:space="preserve">   GERENCIAMENTO EXECUTIVO</v>
      </c>
      <c r="H2115" s="230">
        <f t="shared" ca="1" si="1755"/>
        <v>20</v>
      </c>
      <c r="I2115" s="228" t="str">
        <f t="shared" ca="1" si="1713"/>
        <v xml:space="preserve">   REVESTIMENTOS E ACABAMENTOS DE FACHADA</v>
      </c>
      <c r="J2115" s="230">
        <f t="shared" ca="1" si="1756"/>
        <v>1</v>
      </c>
      <c r="K2115" s="228" t="str">
        <f t="shared" ca="1" si="1714"/>
        <v xml:space="preserve">   REVESTIMENTOS E ACABAMENTOS DE FACHADA</v>
      </c>
      <c r="L2115" s="231">
        <f t="shared" ca="1" si="1757"/>
        <v>4</v>
      </c>
      <c r="M2115" s="228" t="str">
        <f t="shared" ca="1" si="1715"/>
        <v xml:space="preserve">   Mão de Obra</v>
      </c>
      <c r="N2115" s="231">
        <f t="shared" ca="1" si="1758"/>
        <v>1</v>
      </c>
      <c r="O2115" s="228" t="str">
        <f t="shared" ca="1" si="1716"/>
        <v>Mao de obra para reboco externo, inclui chapisco</v>
      </c>
      <c r="P2115" s="232" t="str">
        <f>IF(S2115="","",IF(Orçamento!$B2115="INSUMO",S2115,""))</f>
        <v/>
      </c>
      <c r="Q2115" s="244" t="str">
        <f t="shared" si="1751"/>
        <v>Mao de obra para reboco externo, inclui chapisco</v>
      </c>
      <c r="R2115" s="234">
        <f t="shared" ca="1" si="1710"/>
        <v>1878.05</v>
      </c>
      <c r="S2115" s="233" t="s">
        <v>520</v>
      </c>
      <c r="T2115" s="242" t="s">
        <v>140</v>
      </c>
      <c r="U2115" s="235">
        <f>U2096</f>
        <v>1878.05</v>
      </c>
      <c r="V2115" s="320" t="s">
        <v>35</v>
      </c>
      <c r="W2115" s="236" t="str">
        <f>IFERROR(IF(B2115="INSUMO",_xlfn.XLOOKUP(S2115,Insumos!A:A,Insumos!C:C),""),"Inserir Preço")</f>
        <v/>
      </c>
      <c r="X2115" s="235">
        <f t="shared" ca="1" si="1711"/>
        <v>1878.05</v>
      </c>
      <c r="Y2115" s="236">
        <f t="shared" ca="1" si="1752"/>
        <v>99.198636884002028</v>
      </c>
      <c r="Z2115" s="237">
        <f t="shared" ca="1" si="1708"/>
        <v>186300</v>
      </c>
      <c r="AA2115" s="238"/>
      <c r="AB2115" s="233" t="str">
        <f>IF(B2115="insumo",_xlfn.XLOOKUP(S2115,Insumos!A:A,Insumos!D:D),"")</f>
        <v/>
      </c>
      <c r="AC2115" s="239">
        <f t="shared" ca="1" si="1709"/>
        <v>2.6726433535202487E-2</v>
      </c>
      <c r="AE2115" s="240">
        <f ca="1">IFERROR(IF(OR(Z2115="",Z2115=0),"",IF(AF2115="","",IF(AF2115="R$/mês",Z2115/OBRA!$D$12,IF(AF2115="R$/m²",Z2115/OBRA!$D$10,IF(AF2115="R$/apto",Orçamento!Z2115/OBRA!$D$11,""))))),"")</f>
        <v>95.871307050632197</v>
      </c>
      <c r="AF2115" s="241" t="s">
        <v>154</v>
      </c>
    </row>
    <row r="2116" spans="1:32" s="10" customFormat="1" ht="13.15" hidden="1" customHeight="1" outlineLevel="4" x14ac:dyDescent="0.2">
      <c r="A2116" s="227"/>
      <c r="B2116" s="228" t="s">
        <v>19</v>
      </c>
      <c r="C2116" s="229">
        <f t="shared" si="1707"/>
        <v>1</v>
      </c>
      <c r="D2116" s="227" t="str">
        <f t="shared" si="1753"/>
        <v/>
      </c>
      <c r="E2116" s="228" t="str">
        <f t="shared" ca="1" si="1754"/>
        <v>20.001.004.001</v>
      </c>
      <c r="F2116" s="230">
        <f ca="1">IF($B2116="UNIDADE CONSTRUTIVA",OFFSET(F2116,-1,0)+1,LARGE(F$10:F2115,1))</f>
        <v>2</v>
      </c>
      <c r="G2116" s="228" t="str">
        <f t="shared" ca="1" si="1712"/>
        <v xml:space="preserve">   GERENCIAMENTO EXECUTIVO</v>
      </c>
      <c r="H2116" s="230">
        <f t="shared" ca="1" si="1755"/>
        <v>20</v>
      </c>
      <c r="I2116" s="228" t="str">
        <f t="shared" ca="1" si="1713"/>
        <v xml:space="preserve">   REVESTIMENTOS E ACABAMENTOS DE FACHADA</v>
      </c>
      <c r="J2116" s="230">
        <f t="shared" ca="1" si="1756"/>
        <v>1</v>
      </c>
      <c r="K2116" s="228" t="str">
        <f t="shared" ca="1" si="1714"/>
        <v xml:space="preserve">   REVESTIMENTOS E ACABAMENTOS DE FACHADA</v>
      </c>
      <c r="L2116" s="231">
        <f t="shared" ca="1" si="1757"/>
        <v>4</v>
      </c>
      <c r="M2116" s="228" t="str">
        <f t="shared" ca="1" si="1715"/>
        <v xml:space="preserve">   Mão de Obra</v>
      </c>
      <c r="N2116" s="231">
        <f t="shared" ca="1" si="1758"/>
        <v>1</v>
      </c>
      <c r="O2116" s="228" t="str">
        <f t="shared" ca="1" si="1716"/>
        <v>Mao de obra para reboco externo, inclui chapisco</v>
      </c>
      <c r="P2116" s="232" t="str">
        <f>IF(S2116="","",IF(Orçamento!$B2116="INSUMO",S2116,""))</f>
        <v>MAO DE OBRA PARA CHAPISCO E REBOCO EXTERNOS</v>
      </c>
      <c r="Q2116" s="244" t="str">
        <f t="shared" si="1751"/>
        <v/>
      </c>
      <c r="R2116" s="234">
        <f t="shared" ca="1" si="1710"/>
        <v>1878.05</v>
      </c>
      <c r="S2116" s="233" t="s">
        <v>259</v>
      </c>
      <c r="T2116" s="242" t="str">
        <f>_xlfn.XLOOKUP(S2116,Insumos!$A$3:$A$371,Insumos!$B$3:$B$371)</f>
        <v>M2</v>
      </c>
      <c r="U2116" s="235">
        <f ca="1">IF($B2116="insumo",R2116,"")</f>
        <v>1878.05</v>
      </c>
      <c r="V2116" s="320">
        <v>1</v>
      </c>
      <c r="W2116" s="236">
        <f>IFERROR(IF(B2116="INSUMO",_xlfn.XLOOKUP(S2116,Insumos!A:A,Insumos!C:C),""),"Inserir Preço")</f>
        <v>99.198636884002028</v>
      </c>
      <c r="X2116" s="235">
        <f t="shared" ca="1" si="1711"/>
        <v>1878.05</v>
      </c>
      <c r="Y2116" s="236">
        <f t="shared" si="1752"/>
        <v>99.198636884002028</v>
      </c>
      <c r="Z2116" s="237">
        <f t="shared" ca="1" si="1708"/>
        <v>186300</v>
      </c>
      <c r="AA2116" s="238"/>
      <c r="AB2116" s="233" t="str">
        <f>IF(B2116="insumo",_xlfn.XLOOKUP(S2116,Insumos!A:A,Insumos!D:D),"")</f>
        <v>Aba Custo Serviços</v>
      </c>
      <c r="AC2116" s="239">
        <f t="shared" ca="1" si="1709"/>
        <v>2.6726433535202487E-2</v>
      </c>
      <c r="AE2116" s="240">
        <f ca="1">IFERROR(IF(OR(Z2116="",Z2116=0),"",IF(AF2116="","",IF(AF2116="R$/mês",Z2116/OBRA!$D$12,IF(AF2116="R$/m²",Z2116/OBRA!$D$10,IF(AF2116="R$/apto",Orçamento!Z2116/OBRA!$D$11,""))))),"")</f>
        <v>95.871307050632197</v>
      </c>
      <c r="AF2116" s="241" t="s">
        <v>154</v>
      </c>
    </row>
    <row r="2117" spans="1:32" s="10" customFormat="1" ht="13.15" hidden="1" customHeight="1" outlineLevel="4" x14ac:dyDescent="0.2">
      <c r="A2117" s="227"/>
      <c r="B2117" s="228" t="s">
        <v>4</v>
      </c>
      <c r="C2117" s="229">
        <f t="shared" si="1707"/>
        <v>1</v>
      </c>
      <c r="D2117" s="227" t="str">
        <f t="shared" ca="1" si="1753"/>
        <v>20.001.004.002</v>
      </c>
      <c r="E2117" s="228" t="str">
        <f t="shared" ca="1" si="1754"/>
        <v>20.001.004.002</v>
      </c>
      <c r="F2117" s="230">
        <f ca="1">IF($B2117="UNIDADE CONSTRUTIVA",OFFSET(F2117,-1,0)+1,LARGE(F$10:F2116,1))</f>
        <v>2</v>
      </c>
      <c r="G2117" s="228" t="str">
        <f t="shared" ca="1" si="1712"/>
        <v xml:space="preserve">   GERENCIAMENTO EXECUTIVO</v>
      </c>
      <c r="H2117" s="230">
        <f t="shared" ca="1" si="1755"/>
        <v>20</v>
      </c>
      <c r="I2117" s="228" t="str">
        <f t="shared" ca="1" si="1713"/>
        <v xml:space="preserve">   REVESTIMENTOS E ACABAMENTOS DE FACHADA</v>
      </c>
      <c r="J2117" s="230">
        <f t="shared" ca="1" si="1756"/>
        <v>1</v>
      </c>
      <c r="K2117" s="228" t="str">
        <f t="shared" ca="1" si="1714"/>
        <v xml:space="preserve">   REVESTIMENTOS E ACABAMENTOS DE FACHADA</v>
      </c>
      <c r="L2117" s="231">
        <f t="shared" ca="1" si="1757"/>
        <v>4</v>
      </c>
      <c r="M2117" s="228" t="str">
        <f t="shared" ca="1" si="1715"/>
        <v xml:space="preserve">   Mão de Obra</v>
      </c>
      <c r="N2117" s="231">
        <f t="shared" ca="1" si="1758"/>
        <v>2</v>
      </c>
      <c r="O2117" s="228" t="str">
        <f t="shared" ca="1" si="1716"/>
        <v>Mao de obra para pintura acrilica em paredes externas, 2 demaos</v>
      </c>
      <c r="P2117" s="232" t="str">
        <f>IF(S2117="","",IF(Orçamento!$B2117="INSUMO",S2117,""))</f>
        <v/>
      </c>
      <c r="Q2117" s="244" t="str">
        <f t="shared" si="1751"/>
        <v>Mao de obra para pintura acrilica em paredes externas, 2 demaos</v>
      </c>
      <c r="R2117" s="234">
        <f t="shared" ca="1" si="1710"/>
        <v>1624.8700000000001</v>
      </c>
      <c r="S2117" s="233" t="s">
        <v>521</v>
      </c>
      <c r="T2117" s="242" t="s">
        <v>140</v>
      </c>
      <c r="U2117" s="235">
        <f>U2105</f>
        <v>1624.8700000000001</v>
      </c>
      <c r="V2117" s="320" t="s">
        <v>35</v>
      </c>
      <c r="W2117" s="236" t="str">
        <f>IFERROR(IF(B2117="INSUMO",_xlfn.XLOOKUP(S2117,Insumos!A:A,Insumos!C:C),""),"Inserir Preço")</f>
        <v/>
      </c>
      <c r="X2117" s="235">
        <f t="shared" ca="1" si="1711"/>
        <v>1624.8700000000001</v>
      </c>
      <c r="Y2117" s="236">
        <f t="shared" ca="1" si="1752"/>
        <v>37.369143377624056</v>
      </c>
      <c r="Z2117" s="237">
        <f t="shared" ca="1" si="1708"/>
        <v>60720.000000000007</v>
      </c>
      <c r="AA2117" s="238"/>
      <c r="AB2117" s="233" t="str">
        <f>IF(B2117="insumo",_xlfn.XLOOKUP(S2117,Insumos!A:A,Insumos!D:D),"")</f>
        <v/>
      </c>
      <c r="AC2117" s="239">
        <f t="shared" ca="1" si="1709"/>
        <v>8.7108375966585896E-3</v>
      </c>
      <c r="AE2117" s="240">
        <f ca="1">IFERROR(IF(OR(Z2117="",Z2117=0),"",IF(AF2117="","",IF(AF2117="R$/mês",Z2117/OBRA!$D$12,IF(AF2117="R$/m²",Z2117/OBRA!$D$10,IF(AF2117="R$/apto",Orçamento!Z2117/OBRA!$D$11,""))))),"")</f>
        <v>31.246944520206053</v>
      </c>
      <c r="AF2117" s="241" t="s">
        <v>154</v>
      </c>
    </row>
    <row r="2118" spans="1:32" s="10" customFormat="1" ht="13.15" hidden="1" customHeight="1" outlineLevel="4" x14ac:dyDescent="0.2">
      <c r="A2118" s="227"/>
      <c r="B2118" s="228" t="s">
        <v>19</v>
      </c>
      <c r="C2118" s="229">
        <f t="shared" si="1707"/>
        <v>1</v>
      </c>
      <c r="D2118" s="227" t="str">
        <f t="shared" si="1753"/>
        <v/>
      </c>
      <c r="E2118" s="228" t="str">
        <f t="shared" ca="1" si="1754"/>
        <v>20.001.004.002</v>
      </c>
      <c r="F2118" s="230">
        <f ca="1">IF($B2118="UNIDADE CONSTRUTIVA",OFFSET(F2118,-1,0)+1,LARGE(F$10:F2117,1))</f>
        <v>2</v>
      </c>
      <c r="G2118" s="228" t="str">
        <f t="shared" ca="1" si="1712"/>
        <v xml:space="preserve">   GERENCIAMENTO EXECUTIVO</v>
      </c>
      <c r="H2118" s="230">
        <f t="shared" ca="1" si="1755"/>
        <v>20</v>
      </c>
      <c r="I2118" s="228" t="str">
        <f t="shared" ca="1" si="1713"/>
        <v xml:space="preserve">   REVESTIMENTOS E ACABAMENTOS DE FACHADA</v>
      </c>
      <c r="J2118" s="230">
        <f t="shared" ca="1" si="1756"/>
        <v>1</v>
      </c>
      <c r="K2118" s="228" t="str">
        <f t="shared" ca="1" si="1714"/>
        <v xml:space="preserve">   REVESTIMENTOS E ACABAMENTOS DE FACHADA</v>
      </c>
      <c r="L2118" s="231">
        <f t="shared" ca="1" si="1757"/>
        <v>4</v>
      </c>
      <c r="M2118" s="228" t="str">
        <f t="shared" ca="1" si="1715"/>
        <v xml:space="preserve">   Mão de Obra</v>
      </c>
      <c r="N2118" s="231">
        <f t="shared" ca="1" si="1758"/>
        <v>2</v>
      </c>
      <c r="O2118" s="228" t="str">
        <f t="shared" ca="1" si="1716"/>
        <v>Mao de obra para pintura acrilica em paredes externas, 2 demaos</v>
      </c>
      <c r="P2118" s="232" t="str">
        <f>IF(S2118="","",IF(Orçamento!$B2118="INSUMO",S2118,""))</f>
        <v>MAO DE OBRA PARA PINTURA ACRILICA EM PAREDES EXTERNAS - 2 DEMAOS</v>
      </c>
      <c r="Q2118" s="244" t="str">
        <f t="shared" si="1751"/>
        <v/>
      </c>
      <c r="R2118" s="234">
        <f t="shared" ca="1" si="1710"/>
        <v>1624.8700000000001</v>
      </c>
      <c r="S2118" s="233" t="s">
        <v>266</v>
      </c>
      <c r="T2118" s="242" t="str">
        <f>_xlfn.XLOOKUP(S2118,Insumos!$A$3:$A$371,Insumos!$B$3:$B$371)</f>
        <v>M2</v>
      </c>
      <c r="U2118" s="235">
        <f ca="1">IF($B2118="insumo",R2118,"")</f>
        <v>1624.8700000000001</v>
      </c>
      <c r="V2118" s="320">
        <v>1</v>
      </c>
      <c r="W2118" s="236">
        <f>IFERROR(IF(B2118="INSUMO",_xlfn.XLOOKUP(S2118,Insumos!A:A,Insumos!C:C),""),"Inserir Preço")</f>
        <v>37.369143377624056</v>
      </c>
      <c r="X2118" s="235">
        <f t="shared" ca="1" si="1711"/>
        <v>1624.8700000000001</v>
      </c>
      <c r="Y2118" s="236">
        <f t="shared" si="1752"/>
        <v>37.369143377624056</v>
      </c>
      <c r="Z2118" s="237">
        <f t="shared" ca="1" si="1708"/>
        <v>60720.000000000007</v>
      </c>
      <c r="AA2118" s="238"/>
      <c r="AB2118" s="233" t="str">
        <f>IF(B2118="insumo",_xlfn.XLOOKUP(S2118,Insumos!A:A,Insumos!D:D),"")</f>
        <v>Aba Custo Serviços</v>
      </c>
      <c r="AC2118" s="239">
        <f t="shared" ca="1" si="1709"/>
        <v>8.7108375966585896E-3</v>
      </c>
      <c r="AE2118" s="240">
        <f ca="1">IFERROR(IF(OR(Z2118="",Z2118=0),"",IF(AF2118="","",IF(AF2118="R$/mês",Z2118/OBRA!$D$12,IF(AF2118="R$/m²",Z2118/OBRA!$D$10,IF(AF2118="R$/apto",Orçamento!Z2118/OBRA!$D$11,""))))),"")</f>
        <v>31.246944520206053</v>
      </c>
      <c r="AF2118" s="241" t="s">
        <v>154</v>
      </c>
    </row>
    <row r="2119" spans="1:32" s="10" customFormat="1" ht="13.15" hidden="1" customHeight="1" outlineLevel="4" x14ac:dyDescent="0.2">
      <c r="A2119" s="227"/>
      <c r="B2119" s="228" t="s">
        <v>4</v>
      </c>
      <c r="C2119" s="229">
        <f t="shared" si="1707"/>
        <v>1</v>
      </c>
      <c r="D2119" s="227" t="str">
        <f t="shared" ca="1" si="1753"/>
        <v>20.001.004.003</v>
      </c>
      <c r="E2119" s="228" t="str">
        <f t="shared" ca="1" si="1754"/>
        <v>20.001.004.003</v>
      </c>
      <c r="F2119" s="230">
        <f ca="1">IF($B2119="UNIDADE CONSTRUTIVA",OFFSET(F2119,-1,0)+1,LARGE(F$10:F2118,1))</f>
        <v>2</v>
      </c>
      <c r="G2119" s="228" t="str">
        <f t="shared" ca="1" si="1712"/>
        <v xml:space="preserve">   GERENCIAMENTO EXECUTIVO</v>
      </c>
      <c r="H2119" s="230">
        <f t="shared" ca="1" si="1755"/>
        <v>20</v>
      </c>
      <c r="I2119" s="228" t="str">
        <f t="shared" ca="1" si="1713"/>
        <v xml:space="preserve">   REVESTIMENTOS E ACABAMENTOS DE FACHADA</v>
      </c>
      <c r="J2119" s="230">
        <f t="shared" ca="1" si="1756"/>
        <v>1</v>
      </c>
      <c r="K2119" s="228" t="str">
        <f t="shared" ca="1" si="1714"/>
        <v xml:space="preserve">   REVESTIMENTOS E ACABAMENTOS DE FACHADA</v>
      </c>
      <c r="L2119" s="231">
        <f t="shared" ca="1" si="1757"/>
        <v>4</v>
      </c>
      <c r="M2119" s="228" t="str">
        <f t="shared" ca="1" si="1715"/>
        <v xml:space="preserve">   Mão de Obra</v>
      </c>
      <c r="N2119" s="231">
        <f t="shared" ca="1" si="1758"/>
        <v>3</v>
      </c>
      <c r="O2119" s="228" t="str">
        <f t="shared" ca="1" si="1716"/>
        <v>Mão de obra para aplicação de Porcelanato em paredes externas</v>
      </c>
      <c r="P2119" s="232" t="str">
        <f>IF(S2119="","",IF(Orçamento!$B2119="INSUMO",S2119,""))</f>
        <v/>
      </c>
      <c r="Q2119" s="244" t="str">
        <f t="shared" si="1751"/>
        <v>Mão de obra para aplicação de Porcelanato em paredes externas</v>
      </c>
      <c r="R2119" s="234">
        <f t="shared" ca="1" si="1710"/>
        <v>253.17999999999998</v>
      </c>
      <c r="S2119" s="233" t="s">
        <v>718</v>
      </c>
      <c r="T2119" s="242" t="s">
        <v>140</v>
      </c>
      <c r="U2119" s="235">
        <f>U2108</f>
        <v>253.17999999999998</v>
      </c>
      <c r="V2119" s="320" t="s">
        <v>35</v>
      </c>
      <c r="W2119" s="236" t="str">
        <f>IFERROR(IF(B2119="INSUMO",_xlfn.XLOOKUP(S2119,Insumos!A:A,Insumos!C:C),""),"Inserir Preço")</f>
        <v/>
      </c>
      <c r="X2119" s="235">
        <f t="shared" ca="1" si="1711"/>
        <v>253.17999999999998</v>
      </c>
      <c r="Y2119" s="236">
        <f t="shared" ca="1" si="1752"/>
        <v>45.422229244016116</v>
      </c>
      <c r="Z2119" s="237">
        <f t="shared" ca="1" si="1708"/>
        <v>11500</v>
      </c>
      <c r="AA2119" s="238"/>
      <c r="AB2119" s="233" t="str">
        <f>IF(B2119="insumo",_xlfn.XLOOKUP(S2119,Insumos!A:A,Insumos!D:D),"")</f>
        <v/>
      </c>
      <c r="AC2119" s="239">
        <f t="shared" ca="1" si="1709"/>
        <v>1.6497798478520055E-3</v>
      </c>
      <c r="AE2119" s="240">
        <f ca="1">IFERROR(IF(OR(Z2119="",Z2119=0),"",IF(AF2119="","",IF(AF2119="R$/mês",Z2119/OBRA!$D$12,IF(AF2119="R$/m²",Z2119/OBRA!$D$10,IF(AF2119="R$/apto",Orçamento!Z2119/OBRA!$D$11,""))))),"")</f>
        <v>5.9179819167056911</v>
      </c>
      <c r="AF2119" s="241" t="s">
        <v>154</v>
      </c>
    </row>
    <row r="2120" spans="1:32" s="10" customFormat="1" ht="13.15" hidden="1" customHeight="1" outlineLevel="4" x14ac:dyDescent="0.2">
      <c r="A2120" s="227"/>
      <c r="B2120" s="228" t="s">
        <v>19</v>
      </c>
      <c r="C2120" s="229">
        <f t="shared" si="1707"/>
        <v>1</v>
      </c>
      <c r="D2120" s="227" t="str">
        <f t="shared" si="1753"/>
        <v/>
      </c>
      <c r="E2120" s="228" t="str">
        <f t="shared" ca="1" si="1754"/>
        <v>20.001.004.003</v>
      </c>
      <c r="F2120" s="230">
        <f ca="1">IF($B2120="UNIDADE CONSTRUTIVA",OFFSET(F2120,-1,0)+1,LARGE(F$10:F2119,1))</f>
        <v>2</v>
      </c>
      <c r="G2120" s="228" t="str">
        <f t="shared" ca="1" si="1712"/>
        <v xml:space="preserve">   GERENCIAMENTO EXECUTIVO</v>
      </c>
      <c r="H2120" s="230">
        <f t="shared" ca="1" si="1755"/>
        <v>20</v>
      </c>
      <c r="I2120" s="228" t="str">
        <f t="shared" ca="1" si="1713"/>
        <v xml:space="preserve">   REVESTIMENTOS E ACABAMENTOS DE FACHADA</v>
      </c>
      <c r="J2120" s="230">
        <f t="shared" ca="1" si="1756"/>
        <v>1</v>
      </c>
      <c r="K2120" s="228" t="str">
        <f t="shared" ca="1" si="1714"/>
        <v xml:space="preserve">   REVESTIMENTOS E ACABAMENTOS DE FACHADA</v>
      </c>
      <c r="L2120" s="231">
        <f t="shared" ca="1" si="1757"/>
        <v>4</v>
      </c>
      <c r="M2120" s="228" t="str">
        <f t="shared" ca="1" si="1715"/>
        <v xml:space="preserve">   Mão de Obra</v>
      </c>
      <c r="N2120" s="231">
        <f t="shared" ca="1" si="1758"/>
        <v>3</v>
      </c>
      <c r="O2120" s="228" t="str">
        <f t="shared" ca="1" si="1716"/>
        <v>Mão de obra para aplicação de Porcelanato em paredes externas</v>
      </c>
      <c r="P2120" s="232" t="str">
        <f>IF(S2120="","",IF(Orçamento!$B2120="INSUMO",S2120,""))</f>
        <v>MAO DE OBRA PARA COLOCACAO E REJUNTAMENTO DE PORCELANATO EXTERNO</v>
      </c>
      <c r="Q2120" s="244" t="str">
        <f t="shared" si="1751"/>
        <v/>
      </c>
      <c r="R2120" s="234">
        <f t="shared" ca="1" si="1710"/>
        <v>253.17999999999998</v>
      </c>
      <c r="S2120" s="233" t="str">
        <f>Insumos!$A$284</f>
        <v>MAO DE OBRA PARA COLOCACAO E REJUNTAMENTO DE PORCELANATO EXTERNO</v>
      </c>
      <c r="T2120" s="242" t="str">
        <f>_xlfn.XLOOKUP(S2120,Insumos!$A$3:$A$371,Insumos!$B$3:$B$371)</f>
        <v>M2</v>
      </c>
      <c r="U2120" s="235">
        <f ca="1">IF($B2120="insumo",R2120,"")</f>
        <v>253.17999999999998</v>
      </c>
      <c r="V2120" s="320">
        <v>1</v>
      </c>
      <c r="W2120" s="236">
        <f>IFERROR(IF(B2120="INSUMO",_xlfn.XLOOKUP(S2120,Insumos!A:A,Insumos!C:C),""),"Inserir Preço")</f>
        <v>45.422229244016116</v>
      </c>
      <c r="X2120" s="235">
        <f t="shared" ca="1" si="1711"/>
        <v>253.17999999999998</v>
      </c>
      <c r="Y2120" s="236">
        <f t="shared" si="1752"/>
        <v>45.422229244016116</v>
      </c>
      <c r="Z2120" s="237">
        <f t="shared" ca="1" si="1708"/>
        <v>11500</v>
      </c>
      <c r="AA2120" s="238"/>
      <c r="AB2120" s="233" t="str">
        <f>IF(B2120="insumo",_xlfn.XLOOKUP(S2120,Insumos!A:A,Insumos!D:D),"")</f>
        <v>Aba Custo Serviços</v>
      </c>
      <c r="AC2120" s="239">
        <f t="shared" ca="1" si="1709"/>
        <v>1.6497798478520055E-3</v>
      </c>
      <c r="AE2120" s="240">
        <f ca="1">IFERROR(IF(OR(Z2120="",Z2120=0),"",IF(AF2120="","",IF(AF2120="R$/mês",Z2120/OBRA!$D$12,IF(AF2120="R$/m²",Z2120/OBRA!$D$10,IF(AF2120="R$/apto",Orçamento!Z2120/OBRA!$D$11,""))))),"")</f>
        <v>5.9179819167056911</v>
      </c>
      <c r="AF2120" s="241" t="s">
        <v>154</v>
      </c>
    </row>
    <row r="2121" spans="1:32" s="10" customFormat="1" ht="13.15" customHeight="1" outlineLevel="1" x14ac:dyDescent="0.2">
      <c r="A2121" s="227"/>
      <c r="B2121" s="228" t="s">
        <v>1</v>
      </c>
      <c r="C2121" s="229" t="str">
        <f t="shared" si="1707"/>
        <v/>
      </c>
      <c r="D2121" s="227" t="str">
        <f ca="1">IF(B2121="Unidade Construtiva",TEXT(F2121,"00"),IF(B2121="Célula Construtiva",TEXT(H2121,"00"),IF(B2121="Etapa",CONCATENATE(TEXT(H2121,"00"),".",TEXT(J2121,"000")),IF(B2121="Subetapa",CONCATENATE(TEXT(H2121,"00"),".",TEXT(J2121,"000"),".",TEXT(L2121,"000")),IF(B2121="Serviço",CONCATENATE(TEXT(H2121,"00"),".",TEXT(J2121,"000"),".",TEXT(L2121,"000"),".",TEXT(N2121,"000")),"")))))</f>
        <v>21</v>
      </c>
      <c r="E2121" s="228" t="str">
        <f ca="1">IF(B2121="*","",IFERROR(IF(B2121="SERVIÇO",D2121,OFFSET(E2121,-1,0)),""))</f>
        <v>20.001.004.003</v>
      </c>
      <c r="F2121" s="230">
        <f ca="1">IF($B2121="UNIDADE CONSTRUTIVA",OFFSET(F2121,-1,0)+1,LARGE(F$10:F2120,1))</f>
        <v>2</v>
      </c>
      <c r="G2121" s="228" t="str">
        <f t="shared" ca="1" si="1712"/>
        <v xml:space="preserve">   GERENCIAMENTO EXECUTIVO</v>
      </c>
      <c r="H2121" s="230">
        <f ca="1">IF(B2121="UNIDADE CONSTRUTIVA",0,IF(B2121="CÉLULA CONSTRUTIVA",OFFSET(H2121,-1,0)+1,OFFSET(H2121,-1,0)))</f>
        <v>21</v>
      </c>
      <c r="I2121" s="228" t="str">
        <f t="shared" ca="1" si="1713"/>
        <v xml:space="preserve">   SERVIÇOS COMPLEMENTARES E FINAIS</v>
      </c>
      <c r="J2121" s="230">
        <f ca="1">IF(B2121="CÉLULA CONSTRUTIVA",0,IF(B2121="ETAPA",OFFSET(J2121,-1,0)+1,OFFSET(J2121,-1,0)))</f>
        <v>0</v>
      </c>
      <c r="K2121" s="228" t="str">
        <f t="shared" ca="1" si="1714"/>
        <v xml:space="preserve">   REVESTIMENTOS E ACABAMENTOS DE FACHADA</v>
      </c>
      <c r="L2121" s="231">
        <f ca="1">IF(B2121="ETAPA",0,IF(B2121="SUBETAPA",OFFSET(L2121,-1,0)+1,OFFSET(L2121,-1,0)))</f>
        <v>4</v>
      </c>
      <c r="M2121" s="228" t="str">
        <f t="shared" ca="1" si="1715"/>
        <v xml:space="preserve">   Mão de Obra</v>
      </c>
      <c r="N2121" s="231">
        <f ca="1">IF(B2121="Subetapa",0,IF(B2121="serviço",OFFSET(N2121,-1,0)+1,OFFSET(N2121,-1,0)))</f>
        <v>3</v>
      </c>
      <c r="O2121" s="228" t="str">
        <f t="shared" ca="1" si="1716"/>
        <v>Mão de obra para aplicação de Porcelanato em paredes externas</v>
      </c>
      <c r="P2121" s="232" t="str">
        <f>IF(S2121="","",IF(Orçamento!$B2121="INSUMO",S2121,""))</f>
        <v/>
      </c>
      <c r="Q2121" s="244" t="str">
        <f t="shared" ref="Q2121:Q2140" si="1760">IF(B2121="","",IF(B2121="Serviço",S2121,""))</f>
        <v/>
      </c>
      <c r="R2121" s="234">
        <f t="shared" ref="R2121:R2140" ca="1" si="1761">IF(B2121="serviço",U2121,OFFSET(R2121,-1,0))</f>
        <v>253.17999999999998</v>
      </c>
      <c r="S2121" s="233" t="s">
        <v>528</v>
      </c>
      <c r="T2121" s="242" t="s">
        <v>35</v>
      </c>
      <c r="U2121" s="235" t="str">
        <f>IF($B2121="insumo",R2121,"")</f>
        <v/>
      </c>
      <c r="V2121" s="320" t="s">
        <v>35</v>
      </c>
      <c r="W2121" s="236" t="str">
        <f>IFERROR(IF(B2121="INSUMO",_xlfn.XLOOKUP(S2121,Insumos!A:A,Insumos!C:C),""),"Inserir Preço")</f>
        <v/>
      </c>
      <c r="X2121" s="235" t="str">
        <f t="shared" ref="X2121:X2140" ca="1" si="1762">IF(B2121="Complemento do insumo",V2121,IF(R2121="","",IF(B2121="serviço",R2121,IF(OR(B2121="insumo"),V2121*R2121,""))))</f>
        <v/>
      </c>
      <c r="Y2121" s="236" t="str">
        <f t="shared" si="1752"/>
        <v/>
      </c>
      <c r="Z2121" s="237">
        <f t="shared" ca="1" si="1708"/>
        <v>442752.48802539997</v>
      </c>
      <c r="AA2121" s="238"/>
      <c r="AB2121" s="233" t="str">
        <f>IF(B2121="insumo",_xlfn.XLOOKUP(S2121,Insumos!A:A,Insumos!D:D),"")</f>
        <v/>
      </c>
      <c r="AC2121" s="239">
        <f t="shared" ca="1" si="1709"/>
        <v>6.3516881072229664E-2</v>
      </c>
      <c r="AE2121" s="240">
        <f ca="1">IFERROR(IF(OR(Z2121="",Z2121=0),"",IF(AF2121="","",IF(AF2121="R$/mês",Z2121/OBRA!$D$12,IF(AF2121="R$/m²",Z2121/OBRA!$D$10,IF(AF2121="R$/apto",Orçamento!Z2121/OBRA!$D$11,""))))),"")</f>
        <v>227.8435841487626</v>
      </c>
      <c r="AF2121" s="241" t="s">
        <v>154</v>
      </c>
    </row>
    <row r="2122" spans="1:32" s="10" customFormat="1" ht="13.15" customHeight="1" outlineLevel="2" collapsed="1" x14ac:dyDescent="0.2">
      <c r="A2122" s="227"/>
      <c r="B2122" s="228" t="s">
        <v>2</v>
      </c>
      <c r="C2122" s="229" t="str">
        <f t="shared" si="1707"/>
        <v/>
      </c>
      <c r="D2122" s="227" t="str">
        <f ca="1">IF(B2122="Unidade Construtiva",TEXT(F2122,"00"),IF(B2122="Célula Construtiva",TEXT(H2122,"00"),IF(B2122="Etapa",CONCATENATE(TEXT(H2122,"00"),".",TEXT(J2122,"000")),IF(B2122="Subetapa",CONCATENATE(TEXT(H2122,"00"),".",TEXT(J2122,"000"),".",TEXT(L2122,"000")),IF(B2122="Serviço",CONCATENATE(TEXT(H2122,"00"),".",TEXT(J2122,"000"),".",TEXT(L2122,"000"),".",TEXT(N2122,"000")),"")))))</f>
        <v>21.001</v>
      </c>
      <c r="E2122" s="228" t="str">
        <f ca="1">IF(B2122="*","",IFERROR(IF(B2122="SERVIÇO",D2122,OFFSET(E2122,-1,0)),""))</f>
        <v>20.001.004.003</v>
      </c>
      <c r="F2122" s="230">
        <f ca="1">IF($B2122="UNIDADE CONSTRUTIVA",OFFSET(F2122,-1,0)+1,LARGE(F$10:F2121,1))</f>
        <v>2</v>
      </c>
      <c r="G2122" s="228" t="str">
        <f t="shared" ref="G2122:G2140" ca="1" si="1763">IF(B2122="*","",IF(B2122="UNIDADE CONSTRUTIVA",S2122,OFFSET(G2122,-1,0)))</f>
        <v xml:space="preserve">   GERENCIAMENTO EXECUTIVO</v>
      </c>
      <c r="H2122" s="230">
        <f ca="1">IF(B2122="UNIDADE CONSTRUTIVA",0,IF(B2122="CÉLULA CONSTRUTIVA",OFFSET(H2122,-1,0)+1,OFFSET(H2122,-1,0)))</f>
        <v>21</v>
      </c>
      <c r="I2122" s="228" t="str">
        <f t="shared" ref="I2122:I2140" ca="1" si="1764">IF(B2122="*","",IF(B2122="CÉLULA CONSTRUTIVA",S2122,OFFSET(I2122,-1,0)))</f>
        <v xml:space="preserve">   SERVIÇOS COMPLEMENTARES E FINAIS</v>
      </c>
      <c r="J2122" s="230">
        <f ca="1">IF(B2122="CÉLULA CONSTRUTIVA",0,IF(B2122="ETAPA",OFFSET(J2122,-1,0)+1,OFFSET(J2122,-1,0)))</f>
        <v>1</v>
      </c>
      <c r="K2122" s="228" t="str">
        <f t="shared" ref="K2122:K2140" ca="1" si="1765">IF(B2122="*","",IF(B2122="ETAPA",S2122,OFFSET(K2122,-1,0)))</f>
        <v xml:space="preserve">   SERVIÇOS COMPLEMENTARES E FINAIS</v>
      </c>
      <c r="L2122" s="231">
        <f ca="1">IF(B2122="ETAPA",0,IF(B2122="SUBETAPA",OFFSET(L2122,-1,0)+1,OFFSET(L2122,-1,0)))</f>
        <v>0</v>
      </c>
      <c r="M2122" s="228" t="str">
        <f t="shared" ref="M2122:M2140" ca="1" si="1766">IF(B2122="*","",IF(B2122="SUBETAPA",S2122,OFFSET(M2122,-1,0)))</f>
        <v xml:space="preserve">   Mão de Obra</v>
      </c>
      <c r="N2122" s="231">
        <f ca="1">IF(B2122="Subetapa",0,IF(B2122="serviço",OFFSET(N2122,-1,0)+1,OFFSET(N2122,-1,0)))</f>
        <v>3</v>
      </c>
      <c r="O2122" s="228" t="str">
        <f t="shared" ref="O2122:O2140" ca="1" si="1767">IF(B2122="*","",IF(B2122="SERVIÇO",S2122,OFFSET(O2122,-1,0)))</f>
        <v>Mão de obra para aplicação de Porcelanato em paredes externas</v>
      </c>
      <c r="P2122" s="232" t="str">
        <f>IF(S2122="","",IF(Orçamento!$B2122="INSUMO",S2122,""))</f>
        <v/>
      </c>
      <c r="Q2122" s="244" t="str">
        <f t="shared" si="1760"/>
        <v/>
      </c>
      <c r="R2122" s="234">
        <f t="shared" ca="1" si="1761"/>
        <v>253.17999999999998</v>
      </c>
      <c r="S2122" s="233" t="s">
        <v>528</v>
      </c>
      <c r="T2122" s="242" t="s">
        <v>35</v>
      </c>
      <c r="U2122" s="235" t="str">
        <f>IF($B2122="insumo",R2122,"")</f>
        <v/>
      </c>
      <c r="V2122" s="320" t="s">
        <v>35</v>
      </c>
      <c r="W2122" s="236" t="str">
        <f>IFERROR(IF(B2122="INSUMO",_xlfn.XLOOKUP(S2122,Insumos!A:A,Insumos!C:C),""),"Inserir Preço")</f>
        <v/>
      </c>
      <c r="X2122" s="235" t="str">
        <f t="shared" ca="1" si="1762"/>
        <v/>
      </c>
      <c r="Y2122" s="236" t="str">
        <f t="shared" si="1752"/>
        <v/>
      </c>
      <c r="Z2122" s="237">
        <f t="shared" ca="1" si="1708"/>
        <v>442752.48802539997</v>
      </c>
      <c r="AA2122" s="238"/>
      <c r="AB2122" s="233" t="str">
        <f>IF(B2122="insumo",_xlfn.XLOOKUP(S2122,Insumos!A:A,Insumos!D:D),"")</f>
        <v/>
      </c>
      <c r="AC2122" s="239">
        <f t="shared" ca="1" si="1709"/>
        <v>6.3516881072229664E-2</v>
      </c>
      <c r="AE2122" s="240">
        <f ca="1">IFERROR(IF(OR(Z2122="",Z2122=0),"",IF(AF2122="","",IF(AF2122="R$/mês",Z2122/OBRA!$D$12,IF(AF2122="R$/m²",Z2122/OBRA!$D$10,IF(AF2122="R$/apto",Orçamento!Z2122/OBRA!$D$11,""))))),"")</f>
        <v>227.8435841487626</v>
      </c>
      <c r="AF2122" s="241" t="s">
        <v>154</v>
      </c>
    </row>
    <row r="2123" spans="1:32" s="10" customFormat="1" ht="13.15" hidden="1" customHeight="1" outlineLevel="3" collapsed="1" x14ac:dyDescent="0.2">
      <c r="A2123" s="227"/>
      <c r="B2123" s="228" t="s">
        <v>3</v>
      </c>
      <c r="C2123" s="229" t="str">
        <f t="shared" si="1707"/>
        <v/>
      </c>
      <c r="D2123" s="227" t="str">
        <f ca="1">IF(B2123="Unidade Construtiva",TEXT(F2123,"00"),IF(B2123="Célula Construtiva",TEXT(H2123,"00"),IF(B2123="Etapa",CONCATENATE(TEXT(H2123,"00"),".",TEXT(J2123,"000")),IF(B2123="Subetapa",CONCATENATE(TEXT(H2123,"00"),".",TEXT(J2123,"000"),".",TEXT(L2123,"000")),IF(B2123="Serviço",CONCATENATE(TEXT(H2123,"00"),".",TEXT(J2123,"000"),".",TEXT(L2123,"000"),".",TEXT(N2123,"000")),"")))))</f>
        <v>21.001.001</v>
      </c>
      <c r="E2123" s="228" t="str">
        <f ca="1">IF(B2123="*","",IFERROR(IF(B2123="SERVIÇO",D2123,OFFSET(E2123,-1,0)),""))</f>
        <v>20.001.004.003</v>
      </c>
      <c r="F2123" s="230">
        <f ca="1">IF($B2123="UNIDADE CONSTRUTIVA",OFFSET(F2123,-1,0)+1,LARGE(F$10:F2122,1))</f>
        <v>2</v>
      </c>
      <c r="G2123" s="228" t="str">
        <f t="shared" ca="1" si="1763"/>
        <v xml:space="preserve">   GERENCIAMENTO EXECUTIVO</v>
      </c>
      <c r="H2123" s="230">
        <f ca="1">IF(B2123="UNIDADE CONSTRUTIVA",0,IF(B2123="CÉLULA CONSTRUTIVA",OFFSET(H2123,-1,0)+1,OFFSET(H2123,-1,0)))</f>
        <v>21</v>
      </c>
      <c r="I2123" s="228" t="str">
        <f t="shared" ca="1" si="1764"/>
        <v xml:space="preserve">   SERVIÇOS COMPLEMENTARES E FINAIS</v>
      </c>
      <c r="J2123" s="230">
        <f ca="1">IF(B2123="CÉLULA CONSTRUTIVA",0,IF(B2123="ETAPA",OFFSET(J2123,-1,0)+1,OFFSET(J2123,-1,0)))</f>
        <v>1</v>
      </c>
      <c r="K2123" s="228" t="str">
        <f t="shared" ca="1" si="1765"/>
        <v xml:space="preserve">   SERVIÇOS COMPLEMENTARES E FINAIS</v>
      </c>
      <c r="L2123" s="231">
        <f ca="1">IF(B2123="ETAPA",0,IF(B2123="SUBETAPA",OFFSET(L2123,-1,0)+1,OFFSET(L2123,-1,0)))</f>
        <v>1</v>
      </c>
      <c r="M2123" s="228" t="str">
        <f t="shared" ca="1" si="1766"/>
        <v xml:space="preserve">   Ambientação</v>
      </c>
      <c r="N2123" s="231">
        <f ca="1">IF(B2123="Subetapa",0,IF(B2123="serviço",OFFSET(N2123,-1,0)+1,OFFSET(N2123,-1,0)))</f>
        <v>0</v>
      </c>
      <c r="O2123" s="228" t="str">
        <f t="shared" ca="1" si="1767"/>
        <v>Mão de obra para aplicação de Porcelanato em paredes externas</v>
      </c>
      <c r="P2123" s="232" t="str">
        <f>IF(S2123="","",IF(Orçamento!$B2123="INSUMO",S2123,""))</f>
        <v/>
      </c>
      <c r="Q2123" s="244" t="str">
        <f t="shared" si="1760"/>
        <v/>
      </c>
      <c r="R2123" s="234">
        <f t="shared" ca="1" si="1761"/>
        <v>253.17999999999998</v>
      </c>
      <c r="S2123" s="233" t="s">
        <v>529</v>
      </c>
      <c r="T2123" s="242" t="s">
        <v>35</v>
      </c>
      <c r="U2123" s="235" t="str">
        <f>IF($B2123="insumo",R2123,"")</f>
        <v/>
      </c>
      <c r="V2123" s="320" t="s">
        <v>35</v>
      </c>
      <c r="W2123" s="236" t="str">
        <f>IFERROR(IF(B2123="INSUMO",_xlfn.XLOOKUP(S2123,Insumos!A:A,Insumos!C:C),""),"Inserir Preço")</f>
        <v/>
      </c>
      <c r="X2123" s="235" t="str">
        <f t="shared" ca="1" si="1762"/>
        <v/>
      </c>
      <c r="Y2123" s="236" t="str">
        <f t="shared" si="1752"/>
        <v/>
      </c>
      <c r="Z2123" s="237">
        <f t="shared" ca="1" si="1708"/>
        <v>356636.125</v>
      </c>
      <c r="AA2123" s="238"/>
      <c r="AB2123" s="233" t="str">
        <f>IF(B2123="insumo",_xlfn.XLOOKUP(S2123,Insumos!A:A,Insumos!D:D),"")</f>
        <v/>
      </c>
      <c r="AC2123" s="239">
        <f t="shared" ca="1" si="1709"/>
        <v>5.1162703655741631E-2</v>
      </c>
      <c r="AD2123" s="340"/>
      <c r="AE2123" s="240">
        <f ca="1">IFERROR(IF(OR(Z2123="",Z2123=0),"",IF(AF2123="","",IF(AF2123="R$/mês",Z2123/OBRA!$D$12,IF(AF2123="R$/m²",Z2123/OBRA!$D$10,IF(AF2123="R$/apto",Orçamento!Z2123/OBRA!$D$11,""))))),"")</f>
        <v>183.52749031252091</v>
      </c>
      <c r="AF2123" s="241" t="s">
        <v>154</v>
      </c>
    </row>
    <row r="2124" spans="1:32" s="10" customFormat="1" ht="13.15" hidden="1" customHeight="1" outlineLevel="4" x14ac:dyDescent="0.2">
      <c r="A2124" s="227"/>
      <c r="B2124" s="228" t="s">
        <v>4</v>
      </c>
      <c r="C2124" s="229">
        <f t="shared" ref="C2124:C2147" si="1768">IF(B2124="INSUMO",COUNTIFS(B:B,"INSUMO",S:S,S2124),IF(B2124="SERVIÇO",COUNTIFS(B:B,"SERVIÇO",S:S,S2124),""))</f>
        <v>1</v>
      </c>
      <c r="D2124" s="227" t="str">
        <f t="shared" ref="D2124:D2144" ca="1" si="1769">IF(B2124="Unidade Construtiva",TEXT(F2124,"00"),IF(B2124="Célula Construtiva",TEXT(H2124,"00"),IF(B2124="Etapa",CONCATENATE(TEXT(H2124,"00"),".",TEXT(J2124,"000")),IF(B2124="Subetapa",CONCATENATE(TEXT(H2124,"00"),".",TEXT(J2124,"000"),".",TEXT(L2124,"000")),IF(B2124="Serviço",CONCATENATE(TEXT(H2124,"00"),".",TEXT(J2124,"000"),".",TEXT(L2124,"000"),".",TEXT(N2124,"000")),"")))))</f>
        <v>21.001.001.001</v>
      </c>
      <c r="E2124" s="228" t="str">
        <f t="shared" ref="E2124:E2140" ca="1" si="1770">IF(B2124="*","",IFERROR(IF(B2124="SERVIÇO",D2124,OFFSET(E2124,-1,0)),""))</f>
        <v>21.001.001.001</v>
      </c>
      <c r="F2124" s="230">
        <f ca="1">IF($B2124="UNIDADE CONSTRUTIVA",OFFSET(F2124,-1,0)+1,LARGE(F$10:F2123,1))</f>
        <v>2</v>
      </c>
      <c r="G2124" s="228" t="str">
        <f t="shared" ca="1" si="1763"/>
        <v xml:space="preserve">   GERENCIAMENTO EXECUTIVO</v>
      </c>
      <c r="H2124" s="230">
        <f t="shared" ref="H2124:H2140" ca="1" si="1771">IF(B2124="UNIDADE CONSTRUTIVA",0,IF(B2124="CÉLULA CONSTRUTIVA",OFFSET(H2124,-1,0)+1,OFFSET(H2124,-1,0)))</f>
        <v>21</v>
      </c>
      <c r="I2124" s="228" t="str">
        <f t="shared" ca="1" si="1764"/>
        <v xml:space="preserve">   SERVIÇOS COMPLEMENTARES E FINAIS</v>
      </c>
      <c r="J2124" s="230">
        <f t="shared" ref="J2124:J2140" ca="1" si="1772">IF(B2124="CÉLULA CONSTRUTIVA",0,IF(B2124="ETAPA",OFFSET(J2124,-1,0)+1,OFFSET(J2124,-1,0)))</f>
        <v>1</v>
      </c>
      <c r="K2124" s="228" t="str">
        <f t="shared" ca="1" si="1765"/>
        <v xml:space="preserve">   SERVIÇOS COMPLEMENTARES E FINAIS</v>
      </c>
      <c r="L2124" s="231">
        <f t="shared" ref="L2124:L2140" ca="1" si="1773">IF(B2124="ETAPA",0,IF(B2124="SUBETAPA",OFFSET(L2124,-1,0)+1,OFFSET(L2124,-1,0)))</f>
        <v>1</v>
      </c>
      <c r="M2124" s="228" t="str">
        <f t="shared" ca="1" si="1766"/>
        <v xml:space="preserve">   Ambientação</v>
      </c>
      <c r="N2124" s="231">
        <f t="shared" ref="N2124:N2140" ca="1" si="1774">IF(B2124="Subetapa",0,IF(B2124="serviço",OFFSET(N2124,-1,0)+1,OFFSET(N2124,-1,0)))</f>
        <v>1</v>
      </c>
      <c r="O2124" s="228" t="str">
        <f t="shared" ca="1" si="1767"/>
        <v xml:space="preserve">Mobiliario e decoracoes para areas comuns </v>
      </c>
      <c r="P2124" s="232" t="str">
        <f>IF(S2124="","",IF(Orçamento!$B2124="INSUMO",S2124,""))</f>
        <v/>
      </c>
      <c r="Q2124" s="244" t="str">
        <f t="shared" si="1760"/>
        <v xml:space="preserve">Mobiliario e decoracoes para areas comuns </v>
      </c>
      <c r="R2124" s="234">
        <f t="shared" ca="1" si="1761"/>
        <v>1</v>
      </c>
      <c r="S2124" s="233" t="s">
        <v>1222</v>
      </c>
      <c r="T2124" s="242" t="s">
        <v>170</v>
      </c>
      <c r="U2124" s="235">
        <v>1</v>
      </c>
      <c r="V2124" s="320" t="s">
        <v>35</v>
      </c>
      <c r="W2124" s="236" t="str">
        <f>IFERROR(IF(B2124="INSUMO",_xlfn.XLOOKUP(S2124,Insumos!A:A,Insumos!C:C),""),"Inserir Preço")</f>
        <v/>
      </c>
      <c r="X2124" s="235">
        <f t="shared" ca="1" si="1762"/>
        <v>1</v>
      </c>
      <c r="Y2124" s="236">
        <f t="shared" ca="1" si="1752"/>
        <v>356636.125</v>
      </c>
      <c r="Z2124" s="237">
        <f t="shared" ref="Z2124:Z2147" ca="1" si="1775">IFERROR(IF(B2124="Unidade Construtiva",SUMIFS(Z:Z,B:B,"Célula Construtiva",G:G,G2124),IF(B2124="célula construtiva",SUMIFS(Z:Z,B:B,"Insumo",I:I,I2124,G:G,G2124),IF(B2124="ETAPA",SUMIFS(Z:Z,B:B,"Insumo",K:K,K2124,I:I,I2124,G:G,G2124),IF(B2124="subetapa",SUMIFS(Z:Z,M:M,M2124,B:B,"insumo",K:K,K2124,I:I,I2124,G:G,G2124),IF(B2124="complemento do insumo",V2124*W2124,IF(B2124="INSUMO",R2124*V2124*W2124,X2124*Y2124)))))),"")</f>
        <v>356636.125</v>
      </c>
      <c r="AA2124" s="238"/>
      <c r="AB2124" s="233" t="str">
        <f>IF(B2124="insumo",_xlfn.XLOOKUP(S2124,Insumos!A:A,Insumos!D:D),"")</f>
        <v/>
      </c>
      <c r="AC2124" s="239">
        <f t="shared" ref="AC2124:AC2147" ca="1" si="1776">IFERROR(IF(B2124="","",Z2124/SUMIF(B:B,"INSUMO",Z:Z)),0)</f>
        <v>5.1162703655741631E-2</v>
      </c>
      <c r="AE2124" s="240">
        <f ca="1">IFERROR(IF(OR(Z2124="",Z2124=0),"",IF(AF2124="","",IF(AF2124="R$/mês",Z2124/OBRA!$D$12,IF(AF2124="R$/m²",Z2124/OBRA!$D$10,IF(AF2124="R$/apto",Orçamento!Z2124/OBRA!$D$11,""))))),"")</f>
        <v>183.52749031252091</v>
      </c>
      <c r="AF2124" s="241" t="s">
        <v>154</v>
      </c>
    </row>
    <row r="2125" spans="1:32" s="10" customFormat="1" ht="13.15" hidden="1" customHeight="1" outlineLevel="4" x14ac:dyDescent="0.2">
      <c r="A2125" s="227"/>
      <c r="B2125" s="228" t="s">
        <v>19</v>
      </c>
      <c r="C2125" s="229">
        <f t="shared" si="1768"/>
        <v>1</v>
      </c>
      <c r="D2125" s="227" t="str">
        <f t="shared" si="1769"/>
        <v/>
      </c>
      <c r="E2125" s="228" t="str">
        <f t="shared" ca="1" si="1770"/>
        <v>21.001.001.001</v>
      </c>
      <c r="F2125" s="230">
        <f ca="1">IF($B2125="UNIDADE CONSTRUTIVA",OFFSET(F2125,-1,0)+1,LARGE(F$10:F2124,1))</f>
        <v>2</v>
      </c>
      <c r="G2125" s="228" t="str">
        <f t="shared" ca="1" si="1763"/>
        <v xml:space="preserve">   GERENCIAMENTO EXECUTIVO</v>
      </c>
      <c r="H2125" s="230">
        <f t="shared" ca="1" si="1771"/>
        <v>21</v>
      </c>
      <c r="I2125" s="228" t="str">
        <f t="shared" ca="1" si="1764"/>
        <v xml:space="preserve">   SERVIÇOS COMPLEMENTARES E FINAIS</v>
      </c>
      <c r="J2125" s="230">
        <f t="shared" ca="1" si="1772"/>
        <v>1</v>
      </c>
      <c r="K2125" s="228" t="str">
        <f t="shared" ca="1" si="1765"/>
        <v xml:space="preserve">   SERVIÇOS COMPLEMENTARES E FINAIS</v>
      </c>
      <c r="L2125" s="231">
        <f t="shared" ca="1" si="1773"/>
        <v>1</v>
      </c>
      <c r="M2125" s="228" t="str">
        <f t="shared" ca="1" si="1766"/>
        <v xml:space="preserve">   Ambientação</v>
      </c>
      <c r="N2125" s="231">
        <f t="shared" ca="1" si="1774"/>
        <v>1</v>
      </c>
      <c r="O2125" s="228" t="str">
        <f t="shared" ca="1" si="1767"/>
        <v xml:space="preserve">Mobiliario e decoracoes para areas comuns </v>
      </c>
      <c r="P2125" s="232" t="str">
        <f>IF(S2125="","",IF(Orçamento!$B2125="INSUMO",S2125,""))</f>
        <v>MOBILIARIO E DECORACOES PARA AREAS COMUNS</v>
      </c>
      <c r="Q2125" s="244" t="str">
        <f t="shared" si="1760"/>
        <v/>
      </c>
      <c r="R2125" s="234">
        <f t="shared" ca="1" si="1761"/>
        <v>1</v>
      </c>
      <c r="S2125" s="233" t="s">
        <v>245</v>
      </c>
      <c r="T2125" s="242" t="str">
        <f>_xlfn.XLOOKUP(S2125,Insumos!$A$3:$A$371,Insumos!$B$3:$B$371)</f>
        <v>VB</v>
      </c>
      <c r="U2125" s="235">
        <f ca="1">IF($B2125="insumo",R2125,"")</f>
        <v>1</v>
      </c>
      <c r="V2125" s="320">
        <v>1</v>
      </c>
      <c r="W2125" s="236">
        <f>IFERROR(IF(B2125="INSUMO",_xlfn.XLOOKUP(S2125,Insumos!A:A,Insumos!C:C),""),"Inserir Preço")</f>
        <v>356636.125</v>
      </c>
      <c r="X2125" s="235">
        <f t="shared" ca="1" si="1762"/>
        <v>1</v>
      </c>
      <c r="Y2125" s="236">
        <f t="shared" si="1752"/>
        <v>356636.125</v>
      </c>
      <c r="Z2125" s="237">
        <f t="shared" ca="1" si="1775"/>
        <v>356636.125</v>
      </c>
      <c r="AA2125" s="238"/>
      <c r="AB2125" s="233" t="str">
        <f>IF(B2125="insumo",_xlfn.XLOOKUP(S2125,Insumos!A:A,Insumos!D:D),"")</f>
        <v>Estimativa</v>
      </c>
      <c r="AC2125" s="239">
        <f t="shared" ca="1" si="1776"/>
        <v>5.1162703655741631E-2</v>
      </c>
      <c r="AE2125" s="240">
        <f ca="1">IFERROR(IF(OR(Z2125="",Z2125=0),"",IF(AF2125="","",IF(AF2125="R$/mês",Z2125/OBRA!$D$12,IF(AF2125="R$/m²",Z2125/OBRA!$D$10,IF(AF2125="R$/apto",Orçamento!Z2125/OBRA!$D$11,""))))),"")</f>
        <v>183.52749031252091</v>
      </c>
      <c r="AF2125" s="241" t="s">
        <v>154</v>
      </c>
    </row>
    <row r="2126" spans="1:32" s="10" customFormat="1" ht="13.15" hidden="1" customHeight="1" outlineLevel="3" collapsed="1" x14ac:dyDescent="0.2">
      <c r="A2126" s="227"/>
      <c r="B2126" s="228" t="s">
        <v>3</v>
      </c>
      <c r="C2126" s="229" t="str">
        <f t="shared" si="1768"/>
        <v/>
      </c>
      <c r="D2126" s="227" t="str">
        <f t="shared" ca="1" si="1769"/>
        <v>21.001.002</v>
      </c>
      <c r="E2126" s="228" t="str">
        <f t="shared" ca="1" si="1770"/>
        <v>21.001.001.001</v>
      </c>
      <c r="F2126" s="230">
        <f ca="1">IF($B2126="UNIDADE CONSTRUTIVA",OFFSET(F2126,-1,0)+1,LARGE(F$10:F2125,1))</f>
        <v>2</v>
      </c>
      <c r="G2126" s="228" t="str">
        <f t="shared" ca="1" si="1763"/>
        <v xml:space="preserve">   GERENCIAMENTO EXECUTIVO</v>
      </c>
      <c r="H2126" s="230">
        <f t="shared" ca="1" si="1771"/>
        <v>21</v>
      </c>
      <c r="I2126" s="228" t="str">
        <f t="shared" ca="1" si="1764"/>
        <v xml:space="preserve">   SERVIÇOS COMPLEMENTARES E FINAIS</v>
      </c>
      <c r="J2126" s="230">
        <f t="shared" ca="1" si="1772"/>
        <v>1</v>
      </c>
      <c r="K2126" s="228" t="str">
        <f t="shared" ca="1" si="1765"/>
        <v xml:space="preserve">   SERVIÇOS COMPLEMENTARES E FINAIS</v>
      </c>
      <c r="L2126" s="231">
        <f t="shared" ca="1" si="1773"/>
        <v>2</v>
      </c>
      <c r="M2126" s="228" t="str">
        <f t="shared" ca="1" si="1766"/>
        <v xml:space="preserve">   Comunicação Visual</v>
      </c>
      <c r="N2126" s="231">
        <f t="shared" ca="1" si="1774"/>
        <v>0</v>
      </c>
      <c r="O2126" s="228" t="str">
        <f t="shared" ca="1" si="1767"/>
        <v xml:space="preserve">Mobiliario e decoracoes para areas comuns </v>
      </c>
      <c r="P2126" s="232" t="str">
        <f>IF(S2126="","",IF(Orçamento!$B2126="INSUMO",S2126,""))</f>
        <v/>
      </c>
      <c r="Q2126" s="244" t="str">
        <f t="shared" si="1760"/>
        <v/>
      </c>
      <c r="R2126" s="234">
        <f t="shared" ca="1" si="1761"/>
        <v>1</v>
      </c>
      <c r="S2126" s="233" t="s">
        <v>530</v>
      </c>
      <c r="T2126" s="242" t="s">
        <v>35</v>
      </c>
      <c r="U2126" s="235" t="str">
        <f>IF($B2126="insumo",R2126,"")</f>
        <v/>
      </c>
      <c r="V2126" s="320" t="s">
        <v>35</v>
      </c>
      <c r="W2126" s="236" t="str">
        <f>IFERROR(IF(B2126="INSUMO",_xlfn.XLOOKUP(S2126,Insumos!A:A,Insumos!C:C),""),"Inserir Preço")</f>
        <v/>
      </c>
      <c r="X2126" s="235" t="str">
        <f t="shared" ca="1" si="1762"/>
        <v/>
      </c>
      <c r="Y2126" s="236" t="str">
        <f t="shared" si="1752"/>
        <v/>
      </c>
      <c r="Z2126" s="237">
        <f t="shared" ca="1" si="1775"/>
        <v>19432.3</v>
      </c>
      <c r="AA2126" s="238"/>
      <c r="AB2126" s="233" t="str">
        <f>IF(B2126="insumo",_xlfn.XLOOKUP(S2126,Insumos!A:A,Insumos!D:D),"")</f>
        <v/>
      </c>
      <c r="AC2126" s="239">
        <f t="shared" ca="1" si="1776"/>
        <v>2.7877406032534367E-3</v>
      </c>
      <c r="AE2126" s="240">
        <f ca="1">IFERROR(IF(OR(Z2126="",Z2126=0),"",IF(AF2126="","",IF(AF2126="R$/mês",Z2126/OBRA!$D$12,IF(AF2126="R$/m²",Z2126/OBRA!$D$10,IF(AF2126="R$/apto",Orçamento!Z2126/OBRA!$D$11,""))))),"")</f>
        <v>10</v>
      </c>
      <c r="AF2126" s="241" t="s">
        <v>154</v>
      </c>
    </row>
    <row r="2127" spans="1:32" s="10" customFormat="1" ht="13.15" hidden="1" customHeight="1" outlineLevel="4" x14ac:dyDescent="0.2">
      <c r="A2127" s="227"/>
      <c r="B2127" s="228" t="s">
        <v>4</v>
      </c>
      <c r="C2127" s="229">
        <f t="shared" si="1768"/>
        <v>1</v>
      </c>
      <c r="D2127" s="227" t="str">
        <f t="shared" ca="1" si="1769"/>
        <v>21.001.002.001</v>
      </c>
      <c r="E2127" s="228" t="str">
        <f t="shared" ca="1" si="1770"/>
        <v>21.001.002.001</v>
      </c>
      <c r="F2127" s="230">
        <f ca="1">IF($B2127="UNIDADE CONSTRUTIVA",OFFSET(F2127,-1,0)+1,LARGE(F$10:F2126,1))</f>
        <v>2</v>
      </c>
      <c r="G2127" s="228" t="str">
        <f t="shared" ca="1" si="1763"/>
        <v xml:space="preserve">   GERENCIAMENTO EXECUTIVO</v>
      </c>
      <c r="H2127" s="230">
        <f t="shared" ca="1" si="1771"/>
        <v>21</v>
      </c>
      <c r="I2127" s="228" t="str">
        <f t="shared" ca="1" si="1764"/>
        <v xml:space="preserve">   SERVIÇOS COMPLEMENTARES E FINAIS</v>
      </c>
      <c r="J2127" s="230">
        <f t="shared" ca="1" si="1772"/>
        <v>1</v>
      </c>
      <c r="K2127" s="228" t="str">
        <f t="shared" ca="1" si="1765"/>
        <v xml:space="preserve">   SERVIÇOS COMPLEMENTARES E FINAIS</v>
      </c>
      <c r="L2127" s="231">
        <f t="shared" ca="1" si="1773"/>
        <v>2</v>
      </c>
      <c r="M2127" s="228" t="str">
        <f t="shared" ca="1" si="1766"/>
        <v xml:space="preserve">   Comunicação Visual</v>
      </c>
      <c r="N2127" s="231">
        <f t="shared" ca="1" si="1774"/>
        <v>1</v>
      </c>
      <c r="O2127" s="228" t="str">
        <f t="shared" ca="1" si="1767"/>
        <v>Comunicacao visual</v>
      </c>
      <c r="P2127" s="232" t="str">
        <f>IF(S2127="","",IF(Orçamento!$B2127="INSUMO",S2127,""))</f>
        <v/>
      </c>
      <c r="Q2127" s="244" t="str">
        <f t="shared" si="1760"/>
        <v>Comunicacao visual</v>
      </c>
      <c r="R2127" s="234">
        <f t="shared" ca="1" si="1761"/>
        <v>1</v>
      </c>
      <c r="S2127" s="233" t="s">
        <v>531</v>
      </c>
      <c r="T2127" s="242" t="s">
        <v>170</v>
      </c>
      <c r="U2127" s="235">
        <v>1</v>
      </c>
      <c r="V2127" s="320" t="s">
        <v>35</v>
      </c>
      <c r="W2127" s="236" t="str">
        <f>IFERROR(IF(B2127="INSUMO",_xlfn.XLOOKUP(S2127,Insumos!A:A,Insumos!C:C),""),"Inserir Preço")</f>
        <v/>
      </c>
      <c r="X2127" s="235">
        <f t="shared" ca="1" si="1762"/>
        <v>1</v>
      </c>
      <c r="Y2127" s="236">
        <f t="shared" ca="1" si="1752"/>
        <v>19432.3</v>
      </c>
      <c r="Z2127" s="237">
        <f t="shared" ca="1" si="1775"/>
        <v>19432.3</v>
      </c>
      <c r="AA2127" s="238"/>
      <c r="AB2127" s="233" t="str">
        <f>IF(B2127="insumo",_xlfn.XLOOKUP(S2127,Insumos!A:A,Insumos!D:D),"")</f>
        <v/>
      </c>
      <c r="AC2127" s="239">
        <f t="shared" ca="1" si="1776"/>
        <v>2.7877406032534367E-3</v>
      </c>
      <c r="AE2127" s="240">
        <f ca="1">IFERROR(IF(OR(Z2127="",Z2127=0),"",IF(AF2127="","",IF(AF2127="R$/mês",Z2127/OBRA!$D$12,IF(AF2127="R$/m²",Z2127/OBRA!$D$10,IF(AF2127="R$/apto",Orçamento!Z2127/OBRA!$D$11,""))))),"")</f>
        <v>10</v>
      </c>
      <c r="AF2127" s="241" t="s">
        <v>154</v>
      </c>
    </row>
    <row r="2128" spans="1:32" s="10" customFormat="1" ht="13.15" hidden="1" customHeight="1" outlineLevel="4" x14ac:dyDescent="0.2">
      <c r="A2128" s="227"/>
      <c r="B2128" s="228" t="s">
        <v>19</v>
      </c>
      <c r="C2128" s="229">
        <f t="shared" si="1768"/>
        <v>1</v>
      </c>
      <c r="D2128" s="227" t="str">
        <f t="shared" si="1769"/>
        <v/>
      </c>
      <c r="E2128" s="228" t="str">
        <f t="shared" ca="1" si="1770"/>
        <v>21.001.002.001</v>
      </c>
      <c r="F2128" s="230">
        <f ca="1">IF($B2128="UNIDADE CONSTRUTIVA",OFFSET(F2128,-1,0)+1,LARGE(F$10:F2127,1))</f>
        <v>2</v>
      </c>
      <c r="G2128" s="228" t="str">
        <f t="shared" ca="1" si="1763"/>
        <v xml:space="preserve">   GERENCIAMENTO EXECUTIVO</v>
      </c>
      <c r="H2128" s="230">
        <f t="shared" ca="1" si="1771"/>
        <v>21</v>
      </c>
      <c r="I2128" s="228" t="str">
        <f t="shared" ca="1" si="1764"/>
        <v xml:space="preserve">   SERVIÇOS COMPLEMENTARES E FINAIS</v>
      </c>
      <c r="J2128" s="230">
        <f t="shared" ca="1" si="1772"/>
        <v>1</v>
      </c>
      <c r="K2128" s="228" t="str">
        <f t="shared" ca="1" si="1765"/>
        <v xml:space="preserve">   SERVIÇOS COMPLEMENTARES E FINAIS</v>
      </c>
      <c r="L2128" s="231">
        <f t="shared" ca="1" si="1773"/>
        <v>2</v>
      </c>
      <c r="M2128" s="228" t="str">
        <f t="shared" ca="1" si="1766"/>
        <v xml:space="preserve">   Comunicação Visual</v>
      </c>
      <c r="N2128" s="231">
        <f t="shared" ca="1" si="1774"/>
        <v>1</v>
      </c>
      <c r="O2128" s="228" t="str">
        <f t="shared" ca="1" si="1767"/>
        <v>Comunicacao visual</v>
      </c>
      <c r="P2128" s="232" t="str">
        <f>IF(S2128="","",IF(Orçamento!$B2128="INSUMO",S2128,""))</f>
        <v>COMUNICACAO VISUAL INTERNA / EXTERNA</v>
      </c>
      <c r="Q2128" s="244" t="str">
        <f t="shared" si="1760"/>
        <v/>
      </c>
      <c r="R2128" s="234">
        <f t="shared" ca="1" si="1761"/>
        <v>1</v>
      </c>
      <c r="S2128" s="233" t="s">
        <v>284</v>
      </c>
      <c r="T2128" s="242" t="str">
        <f>_xlfn.XLOOKUP(S2128,Insumos!$A$3:$A$371,Insumos!$B$3:$B$371)</f>
        <v>VB</v>
      </c>
      <c r="U2128" s="235">
        <f ca="1">IF($B2128="insumo",R2128,"")</f>
        <v>1</v>
      </c>
      <c r="V2128" s="320">
        <v>1</v>
      </c>
      <c r="W2128" s="236">
        <f>IFERROR(IF(B2128="INSUMO",_xlfn.XLOOKUP(S2128,Insumos!A:A,Insumos!C:C),""),"Inserir Preço")</f>
        <v>19432.3</v>
      </c>
      <c r="X2128" s="235">
        <f t="shared" ca="1" si="1762"/>
        <v>1</v>
      </c>
      <c r="Y2128" s="236">
        <f t="shared" si="1752"/>
        <v>19432.3</v>
      </c>
      <c r="Z2128" s="237">
        <f t="shared" ca="1" si="1775"/>
        <v>19432.3</v>
      </c>
      <c r="AA2128" s="238"/>
      <c r="AB2128" s="233" t="str">
        <f>IF(B2128="insumo",_xlfn.XLOOKUP(S2128,Insumos!A:A,Insumos!D:D),"")</f>
        <v>Estimativa</v>
      </c>
      <c r="AC2128" s="239">
        <f t="shared" ca="1" si="1776"/>
        <v>2.7877406032534367E-3</v>
      </c>
      <c r="AE2128" s="240">
        <f ca="1">IFERROR(IF(OR(Z2128="",Z2128=0),"",IF(AF2128="","",IF(AF2128="R$/mês",Z2128/OBRA!$D$12,IF(AF2128="R$/m²",Z2128/OBRA!$D$10,IF(AF2128="R$/apto",Orçamento!Z2128/OBRA!$D$11,""))))),"")</f>
        <v>10</v>
      </c>
      <c r="AF2128" s="241" t="s">
        <v>154</v>
      </c>
    </row>
    <row r="2129" spans="1:32" s="10" customFormat="1" ht="13.15" hidden="1" customHeight="1" outlineLevel="3" collapsed="1" x14ac:dyDescent="0.2">
      <c r="A2129" s="227"/>
      <c r="B2129" s="228" t="s">
        <v>3</v>
      </c>
      <c r="C2129" s="229" t="str">
        <f t="shared" si="1768"/>
        <v/>
      </c>
      <c r="D2129" s="227" t="str">
        <f t="shared" ca="1" si="1769"/>
        <v>21.001.003</v>
      </c>
      <c r="E2129" s="228" t="str">
        <f t="shared" ca="1" si="1770"/>
        <v>21.001.002.001</v>
      </c>
      <c r="F2129" s="230">
        <f ca="1">IF($B2129="UNIDADE CONSTRUTIVA",OFFSET(F2129,-1,0)+1,LARGE(F$10:F2128,1))</f>
        <v>2</v>
      </c>
      <c r="G2129" s="228" t="str">
        <f t="shared" ca="1" si="1763"/>
        <v xml:space="preserve">   GERENCIAMENTO EXECUTIVO</v>
      </c>
      <c r="H2129" s="230">
        <f t="shared" ca="1" si="1771"/>
        <v>21</v>
      </c>
      <c r="I2129" s="228" t="str">
        <f t="shared" ca="1" si="1764"/>
        <v xml:space="preserve">   SERVIÇOS COMPLEMENTARES E FINAIS</v>
      </c>
      <c r="J2129" s="230">
        <f t="shared" ca="1" si="1772"/>
        <v>1</v>
      </c>
      <c r="K2129" s="228" t="str">
        <f t="shared" ca="1" si="1765"/>
        <v xml:space="preserve">   SERVIÇOS COMPLEMENTARES E FINAIS</v>
      </c>
      <c r="L2129" s="231">
        <f t="shared" ca="1" si="1773"/>
        <v>3</v>
      </c>
      <c r="M2129" s="228" t="str">
        <f t="shared" ca="1" si="1766"/>
        <v xml:space="preserve">   Paisagismo</v>
      </c>
      <c r="N2129" s="231">
        <f t="shared" ca="1" si="1774"/>
        <v>0</v>
      </c>
      <c r="O2129" s="228" t="str">
        <f t="shared" ca="1" si="1767"/>
        <v>Comunicacao visual</v>
      </c>
      <c r="P2129" s="232" t="str">
        <f>IF(S2129="","",IF(Orçamento!$B2129="INSUMO",S2129,""))</f>
        <v/>
      </c>
      <c r="Q2129" s="244" t="str">
        <f t="shared" si="1760"/>
        <v/>
      </c>
      <c r="R2129" s="234">
        <f t="shared" ca="1" si="1761"/>
        <v>1</v>
      </c>
      <c r="S2129" s="233" t="s">
        <v>532</v>
      </c>
      <c r="T2129" s="242" t="s">
        <v>35</v>
      </c>
      <c r="U2129" s="235" t="str">
        <f>IF($B2129="insumo",R2129,"")</f>
        <v/>
      </c>
      <c r="V2129" s="320" t="s">
        <v>35</v>
      </c>
      <c r="W2129" s="236" t="str">
        <f>IFERROR(IF(B2129="INSUMO",_xlfn.XLOOKUP(S2129,Insumos!A:A,Insumos!C:C),""),"Inserir Preço")</f>
        <v/>
      </c>
      <c r="X2129" s="235" t="str">
        <f t="shared" ca="1" si="1762"/>
        <v/>
      </c>
      <c r="Y2129" s="236" t="str">
        <f t="shared" si="1752"/>
        <v/>
      </c>
      <c r="Z2129" s="237">
        <f t="shared" ca="1" si="1775"/>
        <v>3420.2999999999997</v>
      </c>
      <c r="AA2129" s="238"/>
      <c r="AB2129" s="233" t="str">
        <f>IF(B2129="insumo",_xlfn.XLOOKUP(S2129,Insumos!A:A,Insumos!D:D),"")</f>
        <v/>
      </c>
      <c r="AC2129" s="239">
        <f t="shared" ca="1" si="1776"/>
        <v>4.9067321857462732E-4</v>
      </c>
      <c r="AE2129" s="240">
        <f ca="1">IFERROR(IF(OR(Z2129="",Z2129=0),"",IF(AF2129="","",IF(AF2129="R$/mês",Z2129/OBRA!$D$12,IF(AF2129="R$/m²",Z2129/OBRA!$D$10,IF(AF2129="R$/apto",Orçamento!Z2129/OBRA!$D$11,""))))),"")</f>
        <v>1.7601107434529106</v>
      </c>
      <c r="AF2129" s="241" t="s">
        <v>154</v>
      </c>
    </row>
    <row r="2130" spans="1:32" s="10" customFormat="1" ht="13.15" hidden="1" customHeight="1" outlineLevel="4" x14ac:dyDescent="0.2">
      <c r="A2130" s="227"/>
      <c r="B2130" s="228" t="s">
        <v>4</v>
      </c>
      <c r="C2130" s="229">
        <f t="shared" si="1768"/>
        <v>1</v>
      </c>
      <c r="D2130" s="227" t="str">
        <f t="shared" ca="1" si="1769"/>
        <v>21.001.003.001</v>
      </c>
      <c r="E2130" s="228" t="str">
        <f t="shared" ca="1" si="1770"/>
        <v>21.001.003.001</v>
      </c>
      <c r="F2130" s="230">
        <f ca="1">IF($B2130="UNIDADE CONSTRUTIVA",OFFSET(F2130,-1,0)+1,LARGE(F$10:F2129,1))</f>
        <v>2</v>
      </c>
      <c r="G2130" s="228" t="str">
        <f t="shared" ca="1" si="1763"/>
        <v xml:space="preserve">   GERENCIAMENTO EXECUTIVO</v>
      </c>
      <c r="H2130" s="230">
        <f t="shared" ca="1" si="1771"/>
        <v>21</v>
      </c>
      <c r="I2130" s="228" t="str">
        <f t="shared" ca="1" si="1764"/>
        <v xml:space="preserve">   SERVIÇOS COMPLEMENTARES E FINAIS</v>
      </c>
      <c r="J2130" s="230">
        <f t="shared" ca="1" si="1772"/>
        <v>1</v>
      </c>
      <c r="K2130" s="228" t="str">
        <f t="shared" ca="1" si="1765"/>
        <v xml:space="preserve">   SERVIÇOS COMPLEMENTARES E FINAIS</v>
      </c>
      <c r="L2130" s="231">
        <f t="shared" ca="1" si="1773"/>
        <v>3</v>
      </c>
      <c r="M2130" s="228" t="str">
        <f t="shared" ca="1" si="1766"/>
        <v xml:space="preserve">   Paisagismo</v>
      </c>
      <c r="N2130" s="231">
        <f t="shared" ca="1" si="1774"/>
        <v>1</v>
      </c>
      <c r="O2130" s="228" t="str">
        <f t="shared" ca="1" si="1767"/>
        <v>Paisagismo</v>
      </c>
      <c r="P2130" s="232" t="str">
        <f>IF(S2130="","",IF(Orçamento!$B2130="INSUMO",S2130,""))</f>
        <v/>
      </c>
      <c r="Q2130" s="244" t="str">
        <f t="shared" si="1760"/>
        <v>Paisagismo</v>
      </c>
      <c r="R2130" s="234">
        <f t="shared" ca="1" si="1761"/>
        <v>1</v>
      </c>
      <c r="S2130" s="233" t="s">
        <v>533</v>
      </c>
      <c r="T2130" s="242" t="s">
        <v>170</v>
      </c>
      <c r="U2130" s="235">
        <v>1</v>
      </c>
      <c r="V2130" s="320" t="s">
        <v>35</v>
      </c>
      <c r="W2130" s="236" t="str">
        <f>IFERROR(IF(B2130="INSUMO",_xlfn.XLOOKUP(S2130,Insumos!A:A,Insumos!C:C),""),"Inserir Preço")</f>
        <v/>
      </c>
      <c r="X2130" s="235">
        <f t="shared" ca="1" si="1762"/>
        <v>1</v>
      </c>
      <c r="Y2130" s="236">
        <f t="shared" ca="1" si="1752"/>
        <v>3420.2999999999997</v>
      </c>
      <c r="Z2130" s="237">
        <f t="shared" ca="1" si="1775"/>
        <v>3420.2999999999997</v>
      </c>
      <c r="AA2130" s="238"/>
      <c r="AB2130" s="233" t="str">
        <f>IF(B2130="insumo",_xlfn.XLOOKUP(S2130,Insumos!A:A,Insumos!D:D),"")</f>
        <v/>
      </c>
      <c r="AC2130" s="239">
        <f t="shared" ca="1" si="1776"/>
        <v>4.9067321857462732E-4</v>
      </c>
      <c r="AE2130" s="240">
        <f ca="1">IFERROR(IF(OR(Z2130="",Z2130=0),"",IF(AF2130="","",IF(AF2130="R$/mês",Z2130/OBRA!$D$12,IF(AF2130="R$/m²",Z2130/OBRA!$D$10,IF(AF2130="R$/apto",Orçamento!Z2130/OBRA!$D$11,""))))),"")</f>
        <v>1.7601107434529106</v>
      </c>
      <c r="AF2130" s="241" t="s">
        <v>154</v>
      </c>
    </row>
    <row r="2131" spans="1:32" s="10" customFormat="1" ht="13.15" hidden="1" customHeight="1" outlineLevel="4" x14ac:dyDescent="0.2">
      <c r="A2131" s="227"/>
      <c r="B2131" s="228" t="s">
        <v>19</v>
      </c>
      <c r="C2131" s="229">
        <f t="shared" si="1768"/>
        <v>1</v>
      </c>
      <c r="D2131" s="227" t="str">
        <f t="shared" si="1769"/>
        <v/>
      </c>
      <c r="E2131" s="228" t="str">
        <f t="shared" ca="1" si="1770"/>
        <v>21.001.003.001</v>
      </c>
      <c r="F2131" s="230">
        <f ca="1">IF($B2131="UNIDADE CONSTRUTIVA",OFFSET(F2131,-1,0)+1,LARGE(F$10:F2130,1))</f>
        <v>2</v>
      </c>
      <c r="G2131" s="228" t="str">
        <f t="shared" ca="1" si="1763"/>
        <v xml:space="preserve">   GERENCIAMENTO EXECUTIVO</v>
      </c>
      <c r="H2131" s="230">
        <f t="shared" ca="1" si="1771"/>
        <v>21</v>
      </c>
      <c r="I2131" s="228" t="str">
        <f t="shared" ca="1" si="1764"/>
        <v xml:space="preserve">   SERVIÇOS COMPLEMENTARES E FINAIS</v>
      </c>
      <c r="J2131" s="230">
        <f t="shared" ca="1" si="1772"/>
        <v>1</v>
      </c>
      <c r="K2131" s="228" t="str">
        <f t="shared" ca="1" si="1765"/>
        <v xml:space="preserve">   SERVIÇOS COMPLEMENTARES E FINAIS</v>
      </c>
      <c r="L2131" s="231">
        <f t="shared" ca="1" si="1773"/>
        <v>3</v>
      </c>
      <c r="M2131" s="228" t="str">
        <f t="shared" ca="1" si="1766"/>
        <v xml:space="preserve">   Paisagismo</v>
      </c>
      <c r="N2131" s="231">
        <f t="shared" ca="1" si="1774"/>
        <v>1</v>
      </c>
      <c r="O2131" s="228" t="str">
        <f t="shared" ca="1" si="1767"/>
        <v>Paisagismo</v>
      </c>
      <c r="P2131" s="232" t="str">
        <f>IF(S2131="","",IF(Orçamento!$B2131="INSUMO",S2131,""))</f>
        <v>PAISAGISMO</v>
      </c>
      <c r="Q2131" s="244" t="str">
        <f t="shared" si="1760"/>
        <v/>
      </c>
      <c r="R2131" s="234">
        <f t="shared" ca="1" si="1761"/>
        <v>1</v>
      </c>
      <c r="S2131" s="233" t="s">
        <v>261</v>
      </c>
      <c r="T2131" s="242" t="str">
        <f>_xlfn.XLOOKUP(S2131,Insumos!$A$3:$A$371,Insumos!$B$3:$B$371)</f>
        <v>VB</v>
      </c>
      <c r="U2131" s="235">
        <f ca="1">IF($B2131="insumo",R2131,"")</f>
        <v>1</v>
      </c>
      <c r="V2131" s="320">
        <v>1</v>
      </c>
      <c r="W2131" s="236">
        <f>IFERROR(IF(B2131="INSUMO",_xlfn.XLOOKUP(S2131,Insumos!A:A,Insumos!C:C),""),"Inserir Preço")</f>
        <v>3420.2999999999997</v>
      </c>
      <c r="X2131" s="235">
        <f t="shared" ca="1" si="1762"/>
        <v>1</v>
      </c>
      <c r="Y2131" s="236">
        <f t="shared" si="1752"/>
        <v>3420.2999999999997</v>
      </c>
      <c r="Z2131" s="237">
        <f t="shared" ca="1" si="1775"/>
        <v>3420.2999999999997</v>
      </c>
      <c r="AA2131" s="238"/>
      <c r="AB2131" s="233" t="str">
        <f>IF(B2131="insumo",_xlfn.XLOOKUP(S2131,Insumos!A:A,Insumos!D:D),"")</f>
        <v>Estimativa</v>
      </c>
      <c r="AC2131" s="239">
        <f t="shared" ca="1" si="1776"/>
        <v>4.9067321857462732E-4</v>
      </c>
      <c r="AE2131" s="240">
        <f ca="1">IFERROR(IF(OR(Z2131="",Z2131=0),"",IF(AF2131="","",IF(AF2131="R$/mês",Z2131/OBRA!$D$12,IF(AF2131="R$/m²",Z2131/OBRA!$D$10,IF(AF2131="R$/apto",Orçamento!Z2131/OBRA!$D$11,""))))),"")</f>
        <v>1.7601107434529106</v>
      </c>
      <c r="AF2131" s="241" t="s">
        <v>154</v>
      </c>
    </row>
    <row r="2132" spans="1:32" s="10" customFormat="1" ht="13.15" hidden="1" customHeight="1" outlineLevel="3" collapsed="1" x14ac:dyDescent="0.2">
      <c r="A2132" s="227"/>
      <c r="B2132" s="228" t="s">
        <v>3</v>
      </c>
      <c r="C2132" s="229" t="str">
        <f t="shared" si="1768"/>
        <v/>
      </c>
      <c r="D2132" s="227" t="str">
        <f t="shared" ca="1" si="1769"/>
        <v>21.001.004</v>
      </c>
      <c r="E2132" s="228" t="str">
        <f t="shared" ca="1" si="1770"/>
        <v>21.001.003.001</v>
      </c>
      <c r="F2132" s="230">
        <f ca="1">IF($B2132="UNIDADE CONSTRUTIVA",OFFSET(F2132,-1,0)+1,LARGE(F$10:F2131,1))</f>
        <v>2</v>
      </c>
      <c r="G2132" s="228" t="str">
        <f t="shared" ca="1" si="1763"/>
        <v xml:space="preserve">   GERENCIAMENTO EXECUTIVO</v>
      </c>
      <c r="H2132" s="230">
        <f t="shared" ca="1" si="1771"/>
        <v>21</v>
      </c>
      <c r="I2132" s="228" t="str">
        <f t="shared" ca="1" si="1764"/>
        <v xml:space="preserve">   SERVIÇOS COMPLEMENTARES E FINAIS</v>
      </c>
      <c r="J2132" s="230">
        <f t="shared" ca="1" si="1772"/>
        <v>1</v>
      </c>
      <c r="K2132" s="228" t="str">
        <f t="shared" ca="1" si="1765"/>
        <v xml:space="preserve">   SERVIÇOS COMPLEMENTARES E FINAIS</v>
      </c>
      <c r="L2132" s="231">
        <f t="shared" ca="1" si="1773"/>
        <v>4</v>
      </c>
      <c r="M2132" s="228" t="str">
        <f t="shared" ca="1" si="1766"/>
        <v xml:space="preserve">   Serviços Finais</v>
      </c>
      <c r="N2132" s="231">
        <f t="shared" ca="1" si="1774"/>
        <v>0</v>
      </c>
      <c r="O2132" s="228" t="str">
        <f t="shared" ca="1" si="1767"/>
        <v>Paisagismo</v>
      </c>
      <c r="P2132" s="232" t="str">
        <f>IF(S2132="","",IF(Orçamento!$B2132="INSUMO",S2132,""))</f>
        <v/>
      </c>
      <c r="Q2132" s="244" t="str">
        <f t="shared" si="1760"/>
        <v/>
      </c>
      <c r="R2132" s="234">
        <f t="shared" ca="1" si="1761"/>
        <v>1</v>
      </c>
      <c r="S2132" s="233" t="s">
        <v>534</v>
      </c>
      <c r="T2132" s="242" t="s">
        <v>35</v>
      </c>
      <c r="U2132" s="235" t="str">
        <f>IF($B2132="insumo",R2132,"")</f>
        <v/>
      </c>
      <c r="V2132" s="320" t="s">
        <v>35</v>
      </c>
      <c r="W2132" s="236" t="str">
        <f>IFERROR(IF(B2132="INSUMO",_xlfn.XLOOKUP(S2132,Insumos!A:A,Insumos!C:C),""),"Inserir Preço")</f>
        <v/>
      </c>
      <c r="X2132" s="235" t="str">
        <f t="shared" ca="1" si="1762"/>
        <v/>
      </c>
      <c r="Y2132" s="236" t="str">
        <f t="shared" si="1752"/>
        <v/>
      </c>
      <c r="Z2132" s="237">
        <f t="shared" ca="1" si="1775"/>
        <v>63263.763025400003</v>
      </c>
      <c r="AA2132" s="238"/>
      <c r="AB2132" s="233" t="str">
        <f>IF(B2132="insumo",_xlfn.XLOOKUP(S2132,Insumos!A:A,Insumos!D:D),"")</f>
        <v/>
      </c>
      <c r="AC2132" s="239">
        <f t="shared" ca="1" si="1776"/>
        <v>9.0757635946599781E-3</v>
      </c>
      <c r="AE2132" s="240">
        <f ca="1">IFERROR(IF(OR(Z2132="",Z2132=0),"",IF(AF2132="","",IF(AF2132="R$/mês",Z2132/OBRA!$D$12,IF(AF2132="R$/m²",Z2132/OBRA!$D$10,IF(AF2132="R$/apto",Orçamento!Z2132/OBRA!$D$11,""))))),"")</f>
        <v>32.555983092788814</v>
      </c>
      <c r="AF2132" s="241" t="s">
        <v>154</v>
      </c>
    </row>
    <row r="2133" spans="1:32" s="10" customFormat="1" ht="13.15" hidden="1" customHeight="1" outlineLevel="4" x14ac:dyDescent="0.2">
      <c r="A2133" s="227"/>
      <c r="B2133" s="228" t="s">
        <v>4</v>
      </c>
      <c r="C2133" s="229">
        <f t="shared" si="1768"/>
        <v>1</v>
      </c>
      <c r="D2133" s="227" t="str">
        <f ca="1">IF(B2133="Unidade Construtiva",TEXT(F2133,"00"),IF(B2133="Célula Construtiva",TEXT(H2133,"00"),IF(B2133="Etapa",CONCATENATE(TEXT(H2133,"00"),".",TEXT(J2133,"000")),IF(B2133="Subetapa",CONCATENATE(TEXT(H2133,"00"),".",TEXT(J2133,"000"),".",TEXT(L2133,"000")),IF(B2133="Serviço",CONCATENATE(TEXT(H2133,"00"),".",TEXT(J2133,"000"),".",TEXT(L2133,"000"),".",TEXT(N2133,"000")),"")))))</f>
        <v>21.001.004.001</v>
      </c>
      <c r="E2133" s="228" t="str">
        <f ca="1">IF(B2133="*","",IFERROR(IF(B2133="SERVIÇO",D2133,OFFSET(E2133,-1,0)),""))</f>
        <v>21.001.004.001</v>
      </c>
      <c r="F2133" s="230">
        <f ca="1">IF($B2133="UNIDADE CONSTRUTIVA",OFFSET(F2133,-1,0)+1,LARGE(F$10:F2132,1))</f>
        <v>2</v>
      </c>
      <c r="G2133" s="228" t="str">
        <f ca="1">IF(B2133="*","",IF(B2133="UNIDADE CONSTRUTIVA",S2133,OFFSET(G2133,-1,0)))</f>
        <v xml:space="preserve">   GERENCIAMENTO EXECUTIVO</v>
      </c>
      <c r="H2133" s="230">
        <f ca="1">IF(B2133="UNIDADE CONSTRUTIVA",0,IF(B2133="CÉLULA CONSTRUTIVA",OFFSET(H2133,-1,0)+1,OFFSET(H2133,-1,0)))</f>
        <v>21</v>
      </c>
      <c r="I2133" s="228" t="str">
        <f ca="1">IF(B2133="*","",IF(B2133="CÉLULA CONSTRUTIVA",S2133,OFFSET(I2133,-1,0)))</f>
        <v xml:space="preserve">   SERVIÇOS COMPLEMENTARES E FINAIS</v>
      </c>
      <c r="J2133" s="230">
        <f ca="1">IF(B2133="CÉLULA CONSTRUTIVA",0,IF(B2133="ETAPA",OFFSET(J2133,-1,0)+1,OFFSET(J2133,-1,0)))</f>
        <v>1</v>
      </c>
      <c r="K2133" s="228" t="str">
        <f ca="1">IF(B2133="*","",IF(B2133="ETAPA",S2133,OFFSET(K2133,-1,0)))</f>
        <v xml:space="preserve">   SERVIÇOS COMPLEMENTARES E FINAIS</v>
      </c>
      <c r="L2133" s="231">
        <f ca="1">IF(B2133="ETAPA",0,IF(B2133="SUBETAPA",OFFSET(L2133,-1,0)+1,OFFSET(L2133,-1,0)))</f>
        <v>4</v>
      </c>
      <c r="M2133" s="228" t="str">
        <f ca="1">IF(B2133="*","",IF(B2133="SUBETAPA",S2133,OFFSET(M2133,-1,0)))</f>
        <v xml:space="preserve">   Serviços Finais</v>
      </c>
      <c r="N2133" s="231">
        <f ca="1">IF(B2133="Subetapa",0,IF(B2133="serviço",OFFSET(N2133,-1,0)+1,OFFSET(N2133,-1,0)))</f>
        <v>1</v>
      </c>
      <c r="O2133" s="228" t="str">
        <f ca="1">IF(B2133="*","",IF(B2133="SERVIÇO",S2133,OFFSET(O2133,-1,0)))</f>
        <v>Pavimentação em  Piso/Grama de Concreto 6 cm Sobre Coxim de Areia</v>
      </c>
      <c r="P2133" s="232" t="str">
        <f>IF(S2133="","",IF(Orçamento!$B2133="INSUMO",S2133,""))</f>
        <v/>
      </c>
      <c r="Q2133" s="244" t="str">
        <f>IF(B2133="","",IF(B2133="Serviço",S2133,""))</f>
        <v>Pavimentação em  Piso/Grama de Concreto 6 cm Sobre Coxim de Areia</v>
      </c>
      <c r="R2133" s="234">
        <f ca="1">IF(B2133="serviço",U2133,OFFSET(R2133,-1,0))</f>
        <v>12.677</v>
      </c>
      <c r="S2133" s="233" t="s">
        <v>763</v>
      </c>
      <c r="T2133" s="242" t="s">
        <v>140</v>
      </c>
      <c r="U2133" s="235">
        <v>12.677</v>
      </c>
      <c r="V2133" s="320" t="s">
        <v>35</v>
      </c>
      <c r="W2133" s="236" t="str">
        <f>IFERROR(IF(B2133="INSUMO",_xlfn.XLOOKUP(S2133,Insumos!A:A,Insumos!C:C),""),"Inserir Preço")</f>
        <v/>
      </c>
      <c r="X2133" s="235">
        <f ca="1">IF(B2133="Complemento do insumo",V2133,IF(R2133="","",IF(B2133="serviço",R2133,IF(OR(B2133="insumo"),V2133*R2133,""))))</f>
        <v>12.677</v>
      </c>
      <c r="Y2133" s="236">
        <f t="shared" ca="1" si="1752"/>
        <v>110.37020000000001</v>
      </c>
      <c r="Z2133" s="237">
        <f t="shared" ca="1" si="1775"/>
        <v>1399.1630254000002</v>
      </c>
      <c r="AA2133" s="238"/>
      <c r="AB2133" s="233" t="str">
        <f>IF(B2133="insumo",_xlfn.XLOOKUP(S2133,Insumos!A:A,Insumos!D:D),"")</f>
        <v/>
      </c>
      <c r="AC2133" s="239">
        <f t="shared" ca="1" si="1776"/>
        <v>2.007226924490925E-4</v>
      </c>
      <c r="AE2133" s="240">
        <f ca="1">IFERROR(IF(OR(Z2133="",Z2133=0),"",IF(AF2133="","",IF(AF2133="R$/mês",Z2133/OBRA!$D$12,IF(AF2133="R$/m²",Z2133/OBRA!$D$10,IF(AF2133="R$/apto",Orçamento!Z2133/OBRA!$D$11,""))))),"")</f>
        <v>0.72001925937742839</v>
      </c>
      <c r="AF2133" s="241" t="s">
        <v>154</v>
      </c>
    </row>
    <row r="2134" spans="1:32" s="10" customFormat="1" ht="13.15" hidden="1" customHeight="1" outlineLevel="4" x14ac:dyDescent="0.2">
      <c r="A2134" s="227"/>
      <c r="B2134" s="228" t="s">
        <v>19</v>
      </c>
      <c r="C2134" s="229">
        <f t="shared" si="1768"/>
        <v>1</v>
      </c>
      <c r="D2134" s="227" t="str">
        <f>IF(B2134="Unidade Construtiva",TEXT(F2134,"00"),IF(B2134="Célula Construtiva",TEXT(H2134,"00"),IF(B2134="Etapa",CONCATENATE(TEXT(H2134,"00"),".",TEXT(J2134,"000")),IF(B2134="Subetapa",CONCATENATE(TEXT(H2134,"00"),".",TEXT(J2134,"000"),".",TEXT(L2134,"000")),IF(B2134="Serviço",CONCATENATE(TEXT(H2134,"00"),".",TEXT(J2134,"000"),".",TEXT(L2134,"000"),".",TEXT(N2134,"000")),"")))))</f>
        <v/>
      </c>
      <c r="E2134" s="228" t="str">
        <f ca="1">IF(B2134="*","",IFERROR(IF(B2134="SERVIÇO",D2134,OFFSET(E2134,-1,0)),""))</f>
        <v>21.001.004.001</v>
      </c>
      <c r="F2134" s="230">
        <f ca="1">IF($B2134="UNIDADE CONSTRUTIVA",OFFSET(F2134,-1,0)+1,LARGE(F$10:F2133,1))</f>
        <v>2</v>
      </c>
      <c r="G2134" s="228" t="str">
        <f ca="1">IF(B2134="*","",IF(B2134="UNIDADE CONSTRUTIVA",S2134,OFFSET(G2134,-1,0)))</f>
        <v xml:space="preserve">   GERENCIAMENTO EXECUTIVO</v>
      </c>
      <c r="H2134" s="230">
        <f ca="1">IF(B2134="UNIDADE CONSTRUTIVA",0,IF(B2134="CÉLULA CONSTRUTIVA",OFFSET(H2134,-1,0)+1,OFFSET(H2134,-1,0)))</f>
        <v>21</v>
      </c>
      <c r="I2134" s="228" t="str">
        <f ca="1">IF(B2134="*","",IF(B2134="CÉLULA CONSTRUTIVA",S2134,OFFSET(I2134,-1,0)))</f>
        <v xml:space="preserve">   SERVIÇOS COMPLEMENTARES E FINAIS</v>
      </c>
      <c r="J2134" s="230">
        <f ca="1">IF(B2134="CÉLULA CONSTRUTIVA",0,IF(B2134="ETAPA",OFFSET(J2134,-1,0)+1,OFFSET(J2134,-1,0)))</f>
        <v>1</v>
      </c>
      <c r="K2134" s="228" t="str">
        <f ca="1">IF(B2134="*","",IF(B2134="ETAPA",S2134,OFFSET(K2134,-1,0)))</f>
        <v xml:space="preserve">   SERVIÇOS COMPLEMENTARES E FINAIS</v>
      </c>
      <c r="L2134" s="231">
        <f ca="1">IF(B2134="ETAPA",0,IF(B2134="SUBETAPA",OFFSET(L2134,-1,0)+1,OFFSET(L2134,-1,0)))</f>
        <v>4</v>
      </c>
      <c r="M2134" s="228" t="str">
        <f ca="1">IF(B2134="*","",IF(B2134="SUBETAPA",S2134,OFFSET(M2134,-1,0)))</f>
        <v xml:space="preserve">   Serviços Finais</v>
      </c>
      <c r="N2134" s="231">
        <f ca="1">IF(B2134="Subetapa",0,IF(B2134="serviço",OFFSET(N2134,-1,0)+1,OFFSET(N2134,-1,0)))</f>
        <v>1</v>
      </c>
      <c r="O2134" s="228" t="str">
        <f ca="1">IF(B2134="*","",IF(B2134="SERVIÇO",S2134,OFFSET(O2134,-1,0)))</f>
        <v>Pavimentação em  Piso/Grama de Concreto 6 cm Sobre Coxim de Areia</v>
      </c>
      <c r="P2134" s="232" t="str">
        <f>IF(S2134="","",IF(Orçamento!$B2134="INSUMO",S2134,""))</f>
        <v>BLOCO CONCRETO TIPO PISOGRAMA 35MPA 08CM NBR 6136</v>
      </c>
      <c r="Q2134" s="244" t="str">
        <f>IF(B2134="","",IF(B2134="Serviço",S2134,""))</f>
        <v/>
      </c>
      <c r="R2134" s="234">
        <f ca="1">IF(B2134="serviço",U2134,OFFSET(R2134,-1,0))</f>
        <v>12.677</v>
      </c>
      <c r="S2134" s="233" t="s">
        <v>764</v>
      </c>
      <c r="T2134" s="242" t="str">
        <f>_xlfn.XLOOKUP(S2134,Insumos!$A$3:$A$371,Insumos!$B$3:$B$371)</f>
        <v>M2</v>
      </c>
      <c r="U2134" s="235">
        <f ca="1">IF($B2134="insumo",R2134,"")</f>
        <v>12.677</v>
      </c>
      <c r="V2134" s="320">
        <v>1.05</v>
      </c>
      <c r="W2134" s="236">
        <f>IFERROR(IF(B2134="INSUMO",_xlfn.XLOOKUP(S2134,Insumos!A:A,Insumos!C:C),""),"Inserir Preço")</f>
        <v>98</v>
      </c>
      <c r="X2134" s="235">
        <f ca="1">IF(B2134="Complemento do insumo",V2134,IF(R2134="","",IF(B2134="serviço",R2134,IF(OR(B2134="insumo"),V2134*R2134,""))))</f>
        <v>13.31085</v>
      </c>
      <c r="Y2134" s="236">
        <f t="shared" si="1752"/>
        <v>102.9</v>
      </c>
      <c r="Z2134" s="237">
        <f t="shared" ca="1" si="1775"/>
        <v>1304.4633000000001</v>
      </c>
      <c r="AA2134" s="238"/>
      <c r="AB2134" s="233" t="str">
        <f>IF(B2134="insumo",_xlfn.XLOOKUP(S2134,Insumos!A:A,Insumos!D:D),"")</f>
        <v xml:space="preserve"> </v>
      </c>
      <c r="AC2134" s="239">
        <f t="shared" ca="1" si="1776"/>
        <v>1.8713715344369783E-4</v>
      </c>
      <c r="AE2134" s="240">
        <f ca="1">IFERROR(IF(OR(Z2134="",Z2134=0),"",IF(AF2134="","",IF(AF2134="R$/mês",Z2134/OBRA!$D$12,IF(AF2134="R$/m²",Z2134/OBRA!$D$10,IF(AF2134="R$/apto",Orçamento!Z2134/OBRA!$D$11,""))))),"")</f>
        <v>0.67128610612228101</v>
      </c>
      <c r="AF2134" s="241" t="s">
        <v>154</v>
      </c>
    </row>
    <row r="2135" spans="1:32" s="10" customFormat="1" ht="13.15" hidden="1" customHeight="1" outlineLevel="4" x14ac:dyDescent="0.2">
      <c r="A2135" s="227"/>
      <c r="B2135" s="228" t="s">
        <v>19</v>
      </c>
      <c r="C2135" s="229">
        <f t="shared" si="1768"/>
        <v>1</v>
      </c>
      <c r="D2135" s="227" t="str">
        <f>IF(B2135="Unidade Construtiva",TEXT(F2135,"00"),IF(B2135="Célula Construtiva",TEXT(H2135,"00"),IF(B2135="Etapa",CONCATENATE(TEXT(H2135,"00"),".",TEXT(J2135,"000")),IF(B2135="Subetapa",CONCATENATE(TEXT(H2135,"00"),".",TEXT(J2135,"000"),".",TEXT(L2135,"000")),IF(B2135="Serviço",CONCATENATE(TEXT(H2135,"00"),".",TEXT(J2135,"000"),".",TEXT(L2135,"000"),".",TEXT(N2135,"000")),"")))))</f>
        <v/>
      </c>
      <c r="E2135" s="228" t="str">
        <f ca="1">IF(B2135="*","",IFERROR(IF(B2135="SERVIÇO",D2135,OFFSET(E2135,-1,0)),""))</f>
        <v>21.001.004.001</v>
      </c>
      <c r="F2135" s="230">
        <f ca="1">IF($B2135="UNIDADE CONSTRUTIVA",OFFSET(F2135,-1,0)+1,LARGE(F$10:F2134,1))</f>
        <v>2</v>
      </c>
      <c r="G2135" s="228" t="str">
        <f ca="1">IF(B2135="*","",IF(B2135="UNIDADE CONSTRUTIVA",S2135,OFFSET(G2135,-1,0)))</f>
        <v xml:space="preserve">   GERENCIAMENTO EXECUTIVO</v>
      </c>
      <c r="H2135" s="230">
        <f ca="1">IF(B2135="UNIDADE CONSTRUTIVA",0,IF(B2135="CÉLULA CONSTRUTIVA",OFFSET(H2135,-1,0)+1,OFFSET(H2135,-1,0)))</f>
        <v>21</v>
      </c>
      <c r="I2135" s="228" t="str">
        <f ca="1">IF(B2135="*","",IF(B2135="CÉLULA CONSTRUTIVA",S2135,OFFSET(I2135,-1,0)))</f>
        <v xml:space="preserve">   SERVIÇOS COMPLEMENTARES E FINAIS</v>
      </c>
      <c r="J2135" s="230">
        <f ca="1">IF(B2135="CÉLULA CONSTRUTIVA",0,IF(B2135="ETAPA",OFFSET(J2135,-1,0)+1,OFFSET(J2135,-1,0)))</f>
        <v>1</v>
      </c>
      <c r="K2135" s="228" t="str">
        <f ca="1">IF(B2135="*","",IF(B2135="ETAPA",S2135,OFFSET(K2135,-1,0)))</f>
        <v xml:space="preserve">   SERVIÇOS COMPLEMENTARES E FINAIS</v>
      </c>
      <c r="L2135" s="231">
        <f ca="1">IF(B2135="ETAPA",0,IF(B2135="SUBETAPA",OFFSET(L2135,-1,0)+1,OFFSET(L2135,-1,0)))</f>
        <v>4</v>
      </c>
      <c r="M2135" s="228" t="str">
        <f ca="1">IF(B2135="*","",IF(B2135="SUBETAPA",S2135,OFFSET(M2135,-1,0)))</f>
        <v xml:space="preserve">   Serviços Finais</v>
      </c>
      <c r="N2135" s="231">
        <f ca="1">IF(B2135="Subetapa",0,IF(B2135="serviço",OFFSET(N2135,-1,0)+1,OFFSET(N2135,-1,0)))</f>
        <v>1</v>
      </c>
      <c r="O2135" s="228" t="str">
        <f ca="1">IF(B2135="*","",IF(B2135="SERVIÇO",S2135,OFFSET(O2135,-1,0)))</f>
        <v>Pavimentação em  Piso/Grama de Concreto 6 cm Sobre Coxim de Areia</v>
      </c>
      <c r="P2135" s="232" t="str">
        <f>IF(S2135="","",IF(Orçamento!$B2135="INSUMO",S2135,""))</f>
        <v>PO PEDRA A GRANEL (M3) - GRANULOMETRIA 1,2 A 4,75MM NBR 7211</v>
      </c>
      <c r="Q2135" s="244" t="str">
        <f>IF(B2135="","",IF(B2135="Serviço",S2135,""))</f>
        <v/>
      </c>
      <c r="R2135" s="234">
        <f ca="1">IF(B2135="serviço",U2135,OFFSET(R2135,-1,0))</f>
        <v>12.677</v>
      </c>
      <c r="S2135" s="233" t="s">
        <v>765</v>
      </c>
      <c r="T2135" s="242" t="str">
        <f>_xlfn.XLOOKUP(S2135,Insumos!$A$3:$A$371,Insumos!$B$3:$B$371)</f>
        <v>M3</v>
      </c>
      <c r="U2135" s="235">
        <f ca="1">IF($B2135="insumo",R2135,"")</f>
        <v>12.677</v>
      </c>
      <c r="V2135" s="320">
        <v>1.1000000000000001E-3</v>
      </c>
      <c r="W2135" s="236">
        <f>IFERROR(IF(B2135="INSUMO",_xlfn.XLOOKUP(S2135,Insumos!A:A,Insumos!C:C),""),"Inserir Preço")</f>
        <v>130</v>
      </c>
      <c r="X2135" s="235">
        <f ca="1">IF(B2135="Complemento do insumo",V2135,IF(R2135="","",IF(B2135="serviço",R2135,IF(OR(B2135="insumo"),V2135*R2135,""))))</f>
        <v>1.3944700000000001E-2</v>
      </c>
      <c r="Y2135" s="236">
        <f t="shared" si="1752"/>
        <v>0.14300000000000002</v>
      </c>
      <c r="Z2135" s="237">
        <f t="shared" ca="1" si="1775"/>
        <v>1.8128110000000002</v>
      </c>
      <c r="AA2135" s="238"/>
      <c r="AB2135" s="233" t="str">
        <f>IF(B2135="insumo",_xlfn.XLOOKUP(S2135,Insumos!A:A,Insumos!D:D),"")</f>
        <v>Base de Dados</v>
      </c>
      <c r="AC2135" s="239">
        <f t="shared" ca="1" si="1776"/>
        <v>2.6006426571864713E-7</v>
      </c>
      <c r="AE2135" s="240">
        <f ca="1">IFERROR(IF(OR(Z2135="",Z2135=0),"",IF(AF2135="","",IF(AF2135="R$/mês",Z2135/OBRA!$D$12,IF(AF2135="R$/m²",Z2135/OBRA!$D$10,IF(AF2135="R$/apto",Orçamento!Z2135/OBRA!$D$11,""))))),"")</f>
        <v>9.3288545360044881E-4</v>
      </c>
      <c r="AF2135" s="241" t="s">
        <v>154</v>
      </c>
    </row>
    <row r="2136" spans="1:32" s="10" customFormat="1" ht="13.15" hidden="1" customHeight="1" outlineLevel="4" x14ac:dyDescent="0.2">
      <c r="A2136" s="227"/>
      <c r="B2136" s="228" t="s">
        <v>19</v>
      </c>
      <c r="C2136" s="229">
        <f t="shared" si="1768"/>
        <v>7</v>
      </c>
      <c r="D2136" s="227" t="str">
        <f>IF(B2136="Unidade Construtiva",TEXT(F2136,"00"),IF(B2136="Célula Construtiva",TEXT(H2136,"00"),IF(B2136="Etapa",CONCATENATE(TEXT(H2136,"00"),".",TEXT(J2136,"000")),IF(B2136="Subetapa",CONCATENATE(TEXT(H2136,"00"),".",TEXT(J2136,"000"),".",TEXT(L2136,"000")),IF(B2136="Serviço",CONCATENATE(TEXT(H2136,"00"),".",TEXT(J2136,"000"),".",TEXT(L2136,"000"),".",TEXT(N2136,"000")),"")))))</f>
        <v/>
      </c>
      <c r="E2136" s="228" t="str">
        <f ca="1">IF(B2136="*","",IFERROR(IF(B2136="SERVIÇO",D2136,OFFSET(E2136,-1,0)),""))</f>
        <v>21.001.004.001</v>
      </c>
      <c r="F2136" s="230">
        <f ca="1">IF($B2136="UNIDADE CONSTRUTIVA",OFFSET(F2136,-1,0)+1,LARGE(F$10:F2135,1))</f>
        <v>2</v>
      </c>
      <c r="G2136" s="228" t="str">
        <f ca="1">IF(B2136="*","",IF(B2136="UNIDADE CONSTRUTIVA",S2136,OFFSET(G2136,-1,0)))</f>
        <v xml:space="preserve">   GERENCIAMENTO EXECUTIVO</v>
      </c>
      <c r="H2136" s="230">
        <f ca="1">IF(B2136="UNIDADE CONSTRUTIVA",0,IF(B2136="CÉLULA CONSTRUTIVA",OFFSET(H2136,-1,0)+1,OFFSET(H2136,-1,0)))</f>
        <v>21</v>
      </c>
      <c r="I2136" s="228" t="str">
        <f ca="1">IF(B2136="*","",IF(B2136="CÉLULA CONSTRUTIVA",S2136,OFFSET(I2136,-1,0)))</f>
        <v xml:space="preserve">   SERVIÇOS COMPLEMENTARES E FINAIS</v>
      </c>
      <c r="J2136" s="230">
        <f ca="1">IF(B2136="CÉLULA CONSTRUTIVA",0,IF(B2136="ETAPA",OFFSET(J2136,-1,0)+1,OFFSET(J2136,-1,0)))</f>
        <v>1</v>
      </c>
      <c r="K2136" s="228" t="str">
        <f ca="1">IF(B2136="*","",IF(B2136="ETAPA",S2136,OFFSET(K2136,-1,0)))</f>
        <v xml:space="preserve">   SERVIÇOS COMPLEMENTARES E FINAIS</v>
      </c>
      <c r="L2136" s="231">
        <f ca="1">IF(B2136="ETAPA",0,IF(B2136="SUBETAPA",OFFSET(L2136,-1,0)+1,OFFSET(L2136,-1,0)))</f>
        <v>4</v>
      </c>
      <c r="M2136" s="228" t="str">
        <f ca="1">IF(B2136="*","",IF(B2136="SUBETAPA",S2136,OFFSET(M2136,-1,0)))</f>
        <v xml:space="preserve">   Serviços Finais</v>
      </c>
      <c r="N2136" s="231">
        <f ca="1">IF(B2136="Subetapa",0,IF(B2136="serviço",OFFSET(N2136,-1,0)+1,OFFSET(N2136,-1,0)))</f>
        <v>1</v>
      </c>
      <c r="O2136" s="228" t="str">
        <f ca="1">IF(B2136="*","",IF(B2136="SERVIÇO",S2136,OFFSET(O2136,-1,0)))</f>
        <v>Pavimentação em  Piso/Grama de Concreto 6 cm Sobre Coxim de Areia</v>
      </c>
      <c r="P2136" s="232" t="str">
        <f>IF(S2136="","",IF(Orçamento!$B2136="INSUMO",S2136,""))</f>
        <v>AREIA MEDIA</v>
      </c>
      <c r="Q2136" s="244" t="str">
        <f>IF(B2136="","",IF(B2136="Serviço",S2136,""))</f>
        <v/>
      </c>
      <c r="R2136" s="234">
        <f ca="1">IF(B2136="serviço",U2136,OFFSET(R2136,-1,0))</f>
        <v>12.677</v>
      </c>
      <c r="S2136" s="233" t="s">
        <v>359</v>
      </c>
      <c r="T2136" s="242" t="str">
        <f>_xlfn.XLOOKUP(S2136,Insumos!$A$3:$A$371,Insumos!$B$3:$B$371)</f>
        <v>M3</v>
      </c>
      <c r="U2136" s="235">
        <f ca="1">IF($B2136="insumo",R2136,"")</f>
        <v>12.677</v>
      </c>
      <c r="V2136" s="320">
        <v>5.6800000000000003E-2</v>
      </c>
      <c r="W2136" s="236">
        <f>IFERROR(IF(B2136="INSUMO",_xlfn.XLOOKUP(S2136,Insumos!A:A,Insumos!C:C),""),"Inserir Preço")</f>
        <v>129</v>
      </c>
      <c r="X2136" s="235">
        <f ca="1">IF(B2136="Complemento do insumo",V2136,IF(R2136="","",IF(B2136="serviço",R2136,IF(OR(B2136="insumo"),V2136*R2136,""))))</f>
        <v>0.72005360000000007</v>
      </c>
      <c r="Y2136" s="236">
        <f t="shared" si="1752"/>
        <v>7.3272000000000004</v>
      </c>
      <c r="Z2136" s="237">
        <f t="shared" ca="1" si="1775"/>
        <v>92.886914400000009</v>
      </c>
      <c r="AA2136" s="238"/>
      <c r="AB2136" s="233" t="str">
        <f>IF(B2136="insumo",_xlfn.XLOOKUP(S2136,Insumos!A:A,Insumos!D:D),"")</f>
        <v>Agregados Nestor</v>
      </c>
      <c r="AC2136" s="239">
        <f t="shared" ca="1" si="1776"/>
        <v>1.3325474739676023E-5</v>
      </c>
      <c r="AE2136" s="240">
        <f ca="1">IFERROR(IF(OR(Z2136="",Z2136=0),"",IF(AF2136="","",IF(AF2136="R$/mês",Z2136/OBRA!$D$12,IF(AF2136="R$/m²",Z2136/OBRA!$D$10,IF(AF2136="R$/apto",Orçamento!Z2136/OBRA!$D$11,""))))),"")</f>
        <v>4.7800267801546913E-2</v>
      </c>
      <c r="AF2136" s="241" t="s">
        <v>154</v>
      </c>
    </row>
    <row r="2137" spans="1:32" s="10" customFormat="1" ht="13.15" hidden="1" customHeight="1" outlineLevel="4" x14ac:dyDescent="0.2">
      <c r="A2137" s="227"/>
      <c r="B2137" s="228" t="s">
        <v>4</v>
      </c>
      <c r="C2137" s="229">
        <f t="shared" si="1768"/>
        <v>1</v>
      </c>
      <c r="D2137" s="227" t="str">
        <f t="shared" ca="1" si="1769"/>
        <v>21.001.004.002</v>
      </c>
      <c r="E2137" s="228" t="str">
        <f t="shared" ca="1" si="1770"/>
        <v>21.001.004.002</v>
      </c>
      <c r="F2137" s="230">
        <f ca="1">IF($B2137="UNIDADE CONSTRUTIVA",OFFSET(F2137,-1,0)+1,LARGE(F$10:F2136,1))</f>
        <v>2</v>
      </c>
      <c r="G2137" s="228" t="str">
        <f t="shared" ca="1" si="1763"/>
        <v xml:space="preserve">   GERENCIAMENTO EXECUTIVO</v>
      </c>
      <c r="H2137" s="230">
        <f t="shared" ca="1" si="1771"/>
        <v>21</v>
      </c>
      <c r="I2137" s="228" t="str">
        <f t="shared" ca="1" si="1764"/>
        <v xml:space="preserve">   SERVIÇOS COMPLEMENTARES E FINAIS</v>
      </c>
      <c r="J2137" s="230">
        <f t="shared" ca="1" si="1772"/>
        <v>1</v>
      </c>
      <c r="K2137" s="228" t="str">
        <f t="shared" ca="1" si="1765"/>
        <v xml:space="preserve">   SERVIÇOS COMPLEMENTARES E FINAIS</v>
      </c>
      <c r="L2137" s="231">
        <f t="shared" ca="1" si="1773"/>
        <v>4</v>
      </c>
      <c r="M2137" s="228" t="str">
        <f t="shared" ca="1" si="1766"/>
        <v xml:space="preserve">   Serviços Finais</v>
      </c>
      <c r="N2137" s="231">
        <f t="shared" ca="1" si="1774"/>
        <v>2</v>
      </c>
      <c r="O2137" s="228" t="str">
        <f t="shared" ca="1" si="1767"/>
        <v>Limpeza final da obra</v>
      </c>
      <c r="P2137" s="232" t="str">
        <f>IF(S2137="","",IF(Orçamento!$B2137="INSUMO",S2137,""))</f>
        <v/>
      </c>
      <c r="Q2137" s="244" t="str">
        <f t="shared" si="1760"/>
        <v>Limpeza final da obra</v>
      </c>
      <c r="R2137" s="234">
        <f t="shared" ca="1" si="1761"/>
        <v>1</v>
      </c>
      <c r="S2137" s="233" t="s">
        <v>535</v>
      </c>
      <c r="T2137" s="242" t="s">
        <v>170</v>
      </c>
      <c r="U2137" s="235">
        <v>1</v>
      </c>
      <c r="V2137" s="320" t="s">
        <v>35</v>
      </c>
      <c r="W2137" s="236" t="str">
        <f>IFERROR(IF(B2137="INSUMO",_xlfn.XLOOKUP(S2137,Insumos!A:A,Insumos!C:C),""),"Inserir Preço")</f>
        <v/>
      </c>
      <c r="X2137" s="235">
        <f t="shared" ca="1" si="1762"/>
        <v>1</v>
      </c>
      <c r="Y2137" s="236">
        <f t="shared" ca="1" si="1752"/>
        <v>29148.45</v>
      </c>
      <c r="Z2137" s="237">
        <f t="shared" ca="1" si="1775"/>
        <v>29148.45</v>
      </c>
      <c r="AA2137" s="238"/>
      <c r="AB2137" s="233" t="str">
        <f>IF(B2137="insumo",_xlfn.XLOOKUP(S2137,Insumos!A:A,Insumos!D:D),"")</f>
        <v/>
      </c>
      <c r="AC2137" s="239">
        <f t="shared" ca="1" si="1776"/>
        <v>4.1816109048801557E-3</v>
      </c>
      <c r="AE2137" s="240">
        <f ca="1">IFERROR(IF(OR(Z2137="",Z2137=0),"",IF(AF2137="","",IF(AF2137="R$/mês",Z2137/OBRA!$D$12,IF(AF2137="R$/m²",Z2137/OBRA!$D$10,IF(AF2137="R$/apto",Orçamento!Z2137/OBRA!$D$11,""))))),"")</f>
        <v>15</v>
      </c>
      <c r="AF2137" s="241" t="s">
        <v>154</v>
      </c>
    </row>
    <row r="2138" spans="1:32" s="10" customFormat="1" ht="13.15" hidden="1" customHeight="1" outlineLevel="4" x14ac:dyDescent="0.2">
      <c r="A2138" s="227"/>
      <c r="B2138" s="228" t="s">
        <v>19</v>
      </c>
      <c r="C2138" s="229">
        <f t="shared" si="1768"/>
        <v>1</v>
      </c>
      <c r="D2138" s="227" t="str">
        <f t="shared" si="1769"/>
        <v/>
      </c>
      <c r="E2138" s="228" t="str">
        <f t="shared" ca="1" si="1770"/>
        <v>21.001.004.002</v>
      </c>
      <c r="F2138" s="230">
        <f ca="1">IF($B2138="UNIDADE CONSTRUTIVA",OFFSET(F2138,-1,0)+1,LARGE(F$10:F2137,1))</f>
        <v>2</v>
      </c>
      <c r="G2138" s="228" t="str">
        <f t="shared" ca="1" si="1763"/>
        <v xml:space="preserve">   GERENCIAMENTO EXECUTIVO</v>
      </c>
      <c r="H2138" s="230">
        <f t="shared" ca="1" si="1771"/>
        <v>21</v>
      </c>
      <c r="I2138" s="228" t="str">
        <f t="shared" ca="1" si="1764"/>
        <v xml:space="preserve">   SERVIÇOS COMPLEMENTARES E FINAIS</v>
      </c>
      <c r="J2138" s="230">
        <f t="shared" ca="1" si="1772"/>
        <v>1</v>
      </c>
      <c r="K2138" s="228" t="str">
        <f t="shared" ca="1" si="1765"/>
        <v xml:space="preserve">   SERVIÇOS COMPLEMENTARES E FINAIS</v>
      </c>
      <c r="L2138" s="231">
        <f t="shared" ca="1" si="1773"/>
        <v>4</v>
      </c>
      <c r="M2138" s="228" t="str">
        <f t="shared" ca="1" si="1766"/>
        <v xml:space="preserve">   Serviços Finais</v>
      </c>
      <c r="N2138" s="231">
        <f t="shared" ca="1" si="1774"/>
        <v>2</v>
      </c>
      <c r="O2138" s="228" t="str">
        <f t="shared" ca="1" si="1767"/>
        <v>Limpeza final da obra</v>
      </c>
      <c r="P2138" s="232" t="str">
        <f>IF(S2138="","",IF(Orçamento!$B2138="INSUMO",S2138,""))</f>
        <v>LIMPEZA FINAL DA OBRA</v>
      </c>
      <c r="Q2138" s="244" t="str">
        <f t="shared" si="1760"/>
        <v/>
      </c>
      <c r="R2138" s="234">
        <f t="shared" ca="1" si="1761"/>
        <v>1</v>
      </c>
      <c r="S2138" s="233" t="s">
        <v>276</v>
      </c>
      <c r="T2138" s="242" t="str">
        <f>_xlfn.XLOOKUP(S2138,Insumos!$A$3:$A$371,Insumos!$B$3:$B$371)</f>
        <v>VB</v>
      </c>
      <c r="U2138" s="235">
        <f ca="1">IF($B2138="insumo",R2138,"")</f>
        <v>1</v>
      </c>
      <c r="V2138" s="320">
        <v>1</v>
      </c>
      <c r="W2138" s="236">
        <f>IFERROR(IF(B2138="INSUMO",_xlfn.XLOOKUP(S2138,Insumos!A:A,Insumos!C:C),""),"Inserir Preço")</f>
        <v>29148.45</v>
      </c>
      <c r="X2138" s="235">
        <f t="shared" ca="1" si="1762"/>
        <v>1</v>
      </c>
      <c r="Y2138" s="236">
        <f t="shared" si="1752"/>
        <v>29148.45</v>
      </c>
      <c r="Z2138" s="237">
        <f t="shared" ca="1" si="1775"/>
        <v>29148.45</v>
      </c>
      <c r="AA2138" s="238"/>
      <c r="AB2138" s="233" t="str">
        <f>IF(B2138="insumo",_xlfn.XLOOKUP(S2138,Insumos!A:A,Insumos!D:D),"")</f>
        <v>Estimativa</v>
      </c>
      <c r="AC2138" s="239">
        <f t="shared" ca="1" si="1776"/>
        <v>4.1816109048801557E-3</v>
      </c>
      <c r="AE2138" s="240">
        <f ca="1">IFERROR(IF(OR(Z2138="",Z2138=0),"",IF(AF2138="","",IF(AF2138="R$/mês",Z2138/OBRA!$D$12,IF(AF2138="R$/m²",Z2138/OBRA!$D$10,IF(AF2138="R$/apto",Orçamento!Z2138/OBRA!$D$11,""))))),"")</f>
        <v>15</v>
      </c>
      <c r="AF2138" s="241" t="s">
        <v>154</v>
      </c>
    </row>
    <row r="2139" spans="1:32" s="10" customFormat="1" ht="13.15" hidden="1" customHeight="1" outlineLevel="4" x14ac:dyDescent="0.2">
      <c r="A2139" s="227"/>
      <c r="B2139" s="228" t="s">
        <v>4</v>
      </c>
      <c r="C2139" s="229">
        <f t="shared" si="1768"/>
        <v>1</v>
      </c>
      <c r="D2139" s="227" t="str">
        <f t="shared" ca="1" si="1769"/>
        <v>21.001.004.003</v>
      </c>
      <c r="E2139" s="228" t="str">
        <f t="shared" ca="1" si="1770"/>
        <v>21.001.004.003</v>
      </c>
      <c r="F2139" s="230">
        <f ca="1">IF($B2139="UNIDADE CONSTRUTIVA",OFFSET(F2139,-1,0)+1,LARGE(F$10:F2138,1))</f>
        <v>2</v>
      </c>
      <c r="G2139" s="228" t="str">
        <f t="shared" ca="1" si="1763"/>
        <v xml:space="preserve">   GERENCIAMENTO EXECUTIVO</v>
      </c>
      <c r="H2139" s="230">
        <f t="shared" ca="1" si="1771"/>
        <v>21</v>
      </c>
      <c r="I2139" s="228" t="str">
        <f t="shared" ca="1" si="1764"/>
        <v xml:space="preserve">   SERVIÇOS COMPLEMENTARES E FINAIS</v>
      </c>
      <c r="J2139" s="230">
        <f t="shared" ca="1" si="1772"/>
        <v>1</v>
      </c>
      <c r="K2139" s="228" t="str">
        <f t="shared" ca="1" si="1765"/>
        <v xml:space="preserve">   SERVIÇOS COMPLEMENTARES E FINAIS</v>
      </c>
      <c r="L2139" s="231">
        <f t="shared" ca="1" si="1773"/>
        <v>4</v>
      </c>
      <c r="M2139" s="228" t="str">
        <f t="shared" ca="1" si="1766"/>
        <v xml:space="preserve">   Serviços Finais</v>
      </c>
      <c r="N2139" s="231">
        <f t="shared" ca="1" si="1774"/>
        <v>3</v>
      </c>
      <c r="O2139" s="228" t="str">
        <f t="shared" ca="1" si="1767"/>
        <v>Desmobilizacao de pessoal, maquinas e equipamentos</v>
      </c>
      <c r="P2139" s="232" t="str">
        <f>IF(S2139="","",IF(Orçamento!$B2139="INSUMO",S2139,""))</f>
        <v/>
      </c>
      <c r="Q2139" s="244" t="str">
        <f t="shared" si="1760"/>
        <v>Desmobilizacao de pessoal, maquinas e equipamentos</v>
      </c>
      <c r="R2139" s="234">
        <f t="shared" ca="1" si="1761"/>
        <v>1</v>
      </c>
      <c r="S2139" s="233" t="s">
        <v>536</v>
      </c>
      <c r="T2139" s="242" t="s">
        <v>170</v>
      </c>
      <c r="U2139" s="235">
        <v>1</v>
      </c>
      <c r="V2139" s="320" t="s">
        <v>35</v>
      </c>
      <c r="W2139" s="236" t="str">
        <f>IFERROR(IF(B2139="INSUMO",_xlfn.XLOOKUP(S2139,Insumos!A:A,Insumos!C:C),""),"Inserir Preço")</f>
        <v/>
      </c>
      <c r="X2139" s="235">
        <f t="shared" ca="1" si="1762"/>
        <v>1</v>
      </c>
      <c r="Y2139" s="236">
        <f t="shared" ca="1" si="1752"/>
        <v>9716.15</v>
      </c>
      <c r="Z2139" s="237">
        <f t="shared" ca="1" si="1775"/>
        <v>9716.15</v>
      </c>
      <c r="AA2139" s="238"/>
      <c r="AB2139" s="233" t="str">
        <f>IF(B2139="insumo",_xlfn.XLOOKUP(S2139,Insumos!A:A,Insumos!D:D),"")</f>
        <v/>
      </c>
      <c r="AC2139" s="239">
        <f t="shared" ca="1" si="1776"/>
        <v>1.3938703016267184E-3</v>
      </c>
      <c r="AE2139" s="240">
        <f ca="1">IFERROR(IF(OR(Z2139="",Z2139=0),"",IF(AF2139="","",IF(AF2139="R$/mês",Z2139/OBRA!$D$12,IF(AF2139="R$/m²",Z2139/OBRA!$D$10,IF(AF2139="R$/apto",Orçamento!Z2139/OBRA!$D$11,""))))),"")</f>
        <v>5</v>
      </c>
      <c r="AF2139" s="241" t="s">
        <v>154</v>
      </c>
    </row>
    <row r="2140" spans="1:32" s="10" customFormat="1" ht="13.15" hidden="1" customHeight="1" outlineLevel="4" x14ac:dyDescent="0.2">
      <c r="A2140" s="227"/>
      <c r="B2140" s="228" t="s">
        <v>19</v>
      </c>
      <c r="C2140" s="229">
        <f t="shared" si="1768"/>
        <v>1</v>
      </c>
      <c r="D2140" s="227" t="str">
        <f t="shared" si="1769"/>
        <v/>
      </c>
      <c r="E2140" s="228" t="str">
        <f t="shared" ca="1" si="1770"/>
        <v>21.001.004.003</v>
      </c>
      <c r="F2140" s="230">
        <f ca="1">IF($B2140="UNIDADE CONSTRUTIVA",OFFSET(F2140,-1,0)+1,LARGE(F$10:F2139,1))</f>
        <v>2</v>
      </c>
      <c r="G2140" s="228" t="str">
        <f t="shared" ca="1" si="1763"/>
        <v xml:space="preserve">   GERENCIAMENTO EXECUTIVO</v>
      </c>
      <c r="H2140" s="230">
        <f t="shared" ca="1" si="1771"/>
        <v>21</v>
      </c>
      <c r="I2140" s="228" t="str">
        <f t="shared" ca="1" si="1764"/>
        <v xml:space="preserve">   SERVIÇOS COMPLEMENTARES E FINAIS</v>
      </c>
      <c r="J2140" s="230">
        <f t="shared" ca="1" si="1772"/>
        <v>1</v>
      </c>
      <c r="K2140" s="228" t="str">
        <f t="shared" ca="1" si="1765"/>
        <v xml:space="preserve">   SERVIÇOS COMPLEMENTARES E FINAIS</v>
      </c>
      <c r="L2140" s="231">
        <f t="shared" ca="1" si="1773"/>
        <v>4</v>
      </c>
      <c r="M2140" s="228" t="str">
        <f t="shared" ca="1" si="1766"/>
        <v xml:space="preserve">   Serviços Finais</v>
      </c>
      <c r="N2140" s="231">
        <f t="shared" ca="1" si="1774"/>
        <v>3</v>
      </c>
      <c r="O2140" s="228" t="str">
        <f t="shared" ca="1" si="1767"/>
        <v>Desmobilizacao de pessoal, maquinas e equipamentos</v>
      </c>
      <c r="P2140" s="232" t="str">
        <f>IF(S2140="","",IF(Orçamento!$B2140="INSUMO",S2140,""))</f>
        <v>DESMOBILIZACAO PESSOAL/EQUIPAMENTOS</v>
      </c>
      <c r="Q2140" s="244" t="str">
        <f t="shared" si="1760"/>
        <v/>
      </c>
      <c r="R2140" s="234">
        <f t="shared" ca="1" si="1761"/>
        <v>1</v>
      </c>
      <c r="S2140" s="233" t="s">
        <v>291</v>
      </c>
      <c r="T2140" s="242" t="str">
        <f>_xlfn.XLOOKUP(S2140,Insumos!$A$3:$A$371,Insumos!$B$3:$B$371)</f>
        <v>VB</v>
      </c>
      <c r="U2140" s="235">
        <f ca="1">IF($B2140="insumo",R2140,"")</f>
        <v>1</v>
      </c>
      <c r="V2140" s="320">
        <v>1</v>
      </c>
      <c r="W2140" s="236">
        <f>IFERROR(IF(B2140="INSUMO",_xlfn.XLOOKUP(S2140,Insumos!A:A,Insumos!C:C),""),"Inserir Preço")</f>
        <v>9716.15</v>
      </c>
      <c r="X2140" s="235">
        <f t="shared" ca="1" si="1762"/>
        <v>1</v>
      </c>
      <c r="Y2140" s="236">
        <f t="shared" si="1752"/>
        <v>9716.15</v>
      </c>
      <c r="Z2140" s="237">
        <f t="shared" ca="1" si="1775"/>
        <v>9716.15</v>
      </c>
      <c r="AA2140" s="238"/>
      <c r="AB2140" s="233" t="str">
        <f>IF(B2140="insumo",_xlfn.XLOOKUP(S2140,Insumos!A:A,Insumos!D:D),"")</f>
        <v>Estimativa</v>
      </c>
      <c r="AC2140" s="239">
        <f t="shared" ca="1" si="1776"/>
        <v>1.3938703016267184E-3</v>
      </c>
      <c r="AE2140" s="240">
        <f ca="1">IFERROR(IF(OR(Z2140="",Z2140=0),"",IF(AF2140="","",IF(AF2140="R$/mês",Z2140/OBRA!$D$12,IF(AF2140="R$/m²",Z2140/OBRA!$D$10,IF(AF2140="R$/apto",Orçamento!Z2140/OBRA!$D$11,""))))),"")</f>
        <v>5</v>
      </c>
      <c r="AF2140" s="241" t="s">
        <v>154</v>
      </c>
    </row>
    <row r="2141" spans="1:32" s="10" customFormat="1" ht="13.15" hidden="1" customHeight="1" outlineLevel="4" x14ac:dyDescent="0.2">
      <c r="A2141" s="227"/>
      <c r="B2141" s="228" t="s">
        <v>4</v>
      </c>
      <c r="C2141" s="229">
        <f t="shared" si="1768"/>
        <v>1</v>
      </c>
      <c r="D2141" s="227" t="str">
        <f ca="1">IF(B2141="Unidade Construtiva",TEXT(F2141,"00"),IF(B2141="Célula Construtiva",TEXT(H2141,"00"),IF(B2141="Etapa",CONCATENATE(TEXT(H2141,"00"),".",TEXT(J2141,"000")),IF(B2141="Subetapa",CONCATENATE(TEXT(H2141,"00"),".",TEXT(J2141,"000"),".",TEXT(L2141,"000")),IF(B2141="Serviço",CONCATENATE(TEXT(H2141,"00"),".",TEXT(J2141,"000"),".",TEXT(L2141,"000"),".",TEXT(N2141,"000")),"")))))</f>
        <v>21.001.004.004</v>
      </c>
      <c r="E2141" s="228" t="str">
        <f ca="1">IF(B2141="*","",IFERROR(IF(B2141="SERVIÇO",D2141,OFFSET(E2141,-1,0)),""))</f>
        <v>21.001.004.004</v>
      </c>
      <c r="F2141" s="230">
        <f ca="1">IF($B2141="UNIDADE CONSTRUTIVA",OFFSET(F2141,-1,0)+1,LARGE(F$10:F2140,1))</f>
        <v>2</v>
      </c>
      <c r="G2141" s="228" t="str">
        <f t="shared" ref="G2141:G2147" ca="1" si="1777">IF(B2141="*","",IF(B2141="UNIDADE CONSTRUTIVA",S2141,OFFSET(G2141,-1,0)))</f>
        <v xml:space="preserve">   GERENCIAMENTO EXECUTIVO</v>
      </c>
      <c r="H2141" s="230">
        <f ca="1">IF(B2141="UNIDADE CONSTRUTIVA",0,IF(B2141="CÉLULA CONSTRUTIVA",OFFSET(H2141,-1,0)+1,OFFSET(H2141,-1,0)))</f>
        <v>21</v>
      </c>
      <c r="I2141" s="228" t="str">
        <f t="shared" ref="I2141:I2147" ca="1" si="1778">IF(B2141="*","",IF(B2141="CÉLULA CONSTRUTIVA",S2141,OFFSET(I2141,-1,0)))</f>
        <v xml:space="preserve">   SERVIÇOS COMPLEMENTARES E FINAIS</v>
      </c>
      <c r="J2141" s="230">
        <f ca="1">IF(B2141="CÉLULA CONSTRUTIVA",0,IF(B2141="ETAPA",OFFSET(J2141,-1,0)+1,OFFSET(J2141,-1,0)))</f>
        <v>1</v>
      </c>
      <c r="K2141" s="228" t="str">
        <f t="shared" ref="K2141:K2147" ca="1" si="1779">IF(B2141="*","",IF(B2141="ETAPA",S2141,OFFSET(K2141,-1,0)))</f>
        <v xml:space="preserve">   SERVIÇOS COMPLEMENTARES E FINAIS</v>
      </c>
      <c r="L2141" s="231">
        <f ca="1">IF(B2141="ETAPA",0,IF(B2141="SUBETAPA",OFFSET(L2141,-1,0)+1,OFFSET(L2141,-1,0)))</f>
        <v>4</v>
      </c>
      <c r="M2141" s="228" t="str">
        <f t="shared" ref="M2141:M2147" ca="1" si="1780">IF(B2141="*","",IF(B2141="SUBETAPA",S2141,OFFSET(M2141,-1,0)))</f>
        <v xml:space="preserve">   Serviços Finais</v>
      </c>
      <c r="N2141" s="231">
        <f ca="1">IF(B2141="Subetapa",0,IF(B2141="serviço",OFFSET(N2141,-1,0)+1,OFFSET(N2141,-1,0)))</f>
        <v>4</v>
      </c>
      <c r="O2141" s="228" t="str">
        <f t="shared" ref="O2141:O2147" ca="1" si="1781">IF(B2141="*","",IF(B2141="SERVIÇO",S2141,OFFSET(O2141,-1,0)))</f>
        <v xml:space="preserve">Serviços Complementares e Finais </v>
      </c>
      <c r="P2141" s="232" t="str">
        <f>IF(S2141="","",IF(Orçamento!$B2141="INSUMO",S2141,""))</f>
        <v/>
      </c>
      <c r="Q2141" s="244" t="str">
        <f t="shared" ref="Q2141:Q2147" si="1782">IF(B2141="","",IF(B2141="Serviço",S2141,""))</f>
        <v xml:space="preserve">Serviços Complementares e Finais </v>
      </c>
      <c r="R2141" s="234">
        <f t="shared" ref="R2141:R2147" ca="1" si="1783">IF(B2141="serviço",U2141,OFFSET(R2141,-1,0))</f>
        <v>1</v>
      </c>
      <c r="S2141" s="233" t="s">
        <v>1168</v>
      </c>
      <c r="T2141" s="242" t="s">
        <v>170</v>
      </c>
      <c r="U2141" s="235">
        <v>1</v>
      </c>
      <c r="V2141" s="320" t="s">
        <v>35</v>
      </c>
      <c r="W2141" s="236" t="str">
        <f>IFERROR(IF(B2141="INSUMO",_xlfn.XLOOKUP(S2141,Insumos!A:A,Insumos!C:C),""),"Inserir Preço")</f>
        <v/>
      </c>
      <c r="X2141" s="235">
        <f t="shared" ref="X2141:X2147" ca="1" si="1784">IF(B2141="Complemento do insumo",V2141,IF(R2141="","",IF(B2141="serviço",R2141,IF(OR(B2141="insumo"),V2141*R2141,""))))</f>
        <v>1</v>
      </c>
      <c r="Y2141" s="236">
        <f t="shared" ca="1" si="1752"/>
        <v>23000</v>
      </c>
      <c r="Z2141" s="237">
        <f t="shared" ca="1" si="1775"/>
        <v>23000</v>
      </c>
      <c r="AA2141" s="238"/>
      <c r="AB2141" s="233" t="str">
        <f>IF(B2141="insumo",_xlfn.XLOOKUP(S2141,Insumos!A:A,Insumos!D:D),"")</f>
        <v/>
      </c>
      <c r="AC2141" s="239">
        <f t="shared" ca="1" si="1776"/>
        <v>3.299559695704011E-3</v>
      </c>
      <c r="AE2141" s="240">
        <f ca="1">IFERROR(IF(OR(Z2141="",Z2141=0),"",IF(AF2141="","",IF(AF2141="R$/mês",Z2141/OBRA!$D$12,IF(AF2141="R$/m²",Z2141/OBRA!$D$10,IF(AF2141="R$/apto",Orçamento!Z2141/OBRA!$D$11,""))))),"")</f>
        <v>11.835963833411382</v>
      </c>
      <c r="AF2141" s="241" t="s">
        <v>154</v>
      </c>
    </row>
    <row r="2142" spans="1:32" s="10" customFormat="1" ht="13.15" hidden="1" customHeight="1" outlineLevel="4" x14ac:dyDescent="0.2">
      <c r="A2142" s="227"/>
      <c r="B2142" s="228" t="s">
        <v>19</v>
      </c>
      <c r="C2142" s="229">
        <f t="shared" si="1768"/>
        <v>1</v>
      </c>
      <c r="D2142" s="227" t="str">
        <f>IF(B2142="Unidade Construtiva",TEXT(F2142,"00"),IF(B2142="Célula Construtiva",TEXT(H2142,"00"),IF(B2142="Etapa",CONCATENATE(TEXT(H2142,"00"),".",TEXT(J2142,"000")),IF(B2142="Subetapa",CONCATENATE(TEXT(H2142,"00"),".",TEXT(J2142,"000"),".",TEXT(L2142,"000")),IF(B2142="Serviço",CONCATENATE(TEXT(H2142,"00"),".",TEXT(J2142,"000"),".",TEXT(L2142,"000"),".",TEXT(N2142,"000")),"")))))</f>
        <v/>
      </c>
      <c r="E2142" s="228" t="str">
        <f ca="1">IF(B2142="*","",IFERROR(IF(B2142="SERVIÇO",D2142,OFFSET(E2142,-1,0)),""))</f>
        <v>21.001.004.004</v>
      </c>
      <c r="F2142" s="230">
        <f ca="1">IF($B2142="UNIDADE CONSTRUTIVA",OFFSET(F2142,-1,0)+1,LARGE(F$10:F2141,1))</f>
        <v>2</v>
      </c>
      <c r="G2142" s="228" t="str">
        <f t="shared" ca="1" si="1777"/>
        <v xml:space="preserve">   GERENCIAMENTO EXECUTIVO</v>
      </c>
      <c r="H2142" s="230">
        <f ca="1">IF(B2142="UNIDADE CONSTRUTIVA",0,IF(B2142="CÉLULA CONSTRUTIVA",OFFSET(H2142,-1,0)+1,OFFSET(H2142,-1,0)))</f>
        <v>21</v>
      </c>
      <c r="I2142" s="228" t="str">
        <f t="shared" ca="1" si="1778"/>
        <v xml:space="preserve">   SERVIÇOS COMPLEMENTARES E FINAIS</v>
      </c>
      <c r="J2142" s="230">
        <f ca="1">IF(B2142="CÉLULA CONSTRUTIVA",0,IF(B2142="ETAPA",OFFSET(J2142,-1,0)+1,OFFSET(J2142,-1,0)))</f>
        <v>1</v>
      </c>
      <c r="K2142" s="228" t="str">
        <f t="shared" ca="1" si="1779"/>
        <v xml:space="preserve">   SERVIÇOS COMPLEMENTARES E FINAIS</v>
      </c>
      <c r="L2142" s="231">
        <f ca="1">IF(B2142="ETAPA",0,IF(B2142="SUBETAPA",OFFSET(L2142,-1,0)+1,OFFSET(L2142,-1,0)))</f>
        <v>4</v>
      </c>
      <c r="M2142" s="228" t="str">
        <f t="shared" ca="1" si="1780"/>
        <v xml:space="preserve">   Serviços Finais</v>
      </c>
      <c r="N2142" s="231">
        <f ca="1">IF(B2142="Subetapa",0,IF(B2142="serviço",OFFSET(N2142,-1,0)+1,OFFSET(N2142,-1,0)))</f>
        <v>4</v>
      </c>
      <c r="O2142" s="228" t="str">
        <f t="shared" ca="1" si="1781"/>
        <v xml:space="preserve">Serviços Complementares e Finais </v>
      </c>
      <c r="P2142" s="232" t="str">
        <f>IF(S2142="","",IF(Orçamento!$B2142="INSUMO",S2142,""))</f>
        <v>MAO DE OBRA PARA SERVIÇOS COMPLMENTARES E FINAIS DE OBRA</v>
      </c>
      <c r="Q2142" s="244" t="str">
        <f t="shared" si="1782"/>
        <v/>
      </c>
      <c r="R2142" s="234">
        <f t="shared" ca="1" si="1783"/>
        <v>1</v>
      </c>
      <c r="S2142" s="233" t="s">
        <v>1169</v>
      </c>
      <c r="T2142" s="242" t="str">
        <f>_xlfn.XLOOKUP(S2142,Insumos!$A$3:$A$371,Insumos!$B$3:$B$371)</f>
        <v>VB</v>
      </c>
      <c r="U2142" s="235">
        <f ca="1">IF($B2142="insumo",R2142,"")</f>
        <v>1</v>
      </c>
      <c r="V2142" s="320">
        <v>1</v>
      </c>
      <c r="W2142" s="236">
        <f>IFERROR(IF(B2142="INSUMO",_xlfn.XLOOKUP(S2142,Insumos!A:A,Insumos!C:C),""),"Inserir Preço")</f>
        <v>23000</v>
      </c>
      <c r="X2142" s="235">
        <f t="shared" ca="1" si="1784"/>
        <v>1</v>
      </c>
      <c r="Y2142" s="236">
        <f t="shared" si="1752"/>
        <v>23000</v>
      </c>
      <c r="Z2142" s="237">
        <f t="shared" ca="1" si="1775"/>
        <v>23000</v>
      </c>
      <c r="AA2142" s="238"/>
      <c r="AB2142" s="233" t="str">
        <f>IF(B2142="insumo",_xlfn.XLOOKUP(S2142,Insumos!A:A,Insumos!D:D),"")</f>
        <v>Aba Custo Serviços</v>
      </c>
      <c r="AC2142" s="239">
        <f t="shared" ca="1" si="1776"/>
        <v>3.299559695704011E-3</v>
      </c>
      <c r="AE2142" s="240">
        <f ca="1">IFERROR(IF(OR(Z2142="",Z2142=0),"",IF(AF2142="","",IF(AF2142="R$/mês",Z2142/OBRA!$D$12,IF(AF2142="R$/m²",Z2142/OBRA!$D$10,IF(AF2142="R$/apto",Orçamento!Z2142/OBRA!$D$11,""))))),"")</f>
        <v>11.835963833411382</v>
      </c>
      <c r="AF2142" s="241" t="s">
        <v>154</v>
      </c>
    </row>
    <row r="2143" spans="1:32" s="10" customFormat="1" ht="13.15" customHeight="1" outlineLevel="1" x14ac:dyDescent="0.2">
      <c r="A2143" s="227"/>
      <c r="B2143" s="228" t="s">
        <v>1</v>
      </c>
      <c r="C2143" s="229" t="str">
        <f t="shared" si="1768"/>
        <v/>
      </c>
      <c r="D2143" s="227" t="str">
        <f t="shared" ca="1" si="1769"/>
        <v>22</v>
      </c>
      <c r="E2143" s="228" t="str">
        <f t="shared" ref="E2143:E2147" ca="1" si="1785">IF(B2143="*","",IFERROR(IF(B2143="SERVIÇO",D2143,OFFSET(E2143,-1,0)),""))</f>
        <v>21.001.004.004</v>
      </c>
      <c r="F2143" s="230">
        <f ca="1">IF($B2143="UNIDADE CONSTRUTIVA",OFFSET(F2143,-1,0)+1,LARGE(F$10:F2142,1))</f>
        <v>2</v>
      </c>
      <c r="G2143" s="228" t="str">
        <f t="shared" ca="1" si="1777"/>
        <v xml:space="preserve">   GERENCIAMENTO EXECUTIVO</v>
      </c>
      <c r="H2143" s="230">
        <f t="shared" ref="H2143:H2147" ca="1" si="1786">IF(B2143="UNIDADE CONSTRUTIVA",0,IF(B2143="CÉLULA CONSTRUTIVA",OFFSET(H2143,-1,0)+1,OFFSET(H2143,-1,0)))</f>
        <v>22</v>
      </c>
      <c r="I2143" s="228" t="str">
        <f t="shared" ca="1" si="1778"/>
        <v xml:space="preserve">   IMPREVISTOS E CONTINGÊNCIAS </v>
      </c>
      <c r="J2143" s="230">
        <f t="shared" ref="J2143:J2147" ca="1" si="1787">IF(B2143="CÉLULA CONSTRUTIVA",0,IF(B2143="ETAPA",OFFSET(J2143,-1,0)+1,OFFSET(J2143,-1,0)))</f>
        <v>0</v>
      </c>
      <c r="K2143" s="228" t="str">
        <f t="shared" ca="1" si="1779"/>
        <v xml:space="preserve">   SERVIÇOS COMPLEMENTARES E FINAIS</v>
      </c>
      <c r="L2143" s="231">
        <f t="shared" ref="L2143:L2147" ca="1" si="1788">IF(B2143="ETAPA",0,IF(B2143="SUBETAPA",OFFSET(L2143,-1,0)+1,OFFSET(L2143,-1,0)))</f>
        <v>4</v>
      </c>
      <c r="M2143" s="228" t="str">
        <f t="shared" ca="1" si="1780"/>
        <v xml:space="preserve">   Serviços Finais</v>
      </c>
      <c r="N2143" s="231">
        <f t="shared" ref="N2143:N2147" ca="1" si="1789">IF(B2143="Subetapa",0,IF(B2143="serviço",OFFSET(N2143,-1,0)+1,OFFSET(N2143,-1,0)))</f>
        <v>4</v>
      </c>
      <c r="O2143" s="228" t="str">
        <f t="shared" ca="1" si="1781"/>
        <v xml:space="preserve">Serviços Complementares e Finais </v>
      </c>
      <c r="P2143" s="232" t="str">
        <f>IF(S2143="","",IF(Orçamento!$B2143="INSUMO",S2143,""))</f>
        <v/>
      </c>
      <c r="Q2143" s="244" t="str">
        <f t="shared" si="1782"/>
        <v/>
      </c>
      <c r="R2143" s="234">
        <f t="shared" ca="1" si="1783"/>
        <v>1</v>
      </c>
      <c r="S2143" s="233" t="s">
        <v>1106</v>
      </c>
      <c r="T2143" s="242" t="s">
        <v>35</v>
      </c>
      <c r="U2143" s="235" t="str">
        <f>IF($B2143="insumo",R2143,"")</f>
        <v/>
      </c>
      <c r="V2143" s="320" t="s">
        <v>35</v>
      </c>
      <c r="W2143" s="236" t="str">
        <f>IFERROR(IF(B2143="INSUMO",_xlfn.XLOOKUP(S2143,Insumos!A:A,Insumos!C:C),""),"Inserir Preço")</f>
        <v/>
      </c>
      <c r="X2143" s="235" t="str">
        <f t="shared" ca="1" si="1784"/>
        <v/>
      </c>
      <c r="Y2143" s="236" t="str">
        <f t="shared" si="1752"/>
        <v/>
      </c>
      <c r="Z2143" s="237">
        <f t="shared" ca="1" si="1775"/>
        <v>139412.54058804107</v>
      </c>
      <c r="AA2143" s="238"/>
      <c r="AB2143" s="233" t="str">
        <f>IF(B2143="insumo",_xlfn.XLOOKUP(S2143,Insumos!A:A,Insumos!D:D),"")</f>
        <v/>
      </c>
      <c r="AC2143" s="239">
        <f t="shared" ca="1" si="1776"/>
        <v>1.9999999999999993E-2</v>
      </c>
      <c r="AE2143" s="240">
        <f ca="1">IFERROR(IF(OR(Z2143="",Z2143=0),"",IF(AF2143="","",IF(AF2143="R$/mês",Z2143/OBRA!$D$12,IF(AF2143="R$/m²",Z2143/OBRA!$D$10,IF(AF2143="R$/apto",Orçamento!Z2143/OBRA!$D$11,""))))),"")</f>
        <v>71.742686448871765</v>
      </c>
      <c r="AF2143" s="241" t="s">
        <v>154</v>
      </c>
    </row>
    <row r="2144" spans="1:32" s="10" customFormat="1" ht="13.15" customHeight="1" outlineLevel="2" collapsed="1" x14ac:dyDescent="0.2">
      <c r="A2144" s="227"/>
      <c r="B2144" s="228" t="s">
        <v>2</v>
      </c>
      <c r="C2144" s="229" t="str">
        <f t="shared" si="1768"/>
        <v/>
      </c>
      <c r="D2144" s="227" t="str">
        <f t="shared" ca="1" si="1769"/>
        <v>22.001</v>
      </c>
      <c r="E2144" s="228" t="str">
        <f t="shared" ca="1" si="1785"/>
        <v>21.001.004.004</v>
      </c>
      <c r="F2144" s="230">
        <f ca="1">IF($B2144="UNIDADE CONSTRUTIVA",OFFSET(F2144,-1,0)+1,LARGE(F$10:F2143,1))</f>
        <v>2</v>
      </c>
      <c r="G2144" s="228" t="str">
        <f t="shared" ca="1" si="1777"/>
        <v xml:space="preserve">   GERENCIAMENTO EXECUTIVO</v>
      </c>
      <c r="H2144" s="230">
        <f t="shared" ca="1" si="1786"/>
        <v>22</v>
      </c>
      <c r="I2144" s="228" t="str">
        <f t="shared" ca="1" si="1778"/>
        <v xml:space="preserve">   IMPREVISTOS E CONTINGÊNCIAS </v>
      </c>
      <c r="J2144" s="230">
        <f t="shared" ca="1" si="1787"/>
        <v>1</v>
      </c>
      <c r="K2144" s="228" t="str">
        <f t="shared" ca="1" si="1779"/>
        <v xml:space="preserve">   IMPREVISTOS E CONTINGÊNCIAS </v>
      </c>
      <c r="L2144" s="231">
        <f t="shared" ca="1" si="1788"/>
        <v>0</v>
      </c>
      <c r="M2144" s="228" t="str">
        <f t="shared" ca="1" si="1780"/>
        <v xml:space="preserve">   Serviços Finais</v>
      </c>
      <c r="N2144" s="231">
        <f t="shared" ca="1" si="1789"/>
        <v>4</v>
      </c>
      <c r="O2144" s="228" t="str">
        <f t="shared" ca="1" si="1781"/>
        <v xml:space="preserve">Serviços Complementares e Finais </v>
      </c>
      <c r="P2144" s="232" t="str">
        <f>IF(S2144="","",IF(Orçamento!$B2144="INSUMO",S2144,""))</f>
        <v/>
      </c>
      <c r="Q2144" s="244" t="str">
        <f t="shared" si="1782"/>
        <v/>
      </c>
      <c r="R2144" s="234">
        <f t="shared" ca="1" si="1783"/>
        <v>1</v>
      </c>
      <c r="S2144" s="233" t="s">
        <v>1106</v>
      </c>
      <c r="T2144" s="242" t="s">
        <v>35</v>
      </c>
      <c r="U2144" s="235" t="str">
        <f>IF($B2144="insumo",R2144,"")</f>
        <v/>
      </c>
      <c r="V2144" s="320" t="s">
        <v>35</v>
      </c>
      <c r="W2144" s="236" t="str">
        <f>IFERROR(IF(B2144="INSUMO",_xlfn.XLOOKUP(S2144,Insumos!A:A,Insumos!C:C),""),"Inserir Preço")</f>
        <v/>
      </c>
      <c r="X2144" s="235" t="str">
        <f t="shared" ca="1" si="1784"/>
        <v/>
      </c>
      <c r="Y2144" s="236" t="str">
        <f t="shared" si="1752"/>
        <v/>
      </c>
      <c r="Z2144" s="237">
        <f t="shared" ca="1" si="1775"/>
        <v>139412.54058804107</v>
      </c>
      <c r="AA2144" s="238"/>
      <c r="AB2144" s="233" t="str">
        <f>IF(B2144="insumo",_xlfn.XLOOKUP(S2144,Insumos!A:A,Insumos!D:D),"")</f>
        <v/>
      </c>
      <c r="AC2144" s="239">
        <f t="shared" ca="1" si="1776"/>
        <v>1.9999999999999993E-2</v>
      </c>
      <c r="AE2144" s="240">
        <f ca="1">IFERROR(IF(OR(Z2144="",Z2144=0),"",IF(AF2144="","",IF(AF2144="R$/mês",Z2144/OBRA!$D$12,IF(AF2144="R$/m²",Z2144/OBRA!$D$10,IF(AF2144="R$/apto",Orçamento!Z2144/OBRA!$D$11,""))))),"")</f>
        <v>71.742686448871765</v>
      </c>
      <c r="AF2144" s="241" t="s">
        <v>154</v>
      </c>
    </row>
    <row r="2145" spans="1:32" s="10" customFormat="1" ht="13.15" hidden="1" customHeight="1" outlineLevel="3" collapsed="1" x14ac:dyDescent="0.2">
      <c r="A2145" s="227"/>
      <c r="B2145" s="228" t="s">
        <v>3</v>
      </c>
      <c r="C2145" s="229" t="str">
        <f t="shared" si="1768"/>
        <v/>
      </c>
      <c r="D2145" s="227" t="str">
        <f ca="1">IF(B2145="Unidade Construtiva",TEXT(F2145,"00"),IF(B2145="Célula Construtiva",TEXT(H2145,"00"),IF(B2145="Etapa",CONCATENATE(TEXT(H2145,"00"),".",TEXT(J2145,"000")),IF(B2145="Subetapa",CONCATENATE(TEXT(H2145,"00"),".",TEXT(J2145,"000"),".",TEXT(L2145,"000")),IF(B2145="Serviço",CONCATENATE(TEXT(H2145,"00"),".",TEXT(J2145,"000"),".",TEXT(L2145,"000"),".",TEXT(N2145,"000")),"")))))</f>
        <v>22.001.001</v>
      </c>
      <c r="E2145" s="228" t="str">
        <f t="shared" ca="1" si="1785"/>
        <v>21.001.004.004</v>
      </c>
      <c r="F2145" s="230">
        <f ca="1">IF($B2145="UNIDADE CONSTRUTIVA",OFFSET(F2145,-1,0)+1,LARGE(F$10:F2144,1))</f>
        <v>2</v>
      </c>
      <c r="G2145" s="228" t="str">
        <f t="shared" ca="1" si="1777"/>
        <v xml:space="preserve">   GERENCIAMENTO EXECUTIVO</v>
      </c>
      <c r="H2145" s="230">
        <f t="shared" ca="1" si="1786"/>
        <v>22</v>
      </c>
      <c r="I2145" s="228" t="str">
        <f t="shared" ca="1" si="1778"/>
        <v xml:space="preserve">   IMPREVISTOS E CONTINGÊNCIAS </v>
      </c>
      <c r="J2145" s="230">
        <f t="shared" ca="1" si="1787"/>
        <v>1</v>
      </c>
      <c r="K2145" s="228" t="str">
        <f t="shared" ca="1" si="1779"/>
        <v xml:space="preserve">   IMPREVISTOS E CONTINGÊNCIAS </v>
      </c>
      <c r="L2145" s="231">
        <f t="shared" ca="1" si="1788"/>
        <v>1</v>
      </c>
      <c r="M2145" s="228" t="str">
        <f t="shared" ca="1" si="1780"/>
        <v xml:space="preserve">   Imprevistos e Contingências</v>
      </c>
      <c r="N2145" s="231">
        <f t="shared" ca="1" si="1789"/>
        <v>0</v>
      </c>
      <c r="O2145" s="228" t="str">
        <f t="shared" ca="1" si="1781"/>
        <v xml:space="preserve">Serviços Complementares e Finais </v>
      </c>
      <c r="P2145" s="232" t="str">
        <f>IF(S2145="","",IF(Orçamento!$B2145="INSUMO",S2145,""))</f>
        <v/>
      </c>
      <c r="Q2145" s="244" t="str">
        <f t="shared" si="1782"/>
        <v/>
      </c>
      <c r="R2145" s="234">
        <f t="shared" ca="1" si="1783"/>
        <v>1</v>
      </c>
      <c r="S2145" s="233" t="s">
        <v>537</v>
      </c>
      <c r="T2145" s="242" t="s">
        <v>35</v>
      </c>
      <c r="U2145" s="235" t="str">
        <f>IF($B2145="insumo",R2145,"")</f>
        <v/>
      </c>
      <c r="V2145" s="320" t="s">
        <v>35</v>
      </c>
      <c r="W2145" s="236" t="str">
        <f>IFERROR(IF(B2145="INSUMO",_xlfn.XLOOKUP(S2145,Insumos!A:A,Insumos!C:C),""),"Inserir Preço")</f>
        <v/>
      </c>
      <c r="X2145" s="235" t="str">
        <f t="shared" ca="1" si="1784"/>
        <v/>
      </c>
      <c r="Y2145" s="236" t="str">
        <f t="shared" si="1752"/>
        <v/>
      </c>
      <c r="Z2145" s="237">
        <f t="shared" ca="1" si="1775"/>
        <v>139412.54058804107</v>
      </c>
      <c r="AA2145" s="238"/>
      <c r="AB2145" s="233" t="str">
        <f>IF(B2145="insumo",_xlfn.XLOOKUP(S2145,Insumos!A:A,Insumos!D:D),"")</f>
        <v/>
      </c>
      <c r="AC2145" s="239">
        <f t="shared" ca="1" si="1776"/>
        <v>1.9999999999999993E-2</v>
      </c>
      <c r="AE2145" s="240">
        <f ca="1">IFERROR(IF(OR(Z2145="",Z2145=0),"",IF(AF2145="","",IF(AF2145="R$/mês",Z2145/OBRA!$D$12,IF(AF2145="R$/m²",Z2145/OBRA!$D$10,IF(AF2145="R$/apto",Orçamento!Z2145/OBRA!$D$11,""))))),"")</f>
        <v>71.742686448871765</v>
      </c>
      <c r="AF2145" s="241" t="s">
        <v>154</v>
      </c>
    </row>
    <row r="2146" spans="1:32" s="10" customFormat="1" ht="13.15" hidden="1" customHeight="1" outlineLevel="4" x14ac:dyDescent="0.2">
      <c r="A2146" s="227"/>
      <c r="B2146" s="228" t="s">
        <v>4</v>
      </c>
      <c r="C2146" s="229">
        <f t="shared" si="1768"/>
        <v>1</v>
      </c>
      <c r="D2146" s="227" t="str">
        <f ca="1">IF(B2146="Unidade Construtiva",TEXT(F2146,"00"),IF(B2146="Célula Construtiva",TEXT(H2146,"00"),IF(B2146="Etapa",CONCATENATE(TEXT(H2146,"00"),".",TEXT(J2146,"000")),IF(B2146="Subetapa",CONCATENATE(TEXT(H2146,"00"),".",TEXT(J2146,"000"),".",TEXT(L2146,"000")),IF(B2146="Serviço",CONCATENATE(TEXT(H2146,"00"),".",TEXT(J2146,"000"),".",TEXT(L2146,"000"),".",TEXT(N2146,"000")),"")))))</f>
        <v>22.001.001.001</v>
      </c>
      <c r="E2146" s="228" t="str">
        <f t="shared" ca="1" si="1785"/>
        <v>22.001.001.001</v>
      </c>
      <c r="F2146" s="230">
        <f ca="1">IF($B2146="UNIDADE CONSTRUTIVA",OFFSET(F2146,-1,0)+1,LARGE(F$10:F2145,1))</f>
        <v>2</v>
      </c>
      <c r="G2146" s="228" t="str">
        <f t="shared" ca="1" si="1777"/>
        <v xml:space="preserve">   GERENCIAMENTO EXECUTIVO</v>
      </c>
      <c r="H2146" s="230">
        <f t="shared" ca="1" si="1786"/>
        <v>22</v>
      </c>
      <c r="I2146" s="228" t="str">
        <f t="shared" ca="1" si="1778"/>
        <v xml:space="preserve">   IMPREVISTOS E CONTINGÊNCIAS </v>
      </c>
      <c r="J2146" s="230">
        <f t="shared" ca="1" si="1787"/>
        <v>1</v>
      </c>
      <c r="K2146" s="228" t="str">
        <f t="shared" ca="1" si="1779"/>
        <v xml:space="preserve">   IMPREVISTOS E CONTINGÊNCIAS </v>
      </c>
      <c r="L2146" s="231">
        <f t="shared" ca="1" si="1788"/>
        <v>1</v>
      </c>
      <c r="M2146" s="228" t="str">
        <f t="shared" ca="1" si="1780"/>
        <v xml:space="preserve">   Imprevistos e Contingências</v>
      </c>
      <c r="N2146" s="231">
        <f t="shared" ca="1" si="1789"/>
        <v>1</v>
      </c>
      <c r="O2146" s="228" t="str">
        <f t="shared" ca="1" si="1781"/>
        <v>Itens eventuais e nao orcados</v>
      </c>
      <c r="P2146" s="232" t="str">
        <f>IF(S2146="","",IF(Orçamento!$B2146="INSUMO",S2146,""))</f>
        <v/>
      </c>
      <c r="Q2146" s="244" t="str">
        <f t="shared" si="1782"/>
        <v>Itens eventuais e nao orcados</v>
      </c>
      <c r="R2146" s="234">
        <f t="shared" ca="1" si="1783"/>
        <v>1</v>
      </c>
      <c r="S2146" s="233" t="s">
        <v>538</v>
      </c>
      <c r="T2146" s="242" t="s">
        <v>170</v>
      </c>
      <c r="U2146" s="235">
        <v>1</v>
      </c>
      <c r="V2146" s="320" t="s">
        <v>35</v>
      </c>
      <c r="W2146" s="236" t="str">
        <f>IFERROR(IF(B2146="INSUMO",_xlfn.XLOOKUP(S2146,Insumos!A:A,Insumos!C:C),""),"Inserir Preço")</f>
        <v/>
      </c>
      <c r="X2146" s="235">
        <f t="shared" ca="1" si="1784"/>
        <v>1</v>
      </c>
      <c r="Y2146" s="236">
        <f t="shared" ca="1" si="1752"/>
        <v>139412.54058804107</v>
      </c>
      <c r="Z2146" s="237">
        <f t="shared" ca="1" si="1775"/>
        <v>139412.54058804107</v>
      </c>
      <c r="AA2146" s="238"/>
      <c r="AB2146" s="233" t="str">
        <f>IF(B2146="insumo",_xlfn.XLOOKUP(S2146,Insumos!A:A,Insumos!D:D),"")</f>
        <v/>
      </c>
      <c r="AC2146" s="239">
        <f t="shared" ca="1" si="1776"/>
        <v>1.9999999999999993E-2</v>
      </c>
      <c r="AE2146" s="240">
        <f ca="1">IFERROR(IF(OR(Z2146="",Z2146=0),"",IF(AF2146="","",IF(AF2146="R$/mês",Z2146/OBRA!$D$12,IF(AF2146="R$/m²",Z2146/OBRA!$D$10,IF(AF2146="R$/apto",Orçamento!Z2146/OBRA!$D$11,""))))),"")</f>
        <v>71.742686448871765</v>
      </c>
      <c r="AF2146" s="241" t="s">
        <v>154</v>
      </c>
    </row>
    <row r="2147" spans="1:32" s="10" customFormat="1" ht="13.15" hidden="1" customHeight="1" outlineLevel="4" x14ac:dyDescent="0.2">
      <c r="A2147" s="227"/>
      <c r="B2147" s="228" t="s">
        <v>19</v>
      </c>
      <c r="C2147" s="229">
        <f t="shared" si="1768"/>
        <v>1</v>
      </c>
      <c r="D2147" s="227" t="str">
        <f>IF(B2147="Unidade Construtiva",TEXT(F2147,"00"),IF(B2147="Célula Construtiva",TEXT(H2147,"00"),IF(B2147="Etapa",CONCATENATE(TEXT(H2147,"00"),".",TEXT(J2147,"000")),IF(B2147="Subetapa",CONCATENATE(TEXT(H2147,"00"),".",TEXT(J2147,"000"),".",TEXT(L2147,"000")),IF(B2147="Serviço",CONCATENATE(TEXT(H2147,"00"),".",TEXT(J2147,"000"),".",TEXT(L2147,"000"),".",TEXT(N2147,"000")),"")))))</f>
        <v/>
      </c>
      <c r="E2147" s="228" t="str">
        <f t="shared" ca="1" si="1785"/>
        <v>22.001.001.001</v>
      </c>
      <c r="F2147" s="230">
        <f ca="1">IF($B2147="UNIDADE CONSTRUTIVA",OFFSET(F2147,-1,0)+1,LARGE(F$10:F2146,1))</f>
        <v>2</v>
      </c>
      <c r="G2147" s="228" t="str">
        <f t="shared" ca="1" si="1777"/>
        <v xml:space="preserve">   GERENCIAMENTO EXECUTIVO</v>
      </c>
      <c r="H2147" s="230">
        <f t="shared" ca="1" si="1786"/>
        <v>22</v>
      </c>
      <c r="I2147" s="228" t="str">
        <f t="shared" ca="1" si="1778"/>
        <v xml:space="preserve">   IMPREVISTOS E CONTINGÊNCIAS </v>
      </c>
      <c r="J2147" s="230">
        <f t="shared" ca="1" si="1787"/>
        <v>1</v>
      </c>
      <c r="K2147" s="228" t="str">
        <f t="shared" ca="1" si="1779"/>
        <v xml:space="preserve">   IMPREVISTOS E CONTINGÊNCIAS </v>
      </c>
      <c r="L2147" s="231">
        <f t="shared" ca="1" si="1788"/>
        <v>1</v>
      </c>
      <c r="M2147" s="228" t="str">
        <f t="shared" ca="1" si="1780"/>
        <v xml:space="preserve">   Imprevistos e Contingências</v>
      </c>
      <c r="N2147" s="231">
        <f t="shared" ca="1" si="1789"/>
        <v>1</v>
      </c>
      <c r="O2147" s="228" t="str">
        <f t="shared" ca="1" si="1781"/>
        <v>Itens eventuais e nao orcados</v>
      </c>
      <c r="P2147" s="232" t="str">
        <f>IF(S2147="","",IF(Orçamento!$B2147="INSUMO",S2147,""))</f>
        <v>ITENS EVENTUAIS E NAO ORCADOS</v>
      </c>
      <c r="Q2147" s="244" t="str">
        <f t="shared" si="1782"/>
        <v/>
      </c>
      <c r="R2147" s="234">
        <f t="shared" ca="1" si="1783"/>
        <v>1</v>
      </c>
      <c r="S2147" s="233" t="s">
        <v>249</v>
      </c>
      <c r="T2147" s="242" t="str">
        <f>_xlfn.XLOOKUP(S2147,Insumos!$A$3:$A$371,Insumos!$B$3:$B$371)</f>
        <v>VB</v>
      </c>
      <c r="U2147" s="235">
        <f ca="1">IF($B2147="insumo",R2147,"")</f>
        <v>1</v>
      </c>
      <c r="V2147" s="320">
        <v>1</v>
      </c>
      <c r="W2147" s="236">
        <f ca="1">IFERROR(IF(B2147="INSUMO",_xlfn.XLOOKUP(S2147,Insumos!A:A,Insumos!C:C),""),"Inserir Preço")</f>
        <v>139412.54058804107</v>
      </c>
      <c r="X2147" s="235">
        <f t="shared" ca="1" si="1784"/>
        <v>1</v>
      </c>
      <c r="Y2147" s="236">
        <f t="shared" ca="1" si="1752"/>
        <v>139412.54058804107</v>
      </c>
      <c r="Z2147" s="237">
        <f t="shared" ca="1" si="1775"/>
        <v>139412.54058804107</v>
      </c>
      <c r="AA2147" s="238"/>
      <c r="AB2147" s="233" t="str">
        <f>IF(B2147="insumo",_xlfn.XLOOKUP(S2147,Insumos!A:A,Insumos!D:D),"")</f>
        <v>Estimativa</v>
      </c>
      <c r="AC2147" s="239">
        <f t="shared" ca="1" si="1776"/>
        <v>1.9999999999999993E-2</v>
      </c>
      <c r="AE2147" s="240"/>
      <c r="AF2147" s="241"/>
    </row>
    <row r="2149" spans="1:32" x14ac:dyDescent="0.2">
      <c r="Z2149" s="6"/>
    </row>
    <row r="2153" spans="1:32" x14ac:dyDescent="0.2">
      <c r="D2153" s="8"/>
    </row>
    <row r="2154" spans="1:32" x14ac:dyDescent="0.2">
      <c r="D2154" s="8"/>
    </row>
    <row r="2156" spans="1:32" x14ac:dyDescent="0.2">
      <c r="D2156" s="8"/>
    </row>
    <row r="2157" spans="1:32" x14ac:dyDescent="0.2">
      <c r="D2157" s="341"/>
    </row>
  </sheetData>
  <autoFilter ref="B10:AG2147" xr:uid="{A54F521B-B4D4-484F-9438-84F815DFC96A}"/>
  <mergeCells count="6">
    <mergeCell ref="A2:AC2"/>
    <mergeCell ref="AE9:AF9"/>
    <mergeCell ref="A9:AC9"/>
    <mergeCell ref="S4:AC4"/>
    <mergeCell ref="S7:AC7"/>
    <mergeCell ref="S5:AC5"/>
  </mergeCells>
  <phoneticPr fontId="11" type="noConversion"/>
  <conditionalFormatting sqref="V69:V70 V51:V62 V12:V34 V73:V76 V1122 V1135:V1136 V1140 V1144 V1148 V490 V404:V408 V495:V500 V659:V665 V671 V725 V754 V783:V784 V1230:V1238 V1275 V1307 V1345 V1411 V1597:V1599 V1523:V1525 V1471:V1473 V2089:V2092 V1241:V1243 V1219:V1223 V281 V1947 V1921 V1883 V1854:V1855 V1857 V1919 V1952 V1954 V1864:V1866 V383:V392 V1900:V1902 V1444 V1426 V2083:V2085 V1705:V1709 V1691:V1698 V1669 V1619:V1630 V1603 V1572:V1573 V1556:V1567 V1199:V1200 V1476 V1203:V1208 V1429 V1447 V1456:V1460 V1047:V1063 V1028:V1044 V1009:V1025 V990:V1006 V321:V348 V350 V354 V358 V420:V452 V509:V542 V586:V618 V178 V102:V106 V1754 V1758 V1776 V1780 V1800 V1822 V674:V692 V115 V128 V130 V219:V226 V228:V231 V180:V181 V276 V234:V266 V273 V284:V293 V278 V268 V803:V815 V1500:V1501 V1580:V1583 V1637:V1644 V1210:V1215 V1217 V1369:V1383 V1390:V1398 V1415:V1417 V1433:V1435 V1451:V1453 V1386 V1152:V1164 V1168:V1195 V1716:V1733 V2098:V2110 V788:V795 V1066:V1081 V1965:V1966 V1991 V1994:V1995 V2005 V2008:V2010 V2058 V1083:V1105 V1109:V1118 V2061:V2062 V2113:V2140 V1488:V1497 V1504:V1509 V1576:V1577 V37:V48 V78:V96 V118 V645:V649 V572:V576 V481:V485 V394:V398 V1736:V1745 V1783:V1798 V1803:V1820 V157 V295:V309 V1748:V1752 V1773:V1774 V1402 V1422 V1440 V1939:V1942 V1911:V1914 V1875:V1878 V1825:V1852 V1956:V1962 V825:V833 V854:V868 V819:V821 V836:V839 V889:V903 V924:V939 V842:V850 V871:V885 V906:V920 V942:V987 V1462:V1465 V1511:V1519 V1585:V1593 V1646:V1651 V110:V113 V2143:V2147 V1761:V1770 V1926:V1927 V1859:V1860 V160:V174 V132:V145 V149:V154 V183:V200">
    <cfRule type="expression" dxfId="6788" priority="13888" stopIfTrue="1">
      <formula>$B12="insumo"</formula>
    </cfRule>
  </conditionalFormatting>
  <conditionalFormatting sqref="AA69:AA70 AA51:AA62 AA12:AA34 AA73:AA76 U76 AA1122 AA1135:AA1136 AA1140 AA1144 AA1148 AA404:AA408 AA495:AA506 AA659:AA667 AA671:AA692 AA725 AA754 AA783:AA784 AA1228:AA1238 AA1275 AA1307 T1243:U1243 AA1345 T311:T316 T381:T382 T384:T385 T387:T389 T410:T415 T789:T792 T1235:T1238 T1411:U1411 AA1411 T1580:U1580 T1597:U1597 AA1597:AA1599 T1591:U1591 T1523:U1523 AA1523:AA1525 AA1471:AA1473 T1471:U1471 AA2089:AA2110 T1241:T1242 AA1241:AA1243 T391:T392 AA383:AA392 AA281:AA282 T12:U34 T50:U62 T64:U64 T66:U66 T68:U70 T72:U75 U120 T281:U282 U311:U318 T350:U352 T354:U356 T358:U360 U381:U392 T396:U398 T401:U408 U410:U417 T472:U473 T475:U476 T478:U480 T482:U485 T487:U490 T492:U500 T501:T506 U501:U508 T540:U542 T563:U564 T566:U567 T569:U571 T573:U576 T578:U580 T639:U640 T642:U644 T646:U649 T651:U653 T656:U667 T669:U692 T695:U696 T698:U699 T701:U702 T705:U706 T709:U715 T717:U719 T721:U721 T724:U725 T728:U729 T731:U732 T734:U735 T738:U744 T746:U748 T750:U750 T753:U754 T757:U758 T760:U761 T763:U764 T767:U773 T775:U777 T779:U779 T782:U784 T786:U788 T790:U802 T1015:U1015 T1018:U1018 T1021:U1021 T1030:U1031 T1034:U1034 T1037:U1037 T1040:U1040 T1049:U1050 T1053:U1053 T1056:U1056 T1059:U1059 T1099:U1099 T1102:U1102 T1105:U1105 T1112:U1112 T1115:U1115 T1118:U1118 T1125:U1125 T1128:U1128 T1131:U1131 T1134:U1136 U1197:U1198 T1208 U1208:U1209 T1226:U1234 U1236 U1238 U1240 U1242 U1248 T1250:U1250 T1252:U1255 T1258:U1261 T1264:U1265 T1268:U1268 T1270:U1270 U1272 T1274:U1275 U1280 T1282:U1282 T1284:U1287 T1290:U1293 T1296:U1297 T1300:U1300 T1302:U1302 U1304 T1306:U1307 U1312 T1314:U1314 T1316:U1319 T1322:U1326 T1328:U1331 T1334:U1335 T1338:U1338 T1340:U1340 U1342 T1344:U1345 U1350 T1352:U1352 T1360:U1361 T1364:U1364 T1366:U1366 U1391 U1393:U1396 U1408 U1416 U1434 U1452 U1467:U1470 T1472:T1473 T1476 U1472:U1476 U1499 U1509 T1518:T1519 U1518:U1522 T1524:T1525 U1524:U1528 U1553:U1555 U1569 U1571 U1573 U1577 U1579 U1583 U1587:U1590 T1592:T1593 U1592:U1596 T1598:T1599 U1598:U1602 U1616:U1618 U1620:U1622 U1625:U1627 U1630 U1632 U1634 U1644 U1648:U1651 U1653:U1657 U1659:U1663 U1665:U1668 U1688:U1690 U1693:U1695 U1698 U1700 U1702 U1712 U1715 U1718:U1720 U1723 T1743:U1743 T1745:U1745 T1768:U1768 T1790:U1790 T1810:U1810 T1812:U1812 T1832:U1832 T1834:U1834 U1862:U1863 T1881:U1881 T1888:U1888 T1895:U1896 T1898:U1899 T1901:U1902 T1913:U1914 T1917:U1917 T1929:U1930 T1932:U1933 T1941:U1942 T1945:U1945 U2065:U2067 U2069:U2072 U2074:U2077 U2079:U2082 U2088 T1852:V1852 T1947:V1947 AA1947 T1921:V1921 T1892:U1892 V1843 T1836:U1841 V1846 T1883:V1883 AA1883:AA1885 AA1854:AA1855 AA1857 T1857:V1857 T1859:V1859 AA1893:AA1896 T1924:U1924 T1919:V1919 AA1919:AA1921 T1926:V1926 T1950:U1950 AA1952 T1952:V1952 T1954:V1954 AA1954 T1956:V1956 U1842 U1851 T1854:U1855 T1887 T1923 T1949 AA1864:AA1866 T1862:T1866 T1865:U1866 T1139:U1140 T1147:U1148 T1143:U1144 T1155:U1156 T1151:U1152 T394:U394 T1927:U1927 AA1900:AA1902 T1512:U1517 AA1444 T1444:U1444 AA1426 T1426:U1426 T1062:U1063 T1043:U1044 T1024:U1025 AA586:AA618 T583:U618 T509:U538 AA509:AA542 T449:U452 T419:U447 AA420:AA452 AA321:AA348 T320:U348 AA2083:AA2085 T2083:U2085 T1770:U1770 AA1705:AA1709 T1705:U1709 AA1691:AA1698 AA1669 T1637:U1641 AA1637:AA1644 AA1619:AA1630 AA1603 AA1580:AA1583 AA1572:AA1573 AA1556:AA1567 T1556:U1567 T1500:U1501 AA1500:AA1501 T1435:U1435 T1417:U1417 T1397:U1397 AA1199:AA1200 T1199:U1200 T1716:U1717 AA1476 T1488:U1497 T1453:U1453 T1354:U1357 AA1203:AA1208 T1429:U1429 AA1429 T1447:U1447 AA1447 T1456:U1460 AA1456:AA1460 AA1047:AA1063 AA1028:AA1044 AA1009:AA1025 T1009:U1012 AA990:AA1006 T990:U1006 T178:U179 AA102:AA106 T2089:U2092 AA115 T128:U128 AA128 AA130 T130:U130 U122 U124 U126 T234:U265 T229:U231 AA219:AA226 AA228:AA231 T180:T181 U181 AA178:AA181 T276:T278 U277:U280 AA276:AA278 T266:T268 U267:U270 AA234:AA268 T271:T273 U272:U275 AA271:AA273 T284:U293 AA284:AA293 U283 T1203:U1207 AA1210:AA1223 AA788:AA815 T805:U815 T825:U833 AA825:AA833 T1210:U1215 T1217:U1223 AA1358:AA1383 AA1390:AA1398 AA1415:AA1417 AA1433:AA1435 AA1451:AA1453 T1368:U1383 U1398 T1386:U1386 AA1386 T1159:U1164 AA1152:AA1164 AA1168:AA1195 T1168:U1195 T1748:U1749 AA1716:AA1733 AA1066:AA1081 AA1965:AA1966 T1965:U1966 AA1991 T1991:U1991 AA1994:AA1995 AA2005 AA2008:AA2010 AA2058 T1108:U1109 AA1083:AA1105 T1068:U1096 T1121:U1122 AA1109:AA1118 AA2061:AA2062 T2061:U2062 AA2113:AA2140 T2094:U2140 AA1488:AA1497 AA1504:AA1509 T1504:U1506 AA1576:AA1577 AA37:AA48 T36:U48 AA78:AA96 T77:U96 T118:U118 AA118 T102:U106 AA638:AA653 AA565:AA580 AA474:AA490 AA394:AA398 T1758:U1761 T1754:U1756 T1763:U1766 AA1736:AA1745 T1724:U1741 T1785:U1788 T1780:U1783 T1776:U1778 T1805:U1808 T1800:U1803 T1792:U1798 AA1783:AA1798 T1827:U1830 T1822:U1825 T1814:U1820 AA1803:AA1820 AA157 T157:U157 T295:U309 AA295:AA309 T1751:U1752 AA1748:AA1752 AA1773:AA1774 T1773:U1774 T1402:U1402 AA1402 T1939:U1939 AA1939:AA1942 AA1911:AA1914 T1911:U1911 T1843:U1850 AA1825:AA1852 AA1956:AA1962 T1957:U1962 AA842:AA850 T842:U850 T854:U868 AA854:AA868 AA871:AA885 T871:U885 T819:U821 AA819:AA821 AA836:AA839 T836:U839 T889:U903 AA889:AA903 AA906:AA920 T906:U920 T924:U939 AA924:AA939 AA942:AA987 T942:U987 AA1462:AA1465 T1462:U1465 AA1511:AA1519 AA1585:AA1593 AA1646:AA1651 T110:U115 AA110:AA113 T2143:U2147 AA2143:AA2147 AA1761:AA1770 AA1926:AA1927 AA1859:AA1860 T1860:U1860 T1874:U1878 AA1873:AA1878 T160:U174 AA160:AA174 AA132:AA145 T132:U146 T148:U154 AA149:AA154 T183:U187 AA183:AA200 T189:U190 U188 T192:U193 U191 T195:U200 U194">
    <cfRule type="expression" dxfId="6787" priority="13887" stopIfTrue="1">
      <formula>$B12="SERVIÇO"</formula>
    </cfRule>
  </conditionalFormatting>
  <conditionalFormatting sqref="AE69:AF70 AE51:AF62 AE12:AF34 AE73:AF76 A74:E76 U76:AC76 Y145:AC145 A1031:E1031 A1050:E1050 A1109:E1109 AE1122:AF1122 A1122:E1122 AE1135:AF1136 A1136:E1136 A1140:E1140 AE1140:AF1140 AE1144:AF1144 A1144:E1144 A1148:E1148 AE1148:AF1148 A1152:E1152 A1156:E1156 A452:E452 A490:E490 AE404:AF408 AE495:AF506 AE659:AF667 AE671:AF692 AE725:AF725 A725:E725 A754:E754 AE754:AF754 AE783:AF784 A783:E784 V1864:AC1864 A1914:E1914 A1942:E1942 V789:AC789 S2110:S2111 AE1228:AF1238 AE1275:AF1275 A1275:E1275 A1307:E1307 AE1307:AF1307 AE1345:AF1345 A1345:E1345 A1761:E1761 A1783:E1783 A1803:E1803 A1825:E1825 A1748:E1749 A1370:E1372 V78 T311:T316 T381:T382 T384:T385 T387:T389 T410:T415 V1733 A2062:E2062 V2109:V2110 V2113 A1411:E1411 AE1411:AF1411 A1580:E1580 AE1597:AF1599 AE1523:AF1525 AE1471:AF1473 AE2089:AF2110 A1241:E1243 AE1241:AF1243 T500:AC500 T391:T392 AE383:AF392 AE281:AF282 S714 S743 S772 T36:U36 T50:U50 T64:U64 T66:U66 T68:U68 T72:U72 T77:U78 U120 T146:U146 T148:U148 V266:AC266 U311:U318 S320:U320 T350:U352 T354:U356 T358:U360 U381:U392 T396:U398 T401:U403 U410:U417 S419:U419 T449:U451 T472:U473 T475:U476 T478:U480 T482:U485 T487:U489 T492:U494 U501:U508 T540:U542 T563:U564 T566:U567 T569:U571 T573:U576 T578:U580 T583:U585 T639:U640 T642:U644 T646:U649 T651:U653 T656:U658 T669:U670 T695:U696 T698:U699 T701:U702 T705:U706 T709:U715 T717:U719 T721:U721 T724:U724 T728:U729 T731:U732 T734:U735 T738:U744 T746:U748 T750:U750 T753:U753 T757:U758 T760:U761 T763:U764 T767:U773 T775:U777 T779:U779 T782:U782 T786:U787 T1015:U1015 T1018:U1018 T1021:U1021 T1024:U1024 T1030:U1030 T1034:U1034 T1037:U1037 T1040:U1040 T1043:U1043 T1049:U1049 T1053:U1053 T1056:U1056 T1059:U1059 T1062:U1062 T1068:U1068 T1082:U1082 T1099:U1099 T1102:U1102 T1105:U1105 T1108:U1108 T1112:U1112 T1115:U1115 T1118:U1118 T1121:U1121 T1125:U1125 T1128:U1128 T1131:U1131 T1134:U1134 T1139:U1139 T1143:U1143 T1147:U1147 T1151:U1151 T1155:U1155 U1197:U1198 V1208 U1208:U1209 T1226:U1229 U1236 U1238 U1240 U1242 U1248 T1250:U1250 T1252:U1255 T1258:U1261 T1264:U1265 T1268:U1268 T1270:U1270 U1272 T1274:U1274 U1280 T1282:U1282 T1284:U1287 T1290:U1293 T1296:U1297 T1300:U1300 T1302:U1302 U1304 T1306:U1306 U1312 T1314:U1314 T1316:U1319 T1322:U1326 T1328:U1331 T1334:U1335 T1338:U1338 T1340:U1340 U1342 T1344:U1344 U1350 T1352:U1352 T1354:U1357 T1360:U1361 T1364:U1364 T1366:U1366 T1368:U1368 U1391 U1393:U1396 U1408 U1416 U1434 U1452 U1467:U1470 A1471:E1473 V1472:V1473 A1476:E1476 V1476 U1472:U1476 U1499 U1509 V1518:V1519 U1518:U1522 A1523:E1525 V1524:V1525 U1524:U1528 U1553:U1555 U1569 U1571 U1573 U1577 U1579 U1583 U1587:U1590 A1591:E1593 V1592:V1593 U1592:U1596 A1597:E1599 V1598:V1599 U1598:U1602 U1616:U1618 U1620:U1622 U1625:U1627 U1630 U1632 U1634 U1644 U1648:U1651 U1653:U1657 U1659:U1663 U1665:U1668 U1688:U1690 U1693:U1695 U1698 U1700 U1702 U1712 U1715 U1718:U1720 U1723 T1743:U1743 T1745:U1745 T1768:U1768 T1770:U1770 T1790:U1790 T1792:U1792 T1810:U1810 T1812:U1812 T1814:U1814 T1832:U1832 T1834:U1834 T1836:U1836 T1862:U1863 T1881:U1881 T1888:U1888 T1895:U1896 T1898:U1899 T1901:U1902 T1913:U1913 T1917:U1917 T1929:U1930 T1932:U1933 T1941:U1941 T1945:U1945 U2065:U2067 U2069:U2072 U2074:U2077 U2079:U2082 U2088 T2109:U2113 AA78:AC78 AA113:AC113 AA501:AC506 AA1208:AC1208 AA1228:AC1229 AA1476:AC1476 AA1472:AC1473 AA1518:AC1519 AA1524:AC1525 AA1592:AC1593 AA1598:AC1599 AA1733:AC1733 AA2113:AC2113 AA2109:AC2110 W36:Z36 W50:Z50 W64:Z64 W66:Z66 W68:Z68 A69:E70 W72:Z72 W77:Z78 W120:Z120 W146:Z146 W148:Z148 W311:Z318 W320:Z320 W350:Z352 W354:Z356 W358:Z360 W381:Z382 W396:Z398 W401:Z403 W410:Z417 W419:Z419 W449:Z451 W472:Z473 W475:Z476 W478:Z480 W482:Z485 W487:Z489 W492:Z494 W501:Z508 W540:Z542 W563:Z564 W566:Z567 W569:Z571 W573:Z576 W578:Z580 W583:Z585 W639:Z640 W642:Z644 W646:Z649 W651:Z653 W656:Z658 W669:Z670 W695:Z696 W698:Z699 W701:Z702 W705:Z706 W709:Z715 W717:Z719 W721:Z721 W724:Z724 W728:Z729 W731:Z732 W734:Z735 W738:Z744 W746:Z748 W750:Z750 W753:Z753 W757:Z758 W760:Z761 W763:Z764 W767:Z773 W775:Z777 W779:Z779 W782:Z782 W786:Z787 W1015:Z1015 W1018:Z1018 W1021:Z1021 W1024:Z1024 W1030:Z1030 W1034:Z1034 W1037:Z1037 W1040:Z1040 W1043:Z1043 W1049:Z1049 W1053:Z1053 W1056:Z1056 W1059:Z1059 W1062:Z1062 W1068:Z1068 W1082:Z1082 W1099:Z1099 W1102:Z1102 W1105:Z1105 W1108:Z1108 W1112:Z1112 W1115:Z1115 W1118:Z1118 W1121:Z1121 W1125:Z1125 W1128:Z1128 W1131:Z1131 W1134:Z1134 W1139:Z1139 W1143:Z1143 W1147:Z1147 W1151:Z1151 W1155:Z1155 W1197:Z1198 W1208:Z1209 W1218:AC1218 W1226:Z1229 A1228:E1238 V1235:AC1238 W1240:Z1240 V1241:AC1242 W1246:Z1246 W1248:Z1248 W1250:Z1250 W1252:Z1255 W1258:Z1261 W1264:Z1265 W1268:Z1268 W1270:Z1270 W1272:Z1272 W1274:Z1274 W1278:Z1278 W1280:Z1280 W1282:Z1282 W1284:Z1287 W1290:Z1293 W1296:Z1297 W1300:Z1300 W1302:Z1302 W1304:Z1304 W1306:Z1306 W1310:Z1310 W1312:Z1312 W1314:Z1314 W1316:Z1319 W1322:Z1326 W1328:Z1331 W1334:Z1335 W1338:Z1338 W1340:Z1340 W1342:Z1342 W1344:Z1344 W1348:Z1348 W1350:Z1350 W1352:Z1352 W1354:Z1357 W1360:Z1361 W1364:Z1364 W1366:Z1366 W1368:Z1368 W1391:Z1391 W1393:Z1396 W1408:Z1408 W1416:Z1416 W1434:Z1434 W1452:Z1452 W1467:Z1470 W1472:Z1476 W1499:Z1499 W1509:Z1509 W1518:Z1522 W1524:Z1528 W1553:Z1555 W1569:Z1569 W1571:Z1571 W1573:Z1573 W1577:Z1577 W1579:Z1579 W1583:Z1583 W1587:Z1590 W1592:Z1596 W1598:Z1602 W1616:Z1618 W1620:Z1622 W1625:Z1627 W1630:Z1630 W1632:Z1632 W1634:Z1634 W1644:Z1644 W1648:Z1651 W1653:Z1657 W1659:Z1663 W1665:Z1668 W1688:Z1690 W1693:Z1695 W1698:Z1698 W1700:Z1700 W1702:Z1702 W1712:Z1712 W1715:Z1715 W1718:Z1720 W1723:Z1723 W1743:Z1743 W1745:Z1745 W1768:Z1768 W1770:Z1770 W1790:Z1790 W1792:Z1792 W1810:Z1810 W1812:Z1812 W1814:Z1814 W1832:Z1832 W1834:Z1834 W1836:Z1836 W1862:Z1863 W1881:Z1881 W1888:Z1888 W1895:Z1896 W1898:Z1899 W1901:Z1902 W1913:Z1913 W1917:Z1917 W1929:Z1930 W1932:Z1933 W1941:Z1941 W1945:Z1945 W2065:Z2067 W2069:Z2072 W2074:Z2077 W2079:Z2082 W2088:Z2088 W2093:AC2097 W2109:Z2113 S403 S494 S585 S658 A1947:E1947 AE1947:AF1947 A1921:E1921 W1885:AC1885 W1892:Z1892 T1892:U1892 A1883:E1883 AE1883:AF1885 AE1854:AF1855 AE1857:AF1857 T1857:Z1857 AE1893:AF1896 T1924:U1924 W1924:Z1924 A1919:E1919 AE1919:AF1921 T1950:U1950 W1950:Z1950 AE1952:AF1952 A1952:E1952 A1954:E1954 AE1954:AF1954 U1842:AC1842 U1851:AC1851 A1854:E1855 T1887 T1923 T1949 AE1864:AF1866 A1864:E1866 V383:AC392 T394:U394 AE1900:AF1902 AE1444:AF1444 A1444:E1444 AE1426:AF1426 A1426:E1426 A1063:E1063 A1044:E1044 A1025:E1025 AE586:AF618 AE509:AF542 AE420:AF452 AE321:AF348 AE2083:AF2085 A2083:E2085 AE1705:AF1709 A1705:E1709 AE1691:AF1698 AE1669:AF1669 A1637:E1641 AE1637:AF1644 AE1619:AF1630 AE1603:AF1603 AE1580:AF1583 AE1572:AF1573 AE1556:AF1567 A1556:E1567 A1500:E1501 AE1500:AF1501 A1435:E1435 A1417:E1417 A1397:E1398 AE1199:AF1200 A1199:E1200 A1716:E1717 AE1476:AF1476 A1488:E1497 A1453:E1453 AE1203:AF1208 A1429:E1429 AE1429:AF1429 A1447:E1447 AE1447:AF1447 A1457:E1460 AE1456:AF1460 AE1047:AF1063 AE1028:AF1044 AE1009:AF1025 A1009:E1012 AE990:AF1006 A990:E1006 W672:AC673 W666:AC667 T1476 A1512:E1519 T1516:AC1516 A321:E348 V350 V354 V358 A420:E447 V449 A509:E538 V540 V180:AC180 A102:E106 AE102:AF106 V1754 V1758 V1776 V1780 V1800 V1822 W179:AC179 A1374:E1383 T1379:AC1379 W796:AC802 A671:E692 AE115:AF115 A115:E115 A128:E128 AE128:AF128 AE130:AF130 A130:E130 W122:Z122 U122 U124 W124:Z124 W126:Z126 U126 A231:E231 AE219:AF226 AE228:AF231 A178:E181 A183:E184 AE178:AF181 U181:AC181 A276:E278 U277:U280 V278 AA277:AC278 W277:Z280 AE276:AF278 A235:E268 U267:U270 V268 AA267:AC268 W267:Z270 AE234:AF268 A271:E273 U272:U275 V273 AA272:AC273 W272:Z275 AE271:AF273 A284:E293 AE284:AF293 U283 W283:Z283 A281:E282 W282:AC282 A1203:E1208 AE1210:AF1223 AE788:AF815 A805:E805 AE825:AF833 A1211:E1223 W1216:AC1216 W1373:Z1373 AE1358:AF1383 W1389:Z1389 AE1390:AF1398 W1414:Z1414 AE1415:AF1417 W1432:Z1432 AE1433:AF1435 W1450:Z1450 AE1451:AF1453 T1373:U1373 U1398:AC1398 AE1386:AF1386 A1386:E1386 T1382:AC1383 A1159:E1159 AE1152:AF1164 AE1168:AF1195 A1168:E1170 A1724:E1725 AE1716:AF1733 A2090:E2110 A788:E802 A1070:E1081 AE1066:AF1081 A1965:E1966 AE1965:AF1966 AE1991:AF1991 A1991:E1991 AE1994:AF1995 AE2005:AF2005 AE2008:AF2010 AE2058:AF2058 A1083:E1096 AE1083:AF1105 AE1109:AF1118 AE2061:AF2062 AE2113:AF2140 A2113:E2120 AE1488:AF1497 AE1504:AF1509 A1504:E1506 AE1576:AF1577 AE37:AF48 AE78:AF96 A78:E96 A118:E118 AE118:AF118 W113:Z114 R114 T114:U114 AE638:AF653 AE565:AF580 AE474:AF490 V394:AC395 AE394:AF398 T1733:U1735 W1733:Z1735 T1758:U1760 W1758:Z1760 T1754:U1756 W1754:Z1756 A1763:E1766 A1736:E1741 AE1736:AF1745 A1785:E1788 T1780:U1782 W1780:Z1782 T1776:U1778 W1776:Z1778 A1805:E1808 T1800:U1802 W1800:Z1802 A1793:E1798 AE1783:AF1798 A1827:E1830 T1822:U1824 W1822:Z1824 A1815:E1820 AE1803:AF1820 AE157:AF157 A157:E157 A295:E309 AE295:AF309 AE1748:AF1752 A1751:E1752 A1773:E1774 AE1773:AF1774 AE1402:AF1402 A1402:E1402 V1422 V1440 A1939:E1939 AE1939:AF1942 AE1911:AF1914 A1911:E1911 A1838:E1852 AE1825:AF1852 AE1956:AF1962 A1956:E1956 A825:E833 AE842:AF850 A854:E868 AE854:AF868 AE871:AF885 A819:E821 AE819:AF821 A836:E839 AE836:AF839 A889:E903 AE889:AF903 AE906:AF920 A924:E939 AE924:AF939 AE942:AF987 A842:E850 A871:E885 A906:E920 A942:E972 AE1462:AF1465 A1462:E1465 AE1511:AF1519 AE1585:AF1593 AE1646:AF1651 AE110:AF113 A110:E113 A404:E408 A495:E506 A586:E618 A659:E661 AE2143:AF2147 AE1761:AF1770 A1926:E1927 AE1926:AF1927 AE1859:AF1860 A1859:E1860 AE1873:AF1878 A1874:E1878 W1874:AC1874 AE160:AF174 AE132:AF145 A132:E145 A160:E169 A173:E174 A170:A172 E170 A37:E48 G69:AC70 A51:E62 G78:S78 G76:S76 G74:AC75 G37:AC48 G160:AC170 G132:AC144 G1874:U1874 G1859:AC1860 G1926:AC1927 G659:AC661 G586:AC618 G495:AC499 G404:AC408 G110:AC112 G1462:AC1465 G942:AC972 G906:AC920 G871:AC885 G842:AC850 G924:AC939 G889:AC903 G836:AC839 G819:AC821 G854:AC868 G825:AC833 G1956:AC1956 G1843:AC1850 G1875:AC1878 G1911:AC1911 G1939:AC1939 G1402:AC1402 G1773:AC1774 G1751:AC1752 G295:AC309 G157:AC157 G1815:AC1820 G1827:AC1830 G1793:AC1798 G1805:AC1808 G1785:AC1788 G1736:AC1741 G1763:AC1766 G113:V113 G118:AC118 G79:AC96 G1504:AC1506 G2114:AC2120 G1083:AC1096 G1991:AC1991 G1965:AC1966 G1070:AC1081 G790:AC795 G2098:AC2108 G1724:AC1725 G1168:AC1170 G1159:AC1159 G1386:AC1386 G2093:R2093 G1216:R1216 G1217:AC1217 G1211:AC1215 G805:AC805 G1203:AC1207 G282:U282 G284:AC293 G271:T273 G266:T268 G276:T278 G183:AC184 G180:T181 G231:AC231 G130:AC130 G128:AC128 G115:AC115 G674:AC692 G1379:R1379 G1380:AC1381 G179:U179 G102:AC106 G509:AC538 G420:AC447 G321:AC348 G235:AC265 G1516:R1516 G1517:AC1517 G2109:R2109 G672:U673 G666:U667 G178:AC178 G990:AC1006 G1009:AC1012 G1382:R1383 G1457:AC1460 G1447:AC1447 G1429:AC1429 G1374:AC1378 G1453:AC1453 G1488:AC1497 G1716:AC1717 G1199:AC1200 G1397:AC1397 G1417:AC1417 G1435:AC1435 G1500:AC1501 G1556:AC1567 G1637:AC1641 G1705:AC1709 G2083:AC2085 G1025:AC1025 G1044:AC1044 G1063:AC1063 G1426:AC1426 G1444:AC1444 G1512:AC1515 G1865:AC1866 G1854:AC1855 G1851:S1851 G1852:AC1852 G1842:S1842 G1954:AC1954 G1952:AC1952 G1919:AC1919 G1883:AC1883 G1838:AC1841 G1921:AC1921 G1947:AC1947 G1230:AC1234 G1219:AC1223 G671:AC671 G281:AC281 G51:AC62 A14:E34 G14:AC34 G796:U802 G2094:U2097 G1598:T1599 G1592:T1593 G1524:T1525 G1518:T1519 G1476:R1476 G1472:T1473 G1218:U1218 G1208:T1208 G1398:S1398 G500:R500 G501:T506 G1241:T1242 G2090:AC2092 G1471:AC1471 G1523:AC1523 G1591:AC1591 G1597:AC1597 G1580:AC1580 G1411:AC1411 G2113:S2113 G2110:S2110 G2062:AC2062 G1733:S1733 G1235:T1238 G1370:AC1372 G1748:AC1749 G1825:AC1825 G1803:AC1803 G1783:AC1783 G1761:AC1761 G1345:AC1345 G1243:AC1243 G1307:AC1307 G1275:AC1275 G1228:R1229 G789:T789 G1942:AC1942 G1914:AC1914 G1864:T1864 G788:AC788 G783:AC784 G754:AC754 G725:AC725 G490:AC490 G452:AC452 G1156:AC1156 G1152:AC1152 G1148:AC1148 G1144:AC1144 G1140:AC1140 G1136:AC1136 G1122:AC1122 G1109:AC1109 G1050:AC1050 G1031:AC1031 G145:W145 F14:F72 G173:AC174 F235:F661 F663:F805 G663:AC665 A663:E667 F807:F972 G807:AC815 A807:E815 F974:F1068 G974:AC987 A974:E987 F1070:F1134 F1136:F1159 F1161:F1170 G1161:AC1164 A1161:E1164 A1192:E1195 G1192:AC1195 F1192:F1209 F1211:F1368 F1370:F1455 F1457:F1725 F1727:F1836 G1727:AC1732 A1727:E1733 F1838:F1956 F1958:F2060 G1958:AC1962 A1958:E1962 F2062:F2088 F2090:F2120 F2122:F2142 G2122:AC2140 A2122:E2140 A12:AC13 A73:AC73 E171:AC172 A234:AC234 A662:AC662 A806:AC806 A973:AC973 A1069:AC1069 A1135:AC1135 A1160:AC1160 A1171:AC1191 A1210:AC1210 A1369:AC1369 A1456:AC1456 A1726:AC1726 A1837:AC1837 A1957:AC1957 A2061:AC2061 A2089:AC2089 A2121:AC2121 A2143:AC2147 F173:F184 A149:E154 AE149:AF154 G149:AC154 F74:F170 F196:F198 A185:AC186 A199:AC200 AE183:AF200 F211:F233 A189:AC189 A188:S188 U188:AC188 A192:AC192 A191:S191 U191:AC191 A195:AC195 A194:S194 U194:AC194 A187:R187 T187:AC187 A190:R190 T190:AC190 A193:R193 T193:AC193">
    <cfRule type="expression" dxfId="6786" priority="14686">
      <formula>$B12="Unidade Construtiva"</formula>
    </cfRule>
    <cfRule type="expression" dxfId="6785" priority="14689">
      <formula>$B12="Serviço"</formula>
    </cfRule>
    <cfRule type="expression" dxfId="6784" priority="14690">
      <formula>$B12="Insumo"</formula>
    </cfRule>
    <cfRule type="expression" dxfId="6783" priority="14691">
      <formula>$B12="Etapa"</formula>
    </cfRule>
    <cfRule type="expression" dxfId="6782" priority="14692">
      <formula>$B12="Célula Construtiva"</formula>
    </cfRule>
    <cfRule type="expression" dxfId="6781" priority="14693">
      <formula>$B12="Subetapa"</formula>
    </cfRule>
  </conditionalFormatting>
  <conditionalFormatting sqref="T12:T34 T50:T62 T64 T66 T68:T70 T72:T75 T311:T316 T350:T352 T354:T356 T358:T360 T381:T382 T384:T385 T387:T389 T396:T398 T410:T415 T472:T473 T475:T476 T478:T480 T482:T485 T487:T490 T540:T542 T563:T564 T566:T567 T569:T571 T573:T576 T578:T580 T639:T640 T642:T644 T646:T649 T651:T653 T669:T692 T695:T696 T698:T699 T701:T702 T705:T706 T709:T715 T717:T719 T721 T724:T725 T728:T729 T731:T732 T734:T735 T738:T744 T746:T748 T750 T753:T754 T757:T758 T760:T761 T763:T764 T767:T773 T775:T777 T779 T782:T784 T786:T802 T1015 T1018 T1021 T1030:T1031 T1034 T1037 T1040 T1049:T1050 T1053 T1056 T1059 T1099 T1102 T1105 T1112 T1115 T1118 T1125 T1128 T1131 T1134:T1136 T1226:T1238 T1250 T1252:T1255 T1258:T1261 T1264:T1265 T1268 T1270 T1274:T1275 T1282 T1284:T1287 T1290:T1293 T1296:T1297 T1300 T1302 T1306:T1307 T1314 T1316:T1319 T1322:T1326 T1328:T1331 T1334:T1335 T1338 T1340 T1344:T1345 T1352 T1360:T1361 T1364 T1366 T1743 T1745 T1768 T1790 T1810 T1812 T1832 T1834 T1881 T1895:T1896 T1898:T1899 T1901:T1902 T1913:T1914 T1917 T1929:T1930 T1932:T1933 T1941:T1942 T1945 T1597:T1599 T1523:T1525 T1471:T1473 T401:T408 T492:T506 T656:T667 T1241:T1243 T391:T392 T281:T282 T1947 T1921 T1892 T1836:T1841 T1883 T1857 T1919 T1952 T1954 T1852 T1854:T1855 T1887:T1888 T1923:T1924 T1949:T1950 T1862:T1866 T1139:T1140 T1147:T1148 T1143:T1144 T1155:T1156 T1151:T1152 T394 T1062:T1063 T1043:T1044 T1024:T1025 T583:T618 T509:T538 T449:T452 T419:T447 T320:T348 T2083:T2085 T1770 T1705:T1709 T1691:T1698 T1669 T1637:T1644 T1619:T1630 T1603 T1580:T1583 T1572:T1573 T1556:T1567 T1500:T1501 T1411:T1413 T1199:T1200 T1476 T1354:T1357 T1429:T1431 T1447:T1449 T1456:T1460 T1009:T1012 T990:T1006 T2089:T2092 T128 T130 T229:T231 T178:T181 T276:T278 T234:T268 T271:T273 T284:T293 T1203:T1208 T805:T815 T825:T833 T1210:T1215 T1217:T1223 T1368:T1383 T1390:T1397 T1415:T1417 T1433:T1435 T1451:T1453 T1426 T1444 T1386:T1388 T1159:T1164 T1168:T1195 T1748:T1749 T1965:T1966 T1991 T2005 T2058 T1108:T1109 T1068:T1096 T1121:T1122 T2061:T2062 T2094:T2140 T1488:T1497 T1504:T1509 T1576:T1577 T36:T48 T77:T96 T118 T102:T106 T1758:T1761 T1754:T1756 T1763:T1766 T1716:T1741 T1785:T1788 T1780:T1783 T1776:T1778 T1805:T1808 T1800:T1803 T1792:T1798 T1827:T1830 T1822:T1825 T1814:T1820 T157 T295:T309 T1751:T1752 T1773:T1774 T1402 T1939 T1911 T1843:T1850 T1956:T1962 T842:T850 T854:T868 T871:T885 T819:T821 T836:T839 T889:T903 T906:T920 T924:T939 T942:T987 T1462:T1465 T1511:T1519 T1585:T1593 T1646:T1651 T110:T115 T2143:T2147 T1926:T1927 T1859:T1860 T1874:T1878 T160:T174 T132:T146 T148:T154 T183:T187 T189:T190 T192:T193 T195:T200">
    <cfRule type="expression" dxfId="6780" priority="13885" stopIfTrue="1">
      <formula>$B12="INSUMO"</formula>
    </cfRule>
  </conditionalFormatting>
  <conditionalFormatting sqref="W2153:W1048576 W1:W34 W50:W62 W64 W66 W68:W70 W311:W318 W350:W352 W354:W356 W358:W360 W381:W392 W401:W403 W406:W408 W410:W417 W472:W473 W475:W476 W478:W480 W482:W485 W487:W490 W540:W542 W563:W564 W566:W567 W569:W571 W573:W576 W578:W580 W639:W640 W642:W644 W646:W649 W651:W653 W669:W692 W695:W696 W698:W699 W701:W702 W705:W706 W709:W715 W717:W719 W721 W724:W725 W728:W729 W731:W732 W734:W735 W738:W744 W746:W748 W750 W753:W754 W757:W758 W760:W761 W763:W764 W767:W773 W775:W777 W779 W782:W784 W786:W802 W1015 W1018 W1021 W1024 W1030:W1031 W1034 W1037 W1040 W1043 W1049:W1050 W1053 W1056 W1059 W1062 W1125 W1128 W1131 W1134:W1136 W1226:W1238 W1240:W1243 W1246 W1248 W1250 W1252:W1255 W1258:W1261 W1264:W1265 W1268 W1270 W1272 W1274:W1275 W1278 W1280 W1282 W1284:W1287 W1290:W1293 W1296:W1297 W1300 W1302 W1304 W1306:W1307 W1310 W1312 W1314 W1316:W1319 W1322:W1326 W1328:W1331 W1334:W1335 W1338 W1340 W1342 W1344:W1345 W1348 W1350 W1352 W1354:W1357 W1360:W1361 W1364 W1366 W1368:W1373 W1389 W1391 W1393:W1396 W1408 W1414 W1432 W1450 W1509 W1513:W1516 W1518:W1522 W1524:W1528 W1553:W1555 W1557:W1559 W1562:W1564 W1567 W1569 W1571 W1573 W1577 W1579:W1580 W1583 W1587:W1590 W1592:W1596 W1598:W1602 W1616:W1618 W1620:W1622 W1625:W1627 W1630 W1632 W1644 W1648:W1651 W1653:W1657 W1659:W1663 W1665:W1668 W1688:W1690 W1693:W1695 W1698 W1700 W1712 W1743 W1745 W1768 W1790 W1810 W1812 W1832 W1834 W1881 W1888 W1895:W1896 W1898:W1899 W1901:W1902 W1913:W1914 W1917 W1929:W1930 W1932:W1933 W1941:W1942 W1945 W2065:W2067 W2069:W2072 W2074:W2077 W1947 W1892 W1883:W1885 W1854:W1855 W1857 W1924 W1919:W1921 W1926 W1950 W1952 W1954 W1862:W1866 W1139:W1140 W1147:W1148 W1143:W1144 W1155:W1156 W1151:W1152 W1447 W1429 W449:W452 W419:W447 W320:W348 W2079:W2085 W1770 W1702 W1634 W1499:W1501 W1434:W1435 W1416:W1417 W1197:W1200 W1715:W1720 W1467:W1476 W1452:W1453 W1375:W1383 W1456:W1460 W1009:W1012 W990:W1006 W120 W128 W130 W122 W124 W126 W164 W492:W538 W583:W618 W656:W667 W178:W181 W183:W184 W234:W293 W1203:W1223 W805:W815 W825:W833 W1411 W1386 W1159:W1164 W1168:W1195 W1748:W1749 W1965:W1966 W1994:W1995 W2008:W2010 W1108:W1118 W1068:W1105 W1121:W1122 W2061:W2062 W2088:W2140 W1488:W1497 W1504:W1506 W1637:W1641 W1705:W1709 W36:W48 W72:W96 W118 W102:W106 W394:W398 W1758:W1761 W1754:W1756 W1763:W1766 W1723:W1741 W1785:W1788 W1780:W1783 W1776:W1778 W1805:W1808 W1800:W1803 W1792:W1798 W1827:W1830 W1822:W1825 W1814:W1820 W166:W174 W295:W309 W1751:W1752 W1773:W1774 W1956:W1962 W1875:W1878 W1836:W1852 W842:W850 W854:W868 W871:W885 W819:W821 W836:W839 W889:W903 W906:W920 W924:W939 W942:W987 W1462:W1465 W110:W115 W2143:W2149 W1859:W1860 W132:W146 W148:W153 W187:W198">
    <cfRule type="containsText" dxfId="6779" priority="13884" stopIfTrue="1" operator="containsText" text="INSERIR">
      <formula>NOT(ISERROR(SEARCH("INSERIR",W1)))</formula>
    </cfRule>
  </conditionalFormatting>
  <conditionalFormatting sqref="V65:V66">
    <cfRule type="expression" dxfId="6778" priority="13876" stopIfTrue="1">
      <formula>$B65="insumo"</formula>
    </cfRule>
  </conditionalFormatting>
  <conditionalFormatting sqref="T65:U65 AA65:AA66">
    <cfRule type="expression" dxfId="6777" priority="13875" stopIfTrue="1">
      <formula>$B65="SERVIÇO"</formula>
    </cfRule>
  </conditionalFormatting>
  <conditionalFormatting sqref="AE65:AF66 A65:E66 V66 AA66:AC66 G66:S66 G65:AC65">
    <cfRule type="expression" dxfId="6776" priority="13877">
      <formula>$B65="Unidade Construtiva"</formula>
    </cfRule>
    <cfRule type="expression" dxfId="6775" priority="13878">
      <formula>$B65="Serviço"</formula>
    </cfRule>
    <cfRule type="expression" dxfId="6774" priority="13879">
      <formula>$B65="Insumo"</formula>
    </cfRule>
    <cfRule type="expression" dxfId="6773" priority="13880">
      <formula>$B65="Etapa"</formula>
    </cfRule>
    <cfRule type="expression" dxfId="6772" priority="13881">
      <formula>$B65="Célula Construtiva"</formula>
    </cfRule>
    <cfRule type="expression" dxfId="6771" priority="13882">
      <formula>$B65="Subetapa"</formula>
    </cfRule>
  </conditionalFormatting>
  <conditionalFormatting sqref="T65">
    <cfRule type="expression" dxfId="6770" priority="13874" stopIfTrue="1">
      <formula>$B65="INSUMO"</formula>
    </cfRule>
  </conditionalFormatting>
  <conditionalFormatting sqref="W65">
    <cfRule type="containsText" dxfId="6769" priority="13873" stopIfTrue="1" operator="containsText" text="INSERIR">
      <formula>NOT(ISERROR(SEARCH("INSERIR",W65)))</formula>
    </cfRule>
  </conditionalFormatting>
  <conditionalFormatting sqref="V63:V64">
    <cfRule type="expression" dxfId="6768" priority="13865" stopIfTrue="1">
      <formula>$B63="insumo"</formula>
    </cfRule>
  </conditionalFormatting>
  <conditionalFormatting sqref="T63:U63 AA63:AA64">
    <cfRule type="expression" dxfId="6767" priority="13864" stopIfTrue="1">
      <formula>$B63="SERVIÇO"</formula>
    </cfRule>
  </conditionalFormatting>
  <conditionalFormatting sqref="AE63:AF64 A63:E64 V64 AA64:AC64 G64:S64 G63:AC63">
    <cfRule type="expression" dxfId="6766" priority="13866">
      <formula>$B63="Unidade Construtiva"</formula>
    </cfRule>
    <cfRule type="expression" dxfId="6765" priority="13867">
      <formula>$B63="Serviço"</formula>
    </cfRule>
    <cfRule type="expression" dxfId="6764" priority="13868">
      <formula>$B63="Insumo"</formula>
    </cfRule>
    <cfRule type="expression" dxfId="6763" priority="13869">
      <formula>$B63="Etapa"</formula>
    </cfRule>
    <cfRule type="expression" dxfId="6762" priority="13870">
      <formula>$B63="Célula Construtiva"</formula>
    </cfRule>
    <cfRule type="expression" dxfId="6761" priority="13871">
      <formula>$B63="Subetapa"</formula>
    </cfRule>
  </conditionalFormatting>
  <conditionalFormatting sqref="T63">
    <cfRule type="expression" dxfId="6760" priority="13863" stopIfTrue="1">
      <formula>$B63="INSUMO"</formula>
    </cfRule>
  </conditionalFormatting>
  <conditionalFormatting sqref="W63">
    <cfRule type="containsText" dxfId="6759" priority="13862" stopIfTrue="1" operator="containsText" text="INSERIR">
      <formula>NOT(ISERROR(SEARCH("INSERIR",W63)))</formula>
    </cfRule>
  </conditionalFormatting>
  <conditionalFormatting sqref="V67:V68">
    <cfRule type="expression" dxfId="6758" priority="13854" stopIfTrue="1">
      <formula>$B67="insumo"</formula>
    </cfRule>
  </conditionalFormatting>
  <conditionalFormatting sqref="AA67:AA68 T67:U67">
    <cfRule type="expression" dxfId="6757" priority="13853" stopIfTrue="1">
      <formula>$B67="SERVIÇO"</formula>
    </cfRule>
  </conditionalFormatting>
  <conditionalFormatting sqref="AE67:AF68 A67:E68 V68 AA68:AC68 G68:S68 G67:AC67">
    <cfRule type="expression" dxfId="6756" priority="13855">
      <formula>$B67="Unidade Construtiva"</formula>
    </cfRule>
    <cfRule type="expression" dxfId="6755" priority="13856">
      <formula>$B67="Serviço"</formula>
    </cfRule>
    <cfRule type="expression" dxfId="6754" priority="13857">
      <formula>$B67="Insumo"</formula>
    </cfRule>
    <cfRule type="expression" dxfId="6753" priority="13858">
      <formula>$B67="Etapa"</formula>
    </cfRule>
    <cfRule type="expression" dxfId="6752" priority="13859">
      <formula>$B67="Célula Construtiva"</formula>
    </cfRule>
    <cfRule type="expression" dxfId="6751" priority="13860">
      <formula>$B67="Subetapa"</formula>
    </cfRule>
  </conditionalFormatting>
  <conditionalFormatting sqref="T67">
    <cfRule type="expression" dxfId="6750" priority="13852" stopIfTrue="1">
      <formula>$B67="INSUMO"</formula>
    </cfRule>
  </conditionalFormatting>
  <conditionalFormatting sqref="W67">
    <cfRule type="containsText" dxfId="6749" priority="13851" stopIfTrue="1" operator="containsText" text="INSERIR">
      <formula>NOT(ISERROR(SEARCH("INSERIR",W67)))</formula>
    </cfRule>
  </conditionalFormatting>
  <conditionalFormatting sqref="V49:V50">
    <cfRule type="expression" dxfId="6748" priority="13843" stopIfTrue="1">
      <formula>$B49="insumo"</formula>
    </cfRule>
  </conditionalFormatting>
  <conditionalFormatting sqref="T49:U49 AA49:AA50">
    <cfRule type="expression" dxfId="6747" priority="13842" stopIfTrue="1">
      <formula>$B49="SERVIÇO"</formula>
    </cfRule>
  </conditionalFormatting>
  <conditionalFormatting sqref="AE49:AF50 A49:E50 V50 AA50:AC50 G50:S50 G49:AC49">
    <cfRule type="expression" dxfId="6746" priority="13844">
      <formula>$B49="Unidade Construtiva"</formula>
    </cfRule>
    <cfRule type="expression" dxfId="6745" priority="13845">
      <formula>$B49="Serviço"</formula>
    </cfRule>
    <cfRule type="expression" dxfId="6744" priority="13846">
      <formula>$B49="Insumo"</formula>
    </cfRule>
    <cfRule type="expression" dxfId="6743" priority="13847">
      <formula>$B49="Etapa"</formula>
    </cfRule>
    <cfRule type="expression" dxfId="6742" priority="13848">
      <formula>$B49="Célula Construtiva"</formula>
    </cfRule>
    <cfRule type="expression" dxfId="6741" priority="13849">
      <formula>$B49="Subetapa"</formula>
    </cfRule>
  </conditionalFormatting>
  <conditionalFormatting sqref="T49">
    <cfRule type="expression" dxfId="6740" priority="13841" stopIfTrue="1">
      <formula>$B49="INSUMO"</formula>
    </cfRule>
  </conditionalFormatting>
  <conditionalFormatting sqref="W49">
    <cfRule type="containsText" dxfId="6739" priority="13840" stopIfTrue="1" operator="containsText" text="INSERIR">
      <formula>NOT(ISERROR(SEARCH("INSERIR",W49)))</formula>
    </cfRule>
  </conditionalFormatting>
  <conditionalFormatting sqref="V71:V72">
    <cfRule type="expression" dxfId="6738" priority="13832" stopIfTrue="1">
      <formula>$B71="insumo"</formula>
    </cfRule>
  </conditionalFormatting>
  <conditionalFormatting sqref="T71:U71 AA71:AA72">
    <cfRule type="expression" dxfId="6737" priority="13831" stopIfTrue="1">
      <formula>$B71="SERVIÇO"</formula>
    </cfRule>
  </conditionalFormatting>
  <conditionalFormatting sqref="AE71:AF72 A71:E72 V72 AA72:AC72 G72:S72 G71:AC71">
    <cfRule type="expression" dxfId="6736" priority="13833">
      <formula>$B71="Unidade Construtiva"</formula>
    </cfRule>
    <cfRule type="expression" dxfId="6735" priority="13834">
      <formula>$B71="Serviço"</formula>
    </cfRule>
    <cfRule type="expression" dxfId="6734" priority="13835">
      <formula>$B71="Insumo"</formula>
    </cfRule>
    <cfRule type="expression" dxfId="6733" priority="13836">
      <formula>$B71="Etapa"</formula>
    </cfRule>
    <cfRule type="expression" dxfId="6732" priority="13837">
      <formula>$B71="Célula Construtiva"</formula>
    </cfRule>
    <cfRule type="expression" dxfId="6731" priority="13838">
      <formula>$B71="Subetapa"</formula>
    </cfRule>
  </conditionalFormatting>
  <conditionalFormatting sqref="T71">
    <cfRule type="expression" dxfId="6730" priority="13830" stopIfTrue="1">
      <formula>$B71="INSUMO"</formula>
    </cfRule>
  </conditionalFormatting>
  <conditionalFormatting sqref="W71">
    <cfRule type="containsText" dxfId="6729" priority="13829" stopIfTrue="1" operator="containsText" text="INSERIR">
      <formula>NOT(ISERROR(SEARCH("INSERIR",W71)))</formula>
    </cfRule>
  </conditionalFormatting>
  <conditionalFormatting sqref="V35:V36">
    <cfRule type="expression" dxfId="6728" priority="13821" stopIfTrue="1">
      <formula>$B35="insumo"</formula>
    </cfRule>
  </conditionalFormatting>
  <conditionalFormatting sqref="T35:U35 AA35:AA36">
    <cfRule type="expression" dxfId="6727" priority="13820" stopIfTrue="1">
      <formula>$B35="SERVIÇO"</formula>
    </cfRule>
  </conditionalFormatting>
  <conditionalFormatting sqref="AE35:AF36 A35:E36 V36 AA36:AC36 G36:S36 G35:AC35">
    <cfRule type="expression" dxfId="6726" priority="13822">
      <formula>$B35="Unidade Construtiva"</formula>
    </cfRule>
    <cfRule type="expression" dxfId="6725" priority="13823">
      <formula>$B35="Serviço"</formula>
    </cfRule>
    <cfRule type="expression" dxfId="6724" priority="13824">
      <formula>$B35="Insumo"</formula>
    </cfRule>
    <cfRule type="expression" dxfId="6723" priority="13825">
      <formula>$B35="Etapa"</formula>
    </cfRule>
    <cfRule type="expression" dxfId="6722" priority="13826">
      <formula>$B35="Célula Construtiva"</formula>
    </cfRule>
    <cfRule type="expression" dxfId="6721" priority="13827">
      <formula>$B35="Subetapa"</formula>
    </cfRule>
  </conditionalFormatting>
  <conditionalFormatting sqref="T35">
    <cfRule type="expression" dxfId="6720" priority="13819" stopIfTrue="1">
      <formula>$B35="INSUMO"</formula>
    </cfRule>
  </conditionalFormatting>
  <conditionalFormatting sqref="W35">
    <cfRule type="containsText" dxfId="6719" priority="13818" stopIfTrue="1" operator="containsText" text="INSERIR">
      <formula>NOT(ISERROR(SEARCH("INSERIR",W35)))</formula>
    </cfRule>
  </conditionalFormatting>
  <conditionalFormatting sqref="T76">
    <cfRule type="expression" dxfId="6718" priority="13789" stopIfTrue="1">
      <formula>$B76="SERVIÇO"</formula>
    </cfRule>
  </conditionalFormatting>
  <conditionalFormatting sqref="T76">
    <cfRule type="expression" dxfId="6717" priority="13790">
      <formula>$B76="Unidade Construtiva"</formula>
    </cfRule>
    <cfRule type="expression" dxfId="6716" priority="13791">
      <formula>$B76="Serviço"</formula>
    </cfRule>
    <cfRule type="expression" dxfId="6715" priority="13792">
      <formula>$B76="Insumo"</formula>
    </cfRule>
    <cfRule type="expression" dxfId="6714" priority="13793">
      <formula>$B76="Etapa"</formula>
    </cfRule>
    <cfRule type="expression" dxfId="6713" priority="13794">
      <formula>$B76="Célula Construtiva"</formula>
    </cfRule>
    <cfRule type="expression" dxfId="6712" priority="13795">
      <formula>$B76="Subetapa"</formula>
    </cfRule>
  </conditionalFormatting>
  <conditionalFormatting sqref="T76">
    <cfRule type="expression" dxfId="6711" priority="13788" stopIfTrue="1">
      <formula>$B76="INSUMO"</formula>
    </cfRule>
  </conditionalFormatting>
  <conditionalFormatting sqref="V77">
    <cfRule type="expression" dxfId="6710" priority="13780" stopIfTrue="1">
      <formula>$B77="insumo"</formula>
    </cfRule>
  </conditionalFormatting>
  <conditionalFormatting sqref="AA77">
    <cfRule type="expression" dxfId="6709" priority="13779" stopIfTrue="1">
      <formula>$B77="SERVIÇO"</formula>
    </cfRule>
  </conditionalFormatting>
  <conditionalFormatting sqref="AE77:AF77 A77:E77 V77 AA77:AC77 G77:S77">
    <cfRule type="expression" dxfId="6708" priority="13781">
      <formula>$B77="Unidade Construtiva"</formula>
    </cfRule>
    <cfRule type="expression" dxfId="6707" priority="13782">
      <formula>$B77="Serviço"</formula>
    </cfRule>
    <cfRule type="expression" dxfId="6706" priority="13783">
      <formula>$B77="Insumo"</formula>
    </cfRule>
    <cfRule type="expression" dxfId="6705" priority="13784">
      <formula>$B77="Etapa"</formula>
    </cfRule>
    <cfRule type="expression" dxfId="6704" priority="13785">
      <formula>$B77="Célula Construtiva"</formula>
    </cfRule>
    <cfRule type="expression" dxfId="6703" priority="13786">
      <formula>$B77="Subetapa"</formula>
    </cfRule>
  </conditionalFormatting>
  <conditionalFormatting sqref="V147:V148">
    <cfRule type="expression" dxfId="6702" priority="13769" stopIfTrue="1">
      <formula>$B147="insumo"</formula>
    </cfRule>
  </conditionalFormatting>
  <conditionalFormatting sqref="T147:U147 AA147:AA148">
    <cfRule type="expression" dxfId="6701" priority="13768" stopIfTrue="1">
      <formula>$B147="SERVIÇO"</formula>
    </cfRule>
  </conditionalFormatting>
  <conditionalFormatting sqref="AE147:AF148 A147:E148 V148 AA148:AC148 G148:S148 G147:AC147">
    <cfRule type="expression" dxfId="6700" priority="13770">
      <formula>$B147="Unidade Construtiva"</formula>
    </cfRule>
    <cfRule type="expression" dxfId="6699" priority="13771">
      <formula>$B147="Serviço"</formula>
    </cfRule>
    <cfRule type="expression" dxfId="6698" priority="13772">
      <formula>$B147="Insumo"</formula>
    </cfRule>
    <cfRule type="expression" dxfId="6697" priority="13773">
      <formula>$B147="Etapa"</formula>
    </cfRule>
    <cfRule type="expression" dxfId="6696" priority="13774">
      <formula>$B147="Célula Construtiva"</formula>
    </cfRule>
    <cfRule type="expression" dxfId="6695" priority="13775">
      <formula>$B147="Subetapa"</formula>
    </cfRule>
  </conditionalFormatting>
  <conditionalFormatting sqref="T147">
    <cfRule type="expression" dxfId="6694" priority="13767" stopIfTrue="1">
      <formula>$B147="INSUMO"</formula>
    </cfRule>
  </conditionalFormatting>
  <conditionalFormatting sqref="W147">
    <cfRule type="containsText" dxfId="6693" priority="13766" stopIfTrue="1" operator="containsText" text="INSERIR">
      <formula>NOT(ISERROR(SEARCH("INSERIR",W147)))</formula>
    </cfRule>
  </conditionalFormatting>
  <conditionalFormatting sqref="V146">
    <cfRule type="expression" dxfId="6692" priority="13758" stopIfTrue="1">
      <formula>$B146="insumo"</formula>
    </cfRule>
  </conditionalFormatting>
  <conditionalFormatting sqref="AA146">
    <cfRule type="expression" dxfId="6691" priority="13757" stopIfTrue="1">
      <formula>$B146="SERVIÇO"</formula>
    </cfRule>
  </conditionalFormatting>
  <conditionalFormatting sqref="A146:E146 AE146:AF146 AA146:AC146 V146 G146:S146">
    <cfRule type="expression" dxfId="6690" priority="13759">
      <formula>$B146="Unidade Construtiva"</formula>
    </cfRule>
    <cfRule type="expression" dxfId="6689" priority="13760">
      <formula>$B146="Serviço"</formula>
    </cfRule>
    <cfRule type="expression" dxfId="6688" priority="13761">
      <formula>$B146="Insumo"</formula>
    </cfRule>
    <cfRule type="expression" dxfId="6687" priority="13762">
      <formula>$B146="Etapa"</formula>
    </cfRule>
    <cfRule type="expression" dxfId="6686" priority="13763">
      <formula>$B146="Célula Construtiva"</formula>
    </cfRule>
    <cfRule type="expression" dxfId="6685" priority="13764">
      <formula>$B146="Subetapa"</formula>
    </cfRule>
  </conditionalFormatting>
  <conditionalFormatting sqref="X145">
    <cfRule type="expression" dxfId="6684" priority="13743">
      <formula>$B145="Unidade Construtiva"</formula>
    </cfRule>
    <cfRule type="expression" dxfId="6683" priority="13744">
      <formula>$B145="Serviço"</formula>
    </cfRule>
    <cfRule type="expression" dxfId="6682" priority="13745">
      <formula>$B145="Insumo"</formula>
    </cfRule>
    <cfRule type="expression" dxfId="6681" priority="13746">
      <formula>$B145="Etapa"</formula>
    </cfRule>
    <cfRule type="expression" dxfId="6680" priority="13747">
      <formula>$B145="Célula Construtiva"</formula>
    </cfRule>
    <cfRule type="expression" dxfId="6679" priority="13748">
      <formula>$B145="Subetapa"</formula>
    </cfRule>
  </conditionalFormatting>
  <conditionalFormatting sqref="U180">
    <cfRule type="expression" dxfId="6678" priority="13685" stopIfTrue="1">
      <formula>$B180="SERVIÇO"</formula>
    </cfRule>
  </conditionalFormatting>
  <conditionalFormatting sqref="U180">
    <cfRule type="expression" dxfId="6677" priority="13686">
      <formula>$B180="Unidade Construtiva"</formula>
    </cfRule>
    <cfRule type="expression" dxfId="6676" priority="13687">
      <formula>$B180="Serviço"</formula>
    </cfRule>
    <cfRule type="expression" dxfId="6675" priority="13688">
      <formula>$B180="Insumo"</formula>
    </cfRule>
    <cfRule type="expression" dxfId="6674" priority="13689">
      <formula>$B180="Etapa"</formula>
    </cfRule>
    <cfRule type="expression" dxfId="6673" priority="13690">
      <formula>$B180="Célula Construtiva"</formula>
    </cfRule>
    <cfRule type="expression" dxfId="6672" priority="13691">
      <formula>$B180="Subetapa"</formula>
    </cfRule>
  </conditionalFormatting>
  <conditionalFormatting sqref="T1013:U1014 T1016:U1017 T1019:U1020 T1022:U1023 T1028:U1029">
    <cfRule type="expression" dxfId="6671" priority="13669" stopIfTrue="1">
      <formula>$B1013="SERVIÇO"</formula>
    </cfRule>
  </conditionalFormatting>
  <conditionalFormatting sqref="V1015 V1018 V1021 A1013:E1024 V1024 A1028:E1030 V1030 AA1015:AC1015 AA1018:AC1018 AA1021:AC1021 AA1024:AC1024 AA1030:AC1030 G1030:S1030 G1028:AC1029 G1024:S1024 G1021:S1021 G1022:AC1023 G1018:S1018 G1019:AC1020 G1015:S1015 G1016:AC1017 G1013:AC1014">
    <cfRule type="expression" dxfId="6670" priority="13671">
      <formula>$B1013="Unidade Construtiva"</formula>
    </cfRule>
    <cfRule type="expression" dxfId="6669" priority="13672">
      <formula>$B1013="Serviço"</formula>
    </cfRule>
    <cfRule type="expression" dxfId="6668" priority="13673">
      <formula>$B1013="Insumo"</formula>
    </cfRule>
    <cfRule type="expression" dxfId="6667" priority="13674">
      <formula>$B1013="Etapa"</formula>
    </cfRule>
    <cfRule type="expression" dxfId="6666" priority="13675">
      <formula>$B1013="Célula Construtiva"</formula>
    </cfRule>
    <cfRule type="expression" dxfId="6665" priority="13676">
      <formula>$B1013="Subetapa"</formula>
    </cfRule>
  </conditionalFormatting>
  <conditionalFormatting sqref="T1013:T1014 T1016:T1017 T1019:T1020 T1022:T1023 T1028:T1029">
    <cfRule type="expression" dxfId="6664" priority="13668" stopIfTrue="1">
      <formula>$B1013="INSUMO"</formula>
    </cfRule>
  </conditionalFormatting>
  <conditionalFormatting sqref="W1013:W1014 W1016:W1017 W1019:W1020 W1022:W1023 W1025 W1028:W1029">
    <cfRule type="containsText" dxfId="6663" priority="13667" stopIfTrue="1" operator="containsText" text="INSERIR">
      <formula>NOT(ISERROR(SEARCH("INSERIR",W1013)))</formula>
    </cfRule>
  </conditionalFormatting>
  <conditionalFormatting sqref="T1032:U1033 T1035:U1036 T1038:U1039 T1041:U1042 T1047:U1048">
    <cfRule type="expression" dxfId="6662" priority="13658" stopIfTrue="1">
      <formula>$B1032="SERVIÇO"</formula>
    </cfRule>
  </conditionalFormatting>
  <conditionalFormatting sqref="V1034 V1037 V1040 A1032:E1043 V1043 A1047:E1049 V1049 AA1034:AC1034 AA1037:AC1037 AA1040:AC1040 AA1043:AC1043 AA1049:AC1049 G1049:S1049 G1047:AC1048 G1043:S1043 G1040:S1040 G1041:AC1042 G1037:S1037 G1038:AC1039 G1034:S1034 G1035:AC1036 G1032:AC1033">
    <cfRule type="expression" dxfId="6661" priority="13660">
      <formula>$B1032="Unidade Construtiva"</formula>
    </cfRule>
    <cfRule type="expression" dxfId="6660" priority="13661">
      <formula>$B1032="Serviço"</formula>
    </cfRule>
    <cfRule type="expression" dxfId="6659" priority="13662">
      <formula>$B1032="Insumo"</formula>
    </cfRule>
    <cfRule type="expression" dxfId="6658" priority="13663">
      <formula>$B1032="Etapa"</formula>
    </cfRule>
    <cfRule type="expression" dxfId="6657" priority="13664">
      <formula>$B1032="Célula Construtiva"</formula>
    </cfRule>
    <cfRule type="expression" dxfId="6656" priority="13665">
      <formula>$B1032="Subetapa"</formula>
    </cfRule>
  </conditionalFormatting>
  <conditionalFormatting sqref="T1032:T1033 T1035:T1036 T1038:T1039 T1041:T1042 T1047:T1048">
    <cfRule type="expression" dxfId="6655" priority="13657" stopIfTrue="1">
      <formula>$B1032="INSUMO"</formula>
    </cfRule>
  </conditionalFormatting>
  <conditionalFormatting sqref="W1032:W1033 W1035:W1036 W1038:W1039 W1041:W1042 W1044 W1047:W1048">
    <cfRule type="containsText" dxfId="6654" priority="13656" stopIfTrue="1" operator="containsText" text="INSERIR">
      <formula>NOT(ISERROR(SEARCH("INSERIR",W1032)))</formula>
    </cfRule>
  </conditionalFormatting>
  <conditionalFormatting sqref="T1051:U1052 T1054:U1055 T1057:U1058 T1060:U1061 T1066:U1067">
    <cfRule type="expression" dxfId="6653" priority="13647" stopIfTrue="1">
      <formula>$B1051="SERVIÇO"</formula>
    </cfRule>
  </conditionalFormatting>
  <conditionalFormatting sqref="V1053 V1056 V1059 A1051:E1062 V1062 A1066:E1068 V1068 AA1053:AC1053 AA1056:AC1056 AA1059:AC1059 AA1062:AC1062 AA1068:AC1068 G1068:S1068 G1066:AC1067 G1062:S1062 G1059:S1059 G1060:AC1061 G1056:S1056 G1057:AC1058 G1053:S1053 G1054:AC1055 G1051:AC1052">
    <cfRule type="expression" dxfId="6652" priority="13649">
      <formula>$B1051="Unidade Construtiva"</formula>
    </cfRule>
    <cfRule type="expression" dxfId="6651" priority="13650">
      <formula>$B1051="Serviço"</formula>
    </cfRule>
    <cfRule type="expression" dxfId="6650" priority="13651">
      <formula>$B1051="Insumo"</formula>
    </cfRule>
    <cfRule type="expression" dxfId="6649" priority="13652">
      <formula>$B1051="Etapa"</formula>
    </cfRule>
    <cfRule type="expression" dxfId="6648" priority="13653">
      <formula>$B1051="Célula Construtiva"</formula>
    </cfRule>
    <cfRule type="expression" dxfId="6647" priority="13654">
      <formula>$B1051="Subetapa"</formula>
    </cfRule>
  </conditionalFormatting>
  <conditionalFormatting sqref="T1051:T1052 T1054:T1055 T1057:T1058 T1060:T1061 T1066:T1067">
    <cfRule type="expression" dxfId="6646" priority="13646" stopIfTrue="1">
      <formula>$B1051="INSUMO"</formula>
    </cfRule>
  </conditionalFormatting>
  <conditionalFormatting sqref="W1051:W1052 W1054:W1055 W1057:W1058 W1060:W1061 W1063 W1066:W1067">
    <cfRule type="containsText" dxfId="6645" priority="13645" stopIfTrue="1" operator="containsText" text="INSERIR">
      <formula>NOT(ISERROR(SEARCH("INSERIR",W1051)))</formula>
    </cfRule>
  </conditionalFormatting>
  <conditionalFormatting sqref="V1106:V1108">
    <cfRule type="expression" dxfId="6644" priority="13626" stopIfTrue="1">
      <formula>$B1106="insumo"</formula>
    </cfRule>
  </conditionalFormatting>
  <conditionalFormatting sqref="T1097:U1097 T1107 T1106:U1106 AA1106:AA1108 T1100:U1100 T1103:U1103 T1098 T1101 T1104">
    <cfRule type="expression" dxfId="6643" priority="13625" stopIfTrue="1">
      <formula>$B1097="SERVIÇO"</formula>
    </cfRule>
  </conditionalFormatting>
  <conditionalFormatting sqref="AE1106:AF1108 V1099:W1099 V1102:W1102 V1105:W1105 V1107:AC1107 AA1099:AC1099 AA1102:AC1102 AA1105:AC1105 V1108 AA1108:AC1108 V1098:AC1098 V1101:AC1101 A1097:E1108 V1104:AC1104 G1104:T1104 G1101:T1101 G1098:T1098 G1105:S1105 G1102:S1102 G1103:AC1103 G1100:AC1100 G1099:S1099 G1106:AC1106 G1107:T1107 G1108:S1108 G1097:AC1097">
    <cfRule type="expression" dxfId="6642" priority="13627">
      <formula>$B1097="Unidade Construtiva"</formula>
    </cfRule>
    <cfRule type="expression" dxfId="6641" priority="13628">
      <formula>$B1097="Serviço"</formula>
    </cfRule>
    <cfRule type="expression" dxfId="6640" priority="13629">
      <formula>$B1097="Insumo"</formula>
    </cfRule>
    <cfRule type="expression" dxfId="6639" priority="13630">
      <formula>$B1097="Etapa"</formula>
    </cfRule>
    <cfRule type="expression" dxfId="6638" priority="13631">
      <formula>$B1097="Célula Construtiva"</formula>
    </cfRule>
    <cfRule type="expression" dxfId="6637" priority="13632">
      <formula>$B1097="Subetapa"</formula>
    </cfRule>
  </conditionalFormatting>
  <conditionalFormatting sqref="T1097:T1098 T1106:T1107 T1100:T1101 T1103:T1104">
    <cfRule type="expression" dxfId="6636" priority="13624" stopIfTrue="1">
      <formula>$B1097="INSUMO"</formula>
    </cfRule>
  </conditionalFormatting>
  <conditionalFormatting sqref="W1106:W1107">
    <cfRule type="containsText" dxfId="6635" priority="13623" stopIfTrue="1" operator="containsText" text="INSERIR">
      <formula>NOT(ISERROR(SEARCH("INSERIR",W1106)))</formula>
    </cfRule>
  </conditionalFormatting>
  <conditionalFormatting sqref="V1119:V1121">
    <cfRule type="expression" dxfId="6634" priority="13615" stopIfTrue="1">
      <formula>$B1119="insumo"</formula>
    </cfRule>
  </conditionalFormatting>
  <conditionalFormatting sqref="T1110:U1110 T1120 T1119:U1119 AA1119:AA1121 T1113:U1113 T1116:U1116 T1111 T1114 T1117">
    <cfRule type="expression" dxfId="6633" priority="13614" stopIfTrue="1">
      <formula>$B1110="SERVIÇO"</formula>
    </cfRule>
  </conditionalFormatting>
  <conditionalFormatting sqref="AE1119:AF1121 V1112:W1112 V1115:W1115 V1118:W1118 V1120:AC1120 AA1112:AC1112 AA1115:AC1115 AA1118:AC1118 V1121 AA1121:AC1121 V1111:AC1111 V1114:AC1114 A1110:E1121 V1117:AC1117 G1117:T1117 G1114:T1114 G1111:T1111 G1118:S1118 G1115:S1115 G1116:AC1116 G1113:AC1113 G1112:S1112 G1119:AC1119 G1120:T1120 G1121:S1121 G1110:AC1110">
    <cfRule type="expression" dxfId="6632" priority="13616">
      <formula>$B1110="Unidade Construtiva"</formula>
    </cfRule>
    <cfRule type="expression" dxfId="6631" priority="13617">
      <formula>$B1110="Serviço"</formula>
    </cfRule>
    <cfRule type="expression" dxfId="6630" priority="13618">
      <formula>$B1110="Insumo"</formula>
    </cfRule>
    <cfRule type="expression" dxfId="6629" priority="13619">
      <formula>$B1110="Etapa"</formula>
    </cfRule>
    <cfRule type="expression" dxfId="6628" priority="13620">
      <formula>$B1110="Célula Construtiva"</formula>
    </cfRule>
    <cfRule type="expression" dxfId="6627" priority="13621">
      <formula>$B1110="Subetapa"</formula>
    </cfRule>
  </conditionalFormatting>
  <conditionalFormatting sqref="T1110:T1111 T1119:T1120 T1113:T1114 T1116:T1117">
    <cfRule type="expression" dxfId="6626" priority="13613" stopIfTrue="1">
      <formula>$B1110="INSUMO"</formula>
    </cfRule>
  </conditionalFormatting>
  <conditionalFormatting sqref="W1119:W1120">
    <cfRule type="containsText" dxfId="6625" priority="13612" stopIfTrue="1" operator="containsText" text="INSERIR">
      <formula>NOT(ISERROR(SEARCH("INSERIR",W1119)))</formula>
    </cfRule>
  </conditionalFormatting>
  <conditionalFormatting sqref="V1123:V1125">
    <cfRule type="expression" dxfId="6624" priority="13604" stopIfTrue="1">
      <formula>$B1123="insumo"</formula>
    </cfRule>
  </conditionalFormatting>
  <conditionalFormatting sqref="AA1123:AA1125 T1123:U1123 T1124">
    <cfRule type="expression" dxfId="6623" priority="13603" stopIfTrue="1">
      <formula>$B1123="SERVIÇO"</formula>
    </cfRule>
  </conditionalFormatting>
  <conditionalFormatting sqref="AE1123:AF1125 V1125 AA1125:AC1125 A1123:E1125 V1124:AC1124 G1124:T1124 G1125:S1125 G1123:AC1123">
    <cfRule type="expression" dxfId="6622" priority="13605">
      <formula>$B1123="Unidade Construtiva"</formula>
    </cfRule>
    <cfRule type="expression" dxfId="6621" priority="13606">
      <formula>$B1123="Serviço"</formula>
    </cfRule>
    <cfRule type="expression" dxfId="6620" priority="13607">
      <formula>$B1123="Insumo"</formula>
    </cfRule>
    <cfRule type="expression" dxfId="6619" priority="13608">
      <formula>$B1123="Etapa"</formula>
    </cfRule>
    <cfRule type="expression" dxfId="6618" priority="13609">
      <formula>$B1123="Célula Construtiva"</formula>
    </cfRule>
    <cfRule type="expression" dxfId="6617" priority="13610">
      <formula>$B1123="Subetapa"</formula>
    </cfRule>
  </conditionalFormatting>
  <conditionalFormatting sqref="T1123:T1124">
    <cfRule type="expression" dxfId="6616" priority="13602" stopIfTrue="1">
      <formula>$B1123="INSUMO"</formula>
    </cfRule>
  </conditionalFormatting>
  <conditionalFormatting sqref="W1123:W1124">
    <cfRule type="containsText" dxfId="6615" priority="13601" stopIfTrue="1" operator="containsText" text="INSERIR">
      <formula>NOT(ISERROR(SEARCH("INSERIR",W1123)))</formula>
    </cfRule>
  </conditionalFormatting>
  <conditionalFormatting sqref="V1126:V1128">
    <cfRule type="expression" dxfId="6614" priority="13593" stopIfTrue="1">
      <formula>$B1126="insumo"</formula>
    </cfRule>
  </conditionalFormatting>
  <conditionalFormatting sqref="AA1126:AA1128 T1126:U1126 T1127">
    <cfRule type="expression" dxfId="6613" priority="13592" stopIfTrue="1">
      <formula>$B1126="SERVIÇO"</formula>
    </cfRule>
  </conditionalFormatting>
  <conditionalFormatting sqref="AE1126:AF1128 V1128 AA1128:AC1128 A1126:E1128 V1127:AC1127 G1127:T1127 G1128:S1128 G1126:AC1126">
    <cfRule type="expression" dxfId="6612" priority="13594">
      <formula>$B1126="Unidade Construtiva"</formula>
    </cfRule>
    <cfRule type="expression" dxfId="6611" priority="13595">
      <formula>$B1126="Serviço"</formula>
    </cfRule>
    <cfRule type="expression" dxfId="6610" priority="13596">
      <formula>$B1126="Insumo"</formula>
    </cfRule>
    <cfRule type="expression" dxfId="6609" priority="13597">
      <formula>$B1126="Etapa"</formula>
    </cfRule>
    <cfRule type="expression" dxfId="6608" priority="13598">
      <formula>$B1126="Célula Construtiva"</formula>
    </cfRule>
    <cfRule type="expression" dxfId="6607" priority="13599">
      <formula>$B1126="Subetapa"</formula>
    </cfRule>
  </conditionalFormatting>
  <conditionalFormatting sqref="T1126:T1127">
    <cfRule type="expression" dxfId="6606" priority="13591" stopIfTrue="1">
      <formula>$B1126="INSUMO"</formula>
    </cfRule>
  </conditionalFormatting>
  <conditionalFormatting sqref="W1126:W1127">
    <cfRule type="containsText" dxfId="6605" priority="13590" stopIfTrue="1" operator="containsText" text="INSERIR">
      <formula>NOT(ISERROR(SEARCH("INSERIR",W1126)))</formula>
    </cfRule>
  </conditionalFormatting>
  <conditionalFormatting sqref="V1129:V1131">
    <cfRule type="expression" dxfId="6604" priority="13582" stopIfTrue="1">
      <formula>$B1129="insumo"</formula>
    </cfRule>
  </conditionalFormatting>
  <conditionalFormatting sqref="AA1129:AA1131 T1129:U1129 T1130">
    <cfRule type="expression" dxfId="6603" priority="13581" stopIfTrue="1">
      <formula>$B1129="SERVIÇO"</formula>
    </cfRule>
  </conditionalFormatting>
  <conditionalFormatting sqref="AE1129:AF1131 V1131 AA1131:AC1131 A1129:E1131 V1130:AC1130 G1130:T1130 G1131:S1131 G1129:AC1129">
    <cfRule type="expression" dxfId="6602" priority="13583">
      <formula>$B1129="Unidade Construtiva"</formula>
    </cfRule>
    <cfRule type="expression" dxfId="6601" priority="13584">
      <formula>$B1129="Serviço"</formula>
    </cfRule>
    <cfRule type="expression" dxfId="6600" priority="13585">
      <formula>$B1129="Insumo"</formula>
    </cfRule>
    <cfRule type="expression" dxfId="6599" priority="13586">
      <formula>$B1129="Etapa"</formula>
    </cfRule>
    <cfRule type="expression" dxfId="6598" priority="13587">
      <formula>$B1129="Célula Construtiva"</formula>
    </cfRule>
    <cfRule type="expression" dxfId="6597" priority="13588">
      <formula>$B1129="Subetapa"</formula>
    </cfRule>
  </conditionalFormatting>
  <conditionalFormatting sqref="T1129:T1130">
    <cfRule type="expression" dxfId="6596" priority="13580" stopIfTrue="1">
      <formula>$B1129="INSUMO"</formula>
    </cfRule>
  </conditionalFormatting>
  <conditionalFormatting sqref="W1129:W1130">
    <cfRule type="containsText" dxfId="6595" priority="13579" stopIfTrue="1" operator="containsText" text="INSERIR">
      <formula>NOT(ISERROR(SEARCH("INSERIR",W1129)))</formula>
    </cfRule>
  </conditionalFormatting>
  <conditionalFormatting sqref="V1132:V1134">
    <cfRule type="expression" dxfId="6594" priority="13571" stopIfTrue="1">
      <formula>$B1132="insumo"</formula>
    </cfRule>
  </conditionalFormatting>
  <conditionalFormatting sqref="AA1132:AA1134 T1132:U1132 T1133">
    <cfRule type="expression" dxfId="6593" priority="13570" stopIfTrue="1">
      <formula>$B1132="SERVIÇO"</formula>
    </cfRule>
  </conditionalFormatting>
  <conditionalFormatting sqref="AE1132:AF1134 A1132:E1134 V1133:AC1133 V1134 AA1134:AC1134 G1133:T1133 G1134:S1134 G1132:AC1132">
    <cfRule type="expression" dxfId="6592" priority="13572">
      <formula>$B1132="Unidade Construtiva"</formula>
    </cfRule>
    <cfRule type="expression" dxfId="6591" priority="13573">
      <formula>$B1132="Serviço"</formula>
    </cfRule>
    <cfRule type="expression" dxfId="6590" priority="13574">
      <formula>$B1132="Insumo"</formula>
    </cfRule>
    <cfRule type="expression" dxfId="6589" priority="13575">
      <formula>$B1132="Etapa"</formula>
    </cfRule>
    <cfRule type="expression" dxfId="6588" priority="13576">
      <formula>$B1132="Célula Construtiva"</formula>
    </cfRule>
    <cfRule type="expression" dxfId="6587" priority="13577">
      <formula>$B1132="Subetapa"</formula>
    </cfRule>
  </conditionalFormatting>
  <conditionalFormatting sqref="T1132:T1133">
    <cfRule type="expression" dxfId="6586" priority="13569" stopIfTrue="1">
      <formula>$B1132="INSUMO"</formula>
    </cfRule>
  </conditionalFormatting>
  <conditionalFormatting sqref="W1132:W1133">
    <cfRule type="containsText" dxfId="6585" priority="13568" stopIfTrue="1" operator="containsText" text="INSERIR">
      <formula>NOT(ISERROR(SEARCH("INSERIR",W1132)))</formula>
    </cfRule>
  </conditionalFormatting>
  <conditionalFormatting sqref="V1137:V1139">
    <cfRule type="expression" dxfId="6584" priority="13527" stopIfTrue="1">
      <formula>$B1137="insumo"</formula>
    </cfRule>
  </conditionalFormatting>
  <conditionalFormatting sqref="AA1137:AA1139 T1137:U1138">
    <cfRule type="expression" dxfId="6583" priority="13526" stopIfTrue="1">
      <formula>$B1137="SERVIÇO"</formula>
    </cfRule>
  </conditionalFormatting>
  <conditionalFormatting sqref="AE1137:AF1139 A1137:E1139 V1139 AA1139:AC1139 G1139:S1139 G1137:AC1138">
    <cfRule type="expression" dxfId="6582" priority="13528">
      <formula>$B1137="Unidade Construtiva"</formula>
    </cfRule>
    <cfRule type="expression" dxfId="6581" priority="13529">
      <formula>$B1137="Serviço"</formula>
    </cfRule>
    <cfRule type="expression" dxfId="6580" priority="13530">
      <formula>$B1137="Insumo"</formula>
    </cfRule>
    <cfRule type="expression" dxfId="6579" priority="13531">
      <formula>$B1137="Etapa"</formula>
    </cfRule>
    <cfRule type="expression" dxfId="6578" priority="13532">
      <formula>$B1137="Célula Construtiva"</formula>
    </cfRule>
    <cfRule type="expression" dxfId="6577" priority="13533">
      <formula>$B1137="Subetapa"</formula>
    </cfRule>
  </conditionalFormatting>
  <conditionalFormatting sqref="T1137:T1138">
    <cfRule type="expression" dxfId="6576" priority="13525" stopIfTrue="1">
      <formula>$B1137="INSUMO"</formula>
    </cfRule>
  </conditionalFormatting>
  <conditionalFormatting sqref="W1137:W1138">
    <cfRule type="containsText" dxfId="6575" priority="13524" stopIfTrue="1" operator="containsText" text="INSERIR">
      <formula>NOT(ISERROR(SEARCH("INSERIR",W1137)))</formula>
    </cfRule>
  </conditionalFormatting>
  <conditionalFormatting sqref="V1141:V1143">
    <cfRule type="expression" dxfId="6574" priority="13494" stopIfTrue="1">
      <formula>$B1141="insumo"</formula>
    </cfRule>
  </conditionalFormatting>
  <conditionalFormatting sqref="AA1141:AA1143 T1141:U1141 T1142">
    <cfRule type="expression" dxfId="6573" priority="13493" stopIfTrue="1">
      <formula>$B1141="SERVIÇO"</formula>
    </cfRule>
  </conditionalFormatting>
  <conditionalFormatting sqref="AE1141:AF1143 V1143 AA1143:AC1143 A1141:E1143 V1142:AC1142 G1142:T1142 G1143:S1143 G1141:AC1141">
    <cfRule type="expression" dxfId="6572" priority="13495">
      <formula>$B1141="Unidade Construtiva"</formula>
    </cfRule>
    <cfRule type="expression" dxfId="6571" priority="13496">
      <formula>$B1141="Serviço"</formula>
    </cfRule>
    <cfRule type="expression" dxfId="6570" priority="13497">
      <formula>$B1141="Insumo"</formula>
    </cfRule>
    <cfRule type="expression" dxfId="6569" priority="13498">
      <formula>$B1141="Etapa"</formula>
    </cfRule>
    <cfRule type="expression" dxfId="6568" priority="13499">
      <formula>$B1141="Célula Construtiva"</formula>
    </cfRule>
    <cfRule type="expression" dxfId="6567" priority="13500">
      <formula>$B1141="Subetapa"</formula>
    </cfRule>
  </conditionalFormatting>
  <conditionalFormatting sqref="T1141:T1142">
    <cfRule type="expression" dxfId="6566" priority="13492" stopIfTrue="1">
      <formula>$B1141="INSUMO"</formula>
    </cfRule>
  </conditionalFormatting>
  <conditionalFormatting sqref="W1141:W1142">
    <cfRule type="containsText" dxfId="6565" priority="13491" stopIfTrue="1" operator="containsText" text="INSERIR">
      <formula>NOT(ISERROR(SEARCH("INSERIR",W1141)))</formula>
    </cfRule>
  </conditionalFormatting>
  <conditionalFormatting sqref="V1145:V1147">
    <cfRule type="expression" dxfId="6564" priority="13461" stopIfTrue="1">
      <formula>$B1145="insumo"</formula>
    </cfRule>
  </conditionalFormatting>
  <conditionalFormatting sqref="AA1145:AA1147 T1145:U1145 T1146">
    <cfRule type="expression" dxfId="6563" priority="13460" stopIfTrue="1">
      <formula>$B1145="SERVIÇO"</formula>
    </cfRule>
  </conditionalFormatting>
  <conditionalFormatting sqref="AE1145:AF1147 V1147 AA1147:AC1147 A1145:E1147 V1146:AC1146 G1146:T1146 G1147:S1147 G1145:AC1145">
    <cfRule type="expression" dxfId="6562" priority="13462">
      <formula>$B1145="Unidade Construtiva"</formula>
    </cfRule>
    <cfRule type="expression" dxfId="6561" priority="13463">
      <formula>$B1145="Serviço"</formula>
    </cfRule>
    <cfRule type="expression" dxfId="6560" priority="13464">
      <formula>$B1145="Insumo"</formula>
    </cfRule>
    <cfRule type="expression" dxfId="6559" priority="13465">
      <formula>$B1145="Etapa"</formula>
    </cfRule>
    <cfRule type="expression" dxfId="6558" priority="13466">
      <formula>$B1145="Célula Construtiva"</formula>
    </cfRule>
    <cfRule type="expression" dxfId="6557" priority="13467">
      <formula>$B1145="Subetapa"</formula>
    </cfRule>
  </conditionalFormatting>
  <conditionalFormatting sqref="T1145:T1146">
    <cfRule type="expression" dxfId="6556" priority="13459" stopIfTrue="1">
      <formula>$B1145="INSUMO"</formula>
    </cfRule>
  </conditionalFormatting>
  <conditionalFormatting sqref="W1145:W1146">
    <cfRule type="containsText" dxfId="6555" priority="13458" stopIfTrue="1" operator="containsText" text="INSERIR">
      <formula>NOT(ISERROR(SEARCH("INSERIR",W1145)))</formula>
    </cfRule>
  </conditionalFormatting>
  <conditionalFormatting sqref="V1149:V1151">
    <cfRule type="expression" dxfId="6554" priority="13428" stopIfTrue="1">
      <formula>$B1149="insumo"</formula>
    </cfRule>
  </conditionalFormatting>
  <conditionalFormatting sqref="AA1149:AA1151 T1149:U1149 T1150">
    <cfRule type="expression" dxfId="6553" priority="13427" stopIfTrue="1">
      <formula>$B1149="SERVIÇO"</formula>
    </cfRule>
  </conditionalFormatting>
  <conditionalFormatting sqref="AE1149:AF1151 V1151 AA1151:AC1151 A1149:E1151 V1150:AC1150 G1150:T1150 G1151:S1151 G1149:AC1149">
    <cfRule type="expression" dxfId="6552" priority="13429">
      <formula>$B1149="Unidade Construtiva"</formula>
    </cfRule>
    <cfRule type="expression" dxfId="6551" priority="13430">
      <formula>$B1149="Serviço"</formula>
    </cfRule>
    <cfRule type="expression" dxfId="6550" priority="13431">
      <formula>$B1149="Insumo"</formula>
    </cfRule>
    <cfRule type="expression" dxfId="6549" priority="13432">
      <formula>$B1149="Etapa"</formula>
    </cfRule>
    <cfRule type="expression" dxfId="6548" priority="13433">
      <formula>$B1149="Célula Construtiva"</formula>
    </cfRule>
    <cfRule type="expression" dxfId="6547" priority="13434">
      <formula>$B1149="Subetapa"</formula>
    </cfRule>
  </conditionalFormatting>
  <conditionalFormatting sqref="T1149:T1150">
    <cfRule type="expression" dxfId="6546" priority="13426" stopIfTrue="1">
      <formula>$B1149="INSUMO"</formula>
    </cfRule>
  </conditionalFormatting>
  <conditionalFormatting sqref="W1149:W1150">
    <cfRule type="containsText" dxfId="6545" priority="13425" stopIfTrue="1" operator="containsText" text="INSERIR">
      <formula>NOT(ISERROR(SEARCH("INSERIR",W1149)))</formula>
    </cfRule>
  </conditionalFormatting>
  <conditionalFormatting sqref="T1153:U1153 T1154">
    <cfRule type="expression" dxfId="6544" priority="13405" stopIfTrue="1">
      <formula>$B1153="SERVIÇO"</formula>
    </cfRule>
  </conditionalFormatting>
  <conditionalFormatting sqref="V1155 AA1155:AC1155 A1153:E1155 V1154:AC1154 G1154:T1154 G1155:S1155 G1153:AC1153">
    <cfRule type="expression" dxfId="6543" priority="13407">
      <formula>$B1153="Unidade Construtiva"</formula>
    </cfRule>
    <cfRule type="expression" dxfId="6542" priority="13408">
      <formula>$B1153="Serviço"</formula>
    </cfRule>
    <cfRule type="expression" dxfId="6541" priority="13409">
      <formula>$B1153="Insumo"</formula>
    </cfRule>
    <cfRule type="expression" dxfId="6540" priority="13410">
      <formula>$B1153="Etapa"</formula>
    </cfRule>
    <cfRule type="expression" dxfId="6539" priority="13411">
      <formula>$B1153="Célula Construtiva"</formula>
    </cfRule>
    <cfRule type="expression" dxfId="6538" priority="13412">
      <formula>$B1153="Subetapa"</formula>
    </cfRule>
  </conditionalFormatting>
  <conditionalFormatting sqref="T1153:T1154">
    <cfRule type="expression" dxfId="6537" priority="13404" stopIfTrue="1">
      <formula>$B1153="INSUMO"</formula>
    </cfRule>
  </conditionalFormatting>
  <conditionalFormatting sqref="W1153:W1154">
    <cfRule type="containsText" dxfId="6536" priority="13403" stopIfTrue="1" operator="containsText" text="INSERIR">
      <formula>NOT(ISERROR(SEARCH("INSERIR",W1153)))</formula>
    </cfRule>
  </conditionalFormatting>
  <conditionalFormatting sqref="T1157:U1158">
    <cfRule type="expression" dxfId="6535" priority="13394" stopIfTrue="1">
      <formula>$B1157="SERVIÇO"</formula>
    </cfRule>
  </conditionalFormatting>
  <conditionalFormatting sqref="A1157:E1158 G1157:AC1158">
    <cfRule type="expression" dxfId="6534" priority="13396">
      <formula>$B1157="Unidade Construtiva"</formula>
    </cfRule>
    <cfRule type="expression" dxfId="6533" priority="13397">
      <formula>$B1157="Serviço"</formula>
    </cfRule>
    <cfRule type="expression" dxfId="6532" priority="13398">
      <formula>$B1157="Insumo"</formula>
    </cfRule>
    <cfRule type="expression" dxfId="6531" priority="13399">
      <formula>$B1157="Etapa"</formula>
    </cfRule>
    <cfRule type="expression" dxfId="6530" priority="13400">
      <formula>$B1157="Célula Construtiva"</formula>
    </cfRule>
    <cfRule type="expression" dxfId="6529" priority="13401">
      <formula>$B1157="Subetapa"</formula>
    </cfRule>
  </conditionalFormatting>
  <conditionalFormatting sqref="T1157:T1158">
    <cfRule type="expression" dxfId="6528" priority="13393" stopIfTrue="1">
      <formula>$B1157="INSUMO"</formula>
    </cfRule>
  </conditionalFormatting>
  <conditionalFormatting sqref="W1157:W1158">
    <cfRule type="containsText" dxfId="6527" priority="13392" stopIfTrue="1" operator="containsText" text="INSERIR">
      <formula>NOT(ISERROR(SEARCH("INSERIR",W1157)))</formula>
    </cfRule>
  </conditionalFormatting>
  <conditionalFormatting sqref="T448">
    <cfRule type="expression" dxfId="6526" priority="13317" stopIfTrue="1">
      <formula>$B448="SERVIÇO"</formula>
    </cfRule>
  </conditionalFormatting>
  <conditionalFormatting sqref="A448:E451 V448:AC448 V449:V451 AA449:AC451 G449:S451 G448:T448">
    <cfRule type="expression" dxfId="6525" priority="13319">
      <formula>$B448="Unidade Construtiva"</formula>
    </cfRule>
    <cfRule type="expression" dxfId="6524" priority="13320">
      <formula>$B448="Serviço"</formula>
    </cfRule>
    <cfRule type="expression" dxfId="6523" priority="13321">
      <formula>$B448="Insumo"</formula>
    </cfRule>
    <cfRule type="expression" dxfId="6522" priority="13322">
      <formula>$B448="Etapa"</formula>
    </cfRule>
    <cfRule type="expression" dxfId="6521" priority="13323">
      <formula>$B448="Célula Construtiva"</formula>
    </cfRule>
    <cfRule type="expression" dxfId="6520" priority="13324">
      <formula>$B448="Subetapa"</formula>
    </cfRule>
  </conditionalFormatting>
  <conditionalFormatting sqref="T448">
    <cfRule type="expression" dxfId="6519" priority="13316" stopIfTrue="1">
      <formula>$B448="INSUMO"</formula>
    </cfRule>
  </conditionalFormatting>
  <conditionalFormatting sqref="W448">
    <cfRule type="containsText" dxfId="6518" priority="13315" stopIfTrue="1" operator="containsText" text="INSERIR">
      <formula>NOT(ISERROR(SEARCH("INSERIR",W448)))</formula>
    </cfRule>
  </conditionalFormatting>
  <conditionalFormatting sqref="U448">
    <cfRule type="expression" dxfId="6517" priority="13308" stopIfTrue="1">
      <formula>$B448="SERVIÇO"</formula>
    </cfRule>
  </conditionalFormatting>
  <conditionalFormatting sqref="U448">
    <cfRule type="expression" dxfId="6516" priority="13309">
      <formula>$B448="Unidade Construtiva"</formula>
    </cfRule>
    <cfRule type="expression" dxfId="6515" priority="13310">
      <formula>$B448="Serviço"</formula>
    </cfRule>
    <cfRule type="expression" dxfId="6514" priority="13311">
      <formula>$B448="Insumo"</formula>
    </cfRule>
    <cfRule type="expression" dxfId="6513" priority="13312">
      <formula>$B448="Etapa"</formula>
    </cfRule>
    <cfRule type="expression" dxfId="6512" priority="13313">
      <formula>$B448="Célula Construtiva"</formula>
    </cfRule>
    <cfRule type="expression" dxfId="6511" priority="13314">
      <formula>$B448="Subetapa"</formula>
    </cfRule>
  </conditionalFormatting>
  <conditionalFormatting sqref="V349 V351:V353 V355:V357 V359:V360">
    <cfRule type="expression" dxfId="6510" priority="13300" stopIfTrue="1">
      <formula>$B349="insumo"</formula>
    </cfRule>
  </conditionalFormatting>
  <conditionalFormatting sqref="AA349:AA360 T349:U349 T353:U353 T357:U357">
    <cfRule type="expression" dxfId="6509" priority="13299" stopIfTrue="1">
      <formula>$B349="SERVIÇO"</formula>
    </cfRule>
  </conditionalFormatting>
  <conditionalFormatting sqref="AE349:AF360 V351:V352 V355:V356 A349:E360 V359:V360 AA350:AC352 AA354:AC356 AA358:AC360 G358:S360 G354:S356 G357:AC357 G350:S352 G353:AC353 G349:AC349">
    <cfRule type="expression" dxfId="6508" priority="13301">
      <formula>$B349="Unidade Construtiva"</formula>
    </cfRule>
    <cfRule type="expression" dxfId="6507" priority="13302">
      <formula>$B349="Serviço"</formula>
    </cfRule>
    <cfRule type="expression" dxfId="6506" priority="13303">
      <formula>$B349="Insumo"</formula>
    </cfRule>
    <cfRule type="expression" dxfId="6505" priority="13304">
      <formula>$B349="Etapa"</formula>
    </cfRule>
    <cfRule type="expression" dxfId="6504" priority="13305">
      <formula>$B349="Célula Construtiva"</formula>
    </cfRule>
    <cfRule type="expression" dxfId="6503" priority="13306">
      <formula>$B349="Subetapa"</formula>
    </cfRule>
  </conditionalFormatting>
  <conditionalFormatting sqref="T349 T353 T357">
    <cfRule type="expression" dxfId="6502" priority="13298" stopIfTrue="1">
      <formula>$B349="INSUMO"</formula>
    </cfRule>
  </conditionalFormatting>
  <conditionalFormatting sqref="W349 W353 W357">
    <cfRule type="containsText" dxfId="6501" priority="13297" stopIfTrue="1" operator="containsText" text="INSERIR">
      <formula>NOT(ISERROR(SEARCH("INSERIR",W349)))</formula>
    </cfRule>
  </conditionalFormatting>
  <conditionalFormatting sqref="T539">
    <cfRule type="expression" dxfId="6500" priority="13216" stopIfTrue="1">
      <formula>$B539="SERVIÇO"</formula>
    </cfRule>
  </conditionalFormatting>
  <conditionalFormatting sqref="A539:E542 V539:AC539 V540:V542 AA540:AC542 G540:S542 G539:T539">
    <cfRule type="expression" dxfId="6499" priority="13218">
      <formula>$B539="Unidade Construtiva"</formula>
    </cfRule>
    <cfRule type="expression" dxfId="6498" priority="13219">
      <formula>$B539="Serviço"</formula>
    </cfRule>
    <cfRule type="expression" dxfId="6497" priority="13220">
      <formula>$B539="Insumo"</formula>
    </cfRule>
    <cfRule type="expression" dxfId="6496" priority="13221">
      <formula>$B539="Etapa"</formula>
    </cfRule>
    <cfRule type="expression" dxfId="6495" priority="13222">
      <formula>$B539="Célula Construtiva"</formula>
    </cfRule>
    <cfRule type="expression" dxfId="6494" priority="13223">
      <formula>$B539="Subetapa"</formula>
    </cfRule>
  </conditionalFormatting>
  <conditionalFormatting sqref="T539">
    <cfRule type="expression" dxfId="6493" priority="13215" stopIfTrue="1">
      <formula>$B539="INSUMO"</formula>
    </cfRule>
  </conditionalFormatting>
  <conditionalFormatting sqref="W539">
    <cfRule type="containsText" dxfId="6492" priority="13214" stopIfTrue="1" operator="containsText" text="INSERIR">
      <formula>NOT(ISERROR(SEARCH("INSERIR",W539)))</formula>
    </cfRule>
  </conditionalFormatting>
  <conditionalFormatting sqref="U539">
    <cfRule type="expression" dxfId="6491" priority="13207" stopIfTrue="1">
      <formula>$B539="SERVIÇO"</formula>
    </cfRule>
  </conditionalFormatting>
  <conditionalFormatting sqref="U539">
    <cfRule type="expression" dxfId="6490" priority="13208">
      <formula>$B539="Unidade Construtiva"</formula>
    </cfRule>
    <cfRule type="expression" dxfId="6489" priority="13209">
      <formula>$B539="Serviço"</formula>
    </cfRule>
    <cfRule type="expression" dxfId="6488" priority="13210">
      <formula>$B539="Insumo"</formula>
    </cfRule>
    <cfRule type="expression" dxfId="6487" priority="13211">
      <formula>$B539="Etapa"</formula>
    </cfRule>
    <cfRule type="expression" dxfId="6486" priority="13212">
      <formula>$B539="Célula Construtiva"</formula>
    </cfRule>
    <cfRule type="expression" dxfId="6485" priority="13213">
      <formula>$B539="Subetapa"</formula>
    </cfRule>
  </conditionalFormatting>
  <conditionalFormatting sqref="U266">
    <cfRule type="expression" dxfId="6484" priority="13164" stopIfTrue="1">
      <formula>$B266="SERVIÇO"</formula>
    </cfRule>
  </conditionalFormatting>
  <conditionalFormatting sqref="U266">
    <cfRule type="expression" dxfId="6483" priority="13165">
      <formula>$B266="Unidade Construtiva"</formula>
    </cfRule>
    <cfRule type="expression" dxfId="6482" priority="13166">
      <formula>$B266="Serviço"</formula>
    </cfRule>
    <cfRule type="expression" dxfId="6481" priority="13167">
      <formula>$B266="Insumo"</formula>
    </cfRule>
    <cfRule type="expression" dxfId="6480" priority="13168">
      <formula>$B266="Etapa"</formula>
    </cfRule>
    <cfRule type="expression" dxfId="6479" priority="13169">
      <formula>$B266="Célula Construtiva"</formula>
    </cfRule>
    <cfRule type="expression" dxfId="6478" priority="13170">
      <formula>$B266="Subetapa"</formula>
    </cfRule>
  </conditionalFormatting>
  <conditionalFormatting sqref="V474:V477 V486:V489">
    <cfRule type="expression" dxfId="6477" priority="13149" stopIfTrue="1">
      <formula>$B474="insumo"</formula>
    </cfRule>
  </conditionalFormatting>
  <conditionalFormatting sqref="T474 T477 T481 T486">
    <cfRule type="expression" dxfId="6476" priority="13148" stopIfTrue="1">
      <formula>$B474="SERVIÇO"</formula>
    </cfRule>
  </conditionalFormatting>
  <conditionalFormatting sqref="A474:E489 V474:AC474 V477:AC477 V475:V476 AA475:AC476 V481:AC481 AA478:AC480 V482:V485 AA482:AC485 V486:AC486 V487:V489 AA487:AC489 G486:T486 G482:S485 G478:S480 G481:T481 G475:S476 G477:T477 G474:T474 G487:S489">
    <cfRule type="expression" dxfId="6475" priority="13150">
      <formula>$B474="Unidade Construtiva"</formula>
    </cfRule>
    <cfRule type="expression" dxfId="6474" priority="13151">
      <formula>$B474="Serviço"</formula>
    </cfRule>
    <cfRule type="expression" dxfId="6473" priority="13152">
      <formula>$B474="Insumo"</formula>
    </cfRule>
    <cfRule type="expression" dxfId="6472" priority="13153">
      <formula>$B474="Etapa"</formula>
    </cfRule>
    <cfRule type="expression" dxfId="6471" priority="13154">
      <formula>$B474="Célula Construtiva"</formula>
    </cfRule>
    <cfRule type="expression" dxfId="6470" priority="13155">
      <formula>$B474="Subetapa"</formula>
    </cfRule>
  </conditionalFormatting>
  <conditionalFormatting sqref="T474 T477 T481 T486">
    <cfRule type="expression" dxfId="6469" priority="13147" stopIfTrue="1">
      <formula>$B474="INSUMO"</formula>
    </cfRule>
  </conditionalFormatting>
  <conditionalFormatting sqref="W474 W477 W481 W486">
    <cfRule type="containsText" dxfId="6468" priority="13146" stopIfTrue="1" operator="containsText" text="INSERIR">
      <formula>NOT(ISERROR(SEARCH("INSERIR",W474)))</formula>
    </cfRule>
  </conditionalFormatting>
  <conditionalFormatting sqref="U486 U474 U477 U481">
    <cfRule type="expression" dxfId="6467" priority="13128" stopIfTrue="1">
      <formula>$B474="SERVIÇO"</formula>
    </cfRule>
  </conditionalFormatting>
  <conditionalFormatting sqref="U486 U474 U477 U481">
    <cfRule type="expression" dxfId="6466" priority="13129">
      <formula>$B474="Unidade Construtiva"</formula>
    </cfRule>
    <cfRule type="expression" dxfId="6465" priority="13130">
      <formula>$B474="Serviço"</formula>
    </cfRule>
    <cfRule type="expression" dxfId="6464" priority="13131">
      <formula>$B474="Insumo"</formula>
    </cfRule>
    <cfRule type="expression" dxfId="6463" priority="13132">
      <formula>$B474="Etapa"</formula>
    </cfRule>
    <cfRule type="expression" dxfId="6462" priority="13133">
      <formula>$B474="Célula Construtiva"</formula>
    </cfRule>
    <cfRule type="expression" dxfId="6461" priority="13134">
      <formula>$B474="Subetapa"</formula>
    </cfRule>
  </conditionalFormatting>
  <conditionalFormatting sqref="V471">
    <cfRule type="expression" dxfId="6460" priority="13059" stopIfTrue="1">
      <formula>$B471="insumo"</formula>
    </cfRule>
  </conditionalFormatting>
  <conditionalFormatting sqref="AA471 T471">
    <cfRule type="expression" dxfId="6459" priority="13058" stopIfTrue="1">
      <formula>$B471="SERVIÇO"</formula>
    </cfRule>
  </conditionalFormatting>
  <conditionalFormatting sqref="AE471:AF471 A471:E471 V471:AC471 G471:T471">
    <cfRule type="expression" dxfId="6458" priority="13060">
      <formula>$B471="Unidade Construtiva"</formula>
    </cfRule>
    <cfRule type="expression" dxfId="6457" priority="13061">
      <formula>$B471="Serviço"</formula>
    </cfRule>
    <cfRule type="expression" dxfId="6456" priority="13062">
      <formula>$B471="Insumo"</formula>
    </cfRule>
    <cfRule type="expression" dxfId="6455" priority="13063">
      <formula>$B471="Etapa"</formula>
    </cfRule>
    <cfRule type="expression" dxfId="6454" priority="13064">
      <formula>$B471="Célula Construtiva"</formula>
    </cfRule>
    <cfRule type="expression" dxfId="6453" priority="13065">
      <formula>$B471="Subetapa"</formula>
    </cfRule>
  </conditionalFormatting>
  <conditionalFormatting sqref="T471">
    <cfRule type="expression" dxfId="6452" priority="13057" stopIfTrue="1">
      <formula>$B471="INSUMO"</formula>
    </cfRule>
  </conditionalFormatting>
  <conditionalFormatting sqref="W471">
    <cfRule type="containsText" dxfId="6451" priority="13056" stopIfTrue="1" operator="containsText" text="INSERIR">
      <formula>NOT(ISERROR(SEARCH("INSERIR",W471)))</formula>
    </cfRule>
  </conditionalFormatting>
  <conditionalFormatting sqref="U471">
    <cfRule type="expression" dxfId="6450" priority="13049" stopIfTrue="1">
      <formula>$B471="SERVIÇO"</formula>
    </cfRule>
  </conditionalFormatting>
  <conditionalFormatting sqref="U471">
    <cfRule type="expression" dxfId="6449" priority="13050">
      <formula>$B471="Unidade Construtiva"</formula>
    </cfRule>
    <cfRule type="expression" dxfId="6448" priority="13051">
      <formula>$B471="Serviço"</formula>
    </cfRule>
    <cfRule type="expression" dxfId="6447" priority="13052">
      <formula>$B471="Insumo"</formula>
    </cfRule>
    <cfRule type="expression" dxfId="6446" priority="13053">
      <formula>$B471="Etapa"</formula>
    </cfRule>
    <cfRule type="expression" dxfId="6445" priority="13054">
      <formula>$B471="Célula Construtiva"</formula>
    </cfRule>
    <cfRule type="expression" dxfId="6444" priority="13055">
      <formula>$B471="Subetapa"</formula>
    </cfRule>
  </conditionalFormatting>
  <conditionalFormatting sqref="V472">
    <cfRule type="expression" dxfId="6443" priority="13041" stopIfTrue="1">
      <formula>$B472="insumo"</formula>
    </cfRule>
  </conditionalFormatting>
  <conditionalFormatting sqref="AA472:AA473">
    <cfRule type="expression" dxfId="6442" priority="13040" stopIfTrue="1">
      <formula>$B472="SERVIÇO"</formula>
    </cfRule>
  </conditionalFormatting>
  <conditionalFormatting sqref="AE472:AF473 A472:E473 V472 AA472:AC473 G472:S473">
    <cfRule type="expression" dxfId="6441" priority="13042">
      <formula>$B472="Unidade Construtiva"</formula>
    </cfRule>
    <cfRule type="expression" dxfId="6440" priority="13043">
      <formula>$B472="Serviço"</formula>
    </cfRule>
    <cfRule type="expression" dxfId="6439" priority="13044">
      <formula>$B472="Insumo"</formula>
    </cfRule>
    <cfRule type="expression" dxfId="6438" priority="13045">
      <formula>$B472="Etapa"</formula>
    </cfRule>
    <cfRule type="expression" dxfId="6437" priority="13046">
      <formula>$B472="Célula Construtiva"</formula>
    </cfRule>
    <cfRule type="expression" dxfId="6436" priority="13047">
      <formula>$B472="Subetapa"</formula>
    </cfRule>
  </conditionalFormatting>
  <conditionalFormatting sqref="V491:V494">
    <cfRule type="expression" dxfId="6435" priority="13012" stopIfTrue="1">
      <formula>$B491="insumo"</formula>
    </cfRule>
  </conditionalFormatting>
  <conditionalFormatting sqref="AA491:AA494 T491:U491">
    <cfRule type="expression" dxfId="6434" priority="13011" stopIfTrue="1">
      <formula>$B491="SERVIÇO"</formula>
    </cfRule>
  </conditionalFormatting>
  <conditionalFormatting sqref="AE491:AF494 V492:V494 AA492:AC494 A491:E494 G494:R494 G492:S493 G491:AC491">
    <cfRule type="expression" dxfId="6433" priority="13013">
      <formula>$B491="Unidade Construtiva"</formula>
    </cfRule>
    <cfRule type="expression" dxfId="6432" priority="13014">
      <formula>$B491="Serviço"</formula>
    </cfRule>
    <cfRule type="expression" dxfId="6431" priority="13015">
      <formula>$B491="Insumo"</formula>
    </cfRule>
    <cfRule type="expression" dxfId="6430" priority="13016">
      <formula>$B491="Etapa"</formula>
    </cfRule>
    <cfRule type="expression" dxfId="6429" priority="13017">
      <formula>$B491="Célula Construtiva"</formula>
    </cfRule>
    <cfRule type="expression" dxfId="6428" priority="13018">
      <formula>$B491="Subetapa"</formula>
    </cfRule>
  </conditionalFormatting>
  <conditionalFormatting sqref="T491">
    <cfRule type="expression" dxfId="6427" priority="13010" stopIfTrue="1">
      <formula>$B491="INSUMO"</formula>
    </cfRule>
  </conditionalFormatting>
  <conditionalFormatting sqref="W491">
    <cfRule type="containsText" dxfId="6426" priority="13009" stopIfTrue="1" operator="containsText" text="INSERIR">
      <formula>NOT(ISERROR(SEARCH("INSERIR",W491)))</formula>
    </cfRule>
  </conditionalFormatting>
  <conditionalFormatting sqref="V361">
    <cfRule type="expression" dxfId="6425" priority="12999" stopIfTrue="1">
      <formula>$B361="insumo"</formula>
    </cfRule>
  </conditionalFormatting>
  <conditionalFormatting sqref="AA361 T361:U361">
    <cfRule type="expression" dxfId="6424" priority="12998" stopIfTrue="1">
      <formula>$B361="SERVIÇO"</formula>
    </cfRule>
  </conditionalFormatting>
  <conditionalFormatting sqref="AE361:AF361 A361:E361 G361:AC361">
    <cfRule type="expression" dxfId="6423" priority="13000">
      <formula>$B361="Unidade Construtiva"</formula>
    </cfRule>
    <cfRule type="expression" dxfId="6422" priority="13001">
      <formula>$B361="Serviço"</formula>
    </cfRule>
    <cfRule type="expression" dxfId="6421" priority="13002">
      <formula>$B361="Insumo"</formula>
    </cfRule>
    <cfRule type="expression" dxfId="6420" priority="13003">
      <formula>$B361="Etapa"</formula>
    </cfRule>
    <cfRule type="expression" dxfId="6419" priority="13004">
      <formula>$B361="Célula Construtiva"</formula>
    </cfRule>
    <cfRule type="expression" dxfId="6418" priority="13005">
      <formula>$B361="Subetapa"</formula>
    </cfRule>
  </conditionalFormatting>
  <conditionalFormatting sqref="T361">
    <cfRule type="expression" dxfId="6417" priority="12997" stopIfTrue="1">
      <formula>$B361="INSUMO"</formula>
    </cfRule>
  </conditionalFormatting>
  <conditionalFormatting sqref="W361">
    <cfRule type="containsText" dxfId="6416" priority="12996" stopIfTrue="1" operator="containsText" text="INSERIR">
      <formula>NOT(ISERROR(SEARCH("INSERIR",W361)))</formula>
    </cfRule>
  </conditionalFormatting>
  <conditionalFormatting sqref="T383 T386 T390 T395">
    <cfRule type="expression" dxfId="6415" priority="12987" stopIfTrue="1">
      <formula>$B383="SERVIÇO"</formula>
    </cfRule>
  </conditionalFormatting>
  <conditionalFormatting sqref="V396:W398 A383:E392 AA396:AC398 A394:E398 G394:S394 G391:S392 G395:T395 G387:S389 G390:T390 G384:S385 G386:T386 G383:T383 G396:S398">
    <cfRule type="expression" dxfId="6414" priority="12989">
      <formula>$B383="Unidade Construtiva"</formula>
    </cfRule>
    <cfRule type="expression" dxfId="6413" priority="12990">
      <formula>$B383="Serviço"</formula>
    </cfRule>
    <cfRule type="expression" dxfId="6412" priority="12991">
      <formula>$B383="Insumo"</formula>
    </cfRule>
    <cfRule type="expression" dxfId="6411" priority="12992">
      <formula>$B383="Etapa"</formula>
    </cfRule>
    <cfRule type="expression" dxfId="6410" priority="12993">
      <formula>$B383="Célula Construtiva"</formula>
    </cfRule>
    <cfRule type="expression" dxfId="6409" priority="12994">
      <formula>$B383="Subetapa"</formula>
    </cfRule>
  </conditionalFormatting>
  <conditionalFormatting sqref="T383 T386 T390 T395">
    <cfRule type="expression" dxfId="6408" priority="12986" stopIfTrue="1">
      <formula>$B383="INSUMO"</formula>
    </cfRule>
  </conditionalFormatting>
  <conditionalFormatting sqref="U395">
    <cfRule type="expression" dxfId="6407" priority="12967" stopIfTrue="1">
      <formula>$B395="SERVIÇO"</formula>
    </cfRule>
  </conditionalFormatting>
  <conditionalFormatting sqref="U395">
    <cfRule type="expression" dxfId="6406" priority="12968">
      <formula>$B395="Unidade Construtiva"</formula>
    </cfRule>
    <cfRule type="expression" dxfId="6405" priority="12969">
      <formula>$B395="Serviço"</formula>
    </cfRule>
    <cfRule type="expression" dxfId="6404" priority="12970">
      <formula>$B395="Insumo"</formula>
    </cfRule>
    <cfRule type="expression" dxfId="6403" priority="12971">
      <formula>$B395="Etapa"</formula>
    </cfRule>
    <cfRule type="expression" dxfId="6402" priority="12972">
      <formula>$B395="Célula Construtiva"</formula>
    </cfRule>
    <cfRule type="expression" dxfId="6401" priority="12973">
      <formula>$B395="Subetapa"</formula>
    </cfRule>
  </conditionalFormatting>
  <conditionalFormatting sqref="V380">
    <cfRule type="expression" dxfId="6400" priority="12900" stopIfTrue="1">
      <formula>$B380="insumo"</formula>
    </cfRule>
  </conditionalFormatting>
  <conditionalFormatting sqref="AA380 T380">
    <cfRule type="expression" dxfId="6399" priority="12899" stopIfTrue="1">
      <formula>$B380="SERVIÇO"</formula>
    </cfRule>
  </conditionalFormatting>
  <conditionalFormatting sqref="AE380:AF380 A380:E380 V380:AC380 G380:T380">
    <cfRule type="expression" dxfId="6398" priority="12901">
      <formula>$B380="Unidade Construtiva"</formula>
    </cfRule>
    <cfRule type="expression" dxfId="6397" priority="12902">
      <formula>$B380="Serviço"</formula>
    </cfRule>
    <cfRule type="expression" dxfId="6396" priority="12903">
      <formula>$B380="Insumo"</formula>
    </cfRule>
    <cfRule type="expression" dxfId="6395" priority="12904">
      <formula>$B380="Etapa"</formula>
    </cfRule>
    <cfRule type="expression" dxfId="6394" priority="12905">
      <formula>$B380="Célula Construtiva"</formula>
    </cfRule>
    <cfRule type="expression" dxfId="6393" priority="12906">
      <formula>$B380="Subetapa"</formula>
    </cfRule>
  </conditionalFormatting>
  <conditionalFormatting sqref="T380">
    <cfRule type="expression" dxfId="6392" priority="12898" stopIfTrue="1">
      <formula>$B380="INSUMO"</formula>
    </cfRule>
  </conditionalFormatting>
  <conditionalFormatting sqref="W380">
    <cfRule type="containsText" dxfId="6391" priority="12897" stopIfTrue="1" operator="containsText" text="INSERIR">
      <formula>NOT(ISERROR(SEARCH("INSERIR",W380)))</formula>
    </cfRule>
  </conditionalFormatting>
  <conditionalFormatting sqref="U380">
    <cfRule type="expression" dxfId="6390" priority="12890" stopIfTrue="1">
      <formula>$B380="SERVIÇO"</formula>
    </cfRule>
  </conditionalFormatting>
  <conditionalFormatting sqref="U380">
    <cfRule type="expression" dxfId="6389" priority="12891">
      <formula>$B380="Unidade Construtiva"</formula>
    </cfRule>
    <cfRule type="expression" dxfId="6388" priority="12892">
      <formula>$B380="Serviço"</formula>
    </cfRule>
    <cfRule type="expression" dxfId="6387" priority="12893">
      <formula>$B380="Insumo"</formula>
    </cfRule>
    <cfRule type="expression" dxfId="6386" priority="12894">
      <formula>$B380="Etapa"</formula>
    </cfRule>
    <cfRule type="expression" dxfId="6385" priority="12895">
      <formula>$B380="Célula Construtiva"</formula>
    </cfRule>
    <cfRule type="expression" dxfId="6384" priority="12896">
      <formula>$B380="Subetapa"</formula>
    </cfRule>
  </conditionalFormatting>
  <conditionalFormatting sqref="V381:V382">
    <cfRule type="expression" dxfId="6383" priority="12882" stopIfTrue="1">
      <formula>$B381="insumo"</formula>
    </cfRule>
  </conditionalFormatting>
  <conditionalFormatting sqref="AA381:AA382">
    <cfRule type="expression" dxfId="6382" priority="12881" stopIfTrue="1">
      <formula>$B381="SERVIÇO"</formula>
    </cfRule>
  </conditionalFormatting>
  <conditionalFormatting sqref="AE381:AF382 A381:E382 V381:V382 AA381:AC382 G381:S382">
    <cfRule type="expression" dxfId="6381" priority="12883">
      <formula>$B381="Unidade Construtiva"</formula>
    </cfRule>
    <cfRule type="expression" dxfId="6380" priority="12884">
      <formula>$B381="Serviço"</formula>
    </cfRule>
    <cfRule type="expression" dxfId="6379" priority="12885">
      <formula>$B381="Insumo"</formula>
    </cfRule>
    <cfRule type="expression" dxfId="6378" priority="12886">
      <formula>$B381="Etapa"</formula>
    </cfRule>
    <cfRule type="expression" dxfId="6377" priority="12887">
      <formula>$B381="Célula Construtiva"</formula>
    </cfRule>
    <cfRule type="expression" dxfId="6376" priority="12888">
      <formula>$B381="Subetapa"</formula>
    </cfRule>
  </conditionalFormatting>
  <conditionalFormatting sqref="V619 V654">
    <cfRule type="expression" dxfId="6375" priority="12122" stopIfTrue="1">
      <formula>$B619="insumo"</formula>
    </cfRule>
  </conditionalFormatting>
  <conditionalFormatting sqref="AA619 T619:U619 T654:U654 AA654">
    <cfRule type="expression" dxfId="6374" priority="12121" stopIfTrue="1">
      <formula>$B619="SERVIÇO"</formula>
    </cfRule>
  </conditionalFormatting>
  <conditionalFormatting sqref="AE619:AF619 A619:E619 A654:E654 AE654:AF654 G654:AC654 G619:AC619">
    <cfRule type="expression" dxfId="6373" priority="12123">
      <formula>$B619="Unidade Construtiva"</formula>
    </cfRule>
    <cfRule type="expression" dxfId="6372" priority="12124">
      <formula>$B619="Serviço"</formula>
    </cfRule>
    <cfRule type="expression" dxfId="6371" priority="12125">
      <formula>$B619="Insumo"</formula>
    </cfRule>
    <cfRule type="expression" dxfId="6370" priority="12126">
      <formula>$B619="Etapa"</formula>
    </cfRule>
    <cfRule type="expression" dxfId="6369" priority="12127">
      <formula>$B619="Célula Construtiva"</formula>
    </cfRule>
    <cfRule type="expression" dxfId="6368" priority="12128">
      <formula>$B619="Subetapa"</formula>
    </cfRule>
  </conditionalFormatting>
  <conditionalFormatting sqref="T619 T654">
    <cfRule type="expression" dxfId="6367" priority="12120" stopIfTrue="1">
      <formula>$B619="INSUMO"</formula>
    </cfRule>
  </conditionalFormatting>
  <conditionalFormatting sqref="W619 W654">
    <cfRule type="containsText" dxfId="6366" priority="12119" stopIfTrue="1" operator="containsText" text="INSERIR">
      <formula>NOT(ISERROR(SEARCH("INSERIR",W619)))</formula>
    </cfRule>
  </conditionalFormatting>
  <conditionalFormatting sqref="V638:V641 V650:V653">
    <cfRule type="expression" dxfId="6365" priority="12111" stopIfTrue="1">
      <formula>$B638="insumo"</formula>
    </cfRule>
  </conditionalFormatting>
  <conditionalFormatting sqref="T638 T641 T645 T650">
    <cfRule type="expression" dxfId="6364" priority="12110" stopIfTrue="1">
      <formula>$B638="SERVIÇO"</formula>
    </cfRule>
  </conditionalFormatting>
  <conditionalFormatting sqref="A638:E653 V638:AC638 V641:AC641 V639:V640 AA639:AC640 V645:AC645 AA642:AC644 V646:V649 AA646:AC649 V650:AC650 V651:V653 AA651:AC653 G650:T650 G646:S649 G642:S644 G645:T645 G639:S640 G641:T641 G638:T638 G651:S653">
    <cfRule type="expression" dxfId="6363" priority="12112">
      <formula>$B638="Unidade Construtiva"</formula>
    </cfRule>
    <cfRule type="expression" dxfId="6362" priority="12113">
      <formula>$B638="Serviço"</formula>
    </cfRule>
    <cfRule type="expression" dxfId="6361" priority="12114">
      <formula>$B638="Insumo"</formula>
    </cfRule>
    <cfRule type="expression" dxfId="6360" priority="12115">
      <formula>$B638="Etapa"</formula>
    </cfRule>
    <cfRule type="expression" dxfId="6359" priority="12116">
      <formula>$B638="Célula Construtiva"</formula>
    </cfRule>
    <cfRule type="expression" dxfId="6358" priority="12117">
      <formula>$B638="Subetapa"</formula>
    </cfRule>
  </conditionalFormatting>
  <conditionalFormatting sqref="T638 T641 T645 T650">
    <cfRule type="expression" dxfId="6357" priority="12109" stopIfTrue="1">
      <formula>$B638="INSUMO"</formula>
    </cfRule>
  </conditionalFormatting>
  <conditionalFormatting sqref="W638 W641 W645 W650">
    <cfRule type="containsText" dxfId="6356" priority="12108" stopIfTrue="1" operator="containsText" text="INSERIR">
      <formula>NOT(ISERROR(SEARCH("INSERIR",W638)))</formula>
    </cfRule>
  </conditionalFormatting>
  <conditionalFormatting sqref="U650 U638 U641 U645">
    <cfRule type="expression" dxfId="6355" priority="12090" stopIfTrue="1">
      <formula>$B638="SERVIÇO"</formula>
    </cfRule>
  </conditionalFormatting>
  <conditionalFormatting sqref="U650 U638 U641 U645">
    <cfRule type="expression" dxfId="6354" priority="12091">
      <formula>$B638="Unidade Construtiva"</formula>
    </cfRule>
    <cfRule type="expression" dxfId="6353" priority="12092">
      <formula>$B638="Serviço"</formula>
    </cfRule>
    <cfRule type="expression" dxfId="6352" priority="12093">
      <formula>$B638="Insumo"</formula>
    </cfRule>
    <cfRule type="expression" dxfId="6351" priority="12094">
      <formula>$B638="Etapa"</formula>
    </cfRule>
    <cfRule type="expression" dxfId="6350" priority="12095">
      <formula>$B638="Célula Construtiva"</formula>
    </cfRule>
    <cfRule type="expression" dxfId="6349" priority="12096">
      <formula>$B638="Subetapa"</formula>
    </cfRule>
  </conditionalFormatting>
  <conditionalFormatting sqref="V655:V658">
    <cfRule type="expression" dxfId="6348" priority="11987" stopIfTrue="1">
      <formula>$B655="insumo"</formula>
    </cfRule>
  </conditionalFormatting>
  <conditionalFormatting sqref="AA655:AA658 T655:U655">
    <cfRule type="expression" dxfId="6347" priority="11986" stopIfTrue="1">
      <formula>$B655="SERVIÇO"</formula>
    </cfRule>
  </conditionalFormatting>
  <conditionalFormatting sqref="AE655:AF658 V656:V658 AA656:AC658 A655:E658 G658:R658 G656:S657 G655:AC655">
    <cfRule type="expression" dxfId="6346" priority="11988">
      <formula>$B655="Unidade Construtiva"</formula>
    </cfRule>
    <cfRule type="expression" dxfId="6345" priority="11989">
      <formula>$B655="Serviço"</formula>
    </cfRule>
    <cfRule type="expression" dxfId="6344" priority="11990">
      <formula>$B655="Insumo"</formula>
    </cfRule>
    <cfRule type="expression" dxfId="6343" priority="11991">
      <formula>$B655="Etapa"</formula>
    </cfRule>
    <cfRule type="expression" dxfId="6342" priority="11992">
      <formula>$B655="Célula Construtiva"</formula>
    </cfRule>
    <cfRule type="expression" dxfId="6341" priority="11993">
      <formula>$B655="Subetapa"</formula>
    </cfRule>
  </conditionalFormatting>
  <conditionalFormatting sqref="T655">
    <cfRule type="expression" dxfId="6340" priority="11985" stopIfTrue="1">
      <formula>$B655="INSUMO"</formula>
    </cfRule>
  </conditionalFormatting>
  <conditionalFormatting sqref="W655">
    <cfRule type="containsText" dxfId="6339" priority="11984" stopIfTrue="1" operator="containsText" text="INSERIR">
      <formula>NOT(ISERROR(SEARCH("INSERIR",W655)))</formula>
    </cfRule>
  </conditionalFormatting>
  <conditionalFormatting sqref="V543 V581">
    <cfRule type="expression" dxfId="6338" priority="11974" stopIfTrue="1">
      <formula>$B543="insumo"</formula>
    </cfRule>
  </conditionalFormatting>
  <conditionalFormatting sqref="AA543 T543:U543 T581:U581 AA581">
    <cfRule type="expression" dxfId="6337" priority="11973" stopIfTrue="1">
      <formula>$B543="SERVIÇO"</formula>
    </cfRule>
  </conditionalFormatting>
  <conditionalFormatting sqref="AE543:AF543 A543:E543 A581:E581 AE581:AF581 G581:AC581 G543:AC543">
    <cfRule type="expression" dxfId="6336" priority="11975">
      <formula>$B543="Unidade Construtiva"</formula>
    </cfRule>
    <cfRule type="expression" dxfId="6335" priority="11976">
      <formula>$B543="Serviço"</formula>
    </cfRule>
    <cfRule type="expression" dxfId="6334" priority="11977">
      <formula>$B543="Insumo"</formula>
    </cfRule>
    <cfRule type="expression" dxfId="6333" priority="11978">
      <formula>$B543="Etapa"</formula>
    </cfRule>
    <cfRule type="expression" dxfId="6332" priority="11979">
      <formula>$B543="Célula Construtiva"</formula>
    </cfRule>
    <cfRule type="expression" dxfId="6331" priority="11980">
      <formula>$B543="Subetapa"</formula>
    </cfRule>
  </conditionalFormatting>
  <conditionalFormatting sqref="T543 T581">
    <cfRule type="expression" dxfId="6330" priority="11972" stopIfTrue="1">
      <formula>$B543="INSUMO"</formula>
    </cfRule>
  </conditionalFormatting>
  <conditionalFormatting sqref="W543 W581">
    <cfRule type="containsText" dxfId="6329" priority="11971" stopIfTrue="1" operator="containsText" text="INSERIR">
      <formula>NOT(ISERROR(SEARCH("INSERIR",W543)))</formula>
    </cfRule>
  </conditionalFormatting>
  <conditionalFormatting sqref="V565:V568 V577:V580">
    <cfRule type="expression" dxfId="6328" priority="11963" stopIfTrue="1">
      <formula>$B565="insumo"</formula>
    </cfRule>
  </conditionalFormatting>
  <conditionalFormatting sqref="T565 T568 T572 T577">
    <cfRule type="expression" dxfId="6327" priority="11962" stopIfTrue="1">
      <formula>$B565="SERVIÇO"</formula>
    </cfRule>
  </conditionalFormatting>
  <conditionalFormatting sqref="A565:E580 V565:AC565 V568:AC568 V566:V567 AA566:AC567 V572:AC572 AA569:AC571 V573:V576 AA573:AC576 V577:AC577 V578:V580 AA578:AC580 G577:T577 G573:S576 G569:S571 G572:T572 G566:S567 G568:T568 G565:T565 G578:S580">
    <cfRule type="expression" dxfId="6326" priority="11964">
      <formula>$B565="Unidade Construtiva"</formula>
    </cfRule>
    <cfRule type="expression" dxfId="6325" priority="11965">
      <formula>$B565="Serviço"</formula>
    </cfRule>
    <cfRule type="expression" dxfId="6324" priority="11966">
      <formula>$B565="Insumo"</formula>
    </cfRule>
    <cfRule type="expression" dxfId="6323" priority="11967">
      <formula>$B565="Etapa"</formula>
    </cfRule>
    <cfRule type="expression" dxfId="6322" priority="11968">
      <formula>$B565="Célula Construtiva"</formula>
    </cfRule>
    <cfRule type="expression" dxfId="6321" priority="11969">
      <formula>$B565="Subetapa"</formula>
    </cfRule>
  </conditionalFormatting>
  <conditionalFormatting sqref="T565 T568 T572 T577">
    <cfRule type="expression" dxfId="6320" priority="11961" stopIfTrue="1">
      <formula>$B565="INSUMO"</formula>
    </cfRule>
  </conditionalFormatting>
  <conditionalFormatting sqref="W565 W568 W572 W577">
    <cfRule type="containsText" dxfId="6319" priority="11960" stopIfTrue="1" operator="containsText" text="INSERIR">
      <formula>NOT(ISERROR(SEARCH("INSERIR",W565)))</formula>
    </cfRule>
  </conditionalFormatting>
  <conditionalFormatting sqref="U577 U565 U568 U572">
    <cfRule type="expression" dxfId="6318" priority="11942" stopIfTrue="1">
      <formula>$B565="SERVIÇO"</formula>
    </cfRule>
  </conditionalFormatting>
  <conditionalFormatting sqref="U577 U565 U568 U572">
    <cfRule type="expression" dxfId="6317" priority="11943">
      <formula>$B565="Unidade Construtiva"</formula>
    </cfRule>
    <cfRule type="expression" dxfId="6316" priority="11944">
      <formula>$B565="Serviço"</formula>
    </cfRule>
    <cfRule type="expression" dxfId="6315" priority="11945">
      <formula>$B565="Insumo"</formula>
    </cfRule>
    <cfRule type="expression" dxfId="6314" priority="11946">
      <formula>$B565="Etapa"</formula>
    </cfRule>
    <cfRule type="expression" dxfId="6313" priority="11947">
      <formula>$B565="Célula Construtiva"</formula>
    </cfRule>
    <cfRule type="expression" dxfId="6312" priority="11948">
      <formula>$B565="Subetapa"</formula>
    </cfRule>
  </conditionalFormatting>
  <conditionalFormatting sqref="V562">
    <cfRule type="expression" dxfId="6311" priority="11875" stopIfTrue="1">
      <formula>$B562="insumo"</formula>
    </cfRule>
  </conditionalFormatting>
  <conditionalFormatting sqref="AA562 T562">
    <cfRule type="expression" dxfId="6310" priority="11874" stopIfTrue="1">
      <formula>$B562="SERVIÇO"</formula>
    </cfRule>
  </conditionalFormatting>
  <conditionalFormatting sqref="AE562:AF562 A562:E562 V562:AC562 G562:T562">
    <cfRule type="expression" dxfId="6309" priority="11876">
      <formula>$B562="Unidade Construtiva"</formula>
    </cfRule>
    <cfRule type="expression" dxfId="6308" priority="11877">
      <formula>$B562="Serviço"</formula>
    </cfRule>
    <cfRule type="expression" dxfId="6307" priority="11878">
      <formula>$B562="Insumo"</formula>
    </cfRule>
    <cfRule type="expression" dxfId="6306" priority="11879">
      <formula>$B562="Etapa"</formula>
    </cfRule>
    <cfRule type="expression" dxfId="6305" priority="11880">
      <formula>$B562="Célula Construtiva"</formula>
    </cfRule>
    <cfRule type="expression" dxfId="6304" priority="11881">
      <formula>$B562="Subetapa"</formula>
    </cfRule>
  </conditionalFormatting>
  <conditionalFormatting sqref="T562">
    <cfRule type="expression" dxfId="6303" priority="11873" stopIfTrue="1">
      <formula>$B562="INSUMO"</formula>
    </cfRule>
  </conditionalFormatting>
  <conditionalFormatting sqref="W562">
    <cfRule type="containsText" dxfId="6302" priority="11872" stopIfTrue="1" operator="containsText" text="INSERIR">
      <formula>NOT(ISERROR(SEARCH("INSERIR",W562)))</formula>
    </cfRule>
  </conditionalFormatting>
  <conditionalFormatting sqref="U562">
    <cfRule type="expression" dxfId="6301" priority="11865" stopIfTrue="1">
      <formula>$B562="SERVIÇO"</formula>
    </cfRule>
  </conditionalFormatting>
  <conditionalFormatting sqref="U562">
    <cfRule type="expression" dxfId="6300" priority="11866">
      <formula>$B562="Unidade Construtiva"</formula>
    </cfRule>
    <cfRule type="expression" dxfId="6299" priority="11867">
      <formula>$B562="Serviço"</formula>
    </cfRule>
    <cfRule type="expression" dxfId="6298" priority="11868">
      <formula>$B562="Insumo"</formula>
    </cfRule>
    <cfRule type="expression" dxfId="6297" priority="11869">
      <formula>$B562="Etapa"</formula>
    </cfRule>
    <cfRule type="expression" dxfId="6296" priority="11870">
      <formula>$B562="Célula Construtiva"</formula>
    </cfRule>
    <cfRule type="expression" dxfId="6295" priority="11871">
      <formula>$B562="Subetapa"</formula>
    </cfRule>
  </conditionalFormatting>
  <conditionalFormatting sqref="V563">
    <cfRule type="expression" dxfId="6294" priority="11857" stopIfTrue="1">
      <formula>$B563="insumo"</formula>
    </cfRule>
  </conditionalFormatting>
  <conditionalFormatting sqref="AA563:AA564">
    <cfRule type="expression" dxfId="6293" priority="11856" stopIfTrue="1">
      <formula>$B563="SERVIÇO"</formula>
    </cfRule>
  </conditionalFormatting>
  <conditionalFormatting sqref="AE563:AF564 A563:E564 V563 AA563:AC564 G563:S564">
    <cfRule type="expression" dxfId="6292" priority="11858">
      <formula>$B563="Unidade Construtiva"</formula>
    </cfRule>
    <cfRule type="expression" dxfId="6291" priority="11859">
      <formula>$B563="Serviço"</formula>
    </cfRule>
    <cfRule type="expression" dxfId="6290" priority="11860">
      <formula>$B563="Insumo"</formula>
    </cfRule>
    <cfRule type="expression" dxfId="6289" priority="11861">
      <formula>$B563="Etapa"</formula>
    </cfRule>
    <cfRule type="expression" dxfId="6288" priority="11862">
      <formula>$B563="Célula Construtiva"</formula>
    </cfRule>
    <cfRule type="expression" dxfId="6287" priority="11863">
      <formula>$B563="Subetapa"</formula>
    </cfRule>
  </conditionalFormatting>
  <conditionalFormatting sqref="V582:V585">
    <cfRule type="expression" dxfId="6286" priority="11839" stopIfTrue="1">
      <formula>$B582="insumo"</formula>
    </cfRule>
  </conditionalFormatting>
  <conditionalFormatting sqref="AA582:AA585 T582:U582">
    <cfRule type="expression" dxfId="6285" priority="11838" stopIfTrue="1">
      <formula>$B582="SERVIÇO"</formula>
    </cfRule>
  </conditionalFormatting>
  <conditionalFormatting sqref="AE582:AF585 V583:V585 AA583:AC585 A582:E585 G585:R585 G583:S584 G582:AC582">
    <cfRule type="expression" dxfId="6284" priority="11840">
      <formula>$B582="Unidade Construtiva"</formula>
    </cfRule>
    <cfRule type="expression" dxfId="6283" priority="11841">
      <formula>$B582="Serviço"</formula>
    </cfRule>
    <cfRule type="expression" dxfId="6282" priority="11842">
      <formula>$B582="Insumo"</formula>
    </cfRule>
    <cfRule type="expression" dxfId="6281" priority="11843">
      <formula>$B582="Etapa"</formula>
    </cfRule>
    <cfRule type="expression" dxfId="6280" priority="11844">
      <formula>$B582="Célula Construtiva"</formula>
    </cfRule>
    <cfRule type="expression" dxfId="6279" priority="11845">
      <formula>$B582="Subetapa"</formula>
    </cfRule>
  </conditionalFormatting>
  <conditionalFormatting sqref="T582">
    <cfRule type="expression" dxfId="6278" priority="11837" stopIfTrue="1">
      <formula>$B582="INSUMO"</formula>
    </cfRule>
  </conditionalFormatting>
  <conditionalFormatting sqref="W582">
    <cfRule type="containsText" dxfId="6277" priority="11836" stopIfTrue="1" operator="containsText" text="INSERIR">
      <formula>NOT(ISERROR(SEARCH("INSERIR",W582)))</formula>
    </cfRule>
  </conditionalFormatting>
  <conditionalFormatting sqref="S310 S409 S500">
    <cfRule type="expression" dxfId="6276" priority="11829">
      <formula>$B310="Unidade Construtiva"</formula>
    </cfRule>
    <cfRule type="expression" dxfId="6275" priority="11830">
      <formula>$B310="Serviço"</formula>
    </cfRule>
    <cfRule type="expression" dxfId="6274" priority="11831">
      <formula>$B310="Insumo"</formula>
    </cfRule>
    <cfRule type="expression" dxfId="6273" priority="11832">
      <formula>$B310="Etapa"</formula>
    </cfRule>
    <cfRule type="expression" dxfId="6272" priority="11833">
      <formula>$B310="Célula Construtiva"</formula>
    </cfRule>
    <cfRule type="expression" dxfId="6271" priority="11834">
      <formula>$B310="Subetapa"</formula>
    </cfRule>
  </conditionalFormatting>
  <conditionalFormatting sqref="V319:V320">
    <cfRule type="expression" dxfId="6270" priority="11806" stopIfTrue="1">
      <formula>$B319="insumo"</formula>
    </cfRule>
  </conditionalFormatting>
  <conditionalFormatting sqref="T319:U319 AA316 AA319:AA320">
    <cfRule type="expression" dxfId="6269" priority="11805" stopIfTrue="1">
      <formula>$B316="SERVIÇO"</formula>
    </cfRule>
  </conditionalFormatting>
  <conditionalFormatting sqref="AE316:AF316 A319:E320 V320 A316:E316 AE319:AF320 AA316:AC316 AA320:AC320 G316:S316 G320:R320 G319:AC319">
    <cfRule type="expression" dxfId="6268" priority="11807">
      <formula>$B316="Unidade Construtiva"</formula>
    </cfRule>
    <cfRule type="expression" dxfId="6267" priority="11808">
      <formula>$B316="Serviço"</formula>
    </cfRule>
    <cfRule type="expression" dxfId="6266" priority="11809">
      <formula>$B316="Insumo"</formula>
    </cfRule>
    <cfRule type="expression" dxfId="6265" priority="11810">
      <formula>$B316="Etapa"</formula>
    </cfRule>
    <cfRule type="expression" dxfId="6264" priority="11811">
      <formula>$B316="Célula Construtiva"</formula>
    </cfRule>
    <cfRule type="expression" dxfId="6263" priority="11812">
      <formula>$B316="Subetapa"</formula>
    </cfRule>
  </conditionalFormatting>
  <conditionalFormatting sqref="T319">
    <cfRule type="expression" dxfId="6262" priority="11804" stopIfTrue="1">
      <formula>$B319="INSUMO"</formula>
    </cfRule>
  </conditionalFormatting>
  <conditionalFormatting sqref="W319">
    <cfRule type="containsText" dxfId="6261" priority="11803" stopIfTrue="1" operator="containsText" text="INSERIR">
      <formula>NOT(ISERROR(SEARCH("INSERIR",W319)))</formula>
    </cfRule>
  </conditionalFormatting>
  <conditionalFormatting sqref="V310">
    <cfRule type="expression" dxfId="6260" priority="11796" stopIfTrue="1">
      <formula>$B310="insumo"</formula>
    </cfRule>
  </conditionalFormatting>
  <conditionalFormatting sqref="AA310:AA311 T310:U310">
    <cfRule type="expression" dxfId="6259" priority="11795" stopIfTrue="1">
      <formula>$B310="SERVIÇO"</formula>
    </cfRule>
  </conditionalFormatting>
  <conditionalFormatting sqref="AE310:AF311 A310:E311 T310:AC310 AA311:AC311 G311:S311 G310:R310">
    <cfRule type="expression" dxfId="6258" priority="11797">
      <formula>$B310="Unidade Construtiva"</formula>
    </cfRule>
    <cfRule type="expression" dxfId="6257" priority="11798">
      <formula>$B310="Serviço"</formula>
    </cfRule>
    <cfRule type="expression" dxfId="6256" priority="11799">
      <formula>$B310="Insumo"</formula>
    </cfRule>
    <cfRule type="expression" dxfId="6255" priority="11800">
      <formula>$B310="Etapa"</formula>
    </cfRule>
    <cfRule type="expression" dxfId="6254" priority="11801">
      <formula>$B310="Célula Construtiva"</formula>
    </cfRule>
    <cfRule type="expression" dxfId="6253" priority="11802">
      <formula>$B310="Subetapa"</formula>
    </cfRule>
  </conditionalFormatting>
  <conditionalFormatting sqref="T310">
    <cfRule type="expression" dxfId="6252" priority="11794" stopIfTrue="1">
      <formula>$B310="INSUMO"</formula>
    </cfRule>
  </conditionalFormatting>
  <conditionalFormatting sqref="W310">
    <cfRule type="containsText" dxfId="6251" priority="11793" stopIfTrue="1" operator="containsText" text="INSERIR">
      <formula>NOT(ISERROR(SEARCH("INSERIR",W310)))</formula>
    </cfRule>
  </conditionalFormatting>
  <conditionalFormatting sqref="AA312:AA315">
    <cfRule type="expression" dxfId="6250" priority="11784" stopIfTrue="1">
      <formula>$B312="SERVIÇO"</formula>
    </cfRule>
  </conditionalFormatting>
  <conditionalFormatting sqref="AE312:AF315 A312:E315 AA312:AC315 G312:S315">
    <cfRule type="expression" dxfId="6249" priority="11786">
      <formula>$B312="Unidade Construtiva"</formula>
    </cfRule>
    <cfRule type="expression" dxfId="6248" priority="11787">
      <formula>$B312="Serviço"</formula>
    </cfRule>
    <cfRule type="expression" dxfId="6247" priority="11788">
      <formula>$B312="Insumo"</formula>
    </cfRule>
    <cfRule type="expression" dxfId="6246" priority="11789">
      <formula>$B312="Etapa"</formula>
    </cfRule>
    <cfRule type="expression" dxfId="6245" priority="11790">
      <formula>$B312="Célula Construtiva"</formula>
    </cfRule>
    <cfRule type="expression" dxfId="6244" priority="11791">
      <formula>$B312="Subetapa"</formula>
    </cfRule>
  </conditionalFormatting>
  <conditionalFormatting sqref="V418:V419">
    <cfRule type="expression" dxfId="6243" priority="11774" stopIfTrue="1">
      <formula>$B418="insumo"</formula>
    </cfRule>
  </conditionalFormatting>
  <conditionalFormatting sqref="AA415 T418 AA418:AA419">
    <cfRule type="expression" dxfId="6242" priority="11773" stopIfTrue="1">
      <formula>$B415="SERVIÇO"</formula>
    </cfRule>
  </conditionalFormatting>
  <conditionalFormatting sqref="A415:E415 AE415:AF415 A418:E419 V418:AC418 AE418:AF419 AA415:AC415 V419 AA419:AC419 G418:T418 G419:R419 G415:S415">
    <cfRule type="expression" dxfId="6241" priority="11775">
      <formula>$B415="Unidade Construtiva"</formula>
    </cfRule>
    <cfRule type="expression" dxfId="6240" priority="11776">
      <formula>$B415="Serviço"</formula>
    </cfRule>
    <cfRule type="expression" dxfId="6239" priority="11777">
      <formula>$B415="Insumo"</formula>
    </cfRule>
    <cfRule type="expression" dxfId="6238" priority="11778">
      <formula>$B415="Etapa"</formula>
    </cfRule>
    <cfRule type="expression" dxfId="6237" priority="11779">
      <formula>$B415="Célula Construtiva"</formula>
    </cfRule>
    <cfRule type="expression" dxfId="6236" priority="11780">
      <formula>$B415="Subetapa"</formula>
    </cfRule>
  </conditionalFormatting>
  <conditionalFormatting sqref="T418">
    <cfRule type="expression" dxfId="6235" priority="11772" stopIfTrue="1">
      <formula>$B418="INSUMO"</formula>
    </cfRule>
  </conditionalFormatting>
  <conditionalFormatting sqref="W418">
    <cfRule type="containsText" dxfId="6234" priority="11771" stopIfTrue="1" operator="containsText" text="INSERIR">
      <formula>NOT(ISERROR(SEARCH("INSERIR",W418)))</formula>
    </cfRule>
  </conditionalFormatting>
  <conditionalFormatting sqref="V409">
    <cfRule type="expression" dxfId="6233" priority="11764" stopIfTrue="1">
      <formula>$B409="insumo"</formula>
    </cfRule>
  </conditionalFormatting>
  <conditionalFormatting sqref="AA409:AA410 T409:U409">
    <cfRule type="expression" dxfId="6232" priority="11763" stopIfTrue="1">
      <formula>$B409="SERVIÇO"</formula>
    </cfRule>
  </conditionalFormatting>
  <conditionalFormatting sqref="AE409:AF410 A409:E410 T409:AC409 AA410:AC410 G410:S410 G409:R409">
    <cfRule type="expression" dxfId="6231" priority="11765">
      <formula>$B409="Unidade Construtiva"</formula>
    </cfRule>
    <cfRule type="expression" dxfId="6230" priority="11766">
      <formula>$B409="Serviço"</formula>
    </cfRule>
    <cfRule type="expression" dxfId="6229" priority="11767">
      <formula>$B409="Insumo"</formula>
    </cfRule>
    <cfRule type="expression" dxfId="6228" priority="11768">
      <formula>$B409="Etapa"</formula>
    </cfRule>
    <cfRule type="expression" dxfId="6227" priority="11769">
      <formula>$B409="Célula Construtiva"</formula>
    </cfRule>
    <cfRule type="expression" dxfId="6226" priority="11770">
      <formula>$B409="Subetapa"</formula>
    </cfRule>
  </conditionalFormatting>
  <conditionalFormatting sqref="T409">
    <cfRule type="expression" dxfId="6225" priority="11762" stopIfTrue="1">
      <formula>$B409="INSUMO"</formula>
    </cfRule>
  </conditionalFormatting>
  <conditionalFormatting sqref="W409">
    <cfRule type="containsText" dxfId="6224" priority="11761" stopIfTrue="1" operator="containsText" text="INSERIR">
      <formula>NOT(ISERROR(SEARCH("INSERIR",W409)))</formula>
    </cfRule>
  </conditionalFormatting>
  <conditionalFormatting sqref="AA411:AA414">
    <cfRule type="expression" dxfId="6223" priority="11752" stopIfTrue="1">
      <formula>$B411="SERVIÇO"</formula>
    </cfRule>
  </conditionalFormatting>
  <conditionalFormatting sqref="AE411:AF414 A411:E414 AA411:AC414 G411:S414">
    <cfRule type="expression" dxfId="6222" priority="11754">
      <formula>$B411="Unidade Construtiva"</formula>
    </cfRule>
    <cfRule type="expression" dxfId="6221" priority="11755">
      <formula>$B411="Serviço"</formula>
    </cfRule>
    <cfRule type="expression" dxfId="6220" priority="11756">
      <formula>$B411="Insumo"</formula>
    </cfRule>
    <cfRule type="expression" dxfId="6219" priority="11757">
      <formula>$B411="Etapa"</formula>
    </cfRule>
    <cfRule type="expression" dxfId="6218" priority="11758">
      <formula>$B411="Célula Construtiva"</formula>
    </cfRule>
    <cfRule type="expression" dxfId="6217" priority="11759">
      <formula>$B411="Subetapa"</formula>
    </cfRule>
  </conditionalFormatting>
  <conditionalFormatting sqref="W509:W510">
    <cfRule type="containsText" dxfId="6216" priority="11611" stopIfTrue="1" operator="containsText" text="INSERIR">
      <formula>NOT(ISERROR(SEARCH("INSERIR",W509)))</formula>
    </cfRule>
  </conditionalFormatting>
  <conditionalFormatting sqref="W500">
    <cfRule type="containsText" dxfId="6215" priority="11601" stopIfTrue="1" operator="containsText" text="INSERIR">
      <formula>NOT(ISERROR(SEARCH("INSERIR",W500)))</formula>
    </cfRule>
  </conditionalFormatting>
  <conditionalFormatting sqref="V399">
    <cfRule type="expression" dxfId="6214" priority="11567" stopIfTrue="1">
      <formula>$B399="insumo"</formula>
    </cfRule>
  </conditionalFormatting>
  <conditionalFormatting sqref="T399:U399 AA399">
    <cfRule type="expression" dxfId="6213" priority="11566" stopIfTrue="1">
      <formula>$B399="SERVIÇO"</formula>
    </cfRule>
  </conditionalFormatting>
  <conditionalFormatting sqref="A399:E399 AE399:AF399 G399:AC399">
    <cfRule type="expression" dxfId="6212" priority="11568">
      <formula>$B399="Unidade Construtiva"</formula>
    </cfRule>
    <cfRule type="expression" dxfId="6211" priority="11569">
      <formula>$B399="Serviço"</formula>
    </cfRule>
    <cfRule type="expression" dxfId="6210" priority="11570">
      <formula>$B399="Insumo"</formula>
    </cfRule>
    <cfRule type="expression" dxfId="6209" priority="11571">
      <formula>$B399="Etapa"</formula>
    </cfRule>
    <cfRule type="expression" dxfId="6208" priority="11572">
      <formula>$B399="Célula Construtiva"</formula>
    </cfRule>
    <cfRule type="expression" dxfId="6207" priority="11573">
      <formula>$B399="Subetapa"</formula>
    </cfRule>
  </conditionalFormatting>
  <conditionalFormatting sqref="T399">
    <cfRule type="expression" dxfId="6206" priority="11565" stopIfTrue="1">
      <formula>$B399="INSUMO"</formula>
    </cfRule>
  </conditionalFormatting>
  <conditionalFormatting sqref="W399 W404:W406">
    <cfRule type="containsText" dxfId="6205" priority="11564" stopIfTrue="1" operator="containsText" text="INSERIR">
      <formula>NOT(ISERROR(SEARCH("INSERIR",W399)))</formula>
    </cfRule>
  </conditionalFormatting>
  <conditionalFormatting sqref="V400:V403">
    <cfRule type="expression" dxfId="6204" priority="11556" stopIfTrue="1">
      <formula>$B400="insumo"</formula>
    </cfRule>
  </conditionalFormatting>
  <conditionalFormatting sqref="AA400:AA403 T400:U400">
    <cfRule type="expression" dxfId="6203" priority="11555" stopIfTrue="1">
      <formula>$B400="SERVIÇO"</formula>
    </cfRule>
  </conditionalFormatting>
  <conditionalFormatting sqref="AE400:AF403 V401:V403 AA401:AC403 A400:E403 G403:R403 G401:S402 G400:AC400">
    <cfRule type="expression" dxfId="6202" priority="11557">
      <formula>$B400="Unidade Construtiva"</formula>
    </cfRule>
    <cfRule type="expression" dxfId="6201" priority="11558">
      <formula>$B400="Serviço"</formula>
    </cfRule>
    <cfRule type="expression" dxfId="6200" priority="11559">
      <formula>$B400="Insumo"</formula>
    </cfRule>
    <cfRule type="expression" dxfId="6199" priority="11560">
      <formula>$B400="Etapa"</formula>
    </cfRule>
    <cfRule type="expression" dxfId="6198" priority="11561">
      <formula>$B400="Célula Construtiva"</formula>
    </cfRule>
    <cfRule type="expression" dxfId="6197" priority="11562">
      <formula>$B400="Subetapa"</formula>
    </cfRule>
  </conditionalFormatting>
  <conditionalFormatting sqref="T400">
    <cfRule type="expression" dxfId="6196" priority="11554" stopIfTrue="1">
      <formula>$B400="INSUMO"</formula>
    </cfRule>
  </conditionalFormatting>
  <conditionalFormatting sqref="W400">
    <cfRule type="containsText" dxfId="6195" priority="11553" stopIfTrue="1" operator="containsText" text="INSERIR">
      <formula>NOT(ISERROR(SEARCH("INSERIR",W400)))</formula>
    </cfRule>
  </conditionalFormatting>
  <conditionalFormatting sqref="U418">
    <cfRule type="expression" dxfId="6194" priority="11535" stopIfTrue="1">
      <formula>$B418="SERVIÇO"</formula>
    </cfRule>
  </conditionalFormatting>
  <conditionalFormatting sqref="U418">
    <cfRule type="expression" dxfId="6193" priority="11536">
      <formula>$B418="Unidade Construtiva"</formula>
    </cfRule>
    <cfRule type="expression" dxfId="6192" priority="11537">
      <formula>$B418="Serviço"</formula>
    </cfRule>
    <cfRule type="expression" dxfId="6191" priority="11538">
      <formula>$B418="Insumo"</formula>
    </cfRule>
    <cfRule type="expression" dxfId="6190" priority="11539">
      <formula>$B418="Etapa"</formula>
    </cfRule>
    <cfRule type="expression" dxfId="6189" priority="11540">
      <formula>$B418="Célula Construtiva"</formula>
    </cfRule>
    <cfRule type="expression" dxfId="6188" priority="11541">
      <formula>$B418="Subetapa"</formula>
    </cfRule>
  </conditionalFormatting>
  <conditionalFormatting sqref="V1082">
    <cfRule type="expression" dxfId="6187" priority="11413" stopIfTrue="1">
      <formula>$B1082="insumo"</formula>
    </cfRule>
  </conditionalFormatting>
  <conditionalFormatting sqref="AA1082">
    <cfRule type="expression" dxfId="6186" priority="11412" stopIfTrue="1">
      <formula>$B1082="SERVIÇO"</formula>
    </cfRule>
  </conditionalFormatting>
  <conditionalFormatting sqref="AE1082:AF1082 A1082:E1082 V1082 AA1082:AC1082 G1082:S1082">
    <cfRule type="expression" dxfId="6185" priority="11414">
      <formula>$B1082="Unidade Construtiva"</formula>
    </cfRule>
    <cfRule type="expression" dxfId="6184" priority="11415">
      <formula>$B1082="Serviço"</formula>
    </cfRule>
    <cfRule type="expression" dxfId="6183" priority="11416">
      <formula>$B1082="Insumo"</formula>
    </cfRule>
    <cfRule type="expression" dxfId="6182" priority="11417">
      <formula>$B1082="Etapa"</formula>
    </cfRule>
    <cfRule type="expression" dxfId="6181" priority="11418">
      <formula>$B1082="Célula Construtiva"</formula>
    </cfRule>
    <cfRule type="expression" dxfId="6180" priority="11419">
      <formula>$B1082="Subetapa"</formula>
    </cfRule>
  </conditionalFormatting>
  <conditionalFormatting sqref="U1107">
    <cfRule type="expression" dxfId="6179" priority="11341" stopIfTrue="1">
      <formula>$B1107="SERVIÇO"</formula>
    </cfRule>
  </conditionalFormatting>
  <conditionalFormatting sqref="U1107">
    <cfRule type="expression" dxfId="6178" priority="11342">
      <formula>$B1107="Unidade Construtiva"</formula>
    </cfRule>
    <cfRule type="expression" dxfId="6177" priority="11343">
      <formula>$B1107="Serviço"</formula>
    </cfRule>
    <cfRule type="expression" dxfId="6176" priority="11344">
      <formula>$B1107="Insumo"</formula>
    </cfRule>
    <cfRule type="expression" dxfId="6175" priority="11345">
      <formula>$B1107="Etapa"</formula>
    </cfRule>
    <cfRule type="expression" dxfId="6174" priority="11346">
      <formula>$B1107="Célula Construtiva"</formula>
    </cfRule>
    <cfRule type="expression" dxfId="6173" priority="11347">
      <formula>$B1107="Subetapa"</formula>
    </cfRule>
  </conditionalFormatting>
  <conditionalFormatting sqref="U1120">
    <cfRule type="expression" dxfId="6172" priority="11334" stopIfTrue="1">
      <formula>$B1120="SERVIÇO"</formula>
    </cfRule>
  </conditionalFormatting>
  <conditionalFormatting sqref="U1120">
    <cfRule type="expression" dxfId="6171" priority="11335">
      <formula>$B1120="Unidade Construtiva"</formula>
    </cfRule>
    <cfRule type="expression" dxfId="6170" priority="11336">
      <formula>$B1120="Serviço"</formula>
    </cfRule>
    <cfRule type="expression" dxfId="6169" priority="11337">
      <formula>$B1120="Insumo"</formula>
    </cfRule>
    <cfRule type="expression" dxfId="6168" priority="11338">
      <formula>$B1120="Etapa"</formula>
    </cfRule>
    <cfRule type="expression" dxfId="6167" priority="11339">
      <formula>$B1120="Célula Construtiva"</formula>
    </cfRule>
    <cfRule type="expression" dxfId="6166" priority="11340">
      <formula>$B1120="Subetapa"</formula>
    </cfRule>
  </conditionalFormatting>
  <conditionalFormatting sqref="U1133">
    <cfRule type="expression" dxfId="6165" priority="11327" stopIfTrue="1">
      <formula>$B1133="SERVIÇO"</formula>
    </cfRule>
  </conditionalFormatting>
  <conditionalFormatting sqref="U1133">
    <cfRule type="expression" dxfId="6164" priority="11328">
      <formula>$B1133="Unidade Construtiva"</formula>
    </cfRule>
    <cfRule type="expression" dxfId="6163" priority="11329">
      <formula>$B1133="Serviço"</formula>
    </cfRule>
    <cfRule type="expression" dxfId="6162" priority="11330">
      <formula>$B1133="Insumo"</formula>
    </cfRule>
    <cfRule type="expression" dxfId="6161" priority="11331">
      <formula>$B1133="Etapa"</formula>
    </cfRule>
    <cfRule type="expression" dxfId="6160" priority="11332">
      <formula>$B1133="Célula Construtiva"</formula>
    </cfRule>
    <cfRule type="expression" dxfId="6159" priority="11333">
      <formula>$B1133="Subetapa"</formula>
    </cfRule>
  </conditionalFormatting>
  <conditionalFormatting sqref="V668">
    <cfRule type="expression" dxfId="6158" priority="11275" stopIfTrue="1">
      <formula>$B668="insumo"</formula>
    </cfRule>
  </conditionalFormatting>
  <conditionalFormatting sqref="T668:U668 AA668:AA670">
    <cfRule type="expression" dxfId="6157" priority="11274" stopIfTrue="1">
      <formula>$B668="SERVIÇO"</formula>
    </cfRule>
  </conditionalFormatting>
  <conditionalFormatting sqref="A668:E670 AE668:AF670 T668:AC668 AA669:AC670 G668:R670">
    <cfRule type="expression" dxfId="6156" priority="11276">
      <formula>$B668="Unidade Construtiva"</formula>
    </cfRule>
    <cfRule type="expression" dxfId="6155" priority="11277">
      <formula>$B668="Serviço"</formula>
    </cfRule>
    <cfRule type="expression" dxfId="6154" priority="11278">
      <formula>$B668="Insumo"</formula>
    </cfRule>
    <cfRule type="expression" dxfId="6153" priority="11279">
      <formula>$B668="Etapa"</formula>
    </cfRule>
    <cfRule type="expression" dxfId="6152" priority="11280">
      <formula>$B668="Célula Construtiva"</formula>
    </cfRule>
    <cfRule type="expression" dxfId="6151" priority="11281">
      <formula>$B668="Subetapa"</formula>
    </cfRule>
  </conditionalFormatting>
  <conditionalFormatting sqref="T668">
    <cfRule type="expression" dxfId="6150" priority="11273" stopIfTrue="1">
      <formula>$B668="INSUMO"</formula>
    </cfRule>
  </conditionalFormatting>
  <conditionalFormatting sqref="W668">
    <cfRule type="containsText" dxfId="6149" priority="11272" stopIfTrue="1" operator="containsText" text="INSERIR">
      <formula>NOT(ISERROR(SEARCH("INSERIR",W668)))</formula>
    </cfRule>
  </conditionalFormatting>
  <conditionalFormatting sqref="S668:S670">
    <cfRule type="expression" dxfId="6148" priority="11266">
      <formula>$B668="Unidade Construtiva"</formula>
    </cfRule>
    <cfRule type="expression" dxfId="6147" priority="11267">
      <formula>$B668="Serviço"</formula>
    </cfRule>
    <cfRule type="expression" dxfId="6146" priority="11268">
      <formula>$B668="Insumo"</formula>
    </cfRule>
    <cfRule type="expression" dxfId="6145" priority="11269">
      <formula>$B668="Etapa"</formula>
    </cfRule>
    <cfRule type="expression" dxfId="6144" priority="11270">
      <formula>$B668="Célula Construtiva"</formula>
    </cfRule>
    <cfRule type="expression" dxfId="6143" priority="11271">
      <formula>$B668="Subetapa"</formula>
    </cfRule>
  </conditionalFormatting>
  <conditionalFormatting sqref="V693:V694 V707:V708 V700 V722:V724 V716:V717 V720">
    <cfRule type="expression" dxfId="6142" priority="11230" stopIfTrue="1">
      <formula>$B693="insumo"</formula>
    </cfRule>
  </conditionalFormatting>
  <conditionalFormatting sqref="T693:U694 AA693:AA696 AA700:AA702 T700:U700 T707:U708 AA707:AA724 T720:U720 T716 T722:U723">
    <cfRule type="expression" dxfId="6141" priority="11229" stopIfTrue="1">
      <formula>$B693="SERVIÇO"</formula>
    </cfRule>
  </conditionalFormatting>
  <conditionalFormatting sqref="AE693:AF696 AE700:AF702 AE707:AF724 A693:E696 A700:E702 V716:AC716 V724 A707:E724 AA695:AC696 AA701:AC702 AA709:AC715 V717 AA717:AC719 AA721:AC721 AA724:AC724 G714:R714 G715:S715 G724:S724 G721:S721 G722:AC723 G717:S719 G709:S713 G701:S702 G695:S696 G716:T716 G720:AC720 G707:AC708 G700:AC700 G693:AC694">
    <cfRule type="expression" dxfId="6140" priority="11231">
      <formula>$B693="Unidade Construtiva"</formula>
    </cfRule>
    <cfRule type="expression" dxfId="6139" priority="11232">
      <formula>$B693="Serviço"</formula>
    </cfRule>
    <cfRule type="expression" dxfId="6138" priority="11233">
      <formula>$B693="Insumo"</formula>
    </cfRule>
    <cfRule type="expression" dxfId="6137" priority="11234">
      <formula>$B693="Etapa"</formula>
    </cfRule>
    <cfRule type="expression" dxfId="6136" priority="11235">
      <formula>$B693="Célula Construtiva"</formula>
    </cfRule>
    <cfRule type="expression" dxfId="6135" priority="11236">
      <formula>$B693="Subetapa"</formula>
    </cfRule>
  </conditionalFormatting>
  <conditionalFormatting sqref="T693:T694 T700 T707:T708 T716 T720 T722:T723">
    <cfRule type="expression" dxfId="6134" priority="11228" stopIfTrue="1">
      <formula>$B693="INSUMO"</formula>
    </cfRule>
  </conditionalFormatting>
  <conditionalFormatting sqref="W693:W694 W700 W707:W708 W716 W720 W722:W723">
    <cfRule type="containsText" dxfId="6133" priority="11227" stopIfTrue="1" operator="containsText" text="INSERIR">
      <formula>NOT(ISERROR(SEARCH("INSERIR",W693)))</formula>
    </cfRule>
  </conditionalFormatting>
  <conditionalFormatting sqref="V697">
    <cfRule type="expression" dxfId="6132" priority="11219" stopIfTrue="1">
      <formula>$B697="insumo"</formula>
    </cfRule>
  </conditionalFormatting>
  <conditionalFormatting sqref="T697:U697 AA697:AA699">
    <cfRule type="expression" dxfId="6131" priority="11218" stopIfTrue="1">
      <formula>$B697="SERVIÇO"</formula>
    </cfRule>
  </conditionalFormatting>
  <conditionalFormatting sqref="A697:E699 AE697:AF699 T697:AC697 AA698:AC699 G697:R699">
    <cfRule type="expression" dxfId="6130" priority="11220">
      <formula>$B697="Unidade Construtiva"</formula>
    </cfRule>
    <cfRule type="expression" dxfId="6129" priority="11221">
      <formula>$B697="Serviço"</formula>
    </cfRule>
    <cfRule type="expression" dxfId="6128" priority="11222">
      <formula>$B697="Insumo"</formula>
    </cfRule>
    <cfRule type="expression" dxfId="6127" priority="11223">
      <formula>$B697="Etapa"</formula>
    </cfRule>
    <cfRule type="expression" dxfId="6126" priority="11224">
      <formula>$B697="Célula Construtiva"</formula>
    </cfRule>
    <cfRule type="expression" dxfId="6125" priority="11225">
      <formula>$B697="Subetapa"</formula>
    </cfRule>
  </conditionalFormatting>
  <conditionalFormatting sqref="T697">
    <cfRule type="expression" dxfId="6124" priority="11217" stopIfTrue="1">
      <formula>$B697="INSUMO"</formula>
    </cfRule>
  </conditionalFormatting>
  <conditionalFormatting sqref="W697">
    <cfRule type="containsText" dxfId="6123" priority="11216" stopIfTrue="1" operator="containsText" text="INSERIR">
      <formula>NOT(ISERROR(SEARCH("INSERIR",W697)))</formula>
    </cfRule>
  </conditionalFormatting>
  <conditionalFormatting sqref="S697:S699">
    <cfRule type="expression" dxfId="6122" priority="11210">
      <formula>$B697="Unidade Construtiva"</formula>
    </cfRule>
    <cfRule type="expression" dxfId="6121" priority="11211">
      <formula>$B697="Serviço"</formula>
    </cfRule>
    <cfRule type="expression" dxfId="6120" priority="11212">
      <formula>$B697="Insumo"</formula>
    </cfRule>
    <cfRule type="expression" dxfId="6119" priority="11213">
      <formula>$B697="Etapa"</formula>
    </cfRule>
    <cfRule type="expression" dxfId="6118" priority="11214">
      <formula>$B697="Célula Construtiva"</formula>
    </cfRule>
    <cfRule type="expression" dxfId="6117" priority="11215">
      <formula>$B697="Subetapa"</formula>
    </cfRule>
  </conditionalFormatting>
  <conditionalFormatting sqref="V726:V727 V745 V736:V737 V733 V751:V753 V749">
    <cfRule type="expression" dxfId="6116" priority="11202" stopIfTrue="1">
      <formula>$B726="insumo"</formula>
    </cfRule>
  </conditionalFormatting>
  <conditionalFormatting sqref="T726:U726 AA726:AA729 AA733:AA753 T733:U733 T727 T749:U749 T745 T736:U737 T751:U752">
    <cfRule type="expression" dxfId="6115" priority="11201" stopIfTrue="1">
      <formula>$B726="SERVIÇO"</formula>
    </cfRule>
  </conditionalFormatting>
  <conditionalFormatting sqref="AE726:AF729 AE733:AF753 A726:E729 V727:AC727 V753 A733:E753 V745:AC745 AA728:AC729 AA734:AC735 AA738:AC744 AA746:AC748 AA750:AC750 AA753:AC753 G743:R743 G744:S744 G753:S753 G750:S750 G751:AC752 G746:S748 G738:S742 G734:S735 G736:AC737 G745:T745 G749:AC749 G727:T727 G728:S729 G733:AC733 G726:AC726">
    <cfRule type="expression" dxfId="6114" priority="11203">
      <formula>$B726="Unidade Construtiva"</formula>
    </cfRule>
    <cfRule type="expression" dxfId="6113" priority="11204">
      <formula>$B726="Serviço"</formula>
    </cfRule>
    <cfRule type="expression" dxfId="6112" priority="11205">
      <formula>$B726="Insumo"</formula>
    </cfRule>
    <cfRule type="expression" dxfId="6111" priority="11206">
      <formula>$B726="Etapa"</formula>
    </cfRule>
    <cfRule type="expression" dxfId="6110" priority="11207">
      <formula>$B726="Célula Construtiva"</formula>
    </cfRule>
    <cfRule type="expression" dxfId="6109" priority="11208">
      <formula>$B726="Subetapa"</formula>
    </cfRule>
  </conditionalFormatting>
  <conditionalFormatting sqref="T726:T727 T733 T736:T737 T745 T749 T751:T752">
    <cfRule type="expression" dxfId="6108" priority="11200" stopIfTrue="1">
      <formula>$B726="INSUMO"</formula>
    </cfRule>
  </conditionalFormatting>
  <conditionalFormatting sqref="W726:W727 W733 W736:W737 W745 W749 W751:W752">
    <cfRule type="containsText" dxfId="6107" priority="11199" stopIfTrue="1" operator="containsText" text="INSERIR">
      <formula>NOT(ISERROR(SEARCH("INSERIR",W726)))</formula>
    </cfRule>
  </conditionalFormatting>
  <conditionalFormatting sqref="V730">
    <cfRule type="expression" dxfId="6106" priority="11191" stopIfTrue="1">
      <formula>$B730="insumo"</formula>
    </cfRule>
  </conditionalFormatting>
  <conditionalFormatting sqref="AA730:AA732 T730">
    <cfRule type="expression" dxfId="6105" priority="11190" stopIfTrue="1">
      <formula>$B730="SERVIÇO"</formula>
    </cfRule>
  </conditionalFormatting>
  <conditionalFormatting sqref="A730:E732 AE730:AF732 T730 V730:AC730 AA731:AC732 G730:R732">
    <cfRule type="expression" dxfId="6104" priority="11192">
      <formula>$B730="Unidade Construtiva"</formula>
    </cfRule>
    <cfRule type="expression" dxfId="6103" priority="11193">
      <formula>$B730="Serviço"</formula>
    </cfRule>
    <cfRule type="expression" dxfId="6102" priority="11194">
      <formula>$B730="Insumo"</formula>
    </cfRule>
    <cfRule type="expression" dxfId="6101" priority="11195">
      <formula>$B730="Etapa"</formula>
    </cfRule>
    <cfRule type="expression" dxfId="6100" priority="11196">
      <formula>$B730="Célula Construtiva"</formula>
    </cfRule>
    <cfRule type="expression" dxfId="6099" priority="11197">
      <formula>$B730="Subetapa"</formula>
    </cfRule>
  </conditionalFormatting>
  <conditionalFormatting sqref="T730">
    <cfRule type="expression" dxfId="6098" priority="11189" stopIfTrue="1">
      <formula>$B730="INSUMO"</formula>
    </cfRule>
  </conditionalFormatting>
  <conditionalFormatting sqref="W730">
    <cfRule type="containsText" dxfId="6097" priority="11188" stopIfTrue="1" operator="containsText" text="INSERIR">
      <formula>NOT(ISERROR(SEARCH("INSERIR",W730)))</formula>
    </cfRule>
  </conditionalFormatting>
  <conditionalFormatting sqref="S730:S732">
    <cfRule type="expression" dxfId="6096" priority="11182">
      <formula>$B730="Unidade Construtiva"</formula>
    </cfRule>
    <cfRule type="expression" dxfId="6095" priority="11183">
      <formula>$B730="Serviço"</formula>
    </cfRule>
    <cfRule type="expression" dxfId="6094" priority="11184">
      <formula>$B730="Insumo"</formula>
    </cfRule>
    <cfRule type="expression" dxfId="6093" priority="11185">
      <formula>$B730="Etapa"</formula>
    </cfRule>
    <cfRule type="expression" dxfId="6092" priority="11186">
      <formula>$B730="Célula Construtiva"</formula>
    </cfRule>
    <cfRule type="expression" dxfId="6091" priority="11187">
      <formula>$B730="Subetapa"</formula>
    </cfRule>
  </conditionalFormatting>
  <conditionalFormatting sqref="U727">
    <cfRule type="expression" dxfId="6090" priority="11175" stopIfTrue="1">
      <formula>$B727="SERVIÇO"</formula>
    </cfRule>
  </conditionalFormatting>
  <conditionalFormatting sqref="U727">
    <cfRule type="expression" dxfId="6089" priority="11176">
      <formula>$B727="Unidade Construtiva"</formula>
    </cfRule>
    <cfRule type="expression" dxfId="6088" priority="11177">
      <formula>$B727="Serviço"</formula>
    </cfRule>
    <cfRule type="expression" dxfId="6087" priority="11178">
      <formula>$B727="Insumo"</formula>
    </cfRule>
    <cfRule type="expression" dxfId="6086" priority="11179">
      <formula>$B727="Etapa"</formula>
    </cfRule>
    <cfRule type="expression" dxfId="6085" priority="11180">
      <formula>$B727="Célula Construtiva"</formula>
    </cfRule>
    <cfRule type="expression" dxfId="6084" priority="11181">
      <formula>$B727="Subetapa"</formula>
    </cfRule>
  </conditionalFormatting>
  <conditionalFormatting sqref="U730">
    <cfRule type="expression" dxfId="6083" priority="11168" stopIfTrue="1">
      <formula>$B730="SERVIÇO"</formula>
    </cfRule>
  </conditionalFormatting>
  <conditionalFormatting sqref="U730">
    <cfRule type="expression" dxfId="6082" priority="11169">
      <formula>$B730="Unidade Construtiva"</formula>
    </cfRule>
    <cfRule type="expression" dxfId="6081" priority="11170">
      <formula>$B730="Serviço"</formula>
    </cfRule>
    <cfRule type="expression" dxfId="6080" priority="11171">
      <formula>$B730="Insumo"</formula>
    </cfRule>
    <cfRule type="expression" dxfId="6079" priority="11172">
      <formula>$B730="Etapa"</formula>
    </cfRule>
    <cfRule type="expression" dxfId="6078" priority="11173">
      <formula>$B730="Célula Construtiva"</formula>
    </cfRule>
    <cfRule type="expression" dxfId="6077" priority="11174">
      <formula>$B730="Subetapa"</formula>
    </cfRule>
  </conditionalFormatting>
  <conditionalFormatting sqref="V755:V756 V762 V774 V765:V766 V780:V782 V778">
    <cfRule type="expression" dxfId="6076" priority="11160" stopIfTrue="1">
      <formula>$B755="insumo"</formula>
    </cfRule>
  </conditionalFormatting>
  <conditionalFormatting sqref="T755:U755 AA755:AA758 AA762:AA782 T762:U762 T756 T765:U766 T774:U774 T778:U778 T780:U781">
    <cfRule type="expression" dxfId="6075" priority="11159" stopIfTrue="1">
      <formula>$B755="SERVIÇO"</formula>
    </cfRule>
  </conditionalFormatting>
  <conditionalFormatting sqref="AE755:AF758 AE762:AF782 A755:E758 V756:AC756 V782 A762:E782 AA757:AC758 AA763:AC764 AA767:AC773 AA775:AC777 AA779:AC779 AA782:AC782 G772:R772 G773:S773 G782:S782 G779:S779 G780:AC781 G775:S777 G778:AC778 G767:S771 G774:AC774 G763:S764 G765:AC766 G756:T756 G757:S758 G762:AC762 G755:AC755">
    <cfRule type="expression" dxfId="6074" priority="11161">
      <formula>$B755="Unidade Construtiva"</formula>
    </cfRule>
    <cfRule type="expression" dxfId="6073" priority="11162">
      <formula>$B755="Serviço"</formula>
    </cfRule>
    <cfRule type="expression" dxfId="6072" priority="11163">
      <formula>$B755="Insumo"</formula>
    </cfRule>
    <cfRule type="expression" dxfId="6071" priority="11164">
      <formula>$B755="Etapa"</formula>
    </cfRule>
    <cfRule type="expression" dxfId="6070" priority="11165">
      <formula>$B755="Célula Construtiva"</formula>
    </cfRule>
    <cfRule type="expression" dxfId="6069" priority="11166">
      <formula>$B755="Subetapa"</formula>
    </cfRule>
  </conditionalFormatting>
  <conditionalFormatting sqref="T755:T756 T762 T765:T766 T774 T778 T780:T781">
    <cfRule type="expression" dxfId="6068" priority="11158" stopIfTrue="1">
      <formula>$B755="INSUMO"</formula>
    </cfRule>
  </conditionalFormatting>
  <conditionalFormatting sqref="W755:W756 W762 W765:W766 W774 W778 W780:W781">
    <cfRule type="containsText" dxfId="6067" priority="11157" stopIfTrue="1" operator="containsText" text="INSERIR">
      <formula>NOT(ISERROR(SEARCH("INSERIR",W755)))</formula>
    </cfRule>
  </conditionalFormatting>
  <conditionalFormatting sqref="V759">
    <cfRule type="expression" dxfId="6066" priority="11149" stopIfTrue="1">
      <formula>$B759="insumo"</formula>
    </cfRule>
  </conditionalFormatting>
  <conditionalFormatting sqref="AA759:AA761 T759">
    <cfRule type="expression" dxfId="6065" priority="11148" stopIfTrue="1">
      <formula>$B759="SERVIÇO"</formula>
    </cfRule>
  </conditionalFormatting>
  <conditionalFormatting sqref="A759:E761 AE759:AF761 T759 V759:AC759 AA760:AC761 G759:R761">
    <cfRule type="expression" dxfId="6064" priority="11150">
      <formula>$B759="Unidade Construtiva"</formula>
    </cfRule>
    <cfRule type="expression" dxfId="6063" priority="11151">
      <formula>$B759="Serviço"</formula>
    </cfRule>
    <cfRule type="expression" dxfId="6062" priority="11152">
      <formula>$B759="Insumo"</formula>
    </cfRule>
    <cfRule type="expression" dxfId="6061" priority="11153">
      <formula>$B759="Etapa"</formula>
    </cfRule>
    <cfRule type="expression" dxfId="6060" priority="11154">
      <formula>$B759="Célula Construtiva"</formula>
    </cfRule>
    <cfRule type="expression" dxfId="6059" priority="11155">
      <formula>$B759="Subetapa"</formula>
    </cfRule>
  </conditionalFormatting>
  <conditionalFormatting sqref="T759">
    <cfRule type="expression" dxfId="6058" priority="11147" stopIfTrue="1">
      <formula>$B759="INSUMO"</formula>
    </cfRule>
  </conditionalFormatting>
  <conditionalFormatting sqref="W759">
    <cfRule type="containsText" dxfId="6057" priority="11146" stopIfTrue="1" operator="containsText" text="INSERIR">
      <formula>NOT(ISERROR(SEARCH("INSERIR",W759)))</formula>
    </cfRule>
  </conditionalFormatting>
  <conditionalFormatting sqref="S759:S761">
    <cfRule type="expression" dxfId="6056" priority="11140">
      <formula>$B759="Unidade Construtiva"</formula>
    </cfRule>
    <cfRule type="expression" dxfId="6055" priority="11141">
      <formula>$B759="Serviço"</formula>
    </cfRule>
    <cfRule type="expression" dxfId="6054" priority="11142">
      <formula>$B759="Insumo"</formula>
    </cfRule>
    <cfRule type="expression" dxfId="6053" priority="11143">
      <formula>$B759="Etapa"</formula>
    </cfRule>
    <cfRule type="expression" dxfId="6052" priority="11144">
      <formula>$B759="Célula Construtiva"</formula>
    </cfRule>
    <cfRule type="expression" dxfId="6051" priority="11145">
      <formula>$B759="Subetapa"</formula>
    </cfRule>
  </conditionalFormatting>
  <conditionalFormatting sqref="U756">
    <cfRule type="expression" dxfId="6050" priority="11133" stopIfTrue="1">
      <formula>$B756="SERVIÇO"</formula>
    </cfRule>
  </conditionalFormatting>
  <conditionalFormatting sqref="U756">
    <cfRule type="expression" dxfId="6049" priority="11134">
      <formula>$B756="Unidade Construtiva"</formula>
    </cfRule>
    <cfRule type="expression" dxfId="6048" priority="11135">
      <formula>$B756="Serviço"</formula>
    </cfRule>
    <cfRule type="expression" dxfId="6047" priority="11136">
      <formula>$B756="Insumo"</formula>
    </cfRule>
    <cfRule type="expression" dxfId="6046" priority="11137">
      <formula>$B756="Etapa"</formula>
    </cfRule>
    <cfRule type="expression" dxfId="6045" priority="11138">
      <formula>$B756="Célula Construtiva"</formula>
    </cfRule>
    <cfRule type="expression" dxfId="6044" priority="11139">
      <formula>$B756="Subetapa"</formula>
    </cfRule>
  </conditionalFormatting>
  <conditionalFormatting sqref="U759">
    <cfRule type="expression" dxfId="6043" priority="11126" stopIfTrue="1">
      <formula>$B759="SERVIÇO"</formula>
    </cfRule>
  </conditionalFormatting>
  <conditionalFormatting sqref="U759">
    <cfRule type="expression" dxfId="6042" priority="11127">
      <formula>$B759="Unidade Construtiva"</formula>
    </cfRule>
    <cfRule type="expression" dxfId="6041" priority="11128">
      <formula>$B759="Serviço"</formula>
    </cfRule>
    <cfRule type="expression" dxfId="6040" priority="11129">
      <formula>$B759="Insumo"</formula>
    </cfRule>
    <cfRule type="expression" dxfId="6039" priority="11130">
      <formula>$B759="Etapa"</formula>
    </cfRule>
    <cfRule type="expression" dxfId="6038" priority="11131">
      <formula>$B759="Célula Construtiva"</formula>
    </cfRule>
    <cfRule type="expression" dxfId="6037" priority="11132">
      <formula>$B759="Subetapa"</formula>
    </cfRule>
  </conditionalFormatting>
  <conditionalFormatting sqref="V703:V704">
    <cfRule type="expression" dxfId="6036" priority="11118" stopIfTrue="1">
      <formula>$B703="insumo"</formula>
    </cfRule>
  </conditionalFormatting>
  <conditionalFormatting sqref="AA703:AA706 T703:U704">
    <cfRule type="expression" dxfId="6035" priority="11117" stopIfTrue="1">
      <formula>$B703="SERVIÇO"</formula>
    </cfRule>
  </conditionalFormatting>
  <conditionalFormatting sqref="AE703:AF706 A703:E706 AA705:AC706 G705:S706 G703:AC704">
    <cfRule type="expression" dxfId="6034" priority="11119">
      <formula>$B703="Unidade Construtiva"</formula>
    </cfRule>
    <cfRule type="expression" dxfId="6033" priority="11120">
      <formula>$B703="Serviço"</formula>
    </cfRule>
    <cfRule type="expression" dxfId="6032" priority="11121">
      <formula>$B703="Insumo"</formula>
    </cfRule>
    <cfRule type="expression" dxfId="6031" priority="11122">
      <formula>$B703="Etapa"</formula>
    </cfRule>
    <cfRule type="expression" dxfId="6030" priority="11123">
      <formula>$B703="Célula Construtiva"</formula>
    </cfRule>
    <cfRule type="expression" dxfId="6029" priority="11124">
      <formula>$B703="Subetapa"</formula>
    </cfRule>
  </conditionalFormatting>
  <conditionalFormatting sqref="T703:T704">
    <cfRule type="expression" dxfId="6028" priority="11116" stopIfTrue="1">
      <formula>$B703="INSUMO"</formula>
    </cfRule>
  </conditionalFormatting>
  <conditionalFormatting sqref="W703:W704">
    <cfRule type="containsText" dxfId="6027" priority="11115" stopIfTrue="1" operator="containsText" text="INSERIR">
      <formula>NOT(ISERROR(SEARCH("INSERIR",W703)))</formula>
    </cfRule>
  </conditionalFormatting>
  <conditionalFormatting sqref="V785">
    <cfRule type="expression" dxfId="6026" priority="11107" stopIfTrue="1">
      <formula>$B785="insumo"</formula>
    </cfRule>
  </conditionalFormatting>
  <conditionalFormatting sqref="AA785:AA787 T785:U785">
    <cfRule type="expression" dxfId="6025" priority="11106" stopIfTrue="1">
      <formula>$B785="SERVIÇO"</formula>
    </cfRule>
  </conditionalFormatting>
  <conditionalFormatting sqref="AE785:AF787 A785:E787 AA786:AC787 G786:S787 G785:AC785">
    <cfRule type="expression" dxfId="6024" priority="11108">
      <formula>$B785="Unidade Construtiva"</formula>
    </cfRule>
    <cfRule type="expression" dxfId="6023" priority="11109">
      <formula>$B785="Serviço"</formula>
    </cfRule>
    <cfRule type="expression" dxfId="6022" priority="11110">
      <formula>$B785="Insumo"</formula>
    </cfRule>
    <cfRule type="expression" dxfId="6021" priority="11111">
      <formula>$B785="Etapa"</formula>
    </cfRule>
    <cfRule type="expression" dxfId="6020" priority="11112">
      <formula>$B785="Célula Construtiva"</formula>
    </cfRule>
    <cfRule type="expression" dxfId="6019" priority="11113">
      <formula>$B785="Subetapa"</formula>
    </cfRule>
  </conditionalFormatting>
  <conditionalFormatting sqref="T785">
    <cfRule type="expression" dxfId="6018" priority="11105" stopIfTrue="1">
      <formula>$B785="INSUMO"</formula>
    </cfRule>
  </conditionalFormatting>
  <conditionalFormatting sqref="W785">
    <cfRule type="containsText" dxfId="6017" priority="11104" stopIfTrue="1" operator="containsText" text="INSERIR">
      <formula>NOT(ISERROR(SEARCH("INSERIR",W785)))</formula>
    </cfRule>
  </conditionalFormatting>
  <conditionalFormatting sqref="T803:U804">
    <cfRule type="expression" dxfId="6016" priority="11095" stopIfTrue="1">
      <formula>$B803="SERVIÇO"</formula>
    </cfRule>
  </conditionalFormatting>
  <conditionalFormatting sqref="A803:E804 G803:AC804">
    <cfRule type="expression" dxfId="6015" priority="11097">
      <formula>$B803="Unidade Construtiva"</formula>
    </cfRule>
    <cfRule type="expression" dxfId="6014" priority="11098">
      <formula>$B803="Serviço"</formula>
    </cfRule>
    <cfRule type="expression" dxfId="6013" priority="11099">
      <formula>$B803="Insumo"</formula>
    </cfRule>
    <cfRule type="expression" dxfId="6012" priority="11100">
      <formula>$B803="Etapa"</formula>
    </cfRule>
    <cfRule type="expression" dxfId="6011" priority="11101">
      <formula>$B803="Célula Construtiva"</formula>
    </cfRule>
    <cfRule type="expression" dxfId="6010" priority="11102">
      <formula>$B803="Subetapa"</formula>
    </cfRule>
  </conditionalFormatting>
  <conditionalFormatting sqref="T803:T804">
    <cfRule type="expression" dxfId="6009" priority="11094" stopIfTrue="1">
      <formula>$B803="INSUMO"</formula>
    </cfRule>
  </conditionalFormatting>
  <conditionalFormatting sqref="W803:W804">
    <cfRule type="containsText" dxfId="6008" priority="11093" stopIfTrue="1" operator="containsText" text="INSERIR">
      <formula>NOT(ISERROR(SEARCH("INSERIR",W803)))</formula>
    </cfRule>
  </conditionalFormatting>
  <conditionalFormatting sqref="V1861:V1863">
    <cfRule type="expression" dxfId="6007" priority="10946" stopIfTrue="1">
      <formula>$B1861="insumo"</formula>
    </cfRule>
  </conditionalFormatting>
  <conditionalFormatting sqref="AA1861:AA1863 T1861">
    <cfRule type="expression" dxfId="6006" priority="10945" stopIfTrue="1">
      <formula>$B1861="SERVIÇO"</formula>
    </cfRule>
  </conditionalFormatting>
  <conditionalFormatting sqref="AE1861:AF1863 A1861:E1863 V1861:AC1861 V1862:V1863 AA1862:AC1863 G1861:T1861 G1862:S1863">
    <cfRule type="expression" dxfId="6005" priority="10947">
      <formula>$B1861="Unidade Construtiva"</formula>
    </cfRule>
    <cfRule type="expression" dxfId="6004" priority="10948">
      <formula>$B1861="Serviço"</formula>
    </cfRule>
    <cfRule type="expression" dxfId="6003" priority="10949">
      <formula>$B1861="Insumo"</formula>
    </cfRule>
    <cfRule type="expression" dxfId="6002" priority="10950">
      <formula>$B1861="Etapa"</formula>
    </cfRule>
    <cfRule type="expression" dxfId="6001" priority="10951">
      <formula>$B1861="Célula Construtiva"</formula>
    </cfRule>
    <cfRule type="expression" dxfId="6000" priority="10952">
      <formula>$B1861="Subetapa"</formula>
    </cfRule>
  </conditionalFormatting>
  <conditionalFormatting sqref="T1861">
    <cfRule type="expression" dxfId="5999" priority="10944" stopIfTrue="1">
      <formula>$B1861="INSUMO"</formula>
    </cfRule>
  </conditionalFormatting>
  <conditionalFormatting sqref="W1861">
    <cfRule type="containsText" dxfId="5998" priority="10943" stopIfTrue="1" operator="containsText" text="INSERIR">
      <formula>NOT(ISERROR(SEARCH("INSERIR",W1861)))</formula>
    </cfRule>
  </conditionalFormatting>
  <conditionalFormatting sqref="U1861">
    <cfRule type="expression" dxfId="5997" priority="10936" stopIfTrue="1">
      <formula>$B1861="SERVIÇO"</formula>
    </cfRule>
  </conditionalFormatting>
  <conditionalFormatting sqref="U1861">
    <cfRule type="expression" dxfId="5996" priority="10937">
      <formula>$B1861="Unidade Construtiva"</formula>
    </cfRule>
    <cfRule type="expression" dxfId="5995" priority="10938">
      <formula>$B1861="Serviço"</formula>
    </cfRule>
    <cfRule type="expression" dxfId="5994" priority="10939">
      <formula>$B1861="Insumo"</formula>
    </cfRule>
    <cfRule type="expression" dxfId="5993" priority="10940">
      <formula>$B1861="Etapa"</formula>
    </cfRule>
    <cfRule type="expression" dxfId="5992" priority="10941">
      <formula>$B1861="Célula Construtiva"</formula>
    </cfRule>
    <cfRule type="expression" dxfId="5991" priority="10942">
      <formula>$B1861="Subetapa"</formula>
    </cfRule>
  </conditionalFormatting>
  <conditionalFormatting sqref="U1864">
    <cfRule type="expression" dxfId="5990" priority="10929" stopIfTrue="1">
      <formula>$B1864="SERVIÇO"</formula>
    </cfRule>
  </conditionalFormatting>
  <conditionalFormatting sqref="U1864">
    <cfRule type="expression" dxfId="5989" priority="10930">
      <formula>$B1864="Unidade Construtiva"</formula>
    </cfRule>
    <cfRule type="expression" dxfId="5988" priority="10931">
      <formula>$B1864="Serviço"</formula>
    </cfRule>
    <cfRule type="expression" dxfId="5987" priority="10932">
      <formula>$B1864="Insumo"</formula>
    </cfRule>
    <cfRule type="expression" dxfId="5986" priority="10933">
      <formula>$B1864="Etapa"</formula>
    </cfRule>
    <cfRule type="expression" dxfId="5985" priority="10934">
      <formula>$B1864="Célula Construtiva"</formula>
    </cfRule>
    <cfRule type="expression" dxfId="5984" priority="10935">
      <formula>$B1864="Subetapa"</formula>
    </cfRule>
  </conditionalFormatting>
  <conditionalFormatting sqref="V1884 V1887 V1893:V1896 V1879:V1882">
    <cfRule type="expression" dxfId="5983" priority="10914" stopIfTrue="1">
      <formula>$B1879="insumo"</formula>
    </cfRule>
  </conditionalFormatting>
  <conditionalFormatting sqref="T1879:U1880 AA1879:AA1882 T1900 T1884:U1884 T1893:U1894 AA1887:AA1888 U1882 T1912:U1912 AA1892">
    <cfRule type="expression" dxfId="5982" priority="10913" stopIfTrue="1">
      <formula>$B1879="SERVIÇO"</formula>
    </cfRule>
  </conditionalFormatting>
  <conditionalFormatting sqref="AE1879:AF1882 A1900:E1902 A1887:E1888 AE1887:AF1888 T1879:AC1879 V1887:AC1887 A1879:E1882 V1881 V1895:V1896 V1900:AC1900 A1912:E1913 V1913 AA1881:AC1881 AA1888:AC1888 AA1895:AC1896 V1901:V1902 AA1901:AC1902 AA1913:AC1913 A1884:E1885 AA1892:AC1892 AE1892:AF1892 A1892:E1896 U1882:AC1882 G1892:S1892 G1885:R1885 G1913:S1913 G1912:AC1912 G1895:S1896 G1881:S1882 G1879:R1879 G1888:S1888 G1900:T1900 G1901:S1902 G1880:AC1880 G1893:AC1894 G1887:R1887 G1884:AC1884">
    <cfRule type="expression" dxfId="5981" priority="10915">
      <formula>$B1879="Unidade Construtiva"</formula>
    </cfRule>
    <cfRule type="expression" dxfId="5980" priority="10916">
      <formula>$B1879="Serviço"</formula>
    </cfRule>
    <cfRule type="expression" dxfId="5979" priority="10917">
      <formula>$B1879="Insumo"</formula>
    </cfRule>
    <cfRule type="expression" dxfId="5978" priority="10918">
      <formula>$B1879="Etapa"</formula>
    </cfRule>
    <cfRule type="expression" dxfId="5977" priority="10919">
      <formula>$B1879="Célula Construtiva"</formula>
    </cfRule>
    <cfRule type="expression" dxfId="5976" priority="10920">
      <formula>$B1879="Subetapa"</formula>
    </cfRule>
  </conditionalFormatting>
  <conditionalFormatting sqref="T1879:T1880 T1900 T1884 T1893:T1894 T1912">
    <cfRule type="expression" dxfId="5975" priority="10912" stopIfTrue="1">
      <formula>$B1879="INSUMO"</formula>
    </cfRule>
  </conditionalFormatting>
  <conditionalFormatting sqref="W1879:W1880 W1900 W1887 W1882 W1893:W1894 W1911:W1912">
    <cfRule type="containsText" dxfId="5974" priority="10911" stopIfTrue="1" operator="containsText" text="INSERIR">
      <formula>NOT(ISERROR(SEARCH("INSERIR",W1879)))</formula>
    </cfRule>
  </conditionalFormatting>
  <conditionalFormatting sqref="U1884">
    <cfRule type="expression" dxfId="5973" priority="10902" stopIfTrue="1">
      <formula>$B1884="SERVIÇO"</formula>
    </cfRule>
  </conditionalFormatting>
  <conditionalFormatting sqref="U1884">
    <cfRule type="expression" dxfId="5972" priority="10903">
      <formula>$B1884="Unidade Construtiva"</formula>
    </cfRule>
    <cfRule type="expression" dxfId="5971" priority="10904">
      <formula>$B1884="Serviço"</formula>
    </cfRule>
    <cfRule type="expression" dxfId="5970" priority="10905">
      <formula>$B1884="Insumo"</formula>
    </cfRule>
    <cfRule type="expression" dxfId="5969" priority="10906">
      <formula>$B1884="Etapa"</formula>
    </cfRule>
    <cfRule type="expression" dxfId="5968" priority="10907">
      <formula>$B1884="Célula Construtiva"</formula>
    </cfRule>
    <cfRule type="expression" dxfId="5967" priority="10908">
      <formula>$B1884="Subetapa"</formula>
    </cfRule>
  </conditionalFormatting>
  <conditionalFormatting sqref="V1888 V1892">
    <cfRule type="expression" dxfId="5966" priority="10838" stopIfTrue="1">
      <formula>$B1888="insumo"</formula>
    </cfRule>
  </conditionalFormatting>
  <conditionalFormatting sqref="V1888 V1892">
    <cfRule type="expression" dxfId="5965" priority="10839">
      <formula>$B1888="Unidade Construtiva"</formula>
    </cfRule>
    <cfRule type="expression" dxfId="5964" priority="10840">
      <formula>$B1888="Serviço"</formula>
    </cfRule>
    <cfRule type="expression" dxfId="5963" priority="10841">
      <formula>$B1888="Insumo"</formula>
    </cfRule>
    <cfRule type="expression" dxfId="5962" priority="10842">
      <formula>$B1888="Etapa"</formula>
    </cfRule>
    <cfRule type="expression" dxfId="5961" priority="10843">
      <formula>$B1888="Célula Construtiva"</formula>
    </cfRule>
    <cfRule type="expression" dxfId="5960" priority="10844">
      <formula>$B1888="Subetapa"</formula>
    </cfRule>
  </conditionalFormatting>
  <conditionalFormatting sqref="V1888 V1892">
    <cfRule type="expression" dxfId="5959" priority="10837" stopIfTrue="1">
      <formula>$B1888="SERVIÇO"</formula>
    </cfRule>
  </conditionalFormatting>
  <conditionalFormatting sqref="V1897:V1899">
    <cfRule type="expression" dxfId="5958" priority="10821" stopIfTrue="1">
      <formula>$B1897="insumo"</formula>
    </cfRule>
  </conditionalFormatting>
  <conditionalFormatting sqref="AA1897:AA1899 T1897">
    <cfRule type="expression" dxfId="5957" priority="10820" stopIfTrue="1">
      <formula>$B1897="SERVIÇO"</formula>
    </cfRule>
  </conditionalFormatting>
  <conditionalFormatting sqref="AE1897:AF1899 A1897:E1899 V1897:AC1897 V1898:V1899 AA1898:AC1899 G1897:T1897 G1898:S1899">
    <cfRule type="expression" dxfId="5956" priority="10822">
      <formula>$B1897="Unidade Construtiva"</formula>
    </cfRule>
    <cfRule type="expression" dxfId="5955" priority="10823">
      <formula>$B1897="Serviço"</formula>
    </cfRule>
    <cfRule type="expression" dxfId="5954" priority="10824">
      <formula>$B1897="Insumo"</formula>
    </cfRule>
    <cfRule type="expression" dxfId="5953" priority="10825">
      <formula>$B1897="Etapa"</formula>
    </cfRule>
    <cfRule type="expression" dxfId="5952" priority="10826">
      <formula>$B1897="Célula Construtiva"</formula>
    </cfRule>
    <cfRule type="expression" dxfId="5951" priority="10827">
      <formula>$B1897="Subetapa"</formula>
    </cfRule>
  </conditionalFormatting>
  <conditionalFormatting sqref="T1897">
    <cfRule type="expression" dxfId="5950" priority="10819" stopIfTrue="1">
      <formula>$B1897="INSUMO"</formula>
    </cfRule>
  </conditionalFormatting>
  <conditionalFormatting sqref="W1897">
    <cfRule type="containsText" dxfId="5949" priority="10818" stopIfTrue="1" operator="containsText" text="INSERIR">
      <formula>NOT(ISERROR(SEARCH("INSERIR",W1897)))</formula>
    </cfRule>
  </conditionalFormatting>
  <conditionalFormatting sqref="U1897">
    <cfRule type="expression" dxfId="5948" priority="10811" stopIfTrue="1">
      <formula>$B1897="SERVIÇO"</formula>
    </cfRule>
  </conditionalFormatting>
  <conditionalFormatting sqref="U1897">
    <cfRule type="expression" dxfId="5947" priority="10812">
      <formula>$B1897="Unidade Construtiva"</formula>
    </cfRule>
    <cfRule type="expression" dxfId="5946" priority="10813">
      <formula>$B1897="Serviço"</formula>
    </cfRule>
    <cfRule type="expression" dxfId="5945" priority="10814">
      <formula>$B1897="Insumo"</formula>
    </cfRule>
    <cfRule type="expression" dxfId="5944" priority="10815">
      <formula>$B1897="Etapa"</formula>
    </cfRule>
    <cfRule type="expression" dxfId="5943" priority="10816">
      <formula>$B1897="Célula Construtiva"</formula>
    </cfRule>
    <cfRule type="expression" dxfId="5942" priority="10817">
      <formula>$B1897="Subetapa"</formula>
    </cfRule>
  </conditionalFormatting>
  <conditionalFormatting sqref="U1900">
    <cfRule type="expression" dxfId="5941" priority="10804" stopIfTrue="1">
      <formula>$B1900="SERVIÇO"</formula>
    </cfRule>
  </conditionalFormatting>
  <conditionalFormatting sqref="U1900">
    <cfRule type="expression" dxfId="5940" priority="10805">
      <formula>$B1900="Unidade Construtiva"</formula>
    </cfRule>
    <cfRule type="expression" dxfId="5939" priority="10806">
      <formula>$B1900="Serviço"</formula>
    </cfRule>
    <cfRule type="expression" dxfId="5938" priority="10807">
      <formula>$B1900="Insumo"</formula>
    </cfRule>
    <cfRule type="expression" dxfId="5937" priority="10808">
      <formula>$B1900="Etapa"</formula>
    </cfRule>
    <cfRule type="expression" dxfId="5936" priority="10809">
      <formula>$B1900="Célula Construtiva"</formula>
    </cfRule>
    <cfRule type="expression" dxfId="5935" priority="10810">
      <formula>$B1900="Subetapa"</formula>
    </cfRule>
  </conditionalFormatting>
  <conditionalFormatting sqref="V1920 V1923 V1915:V1918 V1928:V1933">
    <cfRule type="expression" dxfId="5934" priority="10789" stopIfTrue="1">
      <formula>$B1915="insumo"</formula>
    </cfRule>
  </conditionalFormatting>
  <conditionalFormatting sqref="T1915:U1916 AA1915:AA1918 T1920:U1920 T1928 T1931 AA1928:AA1933 AA1923:AA1924 U1923 T1940:U1940">
    <cfRule type="expression" dxfId="5933" priority="10788" stopIfTrue="1">
      <formula>$B1915="SERVIÇO"</formula>
    </cfRule>
  </conditionalFormatting>
  <conditionalFormatting sqref="A1920:E1920 A1923:E1924 AE1915:AF1918 AE1928:AF1933 T1915:AC1915 AE1923:AF1924 U1923:AC1923 V1917 A1928:E1933 V1928:AC1928 A1940:E1941 V1941 AA1917:AC1917 AA1924:AC1924 V1931:AC1931 V1929:V1930 AA1929:AC1930 V1932:V1933 AA1932:AC1933 AA1941:AC1941 V1918:AC1918 A1915:E1918 G1917:S1918 G1941:S1941 G1940:AC1940 G1932:S1933 G1915:R1915 G1931:T1931 G1928:T1928 G1929:S1930 G1916:AC1916 G1923:R1923 G1924:S1924 G1920:AC1920">
    <cfRule type="expression" dxfId="5932" priority="10790">
      <formula>$B1915="Unidade Construtiva"</formula>
    </cfRule>
    <cfRule type="expression" dxfId="5931" priority="10791">
      <formula>$B1915="Serviço"</formula>
    </cfRule>
    <cfRule type="expression" dxfId="5930" priority="10792">
      <formula>$B1915="Insumo"</formula>
    </cfRule>
    <cfRule type="expression" dxfId="5929" priority="10793">
      <formula>$B1915="Etapa"</formula>
    </cfRule>
    <cfRule type="expression" dxfId="5928" priority="10794">
      <formula>$B1915="Célula Construtiva"</formula>
    </cfRule>
    <cfRule type="expression" dxfId="5927" priority="10795">
      <formula>$B1915="Subetapa"</formula>
    </cfRule>
  </conditionalFormatting>
  <conditionalFormatting sqref="T1915:T1916 T1920 T1928 T1931 T1940">
    <cfRule type="expression" dxfId="5926" priority="10787" stopIfTrue="1">
      <formula>$B1915="INSUMO"</formula>
    </cfRule>
  </conditionalFormatting>
  <conditionalFormatting sqref="W1915:W1916 W1927:W1928 W1923 W1918 W1931 W1939:W1940">
    <cfRule type="containsText" dxfId="5925" priority="10786" stopIfTrue="1" operator="containsText" text="INSERIR">
      <formula>NOT(ISERROR(SEARCH("INSERIR",W1915)))</formula>
    </cfRule>
  </conditionalFormatting>
  <conditionalFormatting sqref="U1920">
    <cfRule type="expression" dxfId="5924" priority="10777" stopIfTrue="1">
      <formula>$B1920="SERVIÇO"</formula>
    </cfRule>
  </conditionalFormatting>
  <conditionalFormatting sqref="U1920">
    <cfRule type="expression" dxfId="5923" priority="10778">
      <formula>$B1920="Unidade Construtiva"</formula>
    </cfRule>
    <cfRule type="expression" dxfId="5922" priority="10779">
      <formula>$B1920="Serviço"</formula>
    </cfRule>
    <cfRule type="expression" dxfId="5921" priority="10780">
      <formula>$B1920="Insumo"</formula>
    </cfRule>
    <cfRule type="expression" dxfId="5920" priority="10781">
      <formula>$B1920="Etapa"</formula>
    </cfRule>
    <cfRule type="expression" dxfId="5919" priority="10782">
      <formula>$B1920="Célula Construtiva"</formula>
    </cfRule>
    <cfRule type="expression" dxfId="5918" priority="10783">
      <formula>$B1920="Subetapa"</formula>
    </cfRule>
  </conditionalFormatting>
  <conditionalFormatting sqref="V1924">
    <cfRule type="expression" dxfId="5917" priority="10713" stopIfTrue="1">
      <formula>$B1924="insumo"</formula>
    </cfRule>
  </conditionalFormatting>
  <conditionalFormatting sqref="V1924">
    <cfRule type="expression" dxfId="5916" priority="10714">
      <formula>$B1924="Unidade Construtiva"</formula>
    </cfRule>
    <cfRule type="expression" dxfId="5915" priority="10715">
      <formula>$B1924="Serviço"</formula>
    </cfRule>
    <cfRule type="expression" dxfId="5914" priority="10716">
      <formula>$B1924="Insumo"</formula>
    </cfRule>
    <cfRule type="expression" dxfId="5913" priority="10717">
      <formula>$B1924="Etapa"</formula>
    </cfRule>
    <cfRule type="expression" dxfId="5912" priority="10718">
      <formula>$B1924="Célula Construtiva"</formula>
    </cfRule>
    <cfRule type="expression" dxfId="5911" priority="10719">
      <formula>$B1924="Subetapa"</formula>
    </cfRule>
  </conditionalFormatting>
  <conditionalFormatting sqref="V1924">
    <cfRule type="expression" dxfId="5910" priority="10712" stopIfTrue="1">
      <formula>$B1924="SERVIÇO"</formula>
    </cfRule>
  </conditionalFormatting>
  <conditionalFormatting sqref="U1928">
    <cfRule type="expression" dxfId="5909" priority="10658" stopIfTrue="1">
      <formula>$B1928="SERVIÇO"</formula>
    </cfRule>
  </conditionalFormatting>
  <conditionalFormatting sqref="U1928">
    <cfRule type="expression" dxfId="5908" priority="10659">
      <formula>$B1928="Unidade Construtiva"</formula>
    </cfRule>
    <cfRule type="expression" dxfId="5907" priority="10660">
      <formula>$B1928="Serviço"</formula>
    </cfRule>
    <cfRule type="expression" dxfId="5906" priority="10661">
      <formula>$B1928="Insumo"</formula>
    </cfRule>
    <cfRule type="expression" dxfId="5905" priority="10662">
      <formula>$B1928="Etapa"</formula>
    </cfRule>
    <cfRule type="expression" dxfId="5904" priority="10663">
      <formula>$B1928="Célula Construtiva"</formula>
    </cfRule>
    <cfRule type="expression" dxfId="5903" priority="10664">
      <formula>$B1928="Subetapa"</formula>
    </cfRule>
  </conditionalFormatting>
  <conditionalFormatting sqref="U1931">
    <cfRule type="expression" dxfId="5902" priority="10651" stopIfTrue="1">
      <formula>$B1931="SERVIÇO"</formula>
    </cfRule>
  </conditionalFormatting>
  <conditionalFormatting sqref="U1931">
    <cfRule type="expression" dxfId="5901" priority="10652">
      <formula>$B1931="Unidade Construtiva"</formula>
    </cfRule>
    <cfRule type="expression" dxfId="5900" priority="10653">
      <formula>$B1931="Serviço"</formula>
    </cfRule>
    <cfRule type="expression" dxfId="5899" priority="10654">
      <formula>$B1931="Insumo"</formula>
    </cfRule>
    <cfRule type="expression" dxfId="5898" priority="10655">
      <formula>$B1931="Etapa"</formula>
    </cfRule>
    <cfRule type="expression" dxfId="5897" priority="10656">
      <formula>$B1931="Célula Construtiva"</formula>
    </cfRule>
    <cfRule type="expression" dxfId="5896" priority="10657">
      <formula>$B1931="Subetapa"</formula>
    </cfRule>
  </conditionalFormatting>
  <conditionalFormatting sqref="A1857:E1857 AA1857:AC1857 G1857:S1857">
    <cfRule type="expression" dxfId="5895" priority="10513">
      <formula>$B1857="Unidade Construtiva"</formula>
    </cfRule>
    <cfRule type="expression" dxfId="5894" priority="10514">
      <formula>$B1857="Serviço"</formula>
    </cfRule>
    <cfRule type="expression" dxfId="5893" priority="10515">
      <formula>$B1857="Insumo"</formula>
    </cfRule>
    <cfRule type="expression" dxfId="5892" priority="10516">
      <formula>$B1857="Etapa"</formula>
    </cfRule>
    <cfRule type="expression" dxfId="5891" priority="10517">
      <formula>$B1857="Célula Construtiva"</formula>
    </cfRule>
    <cfRule type="expression" dxfId="5890" priority="10518">
      <formula>$B1857="Subetapa"</formula>
    </cfRule>
  </conditionalFormatting>
  <conditionalFormatting sqref="W1854">
    <cfRule type="containsText" dxfId="5889" priority="10450" stopIfTrue="1" operator="containsText" text="INSERIR">
      <formula>NOT(ISERROR(SEARCH("INSERIR",W1854)))</formula>
    </cfRule>
  </conditionalFormatting>
  <conditionalFormatting sqref="V1853">
    <cfRule type="expression" dxfId="5888" priority="10443" stopIfTrue="1">
      <formula>$B1853="insumo"</formula>
    </cfRule>
  </conditionalFormatting>
  <conditionalFormatting sqref="AA1853 T1853:U1853">
    <cfRule type="expression" dxfId="5887" priority="10442" stopIfTrue="1">
      <formula>$B1853="SERVIÇO"</formula>
    </cfRule>
  </conditionalFormatting>
  <conditionalFormatting sqref="A1853:E1853 AE1853:AF1853 G1853:AC1853">
    <cfRule type="expression" dxfId="5886" priority="10444">
      <formula>$B1853="Unidade Construtiva"</formula>
    </cfRule>
    <cfRule type="expression" dxfId="5885" priority="10445">
      <formula>$B1853="Serviço"</formula>
    </cfRule>
    <cfRule type="expression" dxfId="5884" priority="10446">
      <formula>$B1853="Insumo"</formula>
    </cfRule>
    <cfRule type="expression" dxfId="5883" priority="10447">
      <formula>$B1853="Etapa"</formula>
    </cfRule>
    <cfRule type="expression" dxfId="5882" priority="10448">
      <formula>$B1853="Célula Construtiva"</formula>
    </cfRule>
    <cfRule type="expression" dxfId="5881" priority="10449">
      <formula>$B1853="Subetapa"</formula>
    </cfRule>
  </conditionalFormatting>
  <conditionalFormatting sqref="T1853">
    <cfRule type="expression" dxfId="5880" priority="10441" stopIfTrue="1">
      <formula>$B1853="INSUMO"</formula>
    </cfRule>
  </conditionalFormatting>
  <conditionalFormatting sqref="W1853">
    <cfRule type="containsText" dxfId="5879" priority="10440" stopIfTrue="1" operator="containsText" text="INSERIR">
      <formula>NOT(ISERROR(SEARCH("INSERIR",W1853)))</formula>
    </cfRule>
  </conditionalFormatting>
  <conditionalFormatting sqref="V1886">
    <cfRule type="expression" dxfId="5878" priority="10432" stopIfTrue="1">
      <formula>$B1886="insumo"</formula>
    </cfRule>
  </conditionalFormatting>
  <conditionalFormatting sqref="AA1886 T1886:U1886">
    <cfRule type="expression" dxfId="5877" priority="10431" stopIfTrue="1">
      <formula>$B1886="SERVIÇO"</formula>
    </cfRule>
  </conditionalFormatting>
  <conditionalFormatting sqref="A1886:E1886 AE1886:AF1886 G1886:AC1886">
    <cfRule type="expression" dxfId="5876" priority="10433">
      <formula>$B1886="Unidade Construtiva"</formula>
    </cfRule>
    <cfRule type="expression" dxfId="5875" priority="10434">
      <formula>$B1886="Serviço"</formula>
    </cfRule>
    <cfRule type="expression" dxfId="5874" priority="10435">
      <formula>$B1886="Insumo"</formula>
    </cfRule>
    <cfRule type="expression" dxfId="5873" priority="10436">
      <formula>$B1886="Etapa"</formula>
    </cfRule>
    <cfRule type="expression" dxfId="5872" priority="10437">
      <formula>$B1886="Célula Construtiva"</formula>
    </cfRule>
    <cfRule type="expression" dxfId="5871" priority="10438">
      <formula>$B1886="Subetapa"</formula>
    </cfRule>
  </conditionalFormatting>
  <conditionalFormatting sqref="T1886">
    <cfRule type="expression" dxfId="5870" priority="10430" stopIfTrue="1">
      <formula>$B1886="INSUMO"</formula>
    </cfRule>
  </conditionalFormatting>
  <conditionalFormatting sqref="W1886">
    <cfRule type="containsText" dxfId="5869" priority="10429" stopIfTrue="1" operator="containsText" text="INSERIR">
      <formula>NOT(ISERROR(SEARCH("INSERIR",W1886)))</formula>
    </cfRule>
  </conditionalFormatting>
  <conditionalFormatting sqref="S1879">
    <cfRule type="expression" dxfId="5868" priority="10422">
      <formula>$B1879="Unidade Construtiva"</formula>
    </cfRule>
    <cfRule type="expression" dxfId="5867" priority="10423">
      <formula>$B1879="Serviço"</formula>
    </cfRule>
    <cfRule type="expression" dxfId="5866" priority="10424">
      <formula>$B1879="Insumo"</formula>
    </cfRule>
    <cfRule type="expression" dxfId="5865" priority="10425">
      <formula>$B1879="Etapa"</formula>
    </cfRule>
    <cfRule type="expression" dxfId="5864" priority="10426">
      <formula>$B1879="Célula Construtiva"</formula>
    </cfRule>
    <cfRule type="expression" dxfId="5863" priority="10427">
      <formula>$B1879="Subetapa"</formula>
    </cfRule>
  </conditionalFormatting>
  <conditionalFormatting sqref="S1915">
    <cfRule type="expression" dxfId="5862" priority="10416">
      <formula>$B1915="Unidade Construtiva"</formula>
    </cfRule>
    <cfRule type="expression" dxfId="5861" priority="10417">
      <formula>$B1915="Serviço"</formula>
    </cfRule>
    <cfRule type="expression" dxfId="5860" priority="10418">
      <formula>$B1915="Insumo"</formula>
    </cfRule>
    <cfRule type="expression" dxfId="5859" priority="10419">
      <formula>$B1915="Etapa"</formula>
    </cfRule>
    <cfRule type="expression" dxfId="5858" priority="10420">
      <formula>$B1915="Célula Construtiva"</formula>
    </cfRule>
    <cfRule type="expression" dxfId="5857" priority="10421">
      <formula>$B1915="Subetapa"</formula>
    </cfRule>
  </conditionalFormatting>
  <conditionalFormatting sqref="V1922">
    <cfRule type="expression" dxfId="5856" priority="10409" stopIfTrue="1">
      <formula>$B1922="insumo"</formula>
    </cfRule>
  </conditionalFormatting>
  <conditionalFormatting sqref="AA1922 T1922:U1922">
    <cfRule type="expression" dxfId="5855" priority="10408" stopIfTrue="1">
      <formula>$B1922="SERVIÇO"</formula>
    </cfRule>
  </conditionalFormatting>
  <conditionalFormatting sqref="A1922:E1922 AE1922:AF1922 G1922:AC1922">
    <cfRule type="expression" dxfId="5854" priority="10410">
      <formula>$B1922="Unidade Construtiva"</formula>
    </cfRule>
    <cfRule type="expression" dxfId="5853" priority="10411">
      <formula>$B1922="Serviço"</formula>
    </cfRule>
    <cfRule type="expression" dxfId="5852" priority="10412">
      <formula>$B1922="Insumo"</formula>
    </cfRule>
    <cfRule type="expression" dxfId="5851" priority="10413">
      <formula>$B1922="Etapa"</formula>
    </cfRule>
    <cfRule type="expression" dxfId="5850" priority="10414">
      <formula>$B1922="Célula Construtiva"</formula>
    </cfRule>
    <cfRule type="expression" dxfId="5849" priority="10415">
      <formula>$B1922="Subetapa"</formula>
    </cfRule>
  </conditionalFormatting>
  <conditionalFormatting sqref="T1922">
    <cfRule type="expression" dxfId="5848" priority="10407" stopIfTrue="1">
      <formula>$B1922="INSUMO"</formula>
    </cfRule>
  </conditionalFormatting>
  <conditionalFormatting sqref="W1922">
    <cfRule type="containsText" dxfId="5847" priority="10406" stopIfTrue="1" operator="containsText" text="INSERIR">
      <formula>NOT(ISERROR(SEARCH("INSERIR",W1922)))</formula>
    </cfRule>
  </conditionalFormatting>
  <conditionalFormatting sqref="V1949 V1943:V1946">
    <cfRule type="expression" dxfId="5846" priority="10397" stopIfTrue="1">
      <formula>$B1943="insumo"</formula>
    </cfRule>
  </conditionalFormatting>
  <conditionalFormatting sqref="T1943:U1944 AA1943:AA1946 AA1949:AA1950 U1949">
    <cfRule type="expression" dxfId="5845" priority="10396" stopIfTrue="1">
      <formula>$B1943="SERVIÇO"</formula>
    </cfRule>
  </conditionalFormatting>
  <conditionalFormatting sqref="A1949:E1950 AE1943:AF1946 T1943:AC1943 AE1949:AF1950 U1949:AC1949 A1943:E1946 V1945 AA1945:AC1945 AA1950:AC1950 V1946:AC1946 G1945:S1946 G1943:R1943 G1944:AC1944 G1949:R1949 G1950:S1950">
    <cfRule type="expression" dxfId="5844" priority="10398">
      <formula>$B1943="Unidade Construtiva"</formula>
    </cfRule>
    <cfRule type="expression" dxfId="5843" priority="10399">
      <formula>$B1943="Serviço"</formula>
    </cfRule>
    <cfRule type="expression" dxfId="5842" priority="10400">
      <formula>$B1943="Insumo"</formula>
    </cfRule>
    <cfRule type="expression" dxfId="5841" priority="10401">
      <formula>$B1943="Etapa"</formula>
    </cfRule>
    <cfRule type="expression" dxfId="5840" priority="10402">
      <formula>$B1943="Célula Construtiva"</formula>
    </cfRule>
    <cfRule type="expression" dxfId="5839" priority="10403">
      <formula>$B1943="Subetapa"</formula>
    </cfRule>
  </conditionalFormatting>
  <conditionalFormatting sqref="T1943:T1944">
    <cfRule type="expression" dxfId="5838" priority="10395" stopIfTrue="1">
      <formula>$B1943="INSUMO"</formula>
    </cfRule>
  </conditionalFormatting>
  <conditionalFormatting sqref="W1943:W1944 W1949 W1946">
    <cfRule type="containsText" dxfId="5837" priority="10394" stopIfTrue="1" operator="containsText" text="INSERIR">
      <formula>NOT(ISERROR(SEARCH("INSERIR",W1943)))</formula>
    </cfRule>
  </conditionalFormatting>
  <conditionalFormatting sqref="V1950">
    <cfRule type="expression" dxfId="5836" priority="10321" stopIfTrue="1">
      <formula>$B1950="insumo"</formula>
    </cfRule>
  </conditionalFormatting>
  <conditionalFormatting sqref="V1950">
    <cfRule type="expression" dxfId="5835" priority="10322">
      <formula>$B1950="Unidade Construtiva"</formula>
    </cfRule>
    <cfRule type="expression" dxfId="5834" priority="10323">
      <formula>$B1950="Serviço"</formula>
    </cfRule>
    <cfRule type="expression" dxfId="5833" priority="10324">
      <formula>$B1950="Insumo"</formula>
    </cfRule>
    <cfRule type="expression" dxfId="5832" priority="10325">
      <formula>$B1950="Etapa"</formula>
    </cfRule>
    <cfRule type="expression" dxfId="5831" priority="10326">
      <formula>$B1950="Célula Construtiva"</formula>
    </cfRule>
    <cfRule type="expression" dxfId="5830" priority="10327">
      <formula>$B1950="Subetapa"</formula>
    </cfRule>
  </conditionalFormatting>
  <conditionalFormatting sqref="V1950">
    <cfRule type="expression" dxfId="5829" priority="10320" stopIfTrue="1">
      <formula>$B1950="SERVIÇO"</formula>
    </cfRule>
  </conditionalFormatting>
  <conditionalFormatting sqref="S1943">
    <cfRule type="expression" dxfId="5828" priority="10242">
      <formula>$B1943="Unidade Construtiva"</formula>
    </cfRule>
    <cfRule type="expression" dxfId="5827" priority="10243">
      <formula>$B1943="Serviço"</formula>
    </cfRule>
    <cfRule type="expression" dxfId="5826" priority="10244">
      <formula>$B1943="Insumo"</formula>
    </cfRule>
    <cfRule type="expression" dxfId="5825" priority="10245">
      <formula>$B1943="Etapa"</formula>
    </cfRule>
    <cfRule type="expression" dxfId="5824" priority="10246">
      <formula>$B1943="Célula Construtiva"</formula>
    </cfRule>
    <cfRule type="expression" dxfId="5823" priority="10247">
      <formula>$B1943="Subetapa"</formula>
    </cfRule>
  </conditionalFormatting>
  <conditionalFormatting sqref="V1948">
    <cfRule type="expression" dxfId="5822" priority="10235" stopIfTrue="1">
      <formula>$B1948="insumo"</formula>
    </cfRule>
  </conditionalFormatting>
  <conditionalFormatting sqref="AA1948 T1948:U1948">
    <cfRule type="expression" dxfId="5821" priority="10234" stopIfTrue="1">
      <formula>$B1948="SERVIÇO"</formula>
    </cfRule>
  </conditionalFormatting>
  <conditionalFormatting sqref="A1948:E1948 AE1948:AF1948 G1948:AC1948">
    <cfRule type="expression" dxfId="5820" priority="10236">
      <formula>$B1948="Unidade Construtiva"</formula>
    </cfRule>
    <cfRule type="expression" dxfId="5819" priority="10237">
      <formula>$B1948="Serviço"</formula>
    </cfRule>
    <cfRule type="expression" dxfId="5818" priority="10238">
      <formula>$B1948="Insumo"</formula>
    </cfRule>
    <cfRule type="expression" dxfId="5817" priority="10239">
      <formula>$B1948="Etapa"</formula>
    </cfRule>
    <cfRule type="expression" dxfId="5816" priority="10240">
      <formula>$B1948="Célula Construtiva"</formula>
    </cfRule>
    <cfRule type="expression" dxfId="5815" priority="10241">
      <formula>$B1948="Subetapa"</formula>
    </cfRule>
  </conditionalFormatting>
  <conditionalFormatting sqref="T1948">
    <cfRule type="expression" dxfId="5814" priority="10233" stopIfTrue="1">
      <formula>$B1948="INSUMO"</formula>
    </cfRule>
  </conditionalFormatting>
  <conditionalFormatting sqref="W1948">
    <cfRule type="containsText" dxfId="5813" priority="10232" stopIfTrue="1" operator="containsText" text="INSERIR">
      <formula>NOT(ISERROR(SEARCH("INSERIR",W1948)))</formula>
    </cfRule>
  </conditionalFormatting>
  <conditionalFormatting sqref="S1887">
    <cfRule type="expression" dxfId="5812" priority="10204">
      <formula>$B1887="Unidade Construtiva"</formula>
    </cfRule>
    <cfRule type="expression" dxfId="5811" priority="10205">
      <formula>$B1887="Serviço"</formula>
    </cfRule>
    <cfRule type="expression" dxfId="5810" priority="10206">
      <formula>$B1887="Insumo"</formula>
    </cfRule>
    <cfRule type="expression" dxfId="5809" priority="10207">
      <formula>$B1887="Etapa"</formula>
    </cfRule>
    <cfRule type="expression" dxfId="5808" priority="10208">
      <formula>$B1887="Célula Construtiva"</formula>
    </cfRule>
    <cfRule type="expression" dxfId="5807" priority="10209">
      <formula>$B1887="Subetapa"</formula>
    </cfRule>
  </conditionalFormatting>
  <conditionalFormatting sqref="S1949">
    <cfRule type="expression" dxfId="5806" priority="10192">
      <formula>$B1949="Unidade Construtiva"</formula>
    </cfRule>
    <cfRule type="expression" dxfId="5805" priority="10193">
      <formula>$B1949="Serviço"</formula>
    </cfRule>
    <cfRule type="expression" dxfId="5804" priority="10194">
      <formula>$B1949="Insumo"</formula>
    </cfRule>
    <cfRule type="expression" dxfId="5803" priority="10195">
      <formula>$B1949="Etapa"</formula>
    </cfRule>
    <cfRule type="expression" dxfId="5802" priority="10196">
      <formula>$B1949="Célula Construtiva"</formula>
    </cfRule>
    <cfRule type="expression" dxfId="5801" priority="10197">
      <formula>$B1949="Subetapa"</formula>
    </cfRule>
  </conditionalFormatting>
  <conditionalFormatting sqref="U716">
    <cfRule type="expression" dxfId="5800" priority="10086" stopIfTrue="1">
      <formula>$B716="SERVIÇO"</formula>
    </cfRule>
  </conditionalFormatting>
  <conditionalFormatting sqref="U716">
    <cfRule type="expression" dxfId="5799" priority="10087">
      <formula>$B716="Unidade Construtiva"</formula>
    </cfRule>
    <cfRule type="expression" dxfId="5798" priority="10088">
      <formula>$B716="Serviço"</formula>
    </cfRule>
    <cfRule type="expression" dxfId="5797" priority="10089">
      <formula>$B716="Insumo"</formula>
    </cfRule>
    <cfRule type="expression" dxfId="5796" priority="10090">
      <formula>$B716="Etapa"</formula>
    </cfRule>
    <cfRule type="expression" dxfId="5795" priority="10091">
      <formula>$B716="Célula Construtiva"</formula>
    </cfRule>
    <cfRule type="expression" dxfId="5794" priority="10092">
      <formula>$B716="Subetapa"</formula>
    </cfRule>
  </conditionalFormatting>
  <conditionalFormatting sqref="U745">
    <cfRule type="expression" dxfId="5793" priority="10079" stopIfTrue="1">
      <formula>$B745="SERVIÇO"</formula>
    </cfRule>
  </conditionalFormatting>
  <conditionalFormatting sqref="U745">
    <cfRule type="expression" dxfId="5792" priority="10080">
      <formula>$B745="Unidade Construtiva"</formula>
    </cfRule>
    <cfRule type="expression" dxfId="5791" priority="10081">
      <formula>$B745="Serviço"</formula>
    </cfRule>
    <cfRule type="expression" dxfId="5790" priority="10082">
      <formula>$B745="Insumo"</formula>
    </cfRule>
    <cfRule type="expression" dxfId="5789" priority="10083">
      <formula>$B745="Etapa"</formula>
    </cfRule>
    <cfRule type="expression" dxfId="5788" priority="10084">
      <formula>$B745="Célula Construtiva"</formula>
    </cfRule>
    <cfRule type="expression" dxfId="5787" priority="10085">
      <formula>$B745="Subetapa"</formula>
    </cfRule>
  </conditionalFormatting>
  <conditionalFormatting sqref="U789">
    <cfRule type="expression" dxfId="5786" priority="10072" stopIfTrue="1">
      <formula>$B789="SERVIÇO"</formula>
    </cfRule>
  </conditionalFormatting>
  <conditionalFormatting sqref="U789">
    <cfRule type="expression" dxfId="5785" priority="10073">
      <formula>$B789="Unidade Construtiva"</formula>
    </cfRule>
    <cfRule type="expression" dxfId="5784" priority="10074">
      <formula>$B789="Serviço"</formula>
    </cfRule>
    <cfRule type="expression" dxfId="5783" priority="10075">
      <formula>$B789="Insumo"</formula>
    </cfRule>
    <cfRule type="expression" dxfId="5782" priority="10076">
      <formula>$B789="Etapa"</formula>
    </cfRule>
    <cfRule type="expression" dxfId="5781" priority="10077">
      <formula>$B789="Célula Construtiva"</formula>
    </cfRule>
    <cfRule type="expression" dxfId="5780" priority="10078">
      <formula>$B789="Subetapa"</formula>
    </cfRule>
  </conditionalFormatting>
  <conditionalFormatting sqref="V2111:V2112">
    <cfRule type="expression" dxfId="5779" priority="10064" stopIfTrue="1">
      <formula>$B2111="insumo"</formula>
    </cfRule>
  </conditionalFormatting>
  <conditionalFormatting sqref="AA2111:AA2112">
    <cfRule type="expression" dxfId="5778" priority="10063" stopIfTrue="1">
      <formula>$B2111="SERVIÇO"</formula>
    </cfRule>
  </conditionalFormatting>
  <conditionalFormatting sqref="AE2111:AF2112 A2111:E2112 V2111:V2112 AA2111:AC2112 G2111:S2112">
    <cfRule type="expression" dxfId="5777" priority="10065">
      <formula>$B2111="Unidade Construtiva"</formula>
    </cfRule>
    <cfRule type="expression" dxfId="5776" priority="10066">
      <formula>$B2111="Serviço"</formula>
    </cfRule>
    <cfRule type="expression" dxfId="5775" priority="10067">
      <formula>$B2111="Insumo"</formula>
    </cfRule>
    <cfRule type="expression" dxfId="5774" priority="10068">
      <formula>$B2111="Etapa"</formula>
    </cfRule>
    <cfRule type="expression" dxfId="5773" priority="10069">
      <formula>$B2111="Célula Construtiva"</formula>
    </cfRule>
    <cfRule type="expression" dxfId="5772" priority="10070">
      <formula>$B2111="Subetapa"</formula>
    </cfRule>
  </conditionalFormatting>
  <conditionalFormatting sqref="V1224:V1225">
    <cfRule type="expression" dxfId="5771" priority="10045" stopIfTrue="1">
      <formula>$B1224="insumo"</formula>
    </cfRule>
  </conditionalFormatting>
  <conditionalFormatting sqref="AA1224:AA1227 T1224:U1225 T1257 T1289">
    <cfRule type="expression" dxfId="5770" priority="10044" stopIfTrue="1">
      <formula>$B1224="SERVIÇO"</formula>
    </cfRule>
  </conditionalFormatting>
  <conditionalFormatting sqref="AE1224:AF1227 A1224:E1227 S1327 AA1226:AC1227 S1257:T1257 S1289:T1289 G1226:R1227 G1224:AC1225">
    <cfRule type="expression" dxfId="5769" priority="10046">
      <formula>$B1224="Unidade Construtiva"</formula>
    </cfRule>
    <cfRule type="expression" dxfId="5768" priority="10047">
      <formula>$B1224="Serviço"</formula>
    </cfRule>
    <cfRule type="expression" dxfId="5767" priority="10048">
      <formula>$B1224="Insumo"</formula>
    </cfRule>
    <cfRule type="expression" dxfId="5766" priority="10049">
      <formula>$B1224="Etapa"</formula>
    </cfRule>
    <cfRule type="expression" dxfId="5765" priority="10050">
      <formula>$B1224="Célula Construtiva"</formula>
    </cfRule>
    <cfRule type="expression" dxfId="5764" priority="10051">
      <formula>$B1224="Subetapa"</formula>
    </cfRule>
  </conditionalFormatting>
  <conditionalFormatting sqref="T1224:T1225 T1257 T1289">
    <cfRule type="expression" dxfId="5763" priority="10043" stopIfTrue="1">
      <formula>$B1224="INSUMO"</formula>
    </cfRule>
  </conditionalFormatting>
  <conditionalFormatting sqref="W1224:W1225">
    <cfRule type="containsText" dxfId="5762" priority="10042" stopIfTrue="1" operator="containsText" text="INSERIR">
      <formula>NOT(ISERROR(SEARCH("INSERIR",W1224)))</formula>
    </cfRule>
  </conditionalFormatting>
  <conditionalFormatting sqref="V1226:V1227">
    <cfRule type="expression" dxfId="5761" priority="10024" stopIfTrue="1">
      <formula>$B1226="insumo"</formula>
    </cfRule>
  </conditionalFormatting>
  <conditionalFormatting sqref="S1226:S1228 S1328 V1226:V1227 S1476 S1522 S1596 S1657 S1258 S1290 S1470 S1516 S1590 S1651">
    <cfRule type="expression" dxfId="5760" priority="10025">
      <formula>$B1226="Unidade Construtiva"</formula>
    </cfRule>
    <cfRule type="expression" dxfId="5759" priority="10026">
      <formula>$B1226="Serviço"</formula>
    </cfRule>
    <cfRule type="expression" dxfId="5758" priority="10027">
      <formula>$B1226="Insumo"</formula>
    </cfRule>
    <cfRule type="expression" dxfId="5757" priority="10028">
      <formula>$B1226="Etapa"</formula>
    </cfRule>
    <cfRule type="expression" dxfId="5756" priority="10029">
      <formula>$B1226="Célula Construtiva"</formula>
    </cfRule>
    <cfRule type="expression" dxfId="5755" priority="10030">
      <formula>$B1226="Subetapa"</formula>
    </cfRule>
  </conditionalFormatting>
  <conditionalFormatting sqref="V1228:V1229">
    <cfRule type="expression" dxfId="5754" priority="10015" stopIfTrue="1">
      <formula>$B1228="insumo"</formula>
    </cfRule>
  </conditionalFormatting>
  <conditionalFormatting sqref="S1228:S1229 V1228:V1229">
    <cfRule type="expression" dxfId="5753" priority="10016">
      <formula>$B1228="Unidade Construtiva"</formula>
    </cfRule>
    <cfRule type="expression" dxfId="5752" priority="10017">
      <formula>$B1228="Serviço"</formula>
    </cfRule>
    <cfRule type="expression" dxfId="5751" priority="10018">
      <formula>$B1228="Insumo"</formula>
    </cfRule>
    <cfRule type="expression" dxfId="5750" priority="10019">
      <formula>$B1228="Etapa"</formula>
    </cfRule>
    <cfRule type="expression" dxfId="5749" priority="10020">
      <formula>$B1228="Célula Construtiva"</formula>
    </cfRule>
    <cfRule type="expression" dxfId="5748" priority="10021">
      <formula>$B1228="Subetapa"</formula>
    </cfRule>
  </conditionalFormatting>
  <conditionalFormatting sqref="V1244:V1245 V1262:V1270 V1273:V1274 V1249 V1251:V1255">
    <cfRule type="expression" dxfId="5747" priority="9950" stopIfTrue="1">
      <formula>$B1244="insumo"</formula>
    </cfRule>
  </conditionalFormatting>
  <conditionalFormatting sqref="AA1244:AA1255 T1244:U1245 T1262:U1263 AA1260:AA1270 T1267 T1249:U1249 T1251:U1251 T1266:U1266 T1269 T1273 AA1273:AA1274">
    <cfRule type="expression" dxfId="5746" priority="9949" stopIfTrue="1">
      <formula>$B1244="SERVIÇO"</formula>
    </cfRule>
  </conditionalFormatting>
  <conditionalFormatting sqref="AE1244:AF1255 AE1260:AF1270 V1267:AC1267 A1244:E1255 V1252:V1255 V1264:V1265 A1260:E1270 A1273:E1274 V1273:AC1273 AE1273:AF1274 W1247:AC1247 AA1246:AC1246 AA1248:AC1248 AA1250:AC1250 AA1252:AC1255 AA1260:AC1261 AA1264:AC1265 V1269:AC1269 V1268 AA1268:AC1268 V1270 AA1270:AC1270 V1274 AA1274:AC1274 S1286 S1318 S1356 S1379 S1395 G1274:S1274 G1270:S1270 G1273:T1273 G1268:S1268 G1269:T1269 G1264:S1265 G1266:AC1266 G1252:S1255 G1250:S1250 G1251:AC1251 G1246:R1248 G1249:AC1249 G1267:T1267 G1260:R1261 G1262:AC1263 G1244:AC1245">
    <cfRule type="expression" dxfId="5745" priority="9951">
      <formula>$B1244="Unidade Construtiva"</formula>
    </cfRule>
    <cfRule type="expression" dxfId="5744" priority="9952">
      <formula>$B1244="Serviço"</formula>
    </cfRule>
    <cfRule type="expression" dxfId="5743" priority="9953">
      <formula>$B1244="Insumo"</formula>
    </cfRule>
    <cfRule type="expression" dxfId="5742" priority="9954">
      <formula>$B1244="Etapa"</formula>
    </cfRule>
    <cfRule type="expression" dxfId="5741" priority="9955">
      <formula>$B1244="Célula Construtiva"</formula>
    </cfRule>
    <cfRule type="expression" dxfId="5740" priority="9956">
      <formula>$B1244="Subetapa"</formula>
    </cfRule>
  </conditionalFormatting>
  <conditionalFormatting sqref="T1244:T1245 T1262:T1263 T1249 T1251 T1266:T1267 T1269 T1273">
    <cfRule type="expression" dxfId="5739" priority="9948" stopIfTrue="1">
      <formula>$B1244="INSUMO"</formula>
    </cfRule>
  </conditionalFormatting>
  <conditionalFormatting sqref="W1244:W1245 W1262:W1263 W1273 W1247 W1249 W1251 W1266:W1267 W1269">
    <cfRule type="containsText" dxfId="5738" priority="9947" stopIfTrue="1" operator="containsText" text="INSERIR">
      <formula>NOT(ISERROR(SEARCH("INSERIR",W1244)))</formula>
    </cfRule>
  </conditionalFormatting>
  <conditionalFormatting sqref="V1256:V1257">
    <cfRule type="expression" dxfId="5737" priority="9939" stopIfTrue="1">
      <formula>$B1256="insumo"</formula>
    </cfRule>
  </conditionalFormatting>
  <conditionalFormatting sqref="AA1256:AA1259 T1256:U1256 U1257">
    <cfRule type="expression" dxfId="5736" priority="9938" stopIfTrue="1">
      <formula>$B1256="SERVIÇO"</formula>
    </cfRule>
  </conditionalFormatting>
  <conditionalFormatting sqref="AE1256:AF1259 A1256:E1259 U1257:AC1257 AA1258:AC1259 G1257:R1259 G1256:AC1256">
    <cfRule type="expression" dxfId="5735" priority="9940">
      <formula>$B1256="Unidade Construtiva"</formula>
    </cfRule>
    <cfRule type="expression" dxfId="5734" priority="9941">
      <formula>$B1256="Serviço"</formula>
    </cfRule>
    <cfRule type="expression" dxfId="5733" priority="9942">
      <formula>$B1256="Insumo"</formula>
    </cfRule>
    <cfRule type="expression" dxfId="5732" priority="9943">
      <formula>$B1256="Etapa"</formula>
    </cfRule>
    <cfRule type="expression" dxfId="5731" priority="9944">
      <formula>$B1256="Célula Construtiva"</formula>
    </cfRule>
    <cfRule type="expression" dxfId="5730" priority="9945">
      <formula>$B1256="Subetapa"</formula>
    </cfRule>
  </conditionalFormatting>
  <conditionalFormatting sqref="T1256">
    <cfRule type="expression" dxfId="5729" priority="9937" stopIfTrue="1">
      <formula>$B1256="INSUMO"</formula>
    </cfRule>
  </conditionalFormatting>
  <conditionalFormatting sqref="W1256:W1257">
    <cfRule type="containsText" dxfId="5728" priority="9936" stopIfTrue="1" operator="containsText" text="INSERIR">
      <formula>NOT(ISERROR(SEARCH("INSERIR",W1256)))</formula>
    </cfRule>
  </conditionalFormatting>
  <conditionalFormatting sqref="V1258:V1259">
    <cfRule type="expression" dxfId="5727" priority="9928" stopIfTrue="1">
      <formula>$B1258="insumo"</formula>
    </cfRule>
  </conditionalFormatting>
  <conditionalFormatting sqref="S1259:S1260 V1258:V1259">
    <cfRule type="expression" dxfId="5726" priority="9929">
      <formula>$B1258="Unidade Construtiva"</formula>
    </cfRule>
    <cfRule type="expression" dxfId="5725" priority="9930">
      <formula>$B1258="Serviço"</formula>
    </cfRule>
    <cfRule type="expression" dxfId="5724" priority="9931">
      <formula>$B1258="Insumo"</formula>
    </cfRule>
    <cfRule type="expression" dxfId="5723" priority="9932">
      <formula>$B1258="Etapa"</formula>
    </cfRule>
    <cfRule type="expression" dxfId="5722" priority="9933">
      <formula>$B1258="Célula Construtiva"</formula>
    </cfRule>
    <cfRule type="expression" dxfId="5721" priority="9934">
      <formula>$B1258="Subetapa"</formula>
    </cfRule>
  </conditionalFormatting>
  <conditionalFormatting sqref="V1260:V1261">
    <cfRule type="expression" dxfId="5720" priority="9919" stopIfTrue="1">
      <formula>$B1260="insumo"</formula>
    </cfRule>
  </conditionalFormatting>
  <conditionalFormatting sqref="S1260:S1261 V1260:V1261">
    <cfRule type="expression" dxfId="5719" priority="9920">
      <formula>$B1260="Unidade Construtiva"</formula>
    </cfRule>
    <cfRule type="expression" dxfId="5718" priority="9921">
      <formula>$B1260="Serviço"</formula>
    </cfRule>
    <cfRule type="expression" dxfId="5717" priority="9922">
      <formula>$B1260="Insumo"</formula>
    </cfRule>
    <cfRule type="expression" dxfId="5716" priority="9923">
      <formula>$B1260="Etapa"</formula>
    </cfRule>
    <cfRule type="expression" dxfId="5715" priority="9924">
      <formula>$B1260="Célula Construtiva"</formula>
    </cfRule>
    <cfRule type="expression" dxfId="5714" priority="9925">
      <formula>$B1260="Subetapa"</formula>
    </cfRule>
  </conditionalFormatting>
  <conditionalFormatting sqref="V1276:V1277 V1294:V1302 V1305:V1306 V1281 V1283:V1287">
    <cfRule type="expression" dxfId="5713" priority="9900" stopIfTrue="1">
      <formula>$B1276="insumo"</formula>
    </cfRule>
  </conditionalFormatting>
  <conditionalFormatting sqref="AA1276:AA1287 T1276:U1277 T1294:U1295 AA1292:AA1302 T1281:U1281 T1283:U1283 T1298:U1299 T1301:U1301 T1305:U1305 AA1305:AA1306">
    <cfRule type="expression" dxfId="5712" priority="9899" stopIfTrue="1">
      <formula>$B1276="SERVIÇO"</formula>
    </cfRule>
  </conditionalFormatting>
  <conditionalFormatting sqref="AE1276:AF1287 AE1292:AF1302 V1284:V1287 V1296:V1297 V1300 A1292:E1302 V1302 A1305:E1306 V1306 AE1305:AF1306 W1279:AC1279 AA1278:AC1278 AA1280:AC1280 AA1282:AC1282 AA1284:AC1287 AA1292:AC1293 AA1296:AC1297 AA1300:AC1300 AA1302:AC1302 AA1306:AC1306 A1276:E1287 T1301:AC1301 G1286:R1286 G1287:S1287 G1306:S1306 G1302:S1302 G1305:AC1305 G1300:S1300 G1301:R1301 G1296:S1297 G1298:AC1299 G1284:S1285 G1282:S1282 G1283:AC1283 G1278:R1280 G1281:AC1281 G1292:R1293 G1294:AC1295 G1276:AC1277">
    <cfRule type="expression" dxfId="5711" priority="9901">
      <formula>$B1276="Unidade Construtiva"</formula>
    </cfRule>
    <cfRule type="expression" dxfId="5710" priority="9902">
      <formula>$B1276="Serviço"</formula>
    </cfRule>
    <cfRule type="expression" dxfId="5709" priority="9903">
      <formula>$B1276="Insumo"</formula>
    </cfRule>
    <cfRule type="expression" dxfId="5708" priority="9904">
      <formula>$B1276="Etapa"</formula>
    </cfRule>
    <cfRule type="expression" dxfId="5707" priority="9905">
      <formula>$B1276="Célula Construtiva"</formula>
    </cfRule>
    <cfRule type="expression" dxfId="5706" priority="9906">
      <formula>$B1276="Subetapa"</formula>
    </cfRule>
  </conditionalFormatting>
  <conditionalFormatting sqref="T1276:T1277 T1294:T1295 T1281 T1283 T1298:T1299 T1301 T1305">
    <cfRule type="expression" dxfId="5705" priority="9898" stopIfTrue="1">
      <formula>$B1276="INSUMO"</formula>
    </cfRule>
  </conditionalFormatting>
  <conditionalFormatting sqref="W1276:W1277 W1294:W1295 W1305 W1279 W1281 W1283 W1298:W1299 W1301">
    <cfRule type="containsText" dxfId="5704" priority="9897" stopIfTrue="1" operator="containsText" text="INSERIR">
      <formula>NOT(ISERROR(SEARCH("INSERIR",W1276)))</formula>
    </cfRule>
  </conditionalFormatting>
  <conditionalFormatting sqref="V1288:V1289">
    <cfRule type="expression" dxfId="5703" priority="9889" stopIfTrue="1">
      <formula>$B1288="insumo"</formula>
    </cfRule>
  </conditionalFormatting>
  <conditionalFormatting sqref="AA1288:AA1291 T1288:U1288 U1289">
    <cfRule type="expression" dxfId="5702" priority="9888" stopIfTrue="1">
      <formula>$B1288="SERVIÇO"</formula>
    </cfRule>
  </conditionalFormatting>
  <conditionalFormatting sqref="AE1288:AF1291 A1288:E1291 U1289:AC1289 AA1290:AC1291 G1289:R1291 G1288:AC1288">
    <cfRule type="expression" dxfId="5701" priority="9890">
      <formula>$B1288="Unidade Construtiva"</formula>
    </cfRule>
    <cfRule type="expression" dxfId="5700" priority="9891">
      <formula>$B1288="Serviço"</formula>
    </cfRule>
    <cfRule type="expression" dxfId="5699" priority="9892">
      <formula>$B1288="Insumo"</formula>
    </cfRule>
    <cfRule type="expression" dxfId="5698" priority="9893">
      <formula>$B1288="Etapa"</formula>
    </cfRule>
    <cfRule type="expression" dxfId="5697" priority="9894">
      <formula>$B1288="Célula Construtiva"</formula>
    </cfRule>
    <cfRule type="expression" dxfId="5696" priority="9895">
      <formula>$B1288="Subetapa"</formula>
    </cfRule>
  </conditionalFormatting>
  <conditionalFormatting sqref="T1288">
    <cfRule type="expression" dxfId="5695" priority="9887" stopIfTrue="1">
      <formula>$B1288="INSUMO"</formula>
    </cfRule>
  </conditionalFormatting>
  <conditionalFormatting sqref="W1288:W1289">
    <cfRule type="containsText" dxfId="5694" priority="9886" stopIfTrue="1" operator="containsText" text="INSERIR">
      <formula>NOT(ISERROR(SEARCH("INSERIR",W1288)))</formula>
    </cfRule>
  </conditionalFormatting>
  <conditionalFormatting sqref="V1290:V1291">
    <cfRule type="expression" dxfId="5693" priority="9878" stopIfTrue="1">
      <formula>$B1290="insumo"</formula>
    </cfRule>
  </conditionalFormatting>
  <conditionalFormatting sqref="S1291:S1292 V1290:V1291">
    <cfRule type="expression" dxfId="5692" priority="9879">
      <formula>$B1290="Unidade Construtiva"</formula>
    </cfRule>
    <cfRule type="expression" dxfId="5691" priority="9880">
      <formula>$B1290="Serviço"</formula>
    </cfRule>
    <cfRule type="expression" dxfId="5690" priority="9881">
      <formula>$B1290="Insumo"</formula>
    </cfRule>
    <cfRule type="expression" dxfId="5689" priority="9882">
      <formula>$B1290="Etapa"</formula>
    </cfRule>
    <cfRule type="expression" dxfId="5688" priority="9883">
      <formula>$B1290="Célula Construtiva"</formula>
    </cfRule>
    <cfRule type="expression" dxfId="5687" priority="9884">
      <formula>$B1290="Subetapa"</formula>
    </cfRule>
  </conditionalFormatting>
  <conditionalFormatting sqref="V1292:V1293">
    <cfRule type="expression" dxfId="5686" priority="9869" stopIfTrue="1">
      <formula>$B1292="insumo"</formula>
    </cfRule>
  </conditionalFormatting>
  <conditionalFormatting sqref="S1292:S1293 V1292:V1293">
    <cfRule type="expression" dxfId="5685" priority="9870">
      <formula>$B1292="Unidade Construtiva"</formula>
    </cfRule>
    <cfRule type="expression" dxfId="5684" priority="9871">
      <formula>$B1292="Serviço"</formula>
    </cfRule>
    <cfRule type="expression" dxfId="5683" priority="9872">
      <formula>$B1292="Insumo"</formula>
    </cfRule>
    <cfRule type="expression" dxfId="5682" priority="9873">
      <formula>$B1292="Etapa"</formula>
    </cfRule>
    <cfRule type="expression" dxfId="5681" priority="9874">
      <formula>$B1292="Célula Construtiva"</formula>
    </cfRule>
    <cfRule type="expression" dxfId="5680" priority="9875">
      <formula>$B1292="Subetapa"</formula>
    </cfRule>
  </conditionalFormatting>
  <conditionalFormatting sqref="U1267 U1273 U1269">
    <cfRule type="expression" dxfId="5679" priority="9852" stopIfTrue="1">
      <formula>$B1267="SERVIÇO"</formula>
    </cfRule>
  </conditionalFormatting>
  <conditionalFormatting sqref="U1267 U1273 U1269">
    <cfRule type="expression" dxfId="5678" priority="9853">
      <formula>$B1267="Unidade Construtiva"</formula>
    </cfRule>
    <cfRule type="expression" dxfId="5677" priority="9854">
      <formula>$B1267="Serviço"</formula>
    </cfRule>
    <cfRule type="expression" dxfId="5676" priority="9855">
      <formula>$B1267="Insumo"</formula>
    </cfRule>
    <cfRule type="expression" dxfId="5675" priority="9856">
      <formula>$B1267="Etapa"</formula>
    </cfRule>
    <cfRule type="expression" dxfId="5674" priority="9857">
      <formula>$B1267="Célula Construtiva"</formula>
    </cfRule>
    <cfRule type="expression" dxfId="5673" priority="9858">
      <formula>$B1267="Subetapa"</formula>
    </cfRule>
  </conditionalFormatting>
  <conditionalFormatting sqref="U1235 U1241 U1237">
    <cfRule type="expression" dxfId="5672" priority="9845" stopIfTrue="1">
      <formula>$B1235="SERVIÇO"</formula>
    </cfRule>
  </conditionalFormatting>
  <conditionalFormatting sqref="U1235 U1241 U1237">
    <cfRule type="expression" dxfId="5671" priority="9846">
      <formula>$B1235="Unidade Construtiva"</formula>
    </cfRule>
    <cfRule type="expression" dxfId="5670" priority="9847">
      <formula>$B1235="Serviço"</formula>
    </cfRule>
    <cfRule type="expression" dxfId="5669" priority="9848">
      <formula>$B1235="Insumo"</formula>
    </cfRule>
    <cfRule type="expression" dxfId="5668" priority="9849">
      <formula>$B1235="Etapa"</formula>
    </cfRule>
    <cfRule type="expression" dxfId="5667" priority="9850">
      <formula>$B1235="Célula Construtiva"</formula>
    </cfRule>
    <cfRule type="expression" dxfId="5666" priority="9851">
      <formula>$B1235="Subetapa"</formula>
    </cfRule>
  </conditionalFormatting>
  <conditionalFormatting sqref="V1308:V1309 V1332:V1340 V1343:V1344 V1313 V1315:V1319">
    <cfRule type="expression" dxfId="5665" priority="9836" stopIfTrue="1">
      <formula>$B1308="insumo"</formula>
    </cfRule>
  </conditionalFormatting>
  <conditionalFormatting sqref="AA1308:AA1319 T1308:U1309 T1332:U1333 AA1330:AA1340 T1313:U1313 T1315:U1315 T1336:U1337 T1339:U1339 T1343:U1343 AA1343:AA1344">
    <cfRule type="expression" dxfId="5664" priority="9835" stopIfTrue="1">
      <formula>$B1308="SERVIÇO"</formula>
    </cfRule>
  </conditionalFormatting>
  <conditionalFormatting sqref="AE1308:AF1319 AE1330:AF1340 V1316:V1319 V1334:V1335 V1338 A1330:E1340 V1340 A1343:E1344 V1344 AE1343:AF1344 W1311:AC1311 AA1310:AC1310 AA1312:AC1312 AA1314:AC1314 AA1316:AC1319 AA1330:AC1331 AA1334:AC1335 AA1338:AC1338 AA1340:AC1340 AA1344:AC1344 A1308:E1319 T1339:AC1339 G1318:R1318 G1319:S1319 G1344:S1344 G1340:S1340 G1343:AC1343 G1338:S1338 G1339:R1339 G1334:S1335 G1336:AC1337 G1316:S1317 G1314:S1314 G1315:AC1315 G1310:R1312 G1313:AC1313 G1330:R1331 G1332:AC1333 G1308:AC1309">
    <cfRule type="expression" dxfId="5663" priority="9837">
      <formula>$B1308="Unidade Construtiva"</formula>
    </cfRule>
    <cfRule type="expression" dxfId="5662" priority="9838">
      <formula>$B1308="Serviço"</formula>
    </cfRule>
    <cfRule type="expression" dxfId="5661" priority="9839">
      <formula>$B1308="Insumo"</formula>
    </cfRule>
    <cfRule type="expression" dxfId="5660" priority="9840">
      <formula>$B1308="Etapa"</formula>
    </cfRule>
    <cfRule type="expression" dxfId="5659" priority="9841">
      <formula>$B1308="Célula Construtiva"</formula>
    </cfRule>
    <cfRule type="expression" dxfId="5658" priority="9842">
      <formula>$B1308="Subetapa"</formula>
    </cfRule>
  </conditionalFormatting>
  <conditionalFormatting sqref="T1308:T1309 T1332:T1333 T1313 T1315 T1336:T1337 T1339 T1343">
    <cfRule type="expression" dxfId="5657" priority="9834" stopIfTrue="1">
      <formula>$B1308="INSUMO"</formula>
    </cfRule>
  </conditionalFormatting>
  <conditionalFormatting sqref="W1308:W1309 W1332:W1333 W1343 W1311 W1313 W1315 W1336:W1337 W1339">
    <cfRule type="containsText" dxfId="5656" priority="9833" stopIfTrue="1" operator="containsText" text="INSERIR">
      <formula>NOT(ISERROR(SEARCH("INSERIR",W1308)))</formula>
    </cfRule>
  </conditionalFormatting>
  <conditionalFormatting sqref="V1320 V1327">
    <cfRule type="expression" dxfId="5655" priority="9825" stopIfTrue="1">
      <formula>$B1320="insumo"</formula>
    </cfRule>
  </conditionalFormatting>
  <conditionalFormatting sqref="T1320:U1320 AA1320 AA1327:AA1329 T1327:U1327">
    <cfRule type="expression" dxfId="5654" priority="9824" stopIfTrue="1">
      <formula>$B1320="SERVIÇO"</formula>
    </cfRule>
  </conditionalFormatting>
  <conditionalFormatting sqref="A1320:E1320 A1327:E1329 T1327:AC1327 AE1320:AF1320 AE1327:AF1329 AA1328:AC1329 G1327:R1329 G1320:AC1320">
    <cfRule type="expression" dxfId="5653" priority="9826">
      <formula>$B1320="Unidade Construtiva"</formula>
    </cfRule>
    <cfRule type="expression" dxfId="5652" priority="9827">
      <formula>$B1320="Serviço"</formula>
    </cfRule>
    <cfRule type="expression" dxfId="5651" priority="9828">
      <formula>$B1320="Insumo"</formula>
    </cfRule>
    <cfRule type="expression" dxfId="5650" priority="9829">
      <formula>$B1320="Etapa"</formula>
    </cfRule>
    <cfRule type="expression" dxfId="5649" priority="9830">
      <formula>$B1320="Célula Construtiva"</formula>
    </cfRule>
    <cfRule type="expression" dxfId="5648" priority="9831">
      <formula>$B1320="Subetapa"</formula>
    </cfRule>
  </conditionalFormatting>
  <conditionalFormatting sqref="T1320 T1327">
    <cfRule type="expression" dxfId="5647" priority="9823" stopIfTrue="1">
      <formula>$B1320="INSUMO"</formula>
    </cfRule>
  </conditionalFormatting>
  <conditionalFormatting sqref="W1320 W1327">
    <cfRule type="containsText" dxfId="5646" priority="9822" stopIfTrue="1" operator="containsText" text="INSERIR">
      <formula>NOT(ISERROR(SEARCH("INSERIR",W1320)))</formula>
    </cfRule>
  </conditionalFormatting>
  <conditionalFormatting sqref="V1328:V1329">
    <cfRule type="expression" dxfId="5645" priority="9814" stopIfTrue="1">
      <formula>$B1328="insumo"</formula>
    </cfRule>
  </conditionalFormatting>
  <conditionalFormatting sqref="S1329:S1330 V1328:V1329">
    <cfRule type="expression" dxfId="5644" priority="9815">
      <formula>$B1328="Unidade Construtiva"</formula>
    </cfRule>
    <cfRule type="expression" dxfId="5643" priority="9816">
      <formula>$B1328="Serviço"</formula>
    </cfRule>
    <cfRule type="expression" dxfId="5642" priority="9817">
      <formula>$B1328="Insumo"</formula>
    </cfRule>
    <cfRule type="expression" dxfId="5641" priority="9818">
      <formula>$B1328="Etapa"</formula>
    </cfRule>
    <cfRule type="expression" dxfId="5640" priority="9819">
      <formula>$B1328="Célula Construtiva"</formula>
    </cfRule>
    <cfRule type="expression" dxfId="5639" priority="9820">
      <formula>$B1328="Subetapa"</formula>
    </cfRule>
  </conditionalFormatting>
  <conditionalFormatting sqref="V1330:V1331">
    <cfRule type="expression" dxfId="5638" priority="9805" stopIfTrue="1">
      <formula>$B1330="insumo"</formula>
    </cfRule>
  </conditionalFormatting>
  <conditionalFormatting sqref="S1330:S1331 V1330:V1331">
    <cfRule type="expression" dxfId="5637" priority="9806">
      <formula>$B1330="Unidade Construtiva"</formula>
    </cfRule>
    <cfRule type="expression" dxfId="5636" priority="9807">
      <formula>$B1330="Serviço"</formula>
    </cfRule>
    <cfRule type="expression" dxfId="5635" priority="9808">
      <formula>$B1330="Insumo"</formula>
    </cfRule>
    <cfRule type="expression" dxfId="5634" priority="9809">
      <formula>$B1330="Etapa"</formula>
    </cfRule>
    <cfRule type="expression" dxfId="5633" priority="9810">
      <formula>$B1330="Célula Construtiva"</formula>
    </cfRule>
    <cfRule type="expression" dxfId="5632" priority="9811">
      <formula>$B1330="Subetapa"</formula>
    </cfRule>
  </conditionalFormatting>
  <conditionalFormatting sqref="V1346:V1347 V1351 V1353:V1368">
    <cfRule type="expression" dxfId="5631" priority="9786" stopIfTrue="1">
      <formula>$B1346="insumo"</formula>
    </cfRule>
  </conditionalFormatting>
  <conditionalFormatting sqref="AA1346:AA1357 T1346:U1347 T1358:U1359 T1351:U1351 T1353:U1353 T1362:U1363 T1365:U1365 T1367:U1367">
    <cfRule type="expression" dxfId="5630" priority="9785" stopIfTrue="1">
      <formula>$B1346="SERVIÇO"</formula>
    </cfRule>
  </conditionalFormatting>
  <conditionalFormatting sqref="AE1346:AF1357 V1354:V1357 V1360:V1361 V1364 V1366 V1368 W1349:AC1349 AA1348:AC1348 AA1350:AC1350 AA1352:AC1352 AA1354:AC1357 AA1360:AC1361 AA1364:AC1364 AA1366:AC1366 AA1368:AC1368 A1346:E1368 T1365:AC1365 G1356:R1356 G1357:S1357 G1368:S1368 G1366:S1366 G1367:AC1367 G1364:S1364 G1365:R1365 G1360:S1361 G1362:AC1363 G1354:S1355 G1352:S1352 G1353:AC1353 G1348:R1350 G1351:AC1351 G1358:AC1359 G1346:AC1347">
    <cfRule type="expression" dxfId="5629" priority="9787">
      <formula>$B1346="Unidade Construtiva"</formula>
    </cfRule>
    <cfRule type="expression" dxfId="5628" priority="9788">
      <formula>$B1346="Serviço"</formula>
    </cfRule>
    <cfRule type="expression" dxfId="5627" priority="9789">
      <formula>$B1346="Insumo"</formula>
    </cfRule>
    <cfRule type="expression" dxfId="5626" priority="9790">
      <formula>$B1346="Etapa"</formula>
    </cfRule>
    <cfRule type="expression" dxfId="5625" priority="9791">
      <formula>$B1346="Célula Construtiva"</formula>
    </cfRule>
    <cfRule type="expression" dxfId="5624" priority="9792">
      <formula>$B1346="Subetapa"</formula>
    </cfRule>
  </conditionalFormatting>
  <conditionalFormatting sqref="T1346:T1347 T1358:T1359 T1351 T1353 T1362:T1363 T1365 T1367">
    <cfRule type="expression" dxfId="5623" priority="9784" stopIfTrue="1">
      <formula>$B1346="INSUMO"</formula>
    </cfRule>
  </conditionalFormatting>
  <conditionalFormatting sqref="W1346:W1347 W1358:W1359 W1367 W1349 W1351 W1353 W1362:W1363 W1365">
    <cfRule type="containsText" dxfId="5622" priority="9783" stopIfTrue="1" operator="containsText" text="INSERIR">
      <formula>NOT(ISERROR(SEARCH("INSERIR",W1346)))</formula>
    </cfRule>
  </conditionalFormatting>
  <conditionalFormatting sqref="S1321">
    <cfRule type="expression" dxfId="5621" priority="9681">
      <formula>$B1321="Unidade Construtiva"</formula>
    </cfRule>
    <cfRule type="expression" dxfId="5620" priority="9682">
      <formula>$B1321="Serviço"</formula>
    </cfRule>
    <cfRule type="expression" dxfId="5619" priority="9683">
      <formula>$B1321="Insumo"</formula>
    </cfRule>
    <cfRule type="expression" dxfId="5618" priority="9684">
      <formula>$B1321="Etapa"</formula>
    </cfRule>
    <cfRule type="expression" dxfId="5617" priority="9685">
      <formula>$B1321="Célula Construtiva"</formula>
    </cfRule>
    <cfRule type="expression" dxfId="5616" priority="9686">
      <formula>$B1321="Subetapa"</formula>
    </cfRule>
  </conditionalFormatting>
  <conditionalFormatting sqref="S1322 S1668">
    <cfRule type="expression" dxfId="5615" priority="9675">
      <formula>$B1322="Unidade Construtiva"</formula>
    </cfRule>
    <cfRule type="expression" dxfId="5614" priority="9676">
      <formula>$B1322="Serviço"</formula>
    </cfRule>
    <cfRule type="expression" dxfId="5613" priority="9677">
      <formula>$B1322="Insumo"</formula>
    </cfRule>
    <cfRule type="expression" dxfId="5612" priority="9678">
      <formula>$B1322="Etapa"</formula>
    </cfRule>
    <cfRule type="expression" dxfId="5611" priority="9679">
      <formula>$B1322="Célula Construtiva"</formula>
    </cfRule>
    <cfRule type="expression" dxfId="5610" priority="9680">
      <formula>$B1322="Subetapa"</formula>
    </cfRule>
  </conditionalFormatting>
  <conditionalFormatting sqref="AA1324 AA1326">
    <cfRule type="expression" dxfId="5609" priority="9667" stopIfTrue="1">
      <formula>$B1324="SERVIÇO"</formula>
    </cfRule>
  </conditionalFormatting>
  <conditionalFormatting sqref="AE1324:AF1324 A1324:E1324 A1326:E1326 AE1326:AF1326 AA1326:AC1326 AA1324:AC1324 G1326:R1326 G1324:R1324">
    <cfRule type="expression" dxfId="5608" priority="9668">
      <formula>$B1324="Unidade Construtiva"</formula>
    </cfRule>
    <cfRule type="expression" dxfId="5607" priority="9669">
      <formula>$B1324="Serviço"</formula>
    </cfRule>
    <cfRule type="expression" dxfId="5606" priority="9670">
      <formula>$B1324="Insumo"</formula>
    </cfRule>
    <cfRule type="expression" dxfId="5605" priority="9671">
      <formula>$B1324="Etapa"</formula>
    </cfRule>
    <cfRule type="expression" dxfId="5604" priority="9672">
      <formula>$B1324="Célula Construtiva"</formula>
    </cfRule>
    <cfRule type="expression" dxfId="5603" priority="9673">
      <formula>$B1324="Subetapa"</formula>
    </cfRule>
  </conditionalFormatting>
  <conditionalFormatting sqref="V1321">
    <cfRule type="expression" dxfId="5602" priority="9659" stopIfTrue="1">
      <formula>$B1321="insumo"</formula>
    </cfRule>
  </conditionalFormatting>
  <conditionalFormatting sqref="U1321 AA1321:AA1323">
    <cfRule type="expression" dxfId="5601" priority="9658" stopIfTrue="1">
      <formula>$B1321="SERVIÇO"</formula>
    </cfRule>
  </conditionalFormatting>
  <conditionalFormatting sqref="A1321:E1323 U1321:AC1321 AE1321:AF1323 AA1322:AC1323 G1321:R1323">
    <cfRule type="expression" dxfId="5600" priority="9660">
      <formula>$B1321="Unidade Construtiva"</formula>
    </cfRule>
    <cfRule type="expression" dxfId="5599" priority="9661">
      <formula>$B1321="Serviço"</formula>
    </cfRule>
    <cfRule type="expression" dxfId="5598" priority="9662">
      <formula>$B1321="Insumo"</formula>
    </cfRule>
    <cfRule type="expression" dxfId="5597" priority="9663">
      <formula>$B1321="Etapa"</formula>
    </cfRule>
    <cfRule type="expression" dxfId="5596" priority="9664">
      <formula>$B1321="Célula Construtiva"</formula>
    </cfRule>
    <cfRule type="expression" dxfId="5595" priority="9665">
      <formula>$B1321="Subetapa"</formula>
    </cfRule>
  </conditionalFormatting>
  <conditionalFormatting sqref="W1321">
    <cfRule type="containsText" dxfId="5594" priority="9656" stopIfTrue="1" operator="containsText" text="INSERIR">
      <formula>NOT(ISERROR(SEARCH("INSERIR",W1321)))</formula>
    </cfRule>
  </conditionalFormatting>
  <conditionalFormatting sqref="V1322:V1323">
    <cfRule type="expression" dxfId="5593" priority="9648" stopIfTrue="1">
      <formula>$B1322="insumo"</formula>
    </cfRule>
  </conditionalFormatting>
  <conditionalFormatting sqref="S1323:S1324 V1322:V1323">
    <cfRule type="expression" dxfId="5592" priority="9649">
      <formula>$B1322="Unidade Construtiva"</formula>
    </cfRule>
    <cfRule type="expression" dxfId="5591" priority="9650">
      <formula>$B1322="Serviço"</formula>
    </cfRule>
    <cfRule type="expression" dxfId="5590" priority="9651">
      <formula>$B1322="Insumo"</formula>
    </cfRule>
    <cfRule type="expression" dxfId="5589" priority="9652">
      <formula>$B1322="Etapa"</formula>
    </cfRule>
    <cfRule type="expression" dxfId="5588" priority="9653">
      <formula>$B1322="Célula Construtiva"</formula>
    </cfRule>
    <cfRule type="expression" dxfId="5587" priority="9654">
      <formula>$B1322="Subetapa"</formula>
    </cfRule>
  </conditionalFormatting>
  <conditionalFormatting sqref="V1324 V1326">
    <cfRule type="expression" dxfId="5586" priority="9639" stopIfTrue="1">
      <formula>$B1324="insumo"</formula>
    </cfRule>
  </conditionalFormatting>
  <conditionalFormatting sqref="S1326 S1324 V1324 V1326">
    <cfRule type="expression" dxfId="5585" priority="9640">
      <formula>$B1324="Unidade Construtiva"</formula>
    </cfRule>
    <cfRule type="expression" dxfId="5584" priority="9641">
      <formula>$B1324="Serviço"</formula>
    </cfRule>
    <cfRule type="expression" dxfId="5583" priority="9642">
      <formula>$B1324="Insumo"</formula>
    </cfRule>
    <cfRule type="expression" dxfId="5582" priority="9643">
      <formula>$B1324="Etapa"</formula>
    </cfRule>
    <cfRule type="expression" dxfId="5581" priority="9644">
      <formula>$B1324="Célula Construtiva"</formula>
    </cfRule>
    <cfRule type="expression" dxfId="5580" priority="9645">
      <formula>$B1324="Subetapa"</formula>
    </cfRule>
  </conditionalFormatting>
  <conditionalFormatting sqref="AA1325">
    <cfRule type="expression" dxfId="5579" priority="9621" stopIfTrue="1">
      <formula>$B1325="SERVIÇO"</formula>
    </cfRule>
  </conditionalFormatting>
  <conditionalFormatting sqref="AE1325:AF1325 A1325:E1325 AA1325:AC1325 G1325:R1325">
    <cfRule type="expression" dxfId="5578" priority="9622">
      <formula>$B1325="Unidade Construtiva"</formula>
    </cfRule>
    <cfRule type="expression" dxfId="5577" priority="9623">
      <formula>$B1325="Serviço"</formula>
    </cfRule>
    <cfRule type="expression" dxfId="5576" priority="9624">
      <formula>$B1325="Insumo"</formula>
    </cfRule>
    <cfRule type="expression" dxfId="5575" priority="9625">
      <formula>$B1325="Etapa"</formula>
    </cfRule>
    <cfRule type="expression" dxfId="5574" priority="9626">
      <formula>$B1325="Célula Construtiva"</formula>
    </cfRule>
    <cfRule type="expression" dxfId="5573" priority="9627">
      <formula>$B1325="Subetapa"</formula>
    </cfRule>
  </conditionalFormatting>
  <conditionalFormatting sqref="V1325">
    <cfRule type="expression" dxfId="5572" priority="9613" stopIfTrue="1">
      <formula>$B1325="insumo"</formula>
    </cfRule>
  </conditionalFormatting>
  <conditionalFormatting sqref="S1325 V1325">
    <cfRule type="expression" dxfId="5571" priority="9614">
      <formula>$B1325="Unidade Construtiva"</formula>
    </cfRule>
    <cfRule type="expression" dxfId="5570" priority="9615">
      <formula>$B1325="Serviço"</formula>
    </cfRule>
    <cfRule type="expression" dxfId="5569" priority="9616">
      <formula>$B1325="Insumo"</formula>
    </cfRule>
    <cfRule type="expression" dxfId="5568" priority="9617">
      <formula>$B1325="Etapa"</formula>
    </cfRule>
    <cfRule type="expression" dxfId="5567" priority="9618">
      <formula>$B1325="Célula Construtiva"</formula>
    </cfRule>
    <cfRule type="expression" dxfId="5566" priority="9619">
      <formula>$B1325="Subetapa"</formula>
    </cfRule>
  </conditionalFormatting>
  <conditionalFormatting sqref="V1734:V1735">
    <cfRule type="expression" dxfId="5565" priority="9592" stopIfTrue="1">
      <formula>$B1734="insumo"</formula>
    </cfRule>
  </conditionalFormatting>
  <conditionalFormatting sqref="AA1734:AA1735">
    <cfRule type="expression" dxfId="5564" priority="9591" stopIfTrue="1">
      <formula>$B1734="SERVIÇO"</formula>
    </cfRule>
  </conditionalFormatting>
  <conditionalFormatting sqref="A1734:E1735 AE1734:AF1735 V1734:V1735 AA1734:AC1735 G1734:S1735">
    <cfRule type="expression" dxfId="5563" priority="9593">
      <formula>$B1734="Unidade Construtiva"</formula>
    </cfRule>
    <cfRule type="expression" dxfId="5562" priority="9594">
      <formula>$B1734="Serviço"</formula>
    </cfRule>
    <cfRule type="expression" dxfId="5561" priority="9595">
      <formula>$B1734="Insumo"</formula>
    </cfRule>
    <cfRule type="expression" dxfId="5560" priority="9596">
      <formula>$B1734="Etapa"</formula>
    </cfRule>
    <cfRule type="expression" dxfId="5559" priority="9597">
      <formula>$B1734="Célula Construtiva"</formula>
    </cfRule>
    <cfRule type="expression" dxfId="5558" priority="9598">
      <formula>$B1734="Subetapa"</formula>
    </cfRule>
  </conditionalFormatting>
  <conditionalFormatting sqref="T1750:U1750">
    <cfRule type="expression" dxfId="5557" priority="9569" stopIfTrue="1">
      <formula>$B1750="SERVIÇO"</formula>
    </cfRule>
  </conditionalFormatting>
  <conditionalFormatting sqref="A1750:E1750 G1750:AC1750">
    <cfRule type="expression" dxfId="5556" priority="9571">
      <formula>$B1750="Unidade Construtiva"</formula>
    </cfRule>
    <cfRule type="expression" dxfId="5555" priority="9572">
      <formula>$B1750="Serviço"</formula>
    </cfRule>
    <cfRule type="expression" dxfId="5554" priority="9573">
      <formula>$B1750="Insumo"</formula>
    </cfRule>
    <cfRule type="expression" dxfId="5553" priority="9574">
      <formula>$B1750="Etapa"</formula>
    </cfRule>
    <cfRule type="expression" dxfId="5552" priority="9575">
      <formula>$B1750="Célula Construtiva"</formula>
    </cfRule>
    <cfRule type="expression" dxfId="5551" priority="9576">
      <formula>$B1750="Subetapa"</formula>
    </cfRule>
  </conditionalFormatting>
  <conditionalFormatting sqref="T1750">
    <cfRule type="expression" dxfId="5550" priority="9568" stopIfTrue="1">
      <formula>$B1750="INSUMO"</formula>
    </cfRule>
  </conditionalFormatting>
  <conditionalFormatting sqref="W1750">
    <cfRule type="containsText" dxfId="5549" priority="9567" stopIfTrue="1" operator="containsText" text="INSERIR">
      <formula>NOT(ISERROR(SEARCH("INSERIR",W1750)))</formula>
    </cfRule>
  </conditionalFormatting>
  <conditionalFormatting sqref="V1753">
    <cfRule type="expression" dxfId="5548" priority="9526" stopIfTrue="1">
      <formula>$B1753="insumo"</formula>
    </cfRule>
  </conditionalFormatting>
  <conditionalFormatting sqref="T1753:U1753 AA1753:AA1754">
    <cfRule type="expression" dxfId="5547" priority="9525" stopIfTrue="1">
      <formula>$B1753="SERVIÇO"</formula>
    </cfRule>
  </conditionalFormatting>
  <conditionalFormatting sqref="AE1753:AF1754 A1753:E1754 AA1754:AC1754 G1754:S1754 G1753:AC1753">
    <cfRule type="expression" dxfId="5546" priority="9527">
      <formula>$B1753="Unidade Construtiva"</formula>
    </cfRule>
    <cfRule type="expression" dxfId="5545" priority="9528">
      <formula>$B1753="Serviço"</formula>
    </cfRule>
    <cfRule type="expression" dxfId="5544" priority="9529">
      <formula>$B1753="Insumo"</formula>
    </cfRule>
    <cfRule type="expression" dxfId="5543" priority="9530">
      <formula>$B1753="Etapa"</formula>
    </cfRule>
    <cfRule type="expression" dxfId="5542" priority="9531">
      <formula>$B1753="Célula Construtiva"</formula>
    </cfRule>
    <cfRule type="expression" dxfId="5541" priority="9532">
      <formula>$B1753="Subetapa"</formula>
    </cfRule>
  </conditionalFormatting>
  <conditionalFormatting sqref="T1753">
    <cfRule type="expression" dxfId="5540" priority="9524" stopIfTrue="1">
      <formula>$B1753="INSUMO"</formula>
    </cfRule>
  </conditionalFormatting>
  <conditionalFormatting sqref="W1753">
    <cfRule type="containsText" dxfId="5539" priority="9523" stopIfTrue="1" operator="containsText" text="INSERIR">
      <formula>NOT(ISERROR(SEARCH("INSERIR",W1753)))</formula>
    </cfRule>
  </conditionalFormatting>
  <conditionalFormatting sqref="V1755:V1756">
    <cfRule type="expression" dxfId="5538" priority="9515" stopIfTrue="1">
      <formula>$B1755="insumo"</formula>
    </cfRule>
  </conditionalFormatting>
  <conditionalFormatting sqref="AA1755:AA1756">
    <cfRule type="expression" dxfId="5537" priority="9514" stopIfTrue="1">
      <formula>$B1755="SERVIÇO"</formula>
    </cfRule>
  </conditionalFormatting>
  <conditionalFormatting sqref="A1755:E1756 AE1755:AF1756 V1755:V1756 AA1755:AC1756 G1755:S1756">
    <cfRule type="expression" dxfId="5536" priority="9516">
      <formula>$B1755="Unidade Construtiva"</formula>
    </cfRule>
    <cfRule type="expression" dxfId="5535" priority="9517">
      <formula>$B1755="Serviço"</formula>
    </cfRule>
    <cfRule type="expression" dxfId="5534" priority="9518">
      <formula>$B1755="Insumo"</formula>
    </cfRule>
    <cfRule type="expression" dxfId="5533" priority="9519">
      <formula>$B1755="Etapa"</formula>
    </cfRule>
    <cfRule type="expression" dxfId="5532" priority="9520">
      <formula>$B1755="Célula Construtiva"</formula>
    </cfRule>
    <cfRule type="expression" dxfId="5531" priority="9521">
      <formula>$B1755="Subetapa"</formula>
    </cfRule>
  </conditionalFormatting>
  <conditionalFormatting sqref="V1757">
    <cfRule type="expression" dxfId="5530" priority="9493" stopIfTrue="1">
      <formula>$B1757="insumo"</formula>
    </cfRule>
  </conditionalFormatting>
  <conditionalFormatting sqref="T1757:U1757 AA1757:AA1758">
    <cfRule type="expression" dxfId="5529" priority="9492" stopIfTrue="1">
      <formula>$B1757="SERVIÇO"</formula>
    </cfRule>
  </conditionalFormatting>
  <conditionalFormatting sqref="AE1757:AF1758 A1757:E1758 AA1758:AC1758 G1758:S1758 G1757:AC1757">
    <cfRule type="expression" dxfId="5528" priority="9494">
      <formula>$B1757="Unidade Construtiva"</formula>
    </cfRule>
    <cfRule type="expression" dxfId="5527" priority="9495">
      <formula>$B1757="Serviço"</formula>
    </cfRule>
    <cfRule type="expression" dxfId="5526" priority="9496">
      <formula>$B1757="Insumo"</formula>
    </cfRule>
    <cfRule type="expression" dxfId="5525" priority="9497">
      <formula>$B1757="Etapa"</formula>
    </cfRule>
    <cfRule type="expression" dxfId="5524" priority="9498">
      <formula>$B1757="Célula Construtiva"</formula>
    </cfRule>
    <cfRule type="expression" dxfId="5523" priority="9499">
      <formula>$B1757="Subetapa"</formula>
    </cfRule>
  </conditionalFormatting>
  <conditionalFormatting sqref="T1757">
    <cfRule type="expression" dxfId="5522" priority="9491" stopIfTrue="1">
      <formula>$B1757="INSUMO"</formula>
    </cfRule>
  </conditionalFormatting>
  <conditionalFormatting sqref="W1757">
    <cfRule type="containsText" dxfId="5521" priority="9490" stopIfTrue="1" operator="containsText" text="INSERIR">
      <formula>NOT(ISERROR(SEARCH("INSERIR",W1757)))</formula>
    </cfRule>
  </conditionalFormatting>
  <conditionalFormatting sqref="V1759:V1760">
    <cfRule type="expression" dxfId="5520" priority="9482" stopIfTrue="1">
      <formula>$B1759="insumo"</formula>
    </cfRule>
  </conditionalFormatting>
  <conditionalFormatting sqref="AA1759:AA1760">
    <cfRule type="expression" dxfId="5519" priority="9481" stopIfTrue="1">
      <formula>$B1759="SERVIÇO"</formula>
    </cfRule>
  </conditionalFormatting>
  <conditionalFormatting sqref="A1759:E1760 AE1759:AF1760 V1759:V1760 AA1759:AC1760 G1759:S1760">
    <cfRule type="expression" dxfId="5518" priority="9483">
      <formula>$B1759="Unidade Construtiva"</formula>
    </cfRule>
    <cfRule type="expression" dxfId="5517" priority="9484">
      <formula>$B1759="Serviço"</formula>
    </cfRule>
    <cfRule type="expression" dxfId="5516" priority="9485">
      <formula>$B1759="Insumo"</formula>
    </cfRule>
    <cfRule type="expression" dxfId="5515" priority="9486">
      <formula>$B1759="Etapa"</formula>
    </cfRule>
    <cfRule type="expression" dxfId="5514" priority="9487">
      <formula>$B1759="Célula Construtiva"</formula>
    </cfRule>
    <cfRule type="expression" dxfId="5513" priority="9488">
      <formula>$B1759="Subetapa"</formula>
    </cfRule>
  </conditionalFormatting>
  <conditionalFormatting sqref="V1775">
    <cfRule type="expression" dxfId="5512" priority="9460" stopIfTrue="1">
      <formula>$B1775="insumo"</formula>
    </cfRule>
  </conditionalFormatting>
  <conditionalFormatting sqref="T1775:U1775 AA1775:AA1776">
    <cfRule type="expression" dxfId="5511" priority="9459" stopIfTrue="1">
      <formula>$B1775="SERVIÇO"</formula>
    </cfRule>
  </conditionalFormatting>
  <conditionalFormatting sqref="AE1775:AF1776 A1775:E1776 AA1776:AC1776 G1776:S1776 G1775:AC1775">
    <cfRule type="expression" dxfId="5510" priority="9461">
      <formula>$B1775="Unidade Construtiva"</formula>
    </cfRule>
    <cfRule type="expression" dxfId="5509" priority="9462">
      <formula>$B1775="Serviço"</formula>
    </cfRule>
    <cfRule type="expression" dxfId="5508" priority="9463">
      <formula>$B1775="Insumo"</formula>
    </cfRule>
    <cfRule type="expression" dxfId="5507" priority="9464">
      <formula>$B1775="Etapa"</formula>
    </cfRule>
    <cfRule type="expression" dxfId="5506" priority="9465">
      <formula>$B1775="Célula Construtiva"</formula>
    </cfRule>
    <cfRule type="expression" dxfId="5505" priority="9466">
      <formula>$B1775="Subetapa"</formula>
    </cfRule>
  </conditionalFormatting>
  <conditionalFormatting sqref="T1775">
    <cfRule type="expression" dxfId="5504" priority="9458" stopIfTrue="1">
      <formula>$B1775="INSUMO"</formula>
    </cfRule>
  </conditionalFormatting>
  <conditionalFormatting sqref="W1775">
    <cfRule type="containsText" dxfId="5503" priority="9457" stopIfTrue="1" operator="containsText" text="INSERIR">
      <formula>NOT(ISERROR(SEARCH("INSERIR",W1775)))</formula>
    </cfRule>
  </conditionalFormatting>
  <conditionalFormatting sqref="V1777:V1778">
    <cfRule type="expression" dxfId="5502" priority="9449" stopIfTrue="1">
      <formula>$B1777="insumo"</formula>
    </cfRule>
  </conditionalFormatting>
  <conditionalFormatting sqref="AA1777:AA1778">
    <cfRule type="expression" dxfId="5501" priority="9448" stopIfTrue="1">
      <formula>$B1777="SERVIÇO"</formula>
    </cfRule>
  </conditionalFormatting>
  <conditionalFormatting sqref="A1777:E1778 AE1777:AF1778 V1777:V1778 AA1777:AC1778 G1777:S1778">
    <cfRule type="expression" dxfId="5500" priority="9450">
      <formula>$B1777="Unidade Construtiva"</formula>
    </cfRule>
    <cfRule type="expression" dxfId="5499" priority="9451">
      <formula>$B1777="Serviço"</formula>
    </cfRule>
    <cfRule type="expression" dxfId="5498" priority="9452">
      <formula>$B1777="Insumo"</formula>
    </cfRule>
    <cfRule type="expression" dxfId="5497" priority="9453">
      <formula>$B1777="Etapa"</formula>
    </cfRule>
    <cfRule type="expression" dxfId="5496" priority="9454">
      <formula>$B1777="Célula Construtiva"</formula>
    </cfRule>
    <cfRule type="expression" dxfId="5495" priority="9455">
      <formula>$B1777="Subetapa"</formula>
    </cfRule>
  </conditionalFormatting>
  <conditionalFormatting sqref="V1779">
    <cfRule type="expression" dxfId="5494" priority="9427" stopIfTrue="1">
      <formula>$B1779="insumo"</formula>
    </cfRule>
  </conditionalFormatting>
  <conditionalFormatting sqref="T1779:U1779 AA1779:AA1780">
    <cfRule type="expression" dxfId="5493" priority="9426" stopIfTrue="1">
      <formula>$B1779="SERVIÇO"</formula>
    </cfRule>
  </conditionalFormatting>
  <conditionalFormatting sqref="AE1779:AF1780 A1779:E1780 AA1780:AC1780 G1780:S1780 G1779:AC1779">
    <cfRule type="expression" dxfId="5492" priority="9428">
      <formula>$B1779="Unidade Construtiva"</formula>
    </cfRule>
    <cfRule type="expression" dxfId="5491" priority="9429">
      <formula>$B1779="Serviço"</formula>
    </cfRule>
    <cfRule type="expression" dxfId="5490" priority="9430">
      <formula>$B1779="Insumo"</formula>
    </cfRule>
    <cfRule type="expression" dxfId="5489" priority="9431">
      <formula>$B1779="Etapa"</formula>
    </cfRule>
    <cfRule type="expression" dxfId="5488" priority="9432">
      <formula>$B1779="Célula Construtiva"</formula>
    </cfRule>
    <cfRule type="expression" dxfId="5487" priority="9433">
      <formula>$B1779="Subetapa"</formula>
    </cfRule>
  </conditionalFormatting>
  <conditionalFormatting sqref="T1779">
    <cfRule type="expression" dxfId="5486" priority="9425" stopIfTrue="1">
      <formula>$B1779="INSUMO"</formula>
    </cfRule>
  </conditionalFormatting>
  <conditionalFormatting sqref="W1779">
    <cfRule type="containsText" dxfId="5485" priority="9424" stopIfTrue="1" operator="containsText" text="INSERIR">
      <formula>NOT(ISERROR(SEARCH("INSERIR",W1779)))</formula>
    </cfRule>
  </conditionalFormatting>
  <conditionalFormatting sqref="V1781:V1782">
    <cfRule type="expression" dxfId="5484" priority="9416" stopIfTrue="1">
      <formula>$B1781="insumo"</formula>
    </cfRule>
  </conditionalFormatting>
  <conditionalFormatting sqref="AA1781:AA1782">
    <cfRule type="expression" dxfId="5483" priority="9415" stopIfTrue="1">
      <formula>$B1781="SERVIÇO"</formula>
    </cfRule>
  </conditionalFormatting>
  <conditionalFormatting sqref="A1781:E1782 AE1781:AF1782 V1781:V1782 AA1781:AC1782 G1781:S1782">
    <cfRule type="expression" dxfId="5482" priority="9417">
      <formula>$B1781="Unidade Construtiva"</formula>
    </cfRule>
    <cfRule type="expression" dxfId="5481" priority="9418">
      <formula>$B1781="Serviço"</formula>
    </cfRule>
    <cfRule type="expression" dxfId="5480" priority="9419">
      <formula>$B1781="Insumo"</formula>
    </cfRule>
    <cfRule type="expression" dxfId="5479" priority="9420">
      <formula>$B1781="Etapa"</formula>
    </cfRule>
    <cfRule type="expression" dxfId="5478" priority="9421">
      <formula>$B1781="Célula Construtiva"</formula>
    </cfRule>
    <cfRule type="expression" dxfId="5477" priority="9422">
      <formula>$B1781="Subetapa"</formula>
    </cfRule>
  </conditionalFormatting>
  <conditionalFormatting sqref="V1799">
    <cfRule type="expression" dxfId="5476" priority="9394" stopIfTrue="1">
      <formula>$B1799="insumo"</formula>
    </cfRule>
  </conditionalFormatting>
  <conditionalFormatting sqref="T1799:U1799 AA1799:AA1800">
    <cfRule type="expression" dxfId="5475" priority="9393" stopIfTrue="1">
      <formula>$B1799="SERVIÇO"</formula>
    </cfRule>
  </conditionalFormatting>
  <conditionalFormatting sqref="AE1799:AF1800 A1799:E1800 AA1800:AC1800 G1800:S1800 G1799:AC1799">
    <cfRule type="expression" dxfId="5474" priority="9395">
      <formula>$B1799="Unidade Construtiva"</formula>
    </cfRule>
    <cfRule type="expression" dxfId="5473" priority="9396">
      <formula>$B1799="Serviço"</formula>
    </cfRule>
    <cfRule type="expression" dxfId="5472" priority="9397">
      <formula>$B1799="Insumo"</formula>
    </cfRule>
    <cfRule type="expression" dxfId="5471" priority="9398">
      <formula>$B1799="Etapa"</formula>
    </cfRule>
    <cfRule type="expression" dxfId="5470" priority="9399">
      <formula>$B1799="Célula Construtiva"</formula>
    </cfRule>
    <cfRule type="expression" dxfId="5469" priority="9400">
      <formula>$B1799="Subetapa"</formula>
    </cfRule>
  </conditionalFormatting>
  <conditionalFormatting sqref="T1799">
    <cfRule type="expression" dxfId="5468" priority="9392" stopIfTrue="1">
      <formula>$B1799="INSUMO"</formula>
    </cfRule>
  </conditionalFormatting>
  <conditionalFormatting sqref="W1799">
    <cfRule type="containsText" dxfId="5467" priority="9391" stopIfTrue="1" operator="containsText" text="INSERIR">
      <formula>NOT(ISERROR(SEARCH("INSERIR",W1799)))</formula>
    </cfRule>
  </conditionalFormatting>
  <conditionalFormatting sqref="V1801:V1802">
    <cfRule type="expression" dxfId="5466" priority="9383" stopIfTrue="1">
      <formula>$B1801="insumo"</formula>
    </cfRule>
  </conditionalFormatting>
  <conditionalFormatting sqref="AA1801:AA1802">
    <cfRule type="expression" dxfId="5465" priority="9382" stopIfTrue="1">
      <formula>$B1801="SERVIÇO"</formula>
    </cfRule>
  </conditionalFormatting>
  <conditionalFormatting sqref="A1801:E1802 AE1801:AF1802 V1801:V1802 AA1801:AC1802 G1801:S1802">
    <cfRule type="expression" dxfId="5464" priority="9384">
      <formula>$B1801="Unidade Construtiva"</formula>
    </cfRule>
    <cfRule type="expression" dxfId="5463" priority="9385">
      <formula>$B1801="Serviço"</formula>
    </cfRule>
    <cfRule type="expression" dxfId="5462" priority="9386">
      <formula>$B1801="Insumo"</formula>
    </cfRule>
    <cfRule type="expression" dxfId="5461" priority="9387">
      <formula>$B1801="Etapa"</formula>
    </cfRule>
    <cfRule type="expression" dxfId="5460" priority="9388">
      <formula>$B1801="Célula Construtiva"</formula>
    </cfRule>
    <cfRule type="expression" dxfId="5459" priority="9389">
      <formula>$B1801="Subetapa"</formula>
    </cfRule>
  </conditionalFormatting>
  <conditionalFormatting sqref="V1821">
    <cfRule type="expression" dxfId="5458" priority="9328" stopIfTrue="1">
      <formula>$B1821="insumo"</formula>
    </cfRule>
  </conditionalFormatting>
  <conditionalFormatting sqref="T1821:U1821 AA1821:AA1822">
    <cfRule type="expression" dxfId="5457" priority="9327" stopIfTrue="1">
      <formula>$B1821="SERVIÇO"</formula>
    </cfRule>
  </conditionalFormatting>
  <conditionalFormatting sqref="AE1821:AF1822 A1821:E1822 AA1822:AC1822 G1822:S1822 G1821:AC1821">
    <cfRule type="expression" dxfId="5456" priority="9329">
      <formula>$B1821="Unidade Construtiva"</formula>
    </cfRule>
    <cfRule type="expression" dxfId="5455" priority="9330">
      <formula>$B1821="Serviço"</formula>
    </cfRule>
    <cfRule type="expression" dxfId="5454" priority="9331">
      <formula>$B1821="Insumo"</formula>
    </cfRule>
    <cfRule type="expression" dxfId="5453" priority="9332">
      <formula>$B1821="Etapa"</formula>
    </cfRule>
    <cfRule type="expression" dxfId="5452" priority="9333">
      <formula>$B1821="Célula Construtiva"</formula>
    </cfRule>
    <cfRule type="expression" dxfId="5451" priority="9334">
      <formula>$B1821="Subetapa"</formula>
    </cfRule>
  </conditionalFormatting>
  <conditionalFormatting sqref="T1821">
    <cfRule type="expression" dxfId="5450" priority="9326" stopIfTrue="1">
      <formula>$B1821="INSUMO"</formula>
    </cfRule>
  </conditionalFormatting>
  <conditionalFormatting sqref="W1821">
    <cfRule type="containsText" dxfId="5449" priority="9325" stopIfTrue="1" operator="containsText" text="INSERIR">
      <formula>NOT(ISERROR(SEARCH("INSERIR",W1821)))</formula>
    </cfRule>
  </conditionalFormatting>
  <conditionalFormatting sqref="V1823:V1824">
    <cfRule type="expression" dxfId="5448" priority="9317" stopIfTrue="1">
      <formula>$B1823="insumo"</formula>
    </cfRule>
  </conditionalFormatting>
  <conditionalFormatting sqref="AA1823:AA1824">
    <cfRule type="expression" dxfId="5447" priority="9316" stopIfTrue="1">
      <formula>$B1823="SERVIÇO"</formula>
    </cfRule>
  </conditionalFormatting>
  <conditionalFormatting sqref="A1823:E1824 AE1823:AF1824 V1823:V1824 AA1823:AC1824 G1823:S1824">
    <cfRule type="expression" dxfId="5446" priority="9318">
      <formula>$B1823="Unidade Construtiva"</formula>
    </cfRule>
    <cfRule type="expression" dxfId="5445" priority="9319">
      <formula>$B1823="Serviço"</formula>
    </cfRule>
    <cfRule type="expression" dxfId="5444" priority="9320">
      <formula>$B1823="Insumo"</formula>
    </cfRule>
    <cfRule type="expression" dxfId="5443" priority="9321">
      <formula>$B1823="Etapa"</formula>
    </cfRule>
    <cfRule type="expression" dxfId="5442" priority="9322">
      <formula>$B1823="Célula Construtiva"</formula>
    </cfRule>
    <cfRule type="expression" dxfId="5441" priority="9323">
      <formula>$B1823="Subetapa"</formula>
    </cfRule>
  </conditionalFormatting>
  <conditionalFormatting sqref="T1762:U1762">
    <cfRule type="expression" dxfId="5440" priority="9250" stopIfTrue="1">
      <formula>$B1762="SERVIÇO"</formula>
    </cfRule>
  </conditionalFormatting>
  <conditionalFormatting sqref="A1762:E1762 G1762:AC1762">
    <cfRule type="expression" dxfId="5439" priority="9252">
      <formula>$B1762="Unidade Construtiva"</formula>
    </cfRule>
    <cfRule type="expression" dxfId="5438" priority="9253">
      <formula>$B1762="Serviço"</formula>
    </cfRule>
    <cfRule type="expression" dxfId="5437" priority="9254">
      <formula>$B1762="Insumo"</formula>
    </cfRule>
    <cfRule type="expression" dxfId="5436" priority="9255">
      <formula>$B1762="Etapa"</formula>
    </cfRule>
    <cfRule type="expression" dxfId="5435" priority="9256">
      <formula>$B1762="Célula Construtiva"</formula>
    </cfRule>
    <cfRule type="expression" dxfId="5434" priority="9257">
      <formula>$B1762="Subetapa"</formula>
    </cfRule>
  </conditionalFormatting>
  <conditionalFormatting sqref="T1762">
    <cfRule type="expression" dxfId="5433" priority="9249" stopIfTrue="1">
      <formula>$B1762="INSUMO"</formula>
    </cfRule>
  </conditionalFormatting>
  <conditionalFormatting sqref="W1762">
    <cfRule type="containsText" dxfId="5432" priority="9248" stopIfTrue="1" operator="containsText" text="INSERIR">
      <formula>NOT(ISERROR(SEARCH("INSERIR",W1762)))</formula>
    </cfRule>
  </conditionalFormatting>
  <conditionalFormatting sqref="T1784:U1784">
    <cfRule type="expression" dxfId="5431" priority="9237" stopIfTrue="1">
      <formula>$B1784="SERVIÇO"</formula>
    </cfRule>
  </conditionalFormatting>
  <conditionalFormatting sqref="A1784:E1784 G1784:AC1784">
    <cfRule type="expression" dxfId="5430" priority="9239">
      <formula>$B1784="Unidade Construtiva"</formula>
    </cfRule>
    <cfRule type="expression" dxfId="5429" priority="9240">
      <formula>$B1784="Serviço"</formula>
    </cfRule>
    <cfRule type="expression" dxfId="5428" priority="9241">
      <formula>$B1784="Insumo"</formula>
    </cfRule>
    <cfRule type="expression" dxfId="5427" priority="9242">
      <formula>$B1784="Etapa"</formula>
    </cfRule>
    <cfRule type="expression" dxfId="5426" priority="9243">
      <formula>$B1784="Célula Construtiva"</formula>
    </cfRule>
    <cfRule type="expression" dxfId="5425" priority="9244">
      <formula>$B1784="Subetapa"</formula>
    </cfRule>
  </conditionalFormatting>
  <conditionalFormatting sqref="T1784">
    <cfRule type="expression" dxfId="5424" priority="9236" stopIfTrue="1">
      <formula>$B1784="INSUMO"</formula>
    </cfRule>
  </conditionalFormatting>
  <conditionalFormatting sqref="W1784">
    <cfRule type="containsText" dxfId="5423" priority="9235" stopIfTrue="1" operator="containsText" text="INSERIR">
      <formula>NOT(ISERROR(SEARCH("INSERIR",W1784)))</formula>
    </cfRule>
  </conditionalFormatting>
  <conditionalFormatting sqref="T1804:U1804">
    <cfRule type="expression" dxfId="5422" priority="9224" stopIfTrue="1">
      <formula>$B1804="SERVIÇO"</formula>
    </cfRule>
  </conditionalFormatting>
  <conditionalFormatting sqref="A1804:E1804 G1804:AC1804">
    <cfRule type="expression" dxfId="5421" priority="9226">
      <formula>$B1804="Unidade Construtiva"</formula>
    </cfRule>
    <cfRule type="expression" dxfId="5420" priority="9227">
      <formula>$B1804="Serviço"</formula>
    </cfRule>
    <cfRule type="expression" dxfId="5419" priority="9228">
      <formula>$B1804="Insumo"</formula>
    </cfRule>
    <cfRule type="expression" dxfId="5418" priority="9229">
      <formula>$B1804="Etapa"</formula>
    </cfRule>
    <cfRule type="expression" dxfId="5417" priority="9230">
      <formula>$B1804="Célula Construtiva"</formula>
    </cfRule>
    <cfRule type="expression" dxfId="5416" priority="9231">
      <formula>$B1804="Subetapa"</formula>
    </cfRule>
  </conditionalFormatting>
  <conditionalFormatting sqref="T1804">
    <cfRule type="expression" dxfId="5415" priority="9223" stopIfTrue="1">
      <formula>$B1804="INSUMO"</formula>
    </cfRule>
  </conditionalFormatting>
  <conditionalFormatting sqref="W1804">
    <cfRule type="containsText" dxfId="5414" priority="9222" stopIfTrue="1" operator="containsText" text="INSERIR">
      <formula>NOT(ISERROR(SEARCH("INSERIR",W1804)))</formula>
    </cfRule>
  </conditionalFormatting>
  <conditionalFormatting sqref="T1826:U1826">
    <cfRule type="expression" dxfId="5413" priority="9211" stopIfTrue="1">
      <formula>$B1826="SERVIÇO"</formula>
    </cfRule>
  </conditionalFormatting>
  <conditionalFormatting sqref="A1826:E1826 G1826:AC1826">
    <cfRule type="expression" dxfId="5412" priority="9213">
      <formula>$B1826="Unidade Construtiva"</formula>
    </cfRule>
    <cfRule type="expression" dxfId="5411" priority="9214">
      <formula>$B1826="Serviço"</formula>
    </cfRule>
    <cfRule type="expression" dxfId="5410" priority="9215">
      <formula>$B1826="Insumo"</formula>
    </cfRule>
    <cfRule type="expression" dxfId="5409" priority="9216">
      <formula>$B1826="Etapa"</formula>
    </cfRule>
    <cfRule type="expression" dxfId="5408" priority="9217">
      <formula>$B1826="Célula Construtiva"</formula>
    </cfRule>
    <cfRule type="expression" dxfId="5407" priority="9218">
      <formula>$B1826="Subetapa"</formula>
    </cfRule>
  </conditionalFormatting>
  <conditionalFormatting sqref="T1826">
    <cfRule type="expression" dxfId="5406" priority="9210" stopIfTrue="1">
      <formula>$B1826="INSUMO"</formula>
    </cfRule>
  </conditionalFormatting>
  <conditionalFormatting sqref="W1826">
    <cfRule type="containsText" dxfId="5405" priority="9209" stopIfTrue="1" operator="containsText" text="INSERIR">
      <formula>NOT(ISERROR(SEARCH("INSERIR",W1826)))</formula>
    </cfRule>
  </conditionalFormatting>
  <conditionalFormatting sqref="T1831:U1831 T1833:U1833 T1835:U1835">
    <cfRule type="expression" dxfId="5404" priority="9198" stopIfTrue="1">
      <formula>$B1831="SERVIÇO"</formula>
    </cfRule>
  </conditionalFormatting>
  <conditionalFormatting sqref="V1832 V1834 A1831:E1836 V1836 AA1832:AC1832 AA1834:AC1834 AA1836:AC1836 G1836:S1836 G1835:AC1835 G1834:S1834 G1832:S1832 G1833:AC1833 G1831:AC1831">
    <cfRule type="expression" dxfId="5403" priority="9200">
      <formula>$B1831="Unidade Construtiva"</formula>
    </cfRule>
    <cfRule type="expression" dxfId="5402" priority="9201">
      <formula>$B1831="Serviço"</formula>
    </cfRule>
    <cfRule type="expression" dxfId="5401" priority="9202">
      <formula>$B1831="Insumo"</formula>
    </cfRule>
    <cfRule type="expression" dxfId="5400" priority="9203">
      <formula>$B1831="Etapa"</formula>
    </cfRule>
    <cfRule type="expression" dxfId="5399" priority="9204">
      <formula>$B1831="Célula Construtiva"</formula>
    </cfRule>
    <cfRule type="expression" dxfId="5398" priority="9205">
      <formula>$B1831="Subetapa"</formula>
    </cfRule>
  </conditionalFormatting>
  <conditionalFormatting sqref="T1831 T1833 T1835">
    <cfRule type="expression" dxfId="5397" priority="9197" stopIfTrue="1">
      <formula>$B1831="INSUMO"</formula>
    </cfRule>
  </conditionalFormatting>
  <conditionalFormatting sqref="W1831 W1833 W1835">
    <cfRule type="containsText" dxfId="5396" priority="9196" stopIfTrue="1" operator="containsText" text="INSERIR">
      <formula>NOT(ISERROR(SEARCH("INSERIR",W1831)))</formula>
    </cfRule>
  </conditionalFormatting>
  <conditionalFormatting sqref="T1809:U1809 T1811:U1811 T1813:U1813">
    <cfRule type="expression" dxfId="5395" priority="9187" stopIfTrue="1">
      <formula>$B1809="SERVIÇO"</formula>
    </cfRule>
  </conditionalFormatting>
  <conditionalFormatting sqref="V1810 V1812 A1809:E1814 V1814 AA1810:AC1810 AA1812:AC1812 AA1814:AC1814 G1814:S1814 G1813:AC1813 G1812:S1812 G1810:S1810 G1811:AC1811 G1809:AC1809">
    <cfRule type="expression" dxfId="5394" priority="9189">
      <formula>$B1809="Unidade Construtiva"</formula>
    </cfRule>
    <cfRule type="expression" dxfId="5393" priority="9190">
      <formula>$B1809="Serviço"</formula>
    </cfRule>
    <cfRule type="expression" dxfId="5392" priority="9191">
      <formula>$B1809="Insumo"</formula>
    </cfRule>
    <cfRule type="expression" dxfId="5391" priority="9192">
      <formula>$B1809="Etapa"</formula>
    </cfRule>
    <cfRule type="expression" dxfId="5390" priority="9193">
      <formula>$B1809="Célula Construtiva"</formula>
    </cfRule>
    <cfRule type="expression" dxfId="5389" priority="9194">
      <formula>$B1809="Subetapa"</formula>
    </cfRule>
  </conditionalFormatting>
  <conditionalFormatting sqref="T1809 T1811 T1813">
    <cfRule type="expression" dxfId="5388" priority="9186" stopIfTrue="1">
      <formula>$B1809="INSUMO"</formula>
    </cfRule>
  </conditionalFormatting>
  <conditionalFormatting sqref="W1809 W1811 W1813">
    <cfRule type="containsText" dxfId="5387" priority="9185" stopIfTrue="1" operator="containsText" text="INSERIR">
      <formula>NOT(ISERROR(SEARCH("INSERIR",W1809)))</formula>
    </cfRule>
  </conditionalFormatting>
  <conditionalFormatting sqref="T1789:U1789 T1791:U1791">
    <cfRule type="expression" dxfId="5386" priority="9176" stopIfTrue="1">
      <formula>$B1789="SERVIÇO"</formula>
    </cfRule>
  </conditionalFormatting>
  <conditionalFormatting sqref="V1790 A1789:E1792 V1792 AA1790:AC1790 AA1792:AC1792 G1792:S1792 G1791:AC1791 G1790:S1790 G1789:AC1789">
    <cfRule type="expression" dxfId="5385" priority="9178">
      <formula>$B1789="Unidade Construtiva"</formula>
    </cfRule>
    <cfRule type="expression" dxfId="5384" priority="9179">
      <formula>$B1789="Serviço"</formula>
    </cfRule>
    <cfRule type="expression" dxfId="5383" priority="9180">
      <formula>$B1789="Insumo"</formula>
    </cfRule>
    <cfRule type="expression" dxfId="5382" priority="9181">
      <formula>$B1789="Etapa"</formula>
    </cfRule>
    <cfRule type="expression" dxfId="5381" priority="9182">
      <formula>$B1789="Célula Construtiva"</formula>
    </cfRule>
    <cfRule type="expression" dxfId="5380" priority="9183">
      <formula>$B1789="Subetapa"</formula>
    </cfRule>
  </conditionalFormatting>
  <conditionalFormatting sqref="T1789 T1791">
    <cfRule type="expression" dxfId="5379" priority="9175" stopIfTrue="1">
      <formula>$B1789="INSUMO"</formula>
    </cfRule>
  </conditionalFormatting>
  <conditionalFormatting sqref="W1789 W1791">
    <cfRule type="containsText" dxfId="5378" priority="9174" stopIfTrue="1" operator="containsText" text="INSERIR">
      <formula>NOT(ISERROR(SEARCH("INSERIR",W1789)))</formula>
    </cfRule>
  </conditionalFormatting>
  <conditionalFormatting sqref="T1767:U1767 T1769:U1769">
    <cfRule type="expression" dxfId="5377" priority="9165" stopIfTrue="1">
      <formula>$B1767="SERVIÇO"</formula>
    </cfRule>
  </conditionalFormatting>
  <conditionalFormatting sqref="V1768 A1767:E1770 V1770 AA1768:AC1768 AA1770:AC1770 G1770:S1770 G1769:AC1769 G1768:S1768 G1767:AC1767">
    <cfRule type="expression" dxfId="5376" priority="9167">
      <formula>$B1767="Unidade Construtiva"</formula>
    </cfRule>
    <cfRule type="expression" dxfId="5375" priority="9168">
      <formula>$B1767="Serviço"</formula>
    </cfRule>
    <cfRule type="expression" dxfId="5374" priority="9169">
      <formula>$B1767="Insumo"</formula>
    </cfRule>
    <cfRule type="expression" dxfId="5373" priority="9170">
      <formula>$B1767="Etapa"</formula>
    </cfRule>
    <cfRule type="expression" dxfId="5372" priority="9171">
      <formula>$B1767="Célula Construtiva"</formula>
    </cfRule>
    <cfRule type="expression" dxfId="5371" priority="9172">
      <formula>$B1767="Subetapa"</formula>
    </cfRule>
  </conditionalFormatting>
  <conditionalFormatting sqref="T1767 T1769">
    <cfRule type="expression" dxfId="5370" priority="9164" stopIfTrue="1">
      <formula>$B1767="INSUMO"</formula>
    </cfRule>
  </conditionalFormatting>
  <conditionalFormatting sqref="W1767 W1769">
    <cfRule type="containsText" dxfId="5369" priority="9163" stopIfTrue="1" operator="containsText" text="INSERIR">
      <formula>NOT(ISERROR(SEARCH("INSERIR",W1767)))</formula>
    </cfRule>
  </conditionalFormatting>
  <conditionalFormatting sqref="T1742:U1742 T1744:U1744">
    <cfRule type="expression" dxfId="5368" priority="9154" stopIfTrue="1">
      <formula>$B1742="SERVIÇO"</formula>
    </cfRule>
  </conditionalFormatting>
  <conditionalFormatting sqref="V1743 A1742:E1745 V1745 AA1743:AC1743 AA1745:AC1745 G1745:S1745 G1744:AC1744 G1743:S1743 G1742:AC1742">
    <cfRule type="expression" dxfId="5367" priority="9156">
      <formula>$B1742="Unidade Construtiva"</formula>
    </cfRule>
    <cfRule type="expression" dxfId="5366" priority="9157">
      <formula>$B1742="Serviço"</formula>
    </cfRule>
    <cfRule type="expression" dxfId="5365" priority="9158">
      <formula>$B1742="Insumo"</formula>
    </cfRule>
    <cfRule type="expression" dxfId="5364" priority="9159">
      <formula>$B1742="Etapa"</formula>
    </cfRule>
    <cfRule type="expression" dxfId="5363" priority="9160">
      <formula>$B1742="Célula Construtiva"</formula>
    </cfRule>
    <cfRule type="expression" dxfId="5362" priority="9161">
      <formula>$B1742="Subetapa"</formula>
    </cfRule>
  </conditionalFormatting>
  <conditionalFormatting sqref="T1742 T1744">
    <cfRule type="expression" dxfId="5361" priority="9153" stopIfTrue="1">
      <formula>$B1742="INSUMO"</formula>
    </cfRule>
  </conditionalFormatting>
  <conditionalFormatting sqref="W1742 W1744">
    <cfRule type="containsText" dxfId="5360" priority="9152" stopIfTrue="1" operator="containsText" text="INSERIR">
      <formula>NOT(ISERROR(SEARCH("INSERIR",W1742)))</formula>
    </cfRule>
  </conditionalFormatting>
  <conditionalFormatting sqref="W1374:W1375">
    <cfRule type="containsText" dxfId="5359" priority="9141" stopIfTrue="1" operator="containsText" text="INSERIR">
      <formula>NOT(ISERROR(SEARCH("INSERIR",W1374)))</formula>
    </cfRule>
  </conditionalFormatting>
  <conditionalFormatting sqref="A1373:E1373 V1373 AA1373:AC1373 G1373:R1373">
    <cfRule type="expression" dxfId="5358" priority="9134">
      <formula>$B1373="Unidade Construtiva"</formula>
    </cfRule>
    <cfRule type="expression" dxfId="5357" priority="9135">
      <formula>$B1373="Serviço"</formula>
    </cfRule>
    <cfRule type="expression" dxfId="5356" priority="9136">
      <formula>$B1373="Insumo"</formula>
    </cfRule>
    <cfRule type="expression" dxfId="5355" priority="9137">
      <formula>$B1373="Etapa"</formula>
    </cfRule>
    <cfRule type="expression" dxfId="5354" priority="9138">
      <formula>$B1373="Célula Construtiva"</formula>
    </cfRule>
    <cfRule type="expression" dxfId="5353" priority="9139">
      <formula>$B1373="Subetapa"</formula>
    </cfRule>
  </conditionalFormatting>
  <conditionalFormatting sqref="S1373">
    <cfRule type="expression" dxfId="5352" priority="9124">
      <formula>$B1373="Unidade Construtiva"</formula>
    </cfRule>
    <cfRule type="expression" dxfId="5351" priority="9125">
      <formula>$B1373="Serviço"</formula>
    </cfRule>
    <cfRule type="expression" dxfId="5350" priority="9126">
      <formula>$B1373="Insumo"</formula>
    </cfRule>
    <cfRule type="expression" dxfId="5349" priority="9127">
      <formula>$B1373="Etapa"</formula>
    </cfRule>
    <cfRule type="expression" dxfId="5348" priority="9128">
      <formula>$B1373="Célula Construtiva"</formula>
    </cfRule>
    <cfRule type="expression" dxfId="5347" priority="9129">
      <formula>$B1373="Subetapa"</formula>
    </cfRule>
  </conditionalFormatting>
  <conditionalFormatting sqref="V1387:V1388 V1406:V1408">
    <cfRule type="expression" dxfId="5346" priority="9042" stopIfTrue="1">
      <formula>$B1387="insumo"</formula>
    </cfRule>
  </conditionalFormatting>
  <conditionalFormatting sqref="T1387:U1388 AA1387:AA1389 AA1406:AA1408 T1390:U1390 T1406:U1407 T1392:U1392 T1391 T1393:T1396 T1408">
    <cfRule type="expression" dxfId="5345" priority="9041" stopIfTrue="1">
      <formula>$B1387="SERVIÇO"</formula>
    </cfRule>
  </conditionalFormatting>
  <conditionalFormatting sqref="AE1387:AF1389 A1387:E1388 AE1406:AF1408 V1391 V1393:V1396 V1408 AA1391:AC1391 AA1393:AC1396 AA1408:AC1408 A1406:E1408 T1407:AC1407 T1408 A1390:E1396 T1395 G1395:R1395 G1396:T1396 G1407:R1408 G1393:T1394 G1391:T1391 G1392:AC1392 G1406:AC1406 G1390:AC1390 G1387:AC1388">
    <cfRule type="expression" dxfId="5344" priority="9043">
      <formula>$B1387="Unidade Construtiva"</formula>
    </cfRule>
    <cfRule type="expression" dxfId="5343" priority="9044">
      <formula>$B1387="Serviço"</formula>
    </cfRule>
    <cfRule type="expression" dxfId="5342" priority="9045">
      <formula>$B1387="Insumo"</formula>
    </cfRule>
    <cfRule type="expression" dxfId="5341" priority="9046">
      <formula>$B1387="Etapa"</formula>
    </cfRule>
    <cfRule type="expression" dxfId="5340" priority="9047">
      <formula>$B1387="Célula Construtiva"</formula>
    </cfRule>
    <cfRule type="expression" dxfId="5339" priority="9048">
      <formula>$B1387="Subetapa"</formula>
    </cfRule>
  </conditionalFormatting>
  <conditionalFormatting sqref="T1406:T1408">
    <cfRule type="expression" dxfId="5338" priority="9040" stopIfTrue="1">
      <formula>$B1406="INSUMO"</formula>
    </cfRule>
  </conditionalFormatting>
  <conditionalFormatting sqref="W1392 W1387:W1388 W1406:W1407 W1397">
    <cfRule type="containsText" dxfId="5337" priority="9039" stopIfTrue="1" operator="containsText" text="INSERIR">
      <formula>NOT(ISERROR(SEARCH("INSERIR",W1387)))</formula>
    </cfRule>
  </conditionalFormatting>
  <conditionalFormatting sqref="W1390">
    <cfRule type="containsText" dxfId="5336" priority="9038" stopIfTrue="1" operator="containsText" text="INSERIR">
      <formula>NOT(ISERROR(SEARCH("INSERIR",W1390)))</formula>
    </cfRule>
  </conditionalFormatting>
  <conditionalFormatting sqref="A1389:E1389 AA1389:AC1389 G1389:R1389">
    <cfRule type="expression" dxfId="5335" priority="9032">
      <formula>$B1389="Unidade Construtiva"</formula>
    </cfRule>
    <cfRule type="expression" dxfId="5334" priority="9033">
      <formula>$B1389="Serviço"</formula>
    </cfRule>
    <cfRule type="expression" dxfId="5333" priority="9034">
      <formula>$B1389="Insumo"</formula>
    </cfRule>
    <cfRule type="expression" dxfId="5332" priority="9035">
      <formula>$B1389="Etapa"</formula>
    </cfRule>
    <cfRule type="expression" dxfId="5331" priority="9036">
      <formula>$B1389="Célula Construtiva"</formula>
    </cfRule>
    <cfRule type="expression" dxfId="5330" priority="9037">
      <formula>$B1389="Subetapa"</formula>
    </cfRule>
  </conditionalFormatting>
  <conditionalFormatting sqref="W1398">
    <cfRule type="containsText" dxfId="5329" priority="8992" stopIfTrue="1" operator="containsText" text="INSERIR">
      <formula>NOT(ISERROR(SEARCH("INSERIR",W1398)))</formula>
    </cfRule>
  </conditionalFormatting>
  <conditionalFormatting sqref="T1398">
    <cfRule type="expression" dxfId="5328" priority="8985" stopIfTrue="1">
      <formula>$B1398="SERVIÇO"</formula>
    </cfRule>
  </conditionalFormatting>
  <conditionalFormatting sqref="T1398">
    <cfRule type="expression" dxfId="5327" priority="8986">
      <formula>$B1398="Unidade Construtiva"</formula>
    </cfRule>
    <cfRule type="expression" dxfId="5326" priority="8987">
      <formula>$B1398="Serviço"</formula>
    </cfRule>
    <cfRule type="expression" dxfId="5325" priority="8988">
      <formula>$B1398="Insumo"</formula>
    </cfRule>
    <cfRule type="expression" dxfId="5324" priority="8989">
      <formula>$B1398="Etapa"</formula>
    </cfRule>
    <cfRule type="expression" dxfId="5323" priority="8990">
      <formula>$B1398="Célula Construtiva"</formula>
    </cfRule>
    <cfRule type="expression" dxfId="5322" priority="8991">
      <formula>$B1398="Subetapa"</formula>
    </cfRule>
  </conditionalFormatting>
  <conditionalFormatting sqref="T1398">
    <cfRule type="expression" dxfId="5321" priority="8984" stopIfTrue="1">
      <formula>$B1398="INSUMO"</formula>
    </cfRule>
  </conditionalFormatting>
  <conditionalFormatting sqref="V1412:V1413">
    <cfRule type="expression" dxfId="5320" priority="8946" stopIfTrue="1">
      <formula>$B1412="insumo"</formula>
    </cfRule>
  </conditionalFormatting>
  <conditionalFormatting sqref="T1412:U1413 AA1412:AA1414 T1415:U1415 T1416">
    <cfRule type="expression" dxfId="5319" priority="8945" stopIfTrue="1">
      <formula>$B1412="SERVIÇO"</formula>
    </cfRule>
  </conditionalFormatting>
  <conditionalFormatting sqref="AE1412:AF1414 A1412:E1413 A1415:E1416 V1416 AA1416:AC1416 G1416:T1416 G1415:AC1415 G1412:AC1413">
    <cfRule type="expression" dxfId="5318" priority="8947">
      <formula>$B1412="Unidade Construtiva"</formula>
    </cfRule>
    <cfRule type="expression" dxfId="5317" priority="8948">
      <formula>$B1412="Serviço"</formula>
    </cfRule>
    <cfRule type="expression" dxfId="5316" priority="8949">
      <formula>$B1412="Insumo"</formula>
    </cfRule>
    <cfRule type="expression" dxfId="5315" priority="8950">
      <formula>$B1412="Etapa"</formula>
    </cfRule>
    <cfRule type="expression" dxfId="5314" priority="8951">
      <formula>$B1412="Célula Construtiva"</formula>
    </cfRule>
    <cfRule type="expression" dxfId="5313" priority="8952">
      <formula>$B1412="Subetapa"</formula>
    </cfRule>
  </conditionalFormatting>
  <conditionalFormatting sqref="W1412:W1413 W1426">
    <cfRule type="containsText" dxfId="5312" priority="8943" stopIfTrue="1" operator="containsText" text="INSERIR">
      <formula>NOT(ISERROR(SEARCH("INSERIR",W1412)))</formula>
    </cfRule>
  </conditionalFormatting>
  <conditionalFormatting sqref="W1415">
    <cfRule type="containsText" dxfId="5311" priority="8942" stopIfTrue="1" operator="containsText" text="INSERIR">
      <formula>NOT(ISERROR(SEARCH("INSERIR",W1415)))</formula>
    </cfRule>
  </conditionalFormatting>
  <conditionalFormatting sqref="A1414:E1414 AA1414:AC1414 G1414:R1414">
    <cfRule type="expression" dxfId="5310" priority="8936">
      <formula>$B1414="Unidade Construtiva"</formula>
    </cfRule>
    <cfRule type="expression" dxfId="5309" priority="8937">
      <formula>$B1414="Serviço"</formula>
    </cfRule>
    <cfRule type="expression" dxfId="5308" priority="8938">
      <formula>$B1414="Insumo"</formula>
    </cfRule>
    <cfRule type="expression" dxfId="5307" priority="8939">
      <formula>$B1414="Etapa"</formula>
    </cfRule>
    <cfRule type="expression" dxfId="5306" priority="8940">
      <formula>$B1414="Célula Construtiva"</formula>
    </cfRule>
    <cfRule type="expression" dxfId="5305" priority="8941">
      <formula>$B1414="Subetapa"</formula>
    </cfRule>
  </conditionalFormatting>
  <conditionalFormatting sqref="V1430:V1431">
    <cfRule type="expression" dxfId="5304" priority="8850" stopIfTrue="1">
      <formula>$B1430="insumo"</formula>
    </cfRule>
  </conditionalFormatting>
  <conditionalFormatting sqref="T1430:U1431 AA1430:AA1432 T1433:U1433 T1434">
    <cfRule type="expression" dxfId="5303" priority="8849" stopIfTrue="1">
      <formula>$B1430="SERVIÇO"</formula>
    </cfRule>
  </conditionalFormatting>
  <conditionalFormatting sqref="AE1430:AF1432 A1430:E1431 A1433:E1434 V1434 AA1434:AC1434 G1434:T1434 G1433:AC1433 G1430:AC1431">
    <cfRule type="expression" dxfId="5302" priority="8851">
      <formula>$B1430="Unidade Construtiva"</formula>
    </cfRule>
    <cfRule type="expression" dxfId="5301" priority="8852">
      <formula>$B1430="Serviço"</formula>
    </cfRule>
    <cfRule type="expression" dxfId="5300" priority="8853">
      <formula>$B1430="Insumo"</formula>
    </cfRule>
    <cfRule type="expression" dxfId="5299" priority="8854">
      <formula>$B1430="Etapa"</formula>
    </cfRule>
    <cfRule type="expression" dxfId="5298" priority="8855">
      <formula>$B1430="Célula Construtiva"</formula>
    </cfRule>
    <cfRule type="expression" dxfId="5297" priority="8856">
      <formula>$B1430="Subetapa"</formula>
    </cfRule>
  </conditionalFormatting>
  <conditionalFormatting sqref="W1430:W1431 W1444">
    <cfRule type="containsText" dxfId="5296" priority="8847" stopIfTrue="1" operator="containsText" text="INSERIR">
      <formula>NOT(ISERROR(SEARCH("INSERIR",W1430)))</formula>
    </cfRule>
  </conditionalFormatting>
  <conditionalFormatting sqref="W1433">
    <cfRule type="containsText" dxfId="5295" priority="8846" stopIfTrue="1" operator="containsText" text="INSERIR">
      <formula>NOT(ISERROR(SEARCH("INSERIR",W1433)))</formula>
    </cfRule>
  </conditionalFormatting>
  <conditionalFormatting sqref="A1432:E1432 AA1432:AC1432 G1432:R1432">
    <cfRule type="expression" dxfId="5294" priority="8840">
      <formula>$B1432="Unidade Construtiva"</formula>
    </cfRule>
    <cfRule type="expression" dxfId="5293" priority="8841">
      <formula>$B1432="Serviço"</formula>
    </cfRule>
    <cfRule type="expression" dxfId="5292" priority="8842">
      <formula>$B1432="Insumo"</formula>
    </cfRule>
    <cfRule type="expression" dxfId="5291" priority="8843">
      <formula>$B1432="Etapa"</formula>
    </cfRule>
    <cfRule type="expression" dxfId="5290" priority="8844">
      <formula>$B1432="Célula Construtiva"</formula>
    </cfRule>
    <cfRule type="expression" dxfId="5289" priority="8845">
      <formula>$B1432="Subetapa"</formula>
    </cfRule>
  </conditionalFormatting>
  <conditionalFormatting sqref="V1448:V1449">
    <cfRule type="expression" dxfId="5288" priority="8754" stopIfTrue="1">
      <formula>$B1448="insumo"</formula>
    </cfRule>
  </conditionalFormatting>
  <conditionalFormatting sqref="T1448:U1449 AA1448:AA1450 T1451:U1451 T1452">
    <cfRule type="expression" dxfId="5287" priority="8753" stopIfTrue="1">
      <formula>$B1448="SERVIÇO"</formula>
    </cfRule>
  </conditionalFormatting>
  <conditionalFormatting sqref="AE1448:AF1450 A1448:E1449 A1451:E1452 V1452 AA1452:AC1452 G1452:T1452 G1451:AC1451 G1448:AC1449">
    <cfRule type="expression" dxfId="5286" priority="8755">
      <formula>$B1448="Unidade Construtiva"</formula>
    </cfRule>
    <cfRule type="expression" dxfId="5285" priority="8756">
      <formula>$B1448="Serviço"</formula>
    </cfRule>
    <cfRule type="expression" dxfId="5284" priority="8757">
      <formula>$B1448="Insumo"</formula>
    </cfRule>
    <cfRule type="expression" dxfId="5283" priority="8758">
      <formula>$B1448="Etapa"</formula>
    </cfRule>
    <cfRule type="expression" dxfId="5282" priority="8759">
      <formula>$B1448="Célula Construtiva"</formula>
    </cfRule>
    <cfRule type="expression" dxfId="5281" priority="8760">
      <formula>$B1448="Subetapa"</formula>
    </cfRule>
  </conditionalFormatting>
  <conditionalFormatting sqref="W1448:W1449">
    <cfRule type="containsText" dxfId="5280" priority="8751" stopIfTrue="1" operator="containsText" text="INSERIR">
      <formula>NOT(ISERROR(SEARCH("INSERIR",W1448)))</formula>
    </cfRule>
  </conditionalFormatting>
  <conditionalFormatting sqref="W1451">
    <cfRule type="containsText" dxfId="5279" priority="8750" stopIfTrue="1" operator="containsText" text="INSERIR">
      <formula>NOT(ISERROR(SEARCH("INSERIR",W1451)))</formula>
    </cfRule>
  </conditionalFormatting>
  <conditionalFormatting sqref="A1450:E1450 AA1450:AC1450 G1450:R1450">
    <cfRule type="expression" dxfId="5278" priority="8744">
      <formula>$B1450="Unidade Construtiva"</formula>
    </cfRule>
    <cfRule type="expression" dxfId="5277" priority="8745">
      <formula>$B1450="Serviço"</formula>
    </cfRule>
    <cfRule type="expression" dxfId="5276" priority="8746">
      <formula>$B1450="Insumo"</formula>
    </cfRule>
    <cfRule type="expression" dxfId="5275" priority="8747">
      <formula>$B1450="Etapa"</formula>
    </cfRule>
    <cfRule type="expression" dxfId="5274" priority="8748">
      <formula>$B1450="Célula Construtiva"</formula>
    </cfRule>
    <cfRule type="expression" dxfId="5273" priority="8749">
      <formula>$B1450="Subetapa"</formula>
    </cfRule>
  </conditionalFormatting>
  <conditionalFormatting sqref="V1466:V1470">
    <cfRule type="expression" dxfId="5272" priority="8649" stopIfTrue="1">
      <formula>$B1466="insumo"</formula>
    </cfRule>
  </conditionalFormatting>
  <conditionalFormatting sqref="AA1466:AA1470 T1466:U1466 T1467:T1470">
    <cfRule type="expression" dxfId="5271" priority="8648" stopIfTrue="1">
      <formula>$B1466="SERVIÇO"</formula>
    </cfRule>
  </conditionalFormatting>
  <conditionalFormatting sqref="AE1466:AF1470 V1467:V1470 AA1467:AC1470 A1466:E1470 T1470 G1470:R1470 G1467:T1469 G1466:AC1466">
    <cfRule type="expression" dxfId="5270" priority="8650">
      <formula>$B1466="Unidade Construtiva"</formula>
    </cfRule>
    <cfRule type="expression" dxfId="5269" priority="8651">
      <formula>$B1466="Serviço"</formula>
    </cfRule>
    <cfRule type="expression" dxfId="5268" priority="8652">
      <formula>$B1466="Insumo"</formula>
    </cfRule>
    <cfRule type="expression" dxfId="5267" priority="8653">
      <formula>$B1466="Etapa"</formula>
    </cfRule>
    <cfRule type="expression" dxfId="5266" priority="8654">
      <formula>$B1466="Célula Construtiva"</formula>
    </cfRule>
    <cfRule type="expression" dxfId="5265" priority="8655">
      <formula>$B1466="Subetapa"</formula>
    </cfRule>
  </conditionalFormatting>
  <conditionalFormatting sqref="T1466:T1470">
    <cfRule type="expression" dxfId="5264" priority="8647" stopIfTrue="1">
      <formula>$B1466="INSUMO"</formula>
    </cfRule>
  </conditionalFormatting>
  <conditionalFormatting sqref="W1466">
    <cfRule type="containsText" dxfId="5263" priority="8646" stopIfTrue="1" operator="containsText" text="INSERIR">
      <formula>NOT(ISERROR(SEARCH("INSERIR",W1466)))</formula>
    </cfRule>
  </conditionalFormatting>
  <conditionalFormatting sqref="V1522 V1529">
    <cfRule type="expression" dxfId="5262" priority="8627" stopIfTrue="1">
      <formula>$B1522="insumo"</formula>
    </cfRule>
  </conditionalFormatting>
  <conditionalFormatting sqref="T1507:U1508 AA1522 T1522 T1529:U1529 AA1529 T1572:U1572 T1509 T1511:U1511 T1576:U1576 T1573 T1577">
    <cfRule type="expression" dxfId="5261" priority="8626" stopIfTrue="1">
      <formula>$B1507="SERVIÇO"</formula>
    </cfRule>
  </conditionalFormatting>
  <conditionalFormatting sqref="AE1522:AF1522 A1522:E1522 A1529:E1529 AE1529:AF1529 A1507:E1509 V1509 A1511:E1511 V1522 A1572:E1573 V1573 A1576:E1577 V1577 AA1509:AC1509 AA1522:AC1522 AA1573:AC1573 AA1577:AC1577 T1522 G1577:T1577 G1573:T1573 G1576:AC1576 G1511:AC1511 G1509:T1509 G1572:AC1572 G1529:AC1529 G1522:R1522 G1507:AC1508">
    <cfRule type="expression" dxfId="5260" priority="8628">
      <formula>$B1507="Unidade Construtiva"</formula>
    </cfRule>
    <cfRule type="expression" dxfId="5259" priority="8629">
      <formula>$B1507="Serviço"</formula>
    </cfRule>
    <cfRule type="expression" dxfId="5258" priority="8630">
      <formula>$B1507="Insumo"</formula>
    </cfRule>
    <cfRule type="expression" dxfId="5257" priority="8631">
      <formula>$B1507="Etapa"</formula>
    </cfRule>
    <cfRule type="expression" dxfId="5256" priority="8632">
      <formula>$B1507="Célula Construtiva"</formula>
    </cfRule>
    <cfRule type="expression" dxfId="5255" priority="8633">
      <formula>$B1507="Subetapa"</formula>
    </cfRule>
  </conditionalFormatting>
  <conditionalFormatting sqref="T1522 T1529">
    <cfRule type="expression" dxfId="5254" priority="8625" stopIfTrue="1">
      <formula>$B1522="INSUMO"</formula>
    </cfRule>
  </conditionalFormatting>
  <conditionalFormatting sqref="W1507:W1508 W1517 W1556:W1567 W1529 W1572 W1511 W1576">
    <cfRule type="containsText" dxfId="5253" priority="8624" stopIfTrue="1" operator="containsText" text="INSERIR">
      <formula>NOT(ISERROR(SEARCH("INSERIR",W1507)))</formula>
    </cfRule>
  </conditionalFormatting>
  <conditionalFormatting sqref="W1512:W1516">
    <cfRule type="containsText" dxfId="5252" priority="8602" stopIfTrue="1" operator="containsText" text="INSERIR">
      <formula>NOT(ISERROR(SEARCH("INSERIR",W1512)))</formula>
    </cfRule>
  </conditionalFormatting>
  <conditionalFormatting sqref="V1528">
    <cfRule type="expression" dxfId="5251" priority="8583" stopIfTrue="1">
      <formula>$B1528="insumo"</formula>
    </cfRule>
  </conditionalFormatting>
  <conditionalFormatting sqref="AA1528 T1528">
    <cfRule type="expression" dxfId="5250" priority="8582" stopIfTrue="1">
      <formula>$B1528="SERVIÇO"</formula>
    </cfRule>
  </conditionalFormatting>
  <conditionalFormatting sqref="AE1528:AF1528 A1528:E1528 V1528 AA1528:AC1528 S1602 S1663 S2109 G1528:T1528">
    <cfRule type="expression" dxfId="5249" priority="8584">
      <formula>$B1528="Unidade Construtiva"</formula>
    </cfRule>
    <cfRule type="expression" dxfId="5248" priority="8585">
      <formula>$B1528="Serviço"</formula>
    </cfRule>
    <cfRule type="expression" dxfId="5247" priority="8586">
      <formula>$B1528="Insumo"</formula>
    </cfRule>
    <cfRule type="expression" dxfId="5246" priority="8587">
      <formula>$B1528="Etapa"</formula>
    </cfRule>
    <cfRule type="expression" dxfId="5245" priority="8588">
      <formula>$B1528="Célula Construtiva"</formula>
    </cfRule>
    <cfRule type="expression" dxfId="5244" priority="8589">
      <formula>$B1528="Subetapa"</formula>
    </cfRule>
  </conditionalFormatting>
  <conditionalFormatting sqref="T1528">
    <cfRule type="expression" dxfId="5243" priority="8581" stopIfTrue="1">
      <formula>$B1528="INSUMO"</formula>
    </cfRule>
  </conditionalFormatting>
  <conditionalFormatting sqref="W1523">
    <cfRule type="containsText" dxfId="5242" priority="8580" stopIfTrue="1" operator="containsText" text="INSERIR">
      <formula>NOT(ISERROR(SEARCH("INSERIR",W1523)))</formula>
    </cfRule>
  </conditionalFormatting>
  <conditionalFormatting sqref="V1552:V1555">
    <cfRule type="expression" dxfId="5241" priority="8572" stopIfTrue="1">
      <formula>$B1552="insumo"</formula>
    </cfRule>
  </conditionalFormatting>
  <conditionalFormatting sqref="AA1552:AA1555 T1552:U1552 T1553:T1555">
    <cfRule type="expression" dxfId="5240" priority="8571" stopIfTrue="1">
      <formula>$B1552="SERVIÇO"</formula>
    </cfRule>
  </conditionalFormatting>
  <conditionalFormatting sqref="AE1552:AF1555 A1552:E1555 V1553:V1555 AA1553:AC1555 G1553:T1555 G1552:AC1552">
    <cfRule type="expression" dxfId="5239" priority="8573">
      <formula>$B1552="Unidade Construtiva"</formula>
    </cfRule>
    <cfRule type="expression" dxfId="5238" priority="8574">
      <formula>$B1552="Serviço"</formula>
    </cfRule>
    <cfRule type="expression" dxfId="5237" priority="8575">
      <formula>$B1552="Insumo"</formula>
    </cfRule>
    <cfRule type="expression" dxfId="5236" priority="8576">
      <formula>$B1552="Etapa"</formula>
    </cfRule>
    <cfRule type="expression" dxfId="5235" priority="8577">
      <formula>$B1552="Célula Construtiva"</formula>
    </cfRule>
    <cfRule type="expression" dxfId="5234" priority="8578">
      <formula>$B1552="Subetapa"</formula>
    </cfRule>
  </conditionalFormatting>
  <conditionalFormatting sqref="T1552:T1555">
    <cfRule type="expression" dxfId="5233" priority="8570" stopIfTrue="1">
      <formula>$B1552="INSUMO"</formula>
    </cfRule>
  </conditionalFormatting>
  <conditionalFormatting sqref="W1552">
    <cfRule type="containsText" dxfId="5232" priority="8569" stopIfTrue="1" operator="containsText" text="INSERIR">
      <formula>NOT(ISERROR(SEARCH("INSERIR",W1552)))</formula>
    </cfRule>
  </conditionalFormatting>
  <conditionalFormatting sqref="T1586:U1586 T1587:T1590">
    <cfRule type="expression" dxfId="5231" priority="8561" stopIfTrue="1">
      <formula>$B1586="SERVIÇO"</formula>
    </cfRule>
  </conditionalFormatting>
  <conditionalFormatting sqref="V1587:V1590 AA1587:AC1590 A1586:E1590 T1590 G1590:R1590 G1587:T1589 G1586:AC1586">
    <cfRule type="expression" dxfId="5230" priority="8563">
      <formula>$B1586="Unidade Construtiva"</formula>
    </cfRule>
    <cfRule type="expression" dxfId="5229" priority="8564">
      <formula>$B1586="Serviço"</formula>
    </cfRule>
    <cfRule type="expression" dxfId="5228" priority="8565">
      <formula>$B1586="Insumo"</formula>
    </cfRule>
    <cfRule type="expression" dxfId="5227" priority="8566">
      <formula>$B1586="Etapa"</formula>
    </cfRule>
    <cfRule type="expression" dxfId="5226" priority="8567">
      <formula>$B1586="Célula Construtiva"</formula>
    </cfRule>
    <cfRule type="expression" dxfId="5225" priority="8568">
      <formula>$B1586="Subetapa"</formula>
    </cfRule>
  </conditionalFormatting>
  <conditionalFormatting sqref="V1596">
    <cfRule type="expression" dxfId="5224" priority="8552" stopIfTrue="1">
      <formula>$B1596="insumo"</formula>
    </cfRule>
  </conditionalFormatting>
  <conditionalFormatting sqref="T1581:U1582 T1619:U1619 AA1596 T1596 T1583 T1585:U1585 T1603:U1603 T1623:U1624 T1620:T1622 T1628:U1629 T1625:T1627 T1630">
    <cfRule type="expression" dxfId="5223" priority="8551" stopIfTrue="1">
      <formula>$B1581="SERVIÇO"</formula>
    </cfRule>
  </conditionalFormatting>
  <conditionalFormatting sqref="AE1596:AF1596 A1596:E1596 A1581:E1583 V1583 A1585:E1585 V1596 A1603:E1603 V1620:V1622 V1625:V1627 A1619:E1630 V1630 AA1583:AC1583 AA1596:AC1596 AA1620:AC1622 AA1625:AC1627 AA1630:AC1630 T1596 G1630:T1630 G1625:T1627 G1628:AC1629 G1620:T1622 G1623:AC1624 G1603:AC1603 G1585:AC1585 G1583:T1583 G1596:R1596 G1619:AC1619 G1581:AC1582">
    <cfRule type="expression" dxfId="5222" priority="8553">
      <formula>$B1581="Unidade Construtiva"</formula>
    </cfRule>
    <cfRule type="expression" dxfId="5221" priority="8554">
      <formula>$B1581="Serviço"</formula>
    </cfRule>
    <cfRule type="expression" dxfId="5220" priority="8555">
      <formula>$B1581="Insumo"</formula>
    </cfRule>
    <cfRule type="expression" dxfId="5219" priority="8556">
      <formula>$B1581="Etapa"</formula>
    </cfRule>
    <cfRule type="expression" dxfId="5218" priority="8557">
      <formula>$B1581="Célula Construtiva"</formula>
    </cfRule>
    <cfRule type="expression" dxfId="5217" priority="8558">
      <formula>$B1581="Subetapa"</formula>
    </cfRule>
  </conditionalFormatting>
  <conditionalFormatting sqref="T1596">
    <cfRule type="expression" dxfId="5216" priority="8550" stopIfTrue="1">
      <formula>$B1596="INSUMO"</formula>
    </cfRule>
  </conditionalFormatting>
  <conditionalFormatting sqref="W1581:W1582 W1591 W1619 W1585 W1603 W1623:W1624 W1628:W1629">
    <cfRule type="containsText" dxfId="5215" priority="8549" stopIfTrue="1" operator="containsText" text="INSERIR">
      <formula>NOT(ISERROR(SEARCH("INSERIR",W1581)))</formula>
    </cfRule>
  </conditionalFormatting>
  <conditionalFormatting sqref="W1586">
    <cfRule type="containsText" dxfId="5214" priority="8536" stopIfTrue="1" operator="containsText" text="INSERIR">
      <formula>NOT(ISERROR(SEARCH("INSERIR",W1586)))</formula>
    </cfRule>
  </conditionalFormatting>
  <conditionalFormatting sqref="V1602">
    <cfRule type="expression" dxfId="5213" priority="8526" stopIfTrue="1">
      <formula>$B1602="insumo"</formula>
    </cfRule>
  </conditionalFormatting>
  <conditionalFormatting sqref="AA1602 T1602">
    <cfRule type="expression" dxfId="5212" priority="8525" stopIfTrue="1">
      <formula>$B1602="SERVIÇO"</formula>
    </cfRule>
  </conditionalFormatting>
  <conditionalFormatting sqref="AE1602:AF1602 A1602:E1602 V1602 AA1602:AC1602 T1602 G1602:R1602">
    <cfRule type="expression" dxfId="5211" priority="8527">
      <formula>$B1602="Unidade Construtiva"</formula>
    </cfRule>
    <cfRule type="expression" dxfId="5210" priority="8528">
      <formula>$B1602="Serviço"</formula>
    </cfRule>
    <cfRule type="expression" dxfId="5209" priority="8529">
      <formula>$B1602="Insumo"</formula>
    </cfRule>
    <cfRule type="expression" dxfId="5208" priority="8530">
      <formula>$B1602="Etapa"</formula>
    </cfRule>
    <cfRule type="expression" dxfId="5207" priority="8531">
      <formula>$B1602="Célula Construtiva"</formula>
    </cfRule>
    <cfRule type="expression" dxfId="5206" priority="8532">
      <formula>$B1602="Subetapa"</formula>
    </cfRule>
  </conditionalFormatting>
  <conditionalFormatting sqref="T1602">
    <cfRule type="expression" dxfId="5205" priority="8524" stopIfTrue="1">
      <formula>$B1602="INSUMO"</formula>
    </cfRule>
  </conditionalFormatting>
  <conditionalFormatting sqref="W1597">
    <cfRule type="containsText" dxfId="5204" priority="8523" stopIfTrue="1" operator="containsText" text="INSERIR">
      <formula>NOT(ISERROR(SEARCH("INSERIR",W1597)))</formula>
    </cfRule>
  </conditionalFormatting>
  <conditionalFormatting sqref="V1615:V1618">
    <cfRule type="expression" dxfId="5203" priority="8515" stopIfTrue="1">
      <formula>$B1615="insumo"</formula>
    </cfRule>
  </conditionalFormatting>
  <conditionalFormatting sqref="AA1615:AA1618 T1615:U1615 T1616:T1618">
    <cfRule type="expression" dxfId="5202" priority="8514" stopIfTrue="1">
      <formula>$B1615="SERVIÇO"</formula>
    </cfRule>
  </conditionalFormatting>
  <conditionalFormatting sqref="AE1615:AF1618 A1615:E1618 V1616:V1618 AA1616:AC1618 G1616:T1618 G1615:AC1615">
    <cfRule type="expression" dxfId="5201" priority="8516">
      <formula>$B1615="Unidade Construtiva"</formula>
    </cfRule>
    <cfRule type="expression" dxfId="5200" priority="8517">
      <formula>$B1615="Serviço"</formula>
    </cfRule>
    <cfRule type="expression" dxfId="5199" priority="8518">
      <formula>$B1615="Insumo"</formula>
    </cfRule>
    <cfRule type="expression" dxfId="5198" priority="8519">
      <formula>$B1615="Etapa"</formula>
    </cfRule>
    <cfRule type="expression" dxfId="5197" priority="8520">
      <formula>$B1615="Célula Construtiva"</formula>
    </cfRule>
    <cfRule type="expression" dxfId="5196" priority="8521">
      <formula>$B1615="Subetapa"</formula>
    </cfRule>
  </conditionalFormatting>
  <conditionalFormatting sqref="T1615:T1618">
    <cfRule type="expression" dxfId="5195" priority="8513" stopIfTrue="1">
      <formula>$B1615="INSUMO"</formula>
    </cfRule>
  </conditionalFormatting>
  <conditionalFormatting sqref="W1615">
    <cfRule type="containsText" dxfId="5194" priority="8512" stopIfTrue="1" operator="containsText" text="INSERIR">
      <formula>NOT(ISERROR(SEARCH("INSERIR",W1615)))</formula>
    </cfRule>
  </conditionalFormatting>
  <conditionalFormatting sqref="T1647:U1647 T1648:T1651">
    <cfRule type="expression" dxfId="5193" priority="8504" stopIfTrue="1">
      <formula>$B1647="SERVIÇO"</formula>
    </cfRule>
  </conditionalFormatting>
  <conditionalFormatting sqref="V1648:V1651 AA1648:AC1651 A1647:E1651 T1651 G1651:R1651 G1648:T1650 G1647:AC1647">
    <cfRule type="expression" dxfId="5192" priority="8506">
      <formula>$B1647="Unidade Construtiva"</formula>
    </cfRule>
    <cfRule type="expression" dxfId="5191" priority="8507">
      <formula>$B1647="Serviço"</formula>
    </cfRule>
    <cfRule type="expression" dxfId="5190" priority="8508">
      <formula>$B1647="Insumo"</formula>
    </cfRule>
    <cfRule type="expression" dxfId="5189" priority="8509">
      <formula>$B1647="Etapa"</formula>
    </cfRule>
    <cfRule type="expression" dxfId="5188" priority="8510">
      <formula>$B1647="Célula Construtiva"</formula>
    </cfRule>
    <cfRule type="expression" dxfId="5187" priority="8511">
      <formula>$B1647="Subetapa"</formula>
    </cfRule>
  </conditionalFormatting>
  <conditionalFormatting sqref="V1652:V1654 V1656:V1657">
    <cfRule type="expression" dxfId="5186" priority="8495" stopIfTrue="1">
      <formula>$B1652="insumo"</formula>
    </cfRule>
  </conditionalFormatting>
  <conditionalFormatting sqref="T1642:U1643 T1652:U1652 AA1652:AA1654 AA1656:AA1657 T1656:T1657 T1644 T1646:U1646 T1653:T1654 T1669:U1669 T1691:U1692 T1696:U1697 T1693:T1695 T1698">
    <cfRule type="expression" dxfId="5185" priority="8494" stopIfTrue="1">
      <formula>$B1642="SERVIÇO"</formula>
    </cfRule>
  </conditionalFormatting>
  <conditionalFormatting sqref="AE1652:AF1654 AE1656:AF1657 A1642:E1644 V1644 A1646:E1646 V1656:V1657 A1652:E1654 V1653:V1654 A1669:E1669 V1693:V1695 A1691:E1698 V1698 AA1644:AC1644 AA1653:AC1654 AA1656:AC1657 AA1693:AC1695 AA1698:AC1698 A1656:E1657 T1657 G1657:R1657 G1698:T1698 G1693:T1695 G1696:AC1697 G1691:AC1692 G1669:AC1669 G1653:T1654 G1646:AC1646 G1644:T1644 G1656:T1656 G1652:AC1652 G1642:AC1643">
    <cfRule type="expression" dxfId="5184" priority="8496">
      <formula>$B1642="Unidade Construtiva"</formula>
    </cfRule>
    <cfRule type="expression" dxfId="5183" priority="8497">
      <formula>$B1642="Serviço"</formula>
    </cfRule>
    <cfRule type="expression" dxfId="5182" priority="8498">
      <formula>$B1642="Insumo"</formula>
    </cfRule>
    <cfRule type="expression" dxfId="5181" priority="8499">
      <formula>$B1642="Etapa"</formula>
    </cfRule>
    <cfRule type="expression" dxfId="5180" priority="8500">
      <formula>$B1642="Célula Construtiva"</formula>
    </cfRule>
    <cfRule type="expression" dxfId="5179" priority="8501">
      <formula>$B1642="Subetapa"</formula>
    </cfRule>
  </conditionalFormatting>
  <conditionalFormatting sqref="T1652:T1654 T1656:T1657">
    <cfRule type="expression" dxfId="5178" priority="8493" stopIfTrue="1">
      <formula>$B1652="INSUMO"</formula>
    </cfRule>
  </conditionalFormatting>
  <conditionalFormatting sqref="W1642:W1643 W1652 W1646 W1669 W1691:W1692 W1696:W1697">
    <cfRule type="containsText" dxfId="5177" priority="8492" stopIfTrue="1" operator="containsText" text="INSERIR">
      <formula>NOT(ISERROR(SEARCH("INSERIR",W1642)))</formula>
    </cfRule>
  </conditionalFormatting>
  <conditionalFormatting sqref="W1647">
    <cfRule type="containsText" dxfId="5176" priority="8479" stopIfTrue="1" operator="containsText" text="INSERIR">
      <formula>NOT(ISERROR(SEARCH("INSERIR",W1647)))</formula>
    </cfRule>
  </conditionalFormatting>
  <conditionalFormatting sqref="V1658:V1660 V1662:V1663">
    <cfRule type="expression" dxfId="5175" priority="8469" stopIfTrue="1">
      <formula>$B1658="insumo"</formula>
    </cfRule>
  </conditionalFormatting>
  <conditionalFormatting sqref="T1658:U1658 AA1658:AA1660 AA1662:AA1663 T1662:T1663 T1659:T1660">
    <cfRule type="expression" dxfId="5174" priority="8468" stopIfTrue="1">
      <formula>$B1658="SERVIÇO"</formula>
    </cfRule>
  </conditionalFormatting>
  <conditionalFormatting sqref="AE1658:AF1660 AE1662:AF1663 V1662:V1663 A1658:E1660 V1659:V1660 AA1659:AC1660 AA1662:AC1663 A1662:E1663 T1663 G1663:R1663 G1659:T1660 G1662:T1662 G1658:AC1658">
    <cfRule type="expression" dxfId="5173" priority="8470">
      <formula>$B1658="Unidade Construtiva"</formula>
    </cfRule>
    <cfRule type="expression" dxfId="5172" priority="8471">
      <formula>$B1658="Serviço"</formula>
    </cfRule>
    <cfRule type="expression" dxfId="5171" priority="8472">
      <formula>$B1658="Insumo"</formula>
    </cfRule>
    <cfRule type="expression" dxfId="5170" priority="8473">
      <formula>$B1658="Etapa"</formula>
    </cfRule>
    <cfRule type="expression" dxfId="5169" priority="8474">
      <formula>$B1658="Célula Construtiva"</formula>
    </cfRule>
    <cfRule type="expression" dxfId="5168" priority="8475">
      <formula>$B1658="Subetapa"</formula>
    </cfRule>
  </conditionalFormatting>
  <conditionalFormatting sqref="T1658:T1660 T1662:T1663">
    <cfRule type="expression" dxfId="5167" priority="8467" stopIfTrue="1">
      <formula>$B1658="INSUMO"</formula>
    </cfRule>
  </conditionalFormatting>
  <conditionalFormatting sqref="W1658">
    <cfRule type="containsText" dxfId="5166" priority="8466" stopIfTrue="1" operator="containsText" text="INSERIR">
      <formula>NOT(ISERROR(SEARCH("INSERIR",W1658)))</formula>
    </cfRule>
  </conditionalFormatting>
  <conditionalFormatting sqref="V1687:V1690">
    <cfRule type="expression" dxfId="5165" priority="8458" stopIfTrue="1">
      <formula>$B1687="insumo"</formula>
    </cfRule>
  </conditionalFormatting>
  <conditionalFormatting sqref="AA1687:AA1690 T1687:U1687 T1688:T1690">
    <cfRule type="expression" dxfId="5164" priority="8457" stopIfTrue="1">
      <formula>$B1687="SERVIÇO"</formula>
    </cfRule>
  </conditionalFormatting>
  <conditionalFormatting sqref="AE1687:AF1690 A1687:E1690 V1688:V1690 AA1688:AC1690 G1688:T1690 G1687:AC1687">
    <cfRule type="expression" dxfId="5163" priority="8459">
      <formula>$B1687="Unidade Construtiva"</formula>
    </cfRule>
    <cfRule type="expression" dxfId="5162" priority="8460">
      <formula>$B1687="Serviço"</formula>
    </cfRule>
    <cfRule type="expression" dxfId="5161" priority="8461">
      <formula>$B1687="Insumo"</formula>
    </cfRule>
    <cfRule type="expression" dxfId="5160" priority="8462">
      <formula>$B1687="Etapa"</formula>
    </cfRule>
    <cfRule type="expression" dxfId="5159" priority="8463">
      <formula>$B1687="Célula Construtiva"</formula>
    </cfRule>
    <cfRule type="expression" dxfId="5158" priority="8464">
      <formula>$B1687="Subetapa"</formula>
    </cfRule>
  </conditionalFormatting>
  <conditionalFormatting sqref="T1687:T1690">
    <cfRule type="expression" dxfId="5157" priority="8456" stopIfTrue="1">
      <formula>$B1687="INSUMO"</formula>
    </cfRule>
  </conditionalFormatting>
  <conditionalFormatting sqref="W1687">
    <cfRule type="containsText" dxfId="5156" priority="8455" stopIfTrue="1" operator="containsText" text="INSERIR">
      <formula>NOT(ISERROR(SEARCH("INSERIR",W1687)))</formula>
    </cfRule>
  </conditionalFormatting>
  <conditionalFormatting sqref="V1664:V1668">
    <cfRule type="expression" dxfId="5155" priority="8447" stopIfTrue="1">
      <formula>$B1664="insumo"</formula>
    </cfRule>
  </conditionalFormatting>
  <conditionalFormatting sqref="T1664:U1664 AA1664:AA1668 T1665:T1668">
    <cfRule type="expression" dxfId="5154" priority="8446" stopIfTrue="1">
      <formula>$B1664="SERVIÇO"</formula>
    </cfRule>
  </conditionalFormatting>
  <conditionalFormatting sqref="AE1664:AF1668 V1665:V1668 AA1665:AC1668 A1664:E1668 T1668 G1668:R1668 G1665:T1667 G1664:AC1664">
    <cfRule type="expression" dxfId="5153" priority="8448">
      <formula>$B1664="Unidade Construtiva"</formula>
    </cfRule>
    <cfRule type="expression" dxfId="5152" priority="8449">
      <formula>$B1664="Serviço"</formula>
    </cfRule>
    <cfRule type="expression" dxfId="5151" priority="8450">
      <formula>$B1664="Insumo"</formula>
    </cfRule>
    <cfRule type="expression" dxfId="5150" priority="8451">
      <formula>$B1664="Etapa"</formula>
    </cfRule>
    <cfRule type="expression" dxfId="5149" priority="8452">
      <formula>$B1664="Célula Construtiva"</formula>
    </cfRule>
    <cfRule type="expression" dxfId="5148" priority="8453">
      <formula>$B1664="Subetapa"</formula>
    </cfRule>
  </conditionalFormatting>
  <conditionalFormatting sqref="T1664:T1668">
    <cfRule type="expression" dxfId="5147" priority="8445" stopIfTrue="1">
      <formula>$B1664="INSUMO"</formula>
    </cfRule>
  </conditionalFormatting>
  <conditionalFormatting sqref="W1664">
    <cfRule type="containsText" dxfId="5146" priority="8444" stopIfTrue="1" operator="containsText" text="INSERIR">
      <formula>NOT(ISERROR(SEARCH("INSERIR",W1664)))</formula>
    </cfRule>
  </conditionalFormatting>
  <conditionalFormatting sqref="V1661">
    <cfRule type="expression" dxfId="5145" priority="8425" stopIfTrue="1">
      <formula>$B1661="insumo"</formula>
    </cfRule>
  </conditionalFormatting>
  <conditionalFormatting sqref="T1661 AA1661">
    <cfRule type="expression" dxfId="5144" priority="8424" stopIfTrue="1">
      <formula>$B1661="SERVIÇO"</formula>
    </cfRule>
  </conditionalFormatting>
  <conditionalFormatting sqref="A1661:E1661 AE1661:AF1661 V1661 AA1661:AC1661 G1661:T1661">
    <cfRule type="expression" dxfId="5143" priority="8426">
      <formula>$B1661="Unidade Construtiva"</formula>
    </cfRule>
    <cfRule type="expression" dxfId="5142" priority="8427">
      <formula>$B1661="Serviço"</formula>
    </cfRule>
    <cfRule type="expression" dxfId="5141" priority="8428">
      <formula>$B1661="Insumo"</formula>
    </cfRule>
    <cfRule type="expression" dxfId="5140" priority="8429">
      <formula>$B1661="Etapa"</formula>
    </cfRule>
    <cfRule type="expression" dxfId="5139" priority="8430">
      <formula>$B1661="Célula Construtiva"</formula>
    </cfRule>
    <cfRule type="expression" dxfId="5138" priority="8431">
      <formula>$B1661="Subetapa"</formula>
    </cfRule>
  </conditionalFormatting>
  <conditionalFormatting sqref="T1661">
    <cfRule type="expression" dxfId="5137" priority="8423" stopIfTrue="1">
      <formula>$B1661="INSUMO"</formula>
    </cfRule>
  </conditionalFormatting>
  <conditionalFormatting sqref="V1655">
    <cfRule type="expression" dxfId="5136" priority="8414" stopIfTrue="1">
      <formula>$B1655="insumo"</formula>
    </cfRule>
  </conditionalFormatting>
  <conditionalFormatting sqref="T1655 AA1655">
    <cfRule type="expression" dxfId="5135" priority="8413" stopIfTrue="1">
      <formula>$B1655="SERVIÇO"</formula>
    </cfRule>
  </conditionalFormatting>
  <conditionalFormatting sqref="A1655:E1655 AE1655:AF1655 V1655 AA1655:AC1655 G1655:T1655">
    <cfRule type="expression" dxfId="5134" priority="8415">
      <formula>$B1655="Unidade Construtiva"</formula>
    </cfRule>
    <cfRule type="expression" dxfId="5133" priority="8416">
      <formula>$B1655="Serviço"</formula>
    </cfRule>
    <cfRule type="expression" dxfId="5132" priority="8417">
      <formula>$B1655="Insumo"</formula>
    </cfRule>
    <cfRule type="expression" dxfId="5131" priority="8418">
      <formula>$B1655="Etapa"</formula>
    </cfRule>
    <cfRule type="expression" dxfId="5130" priority="8419">
      <formula>$B1655="Célula Construtiva"</formula>
    </cfRule>
    <cfRule type="expression" dxfId="5129" priority="8420">
      <formula>$B1655="Subetapa"</formula>
    </cfRule>
  </conditionalFormatting>
  <conditionalFormatting sqref="T1655">
    <cfRule type="expression" dxfId="5128" priority="8412" stopIfTrue="1">
      <formula>$B1655="INSUMO"</formula>
    </cfRule>
  </conditionalFormatting>
  <conditionalFormatting sqref="V1601">
    <cfRule type="expression" dxfId="5127" priority="8403" stopIfTrue="1">
      <formula>$B1601="insumo"</formula>
    </cfRule>
  </conditionalFormatting>
  <conditionalFormatting sqref="AA1601 T1601">
    <cfRule type="expression" dxfId="5126" priority="8402" stopIfTrue="1">
      <formula>$B1601="SERVIÇO"</formula>
    </cfRule>
  </conditionalFormatting>
  <conditionalFormatting sqref="AE1601:AF1601 A1601:E1601 V1601 AA1601:AC1601 G1601:T1601">
    <cfRule type="expression" dxfId="5125" priority="8404">
      <formula>$B1601="Unidade Construtiva"</formula>
    </cfRule>
    <cfRule type="expression" dxfId="5124" priority="8405">
      <formula>$B1601="Serviço"</formula>
    </cfRule>
    <cfRule type="expression" dxfId="5123" priority="8406">
      <formula>$B1601="Insumo"</formula>
    </cfRule>
    <cfRule type="expression" dxfId="5122" priority="8407">
      <formula>$B1601="Etapa"</formula>
    </cfRule>
    <cfRule type="expression" dxfId="5121" priority="8408">
      <formula>$B1601="Célula Construtiva"</formula>
    </cfRule>
    <cfRule type="expression" dxfId="5120" priority="8409">
      <formula>$B1601="Subetapa"</formula>
    </cfRule>
  </conditionalFormatting>
  <conditionalFormatting sqref="T1601">
    <cfRule type="expression" dxfId="5119" priority="8401" stopIfTrue="1">
      <formula>$B1601="INSUMO"</formula>
    </cfRule>
  </conditionalFormatting>
  <conditionalFormatting sqref="V1600">
    <cfRule type="expression" dxfId="5118" priority="8392" stopIfTrue="1">
      <formula>$B1600="insumo"</formula>
    </cfRule>
  </conditionalFormatting>
  <conditionalFormatting sqref="T1600 AA1600">
    <cfRule type="expression" dxfId="5117" priority="8391" stopIfTrue="1">
      <formula>$B1600="SERVIÇO"</formula>
    </cfRule>
  </conditionalFormatting>
  <conditionalFormatting sqref="A1600:E1600 AE1600:AF1600 V1600 AA1600:AC1600 G1600:T1600">
    <cfRule type="expression" dxfId="5116" priority="8393">
      <formula>$B1600="Unidade Construtiva"</formula>
    </cfRule>
    <cfRule type="expression" dxfId="5115" priority="8394">
      <formula>$B1600="Serviço"</formula>
    </cfRule>
    <cfRule type="expression" dxfId="5114" priority="8395">
      <formula>$B1600="Insumo"</formula>
    </cfRule>
    <cfRule type="expression" dxfId="5113" priority="8396">
      <formula>$B1600="Etapa"</formula>
    </cfRule>
    <cfRule type="expression" dxfId="5112" priority="8397">
      <formula>$B1600="Célula Construtiva"</formula>
    </cfRule>
    <cfRule type="expression" dxfId="5111" priority="8398">
      <formula>$B1600="Subetapa"</formula>
    </cfRule>
  </conditionalFormatting>
  <conditionalFormatting sqref="T1600">
    <cfRule type="expression" dxfId="5110" priority="8390" stopIfTrue="1">
      <formula>$B1600="INSUMO"</formula>
    </cfRule>
  </conditionalFormatting>
  <conditionalFormatting sqref="V1595">
    <cfRule type="expression" dxfId="5109" priority="8381" stopIfTrue="1">
      <formula>$B1595="insumo"</formula>
    </cfRule>
  </conditionalFormatting>
  <conditionalFormatting sqref="AA1595 T1595">
    <cfRule type="expression" dxfId="5108" priority="8380" stopIfTrue="1">
      <formula>$B1595="SERVIÇO"</formula>
    </cfRule>
  </conditionalFormatting>
  <conditionalFormatting sqref="AE1595:AF1595 A1595:E1595 V1595 AA1595:AC1595 G1595:T1595">
    <cfRule type="expression" dxfId="5107" priority="8382">
      <formula>$B1595="Unidade Construtiva"</formula>
    </cfRule>
    <cfRule type="expression" dxfId="5106" priority="8383">
      <formula>$B1595="Serviço"</formula>
    </cfRule>
    <cfRule type="expression" dxfId="5105" priority="8384">
      <formula>$B1595="Insumo"</formula>
    </cfRule>
    <cfRule type="expression" dxfId="5104" priority="8385">
      <formula>$B1595="Etapa"</formula>
    </cfRule>
    <cfRule type="expression" dxfId="5103" priority="8386">
      <formula>$B1595="Célula Construtiva"</formula>
    </cfRule>
    <cfRule type="expression" dxfId="5102" priority="8387">
      <formula>$B1595="Subetapa"</formula>
    </cfRule>
  </conditionalFormatting>
  <conditionalFormatting sqref="T1595">
    <cfRule type="expression" dxfId="5101" priority="8379" stopIfTrue="1">
      <formula>$B1595="INSUMO"</formula>
    </cfRule>
  </conditionalFormatting>
  <conditionalFormatting sqref="V1594">
    <cfRule type="expression" dxfId="5100" priority="8370" stopIfTrue="1">
      <formula>$B1594="insumo"</formula>
    </cfRule>
  </conditionalFormatting>
  <conditionalFormatting sqref="T1594 AA1594">
    <cfRule type="expression" dxfId="5099" priority="8369" stopIfTrue="1">
      <formula>$B1594="SERVIÇO"</formula>
    </cfRule>
  </conditionalFormatting>
  <conditionalFormatting sqref="A1594:E1594 AE1594:AF1594 V1594 AA1594:AC1594 G1594:T1594">
    <cfRule type="expression" dxfId="5098" priority="8371">
      <formula>$B1594="Unidade Construtiva"</formula>
    </cfRule>
    <cfRule type="expression" dxfId="5097" priority="8372">
      <formula>$B1594="Serviço"</formula>
    </cfRule>
    <cfRule type="expression" dxfId="5096" priority="8373">
      <formula>$B1594="Insumo"</formula>
    </cfRule>
    <cfRule type="expression" dxfId="5095" priority="8374">
      <formula>$B1594="Etapa"</formula>
    </cfRule>
    <cfRule type="expression" dxfId="5094" priority="8375">
      <formula>$B1594="Célula Construtiva"</formula>
    </cfRule>
    <cfRule type="expression" dxfId="5093" priority="8376">
      <formula>$B1594="Subetapa"</formula>
    </cfRule>
  </conditionalFormatting>
  <conditionalFormatting sqref="T1594">
    <cfRule type="expression" dxfId="5092" priority="8368" stopIfTrue="1">
      <formula>$B1594="INSUMO"</formula>
    </cfRule>
  </conditionalFormatting>
  <conditionalFormatting sqref="V1527">
    <cfRule type="expression" dxfId="5091" priority="8359" stopIfTrue="1">
      <formula>$B1527="insumo"</formula>
    </cfRule>
  </conditionalFormatting>
  <conditionalFormatting sqref="AA1527 T1527">
    <cfRule type="expression" dxfId="5090" priority="8358" stopIfTrue="1">
      <formula>$B1527="SERVIÇO"</formula>
    </cfRule>
  </conditionalFormatting>
  <conditionalFormatting sqref="AE1527:AF1527 A1527:E1527 V1527 AA1527:AC1527 G1527:T1527">
    <cfRule type="expression" dxfId="5089" priority="8360">
      <formula>$B1527="Unidade Construtiva"</formula>
    </cfRule>
    <cfRule type="expression" dxfId="5088" priority="8361">
      <formula>$B1527="Serviço"</formula>
    </cfRule>
    <cfRule type="expression" dxfId="5087" priority="8362">
      <formula>$B1527="Insumo"</formula>
    </cfRule>
    <cfRule type="expression" dxfId="5086" priority="8363">
      <formula>$B1527="Etapa"</formula>
    </cfRule>
    <cfRule type="expression" dxfId="5085" priority="8364">
      <formula>$B1527="Célula Construtiva"</formula>
    </cfRule>
    <cfRule type="expression" dxfId="5084" priority="8365">
      <formula>$B1527="Subetapa"</formula>
    </cfRule>
  </conditionalFormatting>
  <conditionalFormatting sqref="T1527">
    <cfRule type="expression" dxfId="5083" priority="8357" stopIfTrue="1">
      <formula>$B1527="INSUMO"</formula>
    </cfRule>
  </conditionalFormatting>
  <conditionalFormatting sqref="V1526">
    <cfRule type="expression" dxfId="5082" priority="8348" stopIfTrue="1">
      <formula>$B1526="insumo"</formula>
    </cfRule>
  </conditionalFormatting>
  <conditionalFormatting sqref="T1526 AA1526">
    <cfRule type="expression" dxfId="5081" priority="8347" stopIfTrue="1">
      <formula>$B1526="SERVIÇO"</formula>
    </cfRule>
  </conditionalFormatting>
  <conditionalFormatting sqref="A1526:E1526 AE1526:AF1526 V1526 AA1526:AC1526 G1526:T1526">
    <cfRule type="expression" dxfId="5080" priority="8349">
      <formula>$B1526="Unidade Construtiva"</formula>
    </cfRule>
    <cfRule type="expression" dxfId="5079" priority="8350">
      <formula>$B1526="Serviço"</formula>
    </cfRule>
    <cfRule type="expression" dxfId="5078" priority="8351">
      <formula>$B1526="Insumo"</formula>
    </cfRule>
    <cfRule type="expression" dxfId="5077" priority="8352">
      <formula>$B1526="Etapa"</formula>
    </cfRule>
    <cfRule type="expression" dxfId="5076" priority="8353">
      <formula>$B1526="Célula Construtiva"</formula>
    </cfRule>
    <cfRule type="expression" dxfId="5075" priority="8354">
      <formula>$B1526="Subetapa"</formula>
    </cfRule>
  </conditionalFormatting>
  <conditionalFormatting sqref="T1526">
    <cfRule type="expression" dxfId="5074" priority="8346" stopIfTrue="1">
      <formula>$B1526="INSUMO"</formula>
    </cfRule>
  </conditionalFormatting>
  <conditionalFormatting sqref="V1521">
    <cfRule type="expression" dxfId="5073" priority="8337" stopIfTrue="1">
      <formula>$B1521="insumo"</formula>
    </cfRule>
  </conditionalFormatting>
  <conditionalFormatting sqref="AA1521 T1521">
    <cfRule type="expression" dxfId="5072" priority="8336" stopIfTrue="1">
      <formula>$B1521="SERVIÇO"</formula>
    </cfRule>
  </conditionalFormatting>
  <conditionalFormatting sqref="AE1521:AF1521 A1521:E1521 V1521 AA1521:AC1521 G1521:T1521">
    <cfRule type="expression" dxfId="5071" priority="8338">
      <formula>$B1521="Unidade Construtiva"</formula>
    </cfRule>
    <cfRule type="expression" dxfId="5070" priority="8339">
      <formula>$B1521="Serviço"</formula>
    </cfRule>
    <cfRule type="expression" dxfId="5069" priority="8340">
      <formula>$B1521="Insumo"</formula>
    </cfRule>
    <cfRule type="expression" dxfId="5068" priority="8341">
      <formula>$B1521="Etapa"</formula>
    </cfRule>
    <cfRule type="expression" dxfId="5067" priority="8342">
      <formula>$B1521="Célula Construtiva"</formula>
    </cfRule>
    <cfRule type="expression" dxfId="5066" priority="8343">
      <formula>$B1521="Subetapa"</formula>
    </cfRule>
  </conditionalFormatting>
  <conditionalFormatting sqref="T1521">
    <cfRule type="expression" dxfId="5065" priority="8335" stopIfTrue="1">
      <formula>$B1521="INSUMO"</formula>
    </cfRule>
  </conditionalFormatting>
  <conditionalFormatting sqref="V1520">
    <cfRule type="expression" dxfId="5064" priority="8326" stopIfTrue="1">
      <formula>$B1520="insumo"</formula>
    </cfRule>
  </conditionalFormatting>
  <conditionalFormatting sqref="T1520 AA1520">
    <cfRule type="expression" dxfId="5063" priority="8325" stopIfTrue="1">
      <formula>$B1520="SERVIÇO"</formula>
    </cfRule>
  </conditionalFormatting>
  <conditionalFormatting sqref="A1520:E1520 AE1520:AF1520 V1520 AA1520:AC1520 G1520:T1520">
    <cfRule type="expression" dxfId="5062" priority="8327">
      <formula>$B1520="Unidade Construtiva"</formula>
    </cfRule>
    <cfRule type="expression" dxfId="5061" priority="8328">
      <formula>$B1520="Serviço"</formula>
    </cfRule>
    <cfRule type="expression" dxfId="5060" priority="8329">
      <formula>$B1520="Insumo"</formula>
    </cfRule>
    <cfRule type="expression" dxfId="5059" priority="8330">
      <formula>$B1520="Etapa"</formula>
    </cfRule>
    <cfRule type="expression" dxfId="5058" priority="8331">
      <formula>$B1520="Célula Construtiva"</formula>
    </cfRule>
    <cfRule type="expression" dxfId="5057" priority="8332">
      <formula>$B1520="Subetapa"</formula>
    </cfRule>
  </conditionalFormatting>
  <conditionalFormatting sqref="T1520">
    <cfRule type="expression" dxfId="5056" priority="8324" stopIfTrue="1">
      <formula>$B1520="INSUMO"</formula>
    </cfRule>
  </conditionalFormatting>
  <conditionalFormatting sqref="V1475">
    <cfRule type="expression" dxfId="5055" priority="8315" stopIfTrue="1">
      <formula>$B1475="insumo"</formula>
    </cfRule>
  </conditionalFormatting>
  <conditionalFormatting sqref="AA1475 T1475">
    <cfRule type="expression" dxfId="5054" priority="8314" stopIfTrue="1">
      <formula>$B1475="SERVIÇO"</formula>
    </cfRule>
  </conditionalFormatting>
  <conditionalFormatting sqref="AE1475:AF1475 A1475:E1475 V1475 AA1475:AC1475 G1475:T1475">
    <cfRule type="expression" dxfId="5053" priority="8316">
      <formula>$B1475="Unidade Construtiva"</formula>
    </cfRule>
    <cfRule type="expression" dxfId="5052" priority="8317">
      <formula>$B1475="Serviço"</formula>
    </cfRule>
    <cfRule type="expression" dxfId="5051" priority="8318">
      <formula>$B1475="Insumo"</formula>
    </cfRule>
    <cfRule type="expression" dxfId="5050" priority="8319">
      <formula>$B1475="Etapa"</formula>
    </cfRule>
    <cfRule type="expression" dxfId="5049" priority="8320">
      <formula>$B1475="Célula Construtiva"</formula>
    </cfRule>
    <cfRule type="expression" dxfId="5048" priority="8321">
      <formula>$B1475="Subetapa"</formula>
    </cfRule>
  </conditionalFormatting>
  <conditionalFormatting sqref="T1475">
    <cfRule type="expression" dxfId="5047" priority="8313" stopIfTrue="1">
      <formula>$B1475="INSUMO"</formula>
    </cfRule>
  </conditionalFormatting>
  <conditionalFormatting sqref="V1474">
    <cfRule type="expression" dxfId="5046" priority="8304" stopIfTrue="1">
      <formula>$B1474="insumo"</formula>
    </cfRule>
  </conditionalFormatting>
  <conditionalFormatting sqref="T1474 AA1474">
    <cfRule type="expression" dxfId="5045" priority="8303" stopIfTrue="1">
      <formula>$B1474="SERVIÇO"</formula>
    </cfRule>
  </conditionalFormatting>
  <conditionalFormatting sqref="A1474:E1474 AE1474:AF1474 V1474 AA1474:AC1474 G1474:T1474">
    <cfRule type="expression" dxfId="5044" priority="8305">
      <formula>$B1474="Unidade Construtiva"</formula>
    </cfRule>
    <cfRule type="expression" dxfId="5043" priority="8306">
      <formula>$B1474="Serviço"</formula>
    </cfRule>
    <cfRule type="expression" dxfId="5042" priority="8307">
      <formula>$B1474="Insumo"</formula>
    </cfRule>
    <cfRule type="expression" dxfId="5041" priority="8308">
      <formula>$B1474="Etapa"</formula>
    </cfRule>
    <cfRule type="expression" dxfId="5040" priority="8309">
      <formula>$B1474="Célula Construtiva"</formula>
    </cfRule>
    <cfRule type="expression" dxfId="5039" priority="8310">
      <formula>$B1474="Subetapa"</formula>
    </cfRule>
  </conditionalFormatting>
  <conditionalFormatting sqref="T1474">
    <cfRule type="expression" dxfId="5038" priority="8302" stopIfTrue="1">
      <formula>$B1474="INSUMO"</formula>
    </cfRule>
  </conditionalFormatting>
  <conditionalFormatting sqref="V1710:V1711">
    <cfRule type="expression" dxfId="5037" priority="8284" stopIfTrue="1">
      <formula>$B1710="insumo"</formula>
    </cfRule>
  </conditionalFormatting>
  <conditionalFormatting sqref="T1710:U1711 AA1710:AA1712 T1712 T1721:U1722 T1718:T1720 T1723">
    <cfRule type="expression" dxfId="5036" priority="8283" stopIfTrue="1">
      <formula>$B1710="SERVIÇO"</formula>
    </cfRule>
  </conditionalFormatting>
  <conditionalFormatting sqref="AE1710:AF1712 A1710:E1712 V1718:V1720 A1718:E1723 V1723 AA1712:AC1712 AA1718:AC1720 AA1723:AC1723 G1723:T1723 G1718:T1720 G1721:AC1722 G1712:T1712 G1710:AC1711">
    <cfRule type="expression" dxfId="5035" priority="8285">
      <formula>$B1710="Unidade Construtiva"</formula>
    </cfRule>
    <cfRule type="expression" dxfId="5034" priority="8286">
      <formula>$B1710="Serviço"</formula>
    </cfRule>
    <cfRule type="expression" dxfId="5033" priority="8287">
      <formula>$B1710="Insumo"</formula>
    </cfRule>
    <cfRule type="expression" dxfId="5032" priority="8288">
      <formula>$B1710="Etapa"</formula>
    </cfRule>
    <cfRule type="expression" dxfId="5031" priority="8289">
      <formula>$B1710="Célula Construtiva"</formula>
    </cfRule>
    <cfRule type="expression" dxfId="5030" priority="8290">
      <formula>$B1710="Subetapa"</formula>
    </cfRule>
  </conditionalFormatting>
  <conditionalFormatting sqref="T1710:T1712">
    <cfRule type="expression" dxfId="5029" priority="8282" stopIfTrue="1">
      <formula>$B1710="INSUMO"</formula>
    </cfRule>
  </conditionalFormatting>
  <conditionalFormatting sqref="W1710:W1711 W1721:W1722">
    <cfRule type="containsText" dxfId="5028" priority="8281" stopIfTrue="1" operator="containsText" text="INSERIR">
      <formula>NOT(ISERROR(SEARCH("INSERIR",W1710)))</formula>
    </cfRule>
  </conditionalFormatting>
  <conditionalFormatting sqref="V1714:V1715">
    <cfRule type="expression" dxfId="5027" priority="8273" stopIfTrue="1">
      <formula>$B1714="insumo"</formula>
    </cfRule>
  </conditionalFormatting>
  <conditionalFormatting sqref="AA1714:AA1715 T1714:U1714 T1715">
    <cfRule type="expression" dxfId="5026" priority="8272" stopIfTrue="1">
      <formula>$B1714="SERVIÇO"</formula>
    </cfRule>
  </conditionalFormatting>
  <conditionalFormatting sqref="AE1714:AF1715 A1714:E1715 V1715 AA1715:AC1715 G1715:T1715 G1714:AC1714">
    <cfRule type="expression" dxfId="5025" priority="8274">
      <formula>$B1714="Unidade Construtiva"</formula>
    </cfRule>
    <cfRule type="expression" dxfId="5024" priority="8275">
      <formula>$B1714="Serviço"</formula>
    </cfRule>
    <cfRule type="expression" dxfId="5023" priority="8276">
      <formula>$B1714="Insumo"</formula>
    </cfRule>
    <cfRule type="expression" dxfId="5022" priority="8277">
      <formula>$B1714="Etapa"</formula>
    </cfRule>
    <cfRule type="expression" dxfId="5021" priority="8278">
      <formula>$B1714="Célula Construtiva"</formula>
    </cfRule>
    <cfRule type="expression" dxfId="5020" priority="8279">
      <formula>$B1714="Subetapa"</formula>
    </cfRule>
  </conditionalFormatting>
  <conditionalFormatting sqref="T1714:T1715">
    <cfRule type="expression" dxfId="5019" priority="8271" stopIfTrue="1">
      <formula>$B1714="INSUMO"</formula>
    </cfRule>
  </conditionalFormatting>
  <conditionalFormatting sqref="W1714">
    <cfRule type="containsText" dxfId="5018" priority="8270" stopIfTrue="1" operator="containsText" text="INSERIR">
      <formula>NOT(ISERROR(SEARCH("INSERIR",W1714)))</formula>
    </cfRule>
  </conditionalFormatting>
  <conditionalFormatting sqref="W949:W950 W953:W954 W964:W965 W967 W969 W971">
    <cfRule type="containsText" dxfId="5017" priority="8200" stopIfTrue="1" operator="containsText" text="INSERIR">
      <formula>NOT(ISERROR(SEARCH("INSERIR",W949)))</formula>
    </cfRule>
  </conditionalFormatting>
  <conditionalFormatting sqref="W878:W879 W882:W883 W889:W890 W892:W893 W899:W900 W902 W906 W908 W910">
    <cfRule type="containsText" dxfId="5016" priority="8189" stopIfTrue="1" operator="containsText" text="INSERIR">
      <formula>NOT(ISERROR(SEARCH("INSERIR",W878)))</formula>
    </cfRule>
  </conditionalFormatting>
  <conditionalFormatting sqref="W808:W809 W812:W813 W819:W820 W829:W830 W832 W836 W838">
    <cfRule type="containsText" dxfId="5015" priority="8178" stopIfTrue="1" operator="containsText" text="INSERIR">
      <formula>NOT(ISERROR(SEARCH("INSERIR",W808)))</formula>
    </cfRule>
  </conditionalFormatting>
  <conditionalFormatting sqref="W843:W844 W847:W848 W854:W855 W857:W858 W864:W865 W867 W871 W873 W875">
    <cfRule type="containsText" dxfId="5014" priority="8167" stopIfTrue="1" operator="containsText" text="INSERIR">
      <formula>NOT(ISERROR(SEARCH("INSERIR",W843)))</formula>
    </cfRule>
  </conditionalFormatting>
  <conditionalFormatting sqref="V2063:V2064 V2066:V2069">
    <cfRule type="expression" dxfId="5013" priority="8159" stopIfTrue="1">
      <formula>$B2063="insumo"</formula>
    </cfRule>
  </conditionalFormatting>
  <conditionalFormatting sqref="AA2063:AA2064 T2063:U2064 T2068:U2068 AA2066:AA2069 T2066:T2067 T2069">
    <cfRule type="expression" dxfId="5012" priority="8158" stopIfTrue="1">
      <formula>$B2063="SERVIÇO"</formula>
    </cfRule>
  </conditionalFormatting>
  <conditionalFormatting sqref="AE2063:AF2064 A2063:E2064 AE2066:AF2069 V2066:V2067 A2066:E2069 V2069 AA2066:AC2067 AA2069:AC2069 G2069:T2069 G2066:T2067 G2068:AC2068 G2063:AC2064">
    <cfRule type="expression" dxfId="5011" priority="8160">
      <formula>$B2063="Unidade Construtiva"</formula>
    </cfRule>
    <cfRule type="expression" dxfId="5010" priority="8161">
      <formula>$B2063="Serviço"</formula>
    </cfRule>
    <cfRule type="expression" dxfId="5009" priority="8162">
      <formula>$B2063="Insumo"</formula>
    </cfRule>
    <cfRule type="expression" dxfId="5008" priority="8163">
      <formula>$B2063="Etapa"</formula>
    </cfRule>
    <cfRule type="expression" dxfId="5007" priority="8164">
      <formula>$B2063="Célula Construtiva"</formula>
    </cfRule>
    <cfRule type="expression" dxfId="5006" priority="8165">
      <formula>$B2063="Subetapa"</formula>
    </cfRule>
  </conditionalFormatting>
  <conditionalFormatting sqref="T2063:T2064 T2066:T2069">
    <cfRule type="expression" dxfId="5005" priority="8157" stopIfTrue="1">
      <formula>$B2063="INSUMO"</formula>
    </cfRule>
  </conditionalFormatting>
  <conditionalFormatting sqref="W2063:W2064 W2068">
    <cfRule type="containsText" dxfId="5004" priority="8156" stopIfTrue="1" operator="containsText" text="INSERIR">
      <formula>NOT(ISERROR(SEARCH("INSERIR",W2063)))</formula>
    </cfRule>
  </conditionalFormatting>
  <conditionalFormatting sqref="V2065">
    <cfRule type="expression" dxfId="5003" priority="8148" stopIfTrue="1">
      <formula>$B2065="insumo"</formula>
    </cfRule>
  </conditionalFormatting>
  <conditionalFormatting sqref="AA2065 T2065">
    <cfRule type="expression" dxfId="5002" priority="8147" stopIfTrue="1">
      <formula>$B2065="SERVIÇO"</formula>
    </cfRule>
  </conditionalFormatting>
  <conditionalFormatting sqref="AE2065:AF2065 A2065:E2065 V2065 AA2065:AC2065 G2065:T2065">
    <cfRule type="expression" dxfId="5001" priority="8149">
      <formula>$B2065="Unidade Construtiva"</formula>
    </cfRule>
    <cfRule type="expression" dxfId="5000" priority="8150">
      <formula>$B2065="Serviço"</formula>
    </cfRule>
    <cfRule type="expression" dxfId="4999" priority="8151">
      <formula>$B2065="Insumo"</formula>
    </cfRule>
    <cfRule type="expression" dxfId="4998" priority="8152">
      <formula>$B2065="Etapa"</formula>
    </cfRule>
    <cfRule type="expression" dxfId="4997" priority="8153">
      <formula>$B2065="Célula Construtiva"</formula>
    </cfRule>
    <cfRule type="expression" dxfId="4996" priority="8154">
      <formula>$B2065="Subetapa"</formula>
    </cfRule>
  </conditionalFormatting>
  <conditionalFormatting sqref="T2065">
    <cfRule type="expression" dxfId="4995" priority="8146" stopIfTrue="1">
      <formula>$B2065="INSUMO"</formula>
    </cfRule>
  </conditionalFormatting>
  <conditionalFormatting sqref="V2070:V2072">
    <cfRule type="expression" dxfId="4994" priority="8137" stopIfTrue="1">
      <formula>$B2070="insumo"</formula>
    </cfRule>
  </conditionalFormatting>
  <conditionalFormatting sqref="T2070:T2072 AA2070:AA2072">
    <cfRule type="expression" dxfId="4993" priority="8136" stopIfTrue="1">
      <formula>$B2070="SERVIÇO"</formula>
    </cfRule>
  </conditionalFormatting>
  <conditionalFormatting sqref="A2070:E2072 AE2070:AF2072 V2070:V2072 AA2070:AC2072 G2070:T2072">
    <cfRule type="expression" dxfId="4992" priority="8138">
      <formula>$B2070="Unidade Construtiva"</formula>
    </cfRule>
    <cfRule type="expression" dxfId="4991" priority="8139">
      <formula>$B2070="Serviço"</formula>
    </cfRule>
    <cfRule type="expression" dxfId="4990" priority="8140">
      <formula>$B2070="Insumo"</formula>
    </cfRule>
    <cfRule type="expression" dxfId="4989" priority="8141">
      <formula>$B2070="Etapa"</formula>
    </cfRule>
    <cfRule type="expression" dxfId="4988" priority="8142">
      <formula>$B2070="Célula Construtiva"</formula>
    </cfRule>
    <cfRule type="expression" dxfId="4987" priority="8143">
      <formula>$B2070="Subetapa"</formula>
    </cfRule>
  </conditionalFormatting>
  <conditionalFormatting sqref="T2070:T2072">
    <cfRule type="expression" dxfId="4986" priority="8135" stopIfTrue="1">
      <formula>$B2070="INSUMO"</formula>
    </cfRule>
  </conditionalFormatting>
  <conditionalFormatting sqref="T2088">
    <cfRule type="expression" dxfId="4985" priority="8127" stopIfTrue="1">
      <formula>$B2088="SERVIÇO"</formula>
    </cfRule>
  </conditionalFormatting>
  <conditionalFormatting sqref="T2088">
    <cfRule type="expression" dxfId="4984" priority="8128">
      <formula>$B2088="Unidade Construtiva"</formula>
    </cfRule>
    <cfRule type="expression" dxfId="4983" priority="8129">
      <formula>$B2088="Serviço"</formula>
    </cfRule>
    <cfRule type="expression" dxfId="4982" priority="8130">
      <formula>$B2088="Insumo"</formula>
    </cfRule>
    <cfRule type="expression" dxfId="4981" priority="8131">
      <formula>$B2088="Etapa"</formula>
    </cfRule>
    <cfRule type="expression" dxfId="4980" priority="8132">
      <formula>$B2088="Célula Construtiva"</formula>
    </cfRule>
    <cfRule type="expression" dxfId="4979" priority="8133">
      <formula>$B2088="Subetapa"</formula>
    </cfRule>
  </conditionalFormatting>
  <conditionalFormatting sqref="T2088">
    <cfRule type="expression" dxfId="4978" priority="8126" stopIfTrue="1">
      <formula>$B2088="INSUMO"</formula>
    </cfRule>
  </conditionalFormatting>
  <conditionalFormatting sqref="V2086:V2088">
    <cfRule type="expression" dxfId="4977" priority="8118" stopIfTrue="1">
      <formula>$B2086="insumo"</formula>
    </cfRule>
  </conditionalFormatting>
  <conditionalFormatting sqref="AA2086:AA2088 T2086:U2087">
    <cfRule type="expression" dxfId="4976" priority="8117" stopIfTrue="1">
      <formula>$B2086="SERVIÇO"</formula>
    </cfRule>
  </conditionalFormatting>
  <conditionalFormatting sqref="AE2086:AF2088 A2086:E2088 V2088 AA2088:AC2088 G2088:S2088 G2086:AC2087">
    <cfRule type="expression" dxfId="4975" priority="8119">
      <formula>$B2086="Unidade Construtiva"</formula>
    </cfRule>
    <cfRule type="expression" dxfId="4974" priority="8120">
      <formula>$B2086="Serviço"</formula>
    </cfRule>
    <cfRule type="expression" dxfId="4973" priority="8121">
      <formula>$B2086="Insumo"</formula>
    </cfRule>
    <cfRule type="expression" dxfId="4972" priority="8122">
      <formula>$B2086="Etapa"</formula>
    </cfRule>
    <cfRule type="expression" dxfId="4971" priority="8123">
      <formula>$B2086="Célula Construtiva"</formula>
    </cfRule>
    <cfRule type="expression" dxfId="4970" priority="8124">
      <formula>$B2086="Subetapa"</formula>
    </cfRule>
  </conditionalFormatting>
  <conditionalFormatting sqref="T2086:T2087">
    <cfRule type="expression" dxfId="4969" priority="8116" stopIfTrue="1">
      <formula>$B2086="INSUMO"</formula>
    </cfRule>
  </conditionalFormatting>
  <conditionalFormatting sqref="W2086:W2087">
    <cfRule type="containsText" dxfId="4968" priority="8115" stopIfTrue="1" operator="containsText" text="INSERIR">
      <formula>NOT(ISERROR(SEARCH("INSERIR",W2086)))</formula>
    </cfRule>
  </conditionalFormatting>
  <conditionalFormatting sqref="V2073 V2075 V2077:V2079">
    <cfRule type="expression" dxfId="4967" priority="8107" stopIfTrue="1">
      <formula>$B2073="insumo"</formula>
    </cfRule>
  </conditionalFormatting>
  <conditionalFormatting sqref="AA2073 T2073:U2073 AA2075 T2075 T2078:U2078 AA2077:AA2079 T2077 T2079">
    <cfRule type="expression" dxfId="4966" priority="8106" stopIfTrue="1">
      <formula>$B2073="SERVIÇO"</formula>
    </cfRule>
  </conditionalFormatting>
  <conditionalFormatting sqref="AE2073:AF2073 A2073:E2073 AE2075:AF2075 A2075:E2075 AE2077:AF2079 V2077 V2075 A2077:E2079 V2079 AA2075:AC2075 AA2077:AC2077 AA2079:AC2079 G2079:T2079 G2077:T2077 G2078:AC2078 G2075:T2075 G2073:AC2073">
    <cfRule type="expression" dxfId="4965" priority="8108">
      <formula>$B2073="Unidade Construtiva"</formula>
    </cfRule>
    <cfRule type="expression" dxfId="4964" priority="8109">
      <formula>$B2073="Serviço"</formula>
    </cfRule>
    <cfRule type="expression" dxfId="4963" priority="8110">
      <formula>$B2073="Insumo"</formula>
    </cfRule>
    <cfRule type="expression" dxfId="4962" priority="8111">
      <formula>$B2073="Etapa"</formula>
    </cfRule>
    <cfRule type="expression" dxfId="4961" priority="8112">
      <formula>$B2073="Célula Construtiva"</formula>
    </cfRule>
    <cfRule type="expression" dxfId="4960" priority="8113">
      <formula>$B2073="Subetapa"</formula>
    </cfRule>
  </conditionalFormatting>
  <conditionalFormatting sqref="T2073 T2075 T2077:T2079">
    <cfRule type="expression" dxfId="4959" priority="8105" stopIfTrue="1">
      <formula>$B2073="INSUMO"</formula>
    </cfRule>
  </conditionalFormatting>
  <conditionalFormatting sqref="W2073 W2078">
    <cfRule type="containsText" dxfId="4958" priority="8104" stopIfTrue="1" operator="containsText" text="INSERIR">
      <formula>NOT(ISERROR(SEARCH("INSERIR",W2073)))</formula>
    </cfRule>
  </conditionalFormatting>
  <conditionalFormatting sqref="V2074">
    <cfRule type="expression" dxfId="4957" priority="8096" stopIfTrue="1">
      <formula>$B2074="insumo"</formula>
    </cfRule>
  </conditionalFormatting>
  <conditionalFormatting sqref="AA2074 T2074">
    <cfRule type="expression" dxfId="4956" priority="8095" stopIfTrue="1">
      <formula>$B2074="SERVIÇO"</formula>
    </cfRule>
  </conditionalFormatting>
  <conditionalFormatting sqref="AE2074:AF2074 A2074:E2074 V2074 AA2074:AC2074 G2074:T2074">
    <cfRule type="expression" dxfId="4955" priority="8097">
      <formula>$B2074="Unidade Construtiva"</formula>
    </cfRule>
    <cfRule type="expression" dxfId="4954" priority="8098">
      <formula>$B2074="Serviço"</formula>
    </cfRule>
    <cfRule type="expression" dxfId="4953" priority="8099">
      <formula>$B2074="Insumo"</formula>
    </cfRule>
    <cfRule type="expression" dxfId="4952" priority="8100">
      <formula>$B2074="Etapa"</formula>
    </cfRule>
    <cfRule type="expression" dxfId="4951" priority="8101">
      <formula>$B2074="Célula Construtiva"</formula>
    </cfRule>
    <cfRule type="expression" dxfId="4950" priority="8102">
      <formula>$B2074="Subetapa"</formula>
    </cfRule>
  </conditionalFormatting>
  <conditionalFormatting sqref="T2074">
    <cfRule type="expression" dxfId="4949" priority="8094" stopIfTrue="1">
      <formula>$B2074="INSUMO"</formula>
    </cfRule>
  </conditionalFormatting>
  <conditionalFormatting sqref="V2080:V2082">
    <cfRule type="expression" dxfId="4948" priority="8085" stopIfTrue="1">
      <formula>$B2080="insumo"</formula>
    </cfRule>
  </conditionalFormatting>
  <conditionalFormatting sqref="T2080:T2082 AA2080:AA2082">
    <cfRule type="expression" dxfId="4947" priority="8084" stopIfTrue="1">
      <formula>$B2080="SERVIÇO"</formula>
    </cfRule>
  </conditionalFormatting>
  <conditionalFormatting sqref="A2080:E2082 AE2080:AF2082 V2080:V2082 AA2080:AC2082 G2080:T2082">
    <cfRule type="expression" dxfId="4946" priority="8086">
      <formula>$B2080="Unidade Construtiva"</formula>
    </cfRule>
    <cfRule type="expression" dxfId="4945" priority="8087">
      <formula>$B2080="Serviço"</formula>
    </cfRule>
    <cfRule type="expression" dxfId="4944" priority="8088">
      <formula>$B2080="Insumo"</formula>
    </cfRule>
    <cfRule type="expression" dxfId="4943" priority="8089">
      <formula>$B2080="Etapa"</formula>
    </cfRule>
    <cfRule type="expression" dxfId="4942" priority="8090">
      <formula>$B2080="Célula Construtiva"</formula>
    </cfRule>
    <cfRule type="expression" dxfId="4941" priority="8091">
      <formula>$B2080="Subetapa"</formula>
    </cfRule>
  </conditionalFormatting>
  <conditionalFormatting sqref="T2080:T2082">
    <cfRule type="expression" dxfId="4940" priority="8083" stopIfTrue="1">
      <formula>$B2080="INSUMO"</formula>
    </cfRule>
  </conditionalFormatting>
  <conditionalFormatting sqref="V2076">
    <cfRule type="expression" dxfId="4939" priority="8074" stopIfTrue="1">
      <formula>$B2076="insumo"</formula>
    </cfRule>
  </conditionalFormatting>
  <conditionalFormatting sqref="AA2076 T2076">
    <cfRule type="expression" dxfId="4938" priority="8073" stopIfTrue="1">
      <formula>$B2076="SERVIÇO"</formula>
    </cfRule>
  </conditionalFormatting>
  <conditionalFormatting sqref="AE2076:AF2076 A2076:E2076 V2076 AA2076:AC2076 G2076:T2076">
    <cfRule type="expression" dxfId="4937" priority="8075">
      <formula>$B2076="Unidade Construtiva"</formula>
    </cfRule>
    <cfRule type="expression" dxfId="4936" priority="8076">
      <formula>$B2076="Serviço"</formula>
    </cfRule>
    <cfRule type="expression" dxfId="4935" priority="8077">
      <formula>$B2076="Insumo"</formula>
    </cfRule>
    <cfRule type="expression" dxfId="4934" priority="8078">
      <formula>$B2076="Etapa"</formula>
    </cfRule>
    <cfRule type="expression" dxfId="4933" priority="8079">
      <formula>$B2076="Célula Construtiva"</formula>
    </cfRule>
    <cfRule type="expression" dxfId="4932" priority="8080">
      <formula>$B2076="Subetapa"</formula>
    </cfRule>
  </conditionalFormatting>
  <conditionalFormatting sqref="T2076">
    <cfRule type="expression" dxfId="4931" priority="8072" stopIfTrue="1">
      <formula>$B2076="INSUMO"</formula>
    </cfRule>
  </conditionalFormatting>
  <conditionalFormatting sqref="W2133">
    <cfRule type="containsText" dxfId="4930" priority="8049" stopIfTrue="1" operator="containsText" text="INSERIR">
      <formula>NOT(ISERROR(SEARCH("INSERIR",W2133)))</formula>
    </cfRule>
  </conditionalFormatting>
  <conditionalFormatting sqref="V1578:V1579">
    <cfRule type="expression" dxfId="4929" priority="8041" stopIfTrue="1">
      <formula>$B1578="insumo"</formula>
    </cfRule>
  </conditionalFormatting>
  <conditionalFormatting sqref="T1578:U1578 AA1578:AA1579 T1579">
    <cfRule type="expression" dxfId="4928" priority="8040" stopIfTrue="1">
      <formula>$B1578="SERVIÇO"</formula>
    </cfRule>
  </conditionalFormatting>
  <conditionalFormatting sqref="AE1578:AF1579 A1578:E1579 V1579 AA1579:AC1579 G1579:T1579 G1578:AC1578">
    <cfRule type="expression" dxfId="4927" priority="8042">
      <formula>$B1578="Unidade Construtiva"</formula>
    </cfRule>
    <cfRule type="expression" dxfId="4926" priority="8043">
      <formula>$B1578="Serviço"</formula>
    </cfRule>
    <cfRule type="expression" dxfId="4925" priority="8044">
      <formula>$B1578="Insumo"</formula>
    </cfRule>
    <cfRule type="expression" dxfId="4924" priority="8045">
      <formula>$B1578="Etapa"</formula>
    </cfRule>
    <cfRule type="expression" dxfId="4923" priority="8046">
      <formula>$B1578="Célula Construtiva"</formula>
    </cfRule>
    <cfRule type="expression" dxfId="4922" priority="8047">
      <formula>$B1578="Subetapa"</formula>
    </cfRule>
  </conditionalFormatting>
  <conditionalFormatting sqref="T1578:T1579">
    <cfRule type="expression" dxfId="4921" priority="8039" stopIfTrue="1">
      <formula>$B1578="INSUMO"</formula>
    </cfRule>
  </conditionalFormatting>
  <conditionalFormatting sqref="W1578">
    <cfRule type="containsText" dxfId="4920" priority="8038" stopIfTrue="1" operator="containsText" text="INSERIR">
      <formula>NOT(ISERROR(SEARCH("INSERIR",W1578)))</formula>
    </cfRule>
  </conditionalFormatting>
  <conditionalFormatting sqref="W42:W43">
    <cfRule type="containsText" dxfId="4919" priority="7879" stopIfTrue="1" operator="containsText" text="INSERIR">
      <formula>NOT(ISERROR(SEARCH("INSERIR",W42)))</formula>
    </cfRule>
  </conditionalFormatting>
  <conditionalFormatting sqref="V1498:V1499">
    <cfRule type="expression" dxfId="4918" priority="7865" stopIfTrue="1">
      <formula>$B1498="insumo"</formula>
    </cfRule>
  </conditionalFormatting>
  <conditionalFormatting sqref="T1498:U1498 AA1498:AA1499 T1499">
    <cfRule type="expression" dxfId="4917" priority="7864" stopIfTrue="1">
      <formula>$B1498="SERVIÇO"</formula>
    </cfRule>
  </conditionalFormatting>
  <conditionalFormatting sqref="AE1498:AF1499 A1498:E1499 V1499 AA1499:AC1499 G1499:T1499 G1498:AC1498">
    <cfRule type="expression" dxfId="4916" priority="7866">
      <formula>$B1498="Unidade Construtiva"</formula>
    </cfRule>
    <cfRule type="expression" dxfId="4915" priority="7867">
      <formula>$B1498="Serviço"</formula>
    </cfRule>
    <cfRule type="expression" dxfId="4914" priority="7868">
      <formula>$B1498="Insumo"</formula>
    </cfRule>
    <cfRule type="expression" dxfId="4913" priority="7869">
      <formula>$B1498="Etapa"</formula>
    </cfRule>
    <cfRule type="expression" dxfId="4912" priority="7870">
      <formula>$B1498="Célula Construtiva"</formula>
    </cfRule>
    <cfRule type="expression" dxfId="4911" priority="7871">
      <formula>$B1498="Subetapa"</formula>
    </cfRule>
  </conditionalFormatting>
  <conditionalFormatting sqref="T1498:T1499">
    <cfRule type="expression" dxfId="4910" priority="7863" stopIfTrue="1">
      <formula>$B1498="INSUMO"</formula>
    </cfRule>
  </conditionalFormatting>
  <conditionalFormatting sqref="W1498">
    <cfRule type="containsText" dxfId="4909" priority="7862" stopIfTrue="1" operator="containsText" text="INSERIR">
      <formula>NOT(ISERROR(SEARCH("INSERIR",W1498)))</formula>
    </cfRule>
  </conditionalFormatting>
  <conditionalFormatting sqref="V1570:V1571">
    <cfRule type="expression" dxfId="4908" priority="7854" stopIfTrue="1">
      <formula>$B1570="insumo"</formula>
    </cfRule>
  </conditionalFormatting>
  <conditionalFormatting sqref="AA1570:AA1571 T1570:U1570 T1571">
    <cfRule type="expression" dxfId="4907" priority="7853" stopIfTrue="1">
      <formula>$B1570="SERVIÇO"</formula>
    </cfRule>
  </conditionalFormatting>
  <conditionalFormatting sqref="AE1570:AF1571 A1570:E1571 V1571 AA1571:AC1571 G1571:T1571 G1570:AC1570">
    <cfRule type="expression" dxfId="4906" priority="7855">
      <formula>$B1570="Unidade Construtiva"</formula>
    </cfRule>
    <cfRule type="expression" dxfId="4905" priority="7856">
      <formula>$B1570="Serviço"</formula>
    </cfRule>
    <cfRule type="expression" dxfId="4904" priority="7857">
      <formula>$B1570="Insumo"</formula>
    </cfRule>
    <cfRule type="expression" dxfId="4903" priority="7858">
      <formula>$B1570="Etapa"</formula>
    </cfRule>
    <cfRule type="expression" dxfId="4902" priority="7859">
      <formula>$B1570="Célula Construtiva"</formula>
    </cfRule>
    <cfRule type="expression" dxfId="4901" priority="7860">
      <formula>$B1570="Subetapa"</formula>
    </cfRule>
  </conditionalFormatting>
  <conditionalFormatting sqref="T1570:T1571">
    <cfRule type="expression" dxfId="4900" priority="7852" stopIfTrue="1">
      <formula>$B1570="INSUMO"</formula>
    </cfRule>
  </conditionalFormatting>
  <conditionalFormatting sqref="W1570">
    <cfRule type="containsText" dxfId="4899" priority="7851" stopIfTrue="1" operator="containsText" text="INSERIR">
      <formula>NOT(ISERROR(SEARCH("INSERIR",W1570)))</formula>
    </cfRule>
  </conditionalFormatting>
  <conditionalFormatting sqref="V1568:V1569">
    <cfRule type="expression" dxfId="4898" priority="7843" stopIfTrue="1">
      <formula>$B1568="insumo"</formula>
    </cfRule>
  </conditionalFormatting>
  <conditionalFormatting sqref="T1568:U1568 AA1568:AA1569 T1569">
    <cfRule type="expression" dxfId="4897" priority="7842" stopIfTrue="1">
      <formula>$B1568="SERVIÇO"</formula>
    </cfRule>
  </conditionalFormatting>
  <conditionalFormatting sqref="AE1568:AF1569 A1568:E1569 V1569 AA1569:AC1569 G1569:T1569 G1568:AC1568">
    <cfRule type="expression" dxfId="4896" priority="7844">
      <formula>$B1568="Unidade Construtiva"</formula>
    </cfRule>
    <cfRule type="expression" dxfId="4895" priority="7845">
      <formula>$B1568="Serviço"</formula>
    </cfRule>
    <cfRule type="expression" dxfId="4894" priority="7846">
      <formula>$B1568="Insumo"</formula>
    </cfRule>
    <cfRule type="expression" dxfId="4893" priority="7847">
      <formula>$B1568="Etapa"</formula>
    </cfRule>
    <cfRule type="expression" dxfId="4892" priority="7848">
      <formula>$B1568="Célula Construtiva"</formula>
    </cfRule>
    <cfRule type="expression" dxfId="4891" priority="7849">
      <formula>$B1568="Subetapa"</formula>
    </cfRule>
  </conditionalFormatting>
  <conditionalFormatting sqref="T1568:T1569">
    <cfRule type="expression" dxfId="4890" priority="7841" stopIfTrue="1">
      <formula>$B1568="INSUMO"</formula>
    </cfRule>
  </conditionalFormatting>
  <conditionalFormatting sqref="W1568">
    <cfRule type="containsText" dxfId="4889" priority="7840" stopIfTrue="1" operator="containsText" text="INSERIR">
      <formula>NOT(ISERROR(SEARCH("INSERIR",W1568)))</formula>
    </cfRule>
  </conditionalFormatting>
  <conditionalFormatting sqref="V1633:V1634">
    <cfRule type="expression" dxfId="4888" priority="7832" stopIfTrue="1">
      <formula>$B1633="insumo"</formula>
    </cfRule>
  </conditionalFormatting>
  <conditionalFormatting sqref="AA1633:AA1634 T1633:U1633 T1634">
    <cfRule type="expression" dxfId="4887" priority="7831" stopIfTrue="1">
      <formula>$B1633="SERVIÇO"</formula>
    </cfRule>
  </conditionalFormatting>
  <conditionalFormatting sqref="AE1633:AF1634 A1633:E1634 V1634 AA1634:AC1634 G1634:T1634 G1633:AC1633">
    <cfRule type="expression" dxfId="4886" priority="7833">
      <formula>$B1633="Unidade Construtiva"</formula>
    </cfRule>
    <cfRule type="expression" dxfId="4885" priority="7834">
      <formula>$B1633="Serviço"</formula>
    </cfRule>
    <cfRule type="expression" dxfId="4884" priority="7835">
      <formula>$B1633="Insumo"</formula>
    </cfRule>
    <cfRule type="expression" dxfId="4883" priority="7836">
      <formula>$B1633="Etapa"</formula>
    </cfRule>
    <cfRule type="expression" dxfId="4882" priority="7837">
      <formula>$B1633="Célula Construtiva"</formula>
    </cfRule>
    <cfRule type="expression" dxfId="4881" priority="7838">
      <formula>$B1633="Subetapa"</formula>
    </cfRule>
  </conditionalFormatting>
  <conditionalFormatting sqref="T1633:T1634">
    <cfRule type="expression" dxfId="4880" priority="7830" stopIfTrue="1">
      <formula>$B1633="INSUMO"</formula>
    </cfRule>
  </conditionalFormatting>
  <conditionalFormatting sqref="W1633">
    <cfRule type="containsText" dxfId="4879" priority="7829" stopIfTrue="1" operator="containsText" text="INSERIR">
      <formula>NOT(ISERROR(SEARCH("INSERIR",W1633)))</formula>
    </cfRule>
  </conditionalFormatting>
  <conditionalFormatting sqref="V1631:V1632">
    <cfRule type="expression" dxfId="4878" priority="7821" stopIfTrue="1">
      <formula>$B1631="insumo"</formula>
    </cfRule>
  </conditionalFormatting>
  <conditionalFormatting sqref="T1631:U1631 AA1631:AA1632 T1632">
    <cfRule type="expression" dxfId="4877" priority="7820" stopIfTrue="1">
      <formula>$B1631="SERVIÇO"</formula>
    </cfRule>
  </conditionalFormatting>
  <conditionalFormatting sqref="AE1631:AF1632 A1631:E1632 V1632 AA1632:AC1632 G1632:T1632 G1631:AC1631">
    <cfRule type="expression" dxfId="4876" priority="7822">
      <formula>$B1631="Unidade Construtiva"</formula>
    </cfRule>
    <cfRule type="expression" dxfId="4875" priority="7823">
      <formula>$B1631="Serviço"</formula>
    </cfRule>
    <cfRule type="expression" dxfId="4874" priority="7824">
      <formula>$B1631="Insumo"</formula>
    </cfRule>
    <cfRule type="expression" dxfId="4873" priority="7825">
      <formula>$B1631="Etapa"</formula>
    </cfRule>
    <cfRule type="expression" dxfId="4872" priority="7826">
      <formula>$B1631="Célula Construtiva"</formula>
    </cfRule>
    <cfRule type="expression" dxfId="4871" priority="7827">
      <formula>$B1631="Subetapa"</formula>
    </cfRule>
  </conditionalFormatting>
  <conditionalFormatting sqref="T1631:T1632">
    <cfRule type="expression" dxfId="4870" priority="7819" stopIfTrue="1">
      <formula>$B1631="INSUMO"</formula>
    </cfRule>
  </conditionalFormatting>
  <conditionalFormatting sqref="W1631">
    <cfRule type="containsText" dxfId="4869" priority="7818" stopIfTrue="1" operator="containsText" text="INSERIR">
      <formula>NOT(ISERROR(SEARCH("INSERIR",W1631)))</formula>
    </cfRule>
  </conditionalFormatting>
  <conditionalFormatting sqref="V1701:V1702">
    <cfRule type="expression" dxfId="4868" priority="7810" stopIfTrue="1">
      <formula>$B1701="insumo"</formula>
    </cfRule>
  </conditionalFormatting>
  <conditionalFormatting sqref="AA1701:AA1702 T1701:U1701 T1702">
    <cfRule type="expression" dxfId="4867" priority="7809" stopIfTrue="1">
      <formula>$B1701="SERVIÇO"</formula>
    </cfRule>
  </conditionalFormatting>
  <conditionalFormatting sqref="AE1701:AF1702 A1701:E1702 V1702 AA1702:AC1702 G1702:T1702 G1701:AC1701">
    <cfRule type="expression" dxfId="4866" priority="7811">
      <formula>$B1701="Unidade Construtiva"</formula>
    </cfRule>
    <cfRule type="expression" dxfId="4865" priority="7812">
      <formula>$B1701="Serviço"</formula>
    </cfRule>
    <cfRule type="expression" dxfId="4864" priority="7813">
      <formula>$B1701="Insumo"</formula>
    </cfRule>
    <cfRule type="expression" dxfId="4863" priority="7814">
      <formula>$B1701="Etapa"</formula>
    </cfRule>
    <cfRule type="expression" dxfId="4862" priority="7815">
      <formula>$B1701="Célula Construtiva"</formula>
    </cfRule>
    <cfRule type="expression" dxfId="4861" priority="7816">
      <formula>$B1701="Subetapa"</formula>
    </cfRule>
  </conditionalFormatting>
  <conditionalFormatting sqref="T1701:T1702">
    <cfRule type="expression" dxfId="4860" priority="7808" stopIfTrue="1">
      <formula>$B1701="INSUMO"</formula>
    </cfRule>
  </conditionalFormatting>
  <conditionalFormatting sqref="W1701">
    <cfRule type="containsText" dxfId="4859" priority="7807" stopIfTrue="1" operator="containsText" text="INSERIR">
      <formula>NOT(ISERROR(SEARCH("INSERIR",W1701)))</formula>
    </cfRule>
  </conditionalFormatting>
  <conditionalFormatting sqref="V1699:V1700">
    <cfRule type="expression" dxfId="4858" priority="7799" stopIfTrue="1">
      <formula>$B1699="insumo"</formula>
    </cfRule>
  </conditionalFormatting>
  <conditionalFormatting sqref="T1699:U1699 AA1699:AA1700 T1700">
    <cfRule type="expression" dxfId="4857" priority="7798" stopIfTrue="1">
      <formula>$B1699="SERVIÇO"</formula>
    </cfRule>
  </conditionalFormatting>
  <conditionalFormatting sqref="AE1699:AF1700 A1699:E1700 V1700 AA1700:AC1700 G1700:T1700 G1699:AC1699">
    <cfRule type="expression" dxfId="4856" priority="7800">
      <formula>$B1699="Unidade Construtiva"</formula>
    </cfRule>
    <cfRule type="expression" dxfId="4855" priority="7801">
      <formula>$B1699="Serviço"</formula>
    </cfRule>
    <cfRule type="expression" dxfId="4854" priority="7802">
      <formula>$B1699="Insumo"</formula>
    </cfRule>
    <cfRule type="expression" dxfId="4853" priority="7803">
      <formula>$B1699="Etapa"</formula>
    </cfRule>
    <cfRule type="expression" dxfId="4852" priority="7804">
      <formula>$B1699="Célula Construtiva"</formula>
    </cfRule>
    <cfRule type="expression" dxfId="4851" priority="7805">
      <formula>$B1699="Subetapa"</formula>
    </cfRule>
  </conditionalFormatting>
  <conditionalFormatting sqref="T1699:T1700">
    <cfRule type="expression" dxfId="4850" priority="7797" stopIfTrue="1">
      <formula>$B1699="INSUMO"</formula>
    </cfRule>
  </conditionalFormatting>
  <conditionalFormatting sqref="W1699">
    <cfRule type="containsText" dxfId="4849" priority="7796" stopIfTrue="1" operator="containsText" text="INSERIR">
      <formula>NOT(ISERROR(SEARCH("INSERIR",W1699)))</formula>
    </cfRule>
  </conditionalFormatting>
  <conditionalFormatting sqref="V1341:V1342">
    <cfRule type="expression" dxfId="4848" priority="7744" stopIfTrue="1">
      <formula>$B1341="insumo"</formula>
    </cfRule>
  </conditionalFormatting>
  <conditionalFormatting sqref="T1341:U1341 AA1341:AA1342 T1342">
    <cfRule type="expression" dxfId="4847" priority="7743" stopIfTrue="1">
      <formula>$B1341="SERVIÇO"</formula>
    </cfRule>
  </conditionalFormatting>
  <conditionalFormatting sqref="AE1341:AF1342 A1341:E1342 V1342 AA1342:AC1342 G1342:T1342 G1341:AC1341">
    <cfRule type="expression" dxfId="4846" priority="7745">
      <formula>$B1341="Unidade Construtiva"</formula>
    </cfRule>
    <cfRule type="expression" dxfId="4845" priority="7746">
      <formula>$B1341="Serviço"</formula>
    </cfRule>
    <cfRule type="expression" dxfId="4844" priority="7747">
      <formula>$B1341="Insumo"</formula>
    </cfRule>
    <cfRule type="expression" dxfId="4843" priority="7748">
      <formula>$B1341="Etapa"</formula>
    </cfRule>
    <cfRule type="expression" dxfId="4842" priority="7749">
      <formula>$B1341="Célula Construtiva"</formula>
    </cfRule>
    <cfRule type="expression" dxfId="4841" priority="7750">
      <formula>$B1341="Subetapa"</formula>
    </cfRule>
  </conditionalFormatting>
  <conditionalFormatting sqref="T1341:T1342">
    <cfRule type="expression" dxfId="4840" priority="7742" stopIfTrue="1">
      <formula>$B1341="INSUMO"</formula>
    </cfRule>
  </conditionalFormatting>
  <conditionalFormatting sqref="W1341">
    <cfRule type="containsText" dxfId="4839" priority="7741" stopIfTrue="1" operator="containsText" text="INSERIR">
      <formula>NOT(ISERROR(SEARCH("INSERIR",W1341)))</formula>
    </cfRule>
  </conditionalFormatting>
  <conditionalFormatting sqref="V1303:V1304">
    <cfRule type="expression" dxfId="4838" priority="7733" stopIfTrue="1">
      <formula>$B1303="insumo"</formula>
    </cfRule>
  </conditionalFormatting>
  <conditionalFormatting sqref="T1303:U1303 AA1303:AA1304 T1304">
    <cfRule type="expression" dxfId="4837" priority="7732" stopIfTrue="1">
      <formula>$B1303="SERVIÇO"</formula>
    </cfRule>
  </conditionalFormatting>
  <conditionalFormatting sqref="AE1303:AF1304 A1303:E1304 V1304 AA1304:AC1304 G1304:T1304 G1303:AC1303">
    <cfRule type="expression" dxfId="4836" priority="7734">
      <formula>$B1303="Unidade Construtiva"</formula>
    </cfRule>
    <cfRule type="expression" dxfId="4835" priority="7735">
      <formula>$B1303="Serviço"</formula>
    </cfRule>
    <cfRule type="expression" dxfId="4834" priority="7736">
      <formula>$B1303="Insumo"</formula>
    </cfRule>
    <cfRule type="expression" dxfId="4833" priority="7737">
      <formula>$B1303="Etapa"</formula>
    </cfRule>
    <cfRule type="expression" dxfId="4832" priority="7738">
      <formula>$B1303="Célula Construtiva"</formula>
    </cfRule>
    <cfRule type="expression" dxfId="4831" priority="7739">
      <formula>$B1303="Subetapa"</formula>
    </cfRule>
  </conditionalFormatting>
  <conditionalFormatting sqref="T1303:T1304">
    <cfRule type="expression" dxfId="4830" priority="7731" stopIfTrue="1">
      <formula>$B1303="INSUMO"</formula>
    </cfRule>
  </conditionalFormatting>
  <conditionalFormatting sqref="W1303">
    <cfRule type="containsText" dxfId="4829" priority="7730" stopIfTrue="1" operator="containsText" text="INSERIR">
      <formula>NOT(ISERROR(SEARCH("INSERIR",W1303)))</formula>
    </cfRule>
  </conditionalFormatting>
  <conditionalFormatting sqref="V1271:V1272">
    <cfRule type="expression" dxfId="4828" priority="7722" stopIfTrue="1">
      <formula>$B1271="insumo"</formula>
    </cfRule>
  </conditionalFormatting>
  <conditionalFormatting sqref="T1271:U1271 AA1271:AA1272 T1272">
    <cfRule type="expression" dxfId="4827" priority="7721" stopIfTrue="1">
      <formula>$B1271="SERVIÇO"</formula>
    </cfRule>
  </conditionalFormatting>
  <conditionalFormatting sqref="AE1271:AF1272 A1271:E1272 V1272 AA1272:AC1272 G1272:T1272 G1271:AC1271">
    <cfRule type="expression" dxfId="4826" priority="7723">
      <formula>$B1271="Unidade Construtiva"</formula>
    </cfRule>
    <cfRule type="expression" dxfId="4825" priority="7724">
      <formula>$B1271="Serviço"</formula>
    </cfRule>
    <cfRule type="expression" dxfId="4824" priority="7725">
      <formula>$B1271="Insumo"</formula>
    </cfRule>
    <cfRule type="expression" dxfId="4823" priority="7726">
      <formula>$B1271="Etapa"</formula>
    </cfRule>
    <cfRule type="expression" dxfId="4822" priority="7727">
      <formula>$B1271="Célula Construtiva"</formula>
    </cfRule>
    <cfRule type="expression" dxfId="4821" priority="7728">
      <formula>$B1271="Subetapa"</formula>
    </cfRule>
  </conditionalFormatting>
  <conditionalFormatting sqref="T1271:T1272">
    <cfRule type="expression" dxfId="4820" priority="7720" stopIfTrue="1">
      <formula>$B1271="INSUMO"</formula>
    </cfRule>
  </conditionalFormatting>
  <conditionalFormatting sqref="W1271">
    <cfRule type="containsText" dxfId="4819" priority="7719" stopIfTrue="1" operator="containsText" text="INSERIR">
      <formula>NOT(ISERROR(SEARCH("INSERIR",W1271)))</formula>
    </cfRule>
  </conditionalFormatting>
  <conditionalFormatting sqref="V1239:V1240">
    <cfRule type="expression" dxfId="4818" priority="7711" stopIfTrue="1">
      <formula>$B1239="insumo"</formula>
    </cfRule>
  </conditionalFormatting>
  <conditionalFormatting sqref="T1239:U1239 AA1239:AA1240 T1240">
    <cfRule type="expression" dxfId="4817" priority="7710" stopIfTrue="1">
      <formula>$B1239="SERVIÇO"</formula>
    </cfRule>
  </conditionalFormatting>
  <conditionalFormatting sqref="AE1239:AF1240 A1239:E1240 V1240 AA1240:AC1240 G1240:T1240 G1239:AC1239">
    <cfRule type="expression" dxfId="4816" priority="7712">
      <formula>$B1239="Unidade Construtiva"</formula>
    </cfRule>
    <cfRule type="expression" dxfId="4815" priority="7713">
      <formula>$B1239="Serviço"</formula>
    </cfRule>
    <cfRule type="expression" dxfId="4814" priority="7714">
      <formula>$B1239="Insumo"</formula>
    </cfRule>
    <cfRule type="expression" dxfId="4813" priority="7715">
      <formula>$B1239="Etapa"</formula>
    </cfRule>
    <cfRule type="expression" dxfId="4812" priority="7716">
      <formula>$B1239="Célula Construtiva"</formula>
    </cfRule>
    <cfRule type="expression" dxfId="4811" priority="7717">
      <formula>$B1239="Subetapa"</formula>
    </cfRule>
  </conditionalFormatting>
  <conditionalFormatting sqref="T1239:T1240">
    <cfRule type="expression" dxfId="4810" priority="7709" stopIfTrue="1">
      <formula>$B1239="INSUMO"</formula>
    </cfRule>
  </conditionalFormatting>
  <conditionalFormatting sqref="W1239">
    <cfRule type="containsText" dxfId="4809" priority="7708" stopIfTrue="1" operator="containsText" text="INSERIR">
      <formula>NOT(ISERROR(SEARCH("INSERIR",W1239)))</formula>
    </cfRule>
  </conditionalFormatting>
  <conditionalFormatting sqref="V1196:V1197">
    <cfRule type="expression" dxfId="4808" priority="7689" stopIfTrue="1">
      <formula>$B1196="insumo"</formula>
    </cfRule>
  </conditionalFormatting>
  <conditionalFormatting sqref="AA1196:AA1197 T1196:U1196 T1197">
    <cfRule type="expression" dxfId="4807" priority="7688" stopIfTrue="1">
      <formula>$B1196="SERVIÇO"</formula>
    </cfRule>
  </conditionalFormatting>
  <conditionalFormatting sqref="AE1196:AF1197 A1196:E1197 V1197 AA1197:AC1197 G1197:T1197 G1196:AC1196">
    <cfRule type="expression" dxfId="4806" priority="7690">
      <formula>$B1196="Unidade Construtiva"</formula>
    </cfRule>
    <cfRule type="expression" dxfId="4805" priority="7691">
      <formula>$B1196="Serviço"</formula>
    </cfRule>
    <cfRule type="expression" dxfId="4804" priority="7692">
      <formula>$B1196="Insumo"</formula>
    </cfRule>
    <cfRule type="expression" dxfId="4803" priority="7693">
      <formula>$B1196="Etapa"</formula>
    </cfRule>
    <cfRule type="expression" dxfId="4802" priority="7694">
      <formula>$B1196="Célula Construtiva"</formula>
    </cfRule>
    <cfRule type="expression" dxfId="4801" priority="7695">
      <formula>$B1196="Subetapa"</formula>
    </cfRule>
  </conditionalFormatting>
  <conditionalFormatting sqref="T1196:T1197">
    <cfRule type="expression" dxfId="4800" priority="7687" stopIfTrue="1">
      <formula>$B1196="INSUMO"</formula>
    </cfRule>
  </conditionalFormatting>
  <conditionalFormatting sqref="W1196">
    <cfRule type="containsText" dxfId="4799" priority="7686" stopIfTrue="1" operator="containsText" text="INSERIR">
      <formula>NOT(ISERROR(SEARCH("INSERIR",W1196)))</formula>
    </cfRule>
  </conditionalFormatting>
  <conditionalFormatting sqref="T317:T318">
    <cfRule type="expression" dxfId="4798" priority="7679" stopIfTrue="1">
      <formula>$B317="SERVIÇO"</formula>
    </cfRule>
  </conditionalFormatting>
  <conditionalFormatting sqref="T317:T318">
    <cfRule type="expression" dxfId="4797" priority="7680">
      <formula>$B317="Unidade Construtiva"</formula>
    </cfRule>
    <cfRule type="expression" dxfId="4796" priority="7681">
      <formula>$B317="Serviço"</formula>
    </cfRule>
    <cfRule type="expression" dxfId="4795" priority="7682">
      <formula>$B317="Insumo"</formula>
    </cfRule>
    <cfRule type="expression" dxfId="4794" priority="7683">
      <formula>$B317="Etapa"</formula>
    </cfRule>
    <cfRule type="expression" dxfId="4793" priority="7684">
      <formula>$B317="Célula Construtiva"</formula>
    </cfRule>
    <cfRule type="expression" dxfId="4792" priority="7685">
      <formula>$B317="Subetapa"</formula>
    </cfRule>
  </conditionalFormatting>
  <conditionalFormatting sqref="T317:T318">
    <cfRule type="expression" dxfId="4791" priority="7678" stopIfTrue="1">
      <formula>$B317="INSUMO"</formula>
    </cfRule>
  </conditionalFormatting>
  <conditionalFormatting sqref="V411:V414">
    <cfRule type="expression" dxfId="4790" priority="7446" stopIfTrue="1">
      <formula>$B411="insumo"</formula>
    </cfRule>
  </conditionalFormatting>
  <conditionalFormatting sqref="AA317:AA318">
    <cfRule type="expression" dxfId="4789" priority="7669" stopIfTrue="1">
      <formula>$B317="SERVIÇO"</formula>
    </cfRule>
  </conditionalFormatting>
  <conditionalFormatting sqref="AE317:AF318 A317:E318 AA317:AC318 G317:S318">
    <cfRule type="expression" dxfId="4788" priority="7671">
      <formula>$B317="Unidade Construtiva"</formula>
    </cfRule>
    <cfRule type="expression" dxfId="4787" priority="7672">
      <formula>$B317="Serviço"</formula>
    </cfRule>
    <cfRule type="expression" dxfId="4786" priority="7673">
      <formula>$B317="Insumo"</formula>
    </cfRule>
    <cfRule type="expression" dxfId="4785" priority="7674">
      <formula>$B317="Etapa"</formula>
    </cfRule>
    <cfRule type="expression" dxfId="4784" priority="7675">
      <formula>$B317="Célula Construtiva"</formula>
    </cfRule>
    <cfRule type="expression" dxfId="4783" priority="7676">
      <formula>$B317="Subetapa"</formula>
    </cfRule>
  </conditionalFormatting>
  <conditionalFormatting sqref="T416:T417">
    <cfRule type="expression" dxfId="4782" priority="7650" stopIfTrue="1">
      <formula>$B416="SERVIÇO"</formula>
    </cfRule>
  </conditionalFormatting>
  <conditionalFormatting sqref="T416:T417">
    <cfRule type="expression" dxfId="4781" priority="7651">
      <formula>$B416="Unidade Construtiva"</formula>
    </cfRule>
    <cfRule type="expression" dxfId="4780" priority="7652">
      <formula>$B416="Serviço"</formula>
    </cfRule>
    <cfRule type="expression" dxfId="4779" priority="7653">
      <formula>$B416="Insumo"</formula>
    </cfRule>
    <cfRule type="expression" dxfId="4778" priority="7654">
      <formula>$B416="Etapa"</formula>
    </cfRule>
    <cfRule type="expression" dxfId="4777" priority="7655">
      <formula>$B416="Célula Construtiva"</formula>
    </cfRule>
    <cfRule type="expression" dxfId="4776" priority="7656">
      <formula>$B416="Subetapa"</formula>
    </cfRule>
  </conditionalFormatting>
  <conditionalFormatting sqref="T416:T417">
    <cfRule type="expression" dxfId="4775" priority="7649" stopIfTrue="1">
      <formula>$B416="INSUMO"</formula>
    </cfRule>
  </conditionalFormatting>
  <conditionalFormatting sqref="AA416:AA417">
    <cfRule type="expression" dxfId="4774" priority="7640" stopIfTrue="1">
      <formula>$B416="SERVIÇO"</formula>
    </cfRule>
  </conditionalFormatting>
  <conditionalFormatting sqref="A416:E417 AE416:AF417 AA416:AC417 G416:S417">
    <cfRule type="expression" dxfId="4773" priority="7642">
      <formula>$B416="Unidade Construtiva"</formula>
    </cfRule>
    <cfRule type="expression" dxfId="4772" priority="7643">
      <formula>$B416="Serviço"</formula>
    </cfRule>
    <cfRule type="expression" dxfId="4771" priority="7644">
      <formula>$B416="Insumo"</formula>
    </cfRule>
    <cfRule type="expression" dxfId="4770" priority="7645">
      <formula>$B416="Etapa"</formula>
    </cfRule>
    <cfRule type="expression" dxfId="4769" priority="7646">
      <formula>$B416="Célula Construtiva"</formula>
    </cfRule>
    <cfRule type="expression" dxfId="4768" priority="7647">
      <formula>$B416="Subetapa"</formula>
    </cfRule>
  </conditionalFormatting>
  <conditionalFormatting sqref="AA507:AA508 T507:T508">
    <cfRule type="expression" dxfId="4767" priority="7631" stopIfTrue="1">
      <formula>$B507="SERVIÇO"</formula>
    </cfRule>
  </conditionalFormatting>
  <conditionalFormatting sqref="AE507:AF508 A507:E508 AA507:AC508 G507:T508">
    <cfRule type="expression" dxfId="4766" priority="7633">
      <formula>$B507="Unidade Construtiva"</formula>
    </cfRule>
    <cfRule type="expression" dxfId="4765" priority="7634">
      <formula>$B507="Serviço"</formula>
    </cfRule>
    <cfRule type="expression" dxfId="4764" priority="7635">
      <formula>$B507="Insumo"</formula>
    </cfRule>
    <cfRule type="expression" dxfId="4763" priority="7636">
      <formula>$B507="Etapa"</formula>
    </cfRule>
    <cfRule type="expression" dxfId="4762" priority="7637">
      <formula>$B507="Célula Construtiva"</formula>
    </cfRule>
    <cfRule type="expression" dxfId="4761" priority="7638">
      <formula>$B507="Subetapa"</formula>
    </cfRule>
  </conditionalFormatting>
  <conditionalFormatting sqref="T507:T508">
    <cfRule type="expression" dxfId="4760" priority="7630" stopIfTrue="1">
      <formula>$B507="INSUMO"</formula>
    </cfRule>
  </conditionalFormatting>
  <conditionalFormatting sqref="W2150:W2152">
    <cfRule type="containsText" dxfId="4759" priority="7607" stopIfTrue="1" operator="containsText" text="INSERIR">
      <formula>NOT(ISERROR(SEARCH("INSERIR",W2150)))</formula>
    </cfRule>
  </conditionalFormatting>
  <conditionalFormatting sqref="V506">
    <cfRule type="expression" dxfId="4758" priority="7488" stopIfTrue="1">
      <formula>$B506="insumo"</formula>
    </cfRule>
  </conditionalFormatting>
  <conditionalFormatting sqref="V506">
    <cfRule type="expression" dxfId="4757" priority="7489">
      <formula>$B506="Unidade Construtiva"</formula>
    </cfRule>
    <cfRule type="expression" dxfId="4756" priority="7490">
      <formula>$B506="Serviço"</formula>
    </cfRule>
    <cfRule type="expression" dxfId="4755" priority="7491">
      <formula>$B506="Insumo"</formula>
    </cfRule>
    <cfRule type="expression" dxfId="4754" priority="7492">
      <formula>$B506="Etapa"</formula>
    </cfRule>
    <cfRule type="expression" dxfId="4753" priority="7493">
      <formula>$B506="Célula Construtiva"</formula>
    </cfRule>
    <cfRule type="expression" dxfId="4752" priority="7494">
      <formula>$B506="Subetapa"</formula>
    </cfRule>
  </conditionalFormatting>
  <conditionalFormatting sqref="V501">
    <cfRule type="expression" dxfId="4751" priority="7481" stopIfTrue="1">
      <formula>$B501="insumo"</formula>
    </cfRule>
  </conditionalFormatting>
  <conditionalFormatting sqref="V501">
    <cfRule type="expression" dxfId="4750" priority="7482">
      <formula>$B501="Unidade Construtiva"</formula>
    </cfRule>
    <cfRule type="expression" dxfId="4749" priority="7483">
      <formula>$B501="Serviço"</formula>
    </cfRule>
    <cfRule type="expression" dxfId="4748" priority="7484">
      <formula>$B501="Insumo"</formula>
    </cfRule>
    <cfRule type="expression" dxfId="4747" priority="7485">
      <formula>$B501="Etapa"</formula>
    </cfRule>
    <cfRule type="expression" dxfId="4746" priority="7486">
      <formula>$B501="Célula Construtiva"</formula>
    </cfRule>
    <cfRule type="expression" dxfId="4745" priority="7487">
      <formula>$B501="Subetapa"</formula>
    </cfRule>
  </conditionalFormatting>
  <conditionalFormatting sqref="V502:V505">
    <cfRule type="expression" dxfId="4744" priority="7474" stopIfTrue="1">
      <formula>$B502="insumo"</formula>
    </cfRule>
  </conditionalFormatting>
  <conditionalFormatting sqref="V502:V505">
    <cfRule type="expression" dxfId="4743" priority="7475">
      <formula>$B502="Unidade Construtiva"</formula>
    </cfRule>
    <cfRule type="expression" dxfId="4742" priority="7476">
      <formula>$B502="Serviço"</formula>
    </cfRule>
    <cfRule type="expression" dxfId="4741" priority="7477">
      <formula>$B502="Insumo"</formula>
    </cfRule>
    <cfRule type="expression" dxfId="4740" priority="7478">
      <formula>$B502="Etapa"</formula>
    </cfRule>
    <cfRule type="expression" dxfId="4739" priority="7479">
      <formula>$B502="Célula Construtiva"</formula>
    </cfRule>
    <cfRule type="expression" dxfId="4738" priority="7480">
      <formula>$B502="Subetapa"</formula>
    </cfRule>
  </conditionalFormatting>
  <conditionalFormatting sqref="V316">
    <cfRule type="expression" dxfId="4737" priority="7432" stopIfTrue="1">
      <formula>$B316="insumo"</formula>
    </cfRule>
  </conditionalFormatting>
  <conditionalFormatting sqref="V316">
    <cfRule type="expression" dxfId="4736" priority="7433">
      <formula>$B316="Unidade Construtiva"</formula>
    </cfRule>
    <cfRule type="expression" dxfId="4735" priority="7434">
      <formula>$B316="Serviço"</formula>
    </cfRule>
    <cfRule type="expression" dxfId="4734" priority="7435">
      <formula>$B316="Insumo"</formula>
    </cfRule>
    <cfRule type="expression" dxfId="4733" priority="7436">
      <formula>$B316="Etapa"</formula>
    </cfRule>
    <cfRule type="expression" dxfId="4732" priority="7437">
      <formula>$B316="Célula Construtiva"</formula>
    </cfRule>
    <cfRule type="expression" dxfId="4731" priority="7438">
      <formula>$B316="Subetapa"</formula>
    </cfRule>
  </conditionalFormatting>
  <conditionalFormatting sqref="V311">
    <cfRule type="expression" dxfId="4730" priority="7425" stopIfTrue="1">
      <formula>$B311="insumo"</formula>
    </cfRule>
  </conditionalFormatting>
  <conditionalFormatting sqref="V311">
    <cfRule type="expression" dxfId="4729" priority="7426">
      <formula>$B311="Unidade Construtiva"</formula>
    </cfRule>
    <cfRule type="expression" dxfId="4728" priority="7427">
      <formula>$B311="Serviço"</formula>
    </cfRule>
    <cfRule type="expression" dxfId="4727" priority="7428">
      <formula>$B311="Insumo"</formula>
    </cfRule>
    <cfRule type="expression" dxfId="4726" priority="7429">
      <formula>$B311="Etapa"</formula>
    </cfRule>
    <cfRule type="expression" dxfId="4725" priority="7430">
      <formula>$B311="Célula Construtiva"</formula>
    </cfRule>
    <cfRule type="expression" dxfId="4724" priority="7431">
      <formula>$B311="Subetapa"</formula>
    </cfRule>
  </conditionalFormatting>
  <conditionalFormatting sqref="V312:V315">
    <cfRule type="expression" dxfId="4723" priority="7418" stopIfTrue="1">
      <formula>$B312="insumo"</formula>
    </cfRule>
  </conditionalFormatting>
  <conditionalFormatting sqref="V312:V315">
    <cfRule type="expression" dxfId="4722" priority="7419">
      <formula>$B312="Unidade Construtiva"</formula>
    </cfRule>
    <cfRule type="expression" dxfId="4721" priority="7420">
      <formula>$B312="Serviço"</formula>
    </cfRule>
    <cfRule type="expression" dxfId="4720" priority="7421">
      <formula>$B312="Insumo"</formula>
    </cfRule>
    <cfRule type="expression" dxfId="4719" priority="7422">
      <formula>$B312="Etapa"</formula>
    </cfRule>
    <cfRule type="expression" dxfId="4718" priority="7423">
      <formula>$B312="Célula Construtiva"</formula>
    </cfRule>
    <cfRule type="expression" dxfId="4717" priority="7424">
      <formula>$B312="Subetapa"</formula>
    </cfRule>
  </conditionalFormatting>
  <conditionalFormatting sqref="V415">
    <cfRule type="expression" dxfId="4716" priority="7460" stopIfTrue="1">
      <formula>$B415="insumo"</formula>
    </cfRule>
  </conditionalFormatting>
  <conditionalFormatting sqref="V415">
    <cfRule type="expression" dxfId="4715" priority="7461">
      <formula>$B415="Unidade Construtiva"</formula>
    </cfRule>
    <cfRule type="expression" dxfId="4714" priority="7462">
      <formula>$B415="Serviço"</formula>
    </cfRule>
    <cfRule type="expression" dxfId="4713" priority="7463">
      <formula>$B415="Insumo"</formula>
    </cfRule>
    <cfRule type="expression" dxfId="4712" priority="7464">
      <formula>$B415="Etapa"</formula>
    </cfRule>
    <cfRule type="expression" dxfId="4711" priority="7465">
      <formula>$B415="Célula Construtiva"</formula>
    </cfRule>
    <cfRule type="expression" dxfId="4710" priority="7466">
      <formula>$B415="Subetapa"</formula>
    </cfRule>
  </conditionalFormatting>
  <conditionalFormatting sqref="V410">
    <cfRule type="expression" dxfId="4709" priority="7453" stopIfTrue="1">
      <formula>$B410="insumo"</formula>
    </cfRule>
  </conditionalFormatting>
  <conditionalFormatting sqref="V410">
    <cfRule type="expression" dxfId="4708" priority="7454">
      <formula>$B410="Unidade Construtiva"</formula>
    </cfRule>
    <cfRule type="expression" dxfId="4707" priority="7455">
      <formula>$B410="Serviço"</formula>
    </cfRule>
    <cfRule type="expression" dxfId="4706" priority="7456">
      <formula>$B410="Insumo"</formula>
    </cfRule>
    <cfRule type="expression" dxfId="4705" priority="7457">
      <formula>$B410="Etapa"</formula>
    </cfRule>
    <cfRule type="expression" dxfId="4704" priority="7458">
      <formula>$B410="Célula Construtiva"</formula>
    </cfRule>
    <cfRule type="expression" dxfId="4703" priority="7459">
      <formula>$B410="Subetapa"</formula>
    </cfRule>
  </conditionalFormatting>
  <conditionalFormatting sqref="V411:V414">
    <cfRule type="expression" dxfId="4702" priority="7447">
      <formula>$B411="Unidade Construtiva"</formula>
    </cfRule>
    <cfRule type="expression" dxfId="4701" priority="7448">
      <formula>$B411="Serviço"</formula>
    </cfRule>
    <cfRule type="expression" dxfId="4700" priority="7449">
      <formula>$B411="Insumo"</formula>
    </cfRule>
    <cfRule type="expression" dxfId="4699" priority="7450">
      <formula>$B411="Etapa"</formula>
    </cfRule>
    <cfRule type="expression" dxfId="4698" priority="7451">
      <formula>$B411="Célula Construtiva"</formula>
    </cfRule>
    <cfRule type="expression" dxfId="4697" priority="7452">
      <formula>$B411="Subetapa"</formula>
    </cfRule>
  </conditionalFormatting>
  <conditionalFormatting sqref="V317:V318 V416:V417 V507:V508">
    <cfRule type="expression" dxfId="4696" priority="7383" stopIfTrue="1">
      <formula>$B317="insumo"</formula>
    </cfRule>
  </conditionalFormatting>
  <conditionalFormatting sqref="V317:V318 V416:V417 V507:V508">
    <cfRule type="expression" dxfId="4695" priority="7384">
      <formula>$B317="Unidade Construtiva"</formula>
    </cfRule>
    <cfRule type="expression" dxfId="4694" priority="7385">
      <formula>$B317="Serviço"</formula>
    </cfRule>
    <cfRule type="expression" dxfId="4693" priority="7386">
      <formula>$B317="Insumo"</formula>
    </cfRule>
    <cfRule type="expression" dxfId="4692" priority="7387">
      <formula>$B317="Etapa"</formula>
    </cfRule>
    <cfRule type="expression" dxfId="4691" priority="7388">
      <formula>$B317="Célula Construtiva"</formula>
    </cfRule>
    <cfRule type="expression" dxfId="4690" priority="7389">
      <formula>$B317="Subetapa"</formula>
    </cfRule>
  </conditionalFormatting>
  <conditionalFormatting sqref="V2097">
    <cfRule type="expression" dxfId="4689" priority="7291" stopIfTrue="1">
      <formula>$B2097="insumo"</formula>
    </cfRule>
  </conditionalFormatting>
  <conditionalFormatting sqref="V1247">
    <cfRule type="expression" dxfId="4688" priority="7376" stopIfTrue="1">
      <formula>$B1247="insumo"</formula>
    </cfRule>
  </conditionalFormatting>
  <conditionalFormatting sqref="T1247:U1247 T1248">
    <cfRule type="expression" dxfId="4687" priority="7375" stopIfTrue="1">
      <formula>$B1247="SERVIÇO"</formula>
    </cfRule>
  </conditionalFormatting>
  <conditionalFormatting sqref="S1247:V1247 S1248:T1248">
    <cfRule type="expression" dxfId="4686" priority="7377">
      <formula>$B1247="Unidade Construtiva"</formula>
    </cfRule>
    <cfRule type="expression" dxfId="4685" priority="7378">
      <formula>$B1247="Serviço"</formula>
    </cfRule>
    <cfRule type="expression" dxfId="4684" priority="7379">
      <formula>$B1247="Insumo"</formula>
    </cfRule>
    <cfRule type="expression" dxfId="4683" priority="7380">
      <formula>$B1247="Etapa"</formula>
    </cfRule>
    <cfRule type="expression" dxfId="4682" priority="7381">
      <formula>$B1247="Célula Construtiva"</formula>
    </cfRule>
    <cfRule type="expression" dxfId="4681" priority="7382">
      <formula>$B1247="Subetapa"</formula>
    </cfRule>
  </conditionalFormatting>
  <conditionalFormatting sqref="T1247:T1248">
    <cfRule type="expression" dxfId="4680" priority="7374" stopIfTrue="1">
      <formula>$B1247="INSUMO"</formula>
    </cfRule>
  </conditionalFormatting>
  <conditionalFormatting sqref="V1279">
    <cfRule type="expression" dxfId="4679" priority="7367" stopIfTrue="1">
      <formula>$B1279="insumo"</formula>
    </cfRule>
  </conditionalFormatting>
  <conditionalFormatting sqref="T1279:U1279 T1280">
    <cfRule type="expression" dxfId="4678" priority="7366" stopIfTrue="1">
      <formula>$B1279="SERVIÇO"</formula>
    </cfRule>
  </conditionalFormatting>
  <conditionalFormatting sqref="S1279:V1279 S1280:T1280">
    <cfRule type="expression" dxfId="4677" priority="7368">
      <formula>$B1279="Unidade Construtiva"</formula>
    </cfRule>
    <cfRule type="expression" dxfId="4676" priority="7369">
      <formula>$B1279="Serviço"</formula>
    </cfRule>
    <cfRule type="expression" dxfId="4675" priority="7370">
      <formula>$B1279="Insumo"</formula>
    </cfRule>
    <cfRule type="expression" dxfId="4674" priority="7371">
      <formula>$B1279="Etapa"</formula>
    </cfRule>
    <cfRule type="expression" dxfId="4673" priority="7372">
      <formula>$B1279="Célula Construtiva"</formula>
    </cfRule>
    <cfRule type="expression" dxfId="4672" priority="7373">
      <formula>$B1279="Subetapa"</formula>
    </cfRule>
  </conditionalFormatting>
  <conditionalFormatting sqref="T1279:T1280">
    <cfRule type="expression" dxfId="4671" priority="7365" stopIfTrue="1">
      <formula>$B1279="INSUMO"</formula>
    </cfRule>
  </conditionalFormatting>
  <conditionalFormatting sqref="V1311">
    <cfRule type="expression" dxfId="4670" priority="7358" stopIfTrue="1">
      <formula>$B1311="insumo"</formula>
    </cfRule>
  </conditionalFormatting>
  <conditionalFormatting sqref="T1311:U1311 T1312">
    <cfRule type="expression" dxfId="4669" priority="7357" stopIfTrue="1">
      <formula>$B1311="SERVIÇO"</formula>
    </cfRule>
  </conditionalFormatting>
  <conditionalFormatting sqref="S1311:V1311 S1312:T1312">
    <cfRule type="expression" dxfId="4668" priority="7359">
      <formula>$B1311="Unidade Construtiva"</formula>
    </cfRule>
    <cfRule type="expression" dxfId="4667" priority="7360">
      <formula>$B1311="Serviço"</formula>
    </cfRule>
    <cfRule type="expression" dxfId="4666" priority="7361">
      <formula>$B1311="Insumo"</formula>
    </cfRule>
    <cfRule type="expression" dxfId="4665" priority="7362">
      <formula>$B1311="Etapa"</formula>
    </cfRule>
    <cfRule type="expression" dxfId="4664" priority="7363">
      <formula>$B1311="Célula Construtiva"</formula>
    </cfRule>
    <cfRule type="expression" dxfId="4663" priority="7364">
      <formula>$B1311="Subetapa"</formula>
    </cfRule>
  </conditionalFormatting>
  <conditionalFormatting sqref="T1311:T1312">
    <cfRule type="expression" dxfId="4662" priority="7356" stopIfTrue="1">
      <formula>$B1311="INSUMO"</formula>
    </cfRule>
  </conditionalFormatting>
  <conditionalFormatting sqref="V1349">
    <cfRule type="expression" dxfId="4661" priority="7349" stopIfTrue="1">
      <formula>$B1349="insumo"</formula>
    </cfRule>
  </conditionalFormatting>
  <conditionalFormatting sqref="T1349:U1349 T1350">
    <cfRule type="expression" dxfId="4660" priority="7348" stopIfTrue="1">
      <formula>$B1349="SERVIÇO"</formula>
    </cfRule>
  </conditionalFormatting>
  <conditionalFormatting sqref="S1349:V1349 S1350:T1350">
    <cfRule type="expression" dxfId="4659" priority="7350">
      <formula>$B1349="Unidade Construtiva"</formula>
    </cfRule>
    <cfRule type="expression" dxfId="4658" priority="7351">
      <formula>$B1349="Serviço"</formula>
    </cfRule>
    <cfRule type="expression" dxfId="4657" priority="7352">
      <formula>$B1349="Insumo"</formula>
    </cfRule>
    <cfRule type="expression" dxfId="4656" priority="7353">
      <formula>$B1349="Etapa"</formula>
    </cfRule>
    <cfRule type="expression" dxfId="4655" priority="7354">
      <formula>$B1349="Célula Construtiva"</formula>
    </cfRule>
    <cfRule type="expression" dxfId="4654" priority="7355">
      <formula>$B1349="Subetapa"</formula>
    </cfRule>
  </conditionalFormatting>
  <conditionalFormatting sqref="T1349:T1350">
    <cfRule type="expression" dxfId="4653" priority="7347" stopIfTrue="1">
      <formula>$B1349="INSUMO"</formula>
    </cfRule>
  </conditionalFormatting>
  <conditionalFormatting sqref="V1314">
    <cfRule type="expression" dxfId="4652" priority="7340" stopIfTrue="1">
      <formula>$B1314="insumo"</formula>
    </cfRule>
  </conditionalFormatting>
  <conditionalFormatting sqref="V1314">
    <cfRule type="expression" dxfId="4651" priority="7341">
      <formula>$B1314="Unidade Construtiva"</formula>
    </cfRule>
    <cfRule type="expression" dxfId="4650" priority="7342">
      <formula>$B1314="Serviço"</formula>
    </cfRule>
    <cfRule type="expression" dxfId="4649" priority="7343">
      <formula>$B1314="Insumo"</formula>
    </cfRule>
    <cfRule type="expression" dxfId="4648" priority="7344">
      <formula>$B1314="Etapa"</formula>
    </cfRule>
    <cfRule type="expression" dxfId="4647" priority="7345">
      <formula>$B1314="Célula Construtiva"</formula>
    </cfRule>
    <cfRule type="expression" dxfId="4646" priority="7346">
      <formula>$B1314="Subetapa"</formula>
    </cfRule>
  </conditionalFormatting>
  <conditionalFormatting sqref="V1352">
    <cfRule type="expression" dxfId="4645" priority="7333" stopIfTrue="1">
      <formula>$B1352="insumo"</formula>
    </cfRule>
  </conditionalFormatting>
  <conditionalFormatting sqref="V1352">
    <cfRule type="expression" dxfId="4644" priority="7334">
      <formula>$B1352="Unidade Construtiva"</formula>
    </cfRule>
    <cfRule type="expression" dxfId="4643" priority="7335">
      <formula>$B1352="Serviço"</formula>
    </cfRule>
    <cfRule type="expression" dxfId="4642" priority="7336">
      <formula>$B1352="Insumo"</formula>
    </cfRule>
    <cfRule type="expression" dxfId="4641" priority="7337">
      <formula>$B1352="Etapa"</formula>
    </cfRule>
    <cfRule type="expression" dxfId="4640" priority="7338">
      <formula>$B1352="Célula Construtiva"</formula>
    </cfRule>
    <cfRule type="expression" dxfId="4639" priority="7339">
      <formula>$B1352="Subetapa"</formula>
    </cfRule>
  </conditionalFormatting>
  <conditionalFormatting sqref="V1282">
    <cfRule type="expression" dxfId="4638" priority="7326" stopIfTrue="1">
      <formula>$B1282="insumo"</formula>
    </cfRule>
  </conditionalFormatting>
  <conditionalFormatting sqref="V1282">
    <cfRule type="expression" dxfId="4637" priority="7327">
      <formula>$B1282="Unidade Construtiva"</formula>
    </cfRule>
    <cfRule type="expression" dxfId="4636" priority="7328">
      <formula>$B1282="Serviço"</formula>
    </cfRule>
    <cfRule type="expression" dxfId="4635" priority="7329">
      <formula>$B1282="Insumo"</formula>
    </cfRule>
    <cfRule type="expression" dxfId="4634" priority="7330">
      <formula>$B1282="Etapa"</formula>
    </cfRule>
    <cfRule type="expression" dxfId="4633" priority="7331">
      <formula>$B1282="Célula Construtiva"</formula>
    </cfRule>
    <cfRule type="expression" dxfId="4632" priority="7332">
      <formula>$B1282="Subetapa"</formula>
    </cfRule>
  </conditionalFormatting>
  <conditionalFormatting sqref="V1250">
    <cfRule type="expression" dxfId="4631" priority="7319" stopIfTrue="1">
      <formula>$B1250="insumo"</formula>
    </cfRule>
  </conditionalFormatting>
  <conditionalFormatting sqref="V1250">
    <cfRule type="expression" dxfId="4630" priority="7320">
      <formula>$B1250="Unidade Construtiva"</formula>
    </cfRule>
    <cfRule type="expression" dxfId="4629" priority="7321">
      <formula>$B1250="Serviço"</formula>
    </cfRule>
    <cfRule type="expression" dxfId="4628" priority="7322">
      <formula>$B1250="Insumo"</formula>
    </cfRule>
    <cfRule type="expression" dxfId="4627" priority="7323">
      <formula>$B1250="Etapa"</formula>
    </cfRule>
    <cfRule type="expression" dxfId="4626" priority="7324">
      <formula>$B1250="Célula Construtiva"</formula>
    </cfRule>
    <cfRule type="expression" dxfId="4625" priority="7325">
      <formula>$B1250="Subetapa"</formula>
    </cfRule>
  </conditionalFormatting>
  <conditionalFormatting sqref="V1218">
    <cfRule type="expression" dxfId="4624" priority="7312" stopIfTrue="1">
      <formula>$B1218="insumo"</formula>
    </cfRule>
  </conditionalFormatting>
  <conditionalFormatting sqref="V1218">
    <cfRule type="expression" dxfId="4623" priority="7313">
      <formula>$B1218="Unidade Construtiva"</formula>
    </cfRule>
    <cfRule type="expression" dxfId="4622" priority="7314">
      <formula>$B1218="Serviço"</formula>
    </cfRule>
    <cfRule type="expression" dxfId="4621" priority="7315">
      <formula>$B1218="Insumo"</formula>
    </cfRule>
    <cfRule type="expression" dxfId="4620" priority="7316">
      <formula>$B1218="Etapa"</formula>
    </cfRule>
    <cfRule type="expression" dxfId="4619" priority="7317">
      <formula>$B1218="Célula Construtiva"</formula>
    </cfRule>
    <cfRule type="expression" dxfId="4618" priority="7318">
      <formula>$B1218="Subetapa"</formula>
    </cfRule>
  </conditionalFormatting>
  <conditionalFormatting sqref="V2096">
    <cfRule type="expression" dxfId="4617" priority="7305" stopIfTrue="1">
      <formula>$B2096="insumo"</formula>
    </cfRule>
  </conditionalFormatting>
  <conditionalFormatting sqref="V2096">
    <cfRule type="expression" dxfId="4616" priority="7306">
      <formula>$B2096="Unidade Construtiva"</formula>
    </cfRule>
    <cfRule type="expression" dxfId="4615" priority="7307">
      <formula>$B2096="Serviço"</formula>
    </cfRule>
    <cfRule type="expression" dxfId="4614" priority="7308">
      <formula>$B2096="Insumo"</formula>
    </cfRule>
    <cfRule type="expression" dxfId="4613" priority="7309">
      <formula>$B2096="Etapa"</formula>
    </cfRule>
    <cfRule type="expression" dxfId="4612" priority="7310">
      <formula>$B2096="Célula Construtiva"</formula>
    </cfRule>
    <cfRule type="expression" dxfId="4611" priority="7311">
      <formula>$B2096="Subetapa"</formula>
    </cfRule>
  </conditionalFormatting>
  <conditionalFormatting sqref="V2094:V2095">
    <cfRule type="expression" dxfId="4610" priority="7298" stopIfTrue="1">
      <formula>$B2094="insumo"</formula>
    </cfRule>
  </conditionalFormatting>
  <conditionalFormatting sqref="V2094:V2095">
    <cfRule type="expression" dxfId="4609" priority="7299">
      <formula>$B2094="Unidade Construtiva"</formula>
    </cfRule>
    <cfRule type="expression" dxfId="4608" priority="7300">
      <formula>$B2094="Serviço"</formula>
    </cfRule>
    <cfRule type="expression" dxfId="4607" priority="7301">
      <formula>$B2094="Insumo"</formula>
    </cfRule>
    <cfRule type="expression" dxfId="4606" priority="7302">
      <formula>$B2094="Etapa"</formula>
    </cfRule>
    <cfRule type="expression" dxfId="4605" priority="7303">
      <formula>$B2094="Célula Construtiva"</formula>
    </cfRule>
    <cfRule type="expression" dxfId="4604" priority="7304">
      <formula>$B2094="Subetapa"</formula>
    </cfRule>
  </conditionalFormatting>
  <conditionalFormatting sqref="V2097">
    <cfRule type="expression" dxfId="4603" priority="7292">
      <formula>$B2097="Unidade Construtiva"</formula>
    </cfRule>
    <cfRule type="expression" dxfId="4602" priority="7293">
      <formula>$B2097="Serviço"</formula>
    </cfRule>
    <cfRule type="expression" dxfId="4601" priority="7294">
      <formula>$B2097="Insumo"</formula>
    </cfRule>
    <cfRule type="expression" dxfId="4600" priority="7295">
      <formula>$B2097="Etapa"</formula>
    </cfRule>
    <cfRule type="expression" dxfId="4599" priority="7296">
      <formula>$B2097="Célula Construtiva"</formula>
    </cfRule>
    <cfRule type="expression" dxfId="4598" priority="7297">
      <formula>$B2097="Subetapa"</formula>
    </cfRule>
  </conditionalFormatting>
  <conditionalFormatting sqref="V269">
    <cfRule type="expression" dxfId="4597" priority="7283" stopIfTrue="1">
      <formula>$B269="insumo"</formula>
    </cfRule>
  </conditionalFormatting>
  <conditionalFormatting sqref="AA269 T269">
    <cfRule type="expression" dxfId="4596" priority="7282" stopIfTrue="1">
      <formula>$B269="SERVIÇO"</formula>
    </cfRule>
  </conditionalFormatting>
  <conditionalFormatting sqref="AE269:AF269 A269:E269 V269 AA269:AC269 G269:T269">
    <cfRule type="expression" dxfId="4595" priority="7284">
      <formula>$B269="Unidade Construtiva"</formula>
    </cfRule>
    <cfRule type="expression" dxfId="4594" priority="7285">
      <formula>$B269="Serviço"</formula>
    </cfRule>
    <cfRule type="expression" dxfId="4593" priority="7286">
      <formula>$B269="Insumo"</formula>
    </cfRule>
    <cfRule type="expression" dxfId="4592" priority="7287">
      <formula>$B269="Etapa"</formula>
    </cfRule>
    <cfRule type="expression" dxfId="4591" priority="7288">
      <formula>$B269="Célula Construtiva"</formula>
    </cfRule>
    <cfRule type="expression" dxfId="4590" priority="7289">
      <formula>$B269="Subetapa"</formula>
    </cfRule>
  </conditionalFormatting>
  <conditionalFormatting sqref="T269">
    <cfRule type="expression" dxfId="4589" priority="7281" stopIfTrue="1">
      <formula>$B269="INSUMO"</formula>
    </cfRule>
  </conditionalFormatting>
  <conditionalFormatting sqref="V1198">
    <cfRule type="expression" dxfId="4588" priority="7272" stopIfTrue="1">
      <formula>$B1198="insumo"</formula>
    </cfRule>
  </conditionalFormatting>
  <conditionalFormatting sqref="AA1198 T1198">
    <cfRule type="expression" dxfId="4587" priority="7271" stopIfTrue="1">
      <formula>$B1198="SERVIÇO"</formula>
    </cfRule>
  </conditionalFormatting>
  <conditionalFormatting sqref="AE1198:AF1198 A1198:E1198 V1198 AA1198:AC1198 G1198:T1198">
    <cfRule type="expression" dxfId="4586" priority="7273">
      <formula>$B1198="Unidade Construtiva"</formula>
    </cfRule>
    <cfRule type="expression" dxfId="4585" priority="7274">
      <formula>$B1198="Serviço"</formula>
    </cfRule>
    <cfRule type="expression" dxfId="4584" priority="7275">
      <formula>$B1198="Insumo"</formula>
    </cfRule>
    <cfRule type="expression" dxfId="4583" priority="7276">
      <formula>$B1198="Etapa"</formula>
    </cfRule>
    <cfRule type="expression" dxfId="4582" priority="7277">
      <formula>$B1198="Célula Construtiva"</formula>
    </cfRule>
    <cfRule type="expression" dxfId="4581" priority="7278">
      <formula>$B1198="Subetapa"</formula>
    </cfRule>
  </conditionalFormatting>
  <conditionalFormatting sqref="T1198">
    <cfRule type="expression" dxfId="4580" priority="7270" stopIfTrue="1">
      <formula>$B1198="INSUMO"</formula>
    </cfRule>
  </conditionalFormatting>
  <conditionalFormatting sqref="V1209">
    <cfRule type="expression" dxfId="4579" priority="7250" stopIfTrue="1">
      <formula>$B1209="insumo"</formula>
    </cfRule>
  </conditionalFormatting>
  <conditionalFormatting sqref="AA1209 T1209">
    <cfRule type="expression" dxfId="4578" priority="7249" stopIfTrue="1">
      <formula>$B1209="SERVIÇO"</formula>
    </cfRule>
  </conditionalFormatting>
  <conditionalFormatting sqref="AE1209:AF1209 A1209:E1209 V1209 AA1209:AC1209 G1209:T1209">
    <cfRule type="expression" dxfId="4577" priority="7251">
      <formula>$B1209="Unidade Construtiva"</formula>
    </cfRule>
    <cfRule type="expression" dxfId="4576" priority="7252">
      <formula>$B1209="Serviço"</formula>
    </cfRule>
    <cfRule type="expression" dxfId="4575" priority="7253">
      <formula>$B1209="Insumo"</formula>
    </cfRule>
    <cfRule type="expression" dxfId="4574" priority="7254">
      <formula>$B1209="Etapa"</formula>
    </cfRule>
    <cfRule type="expression" dxfId="4573" priority="7255">
      <formula>$B1209="Célula Construtiva"</formula>
    </cfRule>
    <cfRule type="expression" dxfId="4572" priority="7256">
      <formula>$B1209="Subetapa"</formula>
    </cfRule>
  </conditionalFormatting>
  <conditionalFormatting sqref="T1209">
    <cfRule type="expression" dxfId="4571" priority="7248" stopIfTrue="1">
      <formula>$B1209="INSUMO"</formula>
    </cfRule>
  </conditionalFormatting>
  <conditionalFormatting sqref="V270">
    <cfRule type="expression" dxfId="4570" priority="7239" stopIfTrue="1">
      <formula>$B270="insumo"</formula>
    </cfRule>
  </conditionalFormatting>
  <conditionalFormatting sqref="AA270 T270">
    <cfRule type="expression" dxfId="4569" priority="7238" stopIfTrue="1">
      <formula>$B270="SERVIÇO"</formula>
    </cfRule>
  </conditionalFormatting>
  <conditionalFormatting sqref="AE270:AF270 A270:E270 V270 AA270:AC270 G270:T270">
    <cfRule type="expression" dxfId="4568" priority="7240">
      <formula>$B270="Unidade Construtiva"</formula>
    </cfRule>
    <cfRule type="expression" dxfId="4567" priority="7241">
      <formula>$B270="Serviço"</formula>
    </cfRule>
    <cfRule type="expression" dxfId="4566" priority="7242">
      <formula>$B270="Insumo"</formula>
    </cfRule>
    <cfRule type="expression" dxfId="4565" priority="7243">
      <formula>$B270="Etapa"</formula>
    </cfRule>
    <cfRule type="expression" dxfId="4564" priority="7244">
      <formula>$B270="Célula Construtiva"</formula>
    </cfRule>
    <cfRule type="expression" dxfId="4563" priority="7245">
      <formula>$B270="Subetapa"</formula>
    </cfRule>
  </conditionalFormatting>
  <conditionalFormatting sqref="T270">
    <cfRule type="expression" dxfId="4562" priority="7237" stopIfTrue="1">
      <formula>$B270="INSUMO"</formula>
    </cfRule>
  </conditionalFormatting>
  <conditionalFormatting sqref="V119 V122">
    <cfRule type="expression" dxfId="4561" priority="7111" stopIfTrue="1">
      <formula>$B119="insumo"</formula>
    </cfRule>
  </conditionalFormatting>
  <conditionalFormatting sqref="AA119 T122 AA122">
    <cfRule type="expression" dxfId="4560" priority="7110" stopIfTrue="1">
      <formula>$B119="SERVIÇO"</formula>
    </cfRule>
  </conditionalFormatting>
  <conditionalFormatting sqref="AE119:AF119 A119:E119 A122:E122 AE122:AF122 V122 AA122:AC122 V119:AC119 G122:T122 G119:S119">
    <cfRule type="expression" dxfId="4559" priority="7112">
      <formula>$B119="Unidade Construtiva"</formula>
    </cfRule>
    <cfRule type="expression" dxfId="4558" priority="7113">
      <formula>$B119="Serviço"</formula>
    </cfRule>
    <cfRule type="expression" dxfId="4557" priority="7114">
      <formula>$B119="Insumo"</formula>
    </cfRule>
    <cfRule type="expression" dxfId="4556" priority="7115">
      <formula>$B119="Etapa"</formula>
    </cfRule>
    <cfRule type="expression" dxfId="4555" priority="7116">
      <formula>$B119="Célula Construtiva"</formula>
    </cfRule>
    <cfRule type="expression" dxfId="4554" priority="7117">
      <formula>$B119="Subetapa"</formula>
    </cfRule>
  </conditionalFormatting>
  <conditionalFormatting sqref="T122">
    <cfRule type="expression" dxfId="4553" priority="7109" stopIfTrue="1">
      <formula>$B122="INSUMO"</formula>
    </cfRule>
  </conditionalFormatting>
  <conditionalFormatting sqref="W119">
    <cfRule type="containsText" dxfId="4552" priority="7108" stopIfTrue="1" operator="containsText" text="INSERIR">
      <formula>NOT(ISERROR(SEARCH("INSERIR",W119)))</formula>
    </cfRule>
  </conditionalFormatting>
  <conditionalFormatting sqref="V120">
    <cfRule type="expression" dxfId="4551" priority="7100" stopIfTrue="1">
      <formula>$B120="insumo"</formula>
    </cfRule>
  </conditionalFormatting>
  <conditionalFormatting sqref="AA120 T120">
    <cfRule type="expression" dxfId="4550" priority="7099" stopIfTrue="1">
      <formula>$B120="SERVIÇO"</formula>
    </cfRule>
  </conditionalFormatting>
  <conditionalFormatting sqref="AE120:AF120 A120:E120 V120 AA120:AC120 G120:T120">
    <cfRule type="expression" dxfId="4549" priority="7101">
      <formula>$B120="Unidade Construtiva"</formula>
    </cfRule>
    <cfRule type="expression" dxfId="4548" priority="7102">
      <formula>$B120="Serviço"</formula>
    </cfRule>
    <cfRule type="expression" dxfId="4547" priority="7103">
      <formula>$B120="Insumo"</formula>
    </cfRule>
    <cfRule type="expression" dxfId="4546" priority="7104">
      <formula>$B120="Etapa"</formula>
    </cfRule>
    <cfRule type="expression" dxfId="4545" priority="7105">
      <formula>$B120="Célula Construtiva"</formula>
    </cfRule>
    <cfRule type="expression" dxfId="4544" priority="7106">
      <formula>$B120="Subetapa"</formula>
    </cfRule>
  </conditionalFormatting>
  <conditionalFormatting sqref="T120">
    <cfRule type="expression" dxfId="4543" priority="7098" stopIfTrue="1">
      <formula>$B120="INSUMO"</formula>
    </cfRule>
  </conditionalFormatting>
  <conditionalFormatting sqref="V114">
    <cfRule type="expression" dxfId="4542" priority="7078" stopIfTrue="1">
      <formula>$B114="insumo"</formula>
    </cfRule>
  </conditionalFormatting>
  <conditionalFormatting sqref="AA114">
    <cfRule type="expression" dxfId="4541" priority="7077" stopIfTrue="1">
      <formula>$B114="SERVIÇO"</formula>
    </cfRule>
  </conditionalFormatting>
  <conditionalFormatting sqref="A114:E114 AE114:AF114 V114 AA114:AC114 S114 G114:Q114">
    <cfRule type="expression" dxfId="4540" priority="7079">
      <formula>$B114="Unidade Construtiva"</formula>
    </cfRule>
    <cfRule type="expression" dxfId="4539" priority="7080">
      <formula>$B114="Serviço"</formula>
    </cfRule>
    <cfRule type="expression" dxfId="4538" priority="7081">
      <formula>$B114="Insumo"</formula>
    </cfRule>
    <cfRule type="expression" dxfId="4537" priority="7082">
      <formula>$B114="Etapa"</formula>
    </cfRule>
    <cfRule type="expression" dxfId="4536" priority="7083">
      <formula>$B114="Célula Construtiva"</formula>
    </cfRule>
    <cfRule type="expression" dxfId="4535" priority="7084">
      <formula>$B114="Subetapa"</formula>
    </cfRule>
  </conditionalFormatting>
  <conditionalFormatting sqref="V126">
    <cfRule type="expression" dxfId="4534" priority="7034" stopIfTrue="1">
      <formula>$B126="insumo"</formula>
    </cfRule>
  </conditionalFormatting>
  <conditionalFormatting sqref="T126 AA126">
    <cfRule type="expression" dxfId="4533" priority="7033" stopIfTrue="1">
      <formula>$B126="SERVIÇO"</formula>
    </cfRule>
  </conditionalFormatting>
  <conditionalFormatting sqref="A126:E126 AE126:AF126 V126 AA126:AC126 G126:T126">
    <cfRule type="expression" dxfId="4532" priority="7035">
      <formula>$B126="Unidade Construtiva"</formula>
    </cfRule>
    <cfRule type="expression" dxfId="4531" priority="7036">
      <formula>$B126="Serviço"</formula>
    </cfRule>
    <cfRule type="expression" dxfId="4530" priority="7037">
      <formula>$B126="Insumo"</formula>
    </cfRule>
    <cfRule type="expression" dxfId="4529" priority="7038">
      <formula>$B126="Etapa"</formula>
    </cfRule>
    <cfRule type="expression" dxfId="4528" priority="7039">
      <formula>$B126="Célula Construtiva"</formula>
    </cfRule>
    <cfRule type="expression" dxfId="4527" priority="7040">
      <formula>$B126="Subetapa"</formula>
    </cfRule>
  </conditionalFormatting>
  <conditionalFormatting sqref="T126">
    <cfRule type="expression" dxfId="4526" priority="7032" stopIfTrue="1">
      <formula>$B126="INSUMO"</formula>
    </cfRule>
  </conditionalFormatting>
  <conditionalFormatting sqref="V124">
    <cfRule type="expression" dxfId="4525" priority="7023" stopIfTrue="1">
      <formula>$B124="insumo"</formula>
    </cfRule>
  </conditionalFormatting>
  <conditionalFormatting sqref="AA124 T124">
    <cfRule type="expression" dxfId="4524" priority="7022" stopIfTrue="1">
      <formula>$B124="SERVIÇO"</formula>
    </cfRule>
  </conditionalFormatting>
  <conditionalFormatting sqref="AE124:AF124 A124:E124 V124 AA124:AC124 G124:T124">
    <cfRule type="expression" dxfId="4523" priority="7024">
      <formula>$B124="Unidade Construtiva"</formula>
    </cfRule>
    <cfRule type="expression" dxfId="4522" priority="7025">
      <formula>$B124="Serviço"</formula>
    </cfRule>
    <cfRule type="expression" dxfId="4521" priority="7026">
      <formula>$B124="Insumo"</formula>
    </cfRule>
    <cfRule type="expression" dxfId="4520" priority="7027">
      <formula>$B124="Etapa"</formula>
    </cfRule>
    <cfRule type="expression" dxfId="4519" priority="7028">
      <formula>$B124="Célula Construtiva"</formula>
    </cfRule>
    <cfRule type="expression" dxfId="4518" priority="7029">
      <formula>$B124="Subetapa"</formula>
    </cfRule>
  </conditionalFormatting>
  <conditionalFormatting sqref="T124">
    <cfRule type="expression" dxfId="4517" priority="7021" stopIfTrue="1">
      <formula>$B124="INSUMO"</formula>
    </cfRule>
  </conditionalFormatting>
  <conditionalFormatting sqref="V473">
    <cfRule type="expression" dxfId="4516" priority="7013" stopIfTrue="1">
      <formula>$B473="insumo"</formula>
    </cfRule>
  </conditionalFormatting>
  <conditionalFormatting sqref="V473">
    <cfRule type="expression" dxfId="4515" priority="7014">
      <formula>$B473="Unidade Construtiva"</formula>
    </cfRule>
    <cfRule type="expression" dxfId="4514" priority="7015">
      <formula>$B473="Serviço"</formula>
    </cfRule>
    <cfRule type="expression" dxfId="4513" priority="7016">
      <formula>$B473="Insumo"</formula>
    </cfRule>
    <cfRule type="expression" dxfId="4512" priority="7017">
      <formula>$B473="Etapa"</formula>
    </cfRule>
    <cfRule type="expression" dxfId="4511" priority="7018">
      <formula>$B473="Célula Construtiva"</formula>
    </cfRule>
    <cfRule type="expression" dxfId="4510" priority="7019">
      <formula>$B473="Subetapa"</formula>
    </cfRule>
  </conditionalFormatting>
  <conditionalFormatting sqref="V564">
    <cfRule type="expression" dxfId="4509" priority="7006" stopIfTrue="1">
      <formula>$B564="insumo"</formula>
    </cfRule>
  </conditionalFormatting>
  <conditionalFormatting sqref="V564">
    <cfRule type="expression" dxfId="4508" priority="7007">
      <formula>$B564="Unidade Construtiva"</formula>
    </cfRule>
    <cfRule type="expression" dxfId="4507" priority="7008">
      <formula>$B564="Serviço"</formula>
    </cfRule>
    <cfRule type="expression" dxfId="4506" priority="7009">
      <formula>$B564="Insumo"</formula>
    </cfRule>
    <cfRule type="expression" dxfId="4505" priority="7010">
      <formula>$B564="Etapa"</formula>
    </cfRule>
    <cfRule type="expression" dxfId="4504" priority="7011">
      <formula>$B564="Célula Construtiva"</formula>
    </cfRule>
    <cfRule type="expression" dxfId="4503" priority="7012">
      <formula>$B564="Subetapa"</formula>
    </cfRule>
  </conditionalFormatting>
  <conditionalFormatting sqref="U1918">
    <cfRule type="expression" dxfId="4502" priority="6992" stopIfTrue="1">
      <formula>$B1918="SERVIÇO"</formula>
    </cfRule>
  </conditionalFormatting>
  <conditionalFormatting sqref="U1918">
    <cfRule type="expression" dxfId="4501" priority="6993">
      <formula>$B1918="Unidade Construtiva"</formula>
    </cfRule>
    <cfRule type="expression" dxfId="4500" priority="6994">
      <formula>$B1918="Serviço"</formula>
    </cfRule>
    <cfRule type="expression" dxfId="4499" priority="6995">
      <formula>$B1918="Insumo"</formula>
    </cfRule>
    <cfRule type="expression" dxfId="4498" priority="6996">
      <formula>$B1918="Etapa"</formula>
    </cfRule>
    <cfRule type="expression" dxfId="4497" priority="6997">
      <formula>$B1918="Célula Construtiva"</formula>
    </cfRule>
    <cfRule type="expression" dxfId="4496" priority="6998">
      <formula>$B1918="Subetapa"</formula>
    </cfRule>
  </conditionalFormatting>
  <conditionalFormatting sqref="U1946">
    <cfRule type="expression" dxfId="4495" priority="6985" stopIfTrue="1">
      <formula>$B1946="SERVIÇO"</formula>
    </cfRule>
  </conditionalFormatting>
  <conditionalFormatting sqref="U1946">
    <cfRule type="expression" dxfId="4494" priority="6986">
      <formula>$B1946="Unidade Construtiva"</formula>
    </cfRule>
    <cfRule type="expression" dxfId="4493" priority="6987">
      <formula>$B1946="Serviço"</formula>
    </cfRule>
    <cfRule type="expression" dxfId="4492" priority="6988">
      <formula>$B1946="Insumo"</formula>
    </cfRule>
    <cfRule type="expression" dxfId="4491" priority="6989">
      <formula>$B1946="Etapa"</formula>
    </cfRule>
    <cfRule type="expression" dxfId="4490" priority="6990">
      <formula>$B1946="Célula Construtiva"</formula>
    </cfRule>
    <cfRule type="expression" dxfId="4489" priority="6991">
      <formula>$B1946="Subetapa"</formula>
    </cfRule>
  </conditionalFormatting>
  <conditionalFormatting sqref="V1885">
    <cfRule type="expression" dxfId="4488" priority="6978" stopIfTrue="1">
      <formula>$B1885="insumo"</formula>
    </cfRule>
  </conditionalFormatting>
  <conditionalFormatting sqref="T1885:V1885">
    <cfRule type="expression" dxfId="4487" priority="6977" stopIfTrue="1">
      <formula>$B1885="SERVIÇO"</formula>
    </cfRule>
  </conditionalFormatting>
  <conditionalFormatting sqref="S1885:V1885">
    <cfRule type="expression" dxfId="4486" priority="6979">
      <formula>$B1885="Unidade Construtiva"</formula>
    </cfRule>
    <cfRule type="expression" dxfId="4485" priority="6980">
      <formula>$B1885="Serviço"</formula>
    </cfRule>
    <cfRule type="expression" dxfId="4484" priority="6981">
      <formula>$B1885="Insumo"</formula>
    </cfRule>
    <cfRule type="expression" dxfId="4483" priority="6982">
      <formula>$B1885="Etapa"</formula>
    </cfRule>
    <cfRule type="expression" dxfId="4482" priority="6983">
      <formula>$B1885="Célula Construtiva"</formula>
    </cfRule>
    <cfRule type="expression" dxfId="4481" priority="6984">
      <formula>$B1885="Subetapa"</formula>
    </cfRule>
  </conditionalFormatting>
  <conditionalFormatting sqref="T1885">
    <cfRule type="expression" dxfId="4480" priority="6976" stopIfTrue="1">
      <formula>$B1885="INSUMO"</formula>
    </cfRule>
  </conditionalFormatting>
  <conditionalFormatting sqref="V1891">
    <cfRule type="expression" dxfId="4479" priority="6896" stopIfTrue="1">
      <formula>$B1891="insumo"</formula>
    </cfRule>
  </conditionalFormatting>
  <conditionalFormatting sqref="AA1891 U1891">
    <cfRule type="expression" dxfId="4478" priority="6895" stopIfTrue="1">
      <formula>$B1891="SERVIÇO"</formula>
    </cfRule>
  </conditionalFormatting>
  <conditionalFormatting sqref="A1891:E1891 AE1891:AF1891 U1891:AC1891 G1891:R1891">
    <cfRule type="expression" dxfId="4477" priority="6897">
      <formula>$B1891="Unidade Construtiva"</formula>
    </cfRule>
    <cfRule type="expression" dxfId="4476" priority="6898">
      <formula>$B1891="Serviço"</formula>
    </cfRule>
    <cfRule type="expression" dxfId="4475" priority="6899">
      <formula>$B1891="Insumo"</formula>
    </cfRule>
    <cfRule type="expression" dxfId="4474" priority="6900">
      <formula>$B1891="Etapa"</formula>
    </cfRule>
    <cfRule type="expression" dxfId="4473" priority="6901">
      <formula>$B1891="Célula Construtiva"</formula>
    </cfRule>
    <cfRule type="expression" dxfId="4472" priority="6902">
      <formula>$B1891="Subetapa"</formula>
    </cfRule>
  </conditionalFormatting>
  <conditionalFormatting sqref="W1891">
    <cfRule type="containsText" dxfId="4471" priority="6894" stopIfTrue="1" operator="containsText" text="INSERIR">
      <formula>NOT(ISERROR(SEARCH("INSERIR",W1891)))</formula>
    </cfRule>
  </conditionalFormatting>
  <conditionalFormatting sqref="S1891">
    <cfRule type="expression" dxfId="4470" priority="6888">
      <formula>$B1891="Unidade Construtiva"</formula>
    </cfRule>
    <cfRule type="expression" dxfId="4469" priority="6889">
      <formula>$B1891="Serviço"</formula>
    </cfRule>
    <cfRule type="expression" dxfId="4468" priority="6890">
      <formula>$B1891="Insumo"</formula>
    </cfRule>
    <cfRule type="expression" dxfId="4467" priority="6891">
      <formula>$B1891="Etapa"</formula>
    </cfRule>
    <cfRule type="expression" dxfId="4466" priority="6892">
      <formula>$B1891="Célula Construtiva"</formula>
    </cfRule>
    <cfRule type="expression" dxfId="4465" priority="6893">
      <formula>$B1891="Subetapa"</formula>
    </cfRule>
  </conditionalFormatting>
  <conditionalFormatting sqref="V1856">
    <cfRule type="expression" dxfId="4464" priority="6800" stopIfTrue="1">
      <formula>$B1856="insumo"</formula>
    </cfRule>
  </conditionalFormatting>
  <conditionalFormatting sqref="U1856 AA1856">
    <cfRule type="expression" dxfId="4463" priority="6799" stopIfTrue="1">
      <formula>$B1856="SERVIÇO"</formula>
    </cfRule>
  </conditionalFormatting>
  <conditionalFormatting sqref="A1856:E1856 AE1856:AF1856 U1856:AC1856 G1856:S1856">
    <cfRule type="expression" dxfId="4462" priority="6801">
      <formula>$B1856="Unidade Construtiva"</formula>
    </cfRule>
    <cfRule type="expression" dxfId="4461" priority="6802">
      <formula>$B1856="Serviço"</formula>
    </cfRule>
    <cfRule type="expression" dxfId="4460" priority="6803">
      <formula>$B1856="Insumo"</formula>
    </cfRule>
    <cfRule type="expression" dxfId="4459" priority="6804">
      <formula>$B1856="Etapa"</formula>
    </cfRule>
    <cfRule type="expression" dxfId="4458" priority="6805">
      <formula>$B1856="Célula Construtiva"</formula>
    </cfRule>
    <cfRule type="expression" dxfId="4457" priority="6806">
      <formula>$B1856="Subetapa"</formula>
    </cfRule>
  </conditionalFormatting>
  <conditionalFormatting sqref="W1856">
    <cfRule type="containsText" dxfId="4456" priority="6797" stopIfTrue="1" operator="containsText" text="INSERIR">
      <formula>NOT(ISERROR(SEARCH("INSERIR",W1856)))</formula>
    </cfRule>
  </conditionalFormatting>
  <conditionalFormatting sqref="W1856">
    <cfRule type="containsText" dxfId="4455" priority="6795" stopIfTrue="1" operator="containsText" text="INSERIR">
      <formula>NOT(ISERROR(SEARCH("INSERIR",W1856)))</formula>
    </cfRule>
  </conditionalFormatting>
  <conditionalFormatting sqref="V1858">
    <cfRule type="expression" dxfId="4454" priority="6787" stopIfTrue="1">
      <formula>$B1858="insumo"</formula>
    </cfRule>
  </conditionalFormatting>
  <conditionalFormatting sqref="T1858:U1858 AA1858">
    <cfRule type="expression" dxfId="4453" priority="6786" stopIfTrue="1">
      <formula>$B1858="SERVIÇO"</formula>
    </cfRule>
  </conditionalFormatting>
  <conditionalFormatting sqref="A1858:E1858 AE1858:AF1858 G1858:AC1858">
    <cfRule type="expression" dxfId="4452" priority="6788">
      <formula>$B1858="Unidade Construtiva"</formula>
    </cfRule>
    <cfRule type="expression" dxfId="4451" priority="6789">
      <formula>$B1858="Serviço"</formula>
    </cfRule>
    <cfRule type="expression" dxfId="4450" priority="6790">
      <formula>$B1858="Insumo"</formula>
    </cfRule>
    <cfRule type="expression" dxfId="4449" priority="6791">
      <formula>$B1858="Etapa"</formula>
    </cfRule>
    <cfRule type="expression" dxfId="4448" priority="6792">
      <formula>$B1858="Célula Construtiva"</formula>
    </cfRule>
    <cfRule type="expression" dxfId="4447" priority="6793">
      <formula>$B1858="Subetapa"</formula>
    </cfRule>
  </conditionalFormatting>
  <conditionalFormatting sqref="T1858">
    <cfRule type="expression" dxfId="4446" priority="6785" stopIfTrue="1">
      <formula>$B1858="INSUMO"</formula>
    </cfRule>
  </conditionalFormatting>
  <conditionalFormatting sqref="W1858">
    <cfRule type="containsText" dxfId="4445" priority="6784" stopIfTrue="1" operator="containsText" text="INSERIR">
      <formula>NOT(ISERROR(SEARCH("INSERIR",W1858)))</formula>
    </cfRule>
  </conditionalFormatting>
  <conditionalFormatting sqref="W1858">
    <cfRule type="containsText" dxfId="4444" priority="6782" stopIfTrue="1" operator="containsText" text="INSERIR">
      <formula>NOT(ISERROR(SEARCH("INSERIR",W1858)))</formula>
    </cfRule>
  </conditionalFormatting>
  <conditionalFormatting sqref="V1890">
    <cfRule type="expression" dxfId="4443" priority="6761" stopIfTrue="1">
      <formula>$B1890="insumo"</formula>
    </cfRule>
  </conditionalFormatting>
  <conditionalFormatting sqref="AA1890 T1890:V1890">
    <cfRule type="expression" dxfId="4442" priority="6760" stopIfTrue="1">
      <formula>$B1890="SERVIÇO"</formula>
    </cfRule>
  </conditionalFormatting>
  <conditionalFormatting sqref="AE1890:AF1890 T1890:Z1890">
    <cfRule type="expression" dxfId="4441" priority="6762">
      <formula>$B1890="Unidade Construtiva"</formula>
    </cfRule>
    <cfRule type="expression" dxfId="4440" priority="6763">
      <formula>$B1890="Serviço"</formula>
    </cfRule>
    <cfRule type="expression" dxfId="4439" priority="6764">
      <formula>$B1890="Insumo"</formula>
    </cfRule>
    <cfRule type="expression" dxfId="4438" priority="6765">
      <formula>$B1890="Etapa"</formula>
    </cfRule>
    <cfRule type="expression" dxfId="4437" priority="6766">
      <formula>$B1890="Célula Construtiva"</formula>
    </cfRule>
    <cfRule type="expression" dxfId="4436" priority="6767">
      <formula>$B1890="Subetapa"</formula>
    </cfRule>
  </conditionalFormatting>
  <conditionalFormatting sqref="T1890">
    <cfRule type="expression" dxfId="4435" priority="6759" stopIfTrue="1">
      <formula>$B1890="INSUMO"</formula>
    </cfRule>
  </conditionalFormatting>
  <conditionalFormatting sqref="W1890">
    <cfRule type="containsText" dxfId="4434" priority="6758" stopIfTrue="1" operator="containsText" text="INSERIR">
      <formula>NOT(ISERROR(SEARCH("INSERIR",W1890)))</formula>
    </cfRule>
  </conditionalFormatting>
  <conditionalFormatting sqref="A1890:E1890 AA1890:AC1890 G1890:S1890">
    <cfRule type="expression" dxfId="4433" priority="6752">
      <formula>$B1890="Unidade Construtiva"</formula>
    </cfRule>
    <cfRule type="expression" dxfId="4432" priority="6753">
      <formula>$B1890="Serviço"</formula>
    </cfRule>
    <cfRule type="expression" dxfId="4431" priority="6754">
      <formula>$B1890="Insumo"</formula>
    </cfRule>
    <cfRule type="expression" dxfId="4430" priority="6755">
      <formula>$B1890="Etapa"</formula>
    </cfRule>
    <cfRule type="expression" dxfId="4429" priority="6756">
      <formula>$B1890="Célula Construtiva"</formula>
    </cfRule>
    <cfRule type="expression" dxfId="4428" priority="6757">
      <formula>$B1890="Subetapa"</formula>
    </cfRule>
  </conditionalFormatting>
  <conditionalFormatting sqref="V1889">
    <cfRule type="expression" dxfId="4427" priority="6744" stopIfTrue="1">
      <formula>$B1889="insumo"</formula>
    </cfRule>
  </conditionalFormatting>
  <conditionalFormatting sqref="U1889 AA1889">
    <cfRule type="expression" dxfId="4426" priority="6743" stopIfTrue="1">
      <formula>$B1889="SERVIÇO"</formula>
    </cfRule>
  </conditionalFormatting>
  <conditionalFormatting sqref="A1889:E1889 AE1889:AF1889 U1889:AC1889 G1889:S1889">
    <cfRule type="expression" dxfId="4425" priority="6745">
      <formula>$B1889="Unidade Construtiva"</formula>
    </cfRule>
    <cfRule type="expression" dxfId="4424" priority="6746">
      <formula>$B1889="Serviço"</formula>
    </cfRule>
    <cfRule type="expression" dxfId="4423" priority="6747">
      <formula>$B1889="Insumo"</formula>
    </cfRule>
    <cfRule type="expression" dxfId="4422" priority="6748">
      <formula>$B1889="Etapa"</formula>
    </cfRule>
    <cfRule type="expression" dxfId="4421" priority="6749">
      <formula>$B1889="Célula Construtiva"</formula>
    </cfRule>
    <cfRule type="expression" dxfId="4420" priority="6750">
      <formula>$B1889="Subetapa"</formula>
    </cfRule>
  </conditionalFormatting>
  <conditionalFormatting sqref="W1889">
    <cfRule type="containsText" dxfId="4419" priority="6741" stopIfTrue="1" operator="containsText" text="INSERIR">
      <formula>NOT(ISERROR(SEARCH("INSERIR",W1889)))</formula>
    </cfRule>
  </conditionalFormatting>
  <conditionalFormatting sqref="W1889">
    <cfRule type="containsText" dxfId="4418" priority="6739" stopIfTrue="1" operator="containsText" text="INSERIR">
      <formula>NOT(ISERROR(SEARCH("INSERIR",W1889)))</formula>
    </cfRule>
  </conditionalFormatting>
  <conditionalFormatting sqref="T1891">
    <cfRule type="expression" dxfId="4417" priority="6732" stopIfTrue="1">
      <formula>$B1891="SERVIÇO"</formula>
    </cfRule>
  </conditionalFormatting>
  <conditionalFormatting sqref="T1891">
    <cfRule type="expression" dxfId="4416" priority="6733">
      <formula>$B1891="Unidade Construtiva"</formula>
    </cfRule>
    <cfRule type="expression" dxfId="4415" priority="6734">
      <formula>$B1891="Serviço"</formula>
    </cfRule>
    <cfRule type="expression" dxfId="4414" priority="6735">
      <formula>$B1891="Insumo"</formula>
    </cfRule>
    <cfRule type="expression" dxfId="4413" priority="6736">
      <formula>$B1891="Etapa"</formula>
    </cfRule>
    <cfRule type="expression" dxfId="4412" priority="6737">
      <formula>$B1891="Célula Construtiva"</formula>
    </cfRule>
    <cfRule type="expression" dxfId="4411" priority="6738">
      <formula>$B1891="Subetapa"</formula>
    </cfRule>
  </conditionalFormatting>
  <conditionalFormatting sqref="T1891">
    <cfRule type="expression" dxfId="4410" priority="6731" stopIfTrue="1">
      <formula>$B1891="INSUMO"</formula>
    </cfRule>
  </conditionalFormatting>
  <conditionalFormatting sqref="U1887">
    <cfRule type="expression" dxfId="4409" priority="6724" stopIfTrue="1">
      <formula>$B1887="insumo"</formula>
    </cfRule>
  </conditionalFormatting>
  <conditionalFormatting sqref="U1887">
    <cfRule type="expression" dxfId="4408" priority="6725">
      <formula>$B1887="Unidade Construtiva"</formula>
    </cfRule>
    <cfRule type="expression" dxfId="4407" priority="6726">
      <formula>$B1887="Serviço"</formula>
    </cfRule>
    <cfRule type="expression" dxfId="4406" priority="6727">
      <formula>$B1887="Insumo"</formula>
    </cfRule>
    <cfRule type="expression" dxfId="4405" priority="6728">
      <formula>$B1887="Etapa"</formula>
    </cfRule>
    <cfRule type="expression" dxfId="4404" priority="6729">
      <formula>$B1887="Célula Construtiva"</formula>
    </cfRule>
    <cfRule type="expression" dxfId="4403" priority="6730">
      <formula>$B1887="Subetapa"</formula>
    </cfRule>
  </conditionalFormatting>
  <conditionalFormatting sqref="U1887">
    <cfRule type="expression" dxfId="4402" priority="6723" stopIfTrue="1">
      <formula>$B1887="SERVIÇO"</formula>
    </cfRule>
  </conditionalFormatting>
  <conditionalFormatting sqref="T1889">
    <cfRule type="expression" dxfId="4401" priority="6708" stopIfTrue="1">
      <formula>$B1889="SERVIÇO"</formula>
    </cfRule>
  </conditionalFormatting>
  <conditionalFormatting sqref="T1889">
    <cfRule type="expression" dxfId="4400" priority="6709">
      <formula>$B1889="Unidade Construtiva"</formula>
    </cfRule>
    <cfRule type="expression" dxfId="4399" priority="6710">
      <formula>$B1889="Serviço"</formula>
    </cfRule>
    <cfRule type="expression" dxfId="4398" priority="6711">
      <formula>$B1889="Insumo"</formula>
    </cfRule>
    <cfRule type="expression" dxfId="4397" priority="6712">
      <formula>$B1889="Etapa"</formula>
    </cfRule>
    <cfRule type="expression" dxfId="4396" priority="6713">
      <formula>$B1889="Célula Construtiva"</formula>
    </cfRule>
    <cfRule type="expression" dxfId="4395" priority="6714">
      <formula>$B1889="Subetapa"</formula>
    </cfRule>
  </conditionalFormatting>
  <conditionalFormatting sqref="T1889">
    <cfRule type="expression" dxfId="4394" priority="6707" stopIfTrue="1">
      <formula>$B1889="INSUMO"</formula>
    </cfRule>
  </conditionalFormatting>
  <conditionalFormatting sqref="T1856">
    <cfRule type="expression" dxfId="4393" priority="6700" stopIfTrue="1">
      <formula>$B1856="SERVIÇO"</formula>
    </cfRule>
  </conditionalFormatting>
  <conditionalFormatting sqref="T1856">
    <cfRule type="expression" dxfId="4392" priority="6701">
      <formula>$B1856="Unidade Construtiva"</formula>
    </cfRule>
    <cfRule type="expression" dxfId="4391" priority="6702">
      <formula>$B1856="Serviço"</formula>
    </cfRule>
    <cfRule type="expression" dxfId="4390" priority="6703">
      <formula>$B1856="Insumo"</formula>
    </cfRule>
    <cfRule type="expression" dxfId="4389" priority="6704">
      <formula>$B1856="Etapa"</formula>
    </cfRule>
    <cfRule type="expression" dxfId="4388" priority="6705">
      <formula>$B1856="Célula Construtiva"</formula>
    </cfRule>
    <cfRule type="expression" dxfId="4387" priority="6706">
      <formula>$B1856="Subetapa"</formula>
    </cfRule>
  </conditionalFormatting>
  <conditionalFormatting sqref="T1856">
    <cfRule type="expression" dxfId="4386" priority="6699" stopIfTrue="1">
      <formula>$B1856="INSUMO"</formula>
    </cfRule>
  </conditionalFormatting>
  <conditionalFormatting sqref="S1923">
    <cfRule type="expression" dxfId="4385" priority="6693">
      <formula>$B1923="Unidade Construtiva"</formula>
    </cfRule>
    <cfRule type="expression" dxfId="4384" priority="6694">
      <formula>$B1923="Serviço"</formula>
    </cfRule>
    <cfRule type="expression" dxfId="4383" priority="6695">
      <formula>$B1923="Insumo"</formula>
    </cfRule>
    <cfRule type="expression" dxfId="4382" priority="6696">
      <formula>$B1923="Etapa"</formula>
    </cfRule>
    <cfRule type="expression" dxfId="4381" priority="6697">
      <formula>$B1923="Célula Construtiva"</formula>
    </cfRule>
    <cfRule type="expression" dxfId="4380" priority="6698">
      <formula>$B1923="Subetapa"</formula>
    </cfRule>
  </conditionalFormatting>
  <conditionalFormatting sqref="V1925">
    <cfRule type="expression" dxfId="4379" priority="6685" stopIfTrue="1">
      <formula>$B1925="insumo"</formula>
    </cfRule>
  </conditionalFormatting>
  <conditionalFormatting sqref="U1925 AA1925">
    <cfRule type="expression" dxfId="4378" priority="6684" stopIfTrue="1">
      <formula>$B1925="SERVIÇO"</formula>
    </cfRule>
  </conditionalFormatting>
  <conditionalFormatting sqref="A1925:E1925 AE1925:AF1925 U1925:AC1925 G1925:S1925">
    <cfRule type="expression" dxfId="4377" priority="6686">
      <formula>$B1925="Unidade Construtiva"</formula>
    </cfRule>
    <cfRule type="expression" dxfId="4376" priority="6687">
      <formula>$B1925="Serviço"</formula>
    </cfRule>
    <cfRule type="expression" dxfId="4375" priority="6688">
      <formula>$B1925="Insumo"</formula>
    </cfRule>
    <cfRule type="expression" dxfId="4374" priority="6689">
      <formula>$B1925="Etapa"</formula>
    </cfRule>
    <cfRule type="expression" dxfId="4373" priority="6690">
      <formula>$B1925="Célula Construtiva"</formula>
    </cfRule>
    <cfRule type="expression" dxfId="4372" priority="6691">
      <formula>$B1925="Subetapa"</formula>
    </cfRule>
  </conditionalFormatting>
  <conditionalFormatting sqref="W1925">
    <cfRule type="containsText" dxfId="4371" priority="6683" stopIfTrue="1" operator="containsText" text="INSERIR">
      <formula>NOT(ISERROR(SEARCH("INSERIR",W1925)))</formula>
    </cfRule>
  </conditionalFormatting>
  <conditionalFormatting sqref="W1925">
    <cfRule type="containsText" dxfId="4370" priority="6681" stopIfTrue="1" operator="containsText" text="INSERIR">
      <formula>NOT(ISERROR(SEARCH("INSERIR",W1925)))</formula>
    </cfRule>
  </conditionalFormatting>
  <conditionalFormatting sqref="T1925">
    <cfRule type="expression" dxfId="4369" priority="6674" stopIfTrue="1">
      <formula>$B1925="SERVIÇO"</formula>
    </cfRule>
  </conditionalFormatting>
  <conditionalFormatting sqref="T1925">
    <cfRule type="expression" dxfId="4368" priority="6675">
      <formula>$B1925="Unidade Construtiva"</formula>
    </cfRule>
    <cfRule type="expression" dxfId="4367" priority="6676">
      <formula>$B1925="Serviço"</formula>
    </cfRule>
    <cfRule type="expression" dxfId="4366" priority="6677">
      <formula>$B1925="Insumo"</formula>
    </cfRule>
    <cfRule type="expression" dxfId="4365" priority="6678">
      <formula>$B1925="Etapa"</formula>
    </cfRule>
    <cfRule type="expression" dxfId="4364" priority="6679">
      <formula>$B1925="Célula Construtiva"</formula>
    </cfRule>
    <cfRule type="expression" dxfId="4363" priority="6680">
      <formula>$B1925="Subetapa"</formula>
    </cfRule>
  </conditionalFormatting>
  <conditionalFormatting sqref="T1925">
    <cfRule type="expression" dxfId="4362" priority="6673" stopIfTrue="1">
      <formula>$B1925="INSUMO"</formula>
    </cfRule>
  </conditionalFormatting>
  <conditionalFormatting sqref="V1951">
    <cfRule type="expression" dxfId="4361" priority="6641" stopIfTrue="1">
      <formula>$B1951="insumo"</formula>
    </cfRule>
  </conditionalFormatting>
  <conditionalFormatting sqref="U1951 AA1951">
    <cfRule type="expression" dxfId="4360" priority="6640" stopIfTrue="1">
      <formula>$B1951="SERVIÇO"</formula>
    </cfRule>
  </conditionalFormatting>
  <conditionalFormatting sqref="A1951:E1951 AE1951:AF1951 U1951:AC1951 G1951:S1951">
    <cfRule type="expression" dxfId="4359" priority="6642">
      <formula>$B1951="Unidade Construtiva"</formula>
    </cfRule>
    <cfRule type="expression" dxfId="4358" priority="6643">
      <formula>$B1951="Serviço"</formula>
    </cfRule>
    <cfRule type="expression" dxfId="4357" priority="6644">
      <formula>$B1951="Insumo"</formula>
    </cfRule>
    <cfRule type="expression" dxfId="4356" priority="6645">
      <formula>$B1951="Etapa"</formula>
    </cfRule>
    <cfRule type="expression" dxfId="4355" priority="6646">
      <formula>$B1951="Célula Construtiva"</formula>
    </cfRule>
    <cfRule type="expression" dxfId="4354" priority="6647">
      <formula>$B1951="Subetapa"</formula>
    </cfRule>
  </conditionalFormatting>
  <conditionalFormatting sqref="W1951">
    <cfRule type="containsText" dxfId="4353" priority="6639" stopIfTrue="1" operator="containsText" text="INSERIR">
      <formula>NOT(ISERROR(SEARCH("INSERIR",W1951)))</formula>
    </cfRule>
  </conditionalFormatting>
  <conditionalFormatting sqref="W1951">
    <cfRule type="containsText" dxfId="4352" priority="6637" stopIfTrue="1" operator="containsText" text="INSERIR">
      <formula>NOT(ISERROR(SEARCH("INSERIR",W1951)))</formula>
    </cfRule>
  </conditionalFormatting>
  <conditionalFormatting sqref="T1951">
    <cfRule type="expression" dxfId="4351" priority="6630" stopIfTrue="1">
      <formula>$B1951="SERVIÇO"</formula>
    </cfRule>
  </conditionalFormatting>
  <conditionalFormatting sqref="T1951">
    <cfRule type="expression" dxfId="4350" priority="6631">
      <formula>$B1951="Unidade Construtiva"</formula>
    </cfRule>
    <cfRule type="expression" dxfId="4349" priority="6632">
      <formula>$B1951="Serviço"</formula>
    </cfRule>
    <cfRule type="expression" dxfId="4348" priority="6633">
      <formula>$B1951="Insumo"</formula>
    </cfRule>
    <cfRule type="expression" dxfId="4347" priority="6634">
      <formula>$B1951="Etapa"</formula>
    </cfRule>
    <cfRule type="expression" dxfId="4346" priority="6635">
      <formula>$B1951="Célula Construtiva"</formula>
    </cfRule>
    <cfRule type="expression" dxfId="4345" priority="6636">
      <formula>$B1951="Subetapa"</formula>
    </cfRule>
  </conditionalFormatting>
  <conditionalFormatting sqref="T1951">
    <cfRule type="expression" dxfId="4344" priority="6629" stopIfTrue="1">
      <formula>$B1951="INSUMO"</formula>
    </cfRule>
  </conditionalFormatting>
  <conditionalFormatting sqref="V1953">
    <cfRule type="expression" dxfId="4343" priority="6621" stopIfTrue="1">
      <formula>$B1953="insumo"</formula>
    </cfRule>
  </conditionalFormatting>
  <conditionalFormatting sqref="U1953 AA1953">
    <cfRule type="expression" dxfId="4342" priority="6620" stopIfTrue="1">
      <formula>$B1953="SERVIÇO"</formula>
    </cfRule>
  </conditionalFormatting>
  <conditionalFormatting sqref="A1953:E1953 AE1953:AF1953 U1953:AC1953 G1953:S1953">
    <cfRule type="expression" dxfId="4341" priority="6622">
      <formula>$B1953="Unidade Construtiva"</formula>
    </cfRule>
    <cfRule type="expression" dxfId="4340" priority="6623">
      <formula>$B1953="Serviço"</formula>
    </cfRule>
    <cfRule type="expression" dxfId="4339" priority="6624">
      <formula>$B1953="Insumo"</formula>
    </cfRule>
    <cfRule type="expression" dxfId="4338" priority="6625">
      <formula>$B1953="Etapa"</formula>
    </cfRule>
    <cfRule type="expression" dxfId="4337" priority="6626">
      <formula>$B1953="Célula Construtiva"</formula>
    </cfRule>
    <cfRule type="expression" dxfId="4336" priority="6627">
      <formula>$B1953="Subetapa"</formula>
    </cfRule>
  </conditionalFormatting>
  <conditionalFormatting sqref="W1953">
    <cfRule type="containsText" dxfId="4335" priority="6619" stopIfTrue="1" operator="containsText" text="INSERIR">
      <formula>NOT(ISERROR(SEARCH("INSERIR",W1953)))</formula>
    </cfRule>
  </conditionalFormatting>
  <conditionalFormatting sqref="W1953">
    <cfRule type="containsText" dxfId="4334" priority="6617" stopIfTrue="1" operator="containsText" text="INSERIR">
      <formula>NOT(ISERROR(SEARCH("INSERIR",W1953)))</formula>
    </cfRule>
  </conditionalFormatting>
  <conditionalFormatting sqref="T1953">
    <cfRule type="expression" dxfId="4333" priority="6610" stopIfTrue="1">
      <formula>$B1953="SERVIÇO"</formula>
    </cfRule>
  </conditionalFormatting>
  <conditionalFormatting sqref="T1953">
    <cfRule type="expression" dxfId="4332" priority="6611">
      <formula>$B1953="Unidade Construtiva"</formula>
    </cfRule>
    <cfRule type="expression" dxfId="4331" priority="6612">
      <formula>$B1953="Serviço"</formula>
    </cfRule>
    <cfRule type="expression" dxfId="4330" priority="6613">
      <formula>$B1953="Insumo"</formula>
    </cfRule>
    <cfRule type="expression" dxfId="4329" priority="6614">
      <formula>$B1953="Etapa"</formula>
    </cfRule>
    <cfRule type="expression" dxfId="4328" priority="6615">
      <formula>$B1953="Célula Construtiva"</formula>
    </cfRule>
    <cfRule type="expression" dxfId="4327" priority="6616">
      <formula>$B1953="Subetapa"</formula>
    </cfRule>
  </conditionalFormatting>
  <conditionalFormatting sqref="T1953">
    <cfRule type="expression" dxfId="4326" priority="6609" stopIfTrue="1">
      <formula>$B1953="INSUMO"</formula>
    </cfRule>
  </conditionalFormatting>
  <conditionalFormatting sqref="V1955">
    <cfRule type="expression" dxfId="4325" priority="6601" stopIfTrue="1">
      <formula>$B1955="insumo"</formula>
    </cfRule>
  </conditionalFormatting>
  <conditionalFormatting sqref="U1955 AA1955">
    <cfRule type="expression" dxfId="4324" priority="6600" stopIfTrue="1">
      <formula>$B1955="SERVIÇO"</formula>
    </cfRule>
  </conditionalFormatting>
  <conditionalFormatting sqref="A1955:E1955 AE1955:AF1955 U1955:AC1955 G1955:S1955">
    <cfRule type="expression" dxfId="4323" priority="6602">
      <formula>$B1955="Unidade Construtiva"</formula>
    </cfRule>
    <cfRule type="expression" dxfId="4322" priority="6603">
      <formula>$B1955="Serviço"</formula>
    </cfRule>
    <cfRule type="expression" dxfId="4321" priority="6604">
      <formula>$B1955="Insumo"</formula>
    </cfRule>
    <cfRule type="expression" dxfId="4320" priority="6605">
      <formula>$B1955="Etapa"</formula>
    </cfRule>
    <cfRule type="expression" dxfId="4319" priority="6606">
      <formula>$B1955="Célula Construtiva"</formula>
    </cfRule>
    <cfRule type="expression" dxfId="4318" priority="6607">
      <formula>$B1955="Subetapa"</formula>
    </cfRule>
  </conditionalFormatting>
  <conditionalFormatting sqref="W1955">
    <cfRule type="containsText" dxfId="4317" priority="6599" stopIfTrue="1" operator="containsText" text="INSERIR">
      <formula>NOT(ISERROR(SEARCH("INSERIR",W1955)))</formula>
    </cfRule>
  </conditionalFormatting>
  <conditionalFormatting sqref="W1955">
    <cfRule type="containsText" dxfId="4316" priority="6597" stopIfTrue="1" operator="containsText" text="INSERIR">
      <formula>NOT(ISERROR(SEARCH("INSERIR",W1955)))</formula>
    </cfRule>
  </conditionalFormatting>
  <conditionalFormatting sqref="T1955">
    <cfRule type="expression" dxfId="4315" priority="6590" stopIfTrue="1">
      <formula>$B1955="SERVIÇO"</formula>
    </cfRule>
  </conditionalFormatting>
  <conditionalFormatting sqref="T1955">
    <cfRule type="expression" dxfId="4314" priority="6591">
      <formula>$B1955="Unidade Construtiva"</formula>
    </cfRule>
    <cfRule type="expression" dxfId="4313" priority="6592">
      <formula>$B1955="Serviço"</formula>
    </cfRule>
    <cfRule type="expression" dxfId="4312" priority="6593">
      <formula>$B1955="Insumo"</formula>
    </cfRule>
    <cfRule type="expression" dxfId="4311" priority="6594">
      <formula>$B1955="Etapa"</formula>
    </cfRule>
    <cfRule type="expression" dxfId="4310" priority="6595">
      <formula>$B1955="Célula Construtiva"</formula>
    </cfRule>
    <cfRule type="expression" dxfId="4309" priority="6596">
      <formula>$B1955="Subetapa"</formula>
    </cfRule>
  </conditionalFormatting>
  <conditionalFormatting sqref="T1955">
    <cfRule type="expression" dxfId="4308" priority="6589" stopIfTrue="1">
      <formula>$B1955="INSUMO"</formula>
    </cfRule>
  </conditionalFormatting>
  <conditionalFormatting sqref="T1842 T1851 T1882 T1918 T1946">
    <cfRule type="expression" dxfId="4307" priority="6582" stopIfTrue="1">
      <formula>$B1842="SERVIÇO"</formula>
    </cfRule>
  </conditionalFormatting>
  <conditionalFormatting sqref="T1842 T1851 T1882 T1918 T1946">
    <cfRule type="expression" dxfId="4306" priority="6583">
      <formula>$B1842="Unidade Construtiva"</formula>
    </cfRule>
    <cfRule type="expression" dxfId="4305" priority="6584">
      <formula>$B1842="Serviço"</formula>
    </cfRule>
    <cfRule type="expression" dxfId="4304" priority="6585">
      <formula>$B1842="Insumo"</formula>
    </cfRule>
    <cfRule type="expression" dxfId="4303" priority="6586">
      <formula>$B1842="Etapa"</formula>
    </cfRule>
    <cfRule type="expression" dxfId="4302" priority="6587">
      <formula>$B1842="Célula Construtiva"</formula>
    </cfRule>
    <cfRule type="expression" dxfId="4301" priority="6588">
      <formula>$B1842="Subetapa"</formula>
    </cfRule>
  </conditionalFormatting>
  <conditionalFormatting sqref="T1842 T1851 T1882 T1918 T1946">
    <cfRule type="expression" dxfId="4300" priority="6581" stopIfTrue="1">
      <formula>$B1842="INSUMO"</formula>
    </cfRule>
  </conditionalFormatting>
  <conditionalFormatting sqref="U1142">
    <cfRule type="expression" dxfId="4299" priority="6563" stopIfTrue="1">
      <formula>$B1142="SERVIÇO"</formula>
    </cfRule>
  </conditionalFormatting>
  <conditionalFormatting sqref="U1142">
    <cfRule type="expression" dxfId="4298" priority="6564">
      <formula>$B1142="Unidade Construtiva"</formula>
    </cfRule>
    <cfRule type="expression" dxfId="4297" priority="6565">
      <formula>$B1142="Serviço"</formula>
    </cfRule>
    <cfRule type="expression" dxfId="4296" priority="6566">
      <formula>$B1142="Insumo"</formula>
    </cfRule>
    <cfRule type="expression" dxfId="4295" priority="6567">
      <formula>$B1142="Etapa"</formula>
    </cfRule>
    <cfRule type="expression" dxfId="4294" priority="6568">
      <formula>$B1142="Célula Construtiva"</formula>
    </cfRule>
    <cfRule type="expression" dxfId="4293" priority="6569">
      <formula>$B1142="Subetapa"</formula>
    </cfRule>
  </conditionalFormatting>
  <conditionalFormatting sqref="U1146">
    <cfRule type="expression" dxfId="4292" priority="6556" stopIfTrue="1">
      <formula>$B1146="SERVIÇO"</formula>
    </cfRule>
  </conditionalFormatting>
  <conditionalFormatting sqref="U1146">
    <cfRule type="expression" dxfId="4291" priority="6557">
      <formula>$B1146="Unidade Construtiva"</formula>
    </cfRule>
    <cfRule type="expression" dxfId="4290" priority="6558">
      <formula>$B1146="Serviço"</formula>
    </cfRule>
    <cfRule type="expression" dxfId="4289" priority="6559">
      <formula>$B1146="Insumo"</formula>
    </cfRule>
    <cfRule type="expression" dxfId="4288" priority="6560">
      <formula>$B1146="Etapa"</formula>
    </cfRule>
    <cfRule type="expression" dxfId="4287" priority="6561">
      <formula>$B1146="Célula Construtiva"</formula>
    </cfRule>
    <cfRule type="expression" dxfId="4286" priority="6562">
      <formula>$B1146="Subetapa"</formula>
    </cfRule>
  </conditionalFormatting>
  <conditionalFormatting sqref="U1150">
    <cfRule type="expression" dxfId="4285" priority="6549" stopIfTrue="1">
      <formula>$B1150="SERVIÇO"</formula>
    </cfRule>
  </conditionalFormatting>
  <conditionalFormatting sqref="U1150">
    <cfRule type="expression" dxfId="4284" priority="6550">
      <formula>$B1150="Unidade Construtiva"</formula>
    </cfRule>
    <cfRule type="expression" dxfId="4283" priority="6551">
      <formula>$B1150="Serviço"</formula>
    </cfRule>
    <cfRule type="expression" dxfId="4282" priority="6552">
      <formula>$B1150="Insumo"</formula>
    </cfRule>
    <cfRule type="expression" dxfId="4281" priority="6553">
      <formula>$B1150="Etapa"</formula>
    </cfRule>
    <cfRule type="expression" dxfId="4280" priority="6554">
      <formula>$B1150="Célula Construtiva"</formula>
    </cfRule>
    <cfRule type="expression" dxfId="4279" priority="6555">
      <formula>$B1150="Subetapa"</formula>
    </cfRule>
  </conditionalFormatting>
  <conditionalFormatting sqref="U1154">
    <cfRule type="expression" dxfId="4278" priority="6542" stopIfTrue="1">
      <formula>$B1154="SERVIÇO"</formula>
    </cfRule>
  </conditionalFormatting>
  <conditionalFormatting sqref="U1154">
    <cfRule type="expression" dxfId="4277" priority="6543">
      <formula>$B1154="Unidade Construtiva"</formula>
    </cfRule>
    <cfRule type="expression" dxfId="4276" priority="6544">
      <formula>$B1154="Serviço"</formula>
    </cfRule>
    <cfRule type="expression" dxfId="4275" priority="6545">
      <formula>$B1154="Insumo"</formula>
    </cfRule>
    <cfRule type="expression" dxfId="4274" priority="6546">
      <formula>$B1154="Etapa"</formula>
    </cfRule>
    <cfRule type="expression" dxfId="4273" priority="6547">
      <formula>$B1154="Célula Construtiva"</formula>
    </cfRule>
    <cfRule type="expression" dxfId="4272" priority="6548">
      <formula>$B1154="Subetapa"</formula>
    </cfRule>
  </conditionalFormatting>
  <conditionalFormatting sqref="U1098">
    <cfRule type="expression" dxfId="4271" priority="6535" stopIfTrue="1">
      <formula>$B1098="SERVIÇO"</formula>
    </cfRule>
  </conditionalFormatting>
  <conditionalFormatting sqref="U1098">
    <cfRule type="expression" dxfId="4270" priority="6536">
      <formula>$B1098="Unidade Construtiva"</formula>
    </cfRule>
    <cfRule type="expression" dxfId="4269" priority="6537">
      <formula>$B1098="Serviço"</formula>
    </cfRule>
    <cfRule type="expression" dxfId="4268" priority="6538">
      <formula>$B1098="Insumo"</formula>
    </cfRule>
    <cfRule type="expression" dxfId="4267" priority="6539">
      <formula>$B1098="Etapa"</formula>
    </cfRule>
    <cfRule type="expression" dxfId="4266" priority="6540">
      <formula>$B1098="Célula Construtiva"</formula>
    </cfRule>
    <cfRule type="expression" dxfId="4265" priority="6541">
      <formula>$B1098="Subetapa"</formula>
    </cfRule>
  </conditionalFormatting>
  <conditionalFormatting sqref="U1111">
    <cfRule type="expression" dxfId="4264" priority="6528" stopIfTrue="1">
      <formula>$B1111="SERVIÇO"</formula>
    </cfRule>
  </conditionalFormatting>
  <conditionalFormatting sqref="U1111">
    <cfRule type="expression" dxfId="4263" priority="6529">
      <formula>$B1111="Unidade Construtiva"</formula>
    </cfRule>
    <cfRule type="expression" dxfId="4262" priority="6530">
      <formula>$B1111="Serviço"</formula>
    </cfRule>
    <cfRule type="expression" dxfId="4261" priority="6531">
      <formula>$B1111="Insumo"</formula>
    </cfRule>
    <cfRule type="expression" dxfId="4260" priority="6532">
      <formula>$B1111="Etapa"</formula>
    </cfRule>
    <cfRule type="expression" dxfId="4259" priority="6533">
      <formula>$B1111="Célula Construtiva"</formula>
    </cfRule>
    <cfRule type="expression" dxfId="4258" priority="6534">
      <formula>$B1111="Subetapa"</formula>
    </cfRule>
  </conditionalFormatting>
  <conditionalFormatting sqref="U1124">
    <cfRule type="expression" dxfId="4257" priority="6521" stopIfTrue="1">
      <formula>$B1124="SERVIÇO"</formula>
    </cfRule>
  </conditionalFormatting>
  <conditionalFormatting sqref="U1124">
    <cfRule type="expression" dxfId="4256" priority="6522">
      <formula>$B1124="Unidade Construtiva"</formula>
    </cfRule>
    <cfRule type="expression" dxfId="4255" priority="6523">
      <formula>$B1124="Serviço"</formula>
    </cfRule>
    <cfRule type="expression" dxfId="4254" priority="6524">
      <formula>$B1124="Insumo"</formula>
    </cfRule>
    <cfRule type="expression" dxfId="4253" priority="6525">
      <formula>$B1124="Etapa"</formula>
    </cfRule>
    <cfRule type="expression" dxfId="4252" priority="6526">
      <formula>$B1124="Célula Construtiva"</formula>
    </cfRule>
    <cfRule type="expression" dxfId="4251" priority="6527">
      <formula>$B1124="Subetapa"</formula>
    </cfRule>
  </conditionalFormatting>
  <conditionalFormatting sqref="U1101">
    <cfRule type="expression" dxfId="4250" priority="6514" stopIfTrue="1">
      <formula>$B1101="SERVIÇO"</formula>
    </cfRule>
  </conditionalFormatting>
  <conditionalFormatting sqref="U1101">
    <cfRule type="expression" dxfId="4249" priority="6515">
      <formula>$B1101="Unidade Construtiva"</formula>
    </cfRule>
    <cfRule type="expression" dxfId="4248" priority="6516">
      <formula>$B1101="Serviço"</formula>
    </cfRule>
    <cfRule type="expression" dxfId="4247" priority="6517">
      <formula>$B1101="Insumo"</formula>
    </cfRule>
    <cfRule type="expression" dxfId="4246" priority="6518">
      <formula>$B1101="Etapa"</formula>
    </cfRule>
    <cfRule type="expression" dxfId="4245" priority="6519">
      <formula>$B1101="Célula Construtiva"</formula>
    </cfRule>
    <cfRule type="expression" dxfId="4244" priority="6520">
      <formula>$B1101="Subetapa"</formula>
    </cfRule>
  </conditionalFormatting>
  <conditionalFormatting sqref="U1114">
    <cfRule type="expression" dxfId="4243" priority="6507" stopIfTrue="1">
      <formula>$B1114="SERVIÇO"</formula>
    </cfRule>
  </conditionalFormatting>
  <conditionalFormatting sqref="U1114">
    <cfRule type="expression" dxfId="4242" priority="6508">
      <formula>$B1114="Unidade Construtiva"</formula>
    </cfRule>
    <cfRule type="expression" dxfId="4241" priority="6509">
      <formula>$B1114="Serviço"</formula>
    </cfRule>
    <cfRule type="expression" dxfId="4240" priority="6510">
      <formula>$B1114="Insumo"</formula>
    </cfRule>
    <cfRule type="expression" dxfId="4239" priority="6511">
      <formula>$B1114="Etapa"</formula>
    </cfRule>
    <cfRule type="expression" dxfId="4238" priority="6512">
      <formula>$B1114="Célula Construtiva"</formula>
    </cfRule>
    <cfRule type="expression" dxfId="4237" priority="6513">
      <formula>$B1114="Subetapa"</formula>
    </cfRule>
  </conditionalFormatting>
  <conditionalFormatting sqref="U1127">
    <cfRule type="expression" dxfId="4236" priority="6500" stopIfTrue="1">
      <formula>$B1127="SERVIÇO"</formula>
    </cfRule>
  </conditionalFormatting>
  <conditionalFormatting sqref="U1127">
    <cfRule type="expression" dxfId="4235" priority="6501">
      <formula>$B1127="Unidade Construtiva"</formula>
    </cfRule>
    <cfRule type="expression" dxfId="4234" priority="6502">
      <formula>$B1127="Serviço"</formula>
    </cfRule>
    <cfRule type="expression" dxfId="4233" priority="6503">
      <formula>$B1127="Insumo"</formula>
    </cfRule>
    <cfRule type="expression" dxfId="4232" priority="6504">
      <formula>$B1127="Etapa"</formula>
    </cfRule>
    <cfRule type="expression" dxfId="4231" priority="6505">
      <formula>$B1127="Célula Construtiva"</formula>
    </cfRule>
    <cfRule type="expression" dxfId="4230" priority="6506">
      <formula>$B1127="Subetapa"</formula>
    </cfRule>
  </conditionalFormatting>
  <conditionalFormatting sqref="U1104">
    <cfRule type="expression" dxfId="4229" priority="6493" stopIfTrue="1">
      <formula>$B1104="SERVIÇO"</formula>
    </cfRule>
  </conditionalFormatting>
  <conditionalFormatting sqref="U1104">
    <cfRule type="expression" dxfId="4228" priority="6494">
      <formula>$B1104="Unidade Construtiva"</formula>
    </cfRule>
    <cfRule type="expression" dxfId="4227" priority="6495">
      <formula>$B1104="Serviço"</formula>
    </cfRule>
    <cfRule type="expression" dxfId="4226" priority="6496">
      <formula>$B1104="Insumo"</formula>
    </cfRule>
    <cfRule type="expression" dxfId="4225" priority="6497">
      <formula>$B1104="Etapa"</formula>
    </cfRule>
    <cfRule type="expression" dxfId="4224" priority="6498">
      <formula>$B1104="Célula Construtiva"</formula>
    </cfRule>
    <cfRule type="expression" dxfId="4223" priority="6499">
      <formula>$B1104="Subetapa"</formula>
    </cfRule>
  </conditionalFormatting>
  <conditionalFormatting sqref="U1117">
    <cfRule type="expression" dxfId="4222" priority="6486" stopIfTrue="1">
      <formula>$B1117="SERVIÇO"</formula>
    </cfRule>
  </conditionalFormatting>
  <conditionalFormatting sqref="U1117">
    <cfRule type="expression" dxfId="4221" priority="6487">
      <formula>$B1117="Unidade Construtiva"</formula>
    </cfRule>
    <cfRule type="expression" dxfId="4220" priority="6488">
      <formula>$B1117="Serviço"</formula>
    </cfRule>
    <cfRule type="expression" dxfId="4219" priority="6489">
      <formula>$B1117="Insumo"</formula>
    </cfRule>
    <cfRule type="expression" dxfId="4218" priority="6490">
      <formula>$B1117="Etapa"</formula>
    </cfRule>
    <cfRule type="expression" dxfId="4217" priority="6491">
      <formula>$B1117="Célula Construtiva"</formula>
    </cfRule>
    <cfRule type="expression" dxfId="4216" priority="6492">
      <formula>$B1117="Subetapa"</formula>
    </cfRule>
  </conditionalFormatting>
  <conditionalFormatting sqref="U1130">
    <cfRule type="expression" dxfId="4215" priority="6479" stopIfTrue="1">
      <formula>$B1130="SERVIÇO"</formula>
    </cfRule>
  </conditionalFormatting>
  <conditionalFormatting sqref="U1130">
    <cfRule type="expression" dxfId="4214" priority="6480">
      <formula>$B1130="Unidade Construtiva"</formula>
    </cfRule>
    <cfRule type="expression" dxfId="4213" priority="6481">
      <formula>$B1130="Serviço"</formula>
    </cfRule>
    <cfRule type="expression" dxfId="4212" priority="6482">
      <formula>$B1130="Insumo"</formula>
    </cfRule>
    <cfRule type="expression" dxfId="4211" priority="6483">
      <formula>$B1130="Etapa"</formula>
    </cfRule>
    <cfRule type="expression" dxfId="4210" priority="6484">
      <formula>$B1130="Célula Construtiva"</formula>
    </cfRule>
    <cfRule type="expression" dxfId="4209" priority="6485">
      <formula>$B1130="Subetapa"</formula>
    </cfRule>
  </conditionalFormatting>
  <conditionalFormatting sqref="V478:V480">
    <cfRule type="expression" dxfId="4208" priority="5659" stopIfTrue="1">
      <formula>$B478="insumo"</formula>
    </cfRule>
  </conditionalFormatting>
  <conditionalFormatting sqref="V478:V480">
    <cfRule type="expression" dxfId="4207" priority="5660">
      <formula>$B478="Unidade Construtiva"</formula>
    </cfRule>
    <cfRule type="expression" dxfId="4206" priority="5661">
      <formula>$B478="Serviço"</formula>
    </cfRule>
    <cfRule type="expression" dxfId="4205" priority="5662">
      <formula>$B478="Insumo"</formula>
    </cfRule>
    <cfRule type="expression" dxfId="4204" priority="5663">
      <formula>$B478="Etapa"</formula>
    </cfRule>
    <cfRule type="expression" dxfId="4203" priority="5664">
      <formula>$B478="Célula Construtiva"</formula>
    </cfRule>
    <cfRule type="expression" dxfId="4202" priority="5665">
      <formula>$B478="Subetapa"</formula>
    </cfRule>
  </conditionalFormatting>
  <conditionalFormatting sqref="V569:V571">
    <cfRule type="expression" dxfId="4201" priority="5652" stopIfTrue="1">
      <formula>$B569="insumo"</formula>
    </cfRule>
  </conditionalFormatting>
  <conditionalFormatting sqref="V569:V571">
    <cfRule type="expression" dxfId="4200" priority="5653">
      <formula>$B569="Unidade Construtiva"</formula>
    </cfRule>
    <cfRule type="expression" dxfId="4199" priority="5654">
      <formula>$B569="Serviço"</formula>
    </cfRule>
    <cfRule type="expression" dxfId="4198" priority="5655">
      <formula>$B569="Insumo"</formula>
    </cfRule>
    <cfRule type="expression" dxfId="4197" priority="5656">
      <formula>$B569="Etapa"</formula>
    </cfRule>
    <cfRule type="expression" dxfId="4196" priority="5657">
      <formula>$B569="Célula Construtiva"</formula>
    </cfRule>
    <cfRule type="expression" dxfId="4195" priority="5658">
      <formula>$B569="Subetapa"</formula>
    </cfRule>
  </conditionalFormatting>
  <conditionalFormatting sqref="V642:V644">
    <cfRule type="expression" dxfId="4194" priority="5645" stopIfTrue="1">
      <formula>$B642="insumo"</formula>
    </cfRule>
  </conditionalFormatting>
  <conditionalFormatting sqref="V642:V644">
    <cfRule type="expression" dxfId="4193" priority="5646">
      <formula>$B642="Unidade Construtiva"</formula>
    </cfRule>
    <cfRule type="expression" dxfId="4192" priority="5647">
      <formula>$B642="Serviço"</formula>
    </cfRule>
    <cfRule type="expression" dxfId="4191" priority="5648">
      <formula>$B642="Insumo"</formula>
    </cfRule>
    <cfRule type="expression" dxfId="4190" priority="5649">
      <formula>$B642="Etapa"</formula>
    </cfRule>
    <cfRule type="expression" dxfId="4189" priority="5650">
      <formula>$B642="Célula Construtiva"</formula>
    </cfRule>
    <cfRule type="expression" dxfId="4188" priority="5651">
      <formula>$B642="Subetapa"</formula>
    </cfRule>
  </conditionalFormatting>
  <conditionalFormatting sqref="T393:U393">
    <cfRule type="expression" dxfId="4187" priority="5638" stopIfTrue="1">
      <formula>$B393="SERVIÇO"</formula>
    </cfRule>
  </conditionalFormatting>
  <conditionalFormatting sqref="T393:U393 W393:Z393">
    <cfRule type="expression" dxfId="4186" priority="5639">
      <formula>$B393="Unidade Construtiva"</formula>
    </cfRule>
    <cfRule type="expression" dxfId="4185" priority="5640">
      <formula>$B393="Serviço"</formula>
    </cfRule>
    <cfRule type="expression" dxfId="4184" priority="5641">
      <formula>$B393="Insumo"</formula>
    </cfRule>
    <cfRule type="expression" dxfId="4183" priority="5642">
      <formula>$B393="Etapa"</formula>
    </cfRule>
    <cfRule type="expression" dxfId="4182" priority="5643">
      <formula>$B393="Célula Construtiva"</formula>
    </cfRule>
    <cfRule type="expression" dxfId="4181" priority="5644">
      <formula>$B393="Subetapa"</formula>
    </cfRule>
  </conditionalFormatting>
  <conditionalFormatting sqref="T393">
    <cfRule type="expression" dxfId="4180" priority="5637" stopIfTrue="1">
      <formula>$B393="INSUMO"</formula>
    </cfRule>
  </conditionalFormatting>
  <conditionalFormatting sqref="W393">
    <cfRule type="containsText" dxfId="4179" priority="5636" stopIfTrue="1" operator="containsText" text="INSERIR">
      <formula>NOT(ISERROR(SEARCH("INSERIR",W393)))</formula>
    </cfRule>
  </conditionalFormatting>
  <conditionalFormatting sqref="V393">
    <cfRule type="expression" dxfId="4178" priority="5628" stopIfTrue="1">
      <formula>$B393="insumo"</formula>
    </cfRule>
  </conditionalFormatting>
  <conditionalFormatting sqref="AA393">
    <cfRule type="expression" dxfId="4177" priority="5627" stopIfTrue="1">
      <formula>$B393="SERVIÇO"</formula>
    </cfRule>
  </conditionalFormatting>
  <conditionalFormatting sqref="AE393:AF393 A393:E393 V393 AA393:AC393 G393:S393">
    <cfRule type="expression" dxfId="4176" priority="5629">
      <formula>$B393="Unidade Construtiva"</formula>
    </cfRule>
    <cfRule type="expression" dxfId="4175" priority="5630">
      <formula>$B393="Serviço"</formula>
    </cfRule>
    <cfRule type="expression" dxfId="4174" priority="5631">
      <formula>$B393="Insumo"</formula>
    </cfRule>
    <cfRule type="expression" dxfId="4173" priority="5632">
      <formula>$B393="Etapa"</formula>
    </cfRule>
    <cfRule type="expression" dxfId="4172" priority="5633">
      <formula>$B393="Célula Construtiva"</formula>
    </cfRule>
    <cfRule type="expression" dxfId="4171" priority="5634">
      <formula>$B393="Subetapa"</formula>
    </cfRule>
  </conditionalFormatting>
  <conditionalFormatting sqref="T294:U294">
    <cfRule type="expression" dxfId="4170" priority="5620" stopIfTrue="1">
      <formula>$B294="SERVIÇO"</formula>
    </cfRule>
  </conditionalFormatting>
  <conditionalFormatting sqref="T294:U294 W294:Z294">
    <cfRule type="expression" dxfId="4169" priority="5621">
      <formula>$B294="Unidade Construtiva"</formula>
    </cfRule>
    <cfRule type="expression" dxfId="4168" priority="5622">
      <formula>$B294="Serviço"</formula>
    </cfRule>
    <cfRule type="expression" dxfId="4167" priority="5623">
      <formula>$B294="Insumo"</formula>
    </cfRule>
    <cfRule type="expression" dxfId="4166" priority="5624">
      <formula>$B294="Etapa"</formula>
    </cfRule>
    <cfRule type="expression" dxfId="4165" priority="5625">
      <formula>$B294="Célula Construtiva"</formula>
    </cfRule>
    <cfRule type="expression" dxfId="4164" priority="5626">
      <formula>$B294="Subetapa"</formula>
    </cfRule>
  </conditionalFormatting>
  <conditionalFormatting sqref="T294">
    <cfRule type="expression" dxfId="4163" priority="5619" stopIfTrue="1">
      <formula>$B294="INSUMO"</formula>
    </cfRule>
  </conditionalFormatting>
  <conditionalFormatting sqref="W294">
    <cfRule type="containsText" dxfId="4162" priority="5618" stopIfTrue="1" operator="containsText" text="INSERIR">
      <formula>NOT(ISERROR(SEARCH("INSERIR",W294)))</formula>
    </cfRule>
  </conditionalFormatting>
  <conditionalFormatting sqref="V294">
    <cfRule type="expression" dxfId="4161" priority="5610" stopIfTrue="1">
      <formula>$B294="insumo"</formula>
    </cfRule>
  </conditionalFormatting>
  <conditionalFormatting sqref="AA294">
    <cfRule type="expression" dxfId="4160" priority="5609" stopIfTrue="1">
      <formula>$B294="SERVIÇO"</formula>
    </cfRule>
  </conditionalFormatting>
  <conditionalFormatting sqref="AE294:AF294 A294:E294 V294 AA294:AC294 G294:S294">
    <cfRule type="expression" dxfId="4159" priority="5611">
      <formula>$B294="Unidade Construtiva"</formula>
    </cfRule>
    <cfRule type="expression" dxfId="4158" priority="5612">
      <formula>$B294="Serviço"</formula>
    </cfRule>
    <cfRule type="expression" dxfId="4157" priority="5613">
      <formula>$B294="Insumo"</formula>
    </cfRule>
    <cfRule type="expression" dxfId="4156" priority="5614">
      <formula>$B294="Etapa"</formula>
    </cfRule>
    <cfRule type="expression" dxfId="4155" priority="5615">
      <formula>$B294="Célula Construtiva"</formula>
    </cfRule>
    <cfRule type="expression" dxfId="4154" priority="5616">
      <formula>$B294="Subetapa"</formula>
    </cfRule>
  </conditionalFormatting>
  <conditionalFormatting sqref="W136">
    <cfRule type="containsText" dxfId="4153" priority="5554" stopIfTrue="1" operator="containsText" text="INSERIR">
      <formula>NOT(ISERROR(SEARCH("INSERIR",W136)))</formula>
    </cfRule>
  </conditionalFormatting>
  <conditionalFormatting sqref="W135">
    <cfRule type="containsText" dxfId="4152" priority="5543" stopIfTrue="1" operator="containsText" text="INSERIR">
      <formula>NOT(ISERROR(SEARCH("INSERIR",W135)))</formula>
    </cfRule>
  </conditionalFormatting>
  <conditionalFormatting sqref="W137:W139">
    <cfRule type="containsText" dxfId="4151" priority="5532" stopIfTrue="1" operator="containsText" text="INSERIR">
      <formula>NOT(ISERROR(SEARCH("INSERIR",W137)))</formula>
    </cfRule>
  </conditionalFormatting>
  <conditionalFormatting sqref="V1201:V1202">
    <cfRule type="expression" dxfId="4150" priority="5496" stopIfTrue="1">
      <formula>$B1201="insumo"</formula>
    </cfRule>
  </conditionalFormatting>
  <conditionalFormatting sqref="AA1201:AA1202 T1202:U1202 U1201">
    <cfRule type="expression" dxfId="4149" priority="5495" stopIfTrue="1">
      <formula>$B1201="SERVIÇO"</formula>
    </cfRule>
  </conditionalFormatting>
  <conditionalFormatting sqref="AE1201:AF1202 A1201:E1202 U1201:AC1201 G1201:S1201 G1202:AC1202">
    <cfRule type="expression" dxfId="4148" priority="5497">
      <formula>$B1201="Unidade Construtiva"</formula>
    </cfRule>
    <cfRule type="expression" dxfId="4147" priority="5498">
      <formula>$B1201="Serviço"</formula>
    </cfRule>
    <cfRule type="expression" dxfId="4146" priority="5499">
      <formula>$B1201="Insumo"</formula>
    </cfRule>
    <cfRule type="expression" dxfId="4145" priority="5500">
      <formula>$B1201="Etapa"</formula>
    </cfRule>
    <cfRule type="expression" dxfId="4144" priority="5501">
      <formula>$B1201="Célula Construtiva"</formula>
    </cfRule>
    <cfRule type="expression" dxfId="4143" priority="5502">
      <formula>$B1201="Subetapa"</formula>
    </cfRule>
  </conditionalFormatting>
  <conditionalFormatting sqref="T1202">
    <cfRule type="expression" dxfId="4142" priority="5494" stopIfTrue="1">
      <formula>$B1202="INSUMO"</formula>
    </cfRule>
  </conditionalFormatting>
  <conditionalFormatting sqref="W1201:W1202">
    <cfRule type="containsText" dxfId="4141" priority="5493" stopIfTrue="1" operator="containsText" text="INSERIR">
      <formula>NOT(ISERROR(SEARCH("INSERIR",W1201)))</formula>
    </cfRule>
  </conditionalFormatting>
  <conditionalFormatting sqref="U1428">
    <cfRule type="expression" dxfId="4140" priority="5486" stopIfTrue="1">
      <formula>$B1428="SERVIÇO"</formula>
    </cfRule>
  </conditionalFormatting>
  <conditionalFormatting sqref="U1428 W1428:Z1428">
    <cfRule type="expression" dxfId="4139" priority="5487">
      <formula>$B1428="Unidade Construtiva"</formula>
    </cfRule>
    <cfRule type="expression" dxfId="4138" priority="5488">
      <formula>$B1428="Serviço"</formula>
    </cfRule>
    <cfRule type="expression" dxfId="4137" priority="5489">
      <formula>$B1428="Insumo"</formula>
    </cfRule>
    <cfRule type="expression" dxfId="4136" priority="5490">
      <formula>$B1428="Etapa"</formula>
    </cfRule>
    <cfRule type="expression" dxfId="4135" priority="5491">
      <formula>$B1428="Célula Construtiva"</formula>
    </cfRule>
    <cfRule type="expression" dxfId="4134" priority="5492">
      <formula>$B1428="Subetapa"</formula>
    </cfRule>
  </conditionalFormatting>
  <conditionalFormatting sqref="W1428">
    <cfRule type="containsText" dxfId="4133" priority="5485" stopIfTrue="1" operator="containsText" text="INSERIR">
      <formula>NOT(ISERROR(SEARCH("INSERIR",W1428)))</formula>
    </cfRule>
  </conditionalFormatting>
  <conditionalFormatting sqref="V1428">
    <cfRule type="expression" dxfId="4132" priority="5477" stopIfTrue="1">
      <formula>$B1428="insumo"</formula>
    </cfRule>
  </conditionalFormatting>
  <conditionalFormatting sqref="AA1428 T1428">
    <cfRule type="expression" dxfId="4131" priority="5476" stopIfTrue="1">
      <formula>$B1428="SERVIÇO"</formula>
    </cfRule>
  </conditionalFormatting>
  <conditionalFormatting sqref="AE1428:AF1428 A1428:E1428 V1428 AA1428:AC1428 T1428 G1428:R1428">
    <cfRule type="expression" dxfId="4130" priority="5478">
      <formula>$B1428="Unidade Construtiva"</formula>
    </cfRule>
    <cfRule type="expression" dxfId="4129" priority="5479">
      <formula>$B1428="Serviço"</formula>
    </cfRule>
    <cfRule type="expression" dxfId="4128" priority="5480">
      <formula>$B1428="Insumo"</formula>
    </cfRule>
    <cfRule type="expression" dxfId="4127" priority="5481">
      <formula>$B1428="Etapa"</formula>
    </cfRule>
    <cfRule type="expression" dxfId="4126" priority="5482">
      <formula>$B1428="Célula Construtiva"</formula>
    </cfRule>
    <cfRule type="expression" dxfId="4125" priority="5483">
      <formula>$B1428="Subetapa"</formula>
    </cfRule>
  </conditionalFormatting>
  <conditionalFormatting sqref="T1428">
    <cfRule type="expression" dxfId="4124" priority="5475" stopIfTrue="1">
      <formula>$B1428="INSUMO"</formula>
    </cfRule>
  </conditionalFormatting>
  <conditionalFormatting sqref="U1446">
    <cfRule type="expression" dxfId="4123" priority="5468" stopIfTrue="1">
      <formula>$B1446="SERVIÇO"</formula>
    </cfRule>
  </conditionalFormatting>
  <conditionalFormatting sqref="U1446 W1446:Z1446">
    <cfRule type="expression" dxfId="4122" priority="5469">
      <formula>$B1446="Unidade Construtiva"</formula>
    </cfRule>
    <cfRule type="expression" dxfId="4121" priority="5470">
      <formula>$B1446="Serviço"</formula>
    </cfRule>
    <cfRule type="expression" dxfId="4120" priority="5471">
      <formula>$B1446="Insumo"</formula>
    </cfRule>
    <cfRule type="expression" dxfId="4119" priority="5472">
      <formula>$B1446="Etapa"</formula>
    </cfRule>
    <cfRule type="expression" dxfId="4118" priority="5473">
      <formula>$B1446="Célula Construtiva"</formula>
    </cfRule>
    <cfRule type="expression" dxfId="4117" priority="5474">
      <formula>$B1446="Subetapa"</formula>
    </cfRule>
  </conditionalFormatting>
  <conditionalFormatting sqref="W1446">
    <cfRule type="containsText" dxfId="4116" priority="5467" stopIfTrue="1" operator="containsText" text="INSERIR">
      <formula>NOT(ISERROR(SEARCH("INSERIR",W1446)))</formula>
    </cfRule>
  </conditionalFormatting>
  <conditionalFormatting sqref="V1446">
    <cfRule type="expression" dxfId="4115" priority="5459" stopIfTrue="1">
      <formula>$B1446="insumo"</formula>
    </cfRule>
  </conditionalFormatting>
  <conditionalFormatting sqref="AA1446 T1446">
    <cfRule type="expression" dxfId="4114" priority="5458" stopIfTrue="1">
      <formula>$B1446="SERVIÇO"</formula>
    </cfRule>
  </conditionalFormatting>
  <conditionalFormatting sqref="AE1446:AF1446 A1446:E1446 V1446 AA1446:AC1446 T1446 G1446:R1446">
    <cfRule type="expression" dxfId="4113" priority="5460">
      <formula>$B1446="Unidade Construtiva"</formula>
    </cfRule>
    <cfRule type="expression" dxfId="4112" priority="5461">
      <formula>$B1446="Serviço"</formula>
    </cfRule>
    <cfRule type="expression" dxfId="4111" priority="5462">
      <formula>$B1446="Insumo"</formula>
    </cfRule>
    <cfRule type="expression" dxfId="4110" priority="5463">
      <formula>$B1446="Etapa"</formula>
    </cfRule>
    <cfRule type="expression" dxfId="4109" priority="5464">
      <formula>$B1446="Célula Construtiva"</formula>
    </cfRule>
    <cfRule type="expression" dxfId="4108" priority="5465">
      <formula>$B1446="Subetapa"</formula>
    </cfRule>
  </conditionalFormatting>
  <conditionalFormatting sqref="T1446">
    <cfRule type="expression" dxfId="4107" priority="5457" stopIfTrue="1">
      <formula>$B1446="INSUMO"</formula>
    </cfRule>
  </conditionalFormatting>
  <conditionalFormatting sqref="U1455">
    <cfRule type="expression" dxfId="4106" priority="5450" stopIfTrue="1">
      <formula>$B1455="SERVIÇO"</formula>
    </cfRule>
  </conditionalFormatting>
  <conditionalFormatting sqref="U1455 W1455:Z1455">
    <cfRule type="expression" dxfId="4105" priority="5451">
      <formula>$B1455="Unidade Construtiva"</formula>
    </cfRule>
    <cfRule type="expression" dxfId="4104" priority="5452">
      <formula>$B1455="Serviço"</formula>
    </cfRule>
    <cfRule type="expression" dxfId="4103" priority="5453">
      <formula>$B1455="Insumo"</formula>
    </cfRule>
    <cfRule type="expression" dxfId="4102" priority="5454">
      <formula>$B1455="Etapa"</formula>
    </cfRule>
    <cfRule type="expression" dxfId="4101" priority="5455">
      <formula>$B1455="Célula Construtiva"</formula>
    </cfRule>
    <cfRule type="expression" dxfId="4100" priority="5456">
      <formula>$B1455="Subetapa"</formula>
    </cfRule>
  </conditionalFormatting>
  <conditionalFormatting sqref="W1455">
    <cfRule type="containsText" dxfId="4099" priority="5449" stopIfTrue="1" operator="containsText" text="INSERIR">
      <formula>NOT(ISERROR(SEARCH("INSERIR",W1455)))</formula>
    </cfRule>
  </conditionalFormatting>
  <conditionalFormatting sqref="V1455">
    <cfRule type="expression" dxfId="4098" priority="5441" stopIfTrue="1">
      <formula>$B1455="insumo"</formula>
    </cfRule>
  </conditionalFormatting>
  <conditionalFormatting sqref="AA1455 T1455">
    <cfRule type="expression" dxfId="4097" priority="5440" stopIfTrue="1">
      <formula>$B1455="SERVIÇO"</formula>
    </cfRule>
  </conditionalFormatting>
  <conditionalFormatting sqref="AE1455:AF1455 A1455:E1455 V1455 AA1455:AC1455 T1455 G1455:R1455">
    <cfRule type="expression" dxfId="4096" priority="5442">
      <formula>$B1455="Unidade Construtiva"</formula>
    </cfRule>
    <cfRule type="expression" dxfId="4095" priority="5443">
      <formula>$B1455="Serviço"</formula>
    </cfRule>
    <cfRule type="expression" dxfId="4094" priority="5444">
      <formula>$B1455="Insumo"</formula>
    </cfRule>
    <cfRule type="expression" dxfId="4093" priority="5445">
      <formula>$B1455="Etapa"</formula>
    </cfRule>
    <cfRule type="expression" dxfId="4092" priority="5446">
      <formula>$B1455="Célula Construtiva"</formula>
    </cfRule>
    <cfRule type="expression" dxfId="4091" priority="5447">
      <formula>$B1455="Subetapa"</formula>
    </cfRule>
  </conditionalFormatting>
  <conditionalFormatting sqref="T1455">
    <cfRule type="expression" dxfId="4090" priority="5439" stopIfTrue="1">
      <formula>$B1455="INSUMO"</formula>
    </cfRule>
  </conditionalFormatting>
  <conditionalFormatting sqref="V1427">
    <cfRule type="expression" dxfId="4089" priority="5431" stopIfTrue="1">
      <formula>$B1427="insumo"</formula>
    </cfRule>
  </conditionalFormatting>
  <conditionalFormatting sqref="AA1427 T1427:U1427">
    <cfRule type="expression" dxfId="4088" priority="5430" stopIfTrue="1">
      <formula>$B1427="SERVIÇO"</formula>
    </cfRule>
  </conditionalFormatting>
  <conditionalFormatting sqref="AE1427:AF1427 A1427:E1427 T1427:AC1427 G1427:R1427">
    <cfRule type="expression" dxfId="4087" priority="5432">
      <formula>$B1427="Unidade Construtiva"</formula>
    </cfRule>
    <cfRule type="expression" dxfId="4086" priority="5433">
      <formula>$B1427="Serviço"</formula>
    </cfRule>
    <cfRule type="expression" dxfId="4085" priority="5434">
      <formula>$B1427="Insumo"</formula>
    </cfRule>
    <cfRule type="expression" dxfId="4084" priority="5435">
      <formula>$B1427="Etapa"</formula>
    </cfRule>
    <cfRule type="expression" dxfId="4083" priority="5436">
      <formula>$B1427="Célula Construtiva"</formula>
    </cfRule>
    <cfRule type="expression" dxfId="4082" priority="5437">
      <formula>$B1427="Subetapa"</formula>
    </cfRule>
  </conditionalFormatting>
  <conditionalFormatting sqref="T1427">
    <cfRule type="expression" dxfId="4081" priority="5429" stopIfTrue="1">
      <formula>$B1427="INSUMO"</formula>
    </cfRule>
  </conditionalFormatting>
  <conditionalFormatting sqref="W1427">
    <cfRule type="containsText" dxfId="4080" priority="5428" stopIfTrue="1" operator="containsText" text="INSERIR">
      <formula>NOT(ISERROR(SEARCH("INSERIR",W1427)))</formula>
    </cfRule>
  </conditionalFormatting>
  <conditionalFormatting sqref="V1445">
    <cfRule type="expression" dxfId="4079" priority="5420" stopIfTrue="1">
      <formula>$B1445="insumo"</formula>
    </cfRule>
  </conditionalFormatting>
  <conditionalFormatting sqref="AA1445 T1445:U1445">
    <cfRule type="expression" dxfId="4078" priority="5419" stopIfTrue="1">
      <formula>$B1445="SERVIÇO"</formula>
    </cfRule>
  </conditionalFormatting>
  <conditionalFormatting sqref="AE1445:AF1445 A1445:E1445 T1445:AC1445 G1445:R1445">
    <cfRule type="expression" dxfId="4077" priority="5421">
      <formula>$B1445="Unidade Construtiva"</formula>
    </cfRule>
    <cfRule type="expression" dxfId="4076" priority="5422">
      <formula>$B1445="Serviço"</formula>
    </cfRule>
    <cfRule type="expression" dxfId="4075" priority="5423">
      <formula>$B1445="Insumo"</formula>
    </cfRule>
    <cfRule type="expression" dxfId="4074" priority="5424">
      <formula>$B1445="Etapa"</formula>
    </cfRule>
    <cfRule type="expression" dxfId="4073" priority="5425">
      <formula>$B1445="Célula Construtiva"</formula>
    </cfRule>
    <cfRule type="expression" dxfId="4072" priority="5426">
      <formula>$B1445="Subetapa"</formula>
    </cfRule>
  </conditionalFormatting>
  <conditionalFormatting sqref="T1445">
    <cfRule type="expression" dxfId="4071" priority="5418" stopIfTrue="1">
      <formula>$B1445="INSUMO"</formula>
    </cfRule>
  </conditionalFormatting>
  <conditionalFormatting sqref="W1445">
    <cfRule type="containsText" dxfId="4070" priority="5417" stopIfTrue="1" operator="containsText" text="INSERIR">
      <formula>NOT(ISERROR(SEARCH("INSERIR",W1445)))</formula>
    </cfRule>
  </conditionalFormatting>
  <conditionalFormatting sqref="V1454">
    <cfRule type="expression" dxfId="4069" priority="5409" stopIfTrue="1">
      <formula>$B1454="insumo"</formula>
    </cfRule>
  </conditionalFormatting>
  <conditionalFormatting sqref="AA1454 T1454:U1454">
    <cfRule type="expression" dxfId="4068" priority="5408" stopIfTrue="1">
      <formula>$B1454="SERVIÇO"</formula>
    </cfRule>
  </conditionalFormatting>
  <conditionalFormatting sqref="AE1454:AF1454 A1454:E1454 T1454:AC1454 G1454:R1454">
    <cfRule type="expression" dxfId="4067" priority="5410">
      <formula>$B1454="Unidade Construtiva"</formula>
    </cfRule>
    <cfRule type="expression" dxfId="4066" priority="5411">
      <formula>$B1454="Serviço"</formula>
    </cfRule>
    <cfRule type="expression" dxfId="4065" priority="5412">
      <formula>$B1454="Insumo"</formula>
    </cfRule>
    <cfRule type="expression" dxfId="4064" priority="5413">
      <formula>$B1454="Etapa"</formula>
    </cfRule>
    <cfRule type="expression" dxfId="4063" priority="5414">
      <formula>$B1454="Célula Construtiva"</formula>
    </cfRule>
    <cfRule type="expression" dxfId="4062" priority="5415">
      <formula>$B1454="Subetapa"</formula>
    </cfRule>
  </conditionalFormatting>
  <conditionalFormatting sqref="T1454">
    <cfRule type="expression" dxfId="4061" priority="5407" stopIfTrue="1">
      <formula>$B1454="INSUMO"</formula>
    </cfRule>
  </conditionalFormatting>
  <conditionalFormatting sqref="W1454">
    <cfRule type="containsText" dxfId="4060" priority="5406" stopIfTrue="1" operator="containsText" text="INSERIR">
      <formula>NOT(ISERROR(SEARCH("INSERIR",W1454)))</formula>
    </cfRule>
  </conditionalFormatting>
  <conditionalFormatting sqref="S1407">
    <cfRule type="expression" dxfId="4059" priority="5388">
      <formula>$B1407="Unidade Construtiva"</formula>
    </cfRule>
    <cfRule type="expression" dxfId="4058" priority="5389">
      <formula>$B1407="Serviço"</formula>
    </cfRule>
    <cfRule type="expression" dxfId="4057" priority="5390">
      <formula>$B1407="Insumo"</formula>
    </cfRule>
    <cfRule type="expression" dxfId="4056" priority="5391">
      <formula>$B1407="Etapa"</formula>
    </cfRule>
    <cfRule type="expression" dxfId="4055" priority="5392">
      <formula>$B1407="Célula Construtiva"</formula>
    </cfRule>
    <cfRule type="expression" dxfId="4054" priority="5393">
      <formula>$B1407="Subetapa"</formula>
    </cfRule>
  </conditionalFormatting>
  <conditionalFormatting sqref="S1408">
    <cfRule type="expression" dxfId="4053" priority="5376">
      <formula>$B1408="Unidade Construtiva"</formula>
    </cfRule>
    <cfRule type="expression" dxfId="4052" priority="5377">
      <formula>$B1408="Serviço"</formula>
    </cfRule>
    <cfRule type="expression" dxfId="4051" priority="5378">
      <formula>$B1408="Insumo"</formula>
    </cfRule>
    <cfRule type="expression" dxfId="4050" priority="5379">
      <formula>$B1408="Etapa"</formula>
    </cfRule>
    <cfRule type="expression" dxfId="4049" priority="5380">
      <formula>$B1408="Célula Construtiva"</formula>
    </cfRule>
    <cfRule type="expression" dxfId="4048" priority="5381">
      <formula>$B1408="Subetapa"</formula>
    </cfRule>
  </conditionalFormatting>
  <conditionalFormatting sqref="S1428">
    <cfRule type="expression" dxfId="4047" priority="5370">
      <formula>$B1428="Unidade Construtiva"</formula>
    </cfRule>
    <cfRule type="expression" dxfId="4046" priority="5371">
      <formula>$B1428="Serviço"</formula>
    </cfRule>
    <cfRule type="expression" dxfId="4045" priority="5372">
      <formula>$B1428="Insumo"</formula>
    </cfRule>
    <cfRule type="expression" dxfId="4044" priority="5373">
      <formula>$B1428="Etapa"</formula>
    </cfRule>
    <cfRule type="expression" dxfId="4043" priority="5374">
      <formula>$B1428="Célula Construtiva"</formula>
    </cfRule>
    <cfRule type="expression" dxfId="4042" priority="5375">
      <formula>$B1428="Subetapa"</formula>
    </cfRule>
  </conditionalFormatting>
  <conditionalFormatting sqref="S1446">
    <cfRule type="expression" dxfId="4041" priority="5364">
      <formula>$B1446="Unidade Construtiva"</formula>
    </cfRule>
    <cfRule type="expression" dxfId="4040" priority="5365">
      <formula>$B1446="Serviço"</formula>
    </cfRule>
    <cfRule type="expression" dxfId="4039" priority="5366">
      <formula>$B1446="Insumo"</formula>
    </cfRule>
    <cfRule type="expression" dxfId="4038" priority="5367">
      <formula>$B1446="Etapa"</formula>
    </cfRule>
    <cfRule type="expression" dxfId="4037" priority="5368">
      <formula>$B1446="Célula Construtiva"</formula>
    </cfRule>
    <cfRule type="expression" dxfId="4036" priority="5369">
      <formula>$B1446="Subetapa"</formula>
    </cfRule>
  </conditionalFormatting>
  <conditionalFormatting sqref="S1455">
    <cfRule type="expression" dxfId="4035" priority="5358">
      <formula>$B1455="Unidade Construtiva"</formula>
    </cfRule>
    <cfRule type="expression" dxfId="4034" priority="5359">
      <formula>$B1455="Serviço"</formula>
    </cfRule>
    <cfRule type="expression" dxfId="4033" priority="5360">
      <formula>$B1455="Insumo"</formula>
    </cfRule>
    <cfRule type="expression" dxfId="4032" priority="5361">
      <formula>$B1455="Etapa"</formula>
    </cfRule>
    <cfRule type="expression" dxfId="4031" priority="5362">
      <formula>$B1455="Célula Construtiva"</formula>
    </cfRule>
    <cfRule type="expression" dxfId="4030" priority="5363">
      <formula>$B1455="Subetapa"</formula>
    </cfRule>
  </conditionalFormatting>
  <conditionalFormatting sqref="V1064:V1065">
    <cfRule type="expression" dxfId="4029" priority="5350" stopIfTrue="1">
      <formula>$B1064="insumo"</formula>
    </cfRule>
  </conditionalFormatting>
  <conditionalFormatting sqref="T1065:U1065 AA1064:AA1065">
    <cfRule type="expression" dxfId="4028" priority="5349" stopIfTrue="1">
      <formula>$B1064="SERVIÇO"</formula>
    </cfRule>
  </conditionalFormatting>
  <conditionalFormatting sqref="T1065:U1065 W1065:Z1065 AE1064:AF1065">
    <cfRule type="expression" dxfId="4027" priority="5351">
      <formula>$B1064="Unidade Construtiva"</formula>
    </cfRule>
    <cfRule type="expression" dxfId="4026" priority="5352">
      <formula>$B1064="Serviço"</formula>
    </cfRule>
    <cfRule type="expression" dxfId="4025" priority="5353">
      <formula>$B1064="Insumo"</formula>
    </cfRule>
    <cfRule type="expression" dxfId="4024" priority="5354">
      <formula>$B1064="Etapa"</formula>
    </cfRule>
    <cfRule type="expression" dxfId="4023" priority="5355">
      <formula>$B1064="Célula Construtiva"</formula>
    </cfRule>
    <cfRule type="expression" dxfId="4022" priority="5356">
      <formula>$B1064="Subetapa"</formula>
    </cfRule>
  </conditionalFormatting>
  <conditionalFormatting sqref="T1065">
    <cfRule type="expression" dxfId="4021" priority="5348" stopIfTrue="1">
      <formula>$B1065="INSUMO"</formula>
    </cfRule>
  </conditionalFormatting>
  <conditionalFormatting sqref="W1065">
    <cfRule type="containsText" dxfId="4020" priority="5347" stopIfTrue="1" operator="containsText" text="INSERIR">
      <formula>NOT(ISERROR(SEARCH("INSERIR",W1065)))</formula>
    </cfRule>
  </conditionalFormatting>
  <conditionalFormatting sqref="T1064:U1064">
    <cfRule type="expression" dxfId="4019" priority="5340" stopIfTrue="1">
      <formula>$B1064="SERVIÇO"</formula>
    </cfRule>
  </conditionalFormatting>
  <conditionalFormatting sqref="A1064:E1065 V1065 AA1065:AC1065 T1064:AC1064 G1065:S1065 G1064:R1064">
    <cfRule type="expression" dxfId="4018" priority="5341">
      <formula>$B1064="Unidade Construtiva"</formula>
    </cfRule>
    <cfRule type="expression" dxfId="4017" priority="5342">
      <formula>$B1064="Serviço"</formula>
    </cfRule>
    <cfRule type="expression" dxfId="4016" priority="5343">
      <formula>$B1064="Insumo"</formula>
    </cfRule>
    <cfRule type="expression" dxfId="4015" priority="5344">
      <formula>$B1064="Etapa"</formula>
    </cfRule>
    <cfRule type="expression" dxfId="4014" priority="5345">
      <formula>$B1064="Célula Construtiva"</formula>
    </cfRule>
    <cfRule type="expression" dxfId="4013" priority="5346">
      <formula>$B1064="Subetapa"</formula>
    </cfRule>
  </conditionalFormatting>
  <conditionalFormatting sqref="T1064">
    <cfRule type="expression" dxfId="4012" priority="5339" stopIfTrue="1">
      <formula>$B1064="INSUMO"</formula>
    </cfRule>
  </conditionalFormatting>
  <conditionalFormatting sqref="W1064">
    <cfRule type="containsText" dxfId="4011" priority="5338" stopIfTrue="1" operator="containsText" text="INSERIR">
      <formula>NOT(ISERROR(SEARCH("INSERIR",W1064)))</formula>
    </cfRule>
  </conditionalFormatting>
  <conditionalFormatting sqref="V1045:V1046">
    <cfRule type="expression" dxfId="4010" priority="5330" stopIfTrue="1">
      <formula>$B1045="insumo"</formula>
    </cfRule>
  </conditionalFormatting>
  <conditionalFormatting sqref="T1046:U1046 AA1045:AA1046">
    <cfRule type="expression" dxfId="4009" priority="5329" stopIfTrue="1">
      <formula>$B1045="SERVIÇO"</formula>
    </cfRule>
  </conditionalFormatting>
  <conditionalFormatting sqref="T1046:U1046 W1046:Z1046 AE1045:AF1046">
    <cfRule type="expression" dxfId="4008" priority="5331">
      <formula>$B1045="Unidade Construtiva"</formula>
    </cfRule>
    <cfRule type="expression" dxfId="4007" priority="5332">
      <formula>$B1045="Serviço"</formula>
    </cfRule>
    <cfRule type="expression" dxfId="4006" priority="5333">
      <formula>$B1045="Insumo"</formula>
    </cfRule>
    <cfRule type="expression" dxfId="4005" priority="5334">
      <formula>$B1045="Etapa"</formula>
    </cfRule>
    <cfRule type="expression" dxfId="4004" priority="5335">
      <formula>$B1045="Célula Construtiva"</formula>
    </cfRule>
    <cfRule type="expression" dxfId="4003" priority="5336">
      <formula>$B1045="Subetapa"</formula>
    </cfRule>
  </conditionalFormatting>
  <conditionalFormatting sqref="T1046">
    <cfRule type="expression" dxfId="4002" priority="5328" stopIfTrue="1">
      <formula>$B1046="INSUMO"</formula>
    </cfRule>
  </conditionalFormatting>
  <conditionalFormatting sqref="W1046">
    <cfRule type="containsText" dxfId="4001" priority="5327" stopIfTrue="1" operator="containsText" text="INSERIR">
      <formula>NOT(ISERROR(SEARCH("INSERIR",W1046)))</formula>
    </cfRule>
  </conditionalFormatting>
  <conditionalFormatting sqref="T1045">
    <cfRule type="expression" dxfId="4000" priority="5320" stopIfTrue="1">
      <formula>$B1045="SERVIÇO"</formula>
    </cfRule>
  </conditionalFormatting>
  <conditionalFormatting sqref="A1045:E1046 V1046 AA1046:AC1046 V1045:AC1045 T1045 G1046:S1046 G1045:R1045">
    <cfRule type="expression" dxfId="3999" priority="5321">
      <formula>$B1045="Unidade Construtiva"</formula>
    </cfRule>
    <cfRule type="expression" dxfId="3998" priority="5322">
      <formula>$B1045="Serviço"</formula>
    </cfRule>
    <cfRule type="expression" dxfId="3997" priority="5323">
      <formula>$B1045="Insumo"</formula>
    </cfRule>
    <cfRule type="expression" dxfId="3996" priority="5324">
      <formula>$B1045="Etapa"</formula>
    </cfRule>
    <cfRule type="expression" dxfId="3995" priority="5325">
      <formula>$B1045="Célula Construtiva"</formula>
    </cfRule>
    <cfRule type="expression" dxfId="3994" priority="5326">
      <formula>$B1045="Subetapa"</formula>
    </cfRule>
  </conditionalFormatting>
  <conditionalFormatting sqref="T1045">
    <cfRule type="expression" dxfId="3993" priority="5319" stopIfTrue="1">
      <formula>$B1045="INSUMO"</formula>
    </cfRule>
  </conditionalFormatting>
  <conditionalFormatting sqref="W1045">
    <cfRule type="containsText" dxfId="3992" priority="5318" stopIfTrue="1" operator="containsText" text="INSERIR">
      <formula>NOT(ISERROR(SEARCH("INSERIR",W1045)))</formula>
    </cfRule>
  </conditionalFormatting>
  <conditionalFormatting sqref="V1026:V1027">
    <cfRule type="expression" dxfId="3991" priority="5310" stopIfTrue="1">
      <formula>$B1026="insumo"</formula>
    </cfRule>
  </conditionalFormatting>
  <conditionalFormatting sqref="T1027:U1027 AA1026:AA1027">
    <cfRule type="expression" dxfId="3990" priority="5309" stopIfTrue="1">
      <formula>$B1026="SERVIÇO"</formula>
    </cfRule>
  </conditionalFormatting>
  <conditionalFormatting sqref="T1027:U1027 W1027:Z1027 AE1026:AF1027">
    <cfRule type="expression" dxfId="3989" priority="5311">
      <formula>$B1026="Unidade Construtiva"</formula>
    </cfRule>
    <cfRule type="expression" dxfId="3988" priority="5312">
      <formula>$B1026="Serviço"</formula>
    </cfRule>
    <cfRule type="expression" dxfId="3987" priority="5313">
      <formula>$B1026="Insumo"</formula>
    </cfRule>
    <cfRule type="expression" dxfId="3986" priority="5314">
      <formula>$B1026="Etapa"</formula>
    </cfRule>
    <cfRule type="expression" dxfId="3985" priority="5315">
      <formula>$B1026="Célula Construtiva"</formula>
    </cfRule>
    <cfRule type="expression" dxfId="3984" priority="5316">
      <formula>$B1026="Subetapa"</formula>
    </cfRule>
  </conditionalFormatting>
  <conditionalFormatting sqref="T1027">
    <cfRule type="expression" dxfId="3983" priority="5308" stopIfTrue="1">
      <formula>$B1027="INSUMO"</formula>
    </cfRule>
  </conditionalFormatting>
  <conditionalFormatting sqref="W1027">
    <cfRule type="containsText" dxfId="3982" priority="5307" stopIfTrue="1" operator="containsText" text="INSERIR">
      <formula>NOT(ISERROR(SEARCH("INSERIR",W1027)))</formula>
    </cfRule>
  </conditionalFormatting>
  <conditionalFormatting sqref="T1026">
    <cfRule type="expression" dxfId="3981" priority="5300" stopIfTrue="1">
      <formula>$B1026="SERVIÇO"</formula>
    </cfRule>
  </conditionalFormatting>
  <conditionalFormatting sqref="A1026:E1027 V1027 AA1027:AC1027 V1026:AC1026 T1026 G1027:S1027 G1026:R1026">
    <cfRule type="expression" dxfId="3980" priority="5301">
      <formula>$B1026="Unidade Construtiva"</formula>
    </cfRule>
    <cfRule type="expression" dxfId="3979" priority="5302">
      <formula>$B1026="Serviço"</formula>
    </cfRule>
    <cfRule type="expression" dxfId="3978" priority="5303">
      <formula>$B1026="Insumo"</formula>
    </cfRule>
    <cfRule type="expression" dxfId="3977" priority="5304">
      <formula>$B1026="Etapa"</formula>
    </cfRule>
    <cfRule type="expression" dxfId="3976" priority="5305">
      <formula>$B1026="Célula Construtiva"</formula>
    </cfRule>
    <cfRule type="expression" dxfId="3975" priority="5306">
      <formula>$B1026="Subetapa"</formula>
    </cfRule>
  </conditionalFormatting>
  <conditionalFormatting sqref="T1026">
    <cfRule type="expression" dxfId="3974" priority="5299" stopIfTrue="1">
      <formula>$B1026="INSUMO"</formula>
    </cfRule>
  </conditionalFormatting>
  <conditionalFormatting sqref="W1026">
    <cfRule type="containsText" dxfId="3973" priority="5298" stopIfTrue="1" operator="containsText" text="INSERIR">
      <formula>NOT(ISERROR(SEARCH("INSERIR",W1026)))</formula>
    </cfRule>
  </conditionalFormatting>
  <conditionalFormatting sqref="V1007:V1008">
    <cfRule type="expression" dxfId="3972" priority="5290" stopIfTrue="1">
      <formula>$B1007="insumo"</formula>
    </cfRule>
  </conditionalFormatting>
  <conditionalFormatting sqref="T1008:U1008 AA1007:AA1008">
    <cfRule type="expression" dxfId="3971" priority="5289" stopIfTrue="1">
      <formula>$B1007="SERVIÇO"</formula>
    </cfRule>
  </conditionalFormatting>
  <conditionalFormatting sqref="T1008:U1008 W1008:Z1008 AE1007:AF1008">
    <cfRule type="expression" dxfId="3970" priority="5291">
      <formula>$B1007="Unidade Construtiva"</formula>
    </cfRule>
    <cfRule type="expression" dxfId="3969" priority="5292">
      <formula>$B1007="Serviço"</formula>
    </cfRule>
    <cfRule type="expression" dxfId="3968" priority="5293">
      <formula>$B1007="Insumo"</formula>
    </cfRule>
    <cfRule type="expression" dxfId="3967" priority="5294">
      <formula>$B1007="Etapa"</formula>
    </cfRule>
    <cfRule type="expression" dxfId="3966" priority="5295">
      <formula>$B1007="Célula Construtiva"</formula>
    </cfRule>
    <cfRule type="expression" dxfId="3965" priority="5296">
      <formula>$B1007="Subetapa"</formula>
    </cfRule>
  </conditionalFormatting>
  <conditionalFormatting sqref="T1008">
    <cfRule type="expression" dxfId="3964" priority="5288" stopIfTrue="1">
      <formula>$B1008="INSUMO"</formula>
    </cfRule>
  </conditionalFormatting>
  <conditionalFormatting sqref="W1008">
    <cfRule type="containsText" dxfId="3963" priority="5287" stopIfTrue="1" operator="containsText" text="INSERIR">
      <formula>NOT(ISERROR(SEARCH("INSERIR",W1008)))</formula>
    </cfRule>
  </conditionalFormatting>
  <conditionalFormatting sqref="T1007">
    <cfRule type="expression" dxfId="3962" priority="5280" stopIfTrue="1">
      <formula>$B1007="SERVIÇO"</formula>
    </cfRule>
  </conditionalFormatting>
  <conditionalFormatting sqref="A1007:E1008 V1008 AA1008:AC1008 V1007:AC1007 T1007 G1008:S1008 G1007:R1007">
    <cfRule type="expression" dxfId="3961" priority="5281">
      <formula>$B1007="Unidade Construtiva"</formula>
    </cfRule>
    <cfRule type="expression" dxfId="3960" priority="5282">
      <formula>$B1007="Serviço"</formula>
    </cfRule>
    <cfRule type="expression" dxfId="3959" priority="5283">
      <formula>$B1007="Insumo"</formula>
    </cfRule>
    <cfRule type="expression" dxfId="3958" priority="5284">
      <formula>$B1007="Etapa"</formula>
    </cfRule>
    <cfRule type="expression" dxfId="3957" priority="5285">
      <formula>$B1007="Célula Construtiva"</formula>
    </cfRule>
    <cfRule type="expression" dxfId="3956" priority="5286">
      <formula>$B1007="Subetapa"</formula>
    </cfRule>
  </conditionalFormatting>
  <conditionalFormatting sqref="T1007">
    <cfRule type="expression" dxfId="3955" priority="5279" stopIfTrue="1">
      <formula>$B1007="INSUMO"</formula>
    </cfRule>
  </conditionalFormatting>
  <conditionalFormatting sqref="W1007">
    <cfRule type="containsText" dxfId="3954" priority="5278" stopIfTrue="1" operator="containsText" text="INSERIR">
      <formula>NOT(ISERROR(SEARCH("INSERIR",W1007)))</formula>
    </cfRule>
  </conditionalFormatting>
  <conditionalFormatting sqref="V988:V989">
    <cfRule type="expression" dxfId="3953" priority="5270" stopIfTrue="1">
      <formula>$B988="insumo"</formula>
    </cfRule>
  </conditionalFormatting>
  <conditionalFormatting sqref="T989:U989 AA988:AA989">
    <cfRule type="expression" dxfId="3952" priority="5269" stopIfTrue="1">
      <formula>$B988="SERVIÇO"</formula>
    </cfRule>
  </conditionalFormatting>
  <conditionalFormatting sqref="T989:U989 W989:Z989 AE988:AF989">
    <cfRule type="expression" dxfId="3951" priority="5271">
      <formula>$B988="Unidade Construtiva"</formula>
    </cfRule>
    <cfRule type="expression" dxfId="3950" priority="5272">
      <formula>$B988="Serviço"</formula>
    </cfRule>
    <cfRule type="expression" dxfId="3949" priority="5273">
      <formula>$B988="Insumo"</formula>
    </cfRule>
    <cfRule type="expression" dxfId="3948" priority="5274">
      <formula>$B988="Etapa"</formula>
    </cfRule>
    <cfRule type="expression" dxfId="3947" priority="5275">
      <formula>$B988="Célula Construtiva"</formula>
    </cfRule>
    <cfRule type="expression" dxfId="3946" priority="5276">
      <formula>$B988="Subetapa"</formula>
    </cfRule>
  </conditionalFormatting>
  <conditionalFormatting sqref="T989">
    <cfRule type="expression" dxfId="3945" priority="5268" stopIfTrue="1">
      <formula>$B989="INSUMO"</formula>
    </cfRule>
  </conditionalFormatting>
  <conditionalFormatting sqref="W989">
    <cfRule type="containsText" dxfId="3944" priority="5267" stopIfTrue="1" operator="containsText" text="INSERIR">
      <formula>NOT(ISERROR(SEARCH("INSERIR",W989)))</formula>
    </cfRule>
  </conditionalFormatting>
  <conditionalFormatting sqref="T988">
    <cfRule type="expression" dxfId="3943" priority="5260" stopIfTrue="1">
      <formula>$B988="SERVIÇO"</formula>
    </cfRule>
  </conditionalFormatting>
  <conditionalFormatting sqref="A988:E989 V989 AA989:AC989 V988:AC988 G989:S989 G988:T988">
    <cfRule type="expression" dxfId="3942" priority="5261">
      <formula>$B988="Unidade Construtiva"</formula>
    </cfRule>
    <cfRule type="expression" dxfId="3941" priority="5262">
      <formula>$B988="Serviço"</formula>
    </cfRule>
    <cfRule type="expression" dxfId="3940" priority="5263">
      <formula>$B988="Insumo"</formula>
    </cfRule>
    <cfRule type="expression" dxfId="3939" priority="5264">
      <formula>$B988="Etapa"</formula>
    </cfRule>
    <cfRule type="expression" dxfId="3938" priority="5265">
      <formula>$B988="Célula Construtiva"</formula>
    </cfRule>
    <cfRule type="expression" dxfId="3937" priority="5266">
      <formula>$B988="Subetapa"</formula>
    </cfRule>
  </conditionalFormatting>
  <conditionalFormatting sqref="T988">
    <cfRule type="expression" dxfId="3936" priority="5259" stopIfTrue="1">
      <formula>$B988="INSUMO"</formula>
    </cfRule>
  </conditionalFormatting>
  <conditionalFormatting sqref="W988">
    <cfRule type="containsText" dxfId="3935" priority="5258" stopIfTrue="1" operator="containsText" text="INSERIR">
      <formula>NOT(ISERROR(SEARCH("INSERIR",W988)))</formula>
    </cfRule>
  </conditionalFormatting>
  <conditionalFormatting sqref="U988">
    <cfRule type="expression" dxfId="3934" priority="5251" stopIfTrue="1">
      <formula>$B988="SERVIÇO"</formula>
    </cfRule>
  </conditionalFormatting>
  <conditionalFormatting sqref="U988">
    <cfRule type="expression" dxfId="3933" priority="5252">
      <formula>$B988="Unidade Construtiva"</formula>
    </cfRule>
    <cfRule type="expression" dxfId="3932" priority="5253">
      <formula>$B988="Serviço"</formula>
    </cfRule>
    <cfRule type="expression" dxfId="3931" priority="5254">
      <formula>$B988="Insumo"</formula>
    </cfRule>
    <cfRule type="expression" dxfId="3930" priority="5255">
      <formula>$B988="Etapa"</formula>
    </cfRule>
    <cfRule type="expression" dxfId="3929" priority="5256">
      <formula>$B988="Célula Construtiva"</formula>
    </cfRule>
    <cfRule type="expression" dxfId="3928" priority="5257">
      <formula>$B988="Subetapa"</formula>
    </cfRule>
  </conditionalFormatting>
  <conditionalFormatting sqref="U1007">
    <cfRule type="expression" dxfId="3927" priority="5244" stopIfTrue="1">
      <formula>$B1007="SERVIÇO"</formula>
    </cfRule>
  </conditionalFormatting>
  <conditionalFormatting sqref="U1007">
    <cfRule type="expression" dxfId="3926" priority="5245">
      <formula>$B1007="Unidade Construtiva"</formula>
    </cfRule>
    <cfRule type="expression" dxfId="3925" priority="5246">
      <formula>$B1007="Serviço"</formula>
    </cfRule>
    <cfRule type="expression" dxfId="3924" priority="5247">
      <formula>$B1007="Insumo"</formula>
    </cfRule>
    <cfRule type="expression" dxfId="3923" priority="5248">
      <formula>$B1007="Etapa"</formula>
    </cfRule>
    <cfRule type="expression" dxfId="3922" priority="5249">
      <formula>$B1007="Célula Construtiva"</formula>
    </cfRule>
    <cfRule type="expression" dxfId="3921" priority="5250">
      <formula>$B1007="Subetapa"</formula>
    </cfRule>
  </conditionalFormatting>
  <conditionalFormatting sqref="U1026">
    <cfRule type="expression" dxfId="3920" priority="5237" stopIfTrue="1">
      <formula>$B1026="SERVIÇO"</formula>
    </cfRule>
  </conditionalFormatting>
  <conditionalFormatting sqref="U1026">
    <cfRule type="expression" dxfId="3919" priority="5238">
      <formula>$B1026="Unidade Construtiva"</formula>
    </cfRule>
    <cfRule type="expression" dxfId="3918" priority="5239">
      <formula>$B1026="Serviço"</formula>
    </cfRule>
    <cfRule type="expression" dxfId="3917" priority="5240">
      <formula>$B1026="Insumo"</formula>
    </cfRule>
    <cfRule type="expression" dxfId="3916" priority="5241">
      <formula>$B1026="Etapa"</formula>
    </cfRule>
    <cfRule type="expression" dxfId="3915" priority="5242">
      <formula>$B1026="Célula Construtiva"</formula>
    </cfRule>
    <cfRule type="expression" dxfId="3914" priority="5243">
      <formula>$B1026="Subetapa"</formula>
    </cfRule>
  </conditionalFormatting>
  <conditionalFormatting sqref="U1045">
    <cfRule type="expression" dxfId="3913" priority="5230" stopIfTrue="1">
      <formula>$B1045="SERVIÇO"</formula>
    </cfRule>
  </conditionalFormatting>
  <conditionalFormatting sqref="U1045">
    <cfRule type="expression" dxfId="3912" priority="5231">
      <formula>$B1045="Unidade Construtiva"</formula>
    </cfRule>
    <cfRule type="expression" dxfId="3911" priority="5232">
      <formula>$B1045="Serviço"</formula>
    </cfRule>
    <cfRule type="expression" dxfId="3910" priority="5233">
      <formula>$B1045="Insumo"</formula>
    </cfRule>
    <cfRule type="expression" dxfId="3909" priority="5234">
      <formula>$B1045="Etapa"</formula>
    </cfRule>
    <cfRule type="expression" dxfId="3908" priority="5235">
      <formula>$B1045="Célula Construtiva"</formula>
    </cfRule>
    <cfRule type="expression" dxfId="3907" priority="5236">
      <formula>$B1045="Subetapa"</formula>
    </cfRule>
  </conditionalFormatting>
  <conditionalFormatting sqref="V175">
    <cfRule type="expression" dxfId="3906" priority="5222" stopIfTrue="1">
      <formula>$B175="insumo"</formula>
    </cfRule>
  </conditionalFormatting>
  <conditionalFormatting sqref="AA175 T175:U175">
    <cfRule type="expression" dxfId="3905" priority="5221" stopIfTrue="1">
      <formula>$B175="SERVIÇO"</formula>
    </cfRule>
  </conditionalFormatting>
  <conditionalFormatting sqref="AE175:AF175 A175:E175 G175:AC175">
    <cfRule type="expression" dxfId="3904" priority="5223">
      <formula>$B175="Unidade Construtiva"</formula>
    </cfRule>
    <cfRule type="expression" dxfId="3903" priority="5224">
      <formula>$B175="Serviço"</formula>
    </cfRule>
    <cfRule type="expression" dxfId="3902" priority="5225">
      <formula>$B175="Insumo"</formula>
    </cfRule>
    <cfRule type="expression" dxfId="3901" priority="5226">
      <formula>$B175="Etapa"</formula>
    </cfRule>
    <cfRule type="expression" dxfId="3900" priority="5227">
      <formula>$B175="Célula Construtiva"</formula>
    </cfRule>
    <cfRule type="expression" dxfId="3899" priority="5228">
      <formula>$B175="Subetapa"</formula>
    </cfRule>
  </conditionalFormatting>
  <conditionalFormatting sqref="T175">
    <cfRule type="expression" dxfId="3898" priority="5220" stopIfTrue="1">
      <formula>$B175="INSUMO"</formula>
    </cfRule>
  </conditionalFormatting>
  <conditionalFormatting sqref="W175">
    <cfRule type="containsText" dxfId="3897" priority="5219" stopIfTrue="1" operator="containsText" text="INSERIR">
      <formula>NOT(ISERROR(SEARCH("INSERIR",W175)))</formula>
    </cfRule>
  </conditionalFormatting>
  <conditionalFormatting sqref="V176">
    <cfRule type="expression" dxfId="3896" priority="5211" stopIfTrue="1">
      <formula>$B176="insumo"</formula>
    </cfRule>
  </conditionalFormatting>
  <conditionalFormatting sqref="AA176 T176:U176">
    <cfRule type="expression" dxfId="3895" priority="5210" stopIfTrue="1">
      <formula>$B176="SERVIÇO"</formula>
    </cfRule>
  </conditionalFormatting>
  <conditionalFormatting sqref="AE176:AF176 A176:E176 G176:AC176">
    <cfRule type="expression" dxfId="3894" priority="5212">
      <formula>$B176="Unidade Construtiva"</formula>
    </cfRule>
    <cfRule type="expression" dxfId="3893" priority="5213">
      <formula>$B176="Serviço"</formula>
    </cfRule>
    <cfRule type="expression" dxfId="3892" priority="5214">
      <formula>$B176="Insumo"</formula>
    </cfRule>
    <cfRule type="expression" dxfId="3891" priority="5215">
      <formula>$B176="Etapa"</formula>
    </cfRule>
    <cfRule type="expression" dxfId="3890" priority="5216">
      <formula>$B176="Célula Construtiva"</formula>
    </cfRule>
    <cfRule type="expression" dxfId="3889" priority="5217">
      <formula>$B176="Subetapa"</formula>
    </cfRule>
  </conditionalFormatting>
  <conditionalFormatting sqref="T176">
    <cfRule type="expression" dxfId="3888" priority="5209" stopIfTrue="1">
      <formula>$B176="INSUMO"</formula>
    </cfRule>
  </conditionalFormatting>
  <conditionalFormatting sqref="W176">
    <cfRule type="containsText" dxfId="3887" priority="5208" stopIfTrue="1" operator="containsText" text="INSERIR">
      <formula>NOT(ISERROR(SEARCH("INSERIR",W176)))</formula>
    </cfRule>
  </conditionalFormatting>
  <conditionalFormatting sqref="W1178:W1179 W1186">
    <cfRule type="containsText" dxfId="3886" priority="5197" stopIfTrue="1" operator="containsText" text="INSERIR">
      <formula>NOT(ISERROR(SEARCH("INSERIR",W1178)))</formula>
    </cfRule>
  </conditionalFormatting>
  <conditionalFormatting sqref="W1180:W1184">
    <cfRule type="containsText" dxfId="3885" priority="5186" stopIfTrue="1" operator="containsText" text="INSERIR">
      <formula>NOT(ISERROR(SEARCH("INSERIR",W1180)))</formula>
    </cfRule>
  </conditionalFormatting>
  <conditionalFormatting sqref="W1185">
    <cfRule type="containsText" dxfId="3884" priority="5175" stopIfTrue="1" operator="containsText" text="INSERIR">
      <formula>NOT(ISERROR(SEARCH("INSERIR",W1185)))</formula>
    </cfRule>
  </conditionalFormatting>
  <conditionalFormatting sqref="V705">
    <cfRule type="expression" dxfId="3883" priority="5098" stopIfTrue="1">
      <formula>$B705="insumo"</formula>
    </cfRule>
  </conditionalFormatting>
  <conditionalFormatting sqref="V705">
    <cfRule type="expression" dxfId="3882" priority="5099">
      <formula>$B705="Unidade Construtiva"</formula>
    </cfRule>
    <cfRule type="expression" dxfId="3881" priority="5100">
      <formula>$B705="Serviço"</formula>
    </cfRule>
    <cfRule type="expression" dxfId="3880" priority="5101">
      <formula>$B705="Insumo"</formula>
    </cfRule>
    <cfRule type="expression" dxfId="3879" priority="5102">
      <formula>$B705="Etapa"</formula>
    </cfRule>
    <cfRule type="expression" dxfId="3878" priority="5103">
      <formula>$B705="Célula Construtiva"</formula>
    </cfRule>
    <cfRule type="expression" dxfId="3877" priority="5104">
      <formula>$B705="Subetapa"</formula>
    </cfRule>
  </conditionalFormatting>
  <conditionalFormatting sqref="V666 V669 V672 V695 V698 V701 V728 V731 V734 V757 V760 V763 V786">
    <cfRule type="expression" dxfId="3876" priority="5077" stopIfTrue="1">
      <formula>$B666="insumo"</formula>
    </cfRule>
  </conditionalFormatting>
  <conditionalFormatting sqref="V666 V669 V672 V695 V698 V701 V728 V731 V734 V757 V760 V763 V786">
    <cfRule type="expression" dxfId="3875" priority="5078">
      <formula>$B666="Unidade Construtiva"</formula>
    </cfRule>
    <cfRule type="expression" dxfId="3874" priority="5079">
      <formula>$B666="Serviço"</formula>
    </cfRule>
    <cfRule type="expression" dxfId="3873" priority="5080">
      <formula>$B666="Insumo"</formula>
    </cfRule>
    <cfRule type="expression" dxfId="3872" priority="5081">
      <formula>$B666="Etapa"</formula>
    </cfRule>
    <cfRule type="expression" dxfId="3871" priority="5082">
      <formula>$B666="Célula Construtiva"</formula>
    </cfRule>
    <cfRule type="expression" dxfId="3870" priority="5083">
      <formula>$B666="Subetapa"</formula>
    </cfRule>
  </conditionalFormatting>
  <conditionalFormatting sqref="V667 V670 V673 V696 V699 V702 V706 V729 V732 V735 V758 V761 V764 V787">
    <cfRule type="expression" dxfId="3869" priority="5042" stopIfTrue="1">
      <formula>$B667="insumo"</formula>
    </cfRule>
  </conditionalFormatting>
  <conditionalFormatting sqref="V667 V670 V673 V696 V699 V702 V706 V729 V732 V735 V758 V761 V764 V787">
    <cfRule type="expression" dxfId="3868" priority="5043">
      <formula>$B667="Unidade Construtiva"</formula>
    </cfRule>
    <cfRule type="expression" dxfId="3867" priority="5044">
      <formula>$B667="Serviço"</formula>
    </cfRule>
    <cfRule type="expression" dxfId="3866" priority="5045">
      <formula>$B667="Insumo"</formula>
    </cfRule>
    <cfRule type="expression" dxfId="3865" priority="5046">
      <formula>$B667="Etapa"</formula>
    </cfRule>
    <cfRule type="expression" dxfId="3864" priority="5047">
      <formula>$B667="Célula Construtiva"</formula>
    </cfRule>
    <cfRule type="expression" dxfId="3863" priority="5048">
      <formula>$B667="Subetapa"</formula>
    </cfRule>
  </conditionalFormatting>
  <conditionalFormatting sqref="S1007">
    <cfRule type="expression" dxfId="3862" priority="5036">
      <formula>$B1007="Unidade Construtiva"</formula>
    </cfRule>
    <cfRule type="expression" dxfId="3861" priority="5037">
      <formula>$B1007="Serviço"</formula>
    </cfRule>
    <cfRule type="expression" dxfId="3860" priority="5038">
      <formula>$B1007="Insumo"</formula>
    </cfRule>
    <cfRule type="expression" dxfId="3859" priority="5039">
      <formula>$B1007="Etapa"</formula>
    </cfRule>
    <cfRule type="expression" dxfId="3858" priority="5040">
      <formula>$B1007="Célula Construtiva"</formula>
    </cfRule>
    <cfRule type="expression" dxfId="3857" priority="5041">
      <formula>$B1007="Subetapa"</formula>
    </cfRule>
  </conditionalFormatting>
  <conditionalFormatting sqref="S1026">
    <cfRule type="expression" dxfId="3856" priority="5030">
      <formula>$B1026="Unidade Construtiva"</formula>
    </cfRule>
    <cfRule type="expression" dxfId="3855" priority="5031">
      <formula>$B1026="Serviço"</formula>
    </cfRule>
    <cfRule type="expression" dxfId="3854" priority="5032">
      <formula>$B1026="Insumo"</formula>
    </cfRule>
    <cfRule type="expression" dxfId="3853" priority="5033">
      <formula>$B1026="Etapa"</formula>
    </cfRule>
    <cfRule type="expression" dxfId="3852" priority="5034">
      <formula>$B1026="Célula Construtiva"</formula>
    </cfRule>
    <cfRule type="expression" dxfId="3851" priority="5035">
      <formula>$B1026="Subetapa"</formula>
    </cfRule>
  </conditionalFormatting>
  <conditionalFormatting sqref="S1045">
    <cfRule type="expression" dxfId="3850" priority="5024">
      <formula>$B1045="Unidade Construtiva"</formula>
    </cfRule>
    <cfRule type="expression" dxfId="3849" priority="5025">
      <formula>$B1045="Serviço"</formula>
    </cfRule>
    <cfRule type="expression" dxfId="3848" priority="5026">
      <formula>$B1045="Insumo"</formula>
    </cfRule>
    <cfRule type="expression" dxfId="3847" priority="5027">
      <formula>$B1045="Etapa"</formula>
    </cfRule>
    <cfRule type="expression" dxfId="3846" priority="5028">
      <formula>$B1045="Célula Construtiva"</formula>
    </cfRule>
    <cfRule type="expression" dxfId="3845" priority="5029">
      <formula>$B1045="Subetapa"</formula>
    </cfRule>
  </conditionalFormatting>
  <conditionalFormatting sqref="S1064">
    <cfRule type="expression" dxfId="3844" priority="5018">
      <formula>$B1064="Unidade Construtiva"</formula>
    </cfRule>
    <cfRule type="expression" dxfId="3843" priority="5019">
      <formula>$B1064="Serviço"</formula>
    </cfRule>
    <cfRule type="expression" dxfId="3842" priority="5020">
      <formula>$B1064="Insumo"</formula>
    </cfRule>
    <cfRule type="expression" dxfId="3841" priority="5021">
      <formula>$B1064="Etapa"</formula>
    </cfRule>
    <cfRule type="expression" dxfId="3840" priority="5022">
      <formula>$B1064="Célula Construtiva"</formula>
    </cfRule>
    <cfRule type="expression" dxfId="3839" priority="5023">
      <formula>$B1064="Subetapa"</formula>
    </cfRule>
  </conditionalFormatting>
  <conditionalFormatting sqref="W154">
    <cfRule type="containsText" dxfId="3838" priority="4978" stopIfTrue="1" operator="containsText" text="INSERIR">
      <formula>NOT(ISERROR(SEARCH("INSERIR",W154)))</formula>
    </cfRule>
  </conditionalFormatting>
  <conditionalFormatting sqref="V97:V101">
    <cfRule type="expression" dxfId="3837" priority="4964" stopIfTrue="1">
      <formula>$B97="insumo"</formula>
    </cfRule>
  </conditionalFormatting>
  <conditionalFormatting sqref="AA97:AA101 T97:U101">
    <cfRule type="expression" dxfId="3836" priority="4963" stopIfTrue="1">
      <formula>$B97="SERVIÇO"</formula>
    </cfRule>
  </conditionalFormatting>
  <conditionalFormatting sqref="AE97:AF101 A97:E101 G97:AC101">
    <cfRule type="expression" dxfId="3835" priority="4965">
      <formula>$B97="Unidade Construtiva"</formula>
    </cfRule>
    <cfRule type="expression" dxfId="3834" priority="4966">
      <formula>$B97="Serviço"</formula>
    </cfRule>
    <cfRule type="expression" dxfId="3833" priority="4967">
      <formula>$B97="Insumo"</formula>
    </cfRule>
    <cfRule type="expression" dxfId="3832" priority="4968">
      <formula>$B97="Etapa"</formula>
    </cfRule>
    <cfRule type="expression" dxfId="3831" priority="4969">
      <formula>$B97="Célula Construtiva"</formula>
    </cfRule>
    <cfRule type="expression" dxfId="3830" priority="4970">
      <formula>$B97="Subetapa"</formula>
    </cfRule>
  </conditionalFormatting>
  <conditionalFormatting sqref="T97:T101">
    <cfRule type="expression" dxfId="3829" priority="4962" stopIfTrue="1">
      <formula>$B97="INSUMO"</formula>
    </cfRule>
  </conditionalFormatting>
  <conditionalFormatting sqref="W97:W101">
    <cfRule type="containsText" dxfId="3828" priority="4961" stopIfTrue="1" operator="containsText" text="INSERIR">
      <formula>NOT(ISERROR(SEARCH("INSERIR",W97)))</formula>
    </cfRule>
  </conditionalFormatting>
  <conditionalFormatting sqref="V179">
    <cfRule type="expression" dxfId="3827" priority="4954" stopIfTrue="1">
      <formula>$B179="insumo"</formula>
    </cfRule>
  </conditionalFormatting>
  <conditionalFormatting sqref="V179">
    <cfRule type="expression" dxfId="3826" priority="4955">
      <formula>$B179="Unidade Construtiva"</formula>
    </cfRule>
    <cfRule type="expression" dxfId="3825" priority="4956">
      <formula>$B179="Serviço"</formula>
    </cfRule>
    <cfRule type="expression" dxfId="3824" priority="4957">
      <formula>$B179="Insumo"</formula>
    </cfRule>
    <cfRule type="expression" dxfId="3823" priority="4958">
      <formula>$B179="Etapa"</formula>
    </cfRule>
    <cfRule type="expression" dxfId="3822" priority="4959">
      <formula>$B179="Célula Construtiva"</formula>
    </cfRule>
    <cfRule type="expression" dxfId="3821" priority="4960">
      <formula>$B179="Subetapa"</formula>
    </cfRule>
  </conditionalFormatting>
  <conditionalFormatting sqref="V155">
    <cfRule type="expression" dxfId="3820" priority="4886" stopIfTrue="1">
      <formula>$B155="insumo"</formula>
    </cfRule>
  </conditionalFormatting>
  <conditionalFormatting sqref="AA155 T155:U155">
    <cfRule type="expression" dxfId="3819" priority="4885" stopIfTrue="1">
      <formula>$B155="SERVIÇO"</formula>
    </cfRule>
  </conditionalFormatting>
  <conditionalFormatting sqref="AE155:AF155 A155:E155 T155:AC155 G155:R155">
    <cfRule type="expression" dxfId="3818" priority="4887">
      <formula>$B155="Unidade Construtiva"</formula>
    </cfRule>
    <cfRule type="expression" dxfId="3817" priority="4888">
      <formula>$B155="Serviço"</formula>
    </cfRule>
    <cfRule type="expression" dxfId="3816" priority="4889">
      <formula>$B155="Insumo"</formula>
    </cfRule>
    <cfRule type="expression" dxfId="3815" priority="4890">
      <formula>$B155="Etapa"</formula>
    </cfRule>
    <cfRule type="expression" dxfId="3814" priority="4891">
      <formula>$B155="Célula Construtiva"</formula>
    </cfRule>
    <cfRule type="expression" dxfId="3813" priority="4892">
      <formula>$B155="Subetapa"</formula>
    </cfRule>
  </conditionalFormatting>
  <conditionalFormatting sqref="T155">
    <cfRule type="expression" dxfId="3812" priority="4884" stopIfTrue="1">
      <formula>$B155="INSUMO"</formula>
    </cfRule>
  </conditionalFormatting>
  <conditionalFormatting sqref="W155">
    <cfRule type="containsText" dxfId="3811" priority="4883" stopIfTrue="1" operator="containsText" text="INSERIR">
      <formula>NOT(ISERROR(SEARCH("INSERIR",W155)))</formula>
    </cfRule>
  </conditionalFormatting>
  <conditionalFormatting sqref="W157 W160:W165">
    <cfRule type="containsText" dxfId="3810" priority="4881" stopIfTrue="1" operator="containsText" text="INSERIR">
      <formula>NOT(ISERROR(SEARCH("INSERIR",W157)))</formula>
    </cfRule>
  </conditionalFormatting>
  <conditionalFormatting sqref="S155">
    <cfRule type="expression" dxfId="3809" priority="4875">
      <formula>$B155="Unidade Construtiva"</formula>
    </cfRule>
    <cfRule type="expression" dxfId="3808" priority="4876">
      <formula>$B155="Serviço"</formula>
    </cfRule>
    <cfRule type="expression" dxfId="3807" priority="4877">
      <formula>$B155="Insumo"</formula>
    </cfRule>
    <cfRule type="expression" dxfId="3806" priority="4878">
      <formula>$B155="Etapa"</formula>
    </cfRule>
    <cfRule type="expression" dxfId="3805" priority="4879">
      <formula>$B155="Célula Construtiva"</formula>
    </cfRule>
    <cfRule type="expression" dxfId="3804" priority="4880">
      <formula>$B155="Subetapa"</formula>
    </cfRule>
  </conditionalFormatting>
  <conditionalFormatting sqref="V1248">
    <cfRule type="expression" dxfId="3803" priority="4826" stopIfTrue="1">
      <formula>$B1248="insumo"</formula>
    </cfRule>
  </conditionalFormatting>
  <conditionalFormatting sqref="V1248">
    <cfRule type="expression" dxfId="3802" priority="4827">
      <formula>$B1248="Unidade Construtiva"</formula>
    </cfRule>
    <cfRule type="expression" dxfId="3801" priority="4828">
      <formula>$B1248="Serviço"</formula>
    </cfRule>
    <cfRule type="expression" dxfId="3800" priority="4829">
      <formula>$B1248="Insumo"</formula>
    </cfRule>
    <cfRule type="expression" dxfId="3799" priority="4830">
      <formula>$B1248="Etapa"</formula>
    </cfRule>
    <cfRule type="expression" dxfId="3798" priority="4831">
      <formula>$B1248="Célula Construtiva"</formula>
    </cfRule>
    <cfRule type="expression" dxfId="3797" priority="4832">
      <formula>$B1248="Subetapa"</formula>
    </cfRule>
  </conditionalFormatting>
  <conditionalFormatting sqref="V1280">
    <cfRule type="expression" dxfId="3796" priority="4819" stopIfTrue="1">
      <formula>$B1280="insumo"</formula>
    </cfRule>
  </conditionalFormatting>
  <conditionalFormatting sqref="V1280">
    <cfRule type="expression" dxfId="3795" priority="4820">
      <formula>$B1280="Unidade Construtiva"</formula>
    </cfRule>
    <cfRule type="expression" dxfId="3794" priority="4821">
      <formula>$B1280="Serviço"</formula>
    </cfRule>
    <cfRule type="expression" dxfId="3793" priority="4822">
      <formula>$B1280="Insumo"</formula>
    </cfRule>
    <cfRule type="expression" dxfId="3792" priority="4823">
      <formula>$B1280="Etapa"</formula>
    </cfRule>
    <cfRule type="expression" dxfId="3791" priority="4824">
      <formula>$B1280="Célula Construtiva"</formula>
    </cfRule>
    <cfRule type="expression" dxfId="3790" priority="4825">
      <formula>$B1280="Subetapa"</formula>
    </cfRule>
  </conditionalFormatting>
  <conditionalFormatting sqref="V1312">
    <cfRule type="expression" dxfId="3789" priority="4812" stopIfTrue="1">
      <formula>$B1312="insumo"</formula>
    </cfRule>
  </conditionalFormatting>
  <conditionalFormatting sqref="V1312">
    <cfRule type="expression" dxfId="3788" priority="4813">
      <formula>$B1312="Unidade Construtiva"</formula>
    </cfRule>
    <cfRule type="expression" dxfId="3787" priority="4814">
      <formula>$B1312="Serviço"</formula>
    </cfRule>
    <cfRule type="expression" dxfId="3786" priority="4815">
      <formula>$B1312="Insumo"</formula>
    </cfRule>
    <cfRule type="expression" dxfId="3785" priority="4816">
      <formula>$B1312="Etapa"</formula>
    </cfRule>
    <cfRule type="expression" dxfId="3784" priority="4817">
      <formula>$B1312="Célula Construtiva"</formula>
    </cfRule>
    <cfRule type="expression" dxfId="3783" priority="4818">
      <formula>$B1312="Subetapa"</formula>
    </cfRule>
  </conditionalFormatting>
  <conditionalFormatting sqref="V1350">
    <cfRule type="expression" dxfId="3782" priority="4805" stopIfTrue="1">
      <formula>$B1350="insumo"</formula>
    </cfRule>
  </conditionalFormatting>
  <conditionalFormatting sqref="V1350">
    <cfRule type="expression" dxfId="3781" priority="4806">
      <formula>$B1350="Unidade Construtiva"</formula>
    </cfRule>
    <cfRule type="expression" dxfId="3780" priority="4807">
      <formula>$B1350="Serviço"</formula>
    </cfRule>
    <cfRule type="expression" dxfId="3779" priority="4808">
      <formula>$B1350="Insumo"</formula>
    </cfRule>
    <cfRule type="expression" dxfId="3778" priority="4809">
      <formula>$B1350="Etapa"</formula>
    </cfRule>
    <cfRule type="expression" dxfId="3777" priority="4810">
      <formula>$B1350="Célula Construtiva"</formula>
    </cfRule>
    <cfRule type="expression" dxfId="3776" priority="4811">
      <formula>$B1350="Subetapa"</formula>
    </cfRule>
  </conditionalFormatting>
  <conditionalFormatting sqref="V1509">
    <cfRule type="expression" dxfId="3775" priority="4799">
      <formula>$B1509="Unidade Construtiva"</formula>
    </cfRule>
    <cfRule type="expression" dxfId="3774" priority="4800">
      <formula>$B1509="Serviço"</formula>
    </cfRule>
    <cfRule type="expression" dxfId="3773" priority="4801">
      <formula>$B1509="Insumo"</formula>
    </cfRule>
    <cfRule type="expression" dxfId="3772" priority="4802">
      <formula>$B1509="Etapa"</formula>
    </cfRule>
    <cfRule type="expression" dxfId="3771" priority="4803">
      <formula>$B1509="Célula Construtiva"</formula>
    </cfRule>
    <cfRule type="expression" dxfId="3770" priority="4804">
      <formula>$B1509="Subetapa"</formula>
    </cfRule>
  </conditionalFormatting>
  <conditionalFormatting sqref="V1583">
    <cfRule type="expression" dxfId="3769" priority="4793">
      <formula>$B1583="Unidade Construtiva"</formula>
    </cfRule>
    <cfRule type="expression" dxfId="3768" priority="4794">
      <formula>$B1583="Serviço"</formula>
    </cfRule>
    <cfRule type="expression" dxfId="3767" priority="4795">
      <formula>$B1583="Insumo"</formula>
    </cfRule>
    <cfRule type="expression" dxfId="3766" priority="4796">
      <formula>$B1583="Etapa"</formula>
    </cfRule>
    <cfRule type="expression" dxfId="3765" priority="4797">
      <formula>$B1583="Célula Construtiva"</formula>
    </cfRule>
    <cfRule type="expression" dxfId="3764" priority="4798">
      <formula>$B1583="Subetapa"</formula>
    </cfRule>
  </conditionalFormatting>
  <conditionalFormatting sqref="V1644">
    <cfRule type="expression" dxfId="3763" priority="4787">
      <formula>$B1644="Unidade Construtiva"</formula>
    </cfRule>
    <cfRule type="expression" dxfId="3762" priority="4788">
      <formula>$B1644="Serviço"</formula>
    </cfRule>
    <cfRule type="expression" dxfId="3761" priority="4789">
      <formula>$B1644="Insumo"</formula>
    </cfRule>
    <cfRule type="expression" dxfId="3760" priority="4790">
      <formula>$B1644="Etapa"</formula>
    </cfRule>
    <cfRule type="expression" dxfId="3759" priority="4791">
      <formula>$B1644="Célula Construtiva"</formula>
    </cfRule>
    <cfRule type="expression" dxfId="3758" priority="4792">
      <formula>$B1644="Subetapa"</formula>
    </cfRule>
  </conditionalFormatting>
  <conditionalFormatting sqref="V721">
    <cfRule type="expression" dxfId="3757" priority="4773" stopIfTrue="1">
      <formula>$B721="insumo"</formula>
    </cfRule>
  </conditionalFormatting>
  <conditionalFormatting sqref="V721">
    <cfRule type="expression" dxfId="3756" priority="4774">
      <formula>$B721="Unidade Construtiva"</formula>
    </cfRule>
    <cfRule type="expression" dxfId="3755" priority="4775">
      <formula>$B721="Serviço"</formula>
    </cfRule>
    <cfRule type="expression" dxfId="3754" priority="4776">
      <formula>$B721="Insumo"</formula>
    </cfRule>
    <cfRule type="expression" dxfId="3753" priority="4777">
      <formula>$B721="Etapa"</formula>
    </cfRule>
    <cfRule type="expression" dxfId="3752" priority="4778">
      <formula>$B721="Célula Construtiva"</formula>
    </cfRule>
    <cfRule type="expression" dxfId="3751" priority="4779">
      <formula>$B721="Subetapa"</formula>
    </cfRule>
  </conditionalFormatting>
  <conditionalFormatting sqref="V750">
    <cfRule type="expression" dxfId="3750" priority="4766" stopIfTrue="1">
      <formula>$B750="insumo"</formula>
    </cfRule>
  </conditionalFormatting>
  <conditionalFormatting sqref="V750">
    <cfRule type="expression" dxfId="3749" priority="4767">
      <formula>$B750="Unidade Construtiva"</formula>
    </cfRule>
    <cfRule type="expression" dxfId="3748" priority="4768">
      <formula>$B750="Serviço"</formula>
    </cfRule>
    <cfRule type="expression" dxfId="3747" priority="4769">
      <formula>$B750="Insumo"</formula>
    </cfRule>
    <cfRule type="expression" dxfId="3746" priority="4770">
      <formula>$B750="Etapa"</formula>
    </cfRule>
    <cfRule type="expression" dxfId="3745" priority="4771">
      <formula>$B750="Célula Construtiva"</formula>
    </cfRule>
    <cfRule type="expression" dxfId="3744" priority="4772">
      <formula>$B750="Subetapa"</formula>
    </cfRule>
  </conditionalFormatting>
  <conditionalFormatting sqref="V779">
    <cfRule type="expression" dxfId="3743" priority="4759" stopIfTrue="1">
      <formula>$B779="insumo"</formula>
    </cfRule>
  </conditionalFormatting>
  <conditionalFormatting sqref="V779">
    <cfRule type="expression" dxfId="3742" priority="4760">
      <formula>$B779="Unidade Construtiva"</formula>
    </cfRule>
    <cfRule type="expression" dxfId="3741" priority="4761">
      <formula>$B779="Serviço"</formula>
    </cfRule>
    <cfRule type="expression" dxfId="3740" priority="4762">
      <formula>$B779="Insumo"</formula>
    </cfRule>
    <cfRule type="expression" dxfId="3739" priority="4763">
      <formula>$B779="Etapa"</formula>
    </cfRule>
    <cfRule type="expression" dxfId="3738" priority="4764">
      <formula>$B779="Célula Construtiva"</formula>
    </cfRule>
    <cfRule type="expression" dxfId="3737" priority="4765">
      <formula>$B779="Subetapa"</formula>
    </cfRule>
  </conditionalFormatting>
  <conditionalFormatting sqref="V746">
    <cfRule type="expression" dxfId="3736" priority="4752" stopIfTrue="1">
      <formula>$B746="insumo"</formula>
    </cfRule>
  </conditionalFormatting>
  <conditionalFormatting sqref="V746">
    <cfRule type="expression" dxfId="3735" priority="4753">
      <formula>$B746="Unidade Construtiva"</formula>
    </cfRule>
    <cfRule type="expression" dxfId="3734" priority="4754">
      <formula>$B746="Serviço"</formula>
    </cfRule>
    <cfRule type="expression" dxfId="3733" priority="4755">
      <formula>$B746="Insumo"</formula>
    </cfRule>
    <cfRule type="expression" dxfId="3732" priority="4756">
      <formula>$B746="Etapa"</formula>
    </cfRule>
    <cfRule type="expression" dxfId="3731" priority="4757">
      <formula>$B746="Célula Construtiva"</formula>
    </cfRule>
    <cfRule type="expression" dxfId="3730" priority="4758">
      <formula>$B746="Subetapa"</formula>
    </cfRule>
  </conditionalFormatting>
  <conditionalFormatting sqref="V775">
    <cfRule type="expression" dxfId="3729" priority="4745" stopIfTrue="1">
      <formula>$B775="insumo"</formula>
    </cfRule>
  </conditionalFormatting>
  <conditionalFormatting sqref="V775">
    <cfRule type="expression" dxfId="3728" priority="4746">
      <formula>$B775="Unidade Construtiva"</formula>
    </cfRule>
    <cfRule type="expression" dxfId="3727" priority="4747">
      <formula>$B775="Serviço"</formula>
    </cfRule>
    <cfRule type="expression" dxfId="3726" priority="4748">
      <formula>$B775="Insumo"</formula>
    </cfRule>
    <cfRule type="expression" dxfId="3725" priority="4749">
      <formula>$B775="Etapa"</formula>
    </cfRule>
    <cfRule type="expression" dxfId="3724" priority="4750">
      <formula>$B775="Célula Construtiva"</formula>
    </cfRule>
    <cfRule type="expression" dxfId="3723" priority="4751">
      <formula>$B775="Subetapa"</formula>
    </cfRule>
  </conditionalFormatting>
  <conditionalFormatting sqref="V709:V715">
    <cfRule type="expression" dxfId="3722" priority="4738" stopIfTrue="1">
      <formula>$B709="insumo"</formula>
    </cfRule>
  </conditionalFormatting>
  <conditionalFormatting sqref="V709:V715">
    <cfRule type="expression" dxfId="3721" priority="4739">
      <formula>$B709="Unidade Construtiva"</formula>
    </cfRule>
    <cfRule type="expression" dxfId="3720" priority="4740">
      <formula>$B709="Serviço"</formula>
    </cfRule>
    <cfRule type="expression" dxfId="3719" priority="4741">
      <formula>$B709="Insumo"</formula>
    </cfRule>
    <cfRule type="expression" dxfId="3718" priority="4742">
      <formula>$B709="Etapa"</formula>
    </cfRule>
    <cfRule type="expression" dxfId="3717" priority="4743">
      <formula>$B709="Célula Construtiva"</formula>
    </cfRule>
    <cfRule type="expression" dxfId="3716" priority="4744">
      <formula>$B709="Subetapa"</formula>
    </cfRule>
  </conditionalFormatting>
  <conditionalFormatting sqref="V738:V744">
    <cfRule type="expression" dxfId="3715" priority="4731" stopIfTrue="1">
      <formula>$B738="insumo"</formula>
    </cfRule>
  </conditionalFormatting>
  <conditionalFormatting sqref="V738:V744">
    <cfRule type="expression" dxfId="3714" priority="4732">
      <formula>$B738="Unidade Construtiva"</formula>
    </cfRule>
    <cfRule type="expression" dxfId="3713" priority="4733">
      <formula>$B738="Serviço"</formula>
    </cfRule>
    <cfRule type="expression" dxfId="3712" priority="4734">
      <formula>$B738="Insumo"</formula>
    </cfRule>
    <cfRule type="expression" dxfId="3711" priority="4735">
      <formula>$B738="Etapa"</formula>
    </cfRule>
    <cfRule type="expression" dxfId="3710" priority="4736">
      <formula>$B738="Célula Construtiva"</formula>
    </cfRule>
    <cfRule type="expression" dxfId="3709" priority="4737">
      <formula>$B738="Subetapa"</formula>
    </cfRule>
  </conditionalFormatting>
  <conditionalFormatting sqref="V767:V773">
    <cfRule type="expression" dxfId="3708" priority="4724" stopIfTrue="1">
      <formula>$B767="insumo"</formula>
    </cfRule>
  </conditionalFormatting>
  <conditionalFormatting sqref="V767:V773">
    <cfRule type="expression" dxfId="3707" priority="4725">
      <formula>$B767="Unidade Construtiva"</formula>
    </cfRule>
    <cfRule type="expression" dxfId="3706" priority="4726">
      <formula>$B767="Serviço"</formula>
    </cfRule>
    <cfRule type="expression" dxfId="3705" priority="4727">
      <formula>$B767="Insumo"</formula>
    </cfRule>
    <cfRule type="expression" dxfId="3704" priority="4728">
      <formula>$B767="Etapa"</formula>
    </cfRule>
    <cfRule type="expression" dxfId="3703" priority="4729">
      <formula>$B767="Célula Construtiva"</formula>
    </cfRule>
    <cfRule type="expression" dxfId="3702" priority="4730">
      <formula>$B767="Subetapa"</formula>
    </cfRule>
  </conditionalFormatting>
  <conditionalFormatting sqref="V796:V802">
    <cfRule type="expression" dxfId="3701" priority="4717" stopIfTrue="1">
      <formula>$B796="insumo"</formula>
    </cfRule>
  </conditionalFormatting>
  <conditionalFormatting sqref="V796:V802">
    <cfRule type="expression" dxfId="3700" priority="4718">
      <formula>$B796="Unidade Construtiva"</formula>
    </cfRule>
    <cfRule type="expression" dxfId="3699" priority="4719">
      <formula>$B796="Serviço"</formula>
    </cfRule>
    <cfRule type="expression" dxfId="3698" priority="4720">
      <formula>$B796="Insumo"</formula>
    </cfRule>
    <cfRule type="expression" dxfId="3697" priority="4721">
      <formula>$B796="Etapa"</formula>
    </cfRule>
    <cfRule type="expression" dxfId="3696" priority="4722">
      <formula>$B796="Célula Construtiva"</formula>
    </cfRule>
    <cfRule type="expression" dxfId="3695" priority="4723">
      <formula>$B796="Subetapa"</formula>
    </cfRule>
  </conditionalFormatting>
  <conditionalFormatting sqref="V116:V117">
    <cfRule type="expression" dxfId="3694" priority="4590" stopIfTrue="1">
      <formula>$B116="insumo"</formula>
    </cfRule>
  </conditionalFormatting>
  <conditionalFormatting sqref="AA116:AA117 T116:U117">
    <cfRule type="expression" dxfId="3693" priority="4589" stopIfTrue="1">
      <formula>$B116="SERVIÇO"</formula>
    </cfRule>
  </conditionalFormatting>
  <conditionalFormatting sqref="AE116:AF117 A116:E117 G116:AC117">
    <cfRule type="expression" dxfId="3692" priority="4591">
      <formula>$B116="Unidade Construtiva"</formula>
    </cfRule>
    <cfRule type="expression" dxfId="3691" priority="4592">
      <formula>$B116="Serviço"</formula>
    </cfRule>
    <cfRule type="expression" dxfId="3690" priority="4593">
      <formula>$B116="Insumo"</formula>
    </cfRule>
    <cfRule type="expression" dxfId="3689" priority="4594">
      <formula>$B116="Etapa"</formula>
    </cfRule>
    <cfRule type="expression" dxfId="3688" priority="4595">
      <formula>$B116="Célula Construtiva"</formula>
    </cfRule>
    <cfRule type="expression" dxfId="3687" priority="4596">
      <formula>$B116="Subetapa"</formula>
    </cfRule>
  </conditionalFormatting>
  <conditionalFormatting sqref="T116:T117">
    <cfRule type="expression" dxfId="3686" priority="4588" stopIfTrue="1">
      <formula>$B116="INSUMO"</formula>
    </cfRule>
  </conditionalFormatting>
  <conditionalFormatting sqref="W116:W117">
    <cfRule type="containsText" dxfId="3685" priority="4587" stopIfTrue="1" operator="containsText" text="INSERIR">
      <formula>NOT(ISERROR(SEARCH("INSERIR",W116)))</formula>
    </cfRule>
  </conditionalFormatting>
  <conditionalFormatting sqref="V127">
    <cfRule type="expression" dxfId="3684" priority="4579" stopIfTrue="1">
      <formula>$B127="insumo"</formula>
    </cfRule>
  </conditionalFormatting>
  <conditionalFormatting sqref="AA127 T127:U127">
    <cfRule type="expression" dxfId="3683" priority="4578" stopIfTrue="1">
      <formula>$B127="SERVIÇO"</formula>
    </cfRule>
  </conditionalFormatting>
  <conditionalFormatting sqref="AE127:AF127 A127:E127 G127:AC127">
    <cfRule type="expression" dxfId="3682" priority="4580">
      <formula>$B127="Unidade Construtiva"</formula>
    </cfRule>
    <cfRule type="expression" dxfId="3681" priority="4581">
      <formula>$B127="Serviço"</formula>
    </cfRule>
    <cfRule type="expression" dxfId="3680" priority="4582">
      <formula>$B127="Insumo"</formula>
    </cfRule>
    <cfRule type="expression" dxfId="3679" priority="4583">
      <formula>$B127="Etapa"</formula>
    </cfRule>
    <cfRule type="expression" dxfId="3678" priority="4584">
      <formula>$B127="Célula Construtiva"</formula>
    </cfRule>
    <cfRule type="expression" dxfId="3677" priority="4585">
      <formula>$B127="Subetapa"</formula>
    </cfRule>
  </conditionalFormatting>
  <conditionalFormatting sqref="T127">
    <cfRule type="expression" dxfId="3676" priority="4577" stopIfTrue="1">
      <formula>$B127="INSUMO"</formula>
    </cfRule>
  </conditionalFormatting>
  <conditionalFormatting sqref="W127">
    <cfRule type="containsText" dxfId="3675" priority="4576" stopIfTrue="1" operator="containsText" text="INSERIR">
      <formula>NOT(ISERROR(SEARCH("INSERIR",W127)))</formula>
    </cfRule>
  </conditionalFormatting>
  <conditionalFormatting sqref="V129">
    <cfRule type="expression" dxfId="3674" priority="4568" stopIfTrue="1">
      <formula>$B129="insumo"</formula>
    </cfRule>
  </conditionalFormatting>
  <conditionalFormatting sqref="AA129 T129:U129">
    <cfRule type="expression" dxfId="3673" priority="4567" stopIfTrue="1">
      <formula>$B129="SERVIÇO"</formula>
    </cfRule>
  </conditionalFormatting>
  <conditionalFormatting sqref="AE129:AF129 A129:E129 G129:AC129">
    <cfRule type="expression" dxfId="3672" priority="4569">
      <formula>$B129="Unidade Construtiva"</formula>
    </cfRule>
    <cfRule type="expression" dxfId="3671" priority="4570">
      <formula>$B129="Serviço"</formula>
    </cfRule>
    <cfRule type="expression" dxfId="3670" priority="4571">
      <formula>$B129="Insumo"</formula>
    </cfRule>
    <cfRule type="expression" dxfId="3669" priority="4572">
      <formula>$B129="Etapa"</formula>
    </cfRule>
    <cfRule type="expression" dxfId="3668" priority="4573">
      <formula>$B129="Célula Construtiva"</formula>
    </cfRule>
    <cfRule type="expression" dxfId="3667" priority="4574">
      <formula>$B129="Subetapa"</formula>
    </cfRule>
  </conditionalFormatting>
  <conditionalFormatting sqref="T129">
    <cfRule type="expression" dxfId="3666" priority="4566" stopIfTrue="1">
      <formula>$B129="INSUMO"</formula>
    </cfRule>
  </conditionalFormatting>
  <conditionalFormatting sqref="W129">
    <cfRule type="containsText" dxfId="3665" priority="4565" stopIfTrue="1" operator="containsText" text="INSERIR">
      <formula>NOT(ISERROR(SEARCH("INSERIR",W129)))</formula>
    </cfRule>
  </conditionalFormatting>
  <conditionalFormatting sqref="V131">
    <cfRule type="expression" dxfId="3664" priority="4557" stopIfTrue="1">
      <formula>$B131="insumo"</formula>
    </cfRule>
  </conditionalFormatting>
  <conditionalFormatting sqref="AA131 T131:U131">
    <cfRule type="expression" dxfId="3663" priority="4556" stopIfTrue="1">
      <formula>$B131="SERVIÇO"</formula>
    </cfRule>
  </conditionalFormatting>
  <conditionalFormatting sqref="AE131:AF131 A131:E131 G131:AC131">
    <cfRule type="expression" dxfId="3662" priority="4558">
      <formula>$B131="Unidade Construtiva"</formula>
    </cfRule>
    <cfRule type="expression" dxfId="3661" priority="4559">
      <formula>$B131="Serviço"</formula>
    </cfRule>
    <cfRule type="expression" dxfId="3660" priority="4560">
      <formula>$B131="Insumo"</formula>
    </cfRule>
    <cfRule type="expression" dxfId="3659" priority="4561">
      <formula>$B131="Etapa"</formula>
    </cfRule>
    <cfRule type="expression" dxfId="3658" priority="4562">
      <formula>$B131="Célula Construtiva"</formula>
    </cfRule>
    <cfRule type="expression" dxfId="3657" priority="4563">
      <formula>$B131="Subetapa"</formula>
    </cfRule>
  </conditionalFormatting>
  <conditionalFormatting sqref="T131">
    <cfRule type="expression" dxfId="3656" priority="4555" stopIfTrue="1">
      <formula>$B131="INSUMO"</formula>
    </cfRule>
  </conditionalFormatting>
  <conditionalFormatting sqref="W131">
    <cfRule type="containsText" dxfId="3655" priority="4554" stopIfTrue="1" operator="containsText" text="INSERIR">
      <formula>NOT(ISERROR(SEARCH("INSERIR",W131)))</formula>
    </cfRule>
  </conditionalFormatting>
  <conditionalFormatting sqref="V121">
    <cfRule type="expression" dxfId="3654" priority="4535" stopIfTrue="1">
      <formula>$B121="insumo"</formula>
    </cfRule>
  </conditionalFormatting>
  <conditionalFormatting sqref="AA121 T121:U121">
    <cfRule type="expression" dxfId="3653" priority="4534" stopIfTrue="1">
      <formula>$B121="SERVIÇO"</formula>
    </cfRule>
  </conditionalFormatting>
  <conditionalFormatting sqref="AE121:AF121 A121:E121 G121:AC121">
    <cfRule type="expression" dxfId="3652" priority="4536">
      <formula>$B121="Unidade Construtiva"</formula>
    </cfRule>
    <cfRule type="expression" dxfId="3651" priority="4537">
      <formula>$B121="Serviço"</formula>
    </cfRule>
    <cfRule type="expression" dxfId="3650" priority="4538">
      <formula>$B121="Insumo"</formula>
    </cfRule>
    <cfRule type="expression" dxfId="3649" priority="4539">
      <formula>$B121="Etapa"</formula>
    </cfRule>
    <cfRule type="expression" dxfId="3648" priority="4540">
      <formula>$B121="Célula Construtiva"</formula>
    </cfRule>
    <cfRule type="expression" dxfId="3647" priority="4541">
      <formula>$B121="Subetapa"</formula>
    </cfRule>
  </conditionalFormatting>
  <conditionalFormatting sqref="T121">
    <cfRule type="expression" dxfId="3646" priority="4533" stopIfTrue="1">
      <formula>$B121="INSUMO"</formula>
    </cfRule>
  </conditionalFormatting>
  <conditionalFormatting sqref="W121">
    <cfRule type="containsText" dxfId="3645" priority="4532" stopIfTrue="1" operator="containsText" text="INSERIR">
      <formula>NOT(ISERROR(SEARCH("INSERIR",W121)))</formula>
    </cfRule>
  </conditionalFormatting>
  <conditionalFormatting sqref="V123">
    <cfRule type="expression" dxfId="3644" priority="4502" stopIfTrue="1">
      <formula>$B123="insumo"</formula>
    </cfRule>
  </conditionalFormatting>
  <conditionalFormatting sqref="AA123 T123:U123">
    <cfRule type="expression" dxfId="3643" priority="4501" stopIfTrue="1">
      <formula>$B123="SERVIÇO"</formula>
    </cfRule>
  </conditionalFormatting>
  <conditionalFormatting sqref="AE123:AF123 A123:E123 G123:AC123">
    <cfRule type="expression" dxfId="3642" priority="4503">
      <formula>$B123="Unidade Construtiva"</formula>
    </cfRule>
    <cfRule type="expression" dxfId="3641" priority="4504">
      <formula>$B123="Serviço"</formula>
    </cfRule>
    <cfRule type="expression" dxfId="3640" priority="4505">
      <formula>$B123="Insumo"</formula>
    </cfRule>
    <cfRule type="expression" dxfId="3639" priority="4506">
      <formula>$B123="Etapa"</formula>
    </cfRule>
    <cfRule type="expression" dxfId="3638" priority="4507">
      <formula>$B123="Célula Construtiva"</formula>
    </cfRule>
    <cfRule type="expression" dxfId="3637" priority="4508">
      <formula>$B123="Subetapa"</formula>
    </cfRule>
  </conditionalFormatting>
  <conditionalFormatting sqref="T123">
    <cfRule type="expression" dxfId="3636" priority="4500" stopIfTrue="1">
      <formula>$B123="INSUMO"</formula>
    </cfRule>
  </conditionalFormatting>
  <conditionalFormatting sqref="W123">
    <cfRule type="containsText" dxfId="3635" priority="4499" stopIfTrue="1" operator="containsText" text="INSERIR">
      <formula>NOT(ISERROR(SEARCH("INSERIR",W123)))</formula>
    </cfRule>
  </conditionalFormatting>
  <conditionalFormatting sqref="V125">
    <cfRule type="expression" dxfId="3634" priority="4491" stopIfTrue="1">
      <formula>$B125="insumo"</formula>
    </cfRule>
  </conditionalFormatting>
  <conditionalFormatting sqref="AA125 T125:U125">
    <cfRule type="expression" dxfId="3633" priority="4490" stopIfTrue="1">
      <formula>$B125="SERVIÇO"</formula>
    </cfRule>
  </conditionalFormatting>
  <conditionalFormatting sqref="AE125:AF125 A125:E125 G125:AC125">
    <cfRule type="expression" dxfId="3632" priority="4492">
      <formula>$B125="Unidade Construtiva"</formula>
    </cfRule>
    <cfRule type="expression" dxfId="3631" priority="4493">
      <formula>$B125="Serviço"</formula>
    </cfRule>
    <cfRule type="expression" dxfId="3630" priority="4494">
      <formula>$B125="Insumo"</formula>
    </cfRule>
    <cfRule type="expression" dxfId="3629" priority="4495">
      <formula>$B125="Etapa"</formula>
    </cfRule>
    <cfRule type="expression" dxfId="3628" priority="4496">
      <formula>$B125="Célula Construtiva"</formula>
    </cfRule>
    <cfRule type="expression" dxfId="3627" priority="4497">
      <formula>$B125="Subetapa"</formula>
    </cfRule>
  </conditionalFormatting>
  <conditionalFormatting sqref="T125">
    <cfRule type="expression" dxfId="3626" priority="4489" stopIfTrue="1">
      <formula>$B125="INSUMO"</formula>
    </cfRule>
  </conditionalFormatting>
  <conditionalFormatting sqref="W125">
    <cfRule type="containsText" dxfId="3625" priority="4488" stopIfTrue="1" operator="containsText" text="INSERIR">
      <formula>NOT(ISERROR(SEARCH("INSERIR",W125)))</formula>
    </cfRule>
  </conditionalFormatting>
  <conditionalFormatting sqref="T119:U119">
    <cfRule type="expression" dxfId="3624" priority="4481" stopIfTrue="1">
      <formula>$B119="SERVIÇO"</formula>
    </cfRule>
  </conditionalFormatting>
  <conditionalFormatting sqref="T119:U119">
    <cfRule type="expression" dxfId="3623" priority="4482">
      <formula>$B119="Unidade Construtiva"</formula>
    </cfRule>
    <cfRule type="expression" dxfId="3622" priority="4483">
      <formula>$B119="Serviço"</formula>
    </cfRule>
    <cfRule type="expression" dxfId="3621" priority="4484">
      <formula>$B119="Insumo"</formula>
    </cfRule>
    <cfRule type="expression" dxfId="3620" priority="4485">
      <formula>$B119="Etapa"</formula>
    </cfRule>
    <cfRule type="expression" dxfId="3619" priority="4486">
      <formula>$B119="Célula Construtiva"</formula>
    </cfRule>
    <cfRule type="expression" dxfId="3618" priority="4487">
      <formula>$B119="Subetapa"</formula>
    </cfRule>
  </conditionalFormatting>
  <conditionalFormatting sqref="T119">
    <cfRule type="expression" dxfId="3617" priority="4480" stopIfTrue="1">
      <formula>$B119="INSUMO"</formula>
    </cfRule>
  </conditionalFormatting>
  <conditionalFormatting sqref="V156">
    <cfRule type="expression" dxfId="3616" priority="4473" stopIfTrue="1">
      <formula>$B156="insumo"</formula>
    </cfRule>
  </conditionalFormatting>
  <conditionalFormatting sqref="AA156 T156:U156">
    <cfRule type="expression" dxfId="3615" priority="4472" stopIfTrue="1">
      <formula>$B156="SERVIÇO"</formula>
    </cfRule>
  </conditionalFormatting>
  <conditionalFormatting sqref="AE156:AF156 A156:E156 G156:AC156">
    <cfRule type="expression" dxfId="3614" priority="4474">
      <formula>$B156="Unidade Construtiva"</formula>
    </cfRule>
    <cfRule type="expression" dxfId="3613" priority="4475">
      <formula>$B156="Serviço"</formula>
    </cfRule>
    <cfRule type="expression" dxfId="3612" priority="4476">
      <formula>$B156="Insumo"</formula>
    </cfRule>
    <cfRule type="expression" dxfId="3611" priority="4477">
      <formula>$B156="Etapa"</formula>
    </cfRule>
    <cfRule type="expression" dxfId="3610" priority="4478">
      <formula>$B156="Célula Construtiva"</formula>
    </cfRule>
    <cfRule type="expression" dxfId="3609" priority="4479">
      <formula>$B156="Subetapa"</formula>
    </cfRule>
  </conditionalFormatting>
  <conditionalFormatting sqref="T156">
    <cfRule type="expression" dxfId="3608" priority="4471" stopIfTrue="1">
      <formula>$B156="INSUMO"</formula>
    </cfRule>
  </conditionalFormatting>
  <conditionalFormatting sqref="W156">
    <cfRule type="containsText" dxfId="3607" priority="4469" stopIfTrue="1" operator="containsText" text="INSERIR">
      <formula>NOT(ISERROR(SEARCH("INSERIR",W156)))</formula>
    </cfRule>
  </conditionalFormatting>
  <conditionalFormatting sqref="W169">
    <cfRule type="containsText" dxfId="3606" priority="4447" stopIfTrue="1" operator="containsText" text="INSERIR">
      <formula>NOT(ISERROR(SEARCH("INSERIR",W169)))</formula>
    </cfRule>
  </conditionalFormatting>
  <conditionalFormatting sqref="W170">
    <cfRule type="containsText" dxfId="3605" priority="4436" stopIfTrue="1" operator="containsText" text="INSERIR">
      <formula>NOT(ISERROR(SEARCH("INSERIR",W170)))</formula>
    </cfRule>
  </conditionalFormatting>
  <conditionalFormatting sqref="W165">
    <cfRule type="containsText" dxfId="3604" priority="4419" stopIfTrue="1" operator="containsText" text="INSERIR">
      <formula>NOT(ISERROR(SEARCH("INSERIR",W165)))</formula>
    </cfRule>
  </conditionalFormatting>
  <conditionalFormatting sqref="W160">
    <cfRule type="containsText" dxfId="3603" priority="4402" stopIfTrue="1" operator="containsText" text="INSERIR">
      <formula>NOT(ISERROR(SEARCH("INSERIR",W160)))</formula>
    </cfRule>
  </conditionalFormatting>
  <conditionalFormatting sqref="W163">
    <cfRule type="containsText" dxfId="3602" priority="4391" stopIfTrue="1" operator="containsText" text="INSERIR">
      <formula>NOT(ISERROR(SEARCH("INSERIR",W163)))</formula>
    </cfRule>
  </conditionalFormatting>
  <conditionalFormatting sqref="W161">
    <cfRule type="containsText" dxfId="3601" priority="4374" stopIfTrue="1" operator="containsText" text="INSERIR">
      <formula>NOT(ISERROR(SEARCH("INSERIR",W161)))</formula>
    </cfRule>
  </conditionalFormatting>
  <conditionalFormatting sqref="W162">
    <cfRule type="containsText" dxfId="3600" priority="4357" stopIfTrue="1" operator="containsText" text="INSERIR">
      <formula>NOT(ISERROR(SEARCH("INSERIR",W162)))</formula>
    </cfRule>
  </conditionalFormatting>
  <conditionalFormatting sqref="A196:E198 G196:AC198">
    <cfRule type="expression" dxfId="3599" priority="4294">
      <formula>$B196="Unidade Construtiva"</formula>
    </cfRule>
    <cfRule type="expression" dxfId="3598" priority="4295">
      <formula>$B196="Serviço"</formula>
    </cfRule>
    <cfRule type="expression" dxfId="3597" priority="4296">
      <formula>$B196="Insumo"</formula>
    </cfRule>
    <cfRule type="expression" dxfId="3596" priority="4297">
      <formula>$B196="Etapa"</formula>
    </cfRule>
    <cfRule type="expression" dxfId="3595" priority="4298">
      <formula>$B196="Célula Construtiva"</formula>
    </cfRule>
    <cfRule type="expression" dxfId="3594" priority="4299">
      <formula>$B196="Subetapa"</formula>
    </cfRule>
  </conditionalFormatting>
  <conditionalFormatting sqref="W185:W186">
    <cfRule type="containsText" dxfId="3593" priority="4290" stopIfTrue="1" operator="containsText" text="INSERIR">
      <formula>NOT(ISERROR(SEARCH("INSERIR",W185)))</formula>
    </cfRule>
  </conditionalFormatting>
  <conditionalFormatting sqref="T212:U217 T220:U222 T224:U226 T233:U233">
    <cfRule type="expression" dxfId="3592" priority="4163" stopIfTrue="1">
      <formula>$B212="SERVIÇO"</formula>
    </cfRule>
  </conditionalFormatting>
  <conditionalFormatting sqref="S217 T212:U217 T220:U222 T224:U226 T229:U230 T233:U233 W212:Z217 W220:Z222 W224:Z226 W229:Z230 W233:Z233 V220 V224">
    <cfRule type="expression" dxfId="3591" priority="4165">
      <formula>$B212="Unidade Construtiva"</formula>
    </cfRule>
    <cfRule type="expression" dxfId="3590" priority="4166">
      <formula>$B212="Serviço"</formula>
    </cfRule>
    <cfRule type="expression" dxfId="3589" priority="4167">
      <formula>$B212="Insumo"</formula>
    </cfRule>
    <cfRule type="expression" dxfId="3588" priority="4168">
      <formula>$B212="Etapa"</formula>
    </cfRule>
    <cfRule type="expression" dxfId="3587" priority="4169">
      <formula>$B212="Célula Construtiva"</formula>
    </cfRule>
    <cfRule type="expression" dxfId="3586" priority="4170">
      <formula>$B212="Subetapa"</formula>
    </cfRule>
  </conditionalFormatting>
  <conditionalFormatting sqref="T212:T217 T220:T222 T224:T226 T233">
    <cfRule type="expression" dxfId="3585" priority="4162" stopIfTrue="1">
      <formula>$B212="INSUMO"</formula>
    </cfRule>
  </conditionalFormatting>
  <conditionalFormatting sqref="W212:W217 W220:W222 W224:W226 W233 W199:W200 W229:W231">
    <cfRule type="containsText" dxfId="3584" priority="4161" stopIfTrue="1" operator="containsText" text="INSERIR">
      <formula>NOT(ISERROR(SEARCH("INSERIR",W199)))</formula>
    </cfRule>
  </conditionalFormatting>
  <conditionalFormatting sqref="V211:V217">
    <cfRule type="expression" dxfId="3583" priority="4144" stopIfTrue="1">
      <formula>$B211="insumo"</formula>
    </cfRule>
  </conditionalFormatting>
  <conditionalFormatting sqref="AA211:AA217 T211:U211">
    <cfRule type="expression" dxfId="3582" priority="4143" stopIfTrue="1">
      <formula>$B211="SERVIÇO"</formula>
    </cfRule>
  </conditionalFormatting>
  <conditionalFormatting sqref="AE211:AF217 V212:V217 A211:E217 AA212:AC217 G217:R217 G212:S216 G211:AC211">
    <cfRule type="expression" dxfId="3581" priority="4145">
      <formula>$B211="Unidade Construtiva"</formula>
    </cfRule>
    <cfRule type="expression" dxfId="3580" priority="4146">
      <formula>$B211="Serviço"</formula>
    </cfRule>
    <cfRule type="expression" dxfId="3579" priority="4147">
      <formula>$B211="Insumo"</formula>
    </cfRule>
    <cfRule type="expression" dxfId="3578" priority="4148">
      <formula>$B211="Etapa"</formula>
    </cfRule>
    <cfRule type="expression" dxfId="3577" priority="4149">
      <formula>$B211="Célula Construtiva"</formula>
    </cfRule>
    <cfRule type="expression" dxfId="3576" priority="4150">
      <formula>$B211="Subetapa"</formula>
    </cfRule>
  </conditionalFormatting>
  <conditionalFormatting sqref="T211">
    <cfRule type="expression" dxfId="3575" priority="4142" stopIfTrue="1">
      <formula>$B211="INSUMO"</formula>
    </cfRule>
  </conditionalFormatting>
  <conditionalFormatting sqref="W211">
    <cfRule type="containsText" dxfId="3574" priority="4141" stopIfTrue="1" operator="containsText" text="INSERIR">
      <formula>NOT(ISERROR(SEARCH("INSERIR",W211)))</formula>
    </cfRule>
  </conditionalFormatting>
  <conditionalFormatting sqref="T219:U219 T223:U223">
    <cfRule type="expression" dxfId="3573" priority="4134" stopIfTrue="1">
      <formula>$B219="SERVIÇO"</formula>
    </cfRule>
  </conditionalFormatting>
  <conditionalFormatting sqref="V220:V222 A219:E226 V224:V226 AA220:AC222 AA224:AC226 G224:S226 G223:AC223 G220:S222 G219:AC219">
    <cfRule type="expression" dxfId="3572" priority="4135">
      <formula>$B219="Unidade Construtiva"</formula>
    </cfRule>
    <cfRule type="expression" dxfId="3571" priority="4136">
      <formula>$B219="Serviço"</formula>
    </cfRule>
    <cfRule type="expression" dxfId="3570" priority="4137">
      <formula>$B219="Insumo"</formula>
    </cfRule>
    <cfRule type="expression" dxfId="3569" priority="4138">
      <formula>$B219="Etapa"</formula>
    </cfRule>
    <cfRule type="expression" dxfId="3568" priority="4139">
      <formula>$B219="Célula Construtiva"</formula>
    </cfRule>
    <cfRule type="expression" dxfId="3567" priority="4140">
      <formula>$B219="Subetapa"</formula>
    </cfRule>
  </conditionalFormatting>
  <conditionalFormatting sqref="T219 T223">
    <cfRule type="expression" dxfId="3566" priority="4133" stopIfTrue="1">
      <formula>$B219="INSUMO"</formula>
    </cfRule>
  </conditionalFormatting>
  <conditionalFormatting sqref="W219 W223">
    <cfRule type="containsText" dxfId="3565" priority="4132" stopIfTrue="1" operator="containsText" text="INSERIR">
      <formula>NOT(ISERROR(SEARCH("INSERIR",W219)))</formula>
    </cfRule>
  </conditionalFormatting>
  <conditionalFormatting sqref="T228:U228">
    <cfRule type="expression" dxfId="3564" priority="4125" stopIfTrue="1">
      <formula>$B228="SERVIÇO"</formula>
    </cfRule>
  </conditionalFormatting>
  <conditionalFormatting sqref="A228:E230 V229:V230 AA229:AC230 G229:S230 G228:AC228">
    <cfRule type="expression" dxfId="3563" priority="4126">
      <formula>$B228="Unidade Construtiva"</formula>
    </cfRule>
    <cfRule type="expression" dxfId="3562" priority="4127">
      <formula>$B228="Serviço"</formula>
    </cfRule>
    <cfRule type="expression" dxfId="3561" priority="4128">
      <formula>$B228="Insumo"</formula>
    </cfRule>
    <cfRule type="expression" dxfId="3560" priority="4129">
      <formula>$B228="Etapa"</formula>
    </cfRule>
    <cfRule type="expression" dxfId="3559" priority="4130">
      <formula>$B228="Célula Construtiva"</formula>
    </cfRule>
    <cfRule type="expression" dxfId="3558" priority="4131">
      <formula>$B228="Subetapa"</formula>
    </cfRule>
  </conditionalFormatting>
  <conditionalFormatting sqref="T228">
    <cfRule type="expression" dxfId="3557" priority="4124" stopIfTrue="1">
      <formula>$B228="INSUMO"</formula>
    </cfRule>
  </conditionalFormatting>
  <conditionalFormatting sqref="W228">
    <cfRule type="containsText" dxfId="3556" priority="4123" stopIfTrue="1" operator="containsText" text="INSERIR">
      <formula>NOT(ISERROR(SEARCH("INSERIR",W228)))</formula>
    </cfRule>
  </conditionalFormatting>
  <conditionalFormatting sqref="V232:V233">
    <cfRule type="expression" dxfId="3555" priority="4115" stopIfTrue="1">
      <formula>$B232="insumo"</formula>
    </cfRule>
  </conditionalFormatting>
  <conditionalFormatting sqref="AA232:AA233 T232:U232">
    <cfRule type="expression" dxfId="3554" priority="4114" stopIfTrue="1">
      <formula>$B232="SERVIÇO"</formula>
    </cfRule>
  </conditionalFormatting>
  <conditionalFormatting sqref="AE232:AF233 A232:E233 V233 AA233:AC233 G233:S233 G232:AC232">
    <cfRule type="expression" dxfId="3553" priority="4116">
      <formula>$B232="Unidade Construtiva"</formula>
    </cfRule>
    <cfRule type="expression" dxfId="3552" priority="4117">
      <formula>$B232="Serviço"</formula>
    </cfRule>
    <cfRule type="expression" dxfId="3551" priority="4118">
      <formula>$B232="Insumo"</formula>
    </cfRule>
    <cfRule type="expression" dxfId="3550" priority="4119">
      <formula>$B232="Etapa"</formula>
    </cfRule>
    <cfRule type="expression" dxfId="3549" priority="4120">
      <formula>$B232="Célula Construtiva"</formula>
    </cfRule>
    <cfRule type="expression" dxfId="3548" priority="4121">
      <formula>$B232="Subetapa"</formula>
    </cfRule>
  </conditionalFormatting>
  <conditionalFormatting sqref="T232">
    <cfRule type="expression" dxfId="3547" priority="4113" stopIfTrue="1">
      <formula>$B232="INSUMO"</formula>
    </cfRule>
  </conditionalFormatting>
  <conditionalFormatting sqref="W232">
    <cfRule type="containsText" dxfId="3546" priority="4112" stopIfTrue="1" operator="containsText" text="INSERIR">
      <formula>NOT(ISERROR(SEARCH("INSERIR",W232)))</formula>
    </cfRule>
  </conditionalFormatting>
  <conditionalFormatting sqref="V218">
    <cfRule type="expression" dxfId="3545" priority="4087" stopIfTrue="1">
      <formula>$B218="insumo"</formula>
    </cfRule>
  </conditionalFormatting>
  <conditionalFormatting sqref="T218:U218 AA218">
    <cfRule type="expression" dxfId="3544" priority="4086" stopIfTrue="1">
      <formula>$B218="SERVIÇO"</formula>
    </cfRule>
  </conditionalFormatting>
  <conditionalFormatting sqref="A218:E218 AE218:AF218 G218:AC218">
    <cfRule type="expression" dxfId="3543" priority="4088">
      <formula>$B218="Unidade Construtiva"</formula>
    </cfRule>
    <cfRule type="expression" dxfId="3542" priority="4089">
      <formula>$B218="Serviço"</formula>
    </cfRule>
    <cfRule type="expression" dxfId="3541" priority="4090">
      <formula>$B218="Insumo"</formula>
    </cfRule>
    <cfRule type="expression" dxfId="3540" priority="4091">
      <formula>$B218="Etapa"</formula>
    </cfRule>
    <cfRule type="expression" dxfId="3539" priority="4092">
      <formula>$B218="Célula Construtiva"</formula>
    </cfRule>
    <cfRule type="expression" dxfId="3538" priority="4093">
      <formula>$B218="Subetapa"</formula>
    </cfRule>
  </conditionalFormatting>
  <conditionalFormatting sqref="T218">
    <cfRule type="expression" dxfId="3537" priority="4085" stopIfTrue="1">
      <formula>$B218="INSUMO"</formula>
    </cfRule>
  </conditionalFormatting>
  <conditionalFormatting sqref="W218">
    <cfRule type="containsText" dxfId="3536" priority="4084" stopIfTrue="1" operator="containsText" text="INSERIR">
      <formula>NOT(ISERROR(SEARCH("INSERIR",W218)))</formula>
    </cfRule>
  </conditionalFormatting>
  <conditionalFormatting sqref="V227">
    <cfRule type="expression" dxfId="3535" priority="4076" stopIfTrue="1">
      <formula>$B227="insumo"</formula>
    </cfRule>
  </conditionalFormatting>
  <conditionalFormatting sqref="T227:U227 AA227">
    <cfRule type="expression" dxfId="3534" priority="4075" stopIfTrue="1">
      <formula>$B227="SERVIÇO"</formula>
    </cfRule>
  </conditionalFormatting>
  <conditionalFormatting sqref="A227:E227 AE227:AF227 G227:AC227">
    <cfRule type="expression" dxfId="3533" priority="4077">
      <formula>$B227="Unidade Construtiva"</formula>
    </cfRule>
    <cfRule type="expression" dxfId="3532" priority="4078">
      <formula>$B227="Serviço"</formula>
    </cfRule>
    <cfRule type="expression" dxfId="3531" priority="4079">
      <formula>$B227="Insumo"</formula>
    </cfRule>
    <cfRule type="expression" dxfId="3530" priority="4080">
      <formula>$B227="Etapa"</formula>
    </cfRule>
    <cfRule type="expression" dxfId="3529" priority="4081">
      <formula>$B227="Célula Construtiva"</formula>
    </cfRule>
    <cfRule type="expression" dxfId="3528" priority="4082">
      <formula>$B227="Subetapa"</formula>
    </cfRule>
  </conditionalFormatting>
  <conditionalFormatting sqref="T227">
    <cfRule type="expression" dxfId="3527" priority="4074" stopIfTrue="1">
      <formula>$B227="INSUMO"</formula>
    </cfRule>
  </conditionalFormatting>
  <conditionalFormatting sqref="W227">
    <cfRule type="containsText" dxfId="3526" priority="4073" stopIfTrue="1" operator="containsText" text="INSERIR">
      <formula>NOT(ISERROR(SEARCH("INSERIR",W227)))</formula>
    </cfRule>
  </conditionalFormatting>
  <conditionalFormatting sqref="V177">
    <cfRule type="expression" dxfId="3525" priority="4064" stopIfTrue="1">
      <formula>$B177="insumo"</formula>
    </cfRule>
  </conditionalFormatting>
  <conditionalFormatting sqref="AA177 T177:U177">
    <cfRule type="expression" dxfId="3524" priority="4063" stopIfTrue="1">
      <formula>$B177="SERVIÇO"</formula>
    </cfRule>
  </conditionalFormatting>
  <conditionalFormatting sqref="AE177:AF177 A177:E177 G177:AC177">
    <cfRule type="expression" dxfId="3523" priority="4065">
      <formula>$B177="Unidade Construtiva"</formula>
    </cfRule>
    <cfRule type="expression" dxfId="3522" priority="4066">
      <formula>$B177="Serviço"</formula>
    </cfRule>
    <cfRule type="expression" dxfId="3521" priority="4067">
      <formula>$B177="Insumo"</formula>
    </cfRule>
    <cfRule type="expression" dxfId="3520" priority="4068">
      <formula>$B177="Etapa"</formula>
    </cfRule>
    <cfRule type="expression" dxfId="3519" priority="4069">
      <formula>$B177="Célula Construtiva"</formula>
    </cfRule>
    <cfRule type="expression" dxfId="3518" priority="4070">
      <formula>$B177="Subetapa"</formula>
    </cfRule>
  </conditionalFormatting>
  <conditionalFormatting sqref="T177">
    <cfRule type="expression" dxfId="3517" priority="4062" stopIfTrue="1">
      <formula>$B177="INSUMO"</formula>
    </cfRule>
  </conditionalFormatting>
  <conditionalFormatting sqref="W177">
    <cfRule type="containsText" dxfId="3516" priority="4061" stopIfTrue="1" operator="containsText" text="INSERIR">
      <formula>NOT(ISERROR(SEARCH("INSERIR",W177)))</formula>
    </cfRule>
  </conditionalFormatting>
  <conditionalFormatting sqref="V182">
    <cfRule type="expression" dxfId="3515" priority="4042" stopIfTrue="1">
      <formula>$B182="insumo"</formula>
    </cfRule>
  </conditionalFormatting>
  <conditionalFormatting sqref="AA182 T182:U182">
    <cfRule type="expression" dxfId="3514" priority="4041" stopIfTrue="1">
      <formula>$B182="SERVIÇO"</formula>
    </cfRule>
  </conditionalFormatting>
  <conditionalFormatting sqref="AE182:AF182 A182:E182 G182:AC182">
    <cfRule type="expression" dxfId="3513" priority="4043">
      <formula>$B182="Unidade Construtiva"</formula>
    </cfRule>
    <cfRule type="expression" dxfId="3512" priority="4044">
      <formula>$B182="Serviço"</formula>
    </cfRule>
    <cfRule type="expression" dxfId="3511" priority="4045">
      <formula>$B182="Insumo"</formula>
    </cfRule>
    <cfRule type="expression" dxfId="3510" priority="4046">
      <formula>$B182="Etapa"</formula>
    </cfRule>
    <cfRule type="expression" dxfId="3509" priority="4047">
      <formula>$B182="Célula Construtiva"</formula>
    </cfRule>
    <cfRule type="expression" dxfId="3508" priority="4048">
      <formula>$B182="Subetapa"</formula>
    </cfRule>
  </conditionalFormatting>
  <conditionalFormatting sqref="T182">
    <cfRule type="expression" dxfId="3507" priority="4040" stopIfTrue="1">
      <formula>$B182="INSUMO"</formula>
    </cfRule>
  </conditionalFormatting>
  <conditionalFormatting sqref="W182">
    <cfRule type="containsText" dxfId="3506" priority="4039" stopIfTrue="1" operator="containsText" text="INSERIR">
      <formula>NOT(ISERROR(SEARCH("INSERIR",W182)))</formula>
    </cfRule>
  </conditionalFormatting>
  <conditionalFormatting sqref="V271">
    <cfRule type="expression" dxfId="3505" priority="4031" stopIfTrue="1">
      <formula>$B271="insumo"</formula>
    </cfRule>
  </conditionalFormatting>
  <conditionalFormatting sqref="V271:AC271">
    <cfRule type="expression" dxfId="3504" priority="4032">
      <formula>$B271="Unidade Construtiva"</formula>
    </cfRule>
    <cfRule type="expression" dxfId="3503" priority="4033">
      <formula>$B271="Serviço"</formula>
    </cfRule>
    <cfRule type="expression" dxfId="3502" priority="4034">
      <formula>$B271="Insumo"</formula>
    </cfRule>
    <cfRule type="expression" dxfId="3501" priority="4035">
      <formula>$B271="Etapa"</formula>
    </cfRule>
    <cfRule type="expression" dxfId="3500" priority="4036">
      <formula>$B271="Célula Construtiva"</formula>
    </cfRule>
    <cfRule type="expression" dxfId="3499" priority="4037">
      <formula>$B271="Subetapa"</formula>
    </cfRule>
  </conditionalFormatting>
  <conditionalFormatting sqref="U271">
    <cfRule type="expression" dxfId="3498" priority="4021" stopIfTrue="1">
      <formula>$B271="SERVIÇO"</formula>
    </cfRule>
  </conditionalFormatting>
  <conditionalFormatting sqref="U271">
    <cfRule type="expression" dxfId="3497" priority="4022">
      <formula>$B271="Unidade Construtiva"</formula>
    </cfRule>
    <cfRule type="expression" dxfId="3496" priority="4023">
      <formula>$B271="Serviço"</formula>
    </cfRule>
    <cfRule type="expression" dxfId="3495" priority="4024">
      <formula>$B271="Insumo"</formula>
    </cfRule>
    <cfRule type="expression" dxfId="3494" priority="4025">
      <formula>$B271="Etapa"</formula>
    </cfRule>
    <cfRule type="expression" dxfId="3493" priority="4026">
      <formula>$B271="Célula Construtiva"</formula>
    </cfRule>
    <cfRule type="expression" dxfId="3492" priority="4027">
      <formula>$B271="Subetapa"</formula>
    </cfRule>
  </conditionalFormatting>
  <conditionalFormatting sqref="V274">
    <cfRule type="expression" dxfId="3491" priority="4013" stopIfTrue="1">
      <formula>$B274="insumo"</formula>
    </cfRule>
  </conditionalFormatting>
  <conditionalFormatting sqref="AA274 T274">
    <cfRule type="expression" dxfId="3490" priority="4012" stopIfTrue="1">
      <formula>$B274="SERVIÇO"</formula>
    </cfRule>
  </conditionalFormatting>
  <conditionalFormatting sqref="AE274:AF274 A274:E274 V274 AA274:AC274 G274:T274">
    <cfRule type="expression" dxfId="3489" priority="4014">
      <formula>$B274="Unidade Construtiva"</formula>
    </cfRule>
    <cfRule type="expression" dxfId="3488" priority="4015">
      <formula>$B274="Serviço"</formula>
    </cfRule>
    <cfRule type="expression" dxfId="3487" priority="4016">
      <formula>$B274="Insumo"</formula>
    </cfRule>
    <cfRule type="expression" dxfId="3486" priority="4017">
      <formula>$B274="Etapa"</formula>
    </cfRule>
    <cfRule type="expression" dxfId="3485" priority="4018">
      <formula>$B274="Célula Construtiva"</formula>
    </cfRule>
    <cfRule type="expression" dxfId="3484" priority="4019">
      <formula>$B274="Subetapa"</formula>
    </cfRule>
  </conditionalFormatting>
  <conditionalFormatting sqref="T274">
    <cfRule type="expression" dxfId="3483" priority="4011" stopIfTrue="1">
      <formula>$B274="INSUMO"</formula>
    </cfRule>
  </conditionalFormatting>
  <conditionalFormatting sqref="V275">
    <cfRule type="expression" dxfId="3482" priority="4003" stopIfTrue="1">
      <formula>$B275="insumo"</formula>
    </cfRule>
  </conditionalFormatting>
  <conditionalFormatting sqref="AA275 T275">
    <cfRule type="expression" dxfId="3481" priority="4002" stopIfTrue="1">
      <formula>$B275="SERVIÇO"</formula>
    </cfRule>
  </conditionalFormatting>
  <conditionalFormatting sqref="AE275:AF275 A275:E275 V275 AA275:AC275 G275:T275">
    <cfRule type="expression" dxfId="3480" priority="4004">
      <formula>$B275="Unidade Construtiva"</formula>
    </cfRule>
    <cfRule type="expression" dxfId="3479" priority="4005">
      <formula>$B275="Serviço"</formula>
    </cfRule>
    <cfRule type="expression" dxfId="3478" priority="4006">
      <formula>$B275="Insumo"</formula>
    </cfRule>
    <cfRule type="expression" dxfId="3477" priority="4007">
      <formula>$B275="Etapa"</formula>
    </cfRule>
    <cfRule type="expression" dxfId="3476" priority="4008">
      <formula>$B275="Célula Construtiva"</formula>
    </cfRule>
    <cfRule type="expression" dxfId="3475" priority="4009">
      <formula>$B275="Subetapa"</formula>
    </cfRule>
  </conditionalFormatting>
  <conditionalFormatting sqref="T275">
    <cfRule type="expression" dxfId="3474" priority="4001" stopIfTrue="1">
      <formula>$B275="INSUMO"</formula>
    </cfRule>
  </conditionalFormatting>
  <conditionalFormatting sqref="V276:AC276">
    <cfRule type="expression" dxfId="3473" priority="3994">
      <formula>$B276="Unidade Construtiva"</formula>
    </cfRule>
    <cfRule type="expression" dxfId="3472" priority="3995">
      <formula>$B276="Serviço"</formula>
    </cfRule>
    <cfRule type="expression" dxfId="3471" priority="3996">
      <formula>$B276="Insumo"</formula>
    </cfRule>
    <cfRule type="expression" dxfId="3470" priority="3997">
      <formula>$B276="Etapa"</formula>
    </cfRule>
    <cfRule type="expression" dxfId="3469" priority="3998">
      <formula>$B276="Célula Construtiva"</formula>
    </cfRule>
    <cfRule type="expression" dxfId="3468" priority="3999">
      <formula>$B276="Subetapa"</formula>
    </cfRule>
  </conditionalFormatting>
  <conditionalFormatting sqref="U276">
    <cfRule type="expression" dxfId="3467" priority="3983" stopIfTrue="1">
      <formula>$B276="SERVIÇO"</formula>
    </cfRule>
  </conditionalFormatting>
  <conditionalFormatting sqref="U276">
    <cfRule type="expression" dxfId="3466" priority="3984">
      <formula>$B276="Unidade Construtiva"</formula>
    </cfRule>
    <cfRule type="expression" dxfId="3465" priority="3985">
      <formula>$B276="Serviço"</formula>
    </cfRule>
    <cfRule type="expression" dxfId="3464" priority="3986">
      <formula>$B276="Insumo"</formula>
    </cfRule>
    <cfRule type="expression" dxfId="3463" priority="3987">
      <formula>$B276="Etapa"</formula>
    </cfRule>
    <cfRule type="expression" dxfId="3462" priority="3988">
      <formula>$B276="Célula Construtiva"</formula>
    </cfRule>
    <cfRule type="expression" dxfId="3461" priority="3989">
      <formula>$B276="Subetapa"</formula>
    </cfRule>
  </conditionalFormatting>
  <conditionalFormatting sqref="V279">
    <cfRule type="expression" dxfId="3460" priority="3975" stopIfTrue="1">
      <formula>$B279="insumo"</formula>
    </cfRule>
  </conditionalFormatting>
  <conditionalFormatting sqref="AA279 T279">
    <cfRule type="expression" dxfId="3459" priority="3974" stopIfTrue="1">
      <formula>$B279="SERVIÇO"</formula>
    </cfRule>
  </conditionalFormatting>
  <conditionalFormatting sqref="AE279:AF279 A279:E279 V279 AA279:AC279 G279:T279">
    <cfRule type="expression" dxfId="3458" priority="3976">
      <formula>$B279="Unidade Construtiva"</formula>
    </cfRule>
    <cfRule type="expression" dxfId="3457" priority="3977">
      <formula>$B279="Serviço"</formula>
    </cfRule>
    <cfRule type="expression" dxfId="3456" priority="3978">
      <formula>$B279="Insumo"</formula>
    </cfRule>
    <cfRule type="expression" dxfId="3455" priority="3979">
      <formula>$B279="Etapa"</formula>
    </cfRule>
    <cfRule type="expression" dxfId="3454" priority="3980">
      <formula>$B279="Célula Construtiva"</formula>
    </cfRule>
    <cfRule type="expression" dxfId="3453" priority="3981">
      <formula>$B279="Subetapa"</formula>
    </cfRule>
  </conditionalFormatting>
  <conditionalFormatting sqref="T279">
    <cfRule type="expression" dxfId="3452" priority="3973" stopIfTrue="1">
      <formula>$B279="INSUMO"</formula>
    </cfRule>
  </conditionalFormatting>
  <conditionalFormatting sqref="V280">
    <cfRule type="expression" dxfId="3451" priority="3965" stopIfTrue="1">
      <formula>$B280="insumo"</formula>
    </cfRule>
  </conditionalFormatting>
  <conditionalFormatting sqref="AA280 T280">
    <cfRule type="expression" dxfId="3450" priority="3964" stopIfTrue="1">
      <formula>$B280="SERVIÇO"</formula>
    </cfRule>
  </conditionalFormatting>
  <conditionalFormatting sqref="AE280:AF280 A280:E280 V280 AA280:AC280 G280:T280">
    <cfRule type="expression" dxfId="3449" priority="3966">
      <formula>$B280="Unidade Construtiva"</formula>
    </cfRule>
    <cfRule type="expression" dxfId="3448" priority="3967">
      <formula>$B280="Serviço"</formula>
    </cfRule>
    <cfRule type="expression" dxfId="3447" priority="3968">
      <formula>$B280="Insumo"</formula>
    </cfRule>
    <cfRule type="expression" dxfId="3446" priority="3969">
      <formula>$B280="Etapa"</formula>
    </cfRule>
    <cfRule type="expression" dxfId="3445" priority="3970">
      <formula>$B280="Célula Construtiva"</formula>
    </cfRule>
    <cfRule type="expression" dxfId="3444" priority="3971">
      <formula>$B280="Subetapa"</formula>
    </cfRule>
  </conditionalFormatting>
  <conditionalFormatting sqref="T280">
    <cfRule type="expression" dxfId="3443" priority="3963" stopIfTrue="1">
      <formula>$B280="INSUMO"</formula>
    </cfRule>
  </conditionalFormatting>
  <conditionalFormatting sqref="AA283 T283">
    <cfRule type="expression" dxfId="3442" priority="3929" stopIfTrue="1">
      <formula>$B283="SERVIÇO"</formula>
    </cfRule>
  </conditionalFormatting>
  <conditionalFormatting sqref="AE283:AF283 A283:E283 AA283:AC283 G283:T283">
    <cfRule type="expression" dxfId="3441" priority="3931">
      <formula>$B283="Unidade Construtiva"</formula>
    </cfRule>
    <cfRule type="expression" dxfId="3440" priority="3932">
      <formula>$B283="Serviço"</formula>
    </cfRule>
    <cfRule type="expression" dxfId="3439" priority="3933">
      <formula>$B283="Insumo"</formula>
    </cfRule>
    <cfRule type="expression" dxfId="3438" priority="3934">
      <formula>$B283="Etapa"</formula>
    </cfRule>
    <cfRule type="expression" dxfId="3437" priority="3935">
      <formula>$B283="Célula Construtiva"</formula>
    </cfRule>
    <cfRule type="expression" dxfId="3436" priority="3936">
      <formula>$B283="Subetapa"</formula>
    </cfRule>
  </conditionalFormatting>
  <conditionalFormatting sqref="T283">
    <cfRule type="expression" dxfId="3435" priority="3928" stopIfTrue="1">
      <formula>$B283="INSUMO"</formula>
    </cfRule>
  </conditionalFormatting>
  <conditionalFormatting sqref="V283">
    <cfRule type="expression" dxfId="3434" priority="3914" stopIfTrue="1">
      <formula>$B283="insumo"</formula>
    </cfRule>
  </conditionalFormatting>
  <conditionalFormatting sqref="V283">
    <cfRule type="expression" dxfId="3433" priority="3915">
      <formula>$B283="Unidade Construtiva"</formula>
    </cfRule>
    <cfRule type="expression" dxfId="3432" priority="3916">
      <formula>$B283="Serviço"</formula>
    </cfRule>
    <cfRule type="expression" dxfId="3431" priority="3917">
      <formula>$B283="Insumo"</formula>
    </cfRule>
    <cfRule type="expression" dxfId="3430" priority="3918">
      <formula>$B283="Etapa"</formula>
    </cfRule>
    <cfRule type="expression" dxfId="3429" priority="3919">
      <formula>$B283="Célula Construtiva"</formula>
    </cfRule>
    <cfRule type="expression" dxfId="3428" priority="3920">
      <formula>$B283="Subetapa"</formula>
    </cfRule>
  </conditionalFormatting>
  <conditionalFormatting sqref="V277">
    <cfRule type="expression" dxfId="3427" priority="3893" stopIfTrue="1">
      <formula>$B277="insumo"</formula>
    </cfRule>
  </conditionalFormatting>
  <conditionalFormatting sqref="V277">
    <cfRule type="expression" dxfId="3426" priority="3894">
      <formula>$B277="Unidade Construtiva"</formula>
    </cfRule>
    <cfRule type="expression" dxfId="3425" priority="3895">
      <formula>$B277="Serviço"</formula>
    </cfRule>
    <cfRule type="expression" dxfId="3424" priority="3896">
      <formula>$B277="Insumo"</formula>
    </cfRule>
    <cfRule type="expression" dxfId="3423" priority="3897">
      <formula>$B277="Etapa"</formula>
    </cfRule>
    <cfRule type="expression" dxfId="3422" priority="3898">
      <formula>$B277="Célula Construtiva"</formula>
    </cfRule>
    <cfRule type="expression" dxfId="3421" priority="3899">
      <formula>$B277="Subetapa"</formula>
    </cfRule>
  </conditionalFormatting>
  <conditionalFormatting sqref="V267">
    <cfRule type="expression" dxfId="3420" priority="3865" stopIfTrue="1">
      <formula>$B267="insumo"</formula>
    </cfRule>
  </conditionalFormatting>
  <conditionalFormatting sqref="V267">
    <cfRule type="expression" dxfId="3419" priority="3866">
      <formula>$B267="Unidade Construtiva"</formula>
    </cfRule>
    <cfRule type="expression" dxfId="3418" priority="3867">
      <formula>$B267="Serviço"</formula>
    </cfRule>
    <cfRule type="expression" dxfId="3417" priority="3868">
      <formula>$B267="Insumo"</formula>
    </cfRule>
    <cfRule type="expression" dxfId="3416" priority="3869">
      <formula>$B267="Etapa"</formula>
    </cfRule>
    <cfRule type="expression" dxfId="3415" priority="3870">
      <formula>$B267="Célula Construtiva"</formula>
    </cfRule>
    <cfRule type="expression" dxfId="3414" priority="3871">
      <formula>$B267="Subetapa"</formula>
    </cfRule>
  </conditionalFormatting>
  <conditionalFormatting sqref="V282">
    <cfRule type="expression" dxfId="3413" priority="3879" stopIfTrue="1">
      <formula>$B282="insumo"</formula>
    </cfRule>
  </conditionalFormatting>
  <conditionalFormatting sqref="V282">
    <cfRule type="expression" dxfId="3412" priority="3880">
      <formula>$B282="Unidade Construtiva"</formula>
    </cfRule>
    <cfRule type="expression" dxfId="3411" priority="3881">
      <formula>$B282="Serviço"</formula>
    </cfRule>
    <cfRule type="expression" dxfId="3410" priority="3882">
      <formula>$B282="Insumo"</formula>
    </cfRule>
    <cfRule type="expression" dxfId="3409" priority="3883">
      <formula>$B282="Etapa"</formula>
    </cfRule>
    <cfRule type="expression" dxfId="3408" priority="3884">
      <formula>$B282="Célula Construtiva"</formula>
    </cfRule>
    <cfRule type="expression" dxfId="3407" priority="3885">
      <formula>$B282="Subetapa"</formula>
    </cfRule>
  </conditionalFormatting>
  <conditionalFormatting sqref="V272">
    <cfRule type="expression" dxfId="3406" priority="3872" stopIfTrue="1">
      <formula>$B272="insumo"</formula>
    </cfRule>
  </conditionalFormatting>
  <conditionalFormatting sqref="V272">
    <cfRule type="expression" dxfId="3405" priority="3873">
      <formula>$B272="Unidade Construtiva"</formula>
    </cfRule>
    <cfRule type="expression" dxfId="3404" priority="3874">
      <formula>$B272="Serviço"</formula>
    </cfRule>
    <cfRule type="expression" dxfId="3403" priority="3875">
      <formula>$B272="Insumo"</formula>
    </cfRule>
    <cfRule type="expression" dxfId="3402" priority="3876">
      <formula>$B272="Etapa"</formula>
    </cfRule>
    <cfRule type="expression" dxfId="3401" priority="3877">
      <formula>$B272="Célula Construtiva"</formula>
    </cfRule>
    <cfRule type="expression" dxfId="3400" priority="3878">
      <formula>$B272="Subetapa"</formula>
    </cfRule>
  </conditionalFormatting>
  <conditionalFormatting sqref="V377 V372 V362 V369 V374 V364">
    <cfRule type="expression" dxfId="3399" priority="3855" stopIfTrue="1">
      <formula>$B362="insumo"</formula>
    </cfRule>
  </conditionalFormatting>
  <conditionalFormatting sqref="AA377:AA378 T377:U378 T372:T374 U373:U376 AA372:AA374 T362:T364 U363:U366 AA362:AA364 T367:T369 U368:U371 AA367:AA369 U379">
    <cfRule type="expression" dxfId="3398" priority="3854" stopIfTrue="1">
      <formula>$B362="SERVIÇO"</formula>
    </cfRule>
  </conditionalFormatting>
  <conditionalFormatting sqref="AE377:AF378 V362:AC362 A372:E374 U373:U376 V374 AA373:AC374 W373:Z376 AE372:AF374 A362:E364 U363:U366 V364 AA363:AC364 W363:Z366 AE362:AF364 A367:E369 U368:U371 V369 AA368:AC369 W368:Z371 AE367:AF369 U379 W379:Z379 A377:E378 W378:AC378 G378:U378 G367:T369 G362:T364 G372:T374 G377:AC377">
    <cfRule type="expression" dxfId="3397" priority="3856">
      <formula>$B362="Unidade Construtiva"</formula>
    </cfRule>
    <cfRule type="expression" dxfId="3396" priority="3857">
      <formula>$B362="Serviço"</formula>
    </cfRule>
    <cfRule type="expression" dxfId="3395" priority="3858">
      <formula>$B362="Insumo"</formula>
    </cfRule>
    <cfRule type="expression" dxfId="3394" priority="3859">
      <formula>$B362="Etapa"</formula>
    </cfRule>
    <cfRule type="expression" dxfId="3393" priority="3860">
      <formula>$B362="Célula Construtiva"</formula>
    </cfRule>
    <cfRule type="expression" dxfId="3392" priority="3861">
      <formula>$B362="Subetapa"</formula>
    </cfRule>
  </conditionalFormatting>
  <conditionalFormatting sqref="T377:T378 T372:T374 T362:T364 T367:T369">
    <cfRule type="expression" dxfId="3391" priority="3853" stopIfTrue="1">
      <formula>$B362="INSUMO"</formula>
    </cfRule>
  </conditionalFormatting>
  <conditionalFormatting sqref="W362:W379">
    <cfRule type="containsText" dxfId="3390" priority="3852" stopIfTrue="1" operator="containsText" text="INSERIR">
      <formula>NOT(ISERROR(SEARCH("INSERIR",W362)))</formula>
    </cfRule>
  </conditionalFormatting>
  <conditionalFormatting sqref="U362">
    <cfRule type="expression" dxfId="3389" priority="3845" stopIfTrue="1">
      <formula>$B362="SERVIÇO"</formula>
    </cfRule>
  </conditionalFormatting>
  <conditionalFormatting sqref="U362">
    <cfRule type="expression" dxfId="3388" priority="3846">
      <formula>$B362="Unidade Construtiva"</formula>
    </cfRule>
    <cfRule type="expression" dxfId="3387" priority="3847">
      <formula>$B362="Serviço"</formula>
    </cfRule>
    <cfRule type="expression" dxfId="3386" priority="3848">
      <formula>$B362="Insumo"</formula>
    </cfRule>
    <cfRule type="expression" dxfId="3385" priority="3849">
      <formula>$B362="Etapa"</formula>
    </cfRule>
    <cfRule type="expression" dxfId="3384" priority="3850">
      <formula>$B362="Célula Construtiva"</formula>
    </cfRule>
    <cfRule type="expression" dxfId="3383" priority="3851">
      <formula>$B362="Subetapa"</formula>
    </cfRule>
  </conditionalFormatting>
  <conditionalFormatting sqref="V365">
    <cfRule type="expression" dxfId="3382" priority="3837" stopIfTrue="1">
      <formula>$B365="insumo"</formula>
    </cfRule>
  </conditionalFormatting>
  <conditionalFormatting sqref="AA365 T365">
    <cfRule type="expression" dxfId="3381" priority="3836" stopIfTrue="1">
      <formula>$B365="SERVIÇO"</formula>
    </cfRule>
  </conditionalFormatting>
  <conditionalFormatting sqref="AE365:AF365 A365:E365 V365 AA365:AC365 G365:T365">
    <cfRule type="expression" dxfId="3380" priority="3838">
      <formula>$B365="Unidade Construtiva"</formula>
    </cfRule>
    <cfRule type="expression" dxfId="3379" priority="3839">
      <formula>$B365="Serviço"</formula>
    </cfRule>
    <cfRule type="expression" dxfId="3378" priority="3840">
      <formula>$B365="Insumo"</formula>
    </cfRule>
    <cfRule type="expression" dxfId="3377" priority="3841">
      <formula>$B365="Etapa"</formula>
    </cfRule>
    <cfRule type="expression" dxfId="3376" priority="3842">
      <formula>$B365="Célula Construtiva"</formula>
    </cfRule>
    <cfRule type="expression" dxfId="3375" priority="3843">
      <formula>$B365="Subetapa"</formula>
    </cfRule>
  </conditionalFormatting>
  <conditionalFormatting sqref="T365">
    <cfRule type="expression" dxfId="3374" priority="3835" stopIfTrue="1">
      <formula>$B365="INSUMO"</formula>
    </cfRule>
  </conditionalFormatting>
  <conditionalFormatting sqref="V366">
    <cfRule type="expression" dxfId="3373" priority="3827" stopIfTrue="1">
      <formula>$B366="insumo"</formula>
    </cfRule>
  </conditionalFormatting>
  <conditionalFormatting sqref="AA366 T366">
    <cfRule type="expression" dxfId="3372" priority="3826" stopIfTrue="1">
      <formula>$B366="SERVIÇO"</formula>
    </cfRule>
  </conditionalFormatting>
  <conditionalFormatting sqref="AE366:AF366 A366:E366 V366 AA366:AC366 G366:T366">
    <cfRule type="expression" dxfId="3371" priority="3828">
      <formula>$B366="Unidade Construtiva"</formula>
    </cfRule>
    <cfRule type="expression" dxfId="3370" priority="3829">
      <formula>$B366="Serviço"</formula>
    </cfRule>
    <cfRule type="expression" dxfId="3369" priority="3830">
      <formula>$B366="Insumo"</formula>
    </cfRule>
    <cfRule type="expression" dxfId="3368" priority="3831">
      <formula>$B366="Etapa"</formula>
    </cfRule>
    <cfRule type="expression" dxfId="3367" priority="3832">
      <formula>$B366="Célula Construtiva"</formula>
    </cfRule>
    <cfRule type="expression" dxfId="3366" priority="3833">
      <formula>$B366="Subetapa"</formula>
    </cfRule>
  </conditionalFormatting>
  <conditionalFormatting sqref="T366">
    <cfRule type="expression" dxfId="3365" priority="3825" stopIfTrue="1">
      <formula>$B366="INSUMO"</formula>
    </cfRule>
  </conditionalFormatting>
  <conditionalFormatting sqref="V367">
    <cfRule type="expression" dxfId="3364" priority="3818" stopIfTrue="1">
      <formula>$B367="insumo"</formula>
    </cfRule>
  </conditionalFormatting>
  <conditionalFormatting sqref="V367:AC367">
    <cfRule type="expression" dxfId="3363" priority="3819">
      <formula>$B367="Unidade Construtiva"</formula>
    </cfRule>
    <cfRule type="expression" dxfId="3362" priority="3820">
      <formula>$B367="Serviço"</formula>
    </cfRule>
    <cfRule type="expression" dxfId="3361" priority="3821">
      <formula>$B367="Insumo"</formula>
    </cfRule>
    <cfRule type="expression" dxfId="3360" priority="3822">
      <formula>$B367="Etapa"</formula>
    </cfRule>
    <cfRule type="expression" dxfId="3359" priority="3823">
      <formula>$B367="Célula Construtiva"</formula>
    </cfRule>
    <cfRule type="expression" dxfId="3358" priority="3824">
      <formula>$B367="Subetapa"</formula>
    </cfRule>
  </conditionalFormatting>
  <conditionalFormatting sqref="U367">
    <cfRule type="expression" dxfId="3357" priority="3811" stopIfTrue="1">
      <formula>$B367="SERVIÇO"</formula>
    </cfRule>
  </conditionalFormatting>
  <conditionalFormatting sqref="U367">
    <cfRule type="expression" dxfId="3356" priority="3812">
      <formula>$B367="Unidade Construtiva"</formula>
    </cfRule>
    <cfRule type="expression" dxfId="3355" priority="3813">
      <formula>$B367="Serviço"</formula>
    </cfRule>
    <cfRule type="expression" dxfId="3354" priority="3814">
      <formula>$B367="Insumo"</formula>
    </cfRule>
    <cfRule type="expression" dxfId="3353" priority="3815">
      <formula>$B367="Etapa"</formula>
    </cfRule>
    <cfRule type="expression" dxfId="3352" priority="3816">
      <formula>$B367="Célula Construtiva"</formula>
    </cfRule>
    <cfRule type="expression" dxfId="3351" priority="3817">
      <formula>$B367="Subetapa"</formula>
    </cfRule>
  </conditionalFormatting>
  <conditionalFormatting sqref="V370">
    <cfRule type="expression" dxfId="3350" priority="3803" stopIfTrue="1">
      <formula>$B370="insumo"</formula>
    </cfRule>
  </conditionalFormatting>
  <conditionalFormatting sqref="AA370 T370">
    <cfRule type="expression" dxfId="3349" priority="3802" stopIfTrue="1">
      <formula>$B370="SERVIÇO"</formula>
    </cfRule>
  </conditionalFormatting>
  <conditionalFormatting sqref="AE370:AF370 A370:E370 V370 AA370:AC370 G370:T370">
    <cfRule type="expression" dxfId="3348" priority="3804">
      <formula>$B370="Unidade Construtiva"</formula>
    </cfRule>
    <cfRule type="expression" dxfId="3347" priority="3805">
      <formula>$B370="Serviço"</formula>
    </cfRule>
    <cfRule type="expression" dxfId="3346" priority="3806">
      <formula>$B370="Insumo"</formula>
    </cfRule>
    <cfRule type="expression" dxfId="3345" priority="3807">
      <formula>$B370="Etapa"</formula>
    </cfRule>
    <cfRule type="expression" dxfId="3344" priority="3808">
      <formula>$B370="Célula Construtiva"</formula>
    </cfRule>
    <cfRule type="expression" dxfId="3343" priority="3809">
      <formula>$B370="Subetapa"</formula>
    </cfRule>
  </conditionalFormatting>
  <conditionalFormatting sqref="T370">
    <cfRule type="expression" dxfId="3342" priority="3801" stopIfTrue="1">
      <formula>$B370="INSUMO"</formula>
    </cfRule>
  </conditionalFormatting>
  <conditionalFormatting sqref="V371">
    <cfRule type="expression" dxfId="3341" priority="3793" stopIfTrue="1">
      <formula>$B371="insumo"</formula>
    </cfRule>
  </conditionalFormatting>
  <conditionalFormatting sqref="AA371 T371">
    <cfRule type="expression" dxfId="3340" priority="3792" stopIfTrue="1">
      <formula>$B371="SERVIÇO"</formula>
    </cfRule>
  </conditionalFormatting>
  <conditionalFormatting sqref="AE371:AF371 A371:E371 V371 AA371:AC371 G371:T371">
    <cfRule type="expression" dxfId="3339" priority="3794">
      <formula>$B371="Unidade Construtiva"</formula>
    </cfRule>
    <cfRule type="expression" dxfId="3338" priority="3795">
      <formula>$B371="Serviço"</formula>
    </cfRule>
    <cfRule type="expression" dxfId="3337" priority="3796">
      <formula>$B371="Insumo"</formula>
    </cfRule>
    <cfRule type="expression" dxfId="3336" priority="3797">
      <formula>$B371="Etapa"</formula>
    </cfRule>
    <cfRule type="expression" dxfId="3335" priority="3798">
      <formula>$B371="Célula Construtiva"</formula>
    </cfRule>
    <cfRule type="expression" dxfId="3334" priority="3799">
      <formula>$B371="Subetapa"</formula>
    </cfRule>
  </conditionalFormatting>
  <conditionalFormatting sqref="T371">
    <cfRule type="expression" dxfId="3333" priority="3791" stopIfTrue="1">
      <formula>$B371="INSUMO"</formula>
    </cfRule>
  </conditionalFormatting>
  <conditionalFormatting sqref="V372:AC372">
    <cfRule type="expression" dxfId="3332" priority="3785">
      <formula>$B372="Unidade Construtiva"</formula>
    </cfRule>
    <cfRule type="expression" dxfId="3331" priority="3786">
      <formula>$B372="Serviço"</formula>
    </cfRule>
    <cfRule type="expression" dxfId="3330" priority="3787">
      <formula>$B372="Insumo"</formula>
    </cfRule>
    <cfRule type="expression" dxfId="3329" priority="3788">
      <formula>$B372="Etapa"</formula>
    </cfRule>
    <cfRule type="expression" dxfId="3328" priority="3789">
      <formula>$B372="Célula Construtiva"</formula>
    </cfRule>
    <cfRule type="expression" dxfId="3327" priority="3790">
      <formula>$B372="Subetapa"</formula>
    </cfRule>
  </conditionalFormatting>
  <conditionalFormatting sqref="U372">
    <cfRule type="expression" dxfId="3326" priority="3778" stopIfTrue="1">
      <formula>$B372="SERVIÇO"</formula>
    </cfRule>
  </conditionalFormatting>
  <conditionalFormatting sqref="U372">
    <cfRule type="expression" dxfId="3325" priority="3779">
      <formula>$B372="Unidade Construtiva"</formula>
    </cfRule>
    <cfRule type="expression" dxfId="3324" priority="3780">
      <formula>$B372="Serviço"</formula>
    </cfRule>
    <cfRule type="expression" dxfId="3323" priority="3781">
      <formula>$B372="Insumo"</formula>
    </cfRule>
    <cfRule type="expression" dxfId="3322" priority="3782">
      <formula>$B372="Etapa"</formula>
    </cfRule>
    <cfRule type="expression" dxfId="3321" priority="3783">
      <formula>$B372="Célula Construtiva"</formula>
    </cfRule>
    <cfRule type="expression" dxfId="3320" priority="3784">
      <formula>$B372="Subetapa"</formula>
    </cfRule>
  </conditionalFormatting>
  <conditionalFormatting sqref="V375">
    <cfRule type="expression" dxfId="3319" priority="3770" stopIfTrue="1">
      <formula>$B375="insumo"</formula>
    </cfRule>
  </conditionalFormatting>
  <conditionalFormatting sqref="AA375 T375">
    <cfRule type="expression" dxfId="3318" priority="3769" stopIfTrue="1">
      <formula>$B375="SERVIÇO"</formula>
    </cfRule>
  </conditionalFormatting>
  <conditionalFormatting sqref="AE375:AF375 A375:E375 V375 AA375:AC375 G375:T375">
    <cfRule type="expression" dxfId="3317" priority="3771">
      <formula>$B375="Unidade Construtiva"</formula>
    </cfRule>
    <cfRule type="expression" dxfId="3316" priority="3772">
      <formula>$B375="Serviço"</formula>
    </cfRule>
    <cfRule type="expression" dxfId="3315" priority="3773">
      <formula>$B375="Insumo"</formula>
    </cfRule>
    <cfRule type="expression" dxfId="3314" priority="3774">
      <formula>$B375="Etapa"</formula>
    </cfRule>
    <cfRule type="expression" dxfId="3313" priority="3775">
      <formula>$B375="Célula Construtiva"</formula>
    </cfRule>
    <cfRule type="expression" dxfId="3312" priority="3776">
      <formula>$B375="Subetapa"</formula>
    </cfRule>
  </conditionalFormatting>
  <conditionalFormatting sqref="T375">
    <cfRule type="expression" dxfId="3311" priority="3768" stopIfTrue="1">
      <formula>$B375="INSUMO"</formula>
    </cfRule>
  </conditionalFormatting>
  <conditionalFormatting sqref="V376">
    <cfRule type="expression" dxfId="3310" priority="3760" stopIfTrue="1">
      <formula>$B376="insumo"</formula>
    </cfRule>
  </conditionalFormatting>
  <conditionalFormatting sqref="AA376 T376">
    <cfRule type="expression" dxfId="3309" priority="3759" stopIfTrue="1">
      <formula>$B376="SERVIÇO"</formula>
    </cfRule>
  </conditionalFormatting>
  <conditionalFormatting sqref="AE376:AF376 A376:E376 V376 AA376:AC376 G376:T376">
    <cfRule type="expression" dxfId="3308" priority="3761">
      <formula>$B376="Unidade Construtiva"</formula>
    </cfRule>
    <cfRule type="expression" dxfId="3307" priority="3762">
      <formula>$B376="Serviço"</formula>
    </cfRule>
    <cfRule type="expression" dxfId="3306" priority="3763">
      <formula>$B376="Insumo"</formula>
    </cfRule>
    <cfRule type="expression" dxfId="3305" priority="3764">
      <formula>$B376="Etapa"</formula>
    </cfRule>
    <cfRule type="expression" dxfId="3304" priority="3765">
      <formula>$B376="Célula Construtiva"</formula>
    </cfRule>
    <cfRule type="expression" dxfId="3303" priority="3766">
      <formula>$B376="Subetapa"</formula>
    </cfRule>
  </conditionalFormatting>
  <conditionalFormatting sqref="T376">
    <cfRule type="expression" dxfId="3302" priority="3758" stopIfTrue="1">
      <formula>$B376="INSUMO"</formula>
    </cfRule>
  </conditionalFormatting>
  <conditionalFormatting sqref="AA379 T379">
    <cfRule type="expression" dxfId="3301" priority="3750" stopIfTrue="1">
      <formula>$B379="SERVIÇO"</formula>
    </cfRule>
  </conditionalFormatting>
  <conditionalFormatting sqref="AE379:AF379 A379:E379 AA379:AC379 G379:T379">
    <cfRule type="expression" dxfId="3300" priority="3751">
      <formula>$B379="Unidade Construtiva"</formula>
    </cfRule>
    <cfRule type="expression" dxfId="3299" priority="3752">
      <formula>$B379="Serviço"</formula>
    </cfRule>
    <cfRule type="expression" dxfId="3298" priority="3753">
      <formula>$B379="Insumo"</formula>
    </cfRule>
    <cfRule type="expression" dxfId="3297" priority="3754">
      <formula>$B379="Etapa"</formula>
    </cfRule>
    <cfRule type="expression" dxfId="3296" priority="3755">
      <formula>$B379="Célula Construtiva"</formula>
    </cfRule>
    <cfRule type="expression" dxfId="3295" priority="3756">
      <formula>$B379="Subetapa"</formula>
    </cfRule>
  </conditionalFormatting>
  <conditionalFormatting sqref="T379">
    <cfRule type="expression" dxfId="3294" priority="3749" stopIfTrue="1">
      <formula>$B379="INSUMO"</formula>
    </cfRule>
  </conditionalFormatting>
  <conditionalFormatting sqref="V379">
    <cfRule type="expression" dxfId="3293" priority="3742" stopIfTrue="1">
      <formula>$B379="insumo"</formula>
    </cfRule>
  </conditionalFormatting>
  <conditionalFormatting sqref="V379">
    <cfRule type="expression" dxfId="3292" priority="3743">
      <formula>$B379="Unidade Construtiva"</formula>
    </cfRule>
    <cfRule type="expression" dxfId="3291" priority="3744">
      <formula>$B379="Serviço"</formula>
    </cfRule>
    <cfRule type="expression" dxfId="3290" priority="3745">
      <formula>$B379="Insumo"</formula>
    </cfRule>
    <cfRule type="expression" dxfId="3289" priority="3746">
      <formula>$B379="Etapa"</formula>
    </cfRule>
    <cfRule type="expression" dxfId="3288" priority="3747">
      <formula>$B379="Célula Construtiva"</formula>
    </cfRule>
    <cfRule type="expression" dxfId="3287" priority="3748">
      <formula>$B379="Subetapa"</formula>
    </cfRule>
  </conditionalFormatting>
  <conditionalFormatting sqref="V373">
    <cfRule type="expression" dxfId="3286" priority="3735" stopIfTrue="1">
      <formula>$B373="insumo"</formula>
    </cfRule>
  </conditionalFormatting>
  <conditionalFormatting sqref="V373">
    <cfRule type="expression" dxfId="3285" priority="3736">
      <formula>$B373="Unidade Construtiva"</formula>
    </cfRule>
    <cfRule type="expression" dxfId="3284" priority="3737">
      <formula>$B373="Serviço"</formula>
    </cfRule>
    <cfRule type="expression" dxfId="3283" priority="3738">
      <formula>$B373="Insumo"</formula>
    </cfRule>
    <cfRule type="expression" dxfId="3282" priority="3739">
      <formula>$B373="Etapa"</formula>
    </cfRule>
    <cfRule type="expression" dxfId="3281" priority="3740">
      <formula>$B373="Célula Construtiva"</formula>
    </cfRule>
    <cfRule type="expression" dxfId="3280" priority="3741">
      <formula>$B373="Subetapa"</formula>
    </cfRule>
  </conditionalFormatting>
  <conditionalFormatting sqref="V363">
    <cfRule type="expression" dxfId="3279" priority="3714" stopIfTrue="1">
      <formula>$B363="insumo"</formula>
    </cfRule>
  </conditionalFormatting>
  <conditionalFormatting sqref="V363">
    <cfRule type="expression" dxfId="3278" priority="3715">
      <formula>$B363="Unidade Construtiva"</formula>
    </cfRule>
    <cfRule type="expression" dxfId="3277" priority="3716">
      <formula>$B363="Serviço"</formula>
    </cfRule>
    <cfRule type="expression" dxfId="3276" priority="3717">
      <formula>$B363="Insumo"</formula>
    </cfRule>
    <cfRule type="expression" dxfId="3275" priority="3718">
      <formula>$B363="Etapa"</formula>
    </cfRule>
    <cfRule type="expression" dxfId="3274" priority="3719">
      <formula>$B363="Célula Construtiva"</formula>
    </cfRule>
    <cfRule type="expression" dxfId="3273" priority="3720">
      <formula>$B363="Subetapa"</formula>
    </cfRule>
  </conditionalFormatting>
  <conditionalFormatting sqref="V378">
    <cfRule type="expression" dxfId="3272" priority="3728" stopIfTrue="1">
      <formula>$B378="insumo"</formula>
    </cfRule>
  </conditionalFormatting>
  <conditionalFormatting sqref="V378">
    <cfRule type="expression" dxfId="3271" priority="3729">
      <formula>$B378="Unidade Construtiva"</formula>
    </cfRule>
    <cfRule type="expression" dxfId="3270" priority="3730">
      <formula>$B378="Serviço"</formula>
    </cfRule>
    <cfRule type="expression" dxfId="3269" priority="3731">
      <formula>$B378="Insumo"</formula>
    </cfRule>
    <cfRule type="expression" dxfId="3268" priority="3732">
      <formula>$B378="Etapa"</formula>
    </cfRule>
    <cfRule type="expression" dxfId="3267" priority="3733">
      <formula>$B378="Célula Construtiva"</formula>
    </cfRule>
    <cfRule type="expression" dxfId="3266" priority="3734">
      <formula>$B378="Subetapa"</formula>
    </cfRule>
  </conditionalFormatting>
  <conditionalFormatting sqref="V368">
    <cfRule type="expression" dxfId="3265" priority="3721" stopIfTrue="1">
      <formula>$B368="insumo"</formula>
    </cfRule>
  </conditionalFormatting>
  <conditionalFormatting sqref="V368">
    <cfRule type="expression" dxfId="3264" priority="3722">
      <formula>$B368="Unidade Construtiva"</formula>
    </cfRule>
    <cfRule type="expression" dxfId="3263" priority="3723">
      <formula>$B368="Serviço"</formula>
    </cfRule>
    <cfRule type="expression" dxfId="3262" priority="3724">
      <formula>$B368="Insumo"</formula>
    </cfRule>
    <cfRule type="expression" dxfId="3261" priority="3725">
      <formula>$B368="Etapa"</formula>
    </cfRule>
    <cfRule type="expression" dxfId="3260" priority="3726">
      <formula>$B368="Célula Construtiva"</formula>
    </cfRule>
    <cfRule type="expression" dxfId="3259" priority="3727">
      <formula>$B368="Subetapa"</formula>
    </cfRule>
  </conditionalFormatting>
  <conditionalFormatting sqref="V468 V463 V453 V460 V465 V455">
    <cfRule type="expression" dxfId="3258" priority="3704" stopIfTrue="1">
      <formula>$B453="insumo"</formula>
    </cfRule>
  </conditionalFormatting>
  <conditionalFormatting sqref="AA468:AA469 T468:U469 T463:T465 U464:U467 AA463:AA465 T453:T455 U454:U457 AA453:AA455 T458:T460 U459:U462 AA458:AA460 U470">
    <cfRule type="expression" dxfId="3257" priority="3703" stopIfTrue="1">
      <formula>$B453="SERVIÇO"</formula>
    </cfRule>
  </conditionalFormatting>
  <conditionalFormatting sqref="AE468:AF469 V453:AC453 A463:E465 U464:U467 V465 AA464:AC465 W464:Z467 AE463:AF465 A453:E455 U454:U457 V455 AA454:AC455 W454:Z457 AE453:AF455 A458:E460 U459:U462 V460 AA459:AC460 W459:Z462 AE458:AF460 U470 W470:Z470 A468:E469 W469:AC469 G469:U469 G458:T460 G453:T455 G463:T465 G468:AC468">
    <cfRule type="expression" dxfId="3256" priority="3705">
      <formula>$B453="Unidade Construtiva"</formula>
    </cfRule>
    <cfRule type="expression" dxfId="3255" priority="3706">
      <formula>$B453="Serviço"</formula>
    </cfRule>
    <cfRule type="expression" dxfId="3254" priority="3707">
      <formula>$B453="Insumo"</formula>
    </cfRule>
    <cfRule type="expression" dxfId="3253" priority="3708">
      <formula>$B453="Etapa"</formula>
    </cfRule>
    <cfRule type="expression" dxfId="3252" priority="3709">
      <formula>$B453="Célula Construtiva"</formula>
    </cfRule>
    <cfRule type="expression" dxfId="3251" priority="3710">
      <formula>$B453="Subetapa"</formula>
    </cfRule>
  </conditionalFormatting>
  <conditionalFormatting sqref="T468:T469 T463:T465 T453:T455 T458:T460">
    <cfRule type="expression" dxfId="3250" priority="3702" stopIfTrue="1">
      <formula>$B453="INSUMO"</formula>
    </cfRule>
  </conditionalFormatting>
  <conditionalFormatting sqref="W453:W470">
    <cfRule type="containsText" dxfId="3249" priority="3701" stopIfTrue="1" operator="containsText" text="INSERIR">
      <formula>NOT(ISERROR(SEARCH("INSERIR",W453)))</formula>
    </cfRule>
  </conditionalFormatting>
  <conditionalFormatting sqref="U453">
    <cfRule type="expression" dxfId="3248" priority="3694" stopIfTrue="1">
      <formula>$B453="SERVIÇO"</formula>
    </cfRule>
  </conditionalFormatting>
  <conditionalFormatting sqref="U453">
    <cfRule type="expression" dxfId="3247" priority="3695">
      <formula>$B453="Unidade Construtiva"</formula>
    </cfRule>
    <cfRule type="expression" dxfId="3246" priority="3696">
      <formula>$B453="Serviço"</formula>
    </cfRule>
    <cfRule type="expression" dxfId="3245" priority="3697">
      <formula>$B453="Insumo"</formula>
    </cfRule>
    <cfRule type="expression" dxfId="3244" priority="3698">
      <formula>$B453="Etapa"</formula>
    </cfRule>
    <cfRule type="expression" dxfId="3243" priority="3699">
      <formula>$B453="Célula Construtiva"</formula>
    </cfRule>
    <cfRule type="expression" dxfId="3242" priority="3700">
      <formula>$B453="Subetapa"</formula>
    </cfRule>
  </conditionalFormatting>
  <conditionalFormatting sqref="V456">
    <cfRule type="expression" dxfId="3241" priority="3686" stopIfTrue="1">
      <formula>$B456="insumo"</formula>
    </cfRule>
  </conditionalFormatting>
  <conditionalFormatting sqref="AA456 T456">
    <cfRule type="expression" dxfId="3240" priority="3685" stopIfTrue="1">
      <formula>$B456="SERVIÇO"</formula>
    </cfRule>
  </conditionalFormatting>
  <conditionalFormatting sqref="AE456:AF456 A456:E456 V456 AA456:AC456 G456:T456">
    <cfRule type="expression" dxfId="3239" priority="3687">
      <formula>$B456="Unidade Construtiva"</formula>
    </cfRule>
    <cfRule type="expression" dxfId="3238" priority="3688">
      <formula>$B456="Serviço"</formula>
    </cfRule>
    <cfRule type="expression" dxfId="3237" priority="3689">
      <formula>$B456="Insumo"</formula>
    </cfRule>
    <cfRule type="expression" dxfId="3236" priority="3690">
      <formula>$B456="Etapa"</formula>
    </cfRule>
    <cfRule type="expression" dxfId="3235" priority="3691">
      <formula>$B456="Célula Construtiva"</formula>
    </cfRule>
    <cfRule type="expression" dxfId="3234" priority="3692">
      <formula>$B456="Subetapa"</formula>
    </cfRule>
  </conditionalFormatting>
  <conditionalFormatting sqref="T456">
    <cfRule type="expression" dxfId="3233" priority="3684" stopIfTrue="1">
      <formula>$B456="INSUMO"</formula>
    </cfRule>
  </conditionalFormatting>
  <conditionalFormatting sqref="V457">
    <cfRule type="expression" dxfId="3232" priority="3676" stopIfTrue="1">
      <formula>$B457="insumo"</formula>
    </cfRule>
  </conditionalFormatting>
  <conditionalFormatting sqref="AA457 T457">
    <cfRule type="expression" dxfId="3231" priority="3675" stopIfTrue="1">
      <formula>$B457="SERVIÇO"</formula>
    </cfRule>
  </conditionalFormatting>
  <conditionalFormatting sqref="AE457:AF457 A457:E457 V457 AA457:AC457 G457:T457">
    <cfRule type="expression" dxfId="3230" priority="3677">
      <formula>$B457="Unidade Construtiva"</formula>
    </cfRule>
    <cfRule type="expression" dxfId="3229" priority="3678">
      <formula>$B457="Serviço"</formula>
    </cfRule>
    <cfRule type="expression" dxfId="3228" priority="3679">
      <formula>$B457="Insumo"</formula>
    </cfRule>
    <cfRule type="expression" dxfId="3227" priority="3680">
      <formula>$B457="Etapa"</formula>
    </cfRule>
    <cfRule type="expression" dxfId="3226" priority="3681">
      <formula>$B457="Célula Construtiva"</formula>
    </cfRule>
    <cfRule type="expression" dxfId="3225" priority="3682">
      <formula>$B457="Subetapa"</formula>
    </cfRule>
  </conditionalFormatting>
  <conditionalFormatting sqref="T457">
    <cfRule type="expression" dxfId="3224" priority="3674" stopIfTrue="1">
      <formula>$B457="INSUMO"</formula>
    </cfRule>
  </conditionalFormatting>
  <conditionalFormatting sqref="V458">
    <cfRule type="expression" dxfId="3223" priority="3667" stopIfTrue="1">
      <formula>$B458="insumo"</formula>
    </cfRule>
  </conditionalFormatting>
  <conditionalFormatting sqref="V458:AC458">
    <cfRule type="expression" dxfId="3222" priority="3668">
      <formula>$B458="Unidade Construtiva"</formula>
    </cfRule>
    <cfRule type="expression" dxfId="3221" priority="3669">
      <formula>$B458="Serviço"</formula>
    </cfRule>
    <cfRule type="expression" dxfId="3220" priority="3670">
      <formula>$B458="Insumo"</formula>
    </cfRule>
    <cfRule type="expression" dxfId="3219" priority="3671">
      <formula>$B458="Etapa"</formula>
    </cfRule>
    <cfRule type="expression" dxfId="3218" priority="3672">
      <formula>$B458="Célula Construtiva"</formula>
    </cfRule>
    <cfRule type="expression" dxfId="3217" priority="3673">
      <formula>$B458="Subetapa"</formula>
    </cfRule>
  </conditionalFormatting>
  <conditionalFormatting sqref="U458">
    <cfRule type="expression" dxfId="3216" priority="3660" stopIfTrue="1">
      <formula>$B458="SERVIÇO"</formula>
    </cfRule>
  </conditionalFormatting>
  <conditionalFormatting sqref="U458">
    <cfRule type="expression" dxfId="3215" priority="3661">
      <formula>$B458="Unidade Construtiva"</formula>
    </cfRule>
    <cfRule type="expression" dxfId="3214" priority="3662">
      <formula>$B458="Serviço"</formula>
    </cfRule>
    <cfRule type="expression" dxfId="3213" priority="3663">
      <formula>$B458="Insumo"</formula>
    </cfRule>
    <cfRule type="expression" dxfId="3212" priority="3664">
      <formula>$B458="Etapa"</formula>
    </cfRule>
    <cfRule type="expression" dxfId="3211" priority="3665">
      <formula>$B458="Célula Construtiva"</formula>
    </cfRule>
    <cfRule type="expression" dxfId="3210" priority="3666">
      <formula>$B458="Subetapa"</formula>
    </cfRule>
  </conditionalFormatting>
  <conditionalFormatting sqref="V461">
    <cfRule type="expression" dxfId="3209" priority="3652" stopIfTrue="1">
      <formula>$B461="insumo"</formula>
    </cfRule>
  </conditionalFormatting>
  <conditionalFormatting sqref="AA461 T461">
    <cfRule type="expression" dxfId="3208" priority="3651" stopIfTrue="1">
      <formula>$B461="SERVIÇO"</formula>
    </cfRule>
  </conditionalFormatting>
  <conditionalFormatting sqref="AE461:AF461 A461:E461 V461 AA461:AC461 G461:T461">
    <cfRule type="expression" dxfId="3207" priority="3653">
      <formula>$B461="Unidade Construtiva"</formula>
    </cfRule>
    <cfRule type="expression" dxfId="3206" priority="3654">
      <formula>$B461="Serviço"</formula>
    </cfRule>
    <cfRule type="expression" dxfId="3205" priority="3655">
      <formula>$B461="Insumo"</formula>
    </cfRule>
    <cfRule type="expression" dxfId="3204" priority="3656">
      <formula>$B461="Etapa"</formula>
    </cfRule>
    <cfRule type="expression" dxfId="3203" priority="3657">
      <formula>$B461="Célula Construtiva"</formula>
    </cfRule>
    <cfRule type="expression" dxfId="3202" priority="3658">
      <formula>$B461="Subetapa"</formula>
    </cfRule>
  </conditionalFormatting>
  <conditionalFormatting sqref="T461">
    <cfRule type="expression" dxfId="3201" priority="3650" stopIfTrue="1">
      <formula>$B461="INSUMO"</formula>
    </cfRule>
  </conditionalFormatting>
  <conditionalFormatting sqref="V462">
    <cfRule type="expression" dxfId="3200" priority="3642" stopIfTrue="1">
      <formula>$B462="insumo"</formula>
    </cfRule>
  </conditionalFormatting>
  <conditionalFormatting sqref="AA462 T462">
    <cfRule type="expression" dxfId="3199" priority="3641" stopIfTrue="1">
      <formula>$B462="SERVIÇO"</formula>
    </cfRule>
  </conditionalFormatting>
  <conditionalFormatting sqref="AE462:AF462 A462:E462 V462 AA462:AC462 G462:T462">
    <cfRule type="expression" dxfId="3198" priority="3643">
      <formula>$B462="Unidade Construtiva"</formula>
    </cfRule>
    <cfRule type="expression" dxfId="3197" priority="3644">
      <formula>$B462="Serviço"</formula>
    </cfRule>
    <cfRule type="expression" dxfId="3196" priority="3645">
      <formula>$B462="Insumo"</formula>
    </cfRule>
    <cfRule type="expression" dxfId="3195" priority="3646">
      <formula>$B462="Etapa"</formula>
    </cfRule>
    <cfRule type="expression" dxfId="3194" priority="3647">
      <formula>$B462="Célula Construtiva"</formula>
    </cfRule>
    <cfRule type="expression" dxfId="3193" priority="3648">
      <formula>$B462="Subetapa"</formula>
    </cfRule>
  </conditionalFormatting>
  <conditionalFormatting sqref="T462">
    <cfRule type="expression" dxfId="3192" priority="3640" stopIfTrue="1">
      <formula>$B462="INSUMO"</formula>
    </cfRule>
  </conditionalFormatting>
  <conditionalFormatting sqref="V463:AC463">
    <cfRule type="expression" dxfId="3191" priority="3634">
      <formula>$B463="Unidade Construtiva"</formula>
    </cfRule>
    <cfRule type="expression" dxfId="3190" priority="3635">
      <formula>$B463="Serviço"</formula>
    </cfRule>
    <cfRule type="expression" dxfId="3189" priority="3636">
      <formula>$B463="Insumo"</formula>
    </cfRule>
    <cfRule type="expression" dxfId="3188" priority="3637">
      <formula>$B463="Etapa"</formula>
    </cfRule>
    <cfRule type="expression" dxfId="3187" priority="3638">
      <formula>$B463="Célula Construtiva"</formula>
    </cfRule>
    <cfRule type="expression" dxfId="3186" priority="3639">
      <formula>$B463="Subetapa"</formula>
    </cfRule>
  </conditionalFormatting>
  <conditionalFormatting sqref="U463">
    <cfRule type="expression" dxfId="3185" priority="3627" stopIfTrue="1">
      <formula>$B463="SERVIÇO"</formula>
    </cfRule>
  </conditionalFormatting>
  <conditionalFormatting sqref="U463">
    <cfRule type="expression" dxfId="3184" priority="3628">
      <formula>$B463="Unidade Construtiva"</formula>
    </cfRule>
    <cfRule type="expression" dxfId="3183" priority="3629">
      <formula>$B463="Serviço"</formula>
    </cfRule>
    <cfRule type="expression" dxfId="3182" priority="3630">
      <formula>$B463="Insumo"</formula>
    </cfRule>
    <cfRule type="expression" dxfId="3181" priority="3631">
      <formula>$B463="Etapa"</formula>
    </cfRule>
    <cfRule type="expression" dxfId="3180" priority="3632">
      <formula>$B463="Célula Construtiva"</formula>
    </cfRule>
    <cfRule type="expression" dxfId="3179" priority="3633">
      <formula>$B463="Subetapa"</formula>
    </cfRule>
  </conditionalFormatting>
  <conditionalFormatting sqref="V466">
    <cfRule type="expression" dxfId="3178" priority="3619" stopIfTrue="1">
      <formula>$B466="insumo"</formula>
    </cfRule>
  </conditionalFormatting>
  <conditionalFormatting sqref="AA466 T466">
    <cfRule type="expression" dxfId="3177" priority="3618" stopIfTrue="1">
      <formula>$B466="SERVIÇO"</formula>
    </cfRule>
  </conditionalFormatting>
  <conditionalFormatting sqref="AE466:AF466 A466:E466 V466 AA466:AC466 G466:T466">
    <cfRule type="expression" dxfId="3176" priority="3620">
      <formula>$B466="Unidade Construtiva"</formula>
    </cfRule>
    <cfRule type="expression" dxfId="3175" priority="3621">
      <formula>$B466="Serviço"</formula>
    </cfRule>
    <cfRule type="expression" dxfId="3174" priority="3622">
      <formula>$B466="Insumo"</formula>
    </cfRule>
    <cfRule type="expression" dxfId="3173" priority="3623">
      <formula>$B466="Etapa"</formula>
    </cfRule>
    <cfRule type="expression" dxfId="3172" priority="3624">
      <formula>$B466="Célula Construtiva"</formula>
    </cfRule>
    <cfRule type="expression" dxfId="3171" priority="3625">
      <formula>$B466="Subetapa"</formula>
    </cfRule>
  </conditionalFormatting>
  <conditionalFormatting sqref="T466">
    <cfRule type="expression" dxfId="3170" priority="3617" stopIfTrue="1">
      <formula>$B466="INSUMO"</formula>
    </cfRule>
  </conditionalFormatting>
  <conditionalFormatting sqref="V467">
    <cfRule type="expression" dxfId="3169" priority="3609" stopIfTrue="1">
      <formula>$B467="insumo"</formula>
    </cfRule>
  </conditionalFormatting>
  <conditionalFormatting sqref="AA467 T467">
    <cfRule type="expression" dxfId="3168" priority="3608" stopIfTrue="1">
      <formula>$B467="SERVIÇO"</formula>
    </cfRule>
  </conditionalFormatting>
  <conditionalFormatting sqref="AE467:AF467 A467:E467 V467 AA467:AC467 G467:T467">
    <cfRule type="expression" dxfId="3167" priority="3610">
      <formula>$B467="Unidade Construtiva"</formula>
    </cfRule>
    <cfRule type="expression" dxfId="3166" priority="3611">
      <formula>$B467="Serviço"</formula>
    </cfRule>
    <cfRule type="expression" dxfId="3165" priority="3612">
      <formula>$B467="Insumo"</formula>
    </cfRule>
    <cfRule type="expression" dxfId="3164" priority="3613">
      <formula>$B467="Etapa"</formula>
    </cfRule>
    <cfRule type="expression" dxfId="3163" priority="3614">
      <formula>$B467="Célula Construtiva"</formula>
    </cfRule>
    <cfRule type="expression" dxfId="3162" priority="3615">
      <formula>$B467="Subetapa"</formula>
    </cfRule>
  </conditionalFormatting>
  <conditionalFormatting sqref="T467">
    <cfRule type="expression" dxfId="3161" priority="3607" stopIfTrue="1">
      <formula>$B467="INSUMO"</formula>
    </cfRule>
  </conditionalFormatting>
  <conditionalFormatting sqref="AA470 T470">
    <cfRule type="expression" dxfId="3160" priority="3599" stopIfTrue="1">
      <formula>$B470="SERVIÇO"</formula>
    </cfRule>
  </conditionalFormatting>
  <conditionalFormatting sqref="AE470:AF470 A470:E470 AA470:AC470 G470:T470">
    <cfRule type="expression" dxfId="3159" priority="3600">
      <formula>$B470="Unidade Construtiva"</formula>
    </cfRule>
    <cfRule type="expression" dxfId="3158" priority="3601">
      <formula>$B470="Serviço"</formula>
    </cfRule>
    <cfRule type="expression" dxfId="3157" priority="3602">
      <formula>$B470="Insumo"</formula>
    </cfRule>
    <cfRule type="expression" dxfId="3156" priority="3603">
      <formula>$B470="Etapa"</formula>
    </cfRule>
    <cfRule type="expression" dxfId="3155" priority="3604">
      <formula>$B470="Célula Construtiva"</formula>
    </cfRule>
    <cfRule type="expression" dxfId="3154" priority="3605">
      <formula>$B470="Subetapa"</formula>
    </cfRule>
  </conditionalFormatting>
  <conditionalFormatting sqref="T470">
    <cfRule type="expression" dxfId="3153" priority="3598" stopIfTrue="1">
      <formula>$B470="INSUMO"</formula>
    </cfRule>
  </conditionalFormatting>
  <conditionalFormatting sqref="V470">
    <cfRule type="expression" dxfId="3152" priority="3591" stopIfTrue="1">
      <formula>$B470="insumo"</formula>
    </cfRule>
  </conditionalFormatting>
  <conditionalFormatting sqref="V470">
    <cfRule type="expression" dxfId="3151" priority="3592">
      <formula>$B470="Unidade Construtiva"</formula>
    </cfRule>
    <cfRule type="expression" dxfId="3150" priority="3593">
      <formula>$B470="Serviço"</formula>
    </cfRule>
    <cfRule type="expression" dxfId="3149" priority="3594">
      <formula>$B470="Insumo"</formula>
    </cfRule>
    <cfRule type="expression" dxfId="3148" priority="3595">
      <formula>$B470="Etapa"</formula>
    </cfRule>
    <cfRule type="expression" dxfId="3147" priority="3596">
      <formula>$B470="Célula Construtiva"</formula>
    </cfRule>
    <cfRule type="expression" dxfId="3146" priority="3597">
      <formula>$B470="Subetapa"</formula>
    </cfRule>
  </conditionalFormatting>
  <conditionalFormatting sqref="V464">
    <cfRule type="expression" dxfId="3145" priority="3584" stopIfTrue="1">
      <formula>$B464="insumo"</formula>
    </cfRule>
  </conditionalFormatting>
  <conditionalFormatting sqref="V464">
    <cfRule type="expression" dxfId="3144" priority="3585">
      <formula>$B464="Unidade Construtiva"</formula>
    </cfRule>
    <cfRule type="expression" dxfId="3143" priority="3586">
      <formula>$B464="Serviço"</formula>
    </cfRule>
    <cfRule type="expression" dxfId="3142" priority="3587">
      <formula>$B464="Insumo"</formula>
    </cfRule>
    <cfRule type="expression" dxfId="3141" priority="3588">
      <formula>$B464="Etapa"</formula>
    </cfRule>
    <cfRule type="expression" dxfId="3140" priority="3589">
      <formula>$B464="Célula Construtiva"</formula>
    </cfRule>
    <cfRule type="expression" dxfId="3139" priority="3590">
      <formula>$B464="Subetapa"</formula>
    </cfRule>
  </conditionalFormatting>
  <conditionalFormatting sqref="V454">
    <cfRule type="expression" dxfId="3138" priority="3563" stopIfTrue="1">
      <formula>$B454="insumo"</formula>
    </cfRule>
  </conditionalFormatting>
  <conditionalFormatting sqref="V454">
    <cfRule type="expression" dxfId="3137" priority="3564">
      <formula>$B454="Unidade Construtiva"</formula>
    </cfRule>
    <cfRule type="expression" dxfId="3136" priority="3565">
      <formula>$B454="Serviço"</formula>
    </cfRule>
    <cfRule type="expression" dxfId="3135" priority="3566">
      <formula>$B454="Insumo"</formula>
    </cfRule>
    <cfRule type="expression" dxfId="3134" priority="3567">
      <formula>$B454="Etapa"</formula>
    </cfRule>
    <cfRule type="expression" dxfId="3133" priority="3568">
      <formula>$B454="Célula Construtiva"</formula>
    </cfRule>
    <cfRule type="expression" dxfId="3132" priority="3569">
      <formula>$B454="Subetapa"</formula>
    </cfRule>
  </conditionalFormatting>
  <conditionalFormatting sqref="V469">
    <cfRule type="expression" dxfId="3131" priority="3577" stopIfTrue="1">
      <formula>$B469="insumo"</formula>
    </cfRule>
  </conditionalFormatting>
  <conditionalFormatting sqref="V469">
    <cfRule type="expression" dxfId="3130" priority="3578">
      <formula>$B469="Unidade Construtiva"</formula>
    </cfRule>
    <cfRule type="expression" dxfId="3129" priority="3579">
      <formula>$B469="Serviço"</formula>
    </cfRule>
    <cfRule type="expression" dxfId="3128" priority="3580">
      <formula>$B469="Insumo"</formula>
    </cfRule>
    <cfRule type="expression" dxfId="3127" priority="3581">
      <formula>$B469="Etapa"</formula>
    </cfRule>
    <cfRule type="expression" dxfId="3126" priority="3582">
      <formula>$B469="Célula Construtiva"</formula>
    </cfRule>
    <cfRule type="expression" dxfId="3125" priority="3583">
      <formula>$B469="Subetapa"</formula>
    </cfRule>
  </conditionalFormatting>
  <conditionalFormatting sqref="V459">
    <cfRule type="expression" dxfId="3124" priority="3570" stopIfTrue="1">
      <formula>$B459="insumo"</formula>
    </cfRule>
  </conditionalFormatting>
  <conditionalFormatting sqref="V459">
    <cfRule type="expression" dxfId="3123" priority="3571">
      <formula>$B459="Unidade Construtiva"</formula>
    </cfRule>
    <cfRule type="expression" dxfId="3122" priority="3572">
      <formula>$B459="Serviço"</formula>
    </cfRule>
    <cfRule type="expression" dxfId="3121" priority="3573">
      <formula>$B459="Insumo"</formula>
    </cfRule>
    <cfRule type="expression" dxfId="3120" priority="3574">
      <formula>$B459="Etapa"</formula>
    </cfRule>
    <cfRule type="expression" dxfId="3119" priority="3575">
      <formula>$B459="Célula Construtiva"</formula>
    </cfRule>
    <cfRule type="expression" dxfId="3118" priority="3576">
      <formula>$B459="Subetapa"</formula>
    </cfRule>
  </conditionalFormatting>
  <conditionalFormatting sqref="V559 V554 V544 V551 V556 V546">
    <cfRule type="expression" dxfId="3117" priority="3553" stopIfTrue="1">
      <formula>$B544="insumo"</formula>
    </cfRule>
  </conditionalFormatting>
  <conditionalFormatting sqref="AA559:AA560 T559:U560 T554:T556 U555:U558 AA554:AA556 T544:T546 U545:U548 AA544:AA546 T549:T551 U550:U553 AA549:AA551 U561">
    <cfRule type="expression" dxfId="3116" priority="3552" stopIfTrue="1">
      <formula>$B544="SERVIÇO"</formula>
    </cfRule>
  </conditionalFormatting>
  <conditionalFormatting sqref="AE559:AF560 V544:AC544 A554:E556 U555:U558 V556 AA555:AC556 W555:Z558 AE554:AF556 A544:E546 U545:U548 V546 AA545:AC546 W545:Z548 AE544:AF546 A549:E551 U550:U553 V551 AA550:AC551 W550:Z553 AE549:AF551 U561 W561:Z561 A559:E560 W560:AC560 G560:U560 G549:T551 G544:T546 G554:T556 G559:AC559">
    <cfRule type="expression" dxfId="3115" priority="3554">
      <formula>$B544="Unidade Construtiva"</formula>
    </cfRule>
    <cfRule type="expression" dxfId="3114" priority="3555">
      <formula>$B544="Serviço"</formula>
    </cfRule>
    <cfRule type="expression" dxfId="3113" priority="3556">
      <formula>$B544="Insumo"</formula>
    </cfRule>
    <cfRule type="expression" dxfId="3112" priority="3557">
      <formula>$B544="Etapa"</formula>
    </cfRule>
    <cfRule type="expression" dxfId="3111" priority="3558">
      <formula>$B544="Célula Construtiva"</formula>
    </cfRule>
    <cfRule type="expression" dxfId="3110" priority="3559">
      <formula>$B544="Subetapa"</formula>
    </cfRule>
  </conditionalFormatting>
  <conditionalFormatting sqref="T559:T560 T554:T556 T544:T546 T549:T551">
    <cfRule type="expression" dxfId="3109" priority="3551" stopIfTrue="1">
      <formula>$B544="INSUMO"</formula>
    </cfRule>
  </conditionalFormatting>
  <conditionalFormatting sqref="W544:W561">
    <cfRule type="containsText" dxfId="3108" priority="3550" stopIfTrue="1" operator="containsText" text="INSERIR">
      <formula>NOT(ISERROR(SEARCH("INSERIR",W544)))</formula>
    </cfRule>
  </conditionalFormatting>
  <conditionalFormatting sqref="U544">
    <cfRule type="expression" dxfId="3107" priority="3543" stopIfTrue="1">
      <formula>$B544="SERVIÇO"</formula>
    </cfRule>
  </conditionalFormatting>
  <conditionalFormatting sqref="U544">
    <cfRule type="expression" dxfId="3106" priority="3544">
      <formula>$B544="Unidade Construtiva"</formula>
    </cfRule>
    <cfRule type="expression" dxfId="3105" priority="3545">
      <formula>$B544="Serviço"</formula>
    </cfRule>
    <cfRule type="expression" dxfId="3104" priority="3546">
      <formula>$B544="Insumo"</formula>
    </cfRule>
    <cfRule type="expression" dxfId="3103" priority="3547">
      <formula>$B544="Etapa"</formula>
    </cfRule>
    <cfRule type="expression" dxfId="3102" priority="3548">
      <formula>$B544="Célula Construtiva"</formula>
    </cfRule>
    <cfRule type="expression" dxfId="3101" priority="3549">
      <formula>$B544="Subetapa"</formula>
    </cfRule>
  </conditionalFormatting>
  <conditionalFormatting sqref="V547">
    <cfRule type="expression" dxfId="3100" priority="3535" stopIfTrue="1">
      <formula>$B547="insumo"</formula>
    </cfRule>
  </conditionalFormatting>
  <conditionalFormatting sqref="AA547 T547">
    <cfRule type="expression" dxfId="3099" priority="3534" stopIfTrue="1">
      <formula>$B547="SERVIÇO"</formula>
    </cfRule>
  </conditionalFormatting>
  <conditionalFormatting sqref="AE547:AF547 A547:E547 V547 AA547:AC547 G547:T547">
    <cfRule type="expression" dxfId="3098" priority="3536">
      <formula>$B547="Unidade Construtiva"</formula>
    </cfRule>
    <cfRule type="expression" dxfId="3097" priority="3537">
      <formula>$B547="Serviço"</formula>
    </cfRule>
    <cfRule type="expression" dxfId="3096" priority="3538">
      <formula>$B547="Insumo"</formula>
    </cfRule>
    <cfRule type="expression" dxfId="3095" priority="3539">
      <formula>$B547="Etapa"</formula>
    </cfRule>
    <cfRule type="expression" dxfId="3094" priority="3540">
      <formula>$B547="Célula Construtiva"</formula>
    </cfRule>
    <cfRule type="expression" dxfId="3093" priority="3541">
      <formula>$B547="Subetapa"</formula>
    </cfRule>
  </conditionalFormatting>
  <conditionalFormatting sqref="T547">
    <cfRule type="expression" dxfId="3092" priority="3533" stopIfTrue="1">
      <formula>$B547="INSUMO"</formula>
    </cfRule>
  </conditionalFormatting>
  <conditionalFormatting sqref="V548">
    <cfRule type="expression" dxfId="3091" priority="3525" stopIfTrue="1">
      <formula>$B548="insumo"</formula>
    </cfRule>
  </conditionalFormatting>
  <conditionalFormatting sqref="AA548 T548">
    <cfRule type="expression" dxfId="3090" priority="3524" stopIfTrue="1">
      <formula>$B548="SERVIÇO"</formula>
    </cfRule>
  </conditionalFormatting>
  <conditionalFormatting sqref="AE548:AF548 A548:E548 V548 AA548:AC548 G548:T548">
    <cfRule type="expression" dxfId="3089" priority="3526">
      <formula>$B548="Unidade Construtiva"</formula>
    </cfRule>
    <cfRule type="expression" dxfId="3088" priority="3527">
      <formula>$B548="Serviço"</formula>
    </cfRule>
    <cfRule type="expression" dxfId="3087" priority="3528">
      <formula>$B548="Insumo"</formula>
    </cfRule>
    <cfRule type="expression" dxfId="3086" priority="3529">
      <formula>$B548="Etapa"</formula>
    </cfRule>
    <cfRule type="expression" dxfId="3085" priority="3530">
      <formula>$B548="Célula Construtiva"</formula>
    </cfRule>
    <cfRule type="expression" dxfId="3084" priority="3531">
      <formula>$B548="Subetapa"</formula>
    </cfRule>
  </conditionalFormatting>
  <conditionalFormatting sqref="T548">
    <cfRule type="expression" dxfId="3083" priority="3523" stopIfTrue="1">
      <formula>$B548="INSUMO"</formula>
    </cfRule>
  </conditionalFormatting>
  <conditionalFormatting sqref="V549">
    <cfRule type="expression" dxfId="3082" priority="3516" stopIfTrue="1">
      <formula>$B549="insumo"</formula>
    </cfRule>
  </conditionalFormatting>
  <conditionalFormatting sqref="V549:AC549">
    <cfRule type="expression" dxfId="3081" priority="3517">
      <formula>$B549="Unidade Construtiva"</formula>
    </cfRule>
    <cfRule type="expression" dxfId="3080" priority="3518">
      <formula>$B549="Serviço"</formula>
    </cfRule>
    <cfRule type="expression" dxfId="3079" priority="3519">
      <formula>$B549="Insumo"</formula>
    </cfRule>
    <cfRule type="expression" dxfId="3078" priority="3520">
      <formula>$B549="Etapa"</formula>
    </cfRule>
    <cfRule type="expression" dxfId="3077" priority="3521">
      <formula>$B549="Célula Construtiva"</formula>
    </cfRule>
    <cfRule type="expression" dxfId="3076" priority="3522">
      <formula>$B549="Subetapa"</formula>
    </cfRule>
  </conditionalFormatting>
  <conditionalFormatting sqref="U549">
    <cfRule type="expression" dxfId="3075" priority="3509" stopIfTrue="1">
      <formula>$B549="SERVIÇO"</formula>
    </cfRule>
  </conditionalFormatting>
  <conditionalFormatting sqref="U549">
    <cfRule type="expression" dxfId="3074" priority="3510">
      <formula>$B549="Unidade Construtiva"</formula>
    </cfRule>
    <cfRule type="expression" dxfId="3073" priority="3511">
      <formula>$B549="Serviço"</formula>
    </cfRule>
    <cfRule type="expression" dxfId="3072" priority="3512">
      <formula>$B549="Insumo"</formula>
    </cfRule>
    <cfRule type="expression" dxfId="3071" priority="3513">
      <formula>$B549="Etapa"</formula>
    </cfRule>
    <cfRule type="expression" dxfId="3070" priority="3514">
      <formula>$B549="Célula Construtiva"</formula>
    </cfRule>
    <cfRule type="expression" dxfId="3069" priority="3515">
      <formula>$B549="Subetapa"</formula>
    </cfRule>
  </conditionalFormatting>
  <conditionalFormatting sqref="V552">
    <cfRule type="expression" dxfId="3068" priority="3501" stopIfTrue="1">
      <formula>$B552="insumo"</formula>
    </cfRule>
  </conditionalFormatting>
  <conditionalFormatting sqref="AA552 T552">
    <cfRule type="expression" dxfId="3067" priority="3500" stopIfTrue="1">
      <formula>$B552="SERVIÇO"</formula>
    </cfRule>
  </conditionalFormatting>
  <conditionalFormatting sqref="AE552:AF552 A552:E552 V552 AA552:AC552 G552:T552">
    <cfRule type="expression" dxfId="3066" priority="3502">
      <formula>$B552="Unidade Construtiva"</formula>
    </cfRule>
    <cfRule type="expression" dxfId="3065" priority="3503">
      <formula>$B552="Serviço"</formula>
    </cfRule>
    <cfRule type="expression" dxfId="3064" priority="3504">
      <formula>$B552="Insumo"</formula>
    </cfRule>
    <cfRule type="expression" dxfId="3063" priority="3505">
      <formula>$B552="Etapa"</formula>
    </cfRule>
    <cfRule type="expression" dxfId="3062" priority="3506">
      <formula>$B552="Célula Construtiva"</formula>
    </cfRule>
    <cfRule type="expression" dxfId="3061" priority="3507">
      <formula>$B552="Subetapa"</formula>
    </cfRule>
  </conditionalFormatting>
  <conditionalFormatting sqref="T552">
    <cfRule type="expression" dxfId="3060" priority="3499" stopIfTrue="1">
      <formula>$B552="INSUMO"</formula>
    </cfRule>
  </conditionalFormatting>
  <conditionalFormatting sqref="V553">
    <cfRule type="expression" dxfId="3059" priority="3491" stopIfTrue="1">
      <formula>$B553="insumo"</formula>
    </cfRule>
  </conditionalFormatting>
  <conditionalFormatting sqref="AA553 T553">
    <cfRule type="expression" dxfId="3058" priority="3490" stopIfTrue="1">
      <formula>$B553="SERVIÇO"</formula>
    </cfRule>
  </conditionalFormatting>
  <conditionalFormatting sqref="AE553:AF553 A553:E553 V553 AA553:AC553 G553:T553">
    <cfRule type="expression" dxfId="3057" priority="3492">
      <formula>$B553="Unidade Construtiva"</formula>
    </cfRule>
    <cfRule type="expression" dxfId="3056" priority="3493">
      <formula>$B553="Serviço"</formula>
    </cfRule>
    <cfRule type="expression" dxfId="3055" priority="3494">
      <formula>$B553="Insumo"</formula>
    </cfRule>
    <cfRule type="expression" dxfId="3054" priority="3495">
      <formula>$B553="Etapa"</formula>
    </cfRule>
    <cfRule type="expression" dxfId="3053" priority="3496">
      <formula>$B553="Célula Construtiva"</formula>
    </cfRule>
    <cfRule type="expression" dxfId="3052" priority="3497">
      <formula>$B553="Subetapa"</formula>
    </cfRule>
  </conditionalFormatting>
  <conditionalFormatting sqref="T553">
    <cfRule type="expression" dxfId="3051" priority="3489" stopIfTrue="1">
      <formula>$B553="INSUMO"</formula>
    </cfRule>
  </conditionalFormatting>
  <conditionalFormatting sqref="V554:AC554">
    <cfRule type="expression" dxfId="3050" priority="3483">
      <formula>$B554="Unidade Construtiva"</formula>
    </cfRule>
    <cfRule type="expression" dxfId="3049" priority="3484">
      <formula>$B554="Serviço"</formula>
    </cfRule>
    <cfRule type="expression" dxfId="3048" priority="3485">
      <formula>$B554="Insumo"</formula>
    </cfRule>
    <cfRule type="expression" dxfId="3047" priority="3486">
      <formula>$B554="Etapa"</formula>
    </cfRule>
    <cfRule type="expression" dxfId="3046" priority="3487">
      <formula>$B554="Célula Construtiva"</formula>
    </cfRule>
    <cfRule type="expression" dxfId="3045" priority="3488">
      <formula>$B554="Subetapa"</formula>
    </cfRule>
  </conditionalFormatting>
  <conditionalFormatting sqref="U554">
    <cfRule type="expression" dxfId="3044" priority="3476" stopIfTrue="1">
      <formula>$B554="SERVIÇO"</formula>
    </cfRule>
  </conditionalFormatting>
  <conditionalFormatting sqref="U554">
    <cfRule type="expression" dxfId="3043" priority="3477">
      <formula>$B554="Unidade Construtiva"</formula>
    </cfRule>
    <cfRule type="expression" dxfId="3042" priority="3478">
      <formula>$B554="Serviço"</formula>
    </cfRule>
    <cfRule type="expression" dxfId="3041" priority="3479">
      <formula>$B554="Insumo"</formula>
    </cfRule>
    <cfRule type="expression" dxfId="3040" priority="3480">
      <formula>$B554="Etapa"</formula>
    </cfRule>
    <cfRule type="expression" dxfId="3039" priority="3481">
      <formula>$B554="Célula Construtiva"</formula>
    </cfRule>
    <cfRule type="expression" dxfId="3038" priority="3482">
      <formula>$B554="Subetapa"</formula>
    </cfRule>
  </conditionalFormatting>
  <conditionalFormatting sqref="V557">
    <cfRule type="expression" dxfId="3037" priority="3468" stopIfTrue="1">
      <formula>$B557="insumo"</formula>
    </cfRule>
  </conditionalFormatting>
  <conditionalFormatting sqref="AA557 T557">
    <cfRule type="expression" dxfId="3036" priority="3467" stopIfTrue="1">
      <formula>$B557="SERVIÇO"</formula>
    </cfRule>
  </conditionalFormatting>
  <conditionalFormatting sqref="AE557:AF557 A557:E557 V557 AA557:AC557 G557:T557">
    <cfRule type="expression" dxfId="3035" priority="3469">
      <formula>$B557="Unidade Construtiva"</formula>
    </cfRule>
    <cfRule type="expression" dxfId="3034" priority="3470">
      <formula>$B557="Serviço"</formula>
    </cfRule>
    <cfRule type="expression" dxfId="3033" priority="3471">
      <formula>$B557="Insumo"</formula>
    </cfRule>
    <cfRule type="expression" dxfId="3032" priority="3472">
      <formula>$B557="Etapa"</formula>
    </cfRule>
    <cfRule type="expression" dxfId="3031" priority="3473">
      <formula>$B557="Célula Construtiva"</formula>
    </cfRule>
    <cfRule type="expression" dxfId="3030" priority="3474">
      <formula>$B557="Subetapa"</formula>
    </cfRule>
  </conditionalFormatting>
  <conditionalFormatting sqref="T557">
    <cfRule type="expression" dxfId="3029" priority="3466" stopIfTrue="1">
      <formula>$B557="INSUMO"</formula>
    </cfRule>
  </conditionalFormatting>
  <conditionalFormatting sqref="V558">
    <cfRule type="expression" dxfId="3028" priority="3458" stopIfTrue="1">
      <formula>$B558="insumo"</formula>
    </cfRule>
  </conditionalFormatting>
  <conditionalFormatting sqref="AA558 T558">
    <cfRule type="expression" dxfId="3027" priority="3457" stopIfTrue="1">
      <formula>$B558="SERVIÇO"</formula>
    </cfRule>
  </conditionalFormatting>
  <conditionalFormatting sqref="AE558:AF558 A558:E558 V558 AA558:AC558 G558:T558">
    <cfRule type="expression" dxfId="3026" priority="3459">
      <formula>$B558="Unidade Construtiva"</formula>
    </cfRule>
    <cfRule type="expression" dxfId="3025" priority="3460">
      <formula>$B558="Serviço"</formula>
    </cfRule>
    <cfRule type="expression" dxfId="3024" priority="3461">
      <formula>$B558="Insumo"</formula>
    </cfRule>
    <cfRule type="expression" dxfId="3023" priority="3462">
      <formula>$B558="Etapa"</formula>
    </cfRule>
    <cfRule type="expression" dxfId="3022" priority="3463">
      <formula>$B558="Célula Construtiva"</formula>
    </cfRule>
    <cfRule type="expression" dxfId="3021" priority="3464">
      <formula>$B558="Subetapa"</formula>
    </cfRule>
  </conditionalFormatting>
  <conditionalFormatting sqref="T558">
    <cfRule type="expression" dxfId="3020" priority="3456" stopIfTrue="1">
      <formula>$B558="INSUMO"</formula>
    </cfRule>
  </conditionalFormatting>
  <conditionalFormatting sqref="AA561 T561">
    <cfRule type="expression" dxfId="3019" priority="3448" stopIfTrue="1">
      <formula>$B561="SERVIÇO"</formula>
    </cfRule>
  </conditionalFormatting>
  <conditionalFormatting sqref="AE561:AF561 A561:E561 AA561:AC561 G561:T561">
    <cfRule type="expression" dxfId="3018" priority="3449">
      <formula>$B561="Unidade Construtiva"</formula>
    </cfRule>
    <cfRule type="expression" dxfId="3017" priority="3450">
      <formula>$B561="Serviço"</formula>
    </cfRule>
    <cfRule type="expression" dxfId="3016" priority="3451">
      <formula>$B561="Insumo"</formula>
    </cfRule>
    <cfRule type="expression" dxfId="3015" priority="3452">
      <formula>$B561="Etapa"</formula>
    </cfRule>
    <cfRule type="expression" dxfId="3014" priority="3453">
      <formula>$B561="Célula Construtiva"</formula>
    </cfRule>
    <cfRule type="expression" dxfId="3013" priority="3454">
      <formula>$B561="Subetapa"</formula>
    </cfRule>
  </conditionalFormatting>
  <conditionalFormatting sqref="T561">
    <cfRule type="expression" dxfId="3012" priority="3447" stopIfTrue="1">
      <formula>$B561="INSUMO"</formula>
    </cfRule>
  </conditionalFormatting>
  <conditionalFormatting sqref="V561">
    <cfRule type="expression" dxfId="3011" priority="3440" stopIfTrue="1">
      <formula>$B561="insumo"</formula>
    </cfRule>
  </conditionalFormatting>
  <conditionalFormatting sqref="V561">
    <cfRule type="expression" dxfId="3010" priority="3441">
      <formula>$B561="Unidade Construtiva"</formula>
    </cfRule>
    <cfRule type="expression" dxfId="3009" priority="3442">
      <formula>$B561="Serviço"</formula>
    </cfRule>
    <cfRule type="expression" dxfId="3008" priority="3443">
      <formula>$B561="Insumo"</formula>
    </cfRule>
    <cfRule type="expression" dxfId="3007" priority="3444">
      <formula>$B561="Etapa"</formula>
    </cfRule>
    <cfRule type="expression" dxfId="3006" priority="3445">
      <formula>$B561="Célula Construtiva"</formula>
    </cfRule>
    <cfRule type="expression" dxfId="3005" priority="3446">
      <formula>$B561="Subetapa"</formula>
    </cfRule>
  </conditionalFormatting>
  <conditionalFormatting sqref="V555">
    <cfRule type="expression" dxfId="3004" priority="3433" stopIfTrue="1">
      <formula>$B555="insumo"</formula>
    </cfRule>
  </conditionalFormatting>
  <conditionalFormatting sqref="V555">
    <cfRule type="expression" dxfId="3003" priority="3434">
      <formula>$B555="Unidade Construtiva"</formula>
    </cfRule>
    <cfRule type="expression" dxfId="3002" priority="3435">
      <formula>$B555="Serviço"</formula>
    </cfRule>
    <cfRule type="expression" dxfId="3001" priority="3436">
      <formula>$B555="Insumo"</formula>
    </cfRule>
    <cfRule type="expression" dxfId="3000" priority="3437">
      <formula>$B555="Etapa"</formula>
    </cfRule>
    <cfRule type="expression" dxfId="2999" priority="3438">
      <formula>$B555="Célula Construtiva"</formula>
    </cfRule>
    <cfRule type="expression" dxfId="2998" priority="3439">
      <formula>$B555="Subetapa"</formula>
    </cfRule>
  </conditionalFormatting>
  <conditionalFormatting sqref="V545">
    <cfRule type="expression" dxfId="2997" priority="3412" stopIfTrue="1">
      <formula>$B545="insumo"</formula>
    </cfRule>
  </conditionalFormatting>
  <conditionalFormatting sqref="V545">
    <cfRule type="expression" dxfId="2996" priority="3413">
      <formula>$B545="Unidade Construtiva"</formula>
    </cfRule>
    <cfRule type="expression" dxfId="2995" priority="3414">
      <formula>$B545="Serviço"</formula>
    </cfRule>
    <cfRule type="expression" dxfId="2994" priority="3415">
      <formula>$B545="Insumo"</formula>
    </cfRule>
    <cfRule type="expression" dxfId="2993" priority="3416">
      <formula>$B545="Etapa"</formula>
    </cfRule>
    <cfRule type="expression" dxfId="2992" priority="3417">
      <formula>$B545="Célula Construtiva"</formula>
    </cfRule>
    <cfRule type="expression" dxfId="2991" priority="3418">
      <formula>$B545="Subetapa"</formula>
    </cfRule>
  </conditionalFormatting>
  <conditionalFormatting sqref="V560">
    <cfRule type="expression" dxfId="2990" priority="3426" stopIfTrue="1">
      <formula>$B560="insumo"</formula>
    </cfRule>
  </conditionalFormatting>
  <conditionalFormatting sqref="V560">
    <cfRule type="expression" dxfId="2989" priority="3427">
      <formula>$B560="Unidade Construtiva"</formula>
    </cfRule>
    <cfRule type="expression" dxfId="2988" priority="3428">
      <formula>$B560="Serviço"</formula>
    </cfRule>
    <cfRule type="expression" dxfId="2987" priority="3429">
      <formula>$B560="Insumo"</formula>
    </cfRule>
    <cfRule type="expression" dxfId="2986" priority="3430">
      <formula>$B560="Etapa"</formula>
    </cfRule>
    <cfRule type="expression" dxfId="2985" priority="3431">
      <formula>$B560="Célula Construtiva"</formula>
    </cfRule>
    <cfRule type="expression" dxfId="2984" priority="3432">
      <formula>$B560="Subetapa"</formula>
    </cfRule>
  </conditionalFormatting>
  <conditionalFormatting sqref="V550">
    <cfRule type="expression" dxfId="2983" priority="3419" stopIfTrue="1">
      <formula>$B550="insumo"</formula>
    </cfRule>
  </conditionalFormatting>
  <conditionalFormatting sqref="V550">
    <cfRule type="expression" dxfId="2982" priority="3420">
      <formula>$B550="Unidade Construtiva"</formula>
    </cfRule>
    <cfRule type="expression" dxfId="2981" priority="3421">
      <formula>$B550="Serviço"</formula>
    </cfRule>
    <cfRule type="expression" dxfId="2980" priority="3422">
      <formula>$B550="Insumo"</formula>
    </cfRule>
    <cfRule type="expression" dxfId="2979" priority="3423">
      <formula>$B550="Etapa"</formula>
    </cfRule>
    <cfRule type="expression" dxfId="2978" priority="3424">
      <formula>$B550="Célula Construtiva"</formula>
    </cfRule>
    <cfRule type="expression" dxfId="2977" priority="3425">
      <formula>$B550="Subetapa"</formula>
    </cfRule>
  </conditionalFormatting>
  <conditionalFormatting sqref="V635 V630 V620 V627 V632 V622">
    <cfRule type="expression" dxfId="2976" priority="3402" stopIfTrue="1">
      <formula>$B620="insumo"</formula>
    </cfRule>
  </conditionalFormatting>
  <conditionalFormatting sqref="AA635:AA636 T635:U636 T630:T632 U631:U634 AA630:AA632 T620:T622 U621:U624 AA620:AA622 T625:T627 U626:U629 AA625:AA627 U637">
    <cfRule type="expression" dxfId="2975" priority="3401" stopIfTrue="1">
      <formula>$B620="SERVIÇO"</formula>
    </cfRule>
  </conditionalFormatting>
  <conditionalFormatting sqref="AE635:AF636 V620:AC620 A630:E632 U631:U634 V632 AA631:AC632 W631:Z634 AE630:AF632 A620:E622 U621:U624 V622 AA621:AC622 W621:Z624 AE620:AF622 A625:E627 U626:U629 V627 AA626:AC627 W626:Z629 AE625:AF627 U637 W637:Z637 A635:E636 W636:AC636 G636:U636 G625:T627 G620:T622 G630:T632 G635:AC635">
    <cfRule type="expression" dxfId="2974" priority="3403">
      <formula>$B620="Unidade Construtiva"</formula>
    </cfRule>
    <cfRule type="expression" dxfId="2973" priority="3404">
      <formula>$B620="Serviço"</formula>
    </cfRule>
    <cfRule type="expression" dxfId="2972" priority="3405">
      <formula>$B620="Insumo"</formula>
    </cfRule>
    <cfRule type="expression" dxfId="2971" priority="3406">
      <formula>$B620="Etapa"</formula>
    </cfRule>
    <cfRule type="expression" dxfId="2970" priority="3407">
      <formula>$B620="Célula Construtiva"</formula>
    </cfRule>
    <cfRule type="expression" dxfId="2969" priority="3408">
      <formula>$B620="Subetapa"</formula>
    </cfRule>
  </conditionalFormatting>
  <conditionalFormatting sqref="T635:T636 T630:T632 T620:T622 T625:T627">
    <cfRule type="expression" dxfId="2968" priority="3400" stopIfTrue="1">
      <formula>$B620="INSUMO"</formula>
    </cfRule>
  </conditionalFormatting>
  <conditionalFormatting sqref="W620:W637">
    <cfRule type="containsText" dxfId="2967" priority="3399" stopIfTrue="1" operator="containsText" text="INSERIR">
      <formula>NOT(ISERROR(SEARCH("INSERIR",W620)))</formula>
    </cfRule>
  </conditionalFormatting>
  <conditionalFormatting sqref="U620">
    <cfRule type="expression" dxfId="2966" priority="3392" stopIfTrue="1">
      <formula>$B620="SERVIÇO"</formula>
    </cfRule>
  </conditionalFormatting>
  <conditionalFormatting sqref="U620">
    <cfRule type="expression" dxfId="2965" priority="3393">
      <formula>$B620="Unidade Construtiva"</formula>
    </cfRule>
    <cfRule type="expression" dxfId="2964" priority="3394">
      <formula>$B620="Serviço"</formula>
    </cfRule>
    <cfRule type="expression" dxfId="2963" priority="3395">
      <formula>$B620="Insumo"</formula>
    </cfRule>
    <cfRule type="expression" dxfId="2962" priority="3396">
      <formula>$B620="Etapa"</formula>
    </cfRule>
    <cfRule type="expression" dxfId="2961" priority="3397">
      <formula>$B620="Célula Construtiva"</formula>
    </cfRule>
    <cfRule type="expression" dxfId="2960" priority="3398">
      <formula>$B620="Subetapa"</formula>
    </cfRule>
  </conditionalFormatting>
  <conditionalFormatting sqref="V623">
    <cfRule type="expression" dxfId="2959" priority="3384" stopIfTrue="1">
      <formula>$B623="insumo"</formula>
    </cfRule>
  </conditionalFormatting>
  <conditionalFormatting sqref="AA623 T623">
    <cfRule type="expression" dxfId="2958" priority="3383" stopIfTrue="1">
      <formula>$B623="SERVIÇO"</formula>
    </cfRule>
  </conditionalFormatting>
  <conditionalFormatting sqref="AE623:AF623 A623:E623 V623 AA623:AC623 G623:T623">
    <cfRule type="expression" dxfId="2957" priority="3385">
      <formula>$B623="Unidade Construtiva"</formula>
    </cfRule>
    <cfRule type="expression" dxfId="2956" priority="3386">
      <formula>$B623="Serviço"</formula>
    </cfRule>
    <cfRule type="expression" dxfId="2955" priority="3387">
      <formula>$B623="Insumo"</formula>
    </cfRule>
    <cfRule type="expression" dxfId="2954" priority="3388">
      <formula>$B623="Etapa"</formula>
    </cfRule>
    <cfRule type="expression" dxfId="2953" priority="3389">
      <formula>$B623="Célula Construtiva"</formula>
    </cfRule>
    <cfRule type="expression" dxfId="2952" priority="3390">
      <formula>$B623="Subetapa"</formula>
    </cfRule>
  </conditionalFormatting>
  <conditionalFormatting sqref="T623">
    <cfRule type="expression" dxfId="2951" priority="3382" stopIfTrue="1">
      <formula>$B623="INSUMO"</formula>
    </cfRule>
  </conditionalFormatting>
  <conditionalFormatting sqref="V624">
    <cfRule type="expression" dxfId="2950" priority="3374" stopIfTrue="1">
      <formula>$B624="insumo"</formula>
    </cfRule>
  </conditionalFormatting>
  <conditionalFormatting sqref="AA624 T624">
    <cfRule type="expression" dxfId="2949" priority="3373" stopIfTrue="1">
      <formula>$B624="SERVIÇO"</formula>
    </cfRule>
  </conditionalFormatting>
  <conditionalFormatting sqref="AE624:AF624 A624:E624 V624 AA624:AC624 G624:T624">
    <cfRule type="expression" dxfId="2948" priority="3375">
      <formula>$B624="Unidade Construtiva"</formula>
    </cfRule>
    <cfRule type="expression" dxfId="2947" priority="3376">
      <formula>$B624="Serviço"</formula>
    </cfRule>
    <cfRule type="expression" dxfId="2946" priority="3377">
      <formula>$B624="Insumo"</formula>
    </cfRule>
    <cfRule type="expression" dxfId="2945" priority="3378">
      <formula>$B624="Etapa"</formula>
    </cfRule>
    <cfRule type="expression" dxfId="2944" priority="3379">
      <formula>$B624="Célula Construtiva"</formula>
    </cfRule>
    <cfRule type="expression" dxfId="2943" priority="3380">
      <formula>$B624="Subetapa"</formula>
    </cfRule>
  </conditionalFormatting>
  <conditionalFormatting sqref="T624">
    <cfRule type="expression" dxfId="2942" priority="3372" stopIfTrue="1">
      <formula>$B624="INSUMO"</formula>
    </cfRule>
  </conditionalFormatting>
  <conditionalFormatting sqref="V625">
    <cfRule type="expression" dxfId="2941" priority="3365" stopIfTrue="1">
      <formula>$B625="insumo"</formula>
    </cfRule>
  </conditionalFormatting>
  <conditionalFormatting sqref="V625:AC625">
    <cfRule type="expression" dxfId="2940" priority="3366">
      <formula>$B625="Unidade Construtiva"</formula>
    </cfRule>
    <cfRule type="expression" dxfId="2939" priority="3367">
      <formula>$B625="Serviço"</formula>
    </cfRule>
    <cfRule type="expression" dxfId="2938" priority="3368">
      <formula>$B625="Insumo"</formula>
    </cfRule>
    <cfRule type="expression" dxfId="2937" priority="3369">
      <formula>$B625="Etapa"</formula>
    </cfRule>
    <cfRule type="expression" dxfId="2936" priority="3370">
      <formula>$B625="Célula Construtiva"</formula>
    </cfRule>
    <cfRule type="expression" dxfId="2935" priority="3371">
      <formula>$B625="Subetapa"</formula>
    </cfRule>
  </conditionalFormatting>
  <conditionalFormatting sqref="U625">
    <cfRule type="expression" dxfId="2934" priority="3358" stopIfTrue="1">
      <formula>$B625="SERVIÇO"</formula>
    </cfRule>
  </conditionalFormatting>
  <conditionalFormatting sqref="U625">
    <cfRule type="expression" dxfId="2933" priority="3359">
      <formula>$B625="Unidade Construtiva"</formula>
    </cfRule>
    <cfRule type="expression" dxfId="2932" priority="3360">
      <formula>$B625="Serviço"</formula>
    </cfRule>
    <cfRule type="expression" dxfId="2931" priority="3361">
      <formula>$B625="Insumo"</formula>
    </cfRule>
    <cfRule type="expression" dxfId="2930" priority="3362">
      <formula>$B625="Etapa"</formula>
    </cfRule>
    <cfRule type="expression" dxfId="2929" priority="3363">
      <formula>$B625="Célula Construtiva"</formula>
    </cfRule>
    <cfRule type="expression" dxfId="2928" priority="3364">
      <formula>$B625="Subetapa"</formula>
    </cfRule>
  </conditionalFormatting>
  <conditionalFormatting sqref="V628">
    <cfRule type="expression" dxfId="2927" priority="3350" stopIfTrue="1">
      <formula>$B628="insumo"</formula>
    </cfRule>
  </conditionalFormatting>
  <conditionalFormatting sqref="AA628 T628">
    <cfRule type="expression" dxfId="2926" priority="3349" stopIfTrue="1">
      <formula>$B628="SERVIÇO"</formula>
    </cfRule>
  </conditionalFormatting>
  <conditionalFormatting sqref="AE628:AF628 A628:E628 V628 AA628:AC628 G628:T628">
    <cfRule type="expression" dxfId="2925" priority="3351">
      <formula>$B628="Unidade Construtiva"</formula>
    </cfRule>
    <cfRule type="expression" dxfId="2924" priority="3352">
      <formula>$B628="Serviço"</formula>
    </cfRule>
    <cfRule type="expression" dxfId="2923" priority="3353">
      <formula>$B628="Insumo"</formula>
    </cfRule>
    <cfRule type="expression" dxfId="2922" priority="3354">
      <formula>$B628="Etapa"</formula>
    </cfRule>
    <cfRule type="expression" dxfId="2921" priority="3355">
      <formula>$B628="Célula Construtiva"</formula>
    </cfRule>
    <cfRule type="expression" dxfId="2920" priority="3356">
      <formula>$B628="Subetapa"</formula>
    </cfRule>
  </conditionalFormatting>
  <conditionalFormatting sqref="T628">
    <cfRule type="expression" dxfId="2919" priority="3348" stopIfTrue="1">
      <formula>$B628="INSUMO"</formula>
    </cfRule>
  </conditionalFormatting>
  <conditionalFormatting sqref="V629">
    <cfRule type="expression" dxfId="2918" priority="3340" stopIfTrue="1">
      <formula>$B629="insumo"</formula>
    </cfRule>
  </conditionalFormatting>
  <conditionalFormatting sqref="AA629 T629">
    <cfRule type="expression" dxfId="2917" priority="3339" stopIfTrue="1">
      <formula>$B629="SERVIÇO"</formula>
    </cfRule>
  </conditionalFormatting>
  <conditionalFormatting sqref="AE629:AF629 A629:E629 V629 AA629:AC629 G629:T629">
    <cfRule type="expression" dxfId="2916" priority="3341">
      <formula>$B629="Unidade Construtiva"</formula>
    </cfRule>
    <cfRule type="expression" dxfId="2915" priority="3342">
      <formula>$B629="Serviço"</formula>
    </cfRule>
    <cfRule type="expression" dxfId="2914" priority="3343">
      <formula>$B629="Insumo"</formula>
    </cfRule>
    <cfRule type="expression" dxfId="2913" priority="3344">
      <formula>$B629="Etapa"</formula>
    </cfRule>
    <cfRule type="expression" dxfId="2912" priority="3345">
      <formula>$B629="Célula Construtiva"</formula>
    </cfRule>
    <cfRule type="expression" dxfId="2911" priority="3346">
      <formula>$B629="Subetapa"</formula>
    </cfRule>
  </conditionalFormatting>
  <conditionalFormatting sqref="T629">
    <cfRule type="expression" dxfId="2910" priority="3338" stopIfTrue="1">
      <formula>$B629="INSUMO"</formula>
    </cfRule>
  </conditionalFormatting>
  <conditionalFormatting sqref="V630:AC630">
    <cfRule type="expression" dxfId="2909" priority="3332">
      <formula>$B630="Unidade Construtiva"</formula>
    </cfRule>
    <cfRule type="expression" dxfId="2908" priority="3333">
      <formula>$B630="Serviço"</formula>
    </cfRule>
    <cfRule type="expression" dxfId="2907" priority="3334">
      <formula>$B630="Insumo"</formula>
    </cfRule>
    <cfRule type="expression" dxfId="2906" priority="3335">
      <formula>$B630="Etapa"</formula>
    </cfRule>
    <cfRule type="expression" dxfId="2905" priority="3336">
      <formula>$B630="Célula Construtiva"</formula>
    </cfRule>
    <cfRule type="expression" dxfId="2904" priority="3337">
      <formula>$B630="Subetapa"</formula>
    </cfRule>
  </conditionalFormatting>
  <conditionalFormatting sqref="U630">
    <cfRule type="expression" dxfId="2903" priority="3325" stopIfTrue="1">
      <formula>$B630="SERVIÇO"</formula>
    </cfRule>
  </conditionalFormatting>
  <conditionalFormatting sqref="U630">
    <cfRule type="expression" dxfId="2902" priority="3326">
      <formula>$B630="Unidade Construtiva"</formula>
    </cfRule>
    <cfRule type="expression" dxfId="2901" priority="3327">
      <formula>$B630="Serviço"</formula>
    </cfRule>
    <cfRule type="expression" dxfId="2900" priority="3328">
      <formula>$B630="Insumo"</formula>
    </cfRule>
    <cfRule type="expression" dxfId="2899" priority="3329">
      <formula>$B630="Etapa"</formula>
    </cfRule>
    <cfRule type="expression" dxfId="2898" priority="3330">
      <formula>$B630="Célula Construtiva"</formula>
    </cfRule>
    <cfRule type="expression" dxfId="2897" priority="3331">
      <formula>$B630="Subetapa"</formula>
    </cfRule>
  </conditionalFormatting>
  <conditionalFormatting sqref="V633">
    <cfRule type="expression" dxfId="2896" priority="3317" stopIfTrue="1">
      <formula>$B633="insumo"</formula>
    </cfRule>
  </conditionalFormatting>
  <conditionalFormatting sqref="AA633 T633">
    <cfRule type="expression" dxfId="2895" priority="3316" stopIfTrue="1">
      <formula>$B633="SERVIÇO"</formula>
    </cfRule>
  </conditionalFormatting>
  <conditionalFormatting sqref="AE633:AF633 A633:E633 V633 AA633:AC633 G633:T633">
    <cfRule type="expression" dxfId="2894" priority="3318">
      <formula>$B633="Unidade Construtiva"</formula>
    </cfRule>
    <cfRule type="expression" dxfId="2893" priority="3319">
      <formula>$B633="Serviço"</formula>
    </cfRule>
    <cfRule type="expression" dxfId="2892" priority="3320">
      <formula>$B633="Insumo"</formula>
    </cfRule>
    <cfRule type="expression" dxfId="2891" priority="3321">
      <formula>$B633="Etapa"</formula>
    </cfRule>
    <cfRule type="expression" dxfId="2890" priority="3322">
      <formula>$B633="Célula Construtiva"</formula>
    </cfRule>
    <cfRule type="expression" dxfId="2889" priority="3323">
      <formula>$B633="Subetapa"</formula>
    </cfRule>
  </conditionalFormatting>
  <conditionalFormatting sqref="T633">
    <cfRule type="expression" dxfId="2888" priority="3315" stopIfTrue="1">
      <formula>$B633="INSUMO"</formula>
    </cfRule>
  </conditionalFormatting>
  <conditionalFormatting sqref="V634">
    <cfRule type="expression" dxfId="2887" priority="3307" stopIfTrue="1">
      <formula>$B634="insumo"</formula>
    </cfRule>
  </conditionalFormatting>
  <conditionalFormatting sqref="AA634 T634">
    <cfRule type="expression" dxfId="2886" priority="3306" stopIfTrue="1">
      <formula>$B634="SERVIÇO"</formula>
    </cfRule>
  </conditionalFormatting>
  <conditionalFormatting sqref="AE634:AF634 A634:E634 V634 AA634:AC634 G634:T634">
    <cfRule type="expression" dxfId="2885" priority="3308">
      <formula>$B634="Unidade Construtiva"</formula>
    </cfRule>
    <cfRule type="expression" dxfId="2884" priority="3309">
      <formula>$B634="Serviço"</formula>
    </cfRule>
    <cfRule type="expression" dxfId="2883" priority="3310">
      <formula>$B634="Insumo"</formula>
    </cfRule>
    <cfRule type="expression" dxfId="2882" priority="3311">
      <formula>$B634="Etapa"</formula>
    </cfRule>
    <cfRule type="expression" dxfId="2881" priority="3312">
      <formula>$B634="Célula Construtiva"</formula>
    </cfRule>
    <cfRule type="expression" dxfId="2880" priority="3313">
      <formula>$B634="Subetapa"</formula>
    </cfRule>
  </conditionalFormatting>
  <conditionalFormatting sqref="T634">
    <cfRule type="expression" dxfId="2879" priority="3305" stopIfTrue="1">
      <formula>$B634="INSUMO"</formula>
    </cfRule>
  </conditionalFormatting>
  <conditionalFormatting sqref="AA637 T637">
    <cfRule type="expression" dxfId="2878" priority="3297" stopIfTrue="1">
      <formula>$B637="SERVIÇO"</formula>
    </cfRule>
  </conditionalFormatting>
  <conditionalFormatting sqref="AE637:AF637 A637:E637 AA637:AC637 G637:T637">
    <cfRule type="expression" dxfId="2877" priority="3298">
      <formula>$B637="Unidade Construtiva"</formula>
    </cfRule>
    <cfRule type="expression" dxfId="2876" priority="3299">
      <formula>$B637="Serviço"</formula>
    </cfRule>
    <cfRule type="expression" dxfId="2875" priority="3300">
      <formula>$B637="Insumo"</formula>
    </cfRule>
    <cfRule type="expression" dxfId="2874" priority="3301">
      <formula>$B637="Etapa"</formula>
    </cfRule>
    <cfRule type="expression" dxfId="2873" priority="3302">
      <formula>$B637="Célula Construtiva"</formula>
    </cfRule>
    <cfRule type="expression" dxfId="2872" priority="3303">
      <formula>$B637="Subetapa"</formula>
    </cfRule>
  </conditionalFormatting>
  <conditionalFormatting sqref="T637">
    <cfRule type="expression" dxfId="2871" priority="3296" stopIfTrue="1">
      <formula>$B637="INSUMO"</formula>
    </cfRule>
  </conditionalFormatting>
  <conditionalFormatting sqref="V637">
    <cfRule type="expression" dxfId="2870" priority="3289" stopIfTrue="1">
      <formula>$B637="insumo"</formula>
    </cfRule>
  </conditionalFormatting>
  <conditionalFormatting sqref="V637">
    <cfRule type="expression" dxfId="2869" priority="3290">
      <formula>$B637="Unidade Construtiva"</formula>
    </cfRule>
    <cfRule type="expression" dxfId="2868" priority="3291">
      <formula>$B637="Serviço"</formula>
    </cfRule>
    <cfRule type="expression" dxfId="2867" priority="3292">
      <formula>$B637="Insumo"</formula>
    </cfRule>
    <cfRule type="expression" dxfId="2866" priority="3293">
      <formula>$B637="Etapa"</formula>
    </cfRule>
    <cfRule type="expression" dxfId="2865" priority="3294">
      <formula>$B637="Célula Construtiva"</formula>
    </cfRule>
    <cfRule type="expression" dxfId="2864" priority="3295">
      <formula>$B637="Subetapa"</formula>
    </cfRule>
  </conditionalFormatting>
  <conditionalFormatting sqref="V631">
    <cfRule type="expression" dxfId="2863" priority="3282" stopIfTrue="1">
      <formula>$B631="insumo"</formula>
    </cfRule>
  </conditionalFormatting>
  <conditionalFormatting sqref="V631">
    <cfRule type="expression" dxfId="2862" priority="3283">
      <formula>$B631="Unidade Construtiva"</formula>
    </cfRule>
    <cfRule type="expression" dxfId="2861" priority="3284">
      <formula>$B631="Serviço"</formula>
    </cfRule>
    <cfRule type="expression" dxfId="2860" priority="3285">
      <formula>$B631="Insumo"</formula>
    </cfRule>
    <cfRule type="expression" dxfId="2859" priority="3286">
      <formula>$B631="Etapa"</formula>
    </cfRule>
    <cfRule type="expression" dxfId="2858" priority="3287">
      <formula>$B631="Célula Construtiva"</formula>
    </cfRule>
    <cfRule type="expression" dxfId="2857" priority="3288">
      <formula>$B631="Subetapa"</formula>
    </cfRule>
  </conditionalFormatting>
  <conditionalFormatting sqref="V621">
    <cfRule type="expression" dxfId="2856" priority="3261" stopIfTrue="1">
      <formula>$B621="insumo"</formula>
    </cfRule>
  </conditionalFormatting>
  <conditionalFormatting sqref="V621">
    <cfRule type="expression" dxfId="2855" priority="3262">
      <formula>$B621="Unidade Construtiva"</formula>
    </cfRule>
    <cfRule type="expression" dxfId="2854" priority="3263">
      <formula>$B621="Serviço"</formula>
    </cfRule>
    <cfRule type="expression" dxfId="2853" priority="3264">
      <formula>$B621="Insumo"</formula>
    </cfRule>
    <cfRule type="expression" dxfId="2852" priority="3265">
      <formula>$B621="Etapa"</formula>
    </cfRule>
    <cfRule type="expression" dxfId="2851" priority="3266">
      <formula>$B621="Célula Construtiva"</formula>
    </cfRule>
    <cfRule type="expression" dxfId="2850" priority="3267">
      <formula>$B621="Subetapa"</formula>
    </cfRule>
  </conditionalFormatting>
  <conditionalFormatting sqref="V636">
    <cfRule type="expression" dxfId="2849" priority="3275" stopIfTrue="1">
      <formula>$B636="insumo"</formula>
    </cfRule>
  </conditionalFormatting>
  <conditionalFormatting sqref="V636">
    <cfRule type="expression" dxfId="2848" priority="3276">
      <formula>$B636="Unidade Construtiva"</formula>
    </cfRule>
    <cfRule type="expression" dxfId="2847" priority="3277">
      <formula>$B636="Serviço"</formula>
    </cfRule>
    <cfRule type="expression" dxfId="2846" priority="3278">
      <formula>$B636="Insumo"</formula>
    </cfRule>
    <cfRule type="expression" dxfId="2845" priority="3279">
      <formula>$B636="Etapa"</formula>
    </cfRule>
    <cfRule type="expression" dxfId="2844" priority="3280">
      <formula>$B636="Célula Construtiva"</formula>
    </cfRule>
    <cfRule type="expression" dxfId="2843" priority="3281">
      <formula>$B636="Subetapa"</formula>
    </cfRule>
  </conditionalFormatting>
  <conditionalFormatting sqref="V626">
    <cfRule type="expression" dxfId="2842" priority="3268" stopIfTrue="1">
      <formula>$B626="insumo"</formula>
    </cfRule>
  </conditionalFormatting>
  <conditionalFormatting sqref="V626">
    <cfRule type="expression" dxfId="2841" priority="3269">
      <formula>$B626="Unidade Construtiva"</formula>
    </cfRule>
    <cfRule type="expression" dxfId="2840" priority="3270">
      <formula>$B626="Serviço"</formula>
    </cfRule>
    <cfRule type="expression" dxfId="2839" priority="3271">
      <formula>$B626="Insumo"</formula>
    </cfRule>
    <cfRule type="expression" dxfId="2838" priority="3272">
      <formula>$B626="Etapa"</formula>
    </cfRule>
    <cfRule type="expression" dxfId="2837" priority="3273">
      <formula>$B626="Célula Construtiva"</formula>
    </cfRule>
    <cfRule type="expression" dxfId="2836" priority="3274">
      <formula>$B626="Subetapa"</formula>
    </cfRule>
  </conditionalFormatting>
  <conditionalFormatting sqref="T1201">
    <cfRule type="expression" dxfId="2835" priority="3254" stopIfTrue="1">
      <formula>$B1201="SERVIÇO"</formula>
    </cfRule>
  </conditionalFormatting>
  <conditionalFormatting sqref="T1201">
    <cfRule type="expression" dxfId="2834" priority="3255">
      <formula>$B1201="Unidade Construtiva"</formula>
    </cfRule>
    <cfRule type="expression" dxfId="2833" priority="3256">
      <formula>$B1201="Serviço"</formula>
    </cfRule>
    <cfRule type="expression" dxfId="2832" priority="3257">
      <formula>$B1201="Insumo"</formula>
    </cfRule>
    <cfRule type="expression" dxfId="2831" priority="3258">
      <formula>$B1201="Etapa"</formula>
    </cfRule>
    <cfRule type="expression" dxfId="2830" priority="3259">
      <formula>$B1201="Célula Construtiva"</formula>
    </cfRule>
    <cfRule type="expression" dxfId="2829" priority="3260">
      <formula>$B1201="Subetapa"</formula>
    </cfRule>
  </conditionalFormatting>
  <conditionalFormatting sqref="T1201">
    <cfRule type="expression" dxfId="2828" priority="3253" stopIfTrue="1">
      <formula>$B1201="INSUMO"</formula>
    </cfRule>
  </conditionalFormatting>
  <conditionalFormatting sqref="V822:V824">
    <cfRule type="expression" dxfId="2827" priority="3245" stopIfTrue="1">
      <formula>$B822="insumo"</formula>
    </cfRule>
  </conditionalFormatting>
  <conditionalFormatting sqref="AA822:AA824 T822:U824">
    <cfRule type="expression" dxfId="2826" priority="3244" stopIfTrue="1">
      <formula>$B822="SERVIÇO"</formula>
    </cfRule>
  </conditionalFormatting>
  <conditionalFormatting sqref="AE822:AF824 A822:E824 G822:AC824">
    <cfRule type="expression" dxfId="2825" priority="3246">
      <formula>$B822="Unidade Construtiva"</formula>
    </cfRule>
    <cfRule type="expression" dxfId="2824" priority="3247">
      <formula>$B822="Serviço"</formula>
    </cfRule>
    <cfRule type="expression" dxfId="2823" priority="3248">
      <formula>$B822="Insumo"</formula>
    </cfRule>
    <cfRule type="expression" dxfId="2822" priority="3249">
      <formula>$B822="Etapa"</formula>
    </cfRule>
    <cfRule type="expression" dxfId="2821" priority="3250">
      <formula>$B822="Célula Construtiva"</formula>
    </cfRule>
    <cfRule type="expression" dxfId="2820" priority="3251">
      <formula>$B822="Subetapa"</formula>
    </cfRule>
  </conditionalFormatting>
  <conditionalFormatting sqref="T822:T824">
    <cfRule type="expression" dxfId="2819" priority="3243" stopIfTrue="1">
      <formula>$B822="INSUMO"</formula>
    </cfRule>
  </conditionalFormatting>
  <conditionalFormatting sqref="W822:W824">
    <cfRule type="containsText" dxfId="2818" priority="3242" stopIfTrue="1" operator="containsText" text="INSERIR">
      <formula>NOT(ISERROR(SEARCH("INSERIR",W822)))</formula>
    </cfRule>
  </conditionalFormatting>
  <conditionalFormatting sqref="W822:W823">
    <cfRule type="containsText" dxfId="2817" priority="3241" stopIfTrue="1" operator="containsText" text="INSERIR">
      <formula>NOT(ISERROR(SEARCH("INSERIR",W822)))</formula>
    </cfRule>
  </conditionalFormatting>
  <conditionalFormatting sqref="V1509">
    <cfRule type="expression" dxfId="2816" priority="3235">
      <formula>$B1509="Unidade Construtiva"</formula>
    </cfRule>
    <cfRule type="expression" dxfId="2815" priority="3236">
      <formula>$B1509="Serviço"</formula>
    </cfRule>
    <cfRule type="expression" dxfId="2814" priority="3237">
      <formula>$B1509="Insumo"</formula>
    </cfRule>
    <cfRule type="expression" dxfId="2813" priority="3238">
      <formula>$B1509="Etapa"</formula>
    </cfRule>
    <cfRule type="expression" dxfId="2812" priority="3239">
      <formula>$B1509="Célula Construtiva"</formula>
    </cfRule>
    <cfRule type="expression" dxfId="2811" priority="3240">
      <formula>$B1509="Subetapa"</formula>
    </cfRule>
  </conditionalFormatting>
  <conditionalFormatting sqref="V1583">
    <cfRule type="expression" dxfId="2810" priority="3229">
      <formula>$B1583="Unidade Construtiva"</formula>
    </cfRule>
    <cfRule type="expression" dxfId="2809" priority="3230">
      <formula>$B1583="Serviço"</formula>
    </cfRule>
    <cfRule type="expression" dxfId="2808" priority="3231">
      <formula>$B1583="Insumo"</formula>
    </cfRule>
    <cfRule type="expression" dxfId="2807" priority="3232">
      <formula>$B1583="Etapa"</formula>
    </cfRule>
    <cfRule type="expression" dxfId="2806" priority="3233">
      <formula>$B1583="Célula Construtiva"</formula>
    </cfRule>
    <cfRule type="expression" dxfId="2805" priority="3234">
      <formula>$B1583="Subetapa"</formula>
    </cfRule>
  </conditionalFormatting>
  <conditionalFormatting sqref="V1644">
    <cfRule type="expression" dxfId="2804" priority="3223">
      <formula>$B1644="Unidade Construtiva"</formula>
    </cfRule>
    <cfRule type="expression" dxfId="2803" priority="3224">
      <formula>$B1644="Serviço"</formula>
    </cfRule>
    <cfRule type="expression" dxfId="2802" priority="3225">
      <formula>$B1644="Insumo"</formula>
    </cfRule>
    <cfRule type="expression" dxfId="2801" priority="3226">
      <formula>$B1644="Etapa"</formula>
    </cfRule>
    <cfRule type="expression" dxfId="2800" priority="3227">
      <formula>$B1644="Célula Construtiva"</formula>
    </cfRule>
    <cfRule type="expression" dxfId="2799" priority="3228">
      <formula>$B1644="Subetapa"</formula>
    </cfRule>
  </conditionalFormatting>
  <conditionalFormatting sqref="V1712">
    <cfRule type="expression" dxfId="2798" priority="3216" stopIfTrue="1">
      <formula>$B1712="insumo"</formula>
    </cfRule>
  </conditionalFormatting>
  <conditionalFormatting sqref="V1712">
    <cfRule type="expression" dxfId="2797" priority="3217">
      <formula>$B1712="Unidade Construtiva"</formula>
    </cfRule>
    <cfRule type="expression" dxfId="2796" priority="3218">
      <formula>$B1712="Serviço"</formula>
    </cfRule>
    <cfRule type="expression" dxfId="2795" priority="3219">
      <formula>$B1712="Insumo"</formula>
    </cfRule>
    <cfRule type="expression" dxfId="2794" priority="3220">
      <formula>$B1712="Etapa"</formula>
    </cfRule>
    <cfRule type="expression" dxfId="2793" priority="3221">
      <formula>$B1712="Célula Construtiva"</formula>
    </cfRule>
    <cfRule type="expression" dxfId="2792" priority="3222">
      <formula>$B1712="Subetapa"</formula>
    </cfRule>
  </conditionalFormatting>
  <conditionalFormatting sqref="U1216">
    <cfRule type="expression" dxfId="2791" priority="3209" stopIfTrue="1">
      <formula>$B1216="SERVIÇO"</formula>
    </cfRule>
  </conditionalFormatting>
  <conditionalFormatting sqref="U1216">
    <cfRule type="expression" dxfId="2790" priority="3210">
      <formula>$B1216="Unidade Construtiva"</formula>
    </cfRule>
    <cfRule type="expression" dxfId="2789" priority="3211">
      <formula>$B1216="Serviço"</formula>
    </cfRule>
    <cfRule type="expression" dxfId="2788" priority="3212">
      <formula>$B1216="Insumo"</formula>
    </cfRule>
    <cfRule type="expression" dxfId="2787" priority="3213">
      <formula>$B1216="Etapa"</formula>
    </cfRule>
    <cfRule type="expression" dxfId="2786" priority="3214">
      <formula>$B1216="Célula Construtiva"</formula>
    </cfRule>
    <cfRule type="expression" dxfId="2785" priority="3215">
      <formula>$B1216="Subetapa"</formula>
    </cfRule>
  </conditionalFormatting>
  <conditionalFormatting sqref="T1216">
    <cfRule type="expression" dxfId="2784" priority="3202" stopIfTrue="1">
      <formula>$B1216="SERVIÇO"</formula>
    </cfRule>
  </conditionalFormatting>
  <conditionalFormatting sqref="S1216:T1216">
    <cfRule type="expression" dxfId="2783" priority="3203">
      <formula>$B1216="Unidade Construtiva"</formula>
    </cfRule>
    <cfRule type="expression" dxfId="2782" priority="3204">
      <formula>$B1216="Serviço"</formula>
    </cfRule>
    <cfRule type="expression" dxfId="2781" priority="3205">
      <formula>$B1216="Insumo"</formula>
    </cfRule>
    <cfRule type="expression" dxfId="2780" priority="3206">
      <formula>$B1216="Etapa"</formula>
    </cfRule>
    <cfRule type="expression" dxfId="2779" priority="3207">
      <formula>$B1216="Célula Construtiva"</formula>
    </cfRule>
    <cfRule type="expression" dxfId="2778" priority="3208">
      <formula>$B1216="Subetapa"</formula>
    </cfRule>
  </conditionalFormatting>
  <conditionalFormatting sqref="T1216">
    <cfRule type="expression" dxfId="2777" priority="3201" stopIfTrue="1">
      <formula>$B1216="INSUMO"</formula>
    </cfRule>
  </conditionalFormatting>
  <conditionalFormatting sqref="V1216">
    <cfRule type="expression" dxfId="2776" priority="3194" stopIfTrue="1">
      <formula>$B1216="insumo"</formula>
    </cfRule>
  </conditionalFormatting>
  <conditionalFormatting sqref="V1216">
    <cfRule type="expression" dxfId="2775" priority="3195">
      <formula>$B1216="Unidade Construtiva"</formula>
    </cfRule>
    <cfRule type="expression" dxfId="2774" priority="3196">
      <formula>$B1216="Serviço"</formula>
    </cfRule>
    <cfRule type="expression" dxfId="2773" priority="3197">
      <formula>$B1216="Insumo"</formula>
    </cfRule>
    <cfRule type="expression" dxfId="2772" priority="3198">
      <formula>$B1216="Etapa"</formula>
    </cfRule>
    <cfRule type="expression" dxfId="2771" priority="3199">
      <formula>$B1216="Célula Construtiva"</formula>
    </cfRule>
    <cfRule type="expression" dxfId="2770" priority="3200">
      <formula>$B1216="Subetapa"</formula>
    </cfRule>
  </conditionalFormatting>
  <conditionalFormatting sqref="V1246">
    <cfRule type="expression" dxfId="2769" priority="3187" stopIfTrue="1">
      <formula>$B1246="insumo"</formula>
    </cfRule>
  </conditionalFormatting>
  <conditionalFormatting sqref="T1246:U1246">
    <cfRule type="expression" dxfId="2768" priority="3186" stopIfTrue="1">
      <formula>$B1246="SERVIÇO"</formula>
    </cfRule>
  </conditionalFormatting>
  <conditionalFormatting sqref="S1246:V1246">
    <cfRule type="expression" dxfId="2767" priority="3188">
      <formula>$B1246="Unidade Construtiva"</formula>
    </cfRule>
    <cfRule type="expression" dxfId="2766" priority="3189">
      <formula>$B1246="Serviço"</formula>
    </cfRule>
    <cfRule type="expression" dxfId="2765" priority="3190">
      <formula>$B1246="Insumo"</formula>
    </cfRule>
    <cfRule type="expression" dxfId="2764" priority="3191">
      <formula>$B1246="Etapa"</formula>
    </cfRule>
    <cfRule type="expression" dxfId="2763" priority="3192">
      <formula>$B1246="Célula Construtiva"</formula>
    </cfRule>
    <cfRule type="expression" dxfId="2762" priority="3193">
      <formula>$B1246="Subetapa"</formula>
    </cfRule>
  </conditionalFormatting>
  <conditionalFormatting sqref="T1246">
    <cfRule type="expression" dxfId="2761" priority="3185" stopIfTrue="1">
      <formula>$B1246="INSUMO"</formula>
    </cfRule>
  </conditionalFormatting>
  <conditionalFormatting sqref="V1278">
    <cfRule type="expression" dxfId="2760" priority="3178" stopIfTrue="1">
      <formula>$B1278="insumo"</formula>
    </cfRule>
  </conditionalFormatting>
  <conditionalFormatting sqref="T1278:U1278">
    <cfRule type="expression" dxfId="2759" priority="3177" stopIfTrue="1">
      <formula>$B1278="SERVIÇO"</formula>
    </cfRule>
  </conditionalFormatting>
  <conditionalFormatting sqref="S1278:V1278">
    <cfRule type="expression" dxfId="2758" priority="3179">
      <formula>$B1278="Unidade Construtiva"</formula>
    </cfRule>
    <cfRule type="expression" dxfId="2757" priority="3180">
      <formula>$B1278="Serviço"</formula>
    </cfRule>
    <cfRule type="expression" dxfId="2756" priority="3181">
      <formula>$B1278="Insumo"</formula>
    </cfRule>
    <cfRule type="expression" dxfId="2755" priority="3182">
      <formula>$B1278="Etapa"</formula>
    </cfRule>
    <cfRule type="expression" dxfId="2754" priority="3183">
      <formula>$B1278="Célula Construtiva"</formula>
    </cfRule>
    <cfRule type="expression" dxfId="2753" priority="3184">
      <formula>$B1278="Subetapa"</formula>
    </cfRule>
  </conditionalFormatting>
  <conditionalFormatting sqref="T1278">
    <cfRule type="expression" dxfId="2752" priority="3176" stopIfTrue="1">
      <formula>$B1278="INSUMO"</formula>
    </cfRule>
  </conditionalFormatting>
  <conditionalFormatting sqref="V1310">
    <cfRule type="expression" dxfId="2751" priority="3169" stopIfTrue="1">
      <formula>$B1310="insumo"</formula>
    </cfRule>
  </conditionalFormatting>
  <conditionalFormatting sqref="T1310:U1310">
    <cfRule type="expression" dxfId="2750" priority="3168" stopIfTrue="1">
      <formula>$B1310="SERVIÇO"</formula>
    </cfRule>
  </conditionalFormatting>
  <conditionalFormatting sqref="S1310:V1310">
    <cfRule type="expression" dxfId="2749" priority="3170">
      <formula>$B1310="Unidade Construtiva"</formula>
    </cfRule>
    <cfRule type="expression" dxfId="2748" priority="3171">
      <formula>$B1310="Serviço"</formula>
    </cfRule>
    <cfRule type="expression" dxfId="2747" priority="3172">
      <formula>$B1310="Insumo"</formula>
    </cfRule>
    <cfRule type="expression" dxfId="2746" priority="3173">
      <formula>$B1310="Etapa"</formula>
    </cfRule>
    <cfRule type="expression" dxfId="2745" priority="3174">
      <formula>$B1310="Célula Construtiva"</formula>
    </cfRule>
    <cfRule type="expression" dxfId="2744" priority="3175">
      <formula>$B1310="Subetapa"</formula>
    </cfRule>
  </conditionalFormatting>
  <conditionalFormatting sqref="T1310">
    <cfRule type="expression" dxfId="2743" priority="3167" stopIfTrue="1">
      <formula>$B1310="INSUMO"</formula>
    </cfRule>
  </conditionalFormatting>
  <conditionalFormatting sqref="V1348">
    <cfRule type="expression" dxfId="2742" priority="3160" stopIfTrue="1">
      <formula>$B1348="insumo"</formula>
    </cfRule>
  </conditionalFormatting>
  <conditionalFormatting sqref="T1348:U1348">
    <cfRule type="expression" dxfId="2741" priority="3159" stopIfTrue="1">
      <formula>$B1348="SERVIÇO"</formula>
    </cfRule>
  </conditionalFormatting>
  <conditionalFormatting sqref="S1348:V1348">
    <cfRule type="expression" dxfId="2740" priority="3161">
      <formula>$B1348="Unidade Construtiva"</formula>
    </cfRule>
    <cfRule type="expression" dxfId="2739" priority="3162">
      <formula>$B1348="Serviço"</formula>
    </cfRule>
    <cfRule type="expression" dxfId="2738" priority="3163">
      <formula>$B1348="Insumo"</formula>
    </cfRule>
    <cfRule type="expression" dxfId="2737" priority="3164">
      <formula>$B1348="Etapa"</formula>
    </cfRule>
    <cfRule type="expression" dxfId="2736" priority="3165">
      <formula>$B1348="Célula Construtiva"</formula>
    </cfRule>
    <cfRule type="expression" dxfId="2735" priority="3166">
      <formula>$B1348="Subetapa"</formula>
    </cfRule>
  </conditionalFormatting>
  <conditionalFormatting sqref="T1348">
    <cfRule type="expression" dxfId="2734" priority="3158" stopIfTrue="1">
      <formula>$B1348="INSUMO"</formula>
    </cfRule>
  </conditionalFormatting>
  <conditionalFormatting sqref="V2093">
    <cfRule type="expression" dxfId="2733" priority="3151" stopIfTrue="1">
      <formula>$B2093="insumo"</formula>
    </cfRule>
  </conditionalFormatting>
  <conditionalFormatting sqref="T2093:U2093">
    <cfRule type="expression" dxfId="2732" priority="3150" stopIfTrue="1">
      <formula>$B2093="SERVIÇO"</formula>
    </cfRule>
  </conditionalFormatting>
  <conditionalFormatting sqref="S2093:V2093">
    <cfRule type="expression" dxfId="2731" priority="3152">
      <formula>$B2093="Unidade Construtiva"</formula>
    </cfRule>
    <cfRule type="expression" dxfId="2730" priority="3153">
      <formula>$B2093="Serviço"</formula>
    </cfRule>
    <cfRule type="expression" dxfId="2729" priority="3154">
      <formula>$B2093="Insumo"</formula>
    </cfRule>
    <cfRule type="expression" dxfId="2728" priority="3155">
      <formula>$B2093="Etapa"</formula>
    </cfRule>
    <cfRule type="expression" dxfId="2727" priority="3156">
      <formula>$B2093="Célula Construtiva"</formula>
    </cfRule>
    <cfRule type="expression" dxfId="2726" priority="3157">
      <formula>$B2093="Subetapa"</formula>
    </cfRule>
  </conditionalFormatting>
  <conditionalFormatting sqref="T2093">
    <cfRule type="expression" dxfId="2725" priority="3149" stopIfTrue="1">
      <formula>$B2093="INSUMO"</formula>
    </cfRule>
  </conditionalFormatting>
  <conditionalFormatting sqref="V1389">
    <cfRule type="expression" dxfId="2724" priority="3142" stopIfTrue="1">
      <formula>$B1389="insumo"</formula>
    </cfRule>
  </conditionalFormatting>
  <conditionalFormatting sqref="T1389">
    <cfRule type="expression" dxfId="2723" priority="3141" stopIfTrue="1">
      <formula>$B1389="SERVIÇO"</formula>
    </cfRule>
  </conditionalFormatting>
  <conditionalFormatting sqref="T1389">
    <cfRule type="expression" dxfId="2722" priority="3143">
      <formula>$B1389="Unidade Construtiva"</formula>
    </cfRule>
    <cfRule type="expression" dxfId="2721" priority="3144">
      <formula>$B1389="Serviço"</formula>
    </cfRule>
    <cfRule type="expression" dxfId="2720" priority="3145">
      <formula>$B1389="Insumo"</formula>
    </cfRule>
    <cfRule type="expression" dxfId="2719" priority="3146">
      <formula>$B1389="Etapa"</formula>
    </cfRule>
    <cfRule type="expression" dxfId="2718" priority="3147">
      <formula>$B1389="Célula Construtiva"</formula>
    </cfRule>
    <cfRule type="expression" dxfId="2717" priority="3148">
      <formula>$B1389="Subetapa"</formula>
    </cfRule>
  </conditionalFormatting>
  <conditionalFormatting sqref="T1389">
    <cfRule type="expression" dxfId="2716" priority="3140" stopIfTrue="1">
      <formula>$B1389="INSUMO"</formula>
    </cfRule>
  </conditionalFormatting>
  <conditionalFormatting sqref="V1389">
    <cfRule type="expression" dxfId="2715" priority="3134">
      <formula>$B1389="Unidade Construtiva"</formula>
    </cfRule>
    <cfRule type="expression" dxfId="2714" priority="3135">
      <formula>$B1389="Serviço"</formula>
    </cfRule>
    <cfRule type="expression" dxfId="2713" priority="3136">
      <formula>$B1389="Insumo"</formula>
    </cfRule>
    <cfRule type="expression" dxfId="2712" priority="3137">
      <formula>$B1389="Etapa"</formula>
    </cfRule>
    <cfRule type="expression" dxfId="2711" priority="3138">
      <formula>$B1389="Célula Construtiva"</formula>
    </cfRule>
    <cfRule type="expression" dxfId="2710" priority="3139">
      <formula>$B1389="Subetapa"</formula>
    </cfRule>
  </conditionalFormatting>
  <conditionalFormatting sqref="S1389">
    <cfRule type="expression" dxfId="2709" priority="3128">
      <formula>$B1389="Unidade Construtiva"</formula>
    </cfRule>
    <cfRule type="expression" dxfId="2708" priority="3129">
      <formula>$B1389="Serviço"</formula>
    </cfRule>
    <cfRule type="expression" dxfId="2707" priority="3130">
      <formula>$B1389="Insumo"</formula>
    </cfRule>
    <cfRule type="expression" dxfId="2706" priority="3131">
      <formula>$B1389="Etapa"</formula>
    </cfRule>
    <cfRule type="expression" dxfId="2705" priority="3132">
      <formula>$B1389="Célula Construtiva"</formula>
    </cfRule>
    <cfRule type="expression" dxfId="2704" priority="3133">
      <formula>$B1389="Subetapa"</formula>
    </cfRule>
  </conditionalFormatting>
  <conditionalFormatting sqref="V1414">
    <cfRule type="expression" dxfId="2703" priority="3121" stopIfTrue="1">
      <formula>$B1414="insumo"</formula>
    </cfRule>
  </conditionalFormatting>
  <conditionalFormatting sqref="T1414">
    <cfRule type="expression" dxfId="2702" priority="3120" stopIfTrue="1">
      <formula>$B1414="SERVIÇO"</formula>
    </cfRule>
  </conditionalFormatting>
  <conditionalFormatting sqref="T1414">
    <cfRule type="expression" dxfId="2701" priority="3122">
      <formula>$B1414="Unidade Construtiva"</formula>
    </cfRule>
    <cfRule type="expression" dxfId="2700" priority="3123">
      <formula>$B1414="Serviço"</formula>
    </cfRule>
    <cfRule type="expression" dxfId="2699" priority="3124">
      <formula>$B1414="Insumo"</formula>
    </cfRule>
    <cfRule type="expression" dxfId="2698" priority="3125">
      <formula>$B1414="Etapa"</formula>
    </cfRule>
    <cfRule type="expression" dxfId="2697" priority="3126">
      <formula>$B1414="Célula Construtiva"</formula>
    </cfRule>
    <cfRule type="expression" dxfId="2696" priority="3127">
      <formula>$B1414="Subetapa"</formula>
    </cfRule>
  </conditionalFormatting>
  <conditionalFormatting sqref="T1414">
    <cfRule type="expression" dxfId="2695" priority="3119" stopIfTrue="1">
      <formula>$B1414="INSUMO"</formula>
    </cfRule>
  </conditionalFormatting>
  <conditionalFormatting sqref="V1414">
    <cfRule type="expression" dxfId="2694" priority="3113">
      <formula>$B1414="Unidade Construtiva"</formula>
    </cfRule>
    <cfRule type="expression" dxfId="2693" priority="3114">
      <formula>$B1414="Serviço"</formula>
    </cfRule>
    <cfRule type="expression" dxfId="2692" priority="3115">
      <formula>$B1414="Insumo"</formula>
    </cfRule>
    <cfRule type="expression" dxfId="2691" priority="3116">
      <formula>$B1414="Etapa"</formula>
    </cfRule>
    <cfRule type="expression" dxfId="2690" priority="3117">
      <formula>$B1414="Célula Construtiva"</formula>
    </cfRule>
    <cfRule type="expression" dxfId="2689" priority="3118">
      <formula>$B1414="Subetapa"</formula>
    </cfRule>
  </conditionalFormatting>
  <conditionalFormatting sqref="S1414">
    <cfRule type="expression" dxfId="2688" priority="3107">
      <formula>$B1414="Unidade Construtiva"</formula>
    </cfRule>
    <cfRule type="expression" dxfId="2687" priority="3108">
      <formula>$B1414="Serviço"</formula>
    </cfRule>
    <cfRule type="expression" dxfId="2686" priority="3109">
      <formula>$B1414="Insumo"</formula>
    </cfRule>
    <cfRule type="expression" dxfId="2685" priority="3110">
      <formula>$B1414="Etapa"</formula>
    </cfRule>
    <cfRule type="expression" dxfId="2684" priority="3111">
      <formula>$B1414="Célula Construtiva"</formula>
    </cfRule>
    <cfRule type="expression" dxfId="2683" priority="3112">
      <formula>$B1414="Subetapa"</formula>
    </cfRule>
  </conditionalFormatting>
  <conditionalFormatting sqref="V1432">
    <cfRule type="expression" dxfId="2682" priority="3100" stopIfTrue="1">
      <formula>$B1432="insumo"</formula>
    </cfRule>
  </conditionalFormatting>
  <conditionalFormatting sqref="T1432">
    <cfRule type="expression" dxfId="2681" priority="3099" stopIfTrue="1">
      <formula>$B1432="SERVIÇO"</formula>
    </cfRule>
  </conditionalFormatting>
  <conditionalFormatting sqref="T1432">
    <cfRule type="expression" dxfId="2680" priority="3101">
      <formula>$B1432="Unidade Construtiva"</formula>
    </cfRule>
    <cfRule type="expression" dxfId="2679" priority="3102">
      <formula>$B1432="Serviço"</formula>
    </cfRule>
    <cfRule type="expression" dxfId="2678" priority="3103">
      <formula>$B1432="Insumo"</formula>
    </cfRule>
    <cfRule type="expression" dxfId="2677" priority="3104">
      <formula>$B1432="Etapa"</formula>
    </cfRule>
    <cfRule type="expression" dxfId="2676" priority="3105">
      <formula>$B1432="Célula Construtiva"</formula>
    </cfRule>
    <cfRule type="expression" dxfId="2675" priority="3106">
      <formula>$B1432="Subetapa"</formula>
    </cfRule>
  </conditionalFormatting>
  <conditionalFormatting sqref="T1432">
    <cfRule type="expression" dxfId="2674" priority="3098" stopIfTrue="1">
      <formula>$B1432="INSUMO"</formula>
    </cfRule>
  </conditionalFormatting>
  <conditionalFormatting sqref="V1432">
    <cfRule type="expression" dxfId="2673" priority="3092">
      <formula>$B1432="Unidade Construtiva"</formula>
    </cfRule>
    <cfRule type="expression" dxfId="2672" priority="3093">
      <formula>$B1432="Serviço"</formula>
    </cfRule>
    <cfRule type="expression" dxfId="2671" priority="3094">
      <formula>$B1432="Insumo"</formula>
    </cfRule>
    <cfRule type="expression" dxfId="2670" priority="3095">
      <formula>$B1432="Etapa"</formula>
    </cfRule>
    <cfRule type="expression" dxfId="2669" priority="3096">
      <formula>$B1432="Célula Construtiva"</formula>
    </cfRule>
    <cfRule type="expression" dxfId="2668" priority="3097">
      <formula>$B1432="Subetapa"</formula>
    </cfRule>
  </conditionalFormatting>
  <conditionalFormatting sqref="S1432">
    <cfRule type="expression" dxfId="2667" priority="3086">
      <formula>$B1432="Unidade Construtiva"</formula>
    </cfRule>
    <cfRule type="expression" dxfId="2666" priority="3087">
      <formula>$B1432="Serviço"</formula>
    </cfRule>
    <cfRule type="expression" dxfId="2665" priority="3088">
      <formula>$B1432="Insumo"</formula>
    </cfRule>
    <cfRule type="expression" dxfId="2664" priority="3089">
      <formula>$B1432="Etapa"</formula>
    </cfRule>
    <cfRule type="expression" dxfId="2663" priority="3090">
      <formula>$B1432="Célula Construtiva"</formula>
    </cfRule>
    <cfRule type="expression" dxfId="2662" priority="3091">
      <formula>$B1432="Subetapa"</formula>
    </cfRule>
  </conditionalFormatting>
  <conditionalFormatting sqref="V1450">
    <cfRule type="expression" dxfId="2661" priority="3079" stopIfTrue="1">
      <formula>$B1450="insumo"</formula>
    </cfRule>
  </conditionalFormatting>
  <conditionalFormatting sqref="T1450">
    <cfRule type="expression" dxfId="2660" priority="3078" stopIfTrue="1">
      <formula>$B1450="SERVIÇO"</formula>
    </cfRule>
  </conditionalFormatting>
  <conditionalFormatting sqref="T1450">
    <cfRule type="expression" dxfId="2659" priority="3080">
      <formula>$B1450="Unidade Construtiva"</formula>
    </cfRule>
    <cfRule type="expression" dxfId="2658" priority="3081">
      <formula>$B1450="Serviço"</formula>
    </cfRule>
    <cfRule type="expression" dxfId="2657" priority="3082">
      <formula>$B1450="Insumo"</formula>
    </cfRule>
    <cfRule type="expression" dxfId="2656" priority="3083">
      <formula>$B1450="Etapa"</formula>
    </cfRule>
    <cfRule type="expression" dxfId="2655" priority="3084">
      <formula>$B1450="Célula Construtiva"</formula>
    </cfRule>
    <cfRule type="expression" dxfId="2654" priority="3085">
      <formula>$B1450="Subetapa"</formula>
    </cfRule>
  </conditionalFormatting>
  <conditionalFormatting sqref="T1450">
    <cfRule type="expression" dxfId="2653" priority="3077" stopIfTrue="1">
      <formula>$B1450="INSUMO"</formula>
    </cfRule>
  </conditionalFormatting>
  <conditionalFormatting sqref="V1450">
    <cfRule type="expression" dxfId="2652" priority="3071">
      <formula>$B1450="Unidade Construtiva"</formula>
    </cfRule>
    <cfRule type="expression" dxfId="2651" priority="3072">
      <formula>$B1450="Serviço"</formula>
    </cfRule>
    <cfRule type="expression" dxfId="2650" priority="3073">
      <formula>$B1450="Insumo"</formula>
    </cfRule>
    <cfRule type="expression" dxfId="2649" priority="3074">
      <formula>$B1450="Etapa"</formula>
    </cfRule>
    <cfRule type="expression" dxfId="2648" priority="3075">
      <formula>$B1450="Célula Construtiva"</formula>
    </cfRule>
    <cfRule type="expression" dxfId="2647" priority="3076">
      <formula>$B1450="Subetapa"</formula>
    </cfRule>
  </conditionalFormatting>
  <conditionalFormatting sqref="S1450">
    <cfRule type="expression" dxfId="2646" priority="3065">
      <formula>$B1450="Unidade Construtiva"</formula>
    </cfRule>
    <cfRule type="expression" dxfId="2645" priority="3066">
      <formula>$B1450="Serviço"</formula>
    </cfRule>
    <cfRule type="expression" dxfId="2644" priority="3067">
      <formula>$B1450="Insumo"</formula>
    </cfRule>
    <cfRule type="expression" dxfId="2643" priority="3068">
      <formula>$B1450="Etapa"</formula>
    </cfRule>
    <cfRule type="expression" dxfId="2642" priority="3069">
      <formula>$B1450="Célula Construtiva"</formula>
    </cfRule>
    <cfRule type="expression" dxfId="2641" priority="3070">
      <formula>$B1450="Subetapa"</formula>
    </cfRule>
  </conditionalFormatting>
  <conditionalFormatting sqref="U1389">
    <cfRule type="expression" dxfId="2640" priority="3058" stopIfTrue="1">
      <formula>$B1389="SERVIÇO"</formula>
    </cfRule>
  </conditionalFormatting>
  <conditionalFormatting sqref="U1389">
    <cfRule type="expression" dxfId="2639" priority="3059">
      <formula>$B1389="Unidade Construtiva"</formula>
    </cfRule>
    <cfRule type="expression" dxfId="2638" priority="3060">
      <formula>$B1389="Serviço"</formula>
    </cfRule>
    <cfRule type="expression" dxfId="2637" priority="3061">
      <formula>$B1389="Insumo"</formula>
    </cfRule>
    <cfRule type="expression" dxfId="2636" priority="3062">
      <formula>$B1389="Etapa"</formula>
    </cfRule>
    <cfRule type="expression" dxfId="2635" priority="3063">
      <formula>$B1389="Célula Construtiva"</formula>
    </cfRule>
    <cfRule type="expression" dxfId="2634" priority="3064">
      <formula>$B1389="Subetapa"</formula>
    </cfRule>
  </conditionalFormatting>
  <conditionalFormatting sqref="U1414">
    <cfRule type="expression" dxfId="2633" priority="3051" stopIfTrue="1">
      <formula>$B1414="SERVIÇO"</formula>
    </cfRule>
  </conditionalFormatting>
  <conditionalFormatting sqref="U1414">
    <cfRule type="expression" dxfId="2632" priority="3052">
      <formula>$B1414="Unidade Construtiva"</formula>
    </cfRule>
    <cfRule type="expression" dxfId="2631" priority="3053">
      <formula>$B1414="Serviço"</formula>
    </cfRule>
    <cfRule type="expression" dxfId="2630" priority="3054">
      <formula>$B1414="Insumo"</formula>
    </cfRule>
    <cfRule type="expression" dxfId="2629" priority="3055">
      <formula>$B1414="Etapa"</formula>
    </cfRule>
    <cfRule type="expression" dxfId="2628" priority="3056">
      <formula>$B1414="Célula Construtiva"</formula>
    </cfRule>
    <cfRule type="expression" dxfId="2627" priority="3057">
      <formula>$B1414="Subetapa"</formula>
    </cfRule>
  </conditionalFormatting>
  <conditionalFormatting sqref="U1432">
    <cfRule type="expression" dxfId="2626" priority="3044" stopIfTrue="1">
      <formula>$B1432="SERVIÇO"</formula>
    </cfRule>
  </conditionalFormatting>
  <conditionalFormatting sqref="U1432">
    <cfRule type="expression" dxfId="2625" priority="3045">
      <formula>$B1432="Unidade Construtiva"</formula>
    </cfRule>
    <cfRule type="expression" dxfId="2624" priority="3046">
      <formula>$B1432="Serviço"</formula>
    </cfRule>
    <cfRule type="expression" dxfId="2623" priority="3047">
      <formula>$B1432="Insumo"</formula>
    </cfRule>
    <cfRule type="expression" dxfId="2622" priority="3048">
      <formula>$B1432="Etapa"</formula>
    </cfRule>
    <cfRule type="expression" dxfId="2621" priority="3049">
      <formula>$B1432="Célula Construtiva"</formula>
    </cfRule>
    <cfRule type="expression" dxfId="2620" priority="3050">
      <formula>$B1432="Subetapa"</formula>
    </cfRule>
  </conditionalFormatting>
  <conditionalFormatting sqref="U1450">
    <cfRule type="expression" dxfId="2619" priority="3037" stopIfTrue="1">
      <formula>$B1450="SERVIÇO"</formula>
    </cfRule>
  </conditionalFormatting>
  <conditionalFormatting sqref="U1450">
    <cfRule type="expression" dxfId="2618" priority="3038">
      <formula>$B1450="Unidade Construtiva"</formula>
    </cfRule>
    <cfRule type="expression" dxfId="2617" priority="3039">
      <formula>$B1450="Serviço"</formula>
    </cfRule>
    <cfRule type="expression" dxfId="2616" priority="3040">
      <formula>$B1450="Insumo"</formula>
    </cfRule>
    <cfRule type="expression" dxfId="2615" priority="3041">
      <formula>$B1450="Etapa"</formula>
    </cfRule>
    <cfRule type="expression" dxfId="2614" priority="3042">
      <formula>$B1450="Célula Construtiva"</formula>
    </cfRule>
    <cfRule type="expression" dxfId="2613" priority="3043">
      <formula>$B1450="Subetapa"</formula>
    </cfRule>
  </conditionalFormatting>
  <conditionalFormatting sqref="U1403">
    <cfRule type="expression" dxfId="2612" priority="2980" stopIfTrue="1">
      <formula>$B1403="SERVIÇO"</formula>
    </cfRule>
  </conditionalFormatting>
  <conditionalFormatting sqref="U1403 W1403:Z1403">
    <cfRule type="expression" dxfId="2611" priority="2981">
      <formula>$B1403="Unidade Construtiva"</formula>
    </cfRule>
    <cfRule type="expression" dxfId="2610" priority="2982">
      <formula>$B1403="Serviço"</formula>
    </cfRule>
    <cfRule type="expression" dxfId="2609" priority="2983">
      <formula>$B1403="Insumo"</formula>
    </cfRule>
    <cfRule type="expression" dxfId="2608" priority="2984">
      <formula>$B1403="Etapa"</formula>
    </cfRule>
    <cfRule type="expression" dxfId="2607" priority="2985">
      <formula>$B1403="Célula Construtiva"</formula>
    </cfRule>
    <cfRule type="expression" dxfId="2606" priority="2986">
      <formula>$B1403="Subetapa"</formula>
    </cfRule>
  </conditionalFormatting>
  <conditionalFormatting sqref="T1403">
    <cfRule type="expression" dxfId="2605" priority="2979" stopIfTrue="1">
      <formula>$B1403="INSUMO"</formula>
    </cfRule>
  </conditionalFormatting>
  <conditionalFormatting sqref="W1403">
    <cfRule type="containsText" dxfId="2604" priority="2978" stopIfTrue="1" operator="containsText" text="INSERIR">
      <formula>NOT(ISERROR(SEARCH("INSERIR",W1403)))</formula>
    </cfRule>
  </conditionalFormatting>
  <conditionalFormatting sqref="T1403">
    <cfRule type="expression" dxfId="2603" priority="2971" stopIfTrue="1">
      <formula>$B1403="SERVIÇO"</formula>
    </cfRule>
  </conditionalFormatting>
  <conditionalFormatting sqref="T1403">
    <cfRule type="expression" dxfId="2602" priority="2972">
      <formula>$B1403="Unidade Construtiva"</formula>
    </cfRule>
    <cfRule type="expression" dxfId="2601" priority="2973">
      <formula>$B1403="Serviço"</formula>
    </cfRule>
    <cfRule type="expression" dxfId="2600" priority="2974">
      <formula>$B1403="Insumo"</formula>
    </cfRule>
    <cfRule type="expression" dxfId="2599" priority="2975">
      <formula>$B1403="Etapa"</formula>
    </cfRule>
    <cfRule type="expression" dxfId="2598" priority="2976">
      <formula>$B1403="Célula Construtiva"</formula>
    </cfRule>
    <cfRule type="expression" dxfId="2597" priority="2977">
      <formula>$B1403="Subetapa"</formula>
    </cfRule>
  </conditionalFormatting>
  <conditionalFormatting sqref="AA1403">
    <cfRule type="expression" dxfId="2596" priority="2962" stopIfTrue="1">
      <formula>$B1403="SERVIÇO"</formula>
    </cfRule>
  </conditionalFormatting>
  <conditionalFormatting sqref="A1403:E1403 AE1403:AF1403 AA1403:AC1403 G1403:S1403">
    <cfRule type="expression" dxfId="2595" priority="2964">
      <formula>$B1403="Unidade Construtiva"</formula>
    </cfRule>
    <cfRule type="expression" dxfId="2594" priority="2965">
      <formula>$B1403="Serviço"</formula>
    </cfRule>
    <cfRule type="expression" dxfId="2593" priority="2966">
      <formula>$B1403="Insumo"</formula>
    </cfRule>
    <cfRule type="expression" dxfId="2592" priority="2967">
      <formula>$B1403="Etapa"</formula>
    </cfRule>
    <cfRule type="expression" dxfId="2591" priority="2968">
      <formula>$B1403="Célula Construtiva"</formula>
    </cfRule>
    <cfRule type="expression" dxfId="2590" priority="2969">
      <formula>$B1403="Subetapa"</formula>
    </cfRule>
  </conditionalFormatting>
  <conditionalFormatting sqref="U1405">
    <cfRule type="expression" dxfId="2589" priority="2930" stopIfTrue="1">
      <formula>$B1405="SERVIÇO"</formula>
    </cfRule>
  </conditionalFormatting>
  <conditionalFormatting sqref="U1405 W1405:Z1405">
    <cfRule type="expression" dxfId="2588" priority="2931">
      <formula>$B1405="Unidade Construtiva"</formula>
    </cfRule>
    <cfRule type="expression" dxfId="2587" priority="2932">
      <formula>$B1405="Serviço"</formula>
    </cfRule>
    <cfRule type="expression" dxfId="2586" priority="2933">
      <formula>$B1405="Insumo"</formula>
    </cfRule>
    <cfRule type="expression" dxfId="2585" priority="2934">
      <formula>$B1405="Etapa"</formula>
    </cfRule>
    <cfRule type="expression" dxfId="2584" priority="2935">
      <formula>$B1405="Célula Construtiva"</formula>
    </cfRule>
    <cfRule type="expression" dxfId="2583" priority="2936">
      <formula>$B1405="Subetapa"</formula>
    </cfRule>
  </conditionalFormatting>
  <conditionalFormatting sqref="T1405">
    <cfRule type="expression" dxfId="2582" priority="2929" stopIfTrue="1">
      <formula>$B1405="INSUMO"</formula>
    </cfRule>
  </conditionalFormatting>
  <conditionalFormatting sqref="W1405">
    <cfRule type="containsText" dxfId="2581" priority="2928" stopIfTrue="1" operator="containsText" text="INSERIR">
      <formula>NOT(ISERROR(SEARCH("INSERIR",W1405)))</formula>
    </cfRule>
  </conditionalFormatting>
  <conditionalFormatting sqref="T1405">
    <cfRule type="expression" dxfId="2580" priority="2921" stopIfTrue="1">
      <formula>$B1405="SERVIÇO"</formula>
    </cfRule>
  </conditionalFormatting>
  <conditionalFormatting sqref="T1405">
    <cfRule type="expression" dxfId="2579" priority="2922">
      <formula>$B1405="Unidade Construtiva"</formula>
    </cfRule>
    <cfRule type="expression" dxfId="2578" priority="2923">
      <formula>$B1405="Serviço"</formula>
    </cfRule>
    <cfRule type="expression" dxfId="2577" priority="2924">
      <formula>$B1405="Insumo"</formula>
    </cfRule>
    <cfRule type="expression" dxfId="2576" priority="2925">
      <formula>$B1405="Etapa"</formula>
    </cfRule>
    <cfRule type="expression" dxfId="2575" priority="2926">
      <formula>$B1405="Célula Construtiva"</formula>
    </cfRule>
    <cfRule type="expression" dxfId="2574" priority="2927">
      <formula>$B1405="Subetapa"</formula>
    </cfRule>
  </conditionalFormatting>
  <conditionalFormatting sqref="V1405">
    <cfRule type="expression" dxfId="2573" priority="2913" stopIfTrue="1">
      <formula>$B1405="insumo"</formula>
    </cfRule>
  </conditionalFormatting>
  <conditionalFormatting sqref="AA1405">
    <cfRule type="expression" dxfId="2572" priority="2912" stopIfTrue="1">
      <formula>$B1405="SERVIÇO"</formula>
    </cfRule>
  </conditionalFormatting>
  <conditionalFormatting sqref="V1405 A1405:E1405 AE1405:AF1405 AA1405:AC1405 G1405:S1405">
    <cfRule type="expression" dxfId="2571" priority="2914">
      <formula>$B1405="Unidade Construtiva"</formula>
    </cfRule>
    <cfRule type="expression" dxfId="2570" priority="2915">
      <formula>$B1405="Serviço"</formula>
    </cfRule>
    <cfRule type="expression" dxfId="2569" priority="2916">
      <formula>$B1405="Insumo"</formula>
    </cfRule>
    <cfRule type="expression" dxfId="2568" priority="2917">
      <formula>$B1405="Etapa"</formula>
    </cfRule>
    <cfRule type="expression" dxfId="2567" priority="2918">
      <formula>$B1405="Célula Construtiva"</formula>
    </cfRule>
    <cfRule type="expression" dxfId="2566" priority="2919">
      <formula>$B1405="Subetapa"</formula>
    </cfRule>
  </conditionalFormatting>
  <conditionalFormatting sqref="V1403 V1423 V1441">
    <cfRule type="expression" dxfId="2565" priority="2905" stopIfTrue="1">
      <formula>$B1403="insumo"</formula>
    </cfRule>
  </conditionalFormatting>
  <conditionalFormatting sqref="V1403 V1423 V1441">
    <cfRule type="expression" dxfId="2564" priority="2906">
      <formula>$B1403="Unidade Construtiva"</formula>
    </cfRule>
    <cfRule type="expression" dxfId="2563" priority="2907">
      <formula>$B1403="Serviço"</formula>
    </cfRule>
    <cfRule type="expression" dxfId="2562" priority="2908">
      <formula>$B1403="Insumo"</formula>
    </cfRule>
    <cfRule type="expression" dxfId="2561" priority="2909">
      <formula>$B1403="Etapa"</formula>
    </cfRule>
    <cfRule type="expression" dxfId="2560" priority="2910">
      <formula>$B1403="Célula Construtiva"</formula>
    </cfRule>
    <cfRule type="expression" dxfId="2559" priority="2911">
      <formula>$B1403="Subetapa"</formula>
    </cfRule>
  </conditionalFormatting>
  <conditionalFormatting sqref="U1410">
    <cfRule type="expression" dxfId="2558" priority="2891" stopIfTrue="1">
      <formula>$B1410="SERVIÇO"</formula>
    </cfRule>
  </conditionalFormatting>
  <conditionalFormatting sqref="U1410 W1410:Z1410">
    <cfRule type="expression" dxfId="2557" priority="2892">
      <formula>$B1410="Unidade Construtiva"</formula>
    </cfRule>
    <cfRule type="expression" dxfId="2556" priority="2893">
      <formula>$B1410="Serviço"</formula>
    </cfRule>
    <cfRule type="expression" dxfId="2555" priority="2894">
      <formula>$B1410="Insumo"</formula>
    </cfRule>
    <cfRule type="expression" dxfId="2554" priority="2895">
      <formula>$B1410="Etapa"</formula>
    </cfRule>
    <cfRule type="expression" dxfId="2553" priority="2896">
      <formula>$B1410="Célula Construtiva"</formula>
    </cfRule>
    <cfRule type="expression" dxfId="2552" priority="2897">
      <formula>$B1410="Subetapa"</formula>
    </cfRule>
  </conditionalFormatting>
  <conditionalFormatting sqref="W1410">
    <cfRule type="containsText" dxfId="2551" priority="2890" stopIfTrue="1" operator="containsText" text="INSERIR">
      <formula>NOT(ISERROR(SEARCH("INSERIR",W1410)))</formula>
    </cfRule>
  </conditionalFormatting>
  <conditionalFormatting sqref="V1409:V1410">
    <cfRule type="expression" dxfId="2550" priority="2882" stopIfTrue="1">
      <formula>$B1409="insumo"</formula>
    </cfRule>
  </conditionalFormatting>
  <conditionalFormatting sqref="AA1409:AA1410 T1409:U1409 T1410">
    <cfRule type="expression" dxfId="2549" priority="2881" stopIfTrue="1">
      <formula>$B1409="SERVIÇO"</formula>
    </cfRule>
  </conditionalFormatting>
  <conditionalFormatting sqref="AE1409:AF1410 V1410 AA1410:AC1410 A1409:E1410 T1409:AC1409 T1410 G1409:R1410">
    <cfRule type="expression" dxfId="2548" priority="2883">
      <formula>$B1409="Unidade Construtiva"</formula>
    </cfRule>
    <cfRule type="expression" dxfId="2547" priority="2884">
      <formula>$B1409="Serviço"</formula>
    </cfRule>
    <cfRule type="expression" dxfId="2546" priority="2885">
      <formula>$B1409="Insumo"</formula>
    </cfRule>
    <cfRule type="expression" dxfId="2545" priority="2886">
      <formula>$B1409="Etapa"</formula>
    </cfRule>
    <cfRule type="expression" dxfId="2544" priority="2887">
      <formula>$B1409="Célula Construtiva"</formula>
    </cfRule>
    <cfRule type="expression" dxfId="2543" priority="2888">
      <formula>$B1409="Subetapa"</formula>
    </cfRule>
  </conditionalFormatting>
  <conditionalFormatting sqref="T1409:T1410">
    <cfRule type="expression" dxfId="2542" priority="2880" stopIfTrue="1">
      <formula>$B1409="INSUMO"</formula>
    </cfRule>
  </conditionalFormatting>
  <conditionalFormatting sqref="W1409">
    <cfRule type="containsText" dxfId="2541" priority="2879" stopIfTrue="1" operator="containsText" text="INSERIR">
      <formula>NOT(ISERROR(SEARCH("INSERIR",W1409)))</formula>
    </cfRule>
  </conditionalFormatting>
  <conditionalFormatting sqref="S1409">
    <cfRule type="expression" dxfId="2540" priority="2873">
      <formula>$B1409="Unidade Construtiva"</formula>
    </cfRule>
    <cfRule type="expression" dxfId="2539" priority="2874">
      <formula>$B1409="Serviço"</formula>
    </cfRule>
    <cfRule type="expression" dxfId="2538" priority="2875">
      <formula>$B1409="Insumo"</formula>
    </cfRule>
    <cfRule type="expression" dxfId="2537" priority="2876">
      <formula>$B1409="Etapa"</formula>
    </cfRule>
    <cfRule type="expression" dxfId="2536" priority="2877">
      <formula>$B1409="Célula Construtiva"</formula>
    </cfRule>
    <cfRule type="expression" dxfId="2535" priority="2878">
      <formula>$B1409="Subetapa"</formula>
    </cfRule>
  </conditionalFormatting>
  <conditionalFormatting sqref="S1410">
    <cfRule type="expression" dxfId="2534" priority="2867">
      <formula>$B1410="Unidade Construtiva"</formula>
    </cfRule>
    <cfRule type="expression" dxfId="2533" priority="2868">
      <formula>$B1410="Serviço"</formula>
    </cfRule>
    <cfRule type="expression" dxfId="2532" priority="2869">
      <formula>$B1410="Insumo"</formula>
    </cfRule>
    <cfRule type="expression" dxfId="2531" priority="2870">
      <formula>$B1410="Etapa"</formula>
    </cfRule>
    <cfRule type="expression" dxfId="2530" priority="2871">
      <formula>$B1410="Célula Construtiva"</formula>
    </cfRule>
    <cfRule type="expression" dxfId="2529" priority="2872">
      <formula>$B1410="Subetapa"</formula>
    </cfRule>
  </conditionalFormatting>
  <conditionalFormatting sqref="V1384:V1385">
    <cfRule type="expression" dxfId="2528" priority="2859" stopIfTrue="1">
      <formula>$B1384="insumo"</formula>
    </cfRule>
  </conditionalFormatting>
  <conditionalFormatting sqref="AA1384:AA1385 T1384:U1385">
    <cfRule type="expression" dxfId="2527" priority="2858" stopIfTrue="1">
      <formula>$B1384="SERVIÇO"</formula>
    </cfRule>
  </conditionalFormatting>
  <conditionalFormatting sqref="A1384:E1385 T1384:AC1384 AE1384:AF1385 G1384:R1384 G1385:AC1385">
    <cfRule type="expression" dxfId="2526" priority="2860">
      <formula>$B1384="Unidade Construtiva"</formula>
    </cfRule>
    <cfRule type="expression" dxfId="2525" priority="2861">
      <formula>$B1384="Serviço"</formula>
    </cfRule>
    <cfRule type="expression" dxfId="2524" priority="2862">
      <formula>$B1384="Insumo"</formula>
    </cfRule>
    <cfRule type="expression" dxfId="2523" priority="2863">
      <formula>$B1384="Etapa"</formula>
    </cfRule>
    <cfRule type="expression" dxfId="2522" priority="2864">
      <formula>$B1384="Célula Construtiva"</formula>
    </cfRule>
    <cfRule type="expression" dxfId="2521" priority="2865">
      <formula>$B1384="Subetapa"</formula>
    </cfRule>
  </conditionalFormatting>
  <conditionalFormatting sqref="T1384:T1385">
    <cfRule type="expression" dxfId="2520" priority="2857" stopIfTrue="1">
      <formula>$B1384="INSUMO"</formula>
    </cfRule>
  </conditionalFormatting>
  <conditionalFormatting sqref="W1384:W1385">
    <cfRule type="containsText" dxfId="2519" priority="2856" stopIfTrue="1" operator="containsText" text="INSERIR">
      <formula>NOT(ISERROR(SEARCH("INSERIR",W1384)))</formula>
    </cfRule>
  </conditionalFormatting>
  <conditionalFormatting sqref="S1454">
    <cfRule type="expression" dxfId="2518" priority="2814">
      <formula>$B1454="Unidade Construtiva"</formula>
    </cfRule>
    <cfRule type="expression" dxfId="2517" priority="2815">
      <formula>$B1454="Serviço"</formula>
    </cfRule>
    <cfRule type="expression" dxfId="2516" priority="2816">
      <formula>$B1454="Insumo"</formula>
    </cfRule>
    <cfRule type="expression" dxfId="2515" priority="2817">
      <formula>$B1454="Etapa"</formula>
    </cfRule>
    <cfRule type="expression" dxfId="2514" priority="2818">
      <formula>$B1454="Célula Construtiva"</formula>
    </cfRule>
    <cfRule type="expression" dxfId="2513" priority="2819">
      <formula>$B1454="Subetapa"</formula>
    </cfRule>
  </conditionalFormatting>
  <conditionalFormatting sqref="S1382">
    <cfRule type="expression" dxfId="2512" priority="2844">
      <formula>$B1382="Unidade Construtiva"</formula>
    </cfRule>
    <cfRule type="expression" dxfId="2511" priority="2845">
      <formula>$B1382="Serviço"</formula>
    </cfRule>
    <cfRule type="expression" dxfId="2510" priority="2846">
      <formula>$B1382="Insumo"</formula>
    </cfRule>
    <cfRule type="expression" dxfId="2509" priority="2847">
      <formula>$B1382="Etapa"</formula>
    </cfRule>
    <cfRule type="expression" dxfId="2508" priority="2848">
      <formula>$B1382="Célula Construtiva"</formula>
    </cfRule>
    <cfRule type="expression" dxfId="2507" priority="2849">
      <formula>$B1382="Subetapa"</formula>
    </cfRule>
  </conditionalFormatting>
  <conditionalFormatting sqref="S1383">
    <cfRule type="expression" dxfId="2506" priority="2838">
      <formula>$B1383="Unidade Construtiva"</formula>
    </cfRule>
    <cfRule type="expression" dxfId="2505" priority="2839">
      <formula>$B1383="Serviço"</formula>
    </cfRule>
    <cfRule type="expression" dxfId="2504" priority="2840">
      <formula>$B1383="Insumo"</formula>
    </cfRule>
    <cfRule type="expression" dxfId="2503" priority="2841">
      <formula>$B1383="Etapa"</formula>
    </cfRule>
    <cfRule type="expression" dxfId="2502" priority="2842">
      <formula>$B1383="Célula Construtiva"</formula>
    </cfRule>
    <cfRule type="expression" dxfId="2501" priority="2843">
      <formula>$B1383="Subetapa"</formula>
    </cfRule>
  </conditionalFormatting>
  <conditionalFormatting sqref="S1384">
    <cfRule type="expression" dxfId="2500" priority="2832">
      <formula>$B1384="Unidade Construtiva"</formula>
    </cfRule>
    <cfRule type="expression" dxfId="2499" priority="2833">
      <formula>$B1384="Serviço"</formula>
    </cfRule>
    <cfRule type="expression" dxfId="2498" priority="2834">
      <formula>$B1384="Insumo"</formula>
    </cfRule>
    <cfRule type="expression" dxfId="2497" priority="2835">
      <formula>$B1384="Etapa"</formula>
    </cfRule>
    <cfRule type="expression" dxfId="2496" priority="2836">
      <formula>$B1384="Célula Construtiva"</formula>
    </cfRule>
    <cfRule type="expression" dxfId="2495" priority="2837">
      <formula>$B1384="Subetapa"</formula>
    </cfRule>
  </conditionalFormatting>
  <conditionalFormatting sqref="S1427">
    <cfRule type="expression" dxfId="2494" priority="2826">
      <formula>$B1427="Unidade Construtiva"</formula>
    </cfRule>
    <cfRule type="expression" dxfId="2493" priority="2827">
      <formula>$B1427="Serviço"</formula>
    </cfRule>
    <cfRule type="expression" dxfId="2492" priority="2828">
      <formula>$B1427="Insumo"</formula>
    </cfRule>
    <cfRule type="expression" dxfId="2491" priority="2829">
      <formula>$B1427="Etapa"</formula>
    </cfRule>
    <cfRule type="expression" dxfId="2490" priority="2830">
      <formula>$B1427="Célula Construtiva"</formula>
    </cfRule>
    <cfRule type="expression" dxfId="2489" priority="2831">
      <formula>$B1427="Subetapa"</formula>
    </cfRule>
  </conditionalFormatting>
  <conditionalFormatting sqref="S1445">
    <cfRule type="expression" dxfId="2488" priority="2820">
      <formula>$B1445="Unidade Construtiva"</formula>
    </cfRule>
    <cfRule type="expression" dxfId="2487" priority="2821">
      <formula>$B1445="Serviço"</formula>
    </cfRule>
    <cfRule type="expression" dxfId="2486" priority="2822">
      <formula>$B1445="Insumo"</formula>
    </cfRule>
    <cfRule type="expression" dxfId="2485" priority="2823">
      <formula>$B1445="Etapa"</formula>
    </cfRule>
    <cfRule type="expression" dxfId="2484" priority="2824">
      <formula>$B1445="Célula Construtiva"</formula>
    </cfRule>
    <cfRule type="expression" dxfId="2483" priority="2825">
      <formula>$B1445="Subetapa"</formula>
    </cfRule>
  </conditionalFormatting>
  <conditionalFormatting sqref="W1169">
    <cfRule type="containsText" dxfId="2482" priority="2800" stopIfTrue="1" operator="containsText" text="INSERIR">
      <formula>NOT(ISERROR(SEARCH("INSERIR",W1169)))</formula>
    </cfRule>
  </conditionalFormatting>
  <conditionalFormatting sqref="W1170">
    <cfRule type="containsText" dxfId="2481" priority="2798" stopIfTrue="1" operator="containsText" text="INSERIR">
      <formula>NOT(ISERROR(SEARCH("INSERIR",W1170)))</formula>
    </cfRule>
  </conditionalFormatting>
  <conditionalFormatting sqref="V1165:V1167">
    <cfRule type="expression" dxfId="2480" priority="2788" stopIfTrue="1">
      <formula>$B1165="insumo"</formula>
    </cfRule>
  </conditionalFormatting>
  <conditionalFormatting sqref="T1165:U1167 AA1165:AA1167">
    <cfRule type="expression" dxfId="2479" priority="2787" stopIfTrue="1">
      <formula>$B1165="SERVIÇO"</formula>
    </cfRule>
  </conditionalFormatting>
  <conditionalFormatting sqref="A1165:E1167 AE1165:AF1167 G1165:AC1167">
    <cfRule type="expression" dxfId="2478" priority="2789">
      <formula>$B1165="Unidade Construtiva"</formula>
    </cfRule>
    <cfRule type="expression" dxfId="2477" priority="2790">
      <formula>$B1165="Serviço"</formula>
    </cfRule>
    <cfRule type="expression" dxfId="2476" priority="2791">
      <formula>$B1165="Insumo"</formula>
    </cfRule>
    <cfRule type="expression" dxfId="2475" priority="2792">
      <formula>$B1165="Etapa"</formula>
    </cfRule>
    <cfRule type="expression" dxfId="2474" priority="2793">
      <formula>$B1165="Célula Construtiva"</formula>
    </cfRule>
    <cfRule type="expression" dxfId="2473" priority="2794">
      <formula>$B1165="Subetapa"</formula>
    </cfRule>
  </conditionalFormatting>
  <conditionalFormatting sqref="T1165:T1167">
    <cfRule type="expression" dxfId="2472" priority="2786" stopIfTrue="1">
      <formula>$B1165="INSUMO"</formula>
    </cfRule>
  </conditionalFormatting>
  <conditionalFormatting sqref="W1165:W1167">
    <cfRule type="containsText" dxfId="2471" priority="2785" stopIfTrue="1" operator="containsText" text="INSERIR">
      <formula>NOT(ISERROR(SEARCH("INSERIR",W1165)))</formula>
    </cfRule>
  </conditionalFormatting>
  <conditionalFormatting sqref="W1166:W1167">
    <cfRule type="containsText" dxfId="2470" priority="2783" stopIfTrue="1" operator="containsText" text="INSERIR">
      <formula>NOT(ISERROR(SEARCH("INSERIR",W1166)))</formula>
    </cfRule>
  </conditionalFormatting>
  <conditionalFormatting sqref="T1935:U1936">
    <cfRule type="expression" dxfId="2469" priority="2776" stopIfTrue="1">
      <formula>$B1935="SERVIÇO"</formula>
    </cfRule>
  </conditionalFormatting>
  <conditionalFormatting sqref="T1935:U1936 W1935:Z1936">
    <cfRule type="expression" dxfId="2468" priority="2777">
      <formula>$B1935="Unidade Construtiva"</formula>
    </cfRule>
    <cfRule type="expression" dxfId="2467" priority="2778">
      <formula>$B1935="Serviço"</formula>
    </cfRule>
    <cfRule type="expression" dxfId="2466" priority="2779">
      <formula>$B1935="Insumo"</formula>
    </cfRule>
    <cfRule type="expression" dxfId="2465" priority="2780">
      <formula>$B1935="Etapa"</formula>
    </cfRule>
    <cfRule type="expression" dxfId="2464" priority="2781">
      <formula>$B1935="Célula Construtiva"</formula>
    </cfRule>
    <cfRule type="expression" dxfId="2463" priority="2782">
      <formula>$B1935="Subetapa"</formula>
    </cfRule>
  </conditionalFormatting>
  <conditionalFormatting sqref="T1935:T1936">
    <cfRule type="expression" dxfId="2462" priority="2775" stopIfTrue="1">
      <formula>$B1935="INSUMO"</formula>
    </cfRule>
  </conditionalFormatting>
  <conditionalFormatting sqref="W1935:W1936">
    <cfRule type="containsText" dxfId="2461" priority="2774" stopIfTrue="1" operator="containsText" text="INSERIR">
      <formula>NOT(ISERROR(SEARCH("INSERIR",W1935)))</formula>
    </cfRule>
  </conditionalFormatting>
  <conditionalFormatting sqref="V1934 V1936">
    <cfRule type="expression" dxfId="2460" priority="2766" stopIfTrue="1">
      <formula>$B1934="insumo"</formula>
    </cfRule>
  </conditionalFormatting>
  <conditionalFormatting sqref="T1934 AA1934:AA1936">
    <cfRule type="expression" dxfId="2459" priority="2765" stopIfTrue="1">
      <formula>$B1934="SERVIÇO"</formula>
    </cfRule>
  </conditionalFormatting>
  <conditionalFormatting sqref="AE1934:AF1936 A1934:E1936 V1934:AC1934 V1936 AA1935:AC1936 G1935:S1936 G1934:T1934">
    <cfRule type="expression" dxfId="2458" priority="2767">
      <formula>$B1934="Unidade Construtiva"</formula>
    </cfRule>
    <cfRule type="expression" dxfId="2457" priority="2768">
      <formula>$B1934="Serviço"</formula>
    </cfRule>
    <cfRule type="expression" dxfId="2456" priority="2769">
      <formula>$B1934="Insumo"</formula>
    </cfRule>
    <cfRule type="expression" dxfId="2455" priority="2770">
      <formula>$B1934="Etapa"</formula>
    </cfRule>
    <cfRule type="expression" dxfId="2454" priority="2771">
      <formula>$B1934="Célula Construtiva"</formula>
    </cfRule>
    <cfRule type="expression" dxfId="2453" priority="2772">
      <formula>$B1934="Subetapa"</formula>
    </cfRule>
  </conditionalFormatting>
  <conditionalFormatting sqref="T1934">
    <cfRule type="expression" dxfId="2452" priority="2764" stopIfTrue="1">
      <formula>$B1934="INSUMO"</formula>
    </cfRule>
  </conditionalFormatting>
  <conditionalFormatting sqref="W1934">
    <cfRule type="containsText" dxfId="2451" priority="2763" stopIfTrue="1" operator="containsText" text="INSERIR">
      <formula>NOT(ISERROR(SEARCH("INSERIR",W1934)))</formula>
    </cfRule>
  </conditionalFormatting>
  <conditionalFormatting sqref="U1934">
    <cfRule type="expression" dxfId="2450" priority="2756" stopIfTrue="1">
      <formula>$B1934="SERVIÇO"</formula>
    </cfRule>
  </conditionalFormatting>
  <conditionalFormatting sqref="U1934">
    <cfRule type="expression" dxfId="2449" priority="2757">
      <formula>$B1934="Unidade Construtiva"</formula>
    </cfRule>
    <cfRule type="expression" dxfId="2448" priority="2758">
      <formula>$B1934="Serviço"</formula>
    </cfRule>
    <cfRule type="expression" dxfId="2447" priority="2759">
      <formula>$B1934="Insumo"</formula>
    </cfRule>
    <cfRule type="expression" dxfId="2446" priority="2760">
      <formula>$B1934="Etapa"</formula>
    </cfRule>
    <cfRule type="expression" dxfId="2445" priority="2761">
      <formula>$B1934="Célula Construtiva"</formula>
    </cfRule>
    <cfRule type="expression" dxfId="2444" priority="2762">
      <formula>$B1934="Subetapa"</formula>
    </cfRule>
  </conditionalFormatting>
  <conditionalFormatting sqref="T1904:U1905">
    <cfRule type="expression" dxfId="2443" priority="2749" stopIfTrue="1">
      <formula>$B1904="SERVIÇO"</formula>
    </cfRule>
  </conditionalFormatting>
  <conditionalFormatting sqref="T1904:U1905 W1904:Z1905">
    <cfRule type="expression" dxfId="2442" priority="2750">
      <formula>$B1904="Unidade Construtiva"</formula>
    </cfRule>
    <cfRule type="expression" dxfId="2441" priority="2751">
      <formula>$B1904="Serviço"</formula>
    </cfRule>
    <cfRule type="expression" dxfId="2440" priority="2752">
      <formula>$B1904="Insumo"</formula>
    </cfRule>
    <cfRule type="expression" dxfId="2439" priority="2753">
      <formula>$B1904="Etapa"</formula>
    </cfRule>
    <cfRule type="expression" dxfId="2438" priority="2754">
      <formula>$B1904="Célula Construtiva"</formula>
    </cfRule>
    <cfRule type="expression" dxfId="2437" priority="2755">
      <formula>$B1904="Subetapa"</formula>
    </cfRule>
  </conditionalFormatting>
  <conditionalFormatting sqref="T1904:T1905">
    <cfRule type="expression" dxfId="2436" priority="2748" stopIfTrue="1">
      <formula>$B1904="INSUMO"</formula>
    </cfRule>
  </conditionalFormatting>
  <conditionalFormatting sqref="W1904:W1905">
    <cfRule type="containsText" dxfId="2435" priority="2747" stopIfTrue="1" operator="containsText" text="INSERIR">
      <formula>NOT(ISERROR(SEARCH("INSERIR",W1904)))</formula>
    </cfRule>
  </conditionalFormatting>
  <conditionalFormatting sqref="V1903 V1905">
    <cfRule type="expression" dxfId="2434" priority="2739" stopIfTrue="1">
      <formula>$B1903="insumo"</formula>
    </cfRule>
  </conditionalFormatting>
  <conditionalFormatting sqref="T1903 AA1903:AA1905">
    <cfRule type="expression" dxfId="2433" priority="2738" stopIfTrue="1">
      <formula>$B1903="SERVIÇO"</formula>
    </cfRule>
  </conditionalFormatting>
  <conditionalFormatting sqref="AE1903:AF1905 A1903:E1905 V1903:AC1903 V1905 AA1904:AC1905 G1904:S1905 G1903:T1903">
    <cfRule type="expression" dxfId="2432" priority="2740">
      <formula>$B1903="Unidade Construtiva"</formula>
    </cfRule>
    <cfRule type="expression" dxfId="2431" priority="2741">
      <formula>$B1903="Serviço"</formula>
    </cfRule>
    <cfRule type="expression" dxfId="2430" priority="2742">
      <formula>$B1903="Insumo"</formula>
    </cfRule>
    <cfRule type="expression" dxfId="2429" priority="2743">
      <formula>$B1903="Etapa"</formula>
    </cfRule>
    <cfRule type="expression" dxfId="2428" priority="2744">
      <formula>$B1903="Célula Construtiva"</formula>
    </cfRule>
    <cfRule type="expression" dxfId="2427" priority="2745">
      <formula>$B1903="Subetapa"</formula>
    </cfRule>
  </conditionalFormatting>
  <conditionalFormatting sqref="T1903">
    <cfRule type="expression" dxfId="2426" priority="2737" stopIfTrue="1">
      <formula>$B1903="INSUMO"</formula>
    </cfRule>
  </conditionalFormatting>
  <conditionalFormatting sqref="W1903">
    <cfRule type="containsText" dxfId="2425" priority="2736" stopIfTrue="1" operator="containsText" text="INSERIR">
      <formula>NOT(ISERROR(SEARCH("INSERIR",W1903)))</formula>
    </cfRule>
  </conditionalFormatting>
  <conditionalFormatting sqref="U1903">
    <cfRule type="expression" dxfId="2424" priority="2729" stopIfTrue="1">
      <formula>$B1903="SERVIÇO"</formula>
    </cfRule>
  </conditionalFormatting>
  <conditionalFormatting sqref="U1903">
    <cfRule type="expression" dxfId="2423" priority="2730">
      <formula>$B1903="Unidade Construtiva"</formula>
    </cfRule>
    <cfRule type="expression" dxfId="2422" priority="2731">
      <formula>$B1903="Serviço"</formula>
    </cfRule>
    <cfRule type="expression" dxfId="2421" priority="2732">
      <formula>$B1903="Insumo"</formula>
    </cfRule>
    <cfRule type="expression" dxfId="2420" priority="2733">
      <formula>$B1903="Etapa"</formula>
    </cfRule>
    <cfRule type="expression" dxfId="2419" priority="2734">
      <formula>$B1903="Célula Construtiva"</formula>
    </cfRule>
    <cfRule type="expression" dxfId="2418" priority="2735">
      <formula>$B1903="Subetapa"</formula>
    </cfRule>
  </conditionalFormatting>
  <conditionalFormatting sqref="T1907:U1908">
    <cfRule type="expression" dxfId="2417" priority="2722" stopIfTrue="1">
      <formula>$B1907="SERVIÇO"</formula>
    </cfRule>
  </conditionalFormatting>
  <conditionalFormatting sqref="T1907:U1908 W1907:Z1908">
    <cfRule type="expression" dxfId="2416" priority="2723">
      <formula>$B1907="Unidade Construtiva"</formula>
    </cfRule>
    <cfRule type="expression" dxfId="2415" priority="2724">
      <formula>$B1907="Serviço"</formula>
    </cfRule>
    <cfRule type="expression" dxfId="2414" priority="2725">
      <formula>$B1907="Insumo"</formula>
    </cfRule>
    <cfRule type="expression" dxfId="2413" priority="2726">
      <formula>$B1907="Etapa"</formula>
    </cfRule>
    <cfRule type="expression" dxfId="2412" priority="2727">
      <formula>$B1907="Célula Construtiva"</formula>
    </cfRule>
    <cfRule type="expression" dxfId="2411" priority="2728">
      <formula>$B1907="Subetapa"</formula>
    </cfRule>
  </conditionalFormatting>
  <conditionalFormatting sqref="T1907:T1908">
    <cfRule type="expression" dxfId="2410" priority="2721" stopIfTrue="1">
      <formula>$B1907="INSUMO"</formula>
    </cfRule>
  </conditionalFormatting>
  <conditionalFormatting sqref="W1907:W1908">
    <cfRule type="containsText" dxfId="2409" priority="2720" stopIfTrue="1" operator="containsText" text="INSERIR">
      <formula>NOT(ISERROR(SEARCH("INSERIR",W1907)))</formula>
    </cfRule>
  </conditionalFormatting>
  <conditionalFormatting sqref="V1906 V1908">
    <cfRule type="expression" dxfId="2408" priority="2712" stopIfTrue="1">
      <formula>$B1906="insumo"</formula>
    </cfRule>
  </conditionalFormatting>
  <conditionalFormatting sqref="T1906 AA1906:AA1908">
    <cfRule type="expression" dxfId="2407" priority="2711" stopIfTrue="1">
      <formula>$B1906="SERVIÇO"</formula>
    </cfRule>
  </conditionalFormatting>
  <conditionalFormatting sqref="AE1906:AF1908 A1906:E1908 V1906:AC1906 V1908 AA1907:AC1908 G1907:S1908 G1906:T1906">
    <cfRule type="expression" dxfId="2406" priority="2713">
      <formula>$B1906="Unidade Construtiva"</formula>
    </cfRule>
    <cfRule type="expression" dxfId="2405" priority="2714">
      <formula>$B1906="Serviço"</formula>
    </cfRule>
    <cfRule type="expression" dxfId="2404" priority="2715">
      <formula>$B1906="Insumo"</formula>
    </cfRule>
    <cfRule type="expression" dxfId="2403" priority="2716">
      <formula>$B1906="Etapa"</formula>
    </cfRule>
    <cfRule type="expression" dxfId="2402" priority="2717">
      <formula>$B1906="Célula Construtiva"</formula>
    </cfRule>
    <cfRule type="expression" dxfId="2401" priority="2718">
      <formula>$B1906="Subetapa"</formula>
    </cfRule>
  </conditionalFormatting>
  <conditionalFormatting sqref="T1906">
    <cfRule type="expression" dxfId="2400" priority="2710" stopIfTrue="1">
      <formula>$B1906="INSUMO"</formula>
    </cfRule>
  </conditionalFormatting>
  <conditionalFormatting sqref="W1906">
    <cfRule type="containsText" dxfId="2399" priority="2709" stopIfTrue="1" operator="containsText" text="INSERIR">
      <formula>NOT(ISERROR(SEARCH("INSERIR",W1906)))</formula>
    </cfRule>
  </conditionalFormatting>
  <conditionalFormatting sqref="U1906">
    <cfRule type="expression" dxfId="2398" priority="2702" stopIfTrue="1">
      <formula>$B1906="SERVIÇO"</formula>
    </cfRule>
  </conditionalFormatting>
  <conditionalFormatting sqref="U1906">
    <cfRule type="expression" dxfId="2397" priority="2703">
      <formula>$B1906="Unidade Construtiva"</formula>
    </cfRule>
    <cfRule type="expression" dxfId="2396" priority="2704">
      <formula>$B1906="Serviço"</formula>
    </cfRule>
    <cfRule type="expression" dxfId="2395" priority="2705">
      <formula>$B1906="Insumo"</formula>
    </cfRule>
    <cfRule type="expression" dxfId="2394" priority="2706">
      <formula>$B1906="Etapa"</formula>
    </cfRule>
    <cfRule type="expression" dxfId="2393" priority="2707">
      <formula>$B1906="Célula Construtiva"</formula>
    </cfRule>
    <cfRule type="expression" dxfId="2392" priority="2708">
      <formula>$B1906="Subetapa"</formula>
    </cfRule>
  </conditionalFormatting>
  <conditionalFormatting sqref="T1868:U1869">
    <cfRule type="expression" dxfId="2391" priority="2695" stopIfTrue="1">
      <formula>$B1868="SERVIÇO"</formula>
    </cfRule>
  </conditionalFormatting>
  <conditionalFormatting sqref="T1868:U1869 W1868:Z1869">
    <cfRule type="expression" dxfId="2390" priority="2696">
      <formula>$B1868="Unidade Construtiva"</formula>
    </cfRule>
    <cfRule type="expression" dxfId="2389" priority="2697">
      <formula>$B1868="Serviço"</formula>
    </cfRule>
    <cfRule type="expression" dxfId="2388" priority="2698">
      <formula>$B1868="Insumo"</formula>
    </cfRule>
    <cfRule type="expression" dxfId="2387" priority="2699">
      <formula>$B1868="Etapa"</formula>
    </cfRule>
    <cfRule type="expression" dxfId="2386" priority="2700">
      <formula>$B1868="Célula Construtiva"</formula>
    </cfRule>
    <cfRule type="expression" dxfId="2385" priority="2701">
      <formula>$B1868="Subetapa"</formula>
    </cfRule>
  </conditionalFormatting>
  <conditionalFormatting sqref="T1868:T1869">
    <cfRule type="expression" dxfId="2384" priority="2694" stopIfTrue="1">
      <formula>$B1868="INSUMO"</formula>
    </cfRule>
  </conditionalFormatting>
  <conditionalFormatting sqref="W1868:W1869">
    <cfRule type="containsText" dxfId="2383" priority="2693" stopIfTrue="1" operator="containsText" text="INSERIR">
      <formula>NOT(ISERROR(SEARCH("INSERIR",W1868)))</formula>
    </cfRule>
  </conditionalFormatting>
  <conditionalFormatting sqref="V1867:V1869 V1871 V1904 V1907 V1935">
    <cfRule type="expression" dxfId="2382" priority="2685" stopIfTrue="1">
      <formula>$B1867="insumo"</formula>
    </cfRule>
  </conditionalFormatting>
  <conditionalFormatting sqref="T1867 AA1867:AA1869">
    <cfRule type="expression" dxfId="2381" priority="2684" stopIfTrue="1">
      <formula>$B1867="SERVIÇO"</formula>
    </cfRule>
  </conditionalFormatting>
  <conditionalFormatting sqref="AE1867:AF1869 A1867:E1869 V1867:AC1867 V1868:V1869 AA1868:AC1869 V1871 V1904 V1907 V1935 G1868:S1869 G1867:T1867">
    <cfRule type="expression" dxfId="2380" priority="2686">
      <formula>$B1867="Unidade Construtiva"</formula>
    </cfRule>
    <cfRule type="expression" dxfId="2379" priority="2687">
      <formula>$B1867="Serviço"</formula>
    </cfRule>
    <cfRule type="expression" dxfId="2378" priority="2688">
      <formula>$B1867="Insumo"</formula>
    </cfRule>
    <cfRule type="expression" dxfId="2377" priority="2689">
      <formula>$B1867="Etapa"</formula>
    </cfRule>
    <cfRule type="expression" dxfId="2376" priority="2690">
      <formula>$B1867="Célula Construtiva"</formula>
    </cfRule>
    <cfRule type="expression" dxfId="2375" priority="2691">
      <formula>$B1867="Subetapa"</formula>
    </cfRule>
  </conditionalFormatting>
  <conditionalFormatting sqref="T1867">
    <cfRule type="expression" dxfId="2374" priority="2683" stopIfTrue="1">
      <formula>$B1867="INSUMO"</formula>
    </cfRule>
  </conditionalFormatting>
  <conditionalFormatting sqref="W1867">
    <cfRule type="containsText" dxfId="2373" priority="2682" stopIfTrue="1" operator="containsText" text="INSERIR">
      <formula>NOT(ISERROR(SEARCH("INSERIR",W1867)))</formula>
    </cfRule>
  </conditionalFormatting>
  <conditionalFormatting sqref="U1867">
    <cfRule type="expression" dxfId="2372" priority="2675" stopIfTrue="1">
      <formula>$B1867="SERVIÇO"</formula>
    </cfRule>
  </conditionalFormatting>
  <conditionalFormatting sqref="U1867">
    <cfRule type="expression" dxfId="2371" priority="2676">
      <formula>$B1867="Unidade Construtiva"</formula>
    </cfRule>
    <cfRule type="expression" dxfId="2370" priority="2677">
      <formula>$B1867="Serviço"</formula>
    </cfRule>
    <cfRule type="expression" dxfId="2369" priority="2678">
      <formula>$B1867="Insumo"</formula>
    </cfRule>
    <cfRule type="expression" dxfId="2368" priority="2679">
      <formula>$B1867="Etapa"</formula>
    </cfRule>
    <cfRule type="expression" dxfId="2367" priority="2680">
      <formula>$B1867="Célula Construtiva"</formula>
    </cfRule>
    <cfRule type="expression" dxfId="2366" priority="2681">
      <formula>$B1867="Subetapa"</formula>
    </cfRule>
  </conditionalFormatting>
  <conditionalFormatting sqref="T1871:U1872">
    <cfRule type="expression" dxfId="2365" priority="2668" stopIfTrue="1">
      <formula>$B1871="SERVIÇO"</formula>
    </cfRule>
  </conditionalFormatting>
  <conditionalFormatting sqref="T1871:U1872 W1871:Z1872">
    <cfRule type="expression" dxfId="2364" priority="2669">
      <formula>$B1871="Unidade Construtiva"</formula>
    </cfRule>
    <cfRule type="expression" dxfId="2363" priority="2670">
      <formula>$B1871="Serviço"</formula>
    </cfRule>
    <cfRule type="expression" dxfId="2362" priority="2671">
      <formula>$B1871="Insumo"</formula>
    </cfRule>
    <cfRule type="expression" dxfId="2361" priority="2672">
      <formula>$B1871="Etapa"</formula>
    </cfRule>
    <cfRule type="expression" dxfId="2360" priority="2673">
      <formula>$B1871="Célula Construtiva"</formula>
    </cfRule>
    <cfRule type="expression" dxfId="2359" priority="2674">
      <formula>$B1871="Subetapa"</formula>
    </cfRule>
  </conditionalFormatting>
  <conditionalFormatting sqref="T1871:T1872">
    <cfRule type="expression" dxfId="2358" priority="2667" stopIfTrue="1">
      <formula>$B1871="INSUMO"</formula>
    </cfRule>
  </conditionalFormatting>
  <conditionalFormatting sqref="W1871:W1872">
    <cfRule type="containsText" dxfId="2357" priority="2666" stopIfTrue="1" operator="containsText" text="INSERIR">
      <formula>NOT(ISERROR(SEARCH("INSERIR",W1871)))</formula>
    </cfRule>
  </conditionalFormatting>
  <conditionalFormatting sqref="V1870 V1872">
    <cfRule type="expression" dxfId="2356" priority="2658" stopIfTrue="1">
      <formula>$B1870="insumo"</formula>
    </cfRule>
  </conditionalFormatting>
  <conditionalFormatting sqref="T1870 AA1870:AA1872">
    <cfRule type="expression" dxfId="2355" priority="2657" stopIfTrue="1">
      <formula>$B1870="SERVIÇO"</formula>
    </cfRule>
  </conditionalFormatting>
  <conditionalFormatting sqref="AE1870:AF1872 A1870:E1872 V1870:AC1870 V1872 AA1871:AC1872 G1871:S1872 G1870:T1870">
    <cfRule type="expression" dxfId="2354" priority="2659">
      <formula>$B1870="Unidade Construtiva"</formula>
    </cfRule>
    <cfRule type="expression" dxfId="2353" priority="2660">
      <formula>$B1870="Serviço"</formula>
    </cfRule>
    <cfRule type="expression" dxfId="2352" priority="2661">
      <formula>$B1870="Insumo"</formula>
    </cfRule>
    <cfRule type="expression" dxfId="2351" priority="2662">
      <formula>$B1870="Etapa"</formula>
    </cfRule>
    <cfRule type="expression" dxfId="2350" priority="2663">
      <formula>$B1870="Célula Construtiva"</formula>
    </cfRule>
    <cfRule type="expression" dxfId="2349" priority="2664">
      <formula>$B1870="Subetapa"</formula>
    </cfRule>
  </conditionalFormatting>
  <conditionalFormatting sqref="T1870">
    <cfRule type="expression" dxfId="2348" priority="2656" stopIfTrue="1">
      <formula>$B1870="INSUMO"</formula>
    </cfRule>
  </conditionalFormatting>
  <conditionalFormatting sqref="W1870">
    <cfRule type="containsText" dxfId="2347" priority="2655" stopIfTrue="1" operator="containsText" text="INSERIR">
      <formula>NOT(ISERROR(SEARCH("INSERIR",W1870)))</formula>
    </cfRule>
  </conditionalFormatting>
  <conditionalFormatting sqref="U1870">
    <cfRule type="expression" dxfId="2346" priority="2648" stopIfTrue="1">
      <formula>$B1870="SERVIÇO"</formula>
    </cfRule>
  </conditionalFormatting>
  <conditionalFormatting sqref="U1870">
    <cfRule type="expression" dxfId="2345" priority="2649">
      <formula>$B1870="Unidade Construtiva"</formula>
    </cfRule>
    <cfRule type="expression" dxfId="2344" priority="2650">
      <formula>$B1870="Serviço"</formula>
    </cfRule>
    <cfRule type="expression" dxfId="2343" priority="2651">
      <formula>$B1870="Insumo"</formula>
    </cfRule>
    <cfRule type="expression" dxfId="2342" priority="2652">
      <formula>$B1870="Etapa"</formula>
    </cfRule>
    <cfRule type="expression" dxfId="2341" priority="2653">
      <formula>$B1870="Célula Construtiva"</formula>
    </cfRule>
    <cfRule type="expression" dxfId="2340" priority="2654">
      <formula>$B1870="Subetapa"</formula>
    </cfRule>
  </conditionalFormatting>
  <conditionalFormatting sqref="V1746:V1747">
    <cfRule type="expression" dxfId="2339" priority="2640" stopIfTrue="1">
      <formula>$B1746="insumo"</formula>
    </cfRule>
  </conditionalFormatting>
  <conditionalFormatting sqref="T1747:U1747 AA1746:AA1747">
    <cfRule type="expression" dxfId="2338" priority="2639" stopIfTrue="1">
      <formula>$B1746="SERVIÇO"</formula>
    </cfRule>
  </conditionalFormatting>
  <conditionalFormatting sqref="T1747:U1747 W1747:Z1747 AE1746:AF1747">
    <cfRule type="expression" dxfId="2337" priority="2641">
      <formula>$B1746="Unidade Construtiva"</formula>
    </cfRule>
    <cfRule type="expression" dxfId="2336" priority="2642">
      <formula>$B1746="Serviço"</formula>
    </cfRule>
    <cfRule type="expression" dxfId="2335" priority="2643">
      <formula>$B1746="Insumo"</formula>
    </cfRule>
    <cfRule type="expression" dxfId="2334" priority="2644">
      <formula>$B1746="Etapa"</formula>
    </cfRule>
    <cfRule type="expression" dxfId="2333" priority="2645">
      <formula>$B1746="Célula Construtiva"</formula>
    </cfRule>
    <cfRule type="expression" dxfId="2332" priority="2646">
      <formula>$B1746="Subetapa"</formula>
    </cfRule>
  </conditionalFormatting>
  <conditionalFormatting sqref="T1747">
    <cfRule type="expression" dxfId="2331" priority="2638" stopIfTrue="1">
      <formula>$B1747="INSUMO"</formula>
    </cfRule>
  </conditionalFormatting>
  <conditionalFormatting sqref="W1747">
    <cfRule type="containsText" dxfId="2330" priority="2637" stopIfTrue="1" operator="containsText" text="INSERIR">
      <formula>NOT(ISERROR(SEARCH("INSERIR",W1747)))</formula>
    </cfRule>
  </conditionalFormatting>
  <conditionalFormatting sqref="T1746:U1746">
    <cfRule type="expression" dxfId="2329" priority="2630" stopIfTrue="1">
      <formula>$B1746="SERVIÇO"</formula>
    </cfRule>
  </conditionalFormatting>
  <conditionalFormatting sqref="A1746:E1747 V1747 AA1747:AC1747 G1747:R1747 G1746:AC1746">
    <cfRule type="expression" dxfId="2328" priority="2631">
      <formula>$B1746="Unidade Construtiva"</formula>
    </cfRule>
    <cfRule type="expression" dxfId="2327" priority="2632">
      <formula>$B1746="Serviço"</formula>
    </cfRule>
    <cfRule type="expression" dxfId="2326" priority="2633">
      <formula>$B1746="Insumo"</formula>
    </cfRule>
    <cfRule type="expression" dxfId="2325" priority="2634">
      <formula>$B1746="Etapa"</formula>
    </cfRule>
    <cfRule type="expression" dxfId="2324" priority="2635">
      <formula>$B1746="Célula Construtiva"</formula>
    </cfRule>
    <cfRule type="expression" dxfId="2323" priority="2636">
      <formula>$B1746="Subetapa"</formula>
    </cfRule>
  </conditionalFormatting>
  <conditionalFormatting sqref="T1746">
    <cfRule type="expression" dxfId="2322" priority="2629" stopIfTrue="1">
      <formula>$B1746="INSUMO"</formula>
    </cfRule>
  </conditionalFormatting>
  <conditionalFormatting sqref="W1746">
    <cfRule type="containsText" dxfId="2321" priority="2628" stopIfTrue="1" operator="containsText" text="INSERIR">
      <formula>NOT(ISERROR(SEARCH("INSERIR",W1746)))</formula>
    </cfRule>
  </conditionalFormatting>
  <conditionalFormatting sqref="S1747">
    <cfRule type="expression" dxfId="2320" priority="2622">
      <formula>$B1747="Unidade Construtiva"</formula>
    </cfRule>
    <cfRule type="expression" dxfId="2319" priority="2623">
      <formula>$B1747="Serviço"</formula>
    </cfRule>
    <cfRule type="expression" dxfId="2318" priority="2624">
      <formula>$B1747="Insumo"</formula>
    </cfRule>
    <cfRule type="expression" dxfId="2317" priority="2625">
      <formula>$B1747="Etapa"</formula>
    </cfRule>
    <cfRule type="expression" dxfId="2316" priority="2626">
      <formula>$B1747="Célula Construtiva"</formula>
    </cfRule>
    <cfRule type="expression" dxfId="2315" priority="2627">
      <formula>$B1747="Subetapa"</formula>
    </cfRule>
  </conditionalFormatting>
  <conditionalFormatting sqref="V1771:V1772">
    <cfRule type="expression" dxfId="2314" priority="2614" stopIfTrue="1">
      <formula>$B1771="insumo"</formula>
    </cfRule>
  </conditionalFormatting>
  <conditionalFormatting sqref="T1772:U1772 AA1771:AA1772">
    <cfRule type="expression" dxfId="2313" priority="2613" stopIfTrue="1">
      <formula>$B1771="SERVIÇO"</formula>
    </cfRule>
  </conditionalFormatting>
  <conditionalFormatting sqref="T1772:U1772 W1772:Z1772 AE1771:AF1772">
    <cfRule type="expression" dxfId="2312" priority="2615">
      <formula>$B1771="Unidade Construtiva"</formula>
    </cfRule>
    <cfRule type="expression" dxfId="2311" priority="2616">
      <formula>$B1771="Serviço"</formula>
    </cfRule>
    <cfRule type="expression" dxfId="2310" priority="2617">
      <formula>$B1771="Insumo"</formula>
    </cfRule>
    <cfRule type="expression" dxfId="2309" priority="2618">
      <formula>$B1771="Etapa"</formula>
    </cfRule>
    <cfRule type="expression" dxfId="2308" priority="2619">
      <formula>$B1771="Célula Construtiva"</formula>
    </cfRule>
    <cfRule type="expression" dxfId="2307" priority="2620">
      <formula>$B1771="Subetapa"</formula>
    </cfRule>
  </conditionalFormatting>
  <conditionalFormatting sqref="T1772">
    <cfRule type="expression" dxfId="2306" priority="2612" stopIfTrue="1">
      <formula>$B1772="INSUMO"</formula>
    </cfRule>
  </conditionalFormatting>
  <conditionalFormatting sqref="W1772">
    <cfRule type="containsText" dxfId="2305" priority="2611" stopIfTrue="1" operator="containsText" text="INSERIR">
      <formula>NOT(ISERROR(SEARCH("INSERIR",W1772)))</formula>
    </cfRule>
  </conditionalFormatting>
  <conditionalFormatting sqref="T1771:U1771">
    <cfRule type="expression" dxfId="2304" priority="2604" stopIfTrue="1">
      <formula>$B1771="SERVIÇO"</formula>
    </cfRule>
  </conditionalFormatting>
  <conditionalFormatting sqref="A1771:E1772 V1772 AA1772:AC1772 T1771:AC1771 G1771:R1772">
    <cfRule type="expression" dxfId="2303" priority="2605">
      <formula>$B1771="Unidade Construtiva"</formula>
    </cfRule>
    <cfRule type="expression" dxfId="2302" priority="2606">
      <formula>$B1771="Serviço"</formula>
    </cfRule>
    <cfRule type="expression" dxfId="2301" priority="2607">
      <formula>$B1771="Insumo"</formula>
    </cfRule>
    <cfRule type="expression" dxfId="2300" priority="2608">
      <formula>$B1771="Etapa"</formula>
    </cfRule>
    <cfRule type="expression" dxfId="2299" priority="2609">
      <formula>$B1771="Célula Construtiva"</formula>
    </cfRule>
    <cfRule type="expression" dxfId="2298" priority="2610">
      <formula>$B1771="Subetapa"</formula>
    </cfRule>
  </conditionalFormatting>
  <conditionalFormatting sqref="T1771">
    <cfRule type="expression" dxfId="2297" priority="2603" stopIfTrue="1">
      <formula>$B1771="INSUMO"</formula>
    </cfRule>
  </conditionalFormatting>
  <conditionalFormatting sqref="W1771">
    <cfRule type="containsText" dxfId="2296" priority="2602" stopIfTrue="1" operator="containsText" text="INSERIR">
      <formula>NOT(ISERROR(SEARCH("INSERIR",W1771)))</formula>
    </cfRule>
  </conditionalFormatting>
  <conditionalFormatting sqref="S1772">
    <cfRule type="expression" dxfId="2295" priority="2596">
      <formula>$B1772="Unidade Construtiva"</formula>
    </cfRule>
    <cfRule type="expression" dxfId="2294" priority="2597">
      <formula>$B1772="Serviço"</formula>
    </cfRule>
    <cfRule type="expression" dxfId="2293" priority="2598">
      <formula>$B1772="Insumo"</formula>
    </cfRule>
    <cfRule type="expression" dxfId="2292" priority="2599">
      <formula>$B1772="Etapa"</formula>
    </cfRule>
    <cfRule type="expression" dxfId="2291" priority="2600">
      <formula>$B1772="Célula Construtiva"</formula>
    </cfRule>
    <cfRule type="expression" dxfId="2290" priority="2601">
      <formula>$B1772="Subetapa"</formula>
    </cfRule>
  </conditionalFormatting>
  <conditionalFormatting sqref="V718:V719">
    <cfRule type="expression" dxfId="2289" priority="2589" stopIfTrue="1">
      <formula>$B718="insumo"</formula>
    </cfRule>
  </conditionalFormatting>
  <conditionalFormatting sqref="V718:V719">
    <cfRule type="expression" dxfId="2288" priority="2590">
      <formula>$B718="Unidade Construtiva"</formula>
    </cfRule>
    <cfRule type="expression" dxfId="2287" priority="2591">
      <formula>$B718="Serviço"</formula>
    </cfRule>
    <cfRule type="expression" dxfId="2286" priority="2592">
      <formula>$B718="Insumo"</formula>
    </cfRule>
    <cfRule type="expression" dxfId="2285" priority="2593">
      <formula>$B718="Etapa"</formula>
    </cfRule>
    <cfRule type="expression" dxfId="2284" priority="2594">
      <formula>$B718="Célula Construtiva"</formula>
    </cfRule>
    <cfRule type="expression" dxfId="2283" priority="2595">
      <formula>$B718="Subetapa"</formula>
    </cfRule>
  </conditionalFormatting>
  <conditionalFormatting sqref="V747:V748">
    <cfRule type="expression" dxfId="2282" priority="2582" stopIfTrue="1">
      <formula>$B747="insumo"</formula>
    </cfRule>
  </conditionalFormatting>
  <conditionalFormatting sqref="V747:V748">
    <cfRule type="expression" dxfId="2281" priority="2583">
      <formula>$B747="Unidade Construtiva"</formula>
    </cfRule>
    <cfRule type="expression" dxfId="2280" priority="2584">
      <formula>$B747="Serviço"</formula>
    </cfRule>
    <cfRule type="expression" dxfId="2279" priority="2585">
      <formula>$B747="Insumo"</formula>
    </cfRule>
    <cfRule type="expression" dxfId="2278" priority="2586">
      <formula>$B747="Etapa"</formula>
    </cfRule>
    <cfRule type="expression" dxfId="2277" priority="2587">
      <formula>$B747="Célula Construtiva"</formula>
    </cfRule>
    <cfRule type="expression" dxfId="2276" priority="2588">
      <formula>$B747="Subetapa"</formula>
    </cfRule>
  </conditionalFormatting>
  <conditionalFormatting sqref="V776:V777">
    <cfRule type="expression" dxfId="2275" priority="2575" stopIfTrue="1">
      <formula>$B776="insumo"</formula>
    </cfRule>
  </conditionalFormatting>
  <conditionalFormatting sqref="V776:V777">
    <cfRule type="expression" dxfId="2274" priority="2576">
      <formula>$B776="Unidade Construtiva"</formula>
    </cfRule>
    <cfRule type="expression" dxfId="2273" priority="2577">
      <formula>$B776="Serviço"</formula>
    </cfRule>
    <cfRule type="expression" dxfId="2272" priority="2578">
      <formula>$B776="Insumo"</formula>
    </cfRule>
    <cfRule type="expression" dxfId="2271" priority="2579">
      <formula>$B776="Etapa"</formula>
    </cfRule>
    <cfRule type="expression" dxfId="2270" priority="2580">
      <formula>$B776="Célula Construtiva"</formula>
    </cfRule>
    <cfRule type="expression" dxfId="2269" priority="2581">
      <formula>$B776="Subetapa"</formula>
    </cfRule>
  </conditionalFormatting>
  <conditionalFormatting sqref="V1963">
    <cfRule type="expression" dxfId="2268" priority="2566" stopIfTrue="1">
      <formula>$B1963="insumo"</formula>
    </cfRule>
  </conditionalFormatting>
  <conditionalFormatting sqref="AA1963">
    <cfRule type="expression" dxfId="2267" priority="2565" stopIfTrue="1">
      <formula>$B1963="SERVIÇO"</formula>
    </cfRule>
  </conditionalFormatting>
  <conditionalFormatting sqref="AE1963:AF1963">
    <cfRule type="expression" dxfId="2266" priority="2567">
      <formula>$B1963="Unidade Construtiva"</formula>
    </cfRule>
    <cfRule type="expression" dxfId="2265" priority="2568">
      <formula>$B1963="Serviço"</formula>
    </cfRule>
    <cfRule type="expression" dxfId="2264" priority="2569">
      <formula>$B1963="Insumo"</formula>
    </cfRule>
    <cfRule type="expression" dxfId="2263" priority="2570">
      <formula>$B1963="Etapa"</formula>
    </cfRule>
    <cfRule type="expression" dxfId="2262" priority="2571">
      <formula>$B1963="Célula Construtiva"</formula>
    </cfRule>
    <cfRule type="expression" dxfId="2261" priority="2572">
      <formula>$B1963="Subetapa"</formula>
    </cfRule>
  </conditionalFormatting>
  <conditionalFormatting sqref="T1963:U1963">
    <cfRule type="expression" dxfId="2260" priority="2547" stopIfTrue="1">
      <formula>$B1963="SERVIÇO"</formula>
    </cfRule>
  </conditionalFormatting>
  <conditionalFormatting sqref="A1963:E1963 G1963:AC1963">
    <cfRule type="expression" dxfId="2259" priority="2548">
      <formula>$B1963="Unidade Construtiva"</formula>
    </cfRule>
    <cfRule type="expression" dxfId="2258" priority="2549">
      <formula>$B1963="Serviço"</formula>
    </cfRule>
    <cfRule type="expression" dxfId="2257" priority="2550">
      <formula>$B1963="Insumo"</formula>
    </cfRule>
    <cfRule type="expression" dxfId="2256" priority="2551">
      <formula>$B1963="Etapa"</formula>
    </cfRule>
    <cfRule type="expression" dxfId="2255" priority="2552">
      <formula>$B1963="Célula Construtiva"</formula>
    </cfRule>
    <cfRule type="expression" dxfId="2254" priority="2553">
      <formula>$B1963="Subetapa"</formula>
    </cfRule>
  </conditionalFormatting>
  <conditionalFormatting sqref="T1963">
    <cfRule type="expression" dxfId="2253" priority="2546" stopIfTrue="1">
      <formula>$B1963="INSUMO"</formula>
    </cfRule>
  </conditionalFormatting>
  <conditionalFormatting sqref="W1963">
    <cfRule type="containsText" dxfId="2252" priority="2545" stopIfTrue="1" operator="containsText" text="INSERIR">
      <formula>NOT(ISERROR(SEARCH("INSERIR",W1963)))</formula>
    </cfRule>
  </conditionalFormatting>
  <conditionalFormatting sqref="T1964:U1964">
    <cfRule type="expression" dxfId="2251" priority="2538" stopIfTrue="1">
      <formula>$B1964="SERVIÇO"</formula>
    </cfRule>
  </conditionalFormatting>
  <conditionalFormatting sqref="T1964:U1964 W1964:Z1964">
    <cfRule type="expression" dxfId="2250" priority="2539">
      <formula>$B1964="Unidade Construtiva"</formula>
    </cfRule>
    <cfRule type="expression" dxfId="2249" priority="2540">
      <formula>$B1964="Serviço"</formula>
    </cfRule>
    <cfRule type="expression" dxfId="2248" priority="2541">
      <formula>$B1964="Insumo"</formula>
    </cfRule>
    <cfRule type="expression" dxfId="2247" priority="2542">
      <formula>$B1964="Etapa"</formula>
    </cfRule>
    <cfRule type="expression" dxfId="2246" priority="2543">
      <formula>$B1964="Célula Construtiva"</formula>
    </cfRule>
    <cfRule type="expression" dxfId="2245" priority="2544">
      <formula>$B1964="Subetapa"</formula>
    </cfRule>
  </conditionalFormatting>
  <conditionalFormatting sqref="T1964">
    <cfRule type="expression" dxfId="2244" priority="2537" stopIfTrue="1">
      <formula>$B1964="INSUMO"</formula>
    </cfRule>
  </conditionalFormatting>
  <conditionalFormatting sqref="W1964">
    <cfRule type="containsText" dxfId="2243" priority="2536" stopIfTrue="1" operator="containsText" text="INSERIR">
      <formula>NOT(ISERROR(SEARCH("INSERIR",W1964)))</formula>
    </cfRule>
  </conditionalFormatting>
  <conditionalFormatting sqref="V1964">
    <cfRule type="expression" dxfId="2242" priority="2528" stopIfTrue="1">
      <formula>$B1964="insumo"</formula>
    </cfRule>
  </conditionalFormatting>
  <conditionalFormatting sqref="AA1964">
    <cfRule type="expression" dxfId="2241" priority="2527" stopIfTrue="1">
      <formula>$B1964="SERVIÇO"</formula>
    </cfRule>
  </conditionalFormatting>
  <conditionalFormatting sqref="AE1964:AF1964 A1964:E1964 V1964 AA1964:AC1964 G1964:S1964">
    <cfRule type="expression" dxfId="2240" priority="2529">
      <formula>$B1964="Unidade Construtiva"</formula>
    </cfRule>
    <cfRule type="expression" dxfId="2239" priority="2530">
      <formula>$B1964="Serviço"</formula>
    </cfRule>
    <cfRule type="expression" dxfId="2238" priority="2531">
      <formula>$B1964="Insumo"</formula>
    </cfRule>
    <cfRule type="expression" dxfId="2237" priority="2532">
      <formula>$B1964="Etapa"</formula>
    </cfRule>
    <cfRule type="expression" dxfId="2236" priority="2533">
      <formula>$B1964="Célula Construtiva"</formula>
    </cfRule>
    <cfRule type="expression" dxfId="2235" priority="2534">
      <formula>$B1964="Subetapa"</formula>
    </cfRule>
  </conditionalFormatting>
  <conditionalFormatting sqref="T1993:U1993">
    <cfRule type="expression" dxfId="2234" priority="2518" stopIfTrue="1">
      <formula>$B1993="SERVIÇO"</formula>
    </cfRule>
  </conditionalFormatting>
  <conditionalFormatting sqref="T1993:U1993 W1993:Z1993">
    <cfRule type="expression" dxfId="2233" priority="2520">
      <formula>$B1993="Unidade Construtiva"</formula>
    </cfRule>
    <cfRule type="expression" dxfId="2232" priority="2521">
      <formula>$B1993="Serviço"</formula>
    </cfRule>
    <cfRule type="expression" dxfId="2231" priority="2522">
      <formula>$B1993="Insumo"</formula>
    </cfRule>
    <cfRule type="expression" dxfId="2230" priority="2523">
      <formula>$B1993="Etapa"</formula>
    </cfRule>
    <cfRule type="expression" dxfId="2229" priority="2524">
      <formula>$B1993="Célula Construtiva"</formula>
    </cfRule>
    <cfRule type="expression" dxfId="2228" priority="2525">
      <formula>$B1993="Subetapa"</formula>
    </cfRule>
  </conditionalFormatting>
  <conditionalFormatting sqref="T1993">
    <cfRule type="expression" dxfId="2227" priority="2517" stopIfTrue="1">
      <formula>$B1993="INSUMO"</formula>
    </cfRule>
  </conditionalFormatting>
  <conditionalFormatting sqref="W1993 W1991">
    <cfRule type="containsText" dxfId="2226" priority="2516" stopIfTrue="1" operator="containsText" text="INSERIR">
      <formula>NOT(ISERROR(SEARCH("INSERIR",W1991)))</formula>
    </cfRule>
  </conditionalFormatting>
  <conditionalFormatting sqref="V1992:V1993">
    <cfRule type="expression" dxfId="2225" priority="2508" stopIfTrue="1">
      <formula>$B1992="insumo"</formula>
    </cfRule>
  </conditionalFormatting>
  <conditionalFormatting sqref="T1992 AA1992:AA1993">
    <cfRule type="expression" dxfId="2224" priority="2507" stopIfTrue="1">
      <formula>$B1992="SERVIÇO"</formula>
    </cfRule>
  </conditionalFormatting>
  <conditionalFormatting sqref="AE1992:AF1993 A1992:E1993 V1993 AA1993:AC1993 V1992:AC1992 G1993:S1993 G1992:T1992">
    <cfRule type="expression" dxfId="2223" priority="2509">
      <formula>$B1992="Unidade Construtiva"</formula>
    </cfRule>
    <cfRule type="expression" dxfId="2222" priority="2510">
      <formula>$B1992="Serviço"</formula>
    </cfRule>
    <cfRule type="expression" dxfId="2221" priority="2511">
      <formula>$B1992="Insumo"</formula>
    </cfRule>
    <cfRule type="expression" dxfId="2220" priority="2512">
      <formula>$B1992="Etapa"</formula>
    </cfRule>
    <cfRule type="expression" dxfId="2219" priority="2513">
      <formula>$B1992="Célula Construtiva"</formula>
    </cfRule>
    <cfRule type="expression" dxfId="2218" priority="2514">
      <formula>$B1992="Subetapa"</formula>
    </cfRule>
  </conditionalFormatting>
  <conditionalFormatting sqref="T1992">
    <cfRule type="expression" dxfId="2217" priority="2506" stopIfTrue="1">
      <formula>$B1992="INSUMO"</formula>
    </cfRule>
  </conditionalFormatting>
  <conditionalFormatting sqref="W1992">
    <cfRule type="containsText" dxfId="2216" priority="2505" stopIfTrue="1" operator="containsText" text="INSERIR">
      <formula>NOT(ISERROR(SEARCH("INSERIR",W1992)))</formula>
    </cfRule>
  </conditionalFormatting>
  <conditionalFormatting sqref="U1992">
    <cfRule type="expression" dxfId="2215" priority="2498" stopIfTrue="1">
      <formula>$B1992="SERVIÇO"</formula>
    </cfRule>
  </conditionalFormatting>
  <conditionalFormatting sqref="U1992">
    <cfRule type="expression" dxfId="2214" priority="2499">
      <formula>$B1992="Unidade Construtiva"</formula>
    </cfRule>
    <cfRule type="expression" dxfId="2213" priority="2500">
      <formula>$B1992="Serviço"</formula>
    </cfRule>
    <cfRule type="expression" dxfId="2212" priority="2501">
      <formula>$B1992="Insumo"</formula>
    </cfRule>
    <cfRule type="expression" dxfId="2211" priority="2502">
      <formula>$B1992="Etapa"</formula>
    </cfRule>
    <cfRule type="expression" dxfId="2210" priority="2503">
      <formula>$B1992="Célula Construtiva"</formula>
    </cfRule>
    <cfRule type="expression" dxfId="2209" priority="2504">
      <formula>$B1992="Subetapa"</formula>
    </cfRule>
  </conditionalFormatting>
  <conditionalFormatting sqref="V1967 V1969:V1972 V1986 V1988 V1981:V1984">
    <cfRule type="expression" dxfId="2208" priority="2490" stopIfTrue="1">
      <formula>$B1967="insumo"</formula>
    </cfRule>
  </conditionalFormatting>
  <conditionalFormatting sqref="AA1967 T1969:U1972 AA1969:AA1972 AA1986 T1986:U1986 T1988:U1988 AA1988 T1981:U1984 AA1981:AA1984">
    <cfRule type="expression" dxfId="2207" priority="2489" stopIfTrue="1">
      <formula>$B1967="SERVIÇO"</formula>
    </cfRule>
  </conditionalFormatting>
  <conditionalFormatting sqref="A1970:E1972 V1970:W1972 AE1967:AF1967 T1969:U1972 AA1970:AC1972 W1969 X1969:Z1972 AE1969:AF1972 A1986:E1986 AE1986:AF1986 AE1988:AF1988 A1988:E1988 AE1981:AF1984 A1981:E1984 G1981:AC1984 G1988:AC1988 G1986:AC1986 G1970:S1972">
    <cfRule type="expression" dxfId="2206" priority="2491">
      <formula>$B1967="Unidade Construtiva"</formula>
    </cfRule>
    <cfRule type="expression" dxfId="2205" priority="2492">
      <formula>$B1967="Serviço"</formula>
    </cfRule>
    <cfRule type="expression" dxfId="2204" priority="2493">
      <formula>$B1967="Insumo"</formula>
    </cfRule>
    <cfRule type="expression" dxfId="2203" priority="2494">
      <formula>$B1967="Etapa"</formula>
    </cfRule>
    <cfRule type="expression" dxfId="2202" priority="2495">
      <formula>$B1967="Célula Construtiva"</formula>
    </cfRule>
    <cfRule type="expression" dxfId="2201" priority="2496">
      <formula>$B1967="Subetapa"</formula>
    </cfRule>
  </conditionalFormatting>
  <conditionalFormatting sqref="T1969:T1972 T1986 T1988 T1981:T1984">
    <cfRule type="expression" dxfId="2200" priority="2488" stopIfTrue="1">
      <formula>$B1969="INSUMO"</formula>
    </cfRule>
  </conditionalFormatting>
  <conditionalFormatting sqref="W1967 W1969:W1972 W1986 W1988 W1981:W1984">
    <cfRule type="containsText" dxfId="2199" priority="2487" stopIfTrue="1" operator="containsText" text="INSERIR">
      <formula>NOT(ISERROR(SEARCH("INSERIR",W1967)))</formula>
    </cfRule>
  </conditionalFormatting>
  <conditionalFormatting sqref="U1967">
    <cfRule type="expression" dxfId="2198" priority="2479" stopIfTrue="1">
      <formula>$B1967="SERVIÇO"</formula>
    </cfRule>
  </conditionalFormatting>
  <conditionalFormatting sqref="A1969:E1969 V1969:W1969 AA1969:AC1969 A1967:E1967 U1967:AC1967 G1967:S1967 G1969:S1969">
    <cfRule type="expression" dxfId="2197" priority="2480">
      <formula>$B1967="Unidade Construtiva"</formula>
    </cfRule>
    <cfRule type="expression" dxfId="2196" priority="2481">
      <formula>$B1967="Serviço"</formula>
    </cfRule>
    <cfRule type="expression" dxfId="2195" priority="2482">
      <formula>$B1967="Insumo"</formula>
    </cfRule>
    <cfRule type="expression" dxfId="2194" priority="2483">
      <formula>$B1967="Etapa"</formula>
    </cfRule>
    <cfRule type="expression" dxfId="2193" priority="2484">
      <formula>$B1967="Célula Construtiva"</formula>
    </cfRule>
    <cfRule type="expression" dxfId="2192" priority="2485">
      <formula>$B1967="Subetapa"</formula>
    </cfRule>
  </conditionalFormatting>
  <conditionalFormatting sqref="V1976">
    <cfRule type="expression" dxfId="2191" priority="2472" stopIfTrue="1">
      <formula>$B1976="insumo"</formula>
    </cfRule>
  </conditionalFormatting>
  <conditionalFormatting sqref="AA1976">
    <cfRule type="expression" dxfId="2190" priority="2471" stopIfTrue="1">
      <formula>$B1976="SERVIÇO"</formula>
    </cfRule>
  </conditionalFormatting>
  <conditionalFormatting sqref="AE1976:AF1976">
    <cfRule type="expression" dxfId="2189" priority="2473">
      <formula>$B1976="Unidade Construtiva"</formula>
    </cfRule>
    <cfRule type="expression" dxfId="2188" priority="2474">
      <formula>$B1976="Serviço"</formula>
    </cfRule>
    <cfRule type="expression" dxfId="2187" priority="2475">
      <formula>$B1976="Insumo"</formula>
    </cfRule>
    <cfRule type="expression" dxfId="2186" priority="2476">
      <formula>$B1976="Etapa"</formula>
    </cfRule>
    <cfRule type="expression" dxfId="2185" priority="2477">
      <formula>$B1976="Célula Construtiva"</formula>
    </cfRule>
    <cfRule type="expression" dxfId="2184" priority="2478">
      <formula>$B1976="Subetapa"</formula>
    </cfRule>
  </conditionalFormatting>
  <conditionalFormatting sqref="W1976">
    <cfRule type="containsText" dxfId="2183" priority="2470" stopIfTrue="1" operator="containsText" text="INSERIR">
      <formula>NOT(ISERROR(SEARCH("INSERIR",W1976)))</formula>
    </cfRule>
  </conditionalFormatting>
  <conditionalFormatting sqref="T1976:U1976">
    <cfRule type="expression" dxfId="2182" priority="2462" stopIfTrue="1">
      <formula>$B1976="SERVIÇO"</formula>
    </cfRule>
  </conditionalFormatting>
  <conditionalFormatting sqref="A1976:E1976 G1976:AC1976">
    <cfRule type="expression" dxfId="2181" priority="2463">
      <formula>$B1976="Unidade Construtiva"</formula>
    </cfRule>
    <cfRule type="expression" dxfId="2180" priority="2464">
      <formula>$B1976="Serviço"</formula>
    </cfRule>
    <cfRule type="expression" dxfId="2179" priority="2465">
      <formula>$B1976="Insumo"</formula>
    </cfRule>
    <cfRule type="expression" dxfId="2178" priority="2466">
      <formula>$B1976="Etapa"</formula>
    </cfRule>
    <cfRule type="expression" dxfId="2177" priority="2467">
      <formula>$B1976="Célula Construtiva"</formula>
    </cfRule>
    <cfRule type="expression" dxfId="2176" priority="2468">
      <formula>$B1976="Subetapa"</formula>
    </cfRule>
  </conditionalFormatting>
  <conditionalFormatting sqref="T1976">
    <cfRule type="expression" dxfId="2175" priority="2461" stopIfTrue="1">
      <formula>$B1976="INSUMO"</formula>
    </cfRule>
  </conditionalFormatting>
  <conditionalFormatting sqref="V1968">
    <cfRule type="expression" dxfId="2174" priority="2454" stopIfTrue="1">
      <formula>$B1968="insumo"</formula>
    </cfRule>
  </conditionalFormatting>
  <conditionalFormatting sqref="AA1968 T1968:U1968">
    <cfRule type="expression" dxfId="2173" priority="2453" stopIfTrue="1">
      <formula>$B1968="SERVIÇO"</formula>
    </cfRule>
  </conditionalFormatting>
  <conditionalFormatting sqref="AE1968:AF1968 T1968:U1968 W1968:Z1968">
    <cfRule type="expression" dxfId="2172" priority="2455">
      <formula>$B1968="Unidade Construtiva"</formula>
    </cfRule>
    <cfRule type="expression" dxfId="2171" priority="2456">
      <formula>$B1968="Serviço"</formula>
    </cfRule>
    <cfRule type="expression" dxfId="2170" priority="2457">
      <formula>$B1968="Insumo"</formula>
    </cfRule>
    <cfRule type="expression" dxfId="2169" priority="2458">
      <formula>$B1968="Etapa"</formula>
    </cfRule>
    <cfRule type="expression" dxfId="2168" priority="2459">
      <formula>$B1968="Célula Construtiva"</formula>
    </cfRule>
    <cfRule type="expression" dxfId="2167" priority="2460">
      <formula>$B1968="Subetapa"</formula>
    </cfRule>
  </conditionalFormatting>
  <conditionalFormatting sqref="T1968">
    <cfRule type="expression" dxfId="2166" priority="2452" stopIfTrue="1">
      <formula>$B1968="INSUMO"</formula>
    </cfRule>
  </conditionalFormatting>
  <conditionalFormatting sqref="W1968">
    <cfRule type="containsText" dxfId="2165" priority="2451" stopIfTrue="1" operator="containsText" text="INSERIR">
      <formula>NOT(ISERROR(SEARCH("INSERIR",W1968)))</formula>
    </cfRule>
  </conditionalFormatting>
  <conditionalFormatting sqref="A1968:E1968 V1968:W1968 AA1968:AC1968 G1968:S1968">
    <cfRule type="expression" dxfId="2164" priority="2444">
      <formula>$B1968="Unidade Construtiva"</formula>
    </cfRule>
    <cfRule type="expression" dxfId="2163" priority="2445">
      <formula>$B1968="Serviço"</formula>
    </cfRule>
    <cfRule type="expression" dxfId="2162" priority="2446">
      <formula>$B1968="Insumo"</formula>
    </cfRule>
    <cfRule type="expression" dxfId="2161" priority="2447">
      <formula>$B1968="Etapa"</formula>
    </cfRule>
    <cfRule type="expression" dxfId="2160" priority="2448">
      <formula>$B1968="Célula Construtiva"</formula>
    </cfRule>
    <cfRule type="expression" dxfId="2159" priority="2449">
      <formula>$B1968="Subetapa"</formula>
    </cfRule>
  </conditionalFormatting>
  <conditionalFormatting sqref="V1974">
    <cfRule type="expression" dxfId="2158" priority="2436" stopIfTrue="1">
      <formula>$B1974="insumo"</formula>
    </cfRule>
  </conditionalFormatting>
  <conditionalFormatting sqref="T1974:U1974 AA1974">
    <cfRule type="expression" dxfId="2157" priority="2435" stopIfTrue="1">
      <formula>$B1974="SERVIÇO"</formula>
    </cfRule>
  </conditionalFormatting>
  <conditionalFormatting sqref="A1974:E1974 AE1974:AF1974 G1974:AC1974">
    <cfRule type="expression" dxfId="2156" priority="2437">
      <formula>$B1974="Unidade Construtiva"</formula>
    </cfRule>
    <cfRule type="expression" dxfId="2155" priority="2438">
      <formula>$B1974="Serviço"</formula>
    </cfRule>
    <cfRule type="expression" dxfId="2154" priority="2439">
      <formula>$B1974="Insumo"</formula>
    </cfRule>
    <cfRule type="expression" dxfId="2153" priority="2440">
      <formula>$B1974="Etapa"</formula>
    </cfRule>
    <cfRule type="expression" dxfId="2152" priority="2441">
      <formula>$B1974="Célula Construtiva"</formula>
    </cfRule>
    <cfRule type="expression" dxfId="2151" priority="2442">
      <formula>$B1974="Subetapa"</formula>
    </cfRule>
  </conditionalFormatting>
  <conditionalFormatting sqref="T1974">
    <cfRule type="expression" dxfId="2150" priority="2434" stopIfTrue="1">
      <formula>$B1974="INSUMO"</formula>
    </cfRule>
  </conditionalFormatting>
  <conditionalFormatting sqref="W1974">
    <cfRule type="containsText" dxfId="2149" priority="2433" stopIfTrue="1" operator="containsText" text="INSERIR">
      <formula>NOT(ISERROR(SEARCH("INSERIR",W1974)))</formula>
    </cfRule>
  </conditionalFormatting>
  <conditionalFormatting sqref="V1973">
    <cfRule type="expression" dxfId="2148" priority="2425" stopIfTrue="1">
      <formula>$B1973="insumo"</formula>
    </cfRule>
  </conditionalFormatting>
  <conditionalFormatting sqref="T1973:U1973 AA1973">
    <cfRule type="expression" dxfId="2147" priority="2424" stopIfTrue="1">
      <formula>$B1973="SERVIÇO"</formula>
    </cfRule>
  </conditionalFormatting>
  <conditionalFormatting sqref="A1973:E1973 AE1973:AF1973 G1973:AC1973">
    <cfRule type="expression" dxfId="2146" priority="2426">
      <formula>$B1973="Unidade Construtiva"</formula>
    </cfRule>
    <cfRule type="expression" dxfId="2145" priority="2427">
      <formula>$B1973="Serviço"</formula>
    </cfRule>
    <cfRule type="expression" dxfId="2144" priority="2428">
      <formula>$B1973="Insumo"</formula>
    </cfRule>
    <cfRule type="expression" dxfId="2143" priority="2429">
      <formula>$B1973="Etapa"</formula>
    </cfRule>
    <cfRule type="expression" dxfId="2142" priority="2430">
      <formula>$B1973="Célula Construtiva"</formula>
    </cfRule>
    <cfRule type="expression" dxfId="2141" priority="2431">
      <formula>$B1973="Subetapa"</formula>
    </cfRule>
  </conditionalFormatting>
  <conditionalFormatting sqref="T1973">
    <cfRule type="expression" dxfId="2140" priority="2423" stopIfTrue="1">
      <formula>$B1973="INSUMO"</formula>
    </cfRule>
  </conditionalFormatting>
  <conditionalFormatting sqref="W1973">
    <cfRule type="containsText" dxfId="2139" priority="2422" stopIfTrue="1" operator="containsText" text="INSERIR">
      <formula>NOT(ISERROR(SEARCH("INSERIR",W1973)))</formula>
    </cfRule>
  </conditionalFormatting>
  <conditionalFormatting sqref="V1975">
    <cfRule type="expression" dxfId="2138" priority="2414" stopIfTrue="1">
      <formula>$B1975="insumo"</formula>
    </cfRule>
  </conditionalFormatting>
  <conditionalFormatting sqref="T1975:U1975 AA1975">
    <cfRule type="expression" dxfId="2137" priority="2413" stopIfTrue="1">
      <formula>$B1975="SERVIÇO"</formula>
    </cfRule>
  </conditionalFormatting>
  <conditionalFormatting sqref="A1975:E1975 AE1975:AF1975 G1975:AC1975">
    <cfRule type="expression" dxfId="2136" priority="2415">
      <formula>$B1975="Unidade Construtiva"</formula>
    </cfRule>
    <cfRule type="expression" dxfId="2135" priority="2416">
      <formula>$B1975="Serviço"</formula>
    </cfRule>
    <cfRule type="expression" dxfId="2134" priority="2417">
      <formula>$B1975="Insumo"</formula>
    </cfRule>
    <cfRule type="expression" dxfId="2133" priority="2418">
      <formula>$B1975="Etapa"</formula>
    </cfRule>
    <cfRule type="expression" dxfId="2132" priority="2419">
      <formula>$B1975="Célula Construtiva"</formula>
    </cfRule>
    <cfRule type="expression" dxfId="2131" priority="2420">
      <formula>$B1975="Subetapa"</formula>
    </cfRule>
  </conditionalFormatting>
  <conditionalFormatting sqref="T1975">
    <cfRule type="expression" dxfId="2130" priority="2412" stopIfTrue="1">
      <formula>$B1975="INSUMO"</formula>
    </cfRule>
  </conditionalFormatting>
  <conditionalFormatting sqref="W1975">
    <cfRule type="containsText" dxfId="2129" priority="2411" stopIfTrue="1" operator="containsText" text="INSERIR">
      <formula>NOT(ISERROR(SEARCH("INSERIR",W1975)))</formula>
    </cfRule>
  </conditionalFormatting>
  <conditionalFormatting sqref="T1967">
    <cfRule type="expression" dxfId="2128" priority="2404" stopIfTrue="1">
      <formula>$B1967="SERVIÇO"</formula>
    </cfRule>
  </conditionalFormatting>
  <conditionalFormatting sqref="T1967">
    <cfRule type="expression" dxfId="2127" priority="2405">
      <formula>$B1967="Unidade Construtiva"</formula>
    </cfRule>
    <cfRule type="expression" dxfId="2126" priority="2406">
      <formula>$B1967="Serviço"</formula>
    </cfRule>
    <cfRule type="expression" dxfId="2125" priority="2407">
      <formula>$B1967="Insumo"</formula>
    </cfRule>
    <cfRule type="expression" dxfId="2124" priority="2408">
      <formula>$B1967="Etapa"</formula>
    </cfRule>
    <cfRule type="expression" dxfId="2123" priority="2409">
      <formula>$B1967="Célula Construtiva"</formula>
    </cfRule>
    <cfRule type="expression" dxfId="2122" priority="2410">
      <formula>$B1967="Subetapa"</formula>
    </cfRule>
  </conditionalFormatting>
  <conditionalFormatting sqref="T1967">
    <cfRule type="expression" dxfId="2121" priority="2403" stopIfTrue="1">
      <formula>$B1967="INSUMO"</formula>
    </cfRule>
  </conditionalFormatting>
  <conditionalFormatting sqref="V1985">
    <cfRule type="expression" dxfId="2120" priority="2396" stopIfTrue="1">
      <formula>$B1985="insumo"</formula>
    </cfRule>
  </conditionalFormatting>
  <conditionalFormatting sqref="AA1985">
    <cfRule type="expression" dxfId="2119" priority="2395" stopIfTrue="1">
      <formula>$B1985="SERVIÇO"</formula>
    </cfRule>
  </conditionalFormatting>
  <conditionalFormatting sqref="AE1985:AF1985">
    <cfRule type="expression" dxfId="2118" priority="2397">
      <formula>$B1985="Unidade Construtiva"</formula>
    </cfRule>
    <cfRule type="expression" dxfId="2117" priority="2398">
      <formula>$B1985="Serviço"</formula>
    </cfRule>
    <cfRule type="expression" dxfId="2116" priority="2399">
      <formula>$B1985="Insumo"</formula>
    </cfRule>
    <cfRule type="expression" dxfId="2115" priority="2400">
      <formula>$B1985="Etapa"</formula>
    </cfRule>
    <cfRule type="expression" dxfId="2114" priority="2401">
      <formula>$B1985="Célula Construtiva"</formula>
    </cfRule>
    <cfRule type="expression" dxfId="2113" priority="2402">
      <formula>$B1985="Subetapa"</formula>
    </cfRule>
  </conditionalFormatting>
  <conditionalFormatting sqref="W1985">
    <cfRule type="containsText" dxfId="2112" priority="2394" stopIfTrue="1" operator="containsText" text="INSERIR">
      <formula>NOT(ISERROR(SEARCH("INSERIR",W1985)))</formula>
    </cfRule>
  </conditionalFormatting>
  <conditionalFormatting sqref="T1985:U1985">
    <cfRule type="expression" dxfId="2111" priority="2386" stopIfTrue="1">
      <formula>$B1985="SERVIÇO"</formula>
    </cfRule>
  </conditionalFormatting>
  <conditionalFormatting sqref="A1985:E1985 G1985:AC1985">
    <cfRule type="expression" dxfId="2110" priority="2387">
      <formula>$B1985="Unidade Construtiva"</formula>
    </cfRule>
    <cfRule type="expression" dxfId="2109" priority="2388">
      <formula>$B1985="Serviço"</formula>
    </cfRule>
    <cfRule type="expression" dxfId="2108" priority="2389">
      <formula>$B1985="Insumo"</formula>
    </cfRule>
    <cfRule type="expression" dxfId="2107" priority="2390">
      <formula>$B1985="Etapa"</formula>
    </cfRule>
    <cfRule type="expression" dxfId="2106" priority="2391">
      <formula>$B1985="Célula Construtiva"</formula>
    </cfRule>
    <cfRule type="expression" dxfId="2105" priority="2392">
      <formula>$B1985="Subetapa"</formula>
    </cfRule>
  </conditionalFormatting>
  <conditionalFormatting sqref="T1985">
    <cfRule type="expression" dxfId="2104" priority="2385" stopIfTrue="1">
      <formula>$B1985="INSUMO"</formula>
    </cfRule>
  </conditionalFormatting>
  <conditionalFormatting sqref="V1987">
    <cfRule type="expression" dxfId="2103" priority="2378" stopIfTrue="1">
      <formula>$B1987="insumo"</formula>
    </cfRule>
  </conditionalFormatting>
  <conditionalFormatting sqref="AA1987">
    <cfRule type="expression" dxfId="2102" priority="2377" stopIfTrue="1">
      <formula>$B1987="SERVIÇO"</formula>
    </cfRule>
  </conditionalFormatting>
  <conditionalFormatting sqref="AE1987:AF1987">
    <cfRule type="expression" dxfId="2101" priority="2379">
      <formula>$B1987="Unidade Construtiva"</formula>
    </cfRule>
    <cfRule type="expression" dxfId="2100" priority="2380">
      <formula>$B1987="Serviço"</formula>
    </cfRule>
    <cfRule type="expression" dxfId="2099" priority="2381">
      <formula>$B1987="Insumo"</formula>
    </cfRule>
    <cfRule type="expression" dxfId="2098" priority="2382">
      <formula>$B1987="Etapa"</formula>
    </cfRule>
    <cfRule type="expression" dxfId="2097" priority="2383">
      <formula>$B1987="Célula Construtiva"</formula>
    </cfRule>
    <cfRule type="expression" dxfId="2096" priority="2384">
      <formula>$B1987="Subetapa"</formula>
    </cfRule>
  </conditionalFormatting>
  <conditionalFormatting sqref="W1987">
    <cfRule type="containsText" dxfId="2095" priority="2376" stopIfTrue="1" operator="containsText" text="INSERIR">
      <formula>NOT(ISERROR(SEARCH("INSERIR",W1987)))</formula>
    </cfRule>
  </conditionalFormatting>
  <conditionalFormatting sqref="T1987:U1987">
    <cfRule type="expression" dxfId="2094" priority="2368" stopIfTrue="1">
      <formula>$B1987="SERVIÇO"</formula>
    </cfRule>
  </conditionalFormatting>
  <conditionalFormatting sqref="A1987:E1987 G1987:AC1987">
    <cfRule type="expression" dxfId="2093" priority="2369">
      <formula>$B1987="Unidade Construtiva"</formula>
    </cfRule>
    <cfRule type="expression" dxfId="2092" priority="2370">
      <formula>$B1987="Serviço"</formula>
    </cfRule>
    <cfRule type="expression" dxfId="2091" priority="2371">
      <formula>$B1987="Insumo"</formula>
    </cfRule>
    <cfRule type="expression" dxfId="2090" priority="2372">
      <formula>$B1987="Etapa"</formula>
    </cfRule>
    <cfRule type="expression" dxfId="2089" priority="2373">
      <formula>$B1987="Célula Construtiva"</formula>
    </cfRule>
    <cfRule type="expression" dxfId="2088" priority="2374">
      <formula>$B1987="Subetapa"</formula>
    </cfRule>
  </conditionalFormatting>
  <conditionalFormatting sqref="T1987">
    <cfRule type="expression" dxfId="2087" priority="2367" stopIfTrue="1">
      <formula>$B1987="INSUMO"</formula>
    </cfRule>
  </conditionalFormatting>
  <conditionalFormatting sqref="V1989:V1990">
    <cfRule type="expression" dxfId="2086" priority="2359" stopIfTrue="1">
      <formula>$B1989="insumo"</formula>
    </cfRule>
  </conditionalFormatting>
  <conditionalFormatting sqref="T1989:U1990 AA1989:AA1990">
    <cfRule type="expression" dxfId="2085" priority="2358" stopIfTrue="1">
      <formula>$B1989="SERVIÇO"</formula>
    </cfRule>
  </conditionalFormatting>
  <conditionalFormatting sqref="AE1989:AF1990 A1989:E1990 G1989:AC1990">
    <cfRule type="expression" dxfId="2084" priority="2360">
      <formula>$B1989="Unidade Construtiva"</formula>
    </cfRule>
    <cfRule type="expression" dxfId="2083" priority="2361">
      <formula>$B1989="Serviço"</formula>
    </cfRule>
    <cfRule type="expression" dxfId="2082" priority="2362">
      <formula>$B1989="Insumo"</formula>
    </cfRule>
    <cfRule type="expression" dxfId="2081" priority="2363">
      <formula>$B1989="Etapa"</formula>
    </cfRule>
    <cfRule type="expression" dxfId="2080" priority="2364">
      <formula>$B1989="Célula Construtiva"</formula>
    </cfRule>
    <cfRule type="expression" dxfId="2079" priority="2365">
      <formula>$B1989="Subetapa"</formula>
    </cfRule>
  </conditionalFormatting>
  <conditionalFormatting sqref="T1989:T1990">
    <cfRule type="expression" dxfId="2078" priority="2357" stopIfTrue="1">
      <formula>$B1989="INSUMO"</formula>
    </cfRule>
  </conditionalFormatting>
  <conditionalFormatting sqref="W1989:W1990">
    <cfRule type="containsText" dxfId="2077" priority="2356" stopIfTrue="1" operator="containsText" text="INSERIR">
      <formula>NOT(ISERROR(SEARCH("INSERIR",W1989)))</formula>
    </cfRule>
  </conditionalFormatting>
  <conditionalFormatting sqref="V1978">
    <cfRule type="expression" dxfId="2076" priority="2348" stopIfTrue="1">
      <formula>$B1978="insumo"</formula>
    </cfRule>
  </conditionalFormatting>
  <conditionalFormatting sqref="T1978:U1978 AA1978">
    <cfRule type="expression" dxfId="2075" priority="2347" stopIfTrue="1">
      <formula>$B1978="SERVIÇO"</formula>
    </cfRule>
  </conditionalFormatting>
  <conditionalFormatting sqref="A1978:E1978 AE1978:AF1978 G1978:AC1978">
    <cfRule type="expression" dxfId="2074" priority="2349">
      <formula>$B1978="Unidade Construtiva"</formula>
    </cfRule>
    <cfRule type="expression" dxfId="2073" priority="2350">
      <formula>$B1978="Serviço"</formula>
    </cfRule>
    <cfRule type="expression" dxfId="2072" priority="2351">
      <formula>$B1978="Insumo"</formula>
    </cfRule>
    <cfRule type="expression" dxfId="2071" priority="2352">
      <formula>$B1978="Etapa"</formula>
    </cfRule>
    <cfRule type="expression" dxfId="2070" priority="2353">
      <formula>$B1978="Célula Construtiva"</formula>
    </cfRule>
    <cfRule type="expression" dxfId="2069" priority="2354">
      <formula>$B1978="Subetapa"</formula>
    </cfRule>
  </conditionalFormatting>
  <conditionalFormatting sqref="T1978">
    <cfRule type="expression" dxfId="2068" priority="2346" stopIfTrue="1">
      <formula>$B1978="INSUMO"</formula>
    </cfRule>
  </conditionalFormatting>
  <conditionalFormatting sqref="W1978">
    <cfRule type="containsText" dxfId="2067" priority="2345" stopIfTrue="1" operator="containsText" text="INSERIR">
      <formula>NOT(ISERROR(SEARCH("INSERIR",W1978)))</formula>
    </cfRule>
  </conditionalFormatting>
  <conditionalFormatting sqref="V1977">
    <cfRule type="expression" dxfId="2066" priority="2337" stopIfTrue="1">
      <formula>$B1977="insumo"</formula>
    </cfRule>
  </conditionalFormatting>
  <conditionalFormatting sqref="T1977:U1977 AA1977">
    <cfRule type="expression" dxfId="2065" priority="2336" stopIfTrue="1">
      <formula>$B1977="SERVIÇO"</formula>
    </cfRule>
  </conditionalFormatting>
  <conditionalFormatting sqref="A1977:E1977 AE1977:AF1977 G1977:AC1977">
    <cfRule type="expression" dxfId="2064" priority="2338">
      <formula>$B1977="Unidade Construtiva"</formula>
    </cfRule>
    <cfRule type="expression" dxfId="2063" priority="2339">
      <formula>$B1977="Serviço"</formula>
    </cfRule>
    <cfRule type="expression" dxfId="2062" priority="2340">
      <formula>$B1977="Insumo"</formula>
    </cfRule>
    <cfRule type="expression" dxfId="2061" priority="2341">
      <formula>$B1977="Etapa"</formula>
    </cfRule>
    <cfRule type="expression" dxfId="2060" priority="2342">
      <formula>$B1977="Célula Construtiva"</formula>
    </cfRule>
    <cfRule type="expression" dxfId="2059" priority="2343">
      <formula>$B1977="Subetapa"</formula>
    </cfRule>
  </conditionalFormatting>
  <conditionalFormatting sqref="T1977">
    <cfRule type="expression" dxfId="2058" priority="2335" stopIfTrue="1">
      <formula>$B1977="INSUMO"</formula>
    </cfRule>
  </conditionalFormatting>
  <conditionalFormatting sqref="W1977">
    <cfRule type="containsText" dxfId="2057" priority="2334" stopIfTrue="1" operator="containsText" text="INSERIR">
      <formula>NOT(ISERROR(SEARCH("INSERIR",W1977)))</formula>
    </cfRule>
  </conditionalFormatting>
  <conditionalFormatting sqref="V1979">
    <cfRule type="expression" dxfId="2056" priority="2326" stopIfTrue="1">
      <formula>$B1979="insumo"</formula>
    </cfRule>
  </conditionalFormatting>
  <conditionalFormatting sqref="T1979:U1979 AA1979">
    <cfRule type="expression" dxfId="2055" priority="2325" stopIfTrue="1">
      <formula>$B1979="SERVIÇO"</formula>
    </cfRule>
  </conditionalFormatting>
  <conditionalFormatting sqref="A1979:E1979 AE1979:AF1979 G1979:AC1979">
    <cfRule type="expression" dxfId="2054" priority="2327">
      <formula>$B1979="Unidade Construtiva"</formula>
    </cfRule>
    <cfRule type="expression" dxfId="2053" priority="2328">
      <formula>$B1979="Serviço"</formula>
    </cfRule>
    <cfRule type="expression" dxfId="2052" priority="2329">
      <formula>$B1979="Insumo"</formula>
    </cfRule>
    <cfRule type="expression" dxfId="2051" priority="2330">
      <formula>$B1979="Etapa"</formula>
    </cfRule>
    <cfRule type="expression" dxfId="2050" priority="2331">
      <formula>$B1979="Célula Construtiva"</formula>
    </cfRule>
    <cfRule type="expression" dxfId="2049" priority="2332">
      <formula>$B1979="Subetapa"</formula>
    </cfRule>
  </conditionalFormatting>
  <conditionalFormatting sqref="T1979">
    <cfRule type="expression" dxfId="2048" priority="2324" stopIfTrue="1">
      <formula>$B1979="INSUMO"</formula>
    </cfRule>
  </conditionalFormatting>
  <conditionalFormatting sqref="W1979">
    <cfRule type="containsText" dxfId="2047" priority="2323" stopIfTrue="1" operator="containsText" text="INSERIR">
      <formula>NOT(ISERROR(SEARCH("INSERIR",W1979)))</formula>
    </cfRule>
  </conditionalFormatting>
  <conditionalFormatting sqref="V1980">
    <cfRule type="expression" dxfId="2046" priority="2315" stopIfTrue="1">
      <formula>$B1980="insumo"</formula>
    </cfRule>
  </conditionalFormatting>
  <conditionalFormatting sqref="T1980:U1980 AA1980">
    <cfRule type="expression" dxfId="2045" priority="2314" stopIfTrue="1">
      <formula>$B1980="SERVIÇO"</formula>
    </cfRule>
  </conditionalFormatting>
  <conditionalFormatting sqref="A1980:E1980 AE1980:AF1980 G1980:AC1980">
    <cfRule type="expression" dxfId="2044" priority="2316">
      <formula>$B1980="Unidade Construtiva"</formula>
    </cfRule>
    <cfRule type="expression" dxfId="2043" priority="2317">
      <formula>$B1980="Serviço"</formula>
    </cfRule>
    <cfRule type="expression" dxfId="2042" priority="2318">
      <formula>$B1980="Insumo"</formula>
    </cfRule>
    <cfRule type="expression" dxfId="2041" priority="2319">
      <formula>$B1980="Etapa"</formula>
    </cfRule>
    <cfRule type="expression" dxfId="2040" priority="2320">
      <formula>$B1980="Célula Construtiva"</formula>
    </cfRule>
    <cfRule type="expression" dxfId="2039" priority="2321">
      <formula>$B1980="Subetapa"</formula>
    </cfRule>
  </conditionalFormatting>
  <conditionalFormatting sqref="T1980">
    <cfRule type="expression" dxfId="2038" priority="2313" stopIfTrue="1">
      <formula>$B1980="INSUMO"</formula>
    </cfRule>
  </conditionalFormatting>
  <conditionalFormatting sqref="W1980">
    <cfRule type="containsText" dxfId="2037" priority="2312" stopIfTrue="1" operator="containsText" text="INSERIR">
      <formula>NOT(ISERROR(SEARCH("INSERIR",W1980)))</formula>
    </cfRule>
  </conditionalFormatting>
  <conditionalFormatting sqref="T1994:U1994 T2007:U2007">
    <cfRule type="expression" dxfId="2036" priority="2302" stopIfTrue="1">
      <formula>$B1994="SERVIÇO"</formula>
    </cfRule>
  </conditionalFormatting>
  <conditionalFormatting sqref="A1994:E1994 T2007:U2007 W2007:Z2007 G1994:AC1994">
    <cfRule type="expression" dxfId="2035" priority="2304">
      <formula>$B1994="Unidade Construtiva"</formula>
    </cfRule>
    <cfRule type="expression" dxfId="2034" priority="2305">
      <formula>$B1994="Serviço"</formula>
    </cfRule>
    <cfRule type="expression" dxfId="2033" priority="2306">
      <formula>$B1994="Insumo"</formula>
    </cfRule>
    <cfRule type="expression" dxfId="2032" priority="2307">
      <formula>$B1994="Etapa"</formula>
    </cfRule>
    <cfRule type="expression" dxfId="2031" priority="2308">
      <formula>$B1994="Célula Construtiva"</formula>
    </cfRule>
    <cfRule type="expression" dxfId="2030" priority="2309">
      <formula>$B1994="Subetapa"</formula>
    </cfRule>
  </conditionalFormatting>
  <conditionalFormatting sqref="T1994 T2007">
    <cfRule type="expression" dxfId="2029" priority="2301" stopIfTrue="1">
      <formula>$B1994="INSUMO"</formula>
    </cfRule>
  </conditionalFormatting>
  <conditionalFormatting sqref="W2007">
    <cfRule type="containsText" dxfId="2028" priority="2300" stopIfTrue="1" operator="containsText" text="INSERIR">
      <formula>NOT(ISERROR(SEARCH("INSERIR",W2007)))</formula>
    </cfRule>
  </conditionalFormatting>
  <conditionalFormatting sqref="T2005:U2005 T1995:U1995">
    <cfRule type="expression" dxfId="2027" priority="2291" stopIfTrue="1">
      <formula>$B1995="SERVIÇO"</formula>
    </cfRule>
  </conditionalFormatting>
  <conditionalFormatting sqref="A2005:E2005 A1995:E1995 G1995:AC1995 G2005:AC2005">
    <cfRule type="expression" dxfId="2026" priority="2293">
      <formula>$B1995="Unidade Construtiva"</formula>
    </cfRule>
    <cfRule type="expression" dxfId="2025" priority="2294">
      <formula>$B1995="Serviço"</formula>
    </cfRule>
    <cfRule type="expression" dxfId="2024" priority="2295">
      <formula>$B1995="Insumo"</formula>
    </cfRule>
    <cfRule type="expression" dxfId="2023" priority="2296">
      <formula>$B1995="Etapa"</formula>
    </cfRule>
    <cfRule type="expression" dxfId="2022" priority="2297">
      <formula>$B1995="Célula Construtiva"</formula>
    </cfRule>
    <cfRule type="expression" dxfId="2021" priority="2298">
      <formula>$B1995="Subetapa"</formula>
    </cfRule>
  </conditionalFormatting>
  <conditionalFormatting sqref="T1995">
    <cfRule type="expression" dxfId="2020" priority="2290" stopIfTrue="1">
      <formula>$B1995="INSUMO"</formula>
    </cfRule>
  </conditionalFormatting>
  <conditionalFormatting sqref="W2005">
    <cfRule type="containsText" dxfId="2019" priority="2289" stopIfTrue="1" operator="containsText" text="INSERIR">
      <formula>NOT(ISERROR(SEARCH("INSERIR",W2005)))</formula>
    </cfRule>
  </conditionalFormatting>
  <conditionalFormatting sqref="V2006:V2007">
    <cfRule type="expression" dxfId="2018" priority="2274" stopIfTrue="1">
      <formula>$B2006="insumo"</formula>
    </cfRule>
  </conditionalFormatting>
  <conditionalFormatting sqref="AA2006:AA2007 T2006">
    <cfRule type="expression" dxfId="2017" priority="2273" stopIfTrue="1">
      <formula>$B2006="SERVIÇO"</formula>
    </cfRule>
  </conditionalFormatting>
  <conditionalFormatting sqref="AE2006:AF2007 A2006:E2007 V2007 AA2007:AC2007 V2006:AC2006 G2007:S2007 G2006:T2006">
    <cfRule type="expression" dxfId="2016" priority="2275">
      <formula>$B2006="Unidade Construtiva"</formula>
    </cfRule>
    <cfRule type="expression" dxfId="2015" priority="2276">
      <formula>$B2006="Serviço"</formula>
    </cfRule>
    <cfRule type="expression" dxfId="2014" priority="2277">
      <formula>$B2006="Insumo"</formula>
    </cfRule>
    <cfRule type="expression" dxfId="2013" priority="2278">
      <formula>$B2006="Etapa"</formula>
    </cfRule>
    <cfRule type="expression" dxfId="2012" priority="2279">
      <formula>$B2006="Célula Construtiva"</formula>
    </cfRule>
    <cfRule type="expression" dxfId="2011" priority="2280">
      <formula>$B2006="Subetapa"</formula>
    </cfRule>
  </conditionalFormatting>
  <conditionalFormatting sqref="T2006">
    <cfRule type="expression" dxfId="2010" priority="2272" stopIfTrue="1">
      <formula>$B2006="INSUMO"</formula>
    </cfRule>
  </conditionalFormatting>
  <conditionalFormatting sqref="W2006">
    <cfRule type="containsText" dxfId="2009" priority="2271" stopIfTrue="1" operator="containsText" text="INSERIR">
      <formula>NOT(ISERROR(SEARCH("INSERIR",W2006)))</formula>
    </cfRule>
  </conditionalFormatting>
  <conditionalFormatting sqref="U2006">
    <cfRule type="expression" dxfId="2008" priority="2243" stopIfTrue="1">
      <formula>$B2006="SERVIÇO"</formula>
    </cfRule>
  </conditionalFormatting>
  <conditionalFormatting sqref="U2006">
    <cfRule type="expression" dxfId="2007" priority="2244">
      <formula>$B2006="Unidade Construtiva"</formula>
    </cfRule>
    <cfRule type="expression" dxfId="2006" priority="2245">
      <formula>$B2006="Serviço"</formula>
    </cfRule>
    <cfRule type="expression" dxfId="2005" priority="2246">
      <formula>$B2006="Insumo"</formula>
    </cfRule>
    <cfRule type="expression" dxfId="2004" priority="2247">
      <formula>$B2006="Etapa"</formula>
    </cfRule>
    <cfRule type="expression" dxfId="2003" priority="2248">
      <formula>$B2006="Célula Construtiva"</formula>
    </cfRule>
    <cfRule type="expression" dxfId="2002" priority="2249">
      <formula>$B2006="Subetapa"</formula>
    </cfRule>
  </conditionalFormatting>
  <conditionalFormatting sqref="V1996 V1998:V2001">
    <cfRule type="expression" dxfId="2001" priority="2234" stopIfTrue="1">
      <formula>$B1996="insumo"</formula>
    </cfRule>
  </conditionalFormatting>
  <conditionalFormatting sqref="AA1996 T1998:U2001 AA1998:AA2001">
    <cfRule type="expression" dxfId="2000" priority="2233" stopIfTrue="1">
      <formula>$B1996="SERVIÇO"</formula>
    </cfRule>
  </conditionalFormatting>
  <conditionalFormatting sqref="A1999:E2001 V1999:W2001 AE1996:AF1996 T1998:U2001 AA1999:AC2001 W1998 X1998:Z2001 AE1998:AF2001 G1999:S2001">
    <cfRule type="expression" dxfId="1999" priority="2235">
      <formula>$B1996="Unidade Construtiva"</formula>
    </cfRule>
    <cfRule type="expression" dxfId="1998" priority="2236">
      <formula>$B1996="Serviço"</formula>
    </cfRule>
    <cfRule type="expression" dxfId="1997" priority="2237">
      <formula>$B1996="Insumo"</formula>
    </cfRule>
    <cfRule type="expression" dxfId="1996" priority="2238">
      <formula>$B1996="Etapa"</formula>
    </cfRule>
    <cfRule type="expression" dxfId="1995" priority="2239">
      <formula>$B1996="Célula Construtiva"</formula>
    </cfRule>
    <cfRule type="expression" dxfId="1994" priority="2240">
      <formula>$B1996="Subetapa"</formula>
    </cfRule>
  </conditionalFormatting>
  <conditionalFormatting sqref="T1998:T2001">
    <cfRule type="expression" dxfId="1993" priority="2232" stopIfTrue="1">
      <formula>$B1998="INSUMO"</formula>
    </cfRule>
  </conditionalFormatting>
  <conditionalFormatting sqref="W1996 W1998:W2001">
    <cfRule type="containsText" dxfId="1992" priority="2231" stopIfTrue="1" operator="containsText" text="INSERIR">
      <formula>NOT(ISERROR(SEARCH("INSERIR",W1996)))</formula>
    </cfRule>
  </conditionalFormatting>
  <conditionalFormatting sqref="U1996">
    <cfRule type="expression" dxfId="1991" priority="2223" stopIfTrue="1">
      <formula>$B1996="SERVIÇO"</formula>
    </cfRule>
  </conditionalFormatting>
  <conditionalFormatting sqref="A1998:E1998 V1998:W1998 AA1998:AC1998 A1996:E1996 U1996:AC1996 G1996:S1996 G1998:S1998">
    <cfRule type="expression" dxfId="1990" priority="2224">
      <formula>$B1996="Unidade Construtiva"</formula>
    </cfRule>
    <cfRule type="expression" dxfId="1989" priority="2225">
      <formula>$B1996="Serviço"</formula>
    </cfRule>
    <cfRule type="expression" dxfId="1988" priority="2226">
      <formula>$B1996="Insumo"</formula>
    </cfRule>
    <cfRule type="expression" dxfId="1987" priority="2227">
      <formula>$B1996="Etapa"</formula>
    </cfRule>
    <cfRule type="expression" dxfId="1986" priority="2228">
      <formula>$B1996="Célula Construtiva"</formula>
    </cfRule>
    <cfRule type="expression" dxfId="1985" priority="2229">
      <formula>$B1996="Subetapa"</formula>
    </cfRule>
  </conditionalFormatting>
  <conditionalFormatting sqref="V1997">
    <cfRule type="expression" dxfId="1984" priority="2216" stopIfTrue="1">
      <formula>$B1997="insumo"</formula>
    </cfRule>
  </conditionalFormatting>
  <conditionalFormatting sqref="AA1997 T1997:U1997">
    <cfRule type="expression" dxfId="1983" priority="2215" stopIfTrue="1">
      <formula>$B1997="SERVIÇO"</formula>
    </cfRule>
  </conditionalFormatting>
  <conditionalFormatting sqref="AE1997:AF1997 T1997:U1997 W1997:Z1997">
    <cfRule type="expression" dxfId="1982" priority="2217">
      <formula>$B1997="Unidade Construtiva"</formula>
    </cfRule>
    <cfRule type="expression" dxfId="1981" priority="2218">
      <formula>$B1997="Serviço"</formula>
    </cfRule>
    <cfRule type="expression" dxfId="1980" priority="2219">
      <formula>$B1997="Insumo"</formula>
    </cfRule>
    <cfRule type="expression" dxfId="1979" priority="2220">
      <formula>$B1997="Etapa"</formula>
    </cfRule>
    <cfRule type="expression" dxfId="1978" priority="2221">
      <formula>$B1997="Célula Construtiva"</formula>
    </cfRule>
    <cfRule type="expression" dxfId="1977" priority="2222">
      <formula>$B1997="Subetapa"</formula>
    </cfRule>
  </conditionalFormatting>
  <conditionalFormatting sqref="T1997">
    <cfRule type="expression" dxfId="1976" priority="2214" stopIfTrue="1">
      <formula>$B1997="INSUMO"</formula>
    </cfRule>
  </conditionalFormatting>
  <conditionalFormatting sqref="W1997">
    <cfRule type="containsText" dxfId="1975" priority="2213" stopIfTrue="1" operator="containsText" text="INSERIR">
      <formula>NOT(ISERROR(SEARCH("INSERIR",W1997)))</formula>
    </cfRule>
  </conditionalFormatting>
  <conditionalFormatting sqref="A1997:E1997 V1997:W1997 AA1997:AC1997 G1997:S1997">
    <cfRule type="expression" dxfId="1974" priority="2206">
      <formula>$B1997="Unidade Construtiva"</formula>
    </cfRule>
    <cfRule type="expression" dxfId="1973" priority="2207">
      <formula>$B1997="Serviço"</formula>
    </cfRule>
    <cfRule type="expression" dxfId="1972" priority="2208">
      <formula>$B1997="Insumo"</formula>
    </cfRule>
    <cfRule type="expression" dxfId="1971" priority="2209">
      <formula>$B1997="Etapa"</formula>
    </cfRule>
    <cfRule type="expression" dxfId="1970" priority="2210">
      <formula>$B1997="Célula Construtiva"</formula>
    </cfRule>
    <cfRule type="expression" dxfId="1969" priority="2211">
      <formula>$B1997="Subetapa"</formula>
    </cfRule>
  </conditionalFormatting>
  <conditionalFormatting sqref="V2003">
    <cfRule type="expression" dxfId="1968" priority="2198" stopIfTrue="1">
      <formula>$B2003="insumo"</formula>
    </cfRule>
  </conditionalFormatting>
  <conditionalFormatting sqref="T2003:U2003 AA2003">
    <cfRule type="expression" dxfId="1967" priority="2197" stopIfTrue="1">
      <formula>$B2003="SERVIÇO"</formula>
    </cfRule>
  </conditionalFormatting>
  <conditionalFormatting sqref="A2003:E2003 AE2003:AF2003 G2003:AC2003">
    <cfRule type="expression" dxfId="1966" priority="2199">
      <formula>$B2003="Unidade Construtiva"</formula>
    </cfRule>
    <cfRule type="expression" dxfId="1965" priority="2200">
      <formula>$B2003="Serviço"</formula>
    </cfRule>
    <cfRule type="expression" dxfId="1964" priority="2201">
      <formula>$B2003="Insumo"</formula>
    </cfRule>
    <cfRule type="expression" dxfId="1963" priority="2202">
      <formula>$B2003="Etapa"</formula>
    </cfRule>
    <cfRule type="expression" dxfId="1962" priority="2203">
      <formula>$B2003="Célula Construtiva"</formula>
    </cfRule>
    <cfRule type="expression" dxfId="1961" priority="2204">
      <formula>$B2003="Subetapa"</formula>
    </cfRule>
  </conditionalFormatting>
  <conditionalFormatting sqref="T2003">
    <cfRule type="expression" dxfId="1960" priority="2196" stopIfTrue="1">
      <formula>$B2003="INSUMO"</formula>
    </cfRule>
  </conditionalFormatting>
  <conditionalFormatting sqref="W2003">
    <cfRule type="containsText" dxfId="1959" priority="2195" stopIfTrue="1" operator="containsText" text="INSERIR">
      <formula>NOT(ISERROR(SEARCH("INSERIR",W2003)))</formula>
    </cfRule>
  </conditionalFormatting>
  <conditionalFormatting sqref="V2002">
    <cfRule type="expression" dxfId="1958" priority="2187" stopIfTrue="1">
      <formula>$B2002="insumo"</formula>
    </cfRule>
  </conditionalFormatting>
  <conditionalFormatting sqref="T2002:U2002 AA2002">
    <cfRule type="expression" dxfId="1957" priority="2186" stopIfTrue="1">
      <formula>$B2002="SERVIÇO"</formula>
    </cfRule>
  </conditionalFormatting>
  <conditionalFormatting sqref="A2002:E2002 AE2002:AF2002 G2002:AC2002">
    <cfRule type="expression" dxfId="1956" priority="2188">
      <formula>$B2002="Unidade Construtiva"</formula>
    </cfRule>
    <cfRule type="expression" dxfId="1955" priority="2189">
      <formula>$B2002="Serviço"</formula>
    </cfRule>
    <cfRule type="expression" dxfId="1954" priority="2190">
      <formula>$B2002="Insumo"</formula>
    </cfRule>
    <cfRule type="expression" dxfId="1953" priority="2191">
      <formula>$B2002="Etapa"</formula>
    </cfRule>
    <cfRule type="expression" dxfId="1952" priority="2192">
      <formula>$B2002="Célula Construtiva"</formula>
    </cfRule>
    <cfRule type="expression" dxfId="1951" priority="2193">
      <formula>$B2002="Subetapa"</formula>
    </cfRule>
  </conditionalFormatting>
  <conditionalFormatting sqref="T2002">
    <cfRule type="expression" dxfId="1950" priority="2185" stopIfTrue="1">
      <formula>$B2002="INSUMO"</formula>
    </cfRule>
  </conditionalFormatting>
  <conditionalFormatting sqref="W2002">
    <cfRule type="containsText" dxfId="1949" priority="2184" stopIfTrue="1" operator="containsText" text="INSERIR">
      <formula>NOT(ISERROR(SEARCH("INSERIR",W2002)))</formula>
    </cfRule>
  </conditionalFormatting>
  <conditionalFormatting sqref="V2004">
    <cfRule type="expression" dxfId="1948" priority="2176" stopIfTrue="1">
      <formula>$B2004="insumo"</formula>
    </cfRule>
  </conditionalFormatting>
  <conditionalFormatting sqref="T2004:U2004 AA2004">
    <cfRule type="expression" dxfId="1947" priority="2175" stopIfTrue="1">
      <formula>$B2004="SERVIÇO"</formula>
    </cfRule>
  </conditionalFormatting>
  <conditionalFormatting sqref="A2004:E2004 AE2004:AF2004 G2004:AC2004">
    <cfRule type="expression" dxfId="1946" priority="2177">
      <formula>$B2004="Unidade Construtiva"</formula>
    </cfRule>
    <cfRule type="expression" dxfId="1945" priority="2178">
      <formula>$B2004="Serviço"</formula>
    </cfRule>
    <cfRule type="expression" dxfId="1944" priority="2179">
      <formula>$B2004="Insumo"</formula>
    </cfRule>
    <cfRule type="expression" dxfId="1943" priority="2180">
      <formula>$B2004="Etapa"</formula>
    </cfRule>
    <cfRule type="expression" dxfId="1942" priority="2181">
      <formula>$B2004="Célula Construtiva"</formula>
    </cfRule>
    <cfRule type="expression" dxfId="1941" priority="2182">
      <formula>$B2004="Subetapa"</formula>
    </cfRule>
  </conditionalFormatting>
  <conditionalFormatting sqref="T2004">
    <cfRule type="expression" dxfId="1940" priority="2174" stopIfTrue="1">
      <formula>$B2004="INSUMO"</formula>
    </cfRule>
  </conditionalFormatting>
  <conditionalFormatting sqref="W2004">
    <cfRule type="containsText" dxfId="1939" priority="2173" stopIfTrue="1" operator="containsText" text="INSERIR">
      <formula>NOT(ISERROR(SEARCH("INSERIR",W2004)))</formula>
    </cfRule>
  </conditionalFormatting>
  <conditionalFormatting sqref="T1996">
    <cfRule type="expression" dxfId="1938" priority="2166" stopIfTrue="1">
      <formula>$B1996="SERVIÇO"</formula>
    </cfRule>
  </conditionalFormatting>
  <conditionalFormatting sqref="T1996">
    <cfRule type="expression" dxfId="1937" priority="2167">
      <formula>$B1996="Unidade Construtiva"</formula>
    </cfRule>
    <cfRule type="expression" dxfId="1936" priority="2168">
      <formula>$B1996="Serviço"</formula>
    </cfRule>
    <cfRule type="expression" dxfId="1935" priority="2169">
      <formula>$B1996="Insumo"</formula>
    </cfRule>
    <cfRule type="expression" dxfId="1934" priority="2170">
      <formula>$B1996="Etapa"</formula>
    </cfRule>
    <cfRule type="expression" dxfId="1933" priority="2171">
      <formula>$B1996="Célula Construtiva"</formula>
    </cfRule>
    <cfRule type="expression" dxfId="1932" priority="2172">
      <formula>$B1996="Subetapa"</formula>
    </cfRule>
  </conditionalFormatting>
  <conditionalFormatting sqref="T1996">
    <cfRule type="expression" dxfId="1931" priority="2165" stopIfTrue="1">
      <formula>$B1996="INSUMO"</formula>
    </cfRule>
  </conditionalFormatting>
  <conditionalFormatting sqref="V2012:V2015 V2047 V2049 V2029:V2030 V2024:V2027 V2032:V2033">
    <cfRule type="expression" dxfId="1930" priority="2156" stopIfTrue="1">
      <formula>$B2012="insumo"</formula>
    </cfRule>
  </conditionalFormatting>
  <conditionalFormatting sqref="T2008:U2008 T2012:U2015 T2060:U2060 AA2012:AA2015 AA2047 T2047:U2047 T2049:U2049 AA2049 T2029:U2030 T2024:U2027 AA2029:AA2030 AA2024:AA2027 AA2032:AA2033 T2032:U2033">
    <cfRule type="expression" dxfId="1929" priority="2155" stopIfTrue="1">
      <formula>$B2008="SERVIÇO"</formula>
    </cfRule>
  </conditionalFormatting>
  <conditionalFormatting sqref="A2008:E2008 A2013:E2015 V2013:W2015 T2012:U2015 T2060:U2060 AA2013:AC2015 W2012 X2012:Z2015 W2060:Z2060 AE2012:AF2015 A2047:E2047 AE2047:AF2047 AE2049:AF2049 A2049:E2049 AE2029:AF2030 AE2024:AF2027 A2029:E2030 A2024:E2027 A2032:E2033 AE2032:AF2033 G2032:AC2033 G2024:AC2027 G2029:AC2030 G2049:AC2049 G2047:AC2047 G2013:S2015 G2008:AC2008">
    <cfRule type="expression" dxfId="1928" priority="2157">
      <formula>$B2008="Unidade Construtiva"</formula>
    </cfRule>
    <cfRule type="expression" dxfId="1927" priority="2158">
      <formula>$B2008="Serviço"</formula>
    </cfRule>
    <cfRule type="expression" dxfId="1926" priority="2159">
      <formula>$B2008="Insumo"</formula>
    </cfRule>
    <cfRule type="expression" dxfId="1925" priority="2160">
      <formula>$B2008="Etapa"</formula>
    </cfRule>
    <cfRule type="expression" dxfId="1924" priority="2161">
      <formula>$B2008="Célula Construtiva"</formula>
    </cfRule>
    <cfRule type="expression" dxfId="1923" priority="2162">
      <formula>$B2008="Subetapa"</formula>
    </cfRule>
  </conditionalFormatting>
  <conditionalFormatting sqref="T2008 T2012:T2015 T2060 T2047 T2049 T2029:T2030 T2024:T2027 T2032:T2033">
    <cfRule type="expression" dxfId="1922" priority="2154" stopIfTrue="1">
      <formula>$B2008="INSUMO"</formula>
    </cfRule>
  </conditionalFormatting>
  <conditionalFormatting sqref="W2060 W2012:W2015 W2047 W2049 W2029:W2030 W2024:W2027 W2032:W2033">
    <cfRule type="containsText" dxfId="1921" priority="2153" stopIfTrue="1" operator="containsText" text="INSERIR">
      <formula>NOT(ISERROR(SEARCH("INSERIR",W2012)))</formula>
    </cfRule>
  </conditionalFormatting>
  <conditionalFormatting sqref="T2058:U2058 T2009:U2009 U2010">
    <cfRule type="expression" dxfId="1920" priority="2144" stopIfTrue="1">
      <formula>$B2009="SERVIÇO"</formula>
    </cfRule>
  </conditionalFormatting>
  <conditionalFormatting sqref="A2058:E2058 A2012:E2012 V2012:W2012 AA2012:AC2012 A2009:E2010 U2010:AC2010 G2010:S2010 G2012:S2012 G2009:AC2009 G2058:AC2058">
    <cfRule type="expression" dxfId="1919" priority="2146">
      <formula>$B2009="Unidade Construtiva"</formula>
    </cfRule>
    <cfRule type="expression" dxfId="1918" priority="2147">
      <formula>$B2009="Serviço"</formula>
    </cfRule>
    <cfRule type="expression" dxfId="1917" priority="2148">
      <formula>$B2009="Insumo"</formula>
    </cfRule>
    <cfRule type="expression" dxfId="1916" priority="2149">
      <formula>$B2009="Etapa"</formula>
    </cfRule>
    <cfRule type="expression" dxfId="1915" priority="2150">
      <formula>$B2009="Célula Construtiva"</formula>
    </cfRule>
    <cfRule type="expression" dxfId="1914" priority="2151">
      <formula>$B2009="Subetapa"</formula>
    </cfRule>
  </conditionalFormatting>
  <conditionalFormatting sqref="T2009">
    <cfRule type="expression" dxfId="1913" priority="2143" stopIfTrue="1">
      <formula>$B2009="INSUMO"</formula>
    </cfRule>
  </conditionalFormatting>
  <conditionalFormatting sqref="W2058">
    <cfRule type="containsText" dxfId="1912" priority="2142" stopIfTrue="1" operator="containsText" text="INSERIR">
      <formula>NOT(ISERROR(SEARCH("INSERIR",W2058)))</formula>
    </cfRule>
  </conditionalFormatting>
  <conditionalFormatting sqref="V2059:V2060">
    <cfRule type="expression" dxfId="1911" priority="2127" stopIfTrue="1">
      <formula>$B2059="insumo"</formula>
    </cfRule>
  </conditionalFormatting>
  <conditionalFormatting sqref="AA2059:AA2060 T2059">
    <cfRule type="expression" dxfId="1910" priority="2126" stopIfTrue="1">
      <formula>$B2059="SERVIÇO"</formula>
    </cfRule>
  </conditionalFormatting>
  <conditionalFormatting sqref="AE2059:AF2060 A2059:E2060 V2060 AA2060:AC2060 V2059:AC2059 G2060:S2060 G2059:T2059">
    <cfRule type="expression" dxfId="1909" priority="2128">
      <formula>$B2059="Unidade Construtiva"</formula>
    </cfRule>
    <cfRule type="expression" dxfId="1908" priority="2129">
      <formula>$B2059="Serviço"</formula>
    </cfRule>
    <cfRule type="expression" dxfId="1907" priority="2130">
      <formula>$B2059="Insumo"</formula>
    </cfRule>
    <cfRule type="expression" dxfId="1906" priority="2131">
      <formula>$B2059="Etapa"</formula>
    </cfRule>
    <cfRule type="expression" dxfId="1905" priority="2132">
      <formula>$B2059="Célula Construtiva"</formula>
    </cfRule>
    <cfRule type="expression" dxfId="1904" priority="2133">
      <formula>$B2059="Subetapa"</formula>
    </cfRule>
  </conditionalFormatting>
  <conditionalFormatting sqref="T2059">
    <cfRule type="expression" dxfId="1903" priority="2125" stopIfTrue="1">
      <formula>$B2059="INSUMO"</formula>
    </cfRule>
  </conditionalFormatting>
  <conditionalFormatting sqref="W2059">
    <cfRule type="containsText" dxfId="1902" priority="2124" stopIfTrue="1" operator="containsText" text="INSERIR">
      <formula>NOT(ISERROR(SEARCH("INSERIR",W2059)))</formula>
    </cfRule>
  </conditionalFormatting>
  <conditionalFormatting sqref="U2059">
    <cfRule type="expression" dxfId="1901" priority="2096" stopIfTrue="1">
      <formula>$B2059="SERVIÇO"</formula>
    </cfRule>
  </conditionalFormatting>
  <conditionalFormatting sqref="U2059">
    <cfRule type="expression" dxfId="1900" priority="2097">
      <formula>$B2059="Unidade Construtiva"</formula>
    </cfRule>
    <cfRule type="expression" dxfId="1899" priority="2098">
      <formula>$B2059="Serviço"</formula>
    </cfRule>
    <cfRule type="expression" dxfId="1898" priority="2099">
      <formula>$B2059="Insumo"</formula>
    </cfRule>
    <cfRule type="expression" dxfId="1897" priority="2100">
      <formula>$B2059="Etapa"</formula>
    </cfRule>
    <cfRule type="expression" dxfId="1896" priority="2101">
      <formula>$B2059="Célula Construtiva"</formula>
    </cfRule>
    <cfRule type="expression" dxfId="1895" priority="2102">
      <formula>$B2059="Subetapa"</formula>
    </cfRule>
  </conditionalFormatting>
  <conditionalFormatting sqref="V2019">
    <cfRule type="expression" dxfId="1894" priority="2089" stopIfTrue="1">
      <formula>$B2019="insumo"</formula>
    </cfRule>
  </conditionalFormatting>
  <conditionalFormatting sqref="AA2019">
    <cfRule type="expression" dxfId="1893" priority="2088" stopIfTrue="1">
      <formula>$B2019="SERVIÇO"</formula>
    </cfRule>
  </conditionalFormatting>
  <conditionalFormatting sqref="AE2019:AF2019">
    <cfRule type="expression" dxfId="1892" priority="2090">
      <formula>$B2019="Unidade Construtiva"</formula>
    </cfRule>
    <cfRule type="expression" dxfId="1891" priority="2091">
      <formula>$B2019="Serviço"</formula>
    </cfRule>
    <cfRule type="expression" dxfId="1890" priority="2092">
      <formula>$B2019="Insumo"</formula>
    </cfRule>
    <cfRule type="expression" dxfId="1889" priority="2093">
      <formula>$B2019="Etapa"</formula>
    </cfRule>
    <cfRule type="expression" dxfId="1888" priority="2094">
      <formula>$B2019="Célula Construtiva"</formula>
    </cfRule>
    <cfRule type="expression" dxfId="1887" priority="2095">
      <formula>$B2019="Subetapa"</formula>
    </cfRule>
  </conditionalFormatting>
  <conditionalFormatting sqref="W2019">
    <cfRule type="containsText" dxfId="1886" priority="2087" stopIfTrue="1" operator="containsText" text="INSERIR">
      <formula>NOT(ISERROR(SEARCH("INSERIR",W2019)))</formula>
    </cfRule>
  </conditionalFormatting>
  <conditionalFormatting sqref="T2019:U2019">
    <cfRule type="expression" dxfId="1885" priority="2079" stopIfTrue="1">
      <formula>$B2019="SERVIÇO"</formula>
    </cfRule>
  </conditionalFormatting>
  <conditionalFormatting sqref="A2019:E2019 G2019:AC2019">
    <cfRule type="expression" dxfId="1884" priority="2080">
      <formula>$B2019="Unidade Construtiva"</formula>
    </cfRule>
    <cfRule type="expression" dxfId="1883" priority="2081">
      <formula>$B2019="Serviço"</formula>
    </cfRule>
    <cfRule type="expression" dxfId="1882" priority="2082">
      <formula>$B2019="Insumo"</formula>
    </cfRule>
    <cfRule type="expression" dxfId="1881" priority="2083">
      <formula>$B2019="Etapa"</formula>
    </cfRule>
    <cfRule type="expression" dxfId="1880" priority="2084">
      <formula>$B2019="Célula Construtiva"</formula>
    </cfRule>
    <cfRule type="expression" dxfId="1879" priority="2085">
      <formula>$B2019="Subetapa"</formula>
    </cfRule>
  </conditionalFormatting>
  <conditionalFormatting sqref="T2019">
    <cfRule type="expression" dxfId="1878" priority="2078" stopIfTrue="1">
      <formula>$B2019="INSUMO"</formula>
    </cfRule>
  </conditionalFormatting>
  <conditionalFormatting sqref="V2011">
    <cfRule type="expression" dxfId="1877" priority="2071" stopIfTrue="1">
      <formula>$B2011="insumo"</formula>
    </cfRule>
  </conditionalFormatting>
  <conditionalFormatting sqref="AA2011 T2011:U2011">
    <cfRule type="expression" dxfId="1876" priority="2070" stopIfTrue="1">
      <formula>$B2011="SERVIÇO"</formula>
    </cfRule>
  </conditionalFormatting>
  <conditionalFormatting sqref="AE2011:AF2011 T2011:U2011 W2011:Z2011">
    <cfRule type="expression" dxfId="1875" priority="2072">
      <formula>$B2011="Unidade Construtiva"</formula>
    </cfRule>
    <cfRule type="expression" dxfId="1874" priority="2073">
      <formula>$B2011="Serviço"</formula>
    </cfRule>
    <cfRule type="expression" dxfId="1873" priority="2074">
      <formula>$B2011="Insumo"</formula>
    </cfRule>
    <cfRule type="expression" dxfId="1872" priority="2075">
      <formula>$B2011="Etapa"</formula>
    </cfRule>
    <cfRule type="expression" dxfId="1871" priority="2076">
      <formula>$B2011="Célula Construtiva"</formula>
    </cfRule>
    <cfRule type="expression" dxfId="1870" priority="2077">
      <formula>$B2011="Subetapa"</formula>
    </cfRule>
  </conditionalFormatting>
  <conditionalFormatting sqref="T2011">
    <cfRule type="expression" dxfId="1869" priority="2069" stopIfTrue="1">
      <formula>$B2011="INSUMO"</formula>
    </cfRule>
  </conditionalFormatting>
  <conditionalFormatting sqref="W2011">
    <cfRule type="containsText" dxfId="1868" priority="2068" stopIfTrue="1" operator="containsText" text="INSERIR">
      <formula>NOT(ISERROR(SEARCH("INSERIR",W2011)))</formula>
    </cfRule>
  </conditionalFormatting>
  <conditionalFormatting sqref="A2011:E2011 V2011:W2011 AA2011:AC2011 G2011:S2011">
    <cfRule type="expression" dxfId="1867" priority="2061">
      <formula>$B2011="Unidade Construtiva"</formula>
    </cfRule>
    <cfRule type="expression" dxfId="1866" priority="2062">
      <formula>$B2011="Serviço"</formula>
    </cfRule>
    <cfRule type="expression" dxfId="1865" priority="2063">
      <formula>$B2011="Insumo"</formula>
    </cfRule>
    <cfRule type="expression" dxfId="1864" priority="2064">
      <formula>$B2011="Etapa"</formula>
    </cfRule>
    <cfRule type="expression" dxfId="1863" priority="2065">
      <formula>$B2011="Célula Construtiva"</formula>
    </cfRule>
    <cfRule type="expression" dxfId="1862" priority="2066">
      <formula>$B2011="Subetapa"</formula>
    </cfRule>
  </conditionalFormatting>
  <conditionalFormatting sqref="V2017">
    <cfRule type="expression" dxfId="1861" priority="2053" stopIfTrue="1">
      <formula>$B2017="insumo"</formula>
    </cfRule>
  </conditionalFormatting>
  <conditionalFormatting sqref="T2017:U2017 AA2017">
    <cfRule type="expression" dxfId="1860" priority="2052" stopIfTrue="1">
      <formula>$B2017="SERVIÇO"</formula>
    </cfRule>
  </conditionalFormatting>
  <conditionalFormatting sqref="A2017:E2017 AE2017:AF2017 G2017:AC2017">
    <cfRule type="expression" dxfId="1859" priority="2054">
      <formula>$B2017="Unidade Construtiva"</formula>
    </cfRule>
    <cfRule type="expression" dxfId="1858" priority="2055">
      <formula>$B2017="Serviço"</formula>
    </cfRule>
    <cfRule type="expression" dxfId="1857" priority="2056">
      <formula>$B2017="Insumo"</formula>
    </cfRule>
    <cfRule type="expression" dxfId="1856" priority="2057">
      <formula>$B2017="Etapa"</formula>
    </cfRule>
    <cfRule type="expression" dxfId="1855" priority="2058">
      <formula>$B2017="Célula Construtiva"</formula>
    </cfRule>
    <cfRule type="expression" dxfId="1854" priority="2059">
      <formula>$B2017="Subetapa"</formula>
    </cfRule>
  </conditionalFormatting>
  <conditionalFormatting sqref="T2017">
    <cfRule type="expression" dxfId="1853" priority="2051" stopIfTrue="1">
      <formula>$B2017="INSUMO"</formula>
    </cfRule>
  </conditionalFormatting>
  <conditionalFormatting sqref="W2017">
    <cfRule type="containsText" dxfId="1852" priority="2050" stopIfTrue="1" operator="containsText" text="INSERIR">
      <formula>NOT(ISERROR(SEARCH("INSERIR",W2017)))</formula>
    </cfRule>
  </conditionalFormatting>
  <conditionalFormatting sqref="V2016">
    <cfRule type="expression" dxfId="1851" priority="2042" stopIfTrue="1">
      <formula>$B2016="insumo"</formula>
    </cfRule>
  </conditionalFormatting>
  <conditionalFormatting sqref="T2016:U2016 AA2016">
    <cfRule type="expression" dxfId="1850" priority="2041" stopIfTrue="1">
      <formula>$B2016="SERVIÇO"</formula>
    </cfRule>
  </conditionalFormatting>
  <conditionalFormatting sqref="A2016:E2016 AE2016:AF2016 G2016:AC2016">
    <cfRule type="expression" dxfId="1849" priority="2043">
      <formula>$B2016="Unidade Construtiva"</formula>
    </cfRule>
    <cfRule type="expression" dxfId="1848" priority="2044">
      <formula>$B2016="Serviço"</formula>
    </cfRule>
    <cfRule type="expression" dxfId="1847" priority="2045">
      <formula>$B2016="Insumo"</formula>
    </cfRule>
    <cfRule type="expression" dxfId="1846" priority="2046">
      <formula>$B2016="Etapa"</formula>
    </cfRule>
    <cfRule type="expression" dxfId="1845" priority="2047">
      <formula>$B2016="Célula Construtiva"</formula>
    </cfRule>
    <cfRule type="expression" dxfId="1844" priority="2048">
      <formula>$B2016="Subetapa"</formula>
    </cfRule>
  </conditionalFormatting>
  <conditionalFormatting sqref="T2016">
    <cfRule type="expression" dxfId="1843" priority="2040" stopIfTrue="1">
      <formula>$B2016="INSUMO"</formula>
    </cfRule>
  </conditionalFormatting>
  <conditionalFormatting sqref="W2016">
    <cfRule type="containsText" dxfId="1842" priority="2039" stopIfTrue="1" operator="containsText" text="INSERIR">
      <formula>NOT(ISERROR(SEARCH("INSERIR",W2016)))</formula>
    </cfRule>
  </conditionalFormatting>
  <conditionalFormatting sqref="V2018">
    <cfRule type="expression" dxfId="1841" priority="2031" stopIfTrue="1">
      <formula>$B2018="insumo"</formula>
    </cfRule>
  </conditionalFormatting>
  <conditionalFormatting sqref="T2018:U2018 AA2018">
    <cfRule type="expression" dxfId="1840" priority="2030" stopIfTrue="1">
      <formula>$B2018="SERVIÇO"</formula>
    </cfRule>
  </conditionalFormatting>
  <conditionalFormatting sqref="A2018:E2018 AE2018:AF2018 G2018:AC2018">
    <cfRule type="expression" dxfId="1839" priority="2032">
      <formula>$B2018="Unidade Construtiva"</formula>
    </cfRule>
    <cfRule type="expression" dxfId="1838" priority="2033">
      <formula>$B2018="Serviço"</formula>
    </cfRule>
    <cfRule type="expression" dxfId="1837" priority="2034">
      <formula>$B2018="Insumo"</formula>
    </cfRule>
    <cfRule type="expression" dxfId="1836" priority="2035">
      <formula>$B2018="Etapa"</formula>
    </cfRule>
    <cfRule type="expression" dxfId="1835" priority="2036">
      <formula>$B2018="Célula Construtiva"</formula>
    </cfRule>
    <cfRule type="expression" dxfId="1834" priority="2037">
      <formula>$B2018="Subetapa"</formula>
    </cfRule>
  </conditionalFormatting>
  <conditionalFormatting sqref="T2018">
    <cfRule type="expression" dxfId="1833" priority="2029" stopIfTrue="1">
      <formula>$B2018="INSUMO"</formula>
    </cfRule>
  </conditionalFormatting>
  <conditionalFormatting sqref="W2018">
    <cfRule type="containsText" dxfId="1832" priority="2028" stopIfTrue="1" operator="containsText" text="INSERIR">
      <formula>NOT(ISERROR(SEARCH("INSERIR",W2018)))</formula>
    </cfRule>
  </conditionalFormatting>
  <conditionalFormatting sqref="T2010">
    <cfRule type="expression" dxfId="1831" priority="2021" stopIfTrue="1">
      <formula>$B2010="SERVIÇO"</formula>
    </cfRule>
  </conditionalFormatting>
  <conditionalFormatting sqref="T2010">
    <cfRule type="expression" dxfId="1830" priority="2022">
      <formula>$B2010="Unidade Construtiva"</formula>
    </cfRule>
    <cfRule type="expression" dxfId="1829" priority="2023">
      <formula>$B2010="Serviço"</formula>
    </cfRule>
    <cfRule type="expression" dxfId="1828" priority="2024">
      <formula>$B2010="Insumo"</formula>
    </cfRule>
    <cfRule type="expression" dxfId="1827" priority="2025">
      <formula>$B2010="Etapa"</formula>
    </cfRule>
    <cfRule type="expression" dxfId="1826" priority="2026">
      <formula>$B2010="Célula Construtiva"</formula>
    </cfRule>
    <cfRule type="expression" dxfId="1825" priority="2027">
      <formula>$B2010="Subetapa"</formula>
    </cfRule>
  </conditionalFormatting>
  <conditionalFormatting sqref="T2010">
    <cfRule type="expression" dxfId="1824" priority="2020" stopIfTrue="1">
      <formula>$B2010="INSUMO"</formula>
    </cfRule>
  </conditionalFormatting>
  <conditionalFormatting sqref="V2046">
    <cfRule type="expression" dxfId="1823" priority="2013" stopIfTrue="1">
      <formula>$B2046="insumo"</formula>
    </cfRule>
  </conditionalFormatting>
  <conditionalFormatting sqref="AA2046">
    <cfRule type="expression" dxfId="1822" priority="2012" stopIfTrue="1">
      <formula>$B2046="SERVIÇO"</formula>
    </cfRule>
  </conditionalFormatting>
  <conditionalFormatting sqref="AE2046:AF2046">
    <cfRule type="expression" dxfId="1821" priority="2014">
      <formula>$B2046="Unidade Construtiva"</formula>
    </cfRule>
    <cfRule type="expression" dxfId="1820" priority="2015">
      <formula>$B2046="Serviço"</formula>
    </cfRule>
    <cfRule type="expression" dxfId="1819" priority="2016">
      <formula>$B2046="Insumo"</formula>
    </cfRule>
    <cfRule type="expression" dxfId="1818" priority="2017">
      <formula>$B2046="Etapa"</formula>
    </cfRule>
    <cfRule type="expression" dxfId="1817" priority="2018">
      <formula>$B2046="Célula Construtiva"</formula>
    </cfRule>
    <cfRule type="expression" dxfId="1816" priority="2019">
      <formula>$B2046="Subetapa"</formula>
    </cfRule>
  </conditionalFormatting>
  <conditionalFormatting sqref="W2046">
    <cfRule type="containsText" dxfId="1815" priority="2011" stopIfTrue="1" operator="containsText" text="INSERIR">
      <formula>NOT(ISERROR(SEARCH("INSERIR",W2046)))</formula>
    </cfRule>
  </conditionalFormatting>
  <conditionalFormatting sqref="T2046:U2046">
    <cfRule type="expression" dxfId="1814" priority="2003" stopIfTrue="1">
      <formula>$B2046="SERVIÇO"</formula>
    </cfRule>
  </conditionalFormatting>
  <conditionalFormatting sqref="A2046:E2046 G2046:AC2046">
    <cfRule type="expression" dxfId="1813" priority="2004">
      <formula>$B2046="Unidade Construtiva"</formula>
    </cfRule>
    <cfRule type="expression" dxfId="1812" priority="2005">
      <formula>$B2046="Serviço"</formula>
    </cfRule>
    <cfRule type="expression" dxfId="1811" priority="2006">
      <formula>$B2046="Insumo"</formula>
    </cfRule>
    <cfRule type="expression" dxfId="1810" priority="2007">
      <formula>$B2046="Etapa"</formula>
    </cfRule>
    <cfRule type="expression" dxfId="1809" priority="2008">
      <formula>$B2046="Célula Construtiva"</formula>
    </cfRule>
    <cfRule type="expression" dxfId="1808" priority="2009">
      <formula>$B2046="Subetapa"</formula>
    </cfRule>
  </conditionalFormatting>
  <conditionalFormatting sqref="T2046">
    <cfRule type="expression" dxfId="1807" priority="2002" stopIfTrue="1">
      <formula>$B2046="INSUMO"</formula>
    </cfRule>
  </conditionalFormatting>
  <conditionalFormatting sqref="V2048">
    <cfRule type="expression" dxfId="1806" priority="1995" stopIfTrue="1">
      <formula>$B2048="insumo"</formula>
    </cfRule>
  </conditionalFormatting>
  <conditionalFormatting sqref="AA2048">
    <cfRule type="expression" dxfId="1805" priority="1994" stopIfTrue="1">
      <formula>$B2048="SERVIÇO"</formula>
    </cfRule>
  </conditionalFormatting>
  <conditionalFormatting sqref="AE2048:AF2048">
    <cfRule type="expression" dxfId="1804" priority="1996">
      <formula>$B2048="Unidade Construtiva"</formula>
    </cfRule>
    <cfRule type="expression" dxfId="1803" priority="1997">
      <formula>$B2048="Serviço"</formula>
    </cfRule>
    <cfRule type="expression" dxfId="1802" priority="1998">
      <formula>$B2048="Insumo"</formula>
    </cfRule>
    <cfRule type="expression" dxfId="1801" priority="1999">
      <formula>$B2048="Etapa"</formula>
    </cfRule>
    <cfRule type="expression" dxfId="1800" priority="2000">
      <formula>$B2048="Célula Construtiva"</formula>
    </cfRule>
    <cfRule type="expression" dxfId="1799" priority="2001">
      <formula>$B2048="Subetapa"</formula>
    </cfRule>
  </conditionalFormatting>
  <conditionalFormatting sqref="W2048">
    <cfRule type="containsText" dxfId="1798" priority="1993" stopIfTrue="1" operator="containsText" text="INSERIR">
      <formula>NOT(ISERROR(SEARCH("INSERIR",W2048)))</formula>
    </cfRule>
  </conditionalFormatting>
  <conditionalFormatting sqref="T2048:U2048">
    <cfRule type="expression" dxfId="1797" priority="1985" stopIfTrue="1">
      <formula>$B2048="SERVIÇO"</formula>
    </cfRule>
  </conditionalFormatting>
  <conditionalFormatting sqref="A2048:E2048 G2048:AC2048">
    <cfRule type="expression" dxfId="1796" priority="1986">
      <formula>$B2048="Unidade Construtiva"</formula>
    </cfRule>
    <cfRule type="expression" dxfId="1795" priority="1987">
      <formula>$B2048="Serviço"</formula>
    </cfRule>
    <cfRule type="expression" dxfId="1794" priority="1988">
      <formula>$B2048="Insumo"</formula>
    </cfRule>
    <cfRule type="expression" dxfId="1793" priority="1989">
      <formula>$B2048="Etapa"</formula>
    </cfRule>
    <cfRule type="expression" dxfId="1792" priority="1990">
      <formula>$B2048="Célula Construtiva"</formula>
    </cfRule>
    <cfRule type="expression" dxfId="1791" priority="1991">
      <formula>$B2048="Subetapa"</formula>
    </cfRule>
  </conditionalFormatting>
  <conditionalFormatting sqref="T2048">
    <cfRule type="expression" dxfId="1790" priority="1984" stopIfTrue="1">
      <formula>$B2048="INSUMO"</formula>
    </cfRule>
  </conditionalFormatting>
  <conditionalFormatting sqref="V2050:V2051">
    <cfRule type="expression" dxfId="1789" priority="1976" stopIfTrue="1">
      <formula>$B2050="insumo"</formula>
    </cfRule>
  </conditionalFormatting>
  <conditionalFormatting sqref="T2050:U2051 AA2050:AA2051">
    <cfRule type="expression" dxfId="1788" priority="1975" stopIfTrue="1">
      <formula>$B2050="SERVIÇO"</formula>
    </cfRule>
  </conditionalFormatting>
  <conditionalFormatting sqref="AE2050:AF2051 A2050:E2051 G2050:AC2051">
    <cfRule type="expression" dxfId="1787" priority="1977">
      <formula>$B2050="Unidade Construtiva"</formula>
    </cfRule>
    <cfRule type="expression" dxfId="1786" priority="1978">
      <formula>$B2050="Serviço"</formula>
    </cfRule>
    <cfRule type="expression" dxfId="1785" priority="1979">
      <formula>$B2050="Insumo"</formula>
    </cfRule>
    <cfRule type="expression" dxfId="1784" priority="1980">
      <formula>$B2050="Etapa"</formula>
    </cfRule>
    <cfRule type="expression" dxfId="1783" priority="1981">
      <formula>$B2050="Célula Construtiva"</formula>
    </cfRule>
    <cfRule type="expression" dxfId="1782" priority="1982">
      <formula>$B2050="Subetapa"</formula>
    </cfRule>
  </conditionalFormatting>
  <conditionalFormatting sqref="T2050:T2051">
    <cfRule type="expression" dxfId="1781" priority="1974" stopIfTrue="1">
      <formula>$B2050="INSUMO"</formula>
    </cfRule>
  </conditionalFormatting>
  <conditionalFormatting sqref="W2050:W2051">
    <cfRule type="containsText" dxfId="1780" priority="1973" stopIfTrue="1" operator="containsText" text="INSERIR">
      <formula>NOT(ISERROR(SEARCH("INSERIR",W2050)))</formula>
    </cfRule>
  </conditionalFormatting>
  <conditionalFormatting sqref="V2028">
    <cfRule type="expression" dxfId="1779" priority="1966" stopIfTrue="1">
      <formula>$B2028="insumo"</formula>
    </cfRule>
  </conditionalFormatting>
  <conditionalFormatting sqref="AA2028">
    <cfRule type="expression" dxfId="1778" priority="1965" stopIfTrue="1">
      <formula>$B2028="SERVIÇO"</formula>
    </cfRule>
  </conditionalFormatting>
  <conditionalFormatting sqref="AE2028:AF2028">
    <cfRule type="expression" dxfId="1777" priority="1967">
      <formula>$B2028="Unidade Construtiva"</formula>
    </cfRule>
    <cfRule type="expression" dxfId="1776" priority="1968">
      <formula>$B2028="Serviço"</formula>
    </cfRule>
    <cfRule type="expression" dxfId="1775" priority="1969">
      <formula>$B2028="Insumo"</formula>
    </cfRule>
    <cfRule type="expression" dxfId="1774" priority="1970">
      <formula>$B2028="Etapa"</formula>
    </cfRule>
    <cfRule type="expression" dxfId="1773" priority="1971">
      <formula>$B2028="Célula Construtiva"</formula>
    </cfRule>
    <cfRule type="expression" dxfId="1772" priority="1972">
      <formula>$B2028="Subetapa"</formula>
    </cfRule>
  </conditionalFormatting>
  <conditionalFormatting sqref="W2028">
    <cfRule type="containsText" dxfId="1771" priority="1964" stopIfTrue="1" operator="containsText" text="INSERIR">
      <formula>NOT(ISERROR(SEARCH("INSERIR",W2028)))</formula>
    </cfRule>
  </conditionalFormatting>
  <conditionalFormatting sqref="T2028:U2028">
    <cfRule type="expression" dxfId="1770" priority="1956" stopIfTrue="1">
      <formula>$B2028="SERVIÇO"</formula>
    </cfRule>
  </conditionalFormatting>
  <conditionalFormatting sqref="A2028:E2028 G2028:AC2028">
    <cfRule type="expression" dxfId="1769" priority="1957">
      <formula>$B2028="Unidade Construtiva"</formula>
    </cfRule>
    <cfRule type="expression" dxfId="1768" priority="1958">
      <formula>$B2028="Serviço"</formula>
    </cfRule>
    <cfRule type="expression" dxfId="1767" priority="1959">
      <formula>$B2028="Insumo"</formula>
    </cfRule>
    <cfRule type="expression" dxfId="1766" priority="1960">
      <formula>$B2028="Etapa"</formula>
    </cfRule>
    <cfRule type="expression" dxfId="1765" priority="1961">
      <formula>$B2028="Célula Construtiva"</formula>
    </cfRule>
    <cfRule type="expression" dxfId="1764" priority="1962">
      <formula>$B2028="Subetapa"</formula>
    </cfRule>
  </conditionalFormatting>
  <conditionalFormatting sqref="T2028">
    <cfRule type="expression" dxfId="1763" priority="1955" stopIfTrue="1">
      <formula>$B2028="INSUMO"</formula>
    </cfRule>
  </conditionalFormatting>
  <conditionalFormatting sqref="V2031">
    <cfRule type="expression" dxfId="1762" priority="1947" stopIfTrue="1">
      <formula>$B2031="insumo"</formula>
    </cfRule>
  </conditionalFormatting>
  <conditionalFormatting sqref="T2031:U2031 AA2031">
    <cfRule type="expression" dxfId="1761" priority="1946" stopIfTrue="1">
      <formula>$B2031="SERVIÇO"</formula>
    </cfRule>
  </conditionalFormatting>
  <conditionalFormatting sqref="A2031:E2031 AE2031:AF2031 G2031:AC2031">
    <cfRule type="expression" dxfId="1760" priority="1948">
      <formula>$B2031="Unidade Construtiva"</formula>
    </cfRule>
    <cfRule type="expression" dxfId="1759" priority="1949">
      <formula>$B2031="Serviço"</formula>
    </cfRule>
    <cfRule type="expression" dxfId="1758" priority="1950">
      <formula>$B2031="Insumo"</formula>
    </cfRule>
    <cfRule type="expression" dxfId="1757" priority="1951">
      <formula>$B2031="Etapa"</formula>
    </cfRule>
    <cfRule type="expression" dxfId="1756" priority="1952">
      <formula>$B2031="Célula Construtiva"</formula>
    </cfRule>
    <cfRule type="expression" dxfId="1755" priority="1953">
      <formula>$B2031="Subetapa"</formula>
    </cfRule>
  </conditionalFormatting>
  <conditionalFormatting sqref="T2031">
    <cfRule type="expression" dxfId="1754" priority="1945" stopIfTrue="1">
      <formula>$B2031="INSUMO"</formula>
    </cfRule>
  </conditionalFormatting>
  <conditionalFormatting sqref="W2031">
    <cfRule type="containsText" dxfId="1753" priority="1944" stopIfTrue="1" operator="containsText" text="INSERIR">
      <formula>NOT(ISERROR(SEARCH("INSERIR",W2031)))</formula>
    </cfRule>
  </conditionalFormatting>
  <conditionalFormatting sqref="V2035">
    <cfRule type="expression" dxfId="1752" priority="1936" stopIfTrue="1">
      <formula>$B2035="insumo"</formula>
    </cfRule>
  </conditionalFormatting>
  <conditionalFormatting sqref="T2035:U2035 AA2035">
    <cfRule type="expression" dxfId="1751" priority="1935" stopIfTrue="1">
      <formula>$B2035="SERVIÇO"</formula>
    </cfRule>
  </conditionalFormatting>
  <conditionalFormatting sqref="A2035:E2035 AE2035:AF2035 G2035:AC2035">
    <cfRule type="expression" dxfId="1750" priority="1937">
      <formula>$B2035="Unidade Construtiva"</formula>
    </cfRule>
    <cfRule type="expression" dxfId="1749" priority="1938">
      <formula>$B2035="Serviço"</formula>
    </cfRule>
    <cfRule type="expression" dxfId="1748" priority="1939">
      <formula>$B2035="Insumo"</formula>
    </cfRule>
    <cfRule type="expression" dxfId="1747" priority="1940">
      <formula>$B2035="Etapa"</formula>
    </cfRule>
    <cfRule type="expression" dxfId="1746" priority="1941">
      <formula>$B2035="Célula Construtiva"</formula>
    </cfRule>
    <cfRule type="expression" dxfId="1745" priority="1942">
      <formula>$B2035="Subetapa"</formula>
    </cfRule>
  </conditionalFormatting>
  <conditionalFormatting sqref="T2035">
    <cfRule type="expression" dxfId="1744" priority="1934" stopIfTrue="1">
      <formula>$B2035="INSUMO"</formula>
    </cfRule>
  </conditionalFormatting>
  <conditionalFormatting sqref="W2035">
    <cfRule type="containsText" dxfId="1743" priority="1933" stopIfTrue="1" operator="containsText" text="INSERIR">
      <formula>NOT(ISERROR(SEARCH("INSERIR",W2035)))</formula>
    </cfRule>
  </conditionalFormatting>
  <conditionalFormatting sqref="V2034">
    <cfRule type="expression" dxfId="1742" priority="1925" stopIfTrue="1">
      <formula>$B2034="insumo"</formula>
    </cfRule>
  </conditionalFormatting>
  <conditionalFormatting sqref="T2034:U2034 AA2034">
    <cfRule type="expression" dxfId="1741" priority="1924" stopIfTrue="1">
      <formula>$B2034="SERVIÇO"</formula>
    </cfRule>
  </conditionalFormatting>
  <conditionalFormatting sqref="A2034:E2034 AE2034:AF2034 G2034:AC2034">
    <cfRule type="expression" dxfId="1740" priority="1926">
      <formula>$B2034="Unidade Construtiva"</formula>
    </cfRule>
    <cfRule type="expression" dxfId="1739" priority="1927">
      <formula>$B2034="Serviço"</formula>
    </cfRule>
    <cfRule type="expression" dxfId="1738" priority="1928">
      <formula>$B2034="Insumo"</formula>
    </cfRule>
    <cfRule type="expression" dxfId="1737" priority="1929">
      <formula>$B2034="Etapa"</formula>
    </cfRule>
    <cfRule type="expression" dxfId="1736" priority="1930">
      <formula>$B2034="Célula Construtiva"</formula>
    </cfRule>
    <cfRule type="expression" dxfId="1735" priority="1931">
      <formula>$B2034="Subetapa"</formula>
    </cfRule>
  </conditionalFormatting>
  <conditionalFormatting sqref="T2034">
    <cfRule type="expression" dxfId="1734" priority="1923" stopIfTrue="1">
      <formula>$B2034="INSUMO"</formula>
    </cfRule>
  </conditionalFormatting>
  <conditionalFormatting sqref="W2034">
    <cfRule type="containsText" dxfId="1733" priority="1922" stopIfTrue="1" operator="containsText" text="INSERIR">
      <formula>NOT(ISERROR(SEARCH("INSERIR",W2034)))</formula>
    </cfRule>
  </conditionalFormatting>
  <conditionalFormatting sqref="V2036">
    <cfRule type="expression" dxfId="1732" priority="1914" stopIfTrue="1">
      <formula>$B2036="insumo"</formula>
    </cfRule>
  </conditionalFormatting>
  <conditionalFormatting sqref="T2036:U2036 AA2036">
    <cfRule type="expression" dxfId="1731" priority="1913" stopIfTrue="1">
      <formula>$B2036="SERVIÇO"</formula>
    </cfRule>
  </conditionalFormatting>
  <conditionalFormatting sqref="A2036:E2036 AE2036:AF2036 G2036:AC2036">
    <cfRule type="expression" dxfId="1730" priority="1915">
      <formula>$B2036="Unidade Construtiva"</formula>
    </cfRule>
    <cfRule type="expression" dxfId="1729" priority="1916">
      <formula>$B2036="Serviço"</formula>
    </cfRule>
    <cfRule type="expression" dxfId="1728" priority="1917">
      <formula>$B2036="Insumo"</formula>
    </cfRule>
    <cfRule type="expression" dxfId="1727" priority="1918">
      <formula>$B2036="Etapa"</formula>
    </cfRule>
    <cfRule type="expression" dxfId="1726" priority="1919">
      <formula>$B2036="Célula Construtiva"</formula>
    </cfRule>
    <cfRule type="expression" dxfId="1725" priority="1920">
      <formula>$B2036="Subetapa"</formula>
    </cfRule>
  </conditionalFormatting>
  <conditionalFormatting sqref="T2036">
    <cfRule type="expression" dxfId="1724" priority="1912" stopIfTrue="1">
      <formula>$B2036="INSUMO"</formula>
    </cfRule>
  </conditionalFormatting>
  <conditionalFormatting sqref="W2036">
    <cfRule type="containsText" dxfId="1723" priority="1911" stopIfTrue="1" operator="containsText" text="INSERIR">
      <formula>NOT(ISERROR(SEARCH("INSERIR",W2036)))</formula>
    </cfRule>
  </conditionalFormatting>
  <conditionalFormatting sqref="V2021">
    <cfRule type="expression" dxfId="1722" priority="1903" stopIfTrue="1">
      <formula>$B2021="insumo"</formula>
    </cfRule>
  </conditionalFormatting>
  <conditionalFormatting sqref="T2021:U2021 AA2021">
    <cfRule type="expression" dxfId="1721" priority="1902" stopIfTrue="1">
      <formula>$B2021="SERVIÇO"</formula>
    </cfRule>
  </conditionalFormatting>
  <conditionalFormatting sqref="A2021:E2021 AE2021:AF2021 G2021:AC2021">
    <cfRule type="expression" dxfId="1720" priority="1904">
      <formula>$B2021="Unidade Construtiva"</formula>
    </cfRule>
    <cfRule type="expression" dxfId="1719" priority="1905">
      <formula>$B2021="Serviço"</formula>
    </cfRule>
    <cfRule type="expression" dxfId="1718" priority="1906">
      <formula>$B2021="Insumo"</formula>
    </cfRule>
    <cfRule type="expression" dxfId="1717" priority="1907">
      <formula>$B2021="Etapa"</formula>
    </cfRule>
    <cfRule type="expression" dxfId="1716" priority="1908">
      <formula>$B2021="Célula Construtiva"</formula>
    </cfRule>
    <cfRule type="expression" dxfId="1715" priority="1909">
      <formula>$B2021="Subetapa"</formula>
    </cfRule>
  </conditionalFormatting>
  <conditionalFormatting sqref="T2021">
    <cfRule type="expression" dxfId="1714" priority="1901" stopIfTrue="1">
      <formula>$B2021="INSUMO"</formula>
    </cfRule>
  </conditionalFormatting>
  <conditionalFormatting sqref="W2021">
    <cfRule type="containsText" dxfId="1713" priority="1900" stopIfTrue="1" operator="containsText" text="INSERIR">
      <formula>NOT(ISERROR(SEARCH("INSERIR",W2021)))</formula>
    </cfRule>
  </conditionalFormatting>
  <conditionalFormatting sqref="V2020">
    <cfRule type="expression" dxfId="1712" priority="1892" stopIfTrue="1">
      <formula>$B2020="insumo"</formula>
    </cfRule>
  </conditionalFormatting>
  <conditionalFormatting sqref="T2020:U2020 AA2020">
    <cfRule type="expression" dxfId="1711" priority="1891" stopIfTrue="1">
      <formula>$B2020="SERVIÇO"</formula>
    </cfRule>
  </conditionalFormatting>
  <conditionalFormatting sqref="A2020:E2020 AE2020:AF2020 G2020:AC2020">
    <cfRule type="expression" dxfId="1710" priority="1893">
      <formula>$B2020="Unidade Construtiva"</formula>
    </cfRule>
    <cfRule type="expression" dxfId="1709" priority="1894">
      <formula>$B2020="Serviço"</formula>
    </cfRule>
    <cfRule type="expression" dxfId="1708" priority="1895">
      <formula>$B2020="Insumo"</formula>
    </cfRule>
    <cfRule type="expression" dxfId="1707" priority="1896">
      <formula>$B2020="Etapa"</formula>
    </cfRule>
    <cfRule type="expression" dxfId="1706" priority="1897">
      <formula>$B2020="Célula Construtiva"</formula>
    </cfRule>
    <cfRule type="expression" dxfId="1705" priority="1898">
      <formula>$B2020="Subetapa"</formula>
    </cfRule>
  </conditionalFormatting>
  <conditionalFormatting sqref="T2020">
    <cfRule type="expression" dxfId="1704" priority="1890" stopIfTrue="1">
      <formula>$B2020="INSUMO"</formula>
    </cfRule>
  </conditionalFormatting>
  <conditionalFormatting sqref="W2020">
    <cfRule type="containsText" dxfId="1703" priority="1889" stopIfTrue="1" operator="containsText" text="INSERIR">
      <formula>NOT(ISERROR(SEARCH("INSERIR",W2020)))</formula>
    </cfRule>
  </conditionalFormatting>
  <conditionalFormatting sqref="V2022">
    <cfRule type="expression" dxfId="1702" priority="1881" stopIfTrue="1">
      <formula>$B2022="insumo"</formula>
    </cfRule>
  </conditionalFormatting>
  <conditionalFormatting sqref="T2022:U2022 AA2022">
    <cfRule type="expression" dxfId="1701" priority="1880" stopIfTrue="1">
      <formula>$B2022="SERVIÇO"</formula>
    </cfRule>
  </conditionalFormatting>
  <conditionalFormatting sqref="A2022:E2022 AE2022:AF2022 G2022:AC2022">
    <cfRule type="expression" dxfId="1700" priority="1882">
      <formula>$B2022="Unidade Construtiva"</formula>
    </cfRule>
    <cfRule type="expression" dxfId="1699" priority="1883">
      <formula>$B2022="Serviço"</formula>
    </cfRule>
    <cfRule type="expression" dxfId="1698" priority="1884">
      <formula>$B2022="Insumo"</formula>
    </cfRule>
    <cfRule type="expression" dxfId="1697" priority="1885">
      <formula>$B2022="Etapa"</formula>
    </cfRule>
    <cfRule type="expression" dxfId="1696" priority="1886">
      <formula>$B2022="Célula Construtiva"</formula>
    </cfRule>
    <cfRule type="expression" dxfId="1695" priority="1887">
      <formula>$B2022="Subetapa"</formula>
    </cfRule>
  </conditionalFormatting>
  <conditionalFormatting sqref="T2022">
    <cfRule type="expression" dxfId="1694" priority="1879" stopIfTrue="1">
      <formula>$B2022="INSUMO"</formula>
    </cfRule>
  </conditionalFormatting>
  <conditionalFormatting sqref="W2022">
    <cfRule type="containsText" dxfId="1693" priority="1878" stopIfTrue="1" operator="containsText" text="INSERIR">
      <formula>NOT(ISERROR(SEARCH("INSERIR",W2022)))</formula>
    </cfRule>
  </conditionalFormatting>
  <conditionalFormatting sqref="V2023">
    <cfRule type="expression" dxfId="1692" priority="1870" stopIfTrue="1">
      <formula>$B2023="insumo"</formula>
    </cfRule>
  </conditionalFormatting>
  <conditionalFormatting sqref="T2023:U2023 AA2023">
    <cfRule type="expression" dxfId="1691" priority="1869" stopIfTrue="1">
      <formula>$B2023="SERVIÇO"</formula>
    </cfRule>
  </conditionalFormatting>
  <conditionalFormatting sqref="A2023:E2023 AE2023:AF2023 G2023:AC2023">
    <cfRule type="expression" dxfId="1690" priority="1871">
      <formula>$B2023="Unidade Construtiva"</formula>
    </cfRule>
    <cfRule type="expression" dxfId="1689" priority="1872">
      <formula>$B2023="Serviço"</formula>
    </cfRule>
    <cfRule type="expression" dxfId="1688" priority="1873">
      <formula>$B2023="Insumo"</formula>
    </cfRule>
    <cfRule type="expression" dxfId="1687" priority="1874">
      <formula>$B2023="Etapa"</formula>
    </cfRule>
    <cfRule type="expression" dxfId="1686" priority="1875">
      <formula>$B2023="Célula Construtiva"</formula>
    </cfRule>
    <cfRule type="expression" dxfId="1685" priority="1876">
      <formula>$B2023="Subetapa"</formula>
    </cfRule>
  </conditionalFormatting>
  <conditionalFormatting sqref="T2023">
    <cfRule type="expression" dxfId="1684" priority="1868" stopIfTrue="1">
      <formula>$B2023="INSUMO"</formula>
    </cfRule>
  </conditionalFormatting>
  <conditionalFormatting sqref="W2023">
    <cfRule type="containsText" dxfId="1683" priority="1867" stopIfTrue="1" operator="containsText" text="INSERIR">
      <formula>NOT(ISERROR(SEARCH("INSERIR",W2023)))</formula>
    </cfRule>
  </conditionalFormatting>
  <conditionalFormatting sqref="V2053">
    <cfRule type="expression" dxfId="1682" priority="1859" stopIfTrue="1">
      <formula>$B2053="insumo"</formula>
    </cfRule>
  </conditionalFormatting>
  <conditionalFormatting sqref="AA2053 T2053:U2053">
    <cfRule type="expression" dxfId="1681" priority="1858" stopIfTrue="1">
      <formula>$B2053="SERVIÇO"</formula>
    </cfRule>
  </conditionalFormatting>
  <conditionalFormatting sqref="A2053:E2053 AE2053:AF2053 G2053:AC2053">
    <cfRule type="expression" dxfId="1680" priority="1860">
      <formula>$B2053="Unidade Construtiva"</formula>
    </cfRule>
    <cfRule type="expression" dxfId="1679" priority="1861">
      <formula>$B2053="Serviço"</formula>
    </cfRule>
    <cfRule type="expression" dxfId="1678" priority="1862">
      <formula>$B2053="Insumo"</formula>
    </cfRule>
    <cfRule type="expression" dxfId="1677" priority="1863">
      <formula>$B2053="Etapa"</formula>
    </cfRule>
    <cfRule type="expression" dxfId="1676" priority="1864">
      <formula>$B2053="Célula Construtiva"</formula>
    </cfRule>
    <cfRule type="expression" dxfId="1675" priority="1865">
      <formula>$B2053="Subetapa"</formula>
    </cfRule>
  </conditionalFormatting>
  <conditionalFormatting sqref="T2053">
    <cfRule type="expression" dxfId="1674" priority="1857" stopIfTrue="1">
      <formula>$B2053="INSUMO"</formula>
    </cfRule>
  </conditionalFormatting>
  <conditionalFormatting sqref="W2053">
    <cfRule type="containsText" dxfId="1673" priority="1856" stopIfTrue="1" operator="containsText" text="INSERIR">
      <formula>NOT(ISERROR(SEARCH("INSERIR",W2053)))</formula>
    </cfRule>
  </conditionalFormatting>
  <conditionalFormatting sqref="V2052">
    <cfRule type="expression" dxfId="1672" priority="1849" stopIfTrue="1">
      <formula>$B2052="insumo"</formula>
    </cfRule>
  </conditionalFormatting>
  <conditionalFormatting sqref="AA2052">
    <cfRule type="expression" dxfId="1671" priority="1848" stopIfTrue="1">
      <formula>$B2052="SERVIÇO"</formula>
    </cfRule>
  </conditionalFormatting>
  <conditionalFormatting sqref="AE2052:AF2052">
    <cfRule type="expression" dxfId="1670" priority="1850">
      <formula>$B2052="Unidade Construtiva"</formula>
    </cfRule>
    <cfRule type="expression" dxfId="1669" priority="1851">
      <formula>$B2052="Serviço"</formula>
    </cfRule>
    <cfRule type="expression" dxfId="1668" priority="1852">
      <formula>$B2052="Insumo"</formula>
    </cfRule>
    <cfRule type="expression" dxfId="1667" priority="1853">
      <formula>$B2052="Etapa"</formula>
    </cfRule>
    <cfRule type="expression" dxfId="1666" priority="1854">
      <formula>$B2052="Célula Construtiva"</formula>
    </cfRule>
    <cfRule type="expression" dxfId="1665" priority="1855">
      <formula>$B2052="Subetapa"</formula>
    </cfRule>
  </conditionalFormatting>
  <conditionalFormatting sqref="W2052">
    <cfRule type="containsText" dxfId="1664" priority="1847" stopIfTrue="1" operator="containsText" text="INSERIR">
      <formula>NOT(ISERROR(SEARCH("INSERIR",W2052)))</formula>
    </cfRule>
  </conditionalFormatting>
  <conditionalFormatting sqref="T2052:U2052">
    <cfRule type="expression" dxfId="1663" priority="1839" stopIfTrue="1">
      <formula>$B2052="SERVIÇO"</formula>
    </cfRule>
  </conditionalFormatting>
  <conditionalFormatting sqref="A2052:E2052 G2052:AC2052">
    <cfRule type="expression" dxfId="1662" priority="1840">
      <formula>$B2052="Unidade Construtiva"</formula>
    </cfRule>
    <cfRule type="expression" dxfId="1661" priority="1841">
      <formula>$B2052="Serviço"</formula>
    </cfRule>
    <cfRule type="expression" dxfId="1660" priority="1842">
      <formula>$B2052="Insumo"</formula>
    </cfRule>
    <cfRule type="expression" dxfId="1659" priority="1843">
      <formula>$B2052="Etapa"</formula>
    </cfRule>
    <cfRule type="expression" dxfId="1658" priority="1844">
      <formula>$B2052="Célula Construtiva"</formula>
    </cfRule>
    <cfRule type="expression" dxfId="1657" priority="1845">
      <formula>$B2052="Subetapa"</formula>
    </cfRule>
  </conditionalFormatting>
  <conditionalFormatting sqref="T2052">
    <cfRule type="expression" dxfId="1656" priority="1838" stopIfTrue="1">
      <formula>$B2052="INSUMO"</formula>
    </cfRule>
  </conditionalFormatting>
  <conditionalFormatting sqref="V2055">
    <cfRule type="expression" dxfId="1655" priority="1830" stopIfTrue="1">
      <formula>$B2055="insumo"</formula>
    </cfRule>
  </conditionalFormatting>
  <conditionalFormatting sqref="T2055:U2055 AA2055">
    <cfRule type="expression" dxfId="1654" priority="1829" stopIfTrue="1">
      <formula>$B2055="SERVIÇO"</formula>
    </cfRule>
  </conditionalFormatting>
  <conditionalFormatting sqref="AE2055:AF2055 A2055:E2055 G2055:AC2055">
    <cfRule type="expression" dxfId="1653" priority="1831">
      <formula>$B2055="Unidade Construtiva"</formula>
    </cfRule>
    <cfRule type="expression" dxfId="1652" priority="1832">
      <formula>$B2055="Serviço"</formula>
    </cfRule>
    <cfRule type="expression" dxfId="1651" priority="1833">
      <formula>$B2055="Insumo"</formula>
    </cfRule>
    <cfRule type="expression" dxfId="1650" priority="1834">
      <formula>$B2055="Etapa"</formula>
    </cfRule>
    <cfRule type="expression" dxfId="1649" priority="1835">
      <formula>$B2055="Célula Construtiva"</formula>
    </cfRule>
    <cfRule type="expression" dxfId="1648" priority="1836">
      <formula>$B2055="Subetapa"</formula>
    </cfRule>
  </conditionalFormatting>
  <conditionalFormatting sqref="T2055">
    <cfRule type="expression" dxfId="1647" priority="1828" stopIfTrue="1">
      <formula>$B2055="INSUMO"</formula>
    </cfRule>
  </conditionalFormatting>
  <conditionalFormatting sqref="W2055">
    <cfRule type="containsText" dxfId="1646" priority="1827" stopIfTrue="1" operator="containsText" text="INSERIR">
      <formula>NOT(ISERROR(SEARCH("INSERIR",W2055)))</formula>
    </cfRule>
  </conditionalFormatting>
  <conditionalFormatting sqref="V2054">
    <cfRule type="expression" dxfId="1645" priority="1820" stopIfTrue="1">
      <formula>$B2054="insumo"</formula>
    </cfRule>
  </conditionalFormatting>
  <conditionalFormatting sqref="AA2054">
    <cfRule type="expression" dxfId="1644" priority="1819" stopIfTrue="1">
      <formula>$B2054="SERVIÇO"</formula>
    </cfRule>
  </conditionalFormatting>
  <conditionalFormatting sqref="AE2054:AF2054">
    <cfRule type="expression" dxfId="1643" priority="1821">
      <formula>$B2054="Unidade Construtiva"</formula>
    </cfRule>
    <cfRule type="expression" dxfId="1642" priority="1822">
      <formula>$B2054="Serviço"</formula>
    </cfRule>
    <cfRule type="expression" dxfId="1641" priority="1823">
      <formula>$B2054="Insumo"</formula>
    </cfRule>
    <cfRule type="expression" dxfId="1640" priority="1824">
      <formula>$B2054="Etapa"</formula>
    </cfRule>
    <cfRule type="expression" dxfId="1639" priority="1825">
      <formula>$B2054="Célula Construtiva"</formula>
    </cfRule>
    <cfRule type="expression" dxfId="1638" priority="1826">
      <formula>$B2054="Subetapa"</formula>
    </cfRule>
  </conditionalFormatting>
  <conditionalFormatting sqref="W2054">
    <cfRule type="containsText" dxfId="1637" priority="1818" stopIfTrue="1" operator="containsText" text="INSERIR">
      <formula>NOT(ISERROR(SEARCH("INSERIR",W2054)))</formula>
    </cfRule>
  </conditionalFormatting>
  <conditionalFormatting sqref="T2054:U2054">
    <cfRule type="expression" dxfId="1636" priority="1810" stopIfTrue="1">
      <formula>$B2054="SERVIÇO"</formula>
    </cfRule>
  </conditionalFormatting>
  <conditionalFormatting sqref="A2054:E2054 G2054:AC2054">
    <cfRule type="expression" dxfId="1635" priority="1811">
      <formula>$B2054="Unidade Construtiva"</formula>
    </cfRule>
    <cfRule type="expression" dxfId="1634" priority="1812">
      <formula>$B2054="Serviço"</formula>
    </cfRule>
    <cfRule type="expression" dxfId="1633" priority="1813">
      <formula>$B2054="Insumo"</formula>
    </cfRule>
    <cfRule type="expression" dxfId="1632" priority="1814">
      <formula>$B2054="Etapa"</formula>
    </cfRule>
    <cfRule type="expression" dxfId="1631" priority="1815">
      <formula>$B2054="Célula Construtiva"</formula>
    </cfRule>
    <cfRule type="expression" dxfId="1630" priority="1816">
      <formula>$B2054="Subetapa"</formula>
    </cfRule>
  </conditionalFormatting>
  <conditionalFormatting sqref="T2054">
    <cfRule type="expression" dxfId="1629" priority="1809" stopIfTrue="1">
      <formula>$B2054="INSUMO"</formula>
    </cfRule>
  </conditionalFormatting>
  <conditionalFormatting sqref="V2056:V2057">
    <cfRule type="expression" dxfId="1628" priority="1801" stopIfTrue="1">
      <formula>$B2056="insumo"</formula>
    </cfRule>
  </conditionalFormatting>
  <conditionalFormatting sqref="T2056:U2057 AA2056:AA2057">
    <cfRule type="expression" dxfId="1627" priority="1800" stopIfTrue="1">
      <formula>$B2056="SERVIÇO"</formula>
    </cfRule>
  </conditionalFormatting>
  <conditionalFormatting sqref="AE2056:AF2057 A2056:E2057 G2056:AC2057">
    <cfRule type="expression" dxfId="1626" priority="1802">
      <formula>$B2056="Unidade Construtiva"</formula>
    </cfRule>
    <cfRule type="expression" dxfId="1625" priority="1803">
      <formula>$B2056="Serviço"</formula>
    </cfRule>
    <cfRule type="expression" dxfId="1624" priority="1804">
      <formula>$B2056="Insumo"</formula>
    </cfRule>
    <cfRule type="expression" dxfId="1623" priority="1805">
      <formula>$B2056="Etapa"</formula>
    </cfRule>
    <cfRule type="expression" dxfId="1622" priority="1806">
      <formula>$B2056="Célula Construtiva"</formula>
    </cfRule>
    <cfRule type="expression" dxfId="1621" priority="1807">
      <formula>$B2056="Subetapa"</formula>
    </cfRule>
  </conditionalFormatting>
  <conditionalFormatting sqref="T2056:T2057">
    <cfRule type="expression" dxfId="1620" priority="1799" stopIfTrue="1">
      <formula>$B2056="INSUMO"</formula>
    </cfRule>
  </conditionalFormatting>
  <conditionalFormatting sqref="W2056:W2057">
    <cfRule type="containsText" dxfId="1619" priority="1798" stopIfTrue="1" operator="containsText" text="INSERIR">
      <formula>NOT(ISERROR(SEARCH("INSERIR",W2056)))</formula>
    </cfRule>
  </conditionalFormatting>
  <conditionalFormatting sqref="V2038:V2039 V2041:V2042">
    <cfRule type="expression" dxfId="1618" priority="1790" stopIfTrue="1">
      <formula>$B2038="insumo"</formula>
    </cfRule>
  </conditionalFormatting>
  <conditionalFormatting sqref="T2038:U2039 AA2038:AA2039 AA2041:AA2042 T2041:U2042">
    <cfRule type="expression" dxfId="1617" priority="1789" stopIfTrue="1">
      <formula>$B2038="SERVIÇO"</formula>
    </cfRule>
  </conditionalFormatting>
  <conditionalFormatting sqref="AE2038:AF2039 A2038:E2039 A2041:E2042 AE2041:AF2042 G2041:AC2042 G2038:AC2039">
    <cfRule type="expression" dxfId="1616" priority="1791">
      <formula>$B2038="Unidade Construtiva"</formula>
    </cfRule>
    <cfRule type="expression" dxfId="1615" priority="1792">
      <formula>$B2038="Serviço"</formula>
    </cfRule>
    <cfRule type="expression" dxfId="1614" priority="1793">
      <formula>$B2038="Insumo"</formula>
    </cfRule>
    <cfRule type="expression" dxfId="1613" priority="1794">
      <formula>$B2038="Etapa"</formula>
    </cfRule>
    <cfRule type="expression" dxfId="1612" priority="1795">
      <formula>$B2038="Célula Construtiva"</formula>
    </cfRule>
    <cfRule type="expression" dxfId="1611" priority="1796">
      <formula>$B2038="Subetapa"</formula>
    </cfRule>
  </conditionalFormatting>
  <conditionalFormatting sqref="T2038:T2039 T2041:T2042">
    <cfRule type="expression" dxfId="1610" priority="1788" stopIfTrue="1">
      <formula>$B2038="INSUMO"</formula>
    </cfRule>
  </conditionalFormatting>
  <conditionalFormatting sqref="W2038:W2039 W2041:W2042">
    <cfRule type="containsText" dxfId="1609" priority="1787" stopIfTrue="1" operator="containsText" text="INSERIR">
      <formula>NOT(ISERROR(SEARCH("INSERIR",W2038)))</formula>
    </cfRule>
  </conditionalFormatting>
  <conditionalFormatting sqref="V2037">
    <cfRule type="expression" dxfId="1608" priority="1780" stopIfTrue="1">
      <formula>$B2037="insumo"</formula>
    </cfRule>
  </conditionalFormatting>
  <conditionalFormatting sqref="AA2037">
    <cfRule type="expression" dxfId="1607" priority="1779" stopIfTrue="1">
      <formula>$B2037="SERVIÇO"</formula>
    </cfRule>
  </conditionalFormatting>
  <conditionalFormatting sqref="AE2037:AF2037">
    <cfRule type="expression" dxfId="1606" priority="1781">
      <formula>$B2037="Unidade Construtiva"</formula>
    </cfRule>
    <cfRule type="expression" dxfId="1605" priority="1782">
      <formula>$B2037="Serviço"</formula>
    </cfRule>
    <cfRule type="expression" dxfId="1604" priority="1783">
      <formula>$B2037="Insumo"</formula>
    </cfRule>
    <cfRule type="expression" dxfId="1603" priority="1784">
      <formula>$B2037="Etapa"</formula>
    </cfRule>
    <cfRule type="expression" dxfId="1602" priority="1785">
      <formula>$B2037="Célula Construtiva"</formula>
    </cfRule>
    <cfRule type="expression" dxfId="1601" priority="1786">
      <formula>$B2037="Subetapa"</formula>
    </cfRule>
  </conditionalFormatting>
  <conditionalFormatting sqref="W2037">
    <cfRule type="containsText" dxfId="1600" priority="1778" stopIfTrue="1" operator="containsText" text="INSERIR">
      <formula>NOT(ISERROR(SEARCH("INSERIR",W2037)))</formula>
    </cfRule>
  </conditionalFormatting>
  <conditionalFormatting sqref="T2037:U2037">
    <cfRule type="expression" dxfId="1599" priority="1770" stopIfTrue="1">
      <formula>$B2037="SERVIÇO"</formula>
    </cfRule>
  </conditionalFormatting>
  <conditionalFormatting sqref="A2037:E2037 G2037:AC2037">
    <cfRule type="expression" dxfId="1598" priority="1771">
      <formula>$B2037="Unidade Construtiva"</formula>
    </cfRule>
    <cfRule type="expression" dxfId="1597" priority="1772">
      <formula>$B2037="Serviço"</formula>
    </cfRule>
    <cfRule type="expression" dxfId="1596" priority="1773">
      <formula>$B2037="Insumo"</formula>
    </cfRule>
    <cfRule type="expression" dxfId="1595" priority="1774">
      <formula>$B2037="Etapa"</formula>
    </cfRule>
    <cfRule type="expression" dxfId="1594" priority="1775">
      <formula>$B2037="Célula Construtiva"</formula>
    </cfRule>
    <cfRule type="expression" dxfId="1593" priority="1776">
      <formula>$B2037="Subetapa"</formula>
    </cfRule>
  </conditionalFormatting>
  <conditionalFormatting sqref="T2037">
    <cfRule type="expression" dxfId="1592" priority="1769" stopIfTrue="1">
      <formula>$B2037="INSUMO"</formula>
    </cfRule>
  </conditionalFormatting>
  <conditionalFormatting sqref="V2040">
    <cfRule type="expression" dxfId="1591" priority="1761" stopIfTrue="1">
      <formula>$B2040="insumo"</formula>
    </cfRule>
  </conditionalFormatting>
  <conditionalFormatting sqref="T2040:U2040 AA2040">
    <cfRule type="expression" dxfId="1590" priority="1760" stopIfTrue="1">
      <formula>$B2040="SERVIÇO"</formula>
    </cfRule>
  </conditionalFormatting>
  <conditionalFormatting sqref="A2040:E2040 AE2040:AF2040 G2040:AC2040">
    <cfRule type="expression" dxfId="1589" priority="1762">
      <formula>$B2040="Unidade Construtiva"</formula>
    </cfRule>
    <cfRule type="expression" dxfId="1588" priority="1763">
      <formula>$B2040="Serviço"</formula>
    </cfRule>
    <cfRule type="expression" dxfId="1587" priority="1764">
      <formula>$B2040="Insumo"</formula>
    </cfRule>
    <cfRule type="expression" dxfId="1586" priority="1765">
      <formula>$B2040="Etapa"</formula>
    </cfRule>
    <cfRule type="expression" dxfId="1585" priority="1766">
      <formula>$B2040="Célula Construtiva"</formula>
    </cfRule>
    <cfRule type="expression" dxfId="1584" priority="1767">
      <formula>$B2040="Subetapa"</formula>
    </cfRule>
  </conditionalFormatting>
  <conditionalFormatting sqref="T2040">
    <cfRule type="expression" dxfId="1583" priority="1759" stopIfTrue="1">
      <formula>$B2040="INSUMO"</formula>
    </cfRule>
  </conditionalFormatting>
  <conditionalFormatting sqref="W2040">
    <cfRule type="containsText" dxfId="1582" priority="1758" stopIfTrue="1" operator="containsText" text="INSERIR">
      <formula>NOT(ISERROR(SEARCH("INSERIR",W2040)))</formula>
    </cfRule>
  </conditionalFormatting>
  <conditionalFormatting sqref="V2044">
    <cfRule type="expression" dxfId="1581" priority="1750" stopIfTrue="1">
      <formula>$B2044="insumo"</formula>
    </cfRule>
  </conditionalFormatting>
  <conditionalFormatting sqref="T2044:U2044 AA2044">
    <cfRule type="expression" dxfId="1580" priority="1749" stopIfTrue="1">
      <formula>$B2044="SERVIÇO"</formula>
    </cfRule>
  </conditionalFormatting>
  <conditionalFormatting sqref="A2044:E2044 AE2044:AF2044 G2044:AC2044">
    <cfRule type="expression" dxfId="1579" priority="1751">
      <formula>$B2044="Unidade Construtiva"</formula>
    </cfRule>
    <cfRule type="expression" dxfId="1578" priority="1752">
      <formula>$B2044="Serviço"</formula>
    </cfRule>
    <cfRule type="expression" dxfId="1577" priority="1753">
      <formula>$B2044="Insumo"</formula>
    </cfRule>
    <cfRule type="expression" dxfId="1576" priority="1754">
      <formula>$B2044="Etapa"</formula>
    </cfRule>
    <cfRule type="expression" dxfId="1575" priority="1755">
      <formula>$B2044="Célula Construtiva"</formula>
    </cfRule>
    <cfRule type="expression" dxfId="1574" priority="1756">
      <formula>$B2044="Subetapa"</formula>
    </cfRule>
  </conditionalFormatting>
  <conditionalFormatting sqref="T2044">
    <cfRule type="expression" dxfId="1573" priority="1748" stopIfTrue="1">
      <formula>$B2044="INSUMO"</formula>
    </cfRule>
  </conditionalFormatting>
  <conditionalFormatting sqref="W2044">
    <cfRule type="containsText" dxfId="1572" priority="1747" stopIfTrue="1" operator="containsText" text="INSERIR">
      <formula>NOT(ISERROR(SEARCH("INSERIR",W2044)))</formula>
    </cfRule>
  </conditionalFormatting>
  <conditionalFormatting sqref="V2043">
    <cfRule type="expression" dxfId="1571" priority="1739" stopIfTrue="1">
      <formula>$B2043="insumo"</formula>
    </cfRule>
  </conditionalFormatting>
  <conditionalFormatting sqref="T2043:U2043 AA2043">
    <cfRule type="expression" dxfId="1570" priority="1738" stopIfTrue="1">
      <formula>$B2043="SERVIÇO"</formula>
    </cfRule>
  </conditionalFormatting>
  <conditionalFormatting sqref="A2043:E2043 AE2043:AF2043 G2043:AC2043">
    <cfRule type="expression" dxfId="1569" priority="1740">
      <formula>$B2043="Unidade Construtiva"</formula>
    </cfRule>
    <cfRule type="expression" dxfId="1568" priority="1741">
      <formula>$B2043="Serviço"</formula>
    </cfRule>
    <cfRule type="expression" dxfId="1567" priority="1742">
      <formula>$B2043="Insumo"</formula>
    </cfRule>
    <cfRule type="expression" dxfId="1566" priority="1743">
      <formula>$B2043="Etapa"</formula>
    </cfRule>
    <cfRule type="expression" dxfId="1565" priority="1744">
      <formula>$B2043="Célula Construtiva"</formula>
    </cfRule>
    <cfRule type="expression" dxfId="1564" priority="1745">
      <formula>$B2043="Subetapa"</formula>
    </cfRule>
  </conditionalFormatting>
  <conditionalFormatting sqref="T2043">
    <cfRule type="expression" dxfId="1563" priority="1737" stopIfTrue="1">
      <formula>$B2043="INSUMO"</formula>
    </cfRule>
  </conditionalFormatting>
  <conditionalFormatting sqref="W2043">
    <cfRule type="containsText" dxfId="1562" priority="1736" stopIfTrue="1" operator="containsText" text="INSERIR">
      <formula>NOT(ISERROR(SEARCH("INSERIR",W2043)))</formula>
    </cfRule>
  </conditionalFormatting>
  <conditionalFormatting sqref="V2045">
    <cfRule type="expression" dxfId="1561" priority="1728" stopIfTrue="1">
      <formula>$B2045="insumo"</formula>
    </cfRule>
  </conditionalFormatting>
  <conditionalFormatting sqref="T2045:U2045 AA2045">
    <cfRule type="expression" dxfId="1560" priority="1727" stopIfTrue="1">
      <formula>$B2045="SERVIÇO"</formula>
    </cfRule>
  </conditionalFormatting>
  <conditionalFormatting sqref="A2045:E2045 AE2045:AF2045 G2045:AC2045">
    <cfRule type="expression" dxfId="1559" priority="1729">
      <formula>$B2045="Unidade Construtiva"</formula>
    </cfRule>
    <cfRule type="expression" dxfId="1558" priority="1730">
      <formula>$B2045="Serviço"</formula>
    </cfRule>
    <cfRule type="expression" dxfId="1557" priority="1731">
      <formula>$B2045="Insumo"</formula>
    </cfRule>
    <cfRule type="expression" dxfId="1556" priority="1732">
      <formula>$B2045="Etapa"</formula>
    </cfRule>
    <cfRule type="expression" dxfId="1555" priority="1733">
      <formula>$B2045="Célula Construtiva"</formula>
    </cfRule>
    <cfRule type="expression" dxfId="1554" priority="1734">
      <formula>$B2045="Subetapa"</formula>
    </cfRule>
  </conditionalFormatting>
  <conditionalFormatting sqref="T2045">
    <cfRule type="expression" dxfId="1553" priority="1726" stopIfTrue="1">
      <formula>$B2045="INSUMO"</formula>
    </cfRule>
  </conditionalFormatting>
  <conditionalFormatting sqref="W2045">
    <cfRule type="containsText" dxfId="1552" priority="1725" stopIfTrue="1" operator="containsText" text="INSERIR">
      <formula>NOT(ISERROR(SEARCH("INSERIR",W2045)))</formula>
    </cfRule>
  </conditionalFormatting>
  <conditionalFormatting sqref="V1477">
    <cfRule type="expression" dxfId="1551" priority="1703" stopIfTrue="1">
      <formula>$B1477="insumo"</formula>
    </cfRule>
  </conditionalFormatting>
  <conditionalFormatting sqref="U1479:U1482 T1477:U1477 AA1477">
    <cfRule type="expression" dxfId="1550" priority="1702" stopIfTrue="1">
      <formula>$B1477="SERVIÇO"</formula>
    </cfRule>
  </conditionalFormatting>
  <conditionalFormatting sqref="U1479:U1482 W1479:Z1482 A1477:E1477 AE1477:AF1477 G1477:AC1477">
    <cfRule type="expression" dxfId="1549" priority="1704">
      <formula>$B1477="Unidade Construtiva"</formula>
    </cfRule>
    <cfRule type="expression" dxfId="1548" priority="1705">
      <formula>$B1477="Serviço"</formula>
    </cfRule>
    <cfRule type="expression" dxfId="1547" priority="1706">
      <formula>$B1477="Insumo"</formula>
    </cfRule>
    <cfRule type="expression" dxfId="1546" priority="1707">
      <formula>$B1477="Etapa"</formula>
    </cfRule>
    <cfRule type="expression" dxfId="1545" priority="1708">
      <formula>$B1477="Célula Construtiva"</formula>
    </cfRule>
    <cfRule type="expression" dxfId="1544" priority="1709">
      <formula>$B1477="Subetapa"</formula>
    </cfRule>
  </conditionalFormatting>
  <conditionalFormatting sqref="T1477">
    <cfRule type="expression" dxfId="1543" priority="1701" stopIfTrue="1">
      <formula>$B1477="INSUMO"</formula>
    </cfRule>
  </conditionalFormatting>
  <conditionalFormatting sqref="W1479:W1482 W1477">
    <cfRule type="containsText" dxfId="1542" priority="1700" stopIfTrue="1" operator="containsText" text="INSERIR">
      <formula>NOT(ISERROR(SEARCH("INSERIR",W1477)))</formula>
    </cfRule>
  </conditionalFormatting>
  <conditionalFormatting sqref="S1482">
    <cfRule type="expression" dxfId="1541" priority="1694">
      <formula>$B1482="Unidade Construtiva"</formula>
    </cfRule>
    <cfRule type="expression" dxfId="1540" priority="1695">
      <formula>$B1482="Serviço"</formula>
    </cfRule>
    <cfRule type="expression" dxfId="1539" priority="1696">
      <formula>$B1482="Insumo"</formula>
    </cfRule>
    <cfRule type="expression" dxfId="1538" priority="1697">
      <formula>$B1482="Etapa"</formula>
    </cfRule>
    <cfRule type="expression" dxfId="1537" priority="1698">
      <formula>$B1482="Célula Construtiva"</formula>
    </cfRule>
    <cfRule type="expression" dxfId="1536" priority="1699">
      <formula>$B1482="Subetapa"</formula>
    </cfRule>
  </conditionalFormatting>
  <conditionalFormatting sqref="V1478:V1482">
    <cfRule type="expression" dxfId="1535" priority="1686" stopIfTrue="1">
      <formula>$B1478="insumo"</formula>
    </cfRule>
  </conditionalFormatting>
  <conditionalFormatting sqref="AA1478:AA1482 T1478:U1478 T1479:T1482">
    <cfRule type="expression" dxfId="1534" priority="1685" stopIfTrue="1">
      <formula>$B1478="SERVIÇO"</formula>
    </cfRule>
  </conditionalFormatting>
  <conditionalFormatting sqref="AE1478:AF1482 V1479:V1482 AA1479:AC1482 A1478:E1482 T1482 G1482:R1482 G1479:T1481 G1478:AC1478">
    <cfRule type="expression" dxfId="1533" priority="1687">
      <formula>$B1478="Unidade Construtiva"</formula>
    </cfRule>
    <cfRule type="expression" dxfId="1532" priority="1688">
      <formula>$B1478="Serviço"</formula>
    </cfRule>
    <cfRule type="expression" dxfId="1531" priority="1689">
      <formula>$B1478="Insumo"</formula>
    </cfRule>
    <cfRule type="expression" dxfId="1530" priority="1690">
      <formula>$B1478="Etapa"</formula>
    </cfRule>
    <cfRule type="expression" dxfId="1529" priority="1691">
      <formula>$B1478="Célula Construtiva"</formula>
    </cfRule>
    <cfRule type="expression" dxfId="1528" priority="1692">
      <formula>$B1478="Subetapa"</formula>
    </cfRule>
  </conditionalFormatting>
  <conditionalFormatting sqref="T1478:T1482">
    <cfRule type="expression" dxfId="1527" priority="1684" stopIfTrue="1">
      <formula>$B1478="INSUMO"</formula>
    </cfRule>
  </conditionalFormatting>
  <conditionalFormatting sqref="W1478">
    <cfRule type="containsText" dxfId="1526" priority="1683" stopIfTrue="1" operator="containsText" text="INSERIR">
      <formula>NOT(ISERROR(SEARCH("INSERIR",W1478)))</formula>
    </cfRule>
  </conditionalFormatting>
  <conditionalFormatting sqref="U1484:U1487">
    <cfRule type="expression" dxfId="1525" priority="1640" stopIfTrue="1">
      <formula>$B1484="SERVIÇO"</formula>
    </cfRule>
  </conditionalFormatting>
  <conditionalFormatting sqref="U1484:U1487 W1484:Z1487">
    <cfRule type="expression" dxfId="1524" priority="1641">
      <formula>$B1484="Unidade Construtiva"</formula>
    </cfRule>
    <cfRule type="expression" dxfId="1523" priority="1642">
      <formula>$B1484="Serviço"</formula>
    </cfRule>
    <cfRule type="expression" dxfId="1522" priority="1643">
      <formula>$B1484="Insumo"</formula>
    </cfRule>
    <cfRule type="expression" dxfId="1521" priority="1644">
      <formula>$B1484="Etapa"</formula>
    </cfRule>
    <cfRule type="expression" dxfId="1520" priority="1645">
      <formula>$B1484="Célula Construtiva"</formula>
    </cfRule>
    <cfRule type="expression" dxfId="1519" priority="1646">
      <formula>$B1484="Subetapa"</formula>
    </cfRule>
  </conditionalFormatting>
  <conditionalFormatting sqref="W1484:W1487">
    <cfRule type="containsText" dxfId="1518" priority="1639" stopIfTrue="1" operator="containsText" text="INSERIR">
      <formula>NOT(ISERROR(SEARCH("INSERIR",W1484)))</formula>
    </cfRule>
  </conditionalFormatting>
  <conditionalFormatting sqref="S1487">
    <cfRule type="expression" dxfId="1517" priority="1633">
      <formula>$B1487="Unidade Construtiva"</formula>
    </cfRule>
    <cfRule type="expression" dxfId="1516" priority="1634">
      <formula>$B1487="Serviço"</formula>
    </cfRule>
    <cfRule type="expression" dxfId="1515" priority="1635">
      <formula>$B1487="Insumo"</formula>
    </cfRule>
    <cfRule type="expression" dxfId="1514" priority="1636">
      <formula>$B1487="Etapa"</formula>
    </cfRule>
    <cfRule type="expression" dxfId="1513" priority="1637">
      <formula>$B1487="Célula Construtiva"</formula>
    </cfRule>
    <cfRule type="expression" dxfId="1512" priority="1638">
      <formula>$B1487="Subetapa"</formula>
    </cfRule>
  </conditionalFormatting>
  <conditionalFormatting sqref="V1483:V1487">
    <cfRule type="expression" dxfId="1511" priority="1625" stopIfTrue="1">
      <formula>$B1483="insumo"</formula>
    </cfRule>
  </conditionalFormatting>
  <conditionalFormatting sqref="AA1483:AA1487 T1483:U1483 T1484:T1487">
    <cfRule type="expression" dxfId="1510" priority="1624" stopIfTrue="1">
      <formula>$B1483="SERVIÇO"</formula>
    </cfRule>
  </conditionalFormatting>
  <conditionalFormatting sqref="AE1483:AF1487 V1484:V1487 AA1484:AC1487 A1483:E1487 T1487 G1487:R1487 G1484:T1486 G1483:AC1483">
    <cfRule type="expression" dxfId="1509" priority="1626">
      <formula>$B1483="Unidade Construtiva"</formula>
    </cfRule>
    <cfRule type="expression" dxfId="1508" priority="1627">
      <formula>$B1483="Serviço"</formula>
    </cfRule>
    <cfRule type="expression" dxfId="1507" priority="1628">
      <formula>$B1483="Insumo"</formula>
    </cfRule>
    <cfRule type="expression" dxfId="1506" priority="1629">
      <formula>$B1483="Etapa"</formula>
    </cfRule>
    <cfRule type="expression" dxfId="1505" priority="1630">
      <formula>$B1483="Célula Construtiva"</formula>
    </cfRule>
    <cfRule type="expression" dxfId="1504" priority="1631">
      <formula>$B1483="Subetapa"</formula>
    </cfRule>
  </conditionalFormatting>
  <conditionalFormatting sqref="T1483:T1487">
    <cfRule type="expression" dxfId="1503" priority="1623" stopIfTrue="1">
      <formula>$B1483="INSUMO"</formula>
    </cfRule>
  </conditionalFormatting>
  <conditionalFormatting sqref="W1483">
    <cfRule type="containsText" dxfId="1502" priority="1622" stopIfTrue="1" operator="containsText" text="INSERIR">
      <formula>NOT(ISERROR(SEARCH("INSERIR",W1483)))</formula>
    </cfRule>
  </conditionalFormatting>
  <conditionalFormatting sqref="V1502:V1503">
    <cfRule type="expression" dxfId="1501" priority="1614" stopIfTrue="1">
      <formula>$B1502="insumo"</formula>
    </cfRule>
  </conditionalFormatting>
  <conditionalFormatting sqref="T1502:U1503 AA1502:AA1503">
    <cfRule type="expression" dxfId="1500" priority="1613" stopIfTrue="1">
      <formula>$B1502="SERVIÇO"</formula>
    </cfRule>
  </conditionalFormatting>
  <conditionalFormatting sqref="AE1502:AF1503 A1502:E1503 T1503:AC1503 G1503:R1503 G1502:AC1502">
    <cfRule type="expression" dxfId="1499" priority="1615">
      <formula>$B1502="Unidade Construtiva"</formula>
    </cfRule>
    <cfRule type="expression" dxfId="1498" priority="1616">
      <formula>$B1502="Serviço"</formula>
    </cfRule>
    <cfRule type="expression" dxfId="1497" priority="1617">
      <formula>$B1502="Insumo"</formula>
    </cfRule>
    <cfRule type="expression" dxfId="1496" priority="1618">
      <formula>$B1502="Etapa"</formula>
    </cfRule>
    <cfRule type="expression" dxfId="1495" priority="1619">
      <formula>$B1502="Célula Construtiva"</formula>
    </cfRule>
    <cfRule type="expression" dxfId="1494" priority="1620">
      <formula>$B1502="Subetapa"</formula>
    </cfRule>
  </conditionalFormatting>
  <conditionalFormatting sqref="T1502:T1503">
    <cfRule type="expression" dxfId="1493" priority="1612" stopIfTrue="1">
      <formula>$B1502="INSUMO"</formula>
    </cfRule>
  </conditionalFormatting>
  <conditionalFormatting sqref="W1502:W1503">
    <cfRule type="containsText" dxfId="1492" priority="1611" stopIfTrue="1" operator="containsText" text="INSERIR">
      <formula>NOT(ISERROR(SEARCH("INSERIR",W1502)))</formula>
    </cfRule>
  </conditionalFormatting>
  <conditionalFormatting sqref="V1574:V1575">
    <cfRule type="expression" dxfId="1491" priority="1603" stopIfTrue="1">
      <formula>$B1574="insumo"</formula>
    </cfRule>
  </conditionalFormatting>
  <conditionalFormatting sqref="T1574:U1575 AA1574:AA1575">
    <cfRule type="expression" dxfId="1490" priority="1602" stopIfTrue="1">
      <formula>$B1574="SERVIÇO"</formula>
    </cfRule>
  </conditionalFormatting>
  <conditionalFormatting sqref="AE1574:AF1575 A1574:E1575 T1575:AC1575 G1575:R1575 G1574:AC1574">
    <cfRule type="expression" dxfId="1489" priority="1604">
      <formula>$B1574="Unidade Construtiva"</formula>
    </cfRule>
    <cfRule type="expression" dxfId="1488" priority="1605">
      <formula>$B1574="Serviço"</formula>
    </cfRule>
    <cfRule type="expression" dxfId="1487" priority="1606">
      <formula>$B1574="Insumo"</formula>
    </cfRule>
    <cfRule type="expression" dxfId="1486" priority="1607">
      <formula>$B1574="Etapa"</formula>
    </cfRule>
    <cfRule type="expression" dxfId="1485" priority="1608">
      <formula>$B1574="Célula Construtiva"</formula>
    </cfRule>
    <cfRule type="expression" dxfId="1484" priority="1609">
      <formula>$B1574="Subetapa"</formula>
    </cfRule>
  </conditionalFormatting>
  <conditionalFormatting sqref="T1574:T1575">
    <cfRule type="expression" dxfId="1483" priority="1601" stopIfTrue="1">
      <formula>$B1574="INSUMO"</formula>
    </cfRule>
  </conditionalFormatting>
  <conditionalFormatting sqref="W1574:W1575">
    <cfRule type="containsText" dxfId="1482" priority="1600" stopIfTrue="1" operator="containsText" text="INSERIR">
      <formula>NOT(ISERROR(SEARCH("INSERIR",W1574)))</formula>
    </cfRule>
  </conditionalFormatting>
  <conditionalFormatting sqref="U1531:U1534">
    <cfRule type="expression" dxfId="1481" priority="1593" stopIfTrue="1">
      <formula>$B1531="SERVIÇO"</formula>
    </cfRule>
  </conditionalFormatting>
  <conditionalFormatting sqref="U1531:U1534 W1531:Z1534">
    <cfRule type="expression" dxfId="1480" priority="1594">
      <formula>$B1531="Unidade Construtiva"</formula>
    </cfRule>
    <cfRule type="expression" dxfId="1479" priority="1595">
      <formula>$B1531="Serviço"</formula>
    </cfRule>
    <cfRule type="expression" dxfId="1478" priority="1596">
      <formula>$B1531="Insumo"</formula>
    </cfRule>
    <cfRule type="expression" dxfId="1477" priority="1597">
      <formula>$B1531="Etapa"</formula>
    </cfRule>
    <cfRule type="expression" dxfId="1476" priority="1598">
      <formula>$B1531="Célula Construtiva"</formula>
    </cfRule>
    <cfRule type="expression" dxfId="1475" priority="1599">
      <formula>$B1531="Subetapa"</formula>
    </cfRule>
  </conditionalFormatting>
  <conditionalFormatting sqref="W1531:W1534">
    <cfRule type="containsText" dxfId="1474" priority="1592" stopIfTrue="1" operator="containsText" text="INSERIR">
      <formula>NOT(ISERROR(SEARCH("INSERIR",W1531)))</formula>
    </cfRule>
  </conditionalFormatting>
  <conditionalFormatting sqref="S1534">
    <cfRule type="expression" dxfId="1473" priority="1586">
      <formula>$B1534="Unidade Construtiva"</formula>
    </cfRule>
    <cfRule type="expression" dxfId="1472" priority="1587">
      <formula>$B1534="Serviço"</formula>
    </cfRule>
    <cfRule type="expression" dxfId="1471" priority="1588">
      <formula>$B1534="Insumo"</formula>
    </cfRule>
    <cfRule type="expression" dxfId="1470" priority="1589">
      <formula>$B1534="Etapa"</formula>
    </cfRule>
    <cfRule type="expression" dxfId="1469" priority="1590">
      <formula>$B1534="Célula Construtiva"</formula>
    </cfRule>
    <cfRule type="expression" dxfId="1468" priority="1591">
      <formula>$B1534="Subetapa"</formula>
    </cfRule>
  </conditionalFormatting>
  <conditionalFormatting sqref="V1530:V1534">
    <cfRule type="expression" dxfId="1467" priority="1578" stopIfTrue="1">
      <formula>$B1530="insumo"</formula>
    </cfRule>
  </conditionalFormatting>
  <conditionalFormatting sqref="AA1530:AA1534 T1530:U1530 T1531:T1534">
    <cfRule type="expression" dxfId="1466" priority="1577" stopIfTrue="1">
      <formula>$B1530="SERVIÇO"</formula>
    </cfRule>
  </conditionalFormatting>
  <conditionalFormatting sqref="AE1530:AF1534 V1531:V1534 AA1531:AC1534 A1530:E1534 T1534 G1534:R1534 G1531:T1533 G1530:AC1530">
    <cfRule type="expression" dxfId="1465" priority="1579">
      <formula>$B1530="Unidade Construtiva"</formula>
    </cfRule>
    <cfRule type="expression" dxfId="1464" priority="1580">
      <formula>$B1530="Serviço"</formula>
    </cfRule>
    <cfRule type="expression" dxfId="1463" priority="1581">
      <formula>$B1530="Insumo"</formula>
    </cfRule>
    <cfRule type="expression" dxfId="1462" priority="1582">
      <formula>$B1530="Etapa"</formula>
    </cfRule>
    <cfRule type="expression" dxfId="1461" priority="1583">
      <formula>$B1530="Célula Construtiva"</formula>
    </cfRule>
    <cfRule type="expression" dxfId="1460" priority="1584">
      <formula>$B1530="Subetapa"</formula>
    </cfRule>
  </conditionalFormatting>
  <conditionalFormatting sqref="T1530:T1534">
    <cfRule type="expression" dxfId="1459" priority="1576" stopIfTrue="1">
      <formula>$B1530="INSUMO"</formula>
    </cfRule>
  </conditionalFormatting>
  <conditionalFormatting sqref="W1530">
    <cfRule type="containsText" dxfId="1458" priority="1575" stopIfTrue="1" operator="containsText" text="INSERIR">
      <formula>NOT(ISERROR(SEARCH("INSERIR",W1530)))</formula>
    </cfRule>
  </conditionalFormatting>
  <conditionalFormatting sqref="U1536:U1539">
    <cfRule type="expression" dxfId="1457" priority="1568" stopIfTrue="1">
      <formula>$B1536="SERVIÇO"</formula>
    </cfRule>
  </conditionalFormatting>
  <conditionalFormatting sqref="U1536:U1539 W1536:Z1539">
    <cfRule type="expression" dxfId="1456" priority="1569">
      <formula>$B1536="Unidade Construtiva"</formula>
    </cfRule>
    <cfRule type="expression" dxfId="1455" priority="1570">
      <formula>$B1536="Serviço"</formula>
    </cfRule>
    <cfRule type="expression" dxfId="1454" priority="1571">
      <formula>$B1536="Insumo"</formula>
    </cfRule>
    <cfRule type="expression" dxfId="1453" priority="1572">
      <formula>$B1536="Etapa"</formula>
    </cfRule>
    <cfRule type="expression" dxfId="1452" priority="1573">
      <formula>$B1536="Célula Construtiva"</formula>
    </cfRule>
    <cfRule type="expression" dxfId="1451" priority="1574">
      <formula>$B1536="Subetapa"</formula>
    </cfRule>
  </conditionalFormatting>
  <conditionalFormatting sqref="W1536:W1539">
    <cfRule type="containsText" dxfId="1450" priority="1567" stopIfTrue="1" operator="containsText" text="INSERIR">
      <formula>NOT(ISERROR(SEARCH("INSERIR",W1536)))</formula>
    </cfRule>
  </conditionalFormatting>
  <conditionalFormatting sqref="S1539">
    <cfRule type="expression" dxfId="1449" priority="1561">
      <formula>$B1539="Unidade Construtiva"</formula>
    </cfRule>
    <cfRule type="expression" dxfId="1448" priority="1562">
      <formula>$B1539="Serviço"</formula>
    </cfRule>
    <cfRule type="expression" dxfId="1447" priority="1563">
      <formula>$B1539="Insumo"</formula>
    </cfRule>
    <cfRule type="expression" dxfId="1446" priority="1564">
      <formula>$B1539="Etapa"</formula>
    </cfRule>
    <cfRule type="expression" dxfId="1445" priority="1565">
      <formula>$B1539="Célula Construtiva"</formula>
    </cfRule>
    <cfRule type="expression" dxfId="1444" priority="1566">
      <formula>$B1539="Subetapa"</formula>
    </cfRule>
  </conditionalFormatting>
  <conditionalFormatting sqref="V1535:V1539">
    <cfRule type="expression" dxfId="1443" priority="1553" stopIfTrue="1">
      <formula>$B1535="insumo"</formula>
    </cfRule>
  </conditionalFormatting>
  <conditionalFormatting sqref="AA1535:AA1539 T1535:U1535 T1536:T1539">
    <cfRule type="expression" dxfId="1442" priority="1552" stopIfTrue="1">
      <formula>$B1535="SERVIÇO"</formula>
    </cfRule>
  </conditionalFormatting>
  <conditionalFormatting sqref="AE1535:AF1539 V1536:V1539 AA1536:AC1539 A1535:E1539 T1539 G1539:R1539 G1536:T1538 G1535:AC1535">
    <cfRule type="expression" dxfId="1441" priority="1554">
      <formula>$B1535="Unidade Construtiva"</formula>
    </cfRule>
    <cfRule type="expression" dxfId="1440" priority="1555">
      <formula>$B1535="Serviço"</formula>
    </cfRule>
    <cfRule type="expression" dxfId="1439" priority="1556">
      <formula>$B1535="Insumo"</formula>
    </cfRule>
    <cfRule type="expression" dxfId="1438" priority="1557">
      <formula>$B1535="Etapa"</formula>
    </cfRule>
    <cfRule type="expression" dxfId="1437" priority="1558">
      <formula>$B1535="Célula Construtiva"</formula>
    </cfRule>
    <cfRule type="expression" dxfId="1436" priority="1559">
      <formula>$B1535="Subetapa"</formula>
    </cfRule>
  </conditionalFormatting>
  <conditionalFormatting sqref="T1535:T1539">
    <cfRule type="expression" dxfId="1435" priority="1551" stopIfTrue="1">
      <formula>$B1535="INSUMO"</formula>
    </cfRule>
  </conditionalFormatting>
  <conditionalFormatting sqref="W1535">
    <cfRule type="containsText" dxfId="1434" priority="1550" stopIfTrue="1" operator="containsText" text="INSERIR">
      <formula>NOT(ISERROR(SEARCH("INSERIR",W1535)))</formula>
    </cfRule>
  </conditionalFormatting>
  <conditionalFormatting sqref="V1546 V1540">
    <cfRule type="expression" dxfId="1433" priority="1542" stopIfTrue="1">
      <formula>$B1540="insumo"</formula>
    </cfRule>
  </conditionalFormatting>
  <conditionalFormatting sqref="T1546:U1546 AA1546:AA1548 T1541:T1542 U1541:U1545 T1547:T1548 U1547:U1551 AA1540:AA1542 T1540:U1540">
    <cfRule type="expression" dxfId="1432" priority="1541" stopIfTrue="1">
      <formula>$B1540="SERVIÇO"</formula>
    </cfRule>
  </conditionalFormatting>
  <conditionalFormatting sqref="AE1546:AF1548 U1541:U1545 A1546:E1548 U1547:U1551 AA1541:AC1542 AA1547:AC1548 W1541:Z1545 W1547:Z1551 A1540:E1542 AE1540:AF1542 T1546:AC1546 T1540:AC1540 G1540:R1540 G1547:T1548 G1541:T1542 G1546:R1546">
    <cfRule type="expression" dxfId="1431" priority="1543">
      <formula>$B1540="Unidade Construtiva"</formula>
    </cfRule>
    <cfRule type="expression" dxfId="1430" priority="1544">
      <formula>$B1540="Serviço"</formula>
    </cfRule>
    <cfRule type="expression" dxfId="1429" priority="1545">
      <formula>$B1540="Insumo"</formula>
    </cfRule>
    <cfRule type="expression" dxfId="1428" priority="1546">
      <formula>$B1540="Etapa"</formula>
    </cfRule>
    <cfRule type="expression" dxfId="1427" priority="1547">
      <formula>$B1540="Célula Construtiva"</formula>
    </cfRule>
    <cfRule type="expression" dxfId="1426" priority="1548">
      <formula>$B1540="Subetapa"</formula>
    </cfRule>
  </conditionalFormatting>
  <conditionalFormatting sqref="T1546:T1548 T1540:T1542">
    <cfRule type="expression" dxfId="1425" priority="1540" stopIfTrue="1">
      <formula>$B1540="INSUMO"</formula>
    </cfRule>
  </conditionalFormatting>
  <conditionalFormatting sqref="W1541:W1545 W1547:W1551">
    <cfRule type="containsText" dxfId="1424" priority="1539" stopIfTrue="1" operator="containsText" text="INSERIR">
      <formula>NOT(ISERROR(SEARCH("INSERIR",W1541)))</formula>
    </cfRule>
  </conditionalFormatting>
  <conditionalFormatting sqref="S1545">
    <cfRule type="expression" dxfId="1423" priority="1533">
      <formula>$B1545="Unidade Construtiva"</formula>
    </cfRule>
    <cfRule type="expression" dxfId="1422" priority="1534">
      <formula>$B1545="Serviço"</formula>
    </cfRule>
    <cfRule type="expression" dxfId="1421" priority="1535">
      <formula>$B1545="Insumo"</formula>
    </cfRule>
    <cfRule type="expression" dxfId="1420" priority="1536">
      <formula>$B1545="Etapa"</formula>
    </cfRule>
    <cfRule type="expression" dxfId="1419" priority="1537">
      <formula>$B1545="Célula Construtiva"</formula>
    </cfRule>
    <cfRule type="expression" dxfId="1418" priority="1538">
      <formula>$B1545="Subetapa"</formula>
    </cfRule>
  </conditionalFormatting>
  <conditionalFormatting sqref="AA1545 T1545">
    <cfRule type="expression" dxfId="1417" priority="1525" stopIfTrue="1">
      <formula>$B1545="SERVIÇO"</formula>
    </cfRule>
  </conditionalFormatting>
  <conditionalFormatting sqref="AE1545:AF1545 A1545:E1545 AA1545:AC1545 T1545 G1545:R1545">
    <cfRule type="expression" dxfId="1416" priority="1527">
      <formula>$B1545="Unidade Construtiva"</formula>
    </cfRule>
    <cfRule type="expression" dxfId="1415" priority="1528">
      <formula>$B1545="Serviço"</formula>
    </cfRule>
    <cfRule type="expression" dxfId="1414" priority="1529">
      <formula>$B1545="Insumo"</formula>
    </cfRule>
    <cfRule type="expression" dxfId="1413" priority="1530">
      <formula>$B1545="Etapa"</formula>
    </cfRule>
    <cfRule type="expression" dxfId="1412" priority="1531">
      <formula>$B1545="Célula Construtiva"</formula>
    </cfRule>
    <cfRule type="expression" dxfId="1411" priority="1532">
      <formula>$B1545="Subetapa"</formula>
    </cfRule>
  </conditionalFormatting>
  <conditionalFormatting sqref="T1545">
    <cfRule type="expression" dxfId="1410" priority="1524" stopIfTrue="1">
      <formula>$B1545="INSUMO"</formula>
    </cfRule>
  </conditionalFormatting>
  <conditionalFormatting sqref="W1540">
    <cfRule type="containsText" dxfId="1409" priority="1523" stopIfTrue="1" operator="containsText" text="INSERIR">
      <formula>NOT(ISERROR(SEARCH("INSERIR",W1540)))</formula>
    </cfRule>
  </conditionalFormatting>
  <conditionalFormatting sqref="AA1551 T1551">
    <cfRule type="expression" dxfId="1408" priority="1514" stopIfTrue="1">
      <formula>$B1551="SERVIÇO"</formula>
    </cfRule>
  </conditionalFormatting>
  <conditionalFormatting sqref="AE1551:AF1551 A1551:E1551 AA1551:AC1551 G1551:T1551">
    <cfRule type="expression" dxfId="1407" priority="1516">
      <formula>$B1551="Unidade Construtiva"</formula>
    </cfRule>
    <cfRule type="expression" dxfId="1406" priority="1517">
      <formula>$B1551="Serviço"</formula>
    </cfRule>
    <cfRule type="expression" dxfId="1405" priority="1518">
      <formula>$B1551="Insumo"</formula>
    </cfRule>
    <cfRule type="expression" dxfId="1404" priority="1519">
      <formula>$B1551="Etapa"</formula>
    </cfRule>
    <cfRule type="expression" dxfId="1403" priority="1520">
      <formula>$B1551="Célula Construtiva"</formula>
    </cfRule>
    <cfRule type="expression" dxfId="1402" priority="1521">
      <formula>$B1551="Subetapa"</formula>
    </cfRule>
  </conditionalFormatting>
  <conditionalFormatting sqref="T1551">
    <cfRule type="expression" dxfId="1401" priority="1513" stopIfTrue="1">
      <formula>$B1551="INSUMO"</formula>
    </cfRule>
  </conditionalFormatting>
  <conditionalFormatting sqref="W1546">
    <cfRule type="containsText" dxfId="1400" priority="1512" stopIfTrue="1" operator="containsText" text="INSERIR">
      <formula>NOT(ISERROR(SEARCH("INSERIR",W1546)))</formula>
    </cfRule>
  </conditionalFormatting>
  <conditionalFormatting sqref="AA1550 T1550">
    <cfRule type="expression" dxfId="1399" priority="1503" stopIfTrue="1">
      <formula>$B1550="SERVIÇO"</formula>
    </cfRule>
  </conditionalFormatting>
  <conditionalFormatting sqref="AE1550:AF1550 A1550:E1550 AA1550:AC1550 G1550:T1550">
    <cfRule type="expression" dxfId="1398" priority="1505">
      <formula>$B1550="Unidade Construtiva"</formula>
    </cfRule>
    <cfRule type="expression" dxfId="1397" priority="1506">
      <formula>$B1550="Serviço"</formula>
    </cfRule>
    <cfRule type="expression" dxfId="1396" priority="1507">
      <formula>$B1550="Insumo"</formula>
    </cfRule>
    <cfRule type="expression" dxfId="1395" priority="1508">
      <formula>$B1550="Etapa"</formula>
    </cfRule>
    <cfRule type="expression" dxfId="1394" priority="1509">
      <formula>$B1550="Célula Construtiva"</formula>
    </cfRule>
    <cfRule type="expression" dxfId="1393" priority="1510">
      <formula>$B1550="Subetapa"</formula>
    </cfRule>
  </conditionalFormatting>
  <conditionalFormatting sqref="T1550">
    <cfRule type="expression" dxfId="1392" priority="1502" stopIfTrue="1">
      <formula>$B1550="INSUMO"</formula>
    </cfRule>
  </conditionalFormatting>
  <conditionalFormatting sqref="T1549 AA1549">
    <cfRule type="expression" dxfId="1391" priority="1493" stopIfTrue="1">
      <formula>$B1549="SERVIÇO"</formula>
    </cfRule>
  </conditionalFormatting>
  <conditionalFormatting sqref="A1549:E1549 AE1549:AF1549 AA1549:AC1549 G1549:T1549">
    <cfRule type="expression" dxfId="1390" priority="1495">
      <formula>$B1549="Unidade Construtiva"</formula>
    </cfRule>
    <cfRule type="expression" dxfId="1389" priority="1496">
      <formula>$B1549="Serviço"</formula>
    </cfRule>
    <cfRule type="expression" dxfId="1388" priority="1497">
      <formula>$B1549="Insumo"</formula>
    </cfRule>
    <cfRule type="expression" dxfId="1387" priority="1498">
      <formula>$B1549="Etapa"</formula>
    </cfRule>
    <cfRule type="expression" dxfId="1386" priority="1499">
      <formula>$B1549="Célula Construtiva"</formula>
    </cfRule>
    <cfRule type="expression" dxfId="1385" priority="1500">
      <formula>$B1549="Subetapa"</formula>
    </cfRule>
  </conditionalFormatting>
  <conditionalFormatting sqref="T1549">
    <cfRule type="expression" dxfId="1384" priority="1492" stopIfTrue="1">
      <formula>$B1549="INSUMO"</formula>
    </cfRule>
  </conditionalFormatting>
  <conditionalFormatting sqref="AA1544 T1544">
    <cfRule type="expression" dxfId="1383" priority="1483" stopIfTrue="1">
      <formula>$B1544="SERVIÇO"</formula>
    </cfRule>
  </conditionalFormatting>
  <conditionalFormatting sqref="AE1544:AF1544 A1544:E1544 AA1544:AC1544 G1544:T1544">
    <cfRule type="expression" dxfId="1382" priority="1485">
      <formula>$B1544="Unidade Construtiva"</formula>
    </cfRule>
    <cfRule type="expression" dxfId="1381" priority="1486">
      <formula>$B1544="Serviço"</formula>
    </cfRule>
    <cfRule type="expression" dxfId="1380" priority="1487">
      <formula>$B1544="Insumo"</formula>
    </cfRule>
    <cfRule type="expression" dxfId="1379" priority="1488">
      <formula>$B1544="Etapa"</formula>
    </cfRule>
    <cfRule type="expression" dxfId="1378" priority="1489">
      <formula>$B1544="Célula Construtiva"</formula>
    </cfRule>
    <cfRule type="expression" dxfId="1377" priority="1490">
      <formula>$B1544="Subetapa"</formula>
    </cfRule>
  </conditionalFormatting>
  <conditionalFormatting sqref="T1544">
    <cfRule type="expression" dxfId="1376" priority="1482" stopIfTrue="1">
      <formula>$B1544="INSUMO"</formula>
    </cfRule>
  </conditionalFormatting>
  <conditionalFormatting sqref="T1543 AA1543">
    <cfRule type="expression" dxfId="1375" priority="1473" stopIfTrue="1">
      <formula>$B1543="SERVIÇO"</formula>
    </cfRule>
  </conditionalFormatting>
  <conditionalFormatting sqref="A1543:E1543 AE1543:AF1543 AA1543:AC1543 G1543:T1543">
    <cfRule type="expression" dxfId="1374" priority="1475">
      <formula>$B1543="Unidade Construtiva"</formula>
    </cfRule>
    <cfRule type="expression" dxfId="1373" priority="1476">
      <formula>$B1543="Serviço"</formula>
    </cfRule>
    <cfRule type="expression" dxfId="1372" priority="1477">
      <formula>$B1543="Insumo"</formula>
    </cfRule>
    <cfRule type="expression" dxfId="1371" priority="1478">
      <formula>$B1543="Etapa"</formula>
    </cfRule>
    <cfRule type="expression" dxfId="1370" priority="1479">
      <formula>$B1543="Célula Construtiva"</formula>
    </cfRule>
    <cfRule type="expression" dxfId="1369" priority="1480">
      <formula>$B1543="Subetapa"</formula>
    </cfRule>
  </conditionalFormatting>
  <conditionalFormatting sqref="T1543">
    <cfRule type="expression" dxfId="1368" priority="1472" stopIfTrue="1">
      <formula>$B1543="INSUMO"</formula>
    </cfRule>
  </conditionalFormatting>
  <conditionalFormatting sqref="S1540">
    <cfRule type="expression" dxfId="1367" priority="1466">
      <formula>$B1540="Unidade Construtiva"</formula>
    </cfRule>
    <cfRule type="expression" dxfId="1366" priority="1467">
      <formula>$B1540="Serviço"</formula>
    </cfRule>
    <cfRule type="expression" dxfId="1365" priority="1468">
      <formula>$B1540="Insumo"</formula>
    </cfRule>
    <cfRule type="expression" dxfId="1364" priority="1469">
      <formula>$B1540="Etapa"</formula>
    </cfRule>
    <cfRule type="expression" dxfId="1363" priority="1470">
      <formula>$B1540="Célula Construtiva"</formula>
    </cfRule>
    <cfRule type="expression" dxfId="1362" priority="1471">
      <formula>$B1540="Subetapa"</formula>
    </cfRule>
  </conditionalFormatting>
  <conditionalFormatting sqref="S1546">
    <cfRule type="expression" dxfId="1361" priority="1460">
      <formula>$B1546="Unidade Construtiva"</formula>
    </cfRule>
    <cfRule type="expression" dxfId="1360" priority="1461">
      <formula>$B1546="Serviço"</formula>
    </cfRule>
    <cfRule type="expression" dxfId="1359" priority="1462">
      <formula>$B1546="Insumo"</formula>
    </cfRule>
    <cfRule type="expression" dxfId="1358" priority="1463">
      <formula>$B1546="Etapa"</formula>
    </cfRule>
    <cfRule type="expression" dxfId="1357" priority="1464">
      <formula>$B1546="Célula Construtiva"</formula>
    </cfRule>
    <cfRule type="expression" dxfId="1356" priority="1465">
      <formula>$B1546="Subetapa"</formula>
    </cfRule>
  </conditionalFormatting>
  <conditionalFormatting sqref="V1541">
    <cfRule type="expression" dxfId="1355" priority="1453" stopIfTrue="1">
      <formula>$B1541="insumo"</formula>
    </cfRule>
  </conditionalFormatting>
  <conditionalFormatting sqref="V1541">
    <cfRule type="expression" dxfId="1354" priority="1454">
      <formula>$B1541="Unidade Construtiva"</formula>
    </cfRule>
    <cfRule type="expression" dxfId="1353" priority="1455">
      <formula>$B1541="Serviço"</formula>
    </cfRule>
    <cfRule type="expression" dxfId="1352" priority="1456">
      <formula>$B1541="Insumo"</formula>
    </cfRule>
    <cfRule type="expression" dxfId="1351" priority="1457">
      <formula>$B1541="Etapa"</formula>
    </cfRule>
    <cfRule type="expression" dxfId="1350" priority="1458">
      <formula>$B1541="Célula Construtiva"</formula>
    </cfRule>
    <cfRule type="expression" dxfId="1349" priority="1459">
      <formula>$B1541="Subetapa"</formula>
    </cfRule>
  </conditionalFormatting>
  <conditionalFormatting sqref="V1547">
    <cfRule type="expression" dxfId="1348" priority="1446" stopIfTrue="1">
      <formula>$B1547="insumo"</formula>
    </cfRule>
  </conditionalFormatting>
  <conditionalFormatting sqref="V1547">
    <cfRule type="expression" dxfId="1347" priority="1447">
      <formula>$B1547="Unidade Construtiva"</formula>
    </cfRule>
    <cfRule type="expression" dxfId="1346" priority="1448">
      <formula>$B1547="Serviço"</formula>
    </cfRule>
    <cfRule type="expression" dxfId="1345" priority="1449">
      <formula>$B1547="Insumo"</formula>
    </cfRule>
    <cfRule type="expression" dxfId="1344" priority="1450">
      <formula>$B1547="Etapa"</formula>
    </cfRule>
    <cfRule type="expression" dxfId="1343" priority="1451">
      <formula>$B1547="Célula Construtiva"</formula>
    </cfRule>
    <cfRule type="expression" dxfId="1342" priority="1452">
      <formula>$B1547="Subetapa"</formula>
    </cfRule>
  </conditionalFormatting>
  <conditionalFormatting sqref="V1542">
    <cfRule type="expression" dxfId="1341" priority="1439" stopIfTrue="1">
      <formula>$B1542="insumo"</formula>
    </cfRule>
  </conditionalFormatting>
  <conditionalFormatting sqref="V1542">
    <cfRule type="expression" dxfId="1340" priority="1440">
      <formula>$B1542="Unidade Construtiva"</formula>
    </cfRule>
    <cfRule type="expression" dxfId="1339" priority="1441">
      <formula>$B1542="Serviço"</formula>
    </cfRule>
    <cfRule type="expression" dxfId="1338" priority="1442">
      <formula>$B1542="Insumo"</formula>
    </cfRule>
    <cfRule type="expression" dxfId="1337" priority="1443">
      <formula>$B1542="Etapa"</formula>
    </cfRule>
    <cfRule type="expression" dxfId="1336" priority="1444">
      <formula>$B1542="Célula Construtiva"</formula>
    </cfRule>
    <cfRule type="expression" dxfId="1335" priority="1445">
      <formula>$B1542="Subetapa"</formula>
    </cfRule>
  </conditionalFormatting>
  <conditionalFormatting sqref="V1548">
    <cfRule type="expression" dxfId="1334" priority="1432" stopIfTrue="1">
      <formula>$B1548="insumo"</formula>
    </cfRule>
  </conditionalFormatting>
  <conditionalFormatting sqref="V1548">
    <cfRule type="expression" dxfId="1333" priority="1433">
      <formula>$B1548="Unidade Construtiva"</formula>
    </cfRule>
    <cfRule type="expression" dxfId="1332" priority="1434">
      <formula>$B1548="Serviço"</formula>
    </cfRule>
    <cfRule type="expression" dxfId="1331" priority="1435">
      <formula>$B1548="Insumo"</formula>
    </cfRule>
    <cfRule type="expression" dxfId="1330" priority="1436">
      <formula>$B1548="Etapa"</formula>
    </cfRule>
    <cfRule type="expression" dxfId="1329" priority="1437">
      <formula>$B1548="Célula Construtiva"</formula>
    </cfRule>
    <cfRule type="expression" dxfId="1328" priority="1438">
      <formula>$B1548="Subetapa"</formula>
    </cfRule>
  </conditionalFormatting>
  <conditionalFormatting sqref="V1550">
    <cfRule type="expression" dxfId="1327" priority="1425" stopIfTrue="1">
      <formula>$B1550="insumo"</formula>
    </cfRule>
  </conditionalFormatting>
  <conditionalFormatting sqref="V1550">
    <cfRule type="expression" dxfId="1326" priority="1426">
      <formula>$B1550="Unidade Construtiva"</formula>
    </cfRule>
    <cfRule type="expression" dxfId="1325" priority="1427">
      <formula>$B1550="Serviço"</formula>
    </cfRule>
    <cfRule type="expression" dxfId="1324" priority="1428">
      <formula>$B1550="Insumo"</formula>
    </cfRule>
    <cfRule type="expression" dxfId="1323" priority="1429">
      <formula>$B1550="Etapa"</formula>
    </cfRule>
    <cfRule type="expression" dxfId="1322" priority="1430">
      <formula>$B1550="Célula Construtiva"</formula>
    </cfRule>
    <cfRule type="expression" dxfId="1321" priority="1431">
      <formula>$B1550="Subetapa"</formula>
    </cfRule>
  </conditionalFormatting>
  <conditionalFormatting sqref="V1544">
    <cfRule type="expression" dxfId="1320" priority="1418" stopIfTrue="1">
      <formula>$B1544="insumo"</formula>
    </cfRule>
  </conditionalFormatting>
  <conditionalFormatting sqref="V1544">
    <cfRule type="expression" dxfId="1319" priority="1419">
      <formula>$B1544="Unidade Construtiva"</formula>
    </cfRule>
    <cfRule type="expression" dxfId="1318" priority="1420">
      <formula>$B1544="Serviço"</formula>
    </cfRule>
    <cfRule type="expression" dxfId="1317" priority="1421">
      <formula>$B1544="Insumo"</formula>
    </cfRule>
    <cfRule type="expression" dxfId="1316" priority="1422">
      <formula>$B1544="Etapa"</formula>
    </cfRule>
    <cfRule type="expression" dxfId="1315" priority="1423">
      <formula>$B1544="Célula Construtiva"</formula>
    </cfRule>
    <cfRule type="expression" dxfId="1314" priority="1424">
      <formula>$B1544="Subetapa"</formula>
    </cfRule>
  </conditionalFormatting>
  <conditionalFormatting sqref="V1545">
    <cfRule type="expression" dxfId="1313" priority="1411" stopIfTrue="1">
      <formula>$B1545="insumo"</formula>
    </cfRule>
  </conditionalFormatting>
  <conditionalFormatting sqref="V1545">
    <cfRule type="expression" dxfId="1312" priority="1412">
      <formula>$B1545="Unidade Construtiva"</formula>
    </cfRule>
    <cfRule type="expression" dxfId="1311" priority="1413">
      <formula>$B1545="Serviço"</formula>
    </cfRule>
    <cfRule type="expression" dxfId="1310" priority="1414">
      <formula>$B1545="Insumo"</formula>
    </cfRule>
    <cfRule type="expression" dxfId="1309" priority="1415">
      <formula>$B1545="Etapa"</formula>
    </cfRule>
    <cfRule type="expression" dxfId="1308" priority="1416">
      <formula>$B1545="Célula Construtiva"</formula>
    </cfRule>
    <cfRule type="expression" dxfId="1307" priority="1417">
      <formula>$B1545="Subetapa"</formula>
    </cfRule>
  </conditionalFormatting>
  <conditionalFormatting sqref="V1551">
    <cfRule type="expression" dxfId="1306" priority="1404" stopIfTrue="1">
      <formula>$B1551="insumo"</formula>
    </cfRule>
  </conditionalFormatting>
  <conditionalFormatting sqref="V1551">
    <cfRule type="expression" dxfId="1305" priority="1405">
      <formula>$B1551="Unidade Construtiva"</formula>
    </cfRule>
    <cfRule type="expression" dxfId="1304" priority="1406">
      <formula>$B1551="Serviço"</formula>
    </cfRule>
    <cfRule type="expression" dxfId="1303" priority="1407">
      <formula>$B1551="Insumo"</formula>
    </cfRule>
    <cfRule type="expression" dxfId="1302" priority="1408">
      <formula>$B1551="Etapa"</formula>
    </cfRule>
    <cfRule type="expression" dxfId="1301" priority="1409">
      <formula>$B1551="Célula Construtiva"</formula>
    </cfRule>
    <cfRule type="expression" dxfId="1300" priority="1410">
      <formula>$B1551="Subetapa"</formula>
    </cfRule>
  </conditionalFormatting>
  <conditionalFormatting sqref="V1543">
    <cfRule type="expression" dxfId="1299" priority="1397" stopIfTrue="1">
      <formula>$B1543="insumo"</formula>
    </cfRule>
  </conditionalFormatting>
  <conditionalFormatting sqref="V1543">
    <cfRule type="expression" dxfId="1298" priority="1398">
      <formula>$B1543="Unidade Construtiva"</formula>
    </cfRule>
    <cfRule type="expression" dxfId="1297" priority="1399">
      <formula>$B1543="Serviço"</formula>
    </cfRule>
    <cfRule type="expression" dxfId="1296" priority="1400">
      <formula>$B1543="Insumo"</formula>
    </cfRule>
    <cfRule type="expression" dxfId="1295" priority="1401">
      <formula>$B1543="Etapa"</formula>
    </cfRule>
    <cfRule type="expression" dxfId="1294" priority="1402">
      <formula>$B1543="Célula Construtiva"</formula>
    </cfRule>
    <cfRule type="expression" dxfId="1293" priority="1403">
      <formula>$B1543="Subetapa"</formula>
    </cfRule>
  </conditionalFormatting>
  <conditionalFormatting sqref="V1549">
    <cfRule type="expression" dxfId="1292" priority="1390" stopIfTrue="1">
      <formula>$B1549="insumo"</formula>
    </cfRule>
  </conditionalFormatting>
  <conditionalFormatting sqref="V1549">
    <cfRule type="expression" dxfId="1291" priority="1391">
      <formula>$B1549="Unidade Construtiva"</formula>
    </cfRule>
    <cfRule type="expression" dxfId="1290" priority="1392">
      <formula>$B1549="Serviço"</formula>
    </cfRule>
    <cfRule type="expression" dxfId="1289" priority="1393">
      <formula>$B1549="Insumo"</formula>
    </cfRule>
    <cfRule type="expression" dxfId="1288" priority="1394">
      <formula>$B1549="Etapa"</formula>
    </cfRule>
    <cfRule type="expression" dxfId="1287" priority="1395">
      <formula>$B1549="Célula Construtiva"</formula>
    </cfRule>
    <cfRule type="expression" dxfId="1286" priority="1396">
      <formula>$B1549="Subetapa"</formula>
    </cfRule>
  </conditionalFormatting>
  <conditionalFormatting sqref="U1605:U1608">
    <cfRule type="expression" dxfId="1285" priority="1358" stopIfTrue="1">
      <formula>$B1605="SERVIÇO"</formula>
    </cfRule>
  </conditionalFormatting>
  <conditionalFormatting sqref="U1605:U1608 W1605:Z1608">
    <cfRule type="expression" dxfId="1284" priority="1359">
      <formula>$B1605="Unidade Construtiva"</formula>
    </cfRule>
    <cfRule type="expression" dxfId="1283" priority="1360">
      <formula>$B1605="Serviço"</formula>
    </cfRule>
    <cfRule type="expression" dxfId="1282" priority="1361">
      <formula>$B1605="Insumo"</formula>
    </cfRule>
    <cfRule type="expression" dxfId="1281" priority="1362">
      <formula>$B1605="Etapa"</formula>
    </cfRule>
    <cfRule type="expression" dxfId="1280" priority="1363">
      <formula>$B1605="Célula Construtiva"</formula>
    </cfRule>
    <cfRule type="expression" dxfId="1279" priority="1364">
      <formula>$B1605="Subetapa"</formula>
    </cfRule>
  </conditionalFormatting>
  <conditionalFormatting sqref="W1605:W1608">
    <cfRule type="containsText" dxfId="1278" priority="1357" stopIfTrue="1" operator="containsText" text="INSERIR">
      <formula>NOT(ISERROR(SEARCH("INSERIR",W1605)))</formula>
    </cfRule>
  </conditionalFormatting>
  <conditionalFormatting sqref="S1608">
    <cfRule type="expression" dxfId="1277" priority="1351">
      <formula>$B1608="Unidade Construtiva"</formula>
    </cfRule>
    <cfRule type="expression" dxfId="1276" priority="1352">
      <formula>$B1608="Serviço"</formula>
    </cfRule>
    <cfRule type="expression" dxfId="1275" priority="1353">
      <formula>$B1608="Insumo"</formula>
    </cfRule>
    <cfRule type="expression" dxfId="1274" priority="1354">
      <formula>$B1608="Etapa"</formula>
    </cfRule>
    <cfRule type="expression" dxfId="1273" priority="1355">
      <formula>$B1608="Célula Construtiva"</formula>
    </cfRule>
    <cfRule type="expression" dxfId="1272" priority="1356">
      <formula>$B1608="Subetapa"</formula>
    </cfRule>
  </conditionalFormatting>
  <conditionalFormatting sqref="V1604:V1608">
    <cfRule type="expression" dxfId="1271" priority="1343" stopIfTrue="1">
      <formula>$B1604="insumo"</formula>
    </cfRule>
  </conditionalFormatting>
  <conditionalFormatting sqref="AA1604:AA1608 T1604:U1604 T1605:T1608">
    <cfRule type="expression" dxfId="1270" priority="1342" stopIfTrue="1">
      <formula>$B1604="SERVIÇO"</formula>
    </cfRule>
  </conditionalFormatting>
  <conditionalFormatting sqref="AE1604:AF1608 V1605:V1608 AA1605:AC1608 A1604:E1608 T1608 G1608:R1608 G1605:T1607 G1604:AC1604">
    <cfRule type="expression" dxfId="1269" priority="1344">
      <formula>$B1604="Unidade Construtiva"</formula>
    </cfRule>
    <cfRule type="expression" dxfId="1268" priority="1345">
      <formula>$B1604="Serviço"</formula>
    </cfRule>
    <cfRule type="expression" dxfId="1267" priority="1346">
      <formula>$B1604="Insumo"</formula>
    </cfRule>
    <cfRule type="expression" dxfId="1266" priority="1347">
      <formula>$B1604="Etapa"</formula>
    </cfRule>
    <cfRule type="expression" dxfId="1265" priority="1348">
      <formula>$B1604="Célula Construtiva"</formula>
    </cfRule>
    <cfRule type="expression" dxfId="1264" priority="1349">
      <formula>$B1604="Subetapa"</formula>
    </cfRule>
  </conditionalFormatting>
  <conditionalFormatting sqref="T1604:T1608">
    <cfRule type="expression" dxfId="1263" priority="1341" stopIfTrue="1">
      <formula>$B1604="INSUMO"</formula>
    </cfRule>
  </conditionalFormatting>
  <conditionalFormatting sqref="W1604">
    <cfRule type="containsText" dxfId="1262" priority="1340" stopIfTrue="1" operator="containsText" text="INSERIR">
      <formula>NOT(ISERROR(SEARCH("INSERIR",W1604)))</formula>
    </cfRule>
  </conditionalFormatting>
  <conditionalFormatting sqref="V1609">
    <cfRule type="expression" dxfId="1261" priority="1332" stopIfTrue="1">
      <formula>$B1609="insumo"</formula>
    </cfRule>
  </conditionalFormatting>
  <conditionalFormatting sqref="T1609:U1609 AA1609:AA1611 T1610:T1611 U1610:U1614">
    <cfRule type="expression" dxfId="1260" priority="1331" stopIfTrue="1">
      <formula>$B1609="SERVIÇO"</formula>
    </cfRule>
  </conditionalFormatting>
  <conditionalFormatting sqref="AE1609:AF1611 A1609:E1611 U1610:U1614 AA1610:AC1611 W1610:Z1614 T1609:AC1609 G1610:T1611 G1609:R1609">
    <cfRule type="expression" dxfId="1259" priority="1333">
      <formula>$B1609="Unidade Construtiva"</formula>
    </cfRule>
    <cfRule type="expression" dxfId="1258" priority="1334">
      <formula>$B1609="Serviço"</formula>
    </cfRule>
    <cfRule type="expression" dxfId="1257" priority="1335">
      <formula>$B1609="Insumo"</formula>
    </cfRule>
    <cfRule type="expression" dxfId="1256" priority="1336">
      <formula>$B1609="Etapa"</formula>
    </cfRule>
    <cfRule type="expression" dxfId="1255" priority="1337">
      <formula>$B1609="Célula Construtiva"</formula>
    </cfRule>
    <cfRule type="expression" dxfId="1254" priority="1338">
      <formula>$B1609="Subetapa"</formula>
    </cfRule>
  </conditionalFormatting>
  <conditionalFormatting sqref="T1609:T1611">
    <cfRule type="expression" dxfId="1253" priority="1330" stopIfTrue="1">
      <formula>$B1609="INSUMO"</formula>
    </cfRule>
  </conditionalFormatting>
  <conditionalFormatting sqref="W1610:W1614">
    <cfRule type="containsText" dxfId="1252" priority="1329" stopIfTrue="1" operator="containsText" text="INSERIR">
      <formula>NOT(ISERROR(SEARCH("INSERIR",W1610)))</formula>
    </cfRule>
  </conditionalFormatting>
  <conditionalFormatting sqref="AA1614 T1614">
    <cfRule type="expression" dxfId="1251" priority="1306" stopIfTrue="1">
      <formula>$B1614="SERVIÇO"</formula>
    </cfRule>
  </conditionalFormatting>
  <conditionalFormatting sqref="AE1614:AF1614 A1614:E1614 AA1614:AC1614 G1614:T1614">
    <cfRule type="expression" dxfId="1250" priority="1307">
      <formula>$B1614="Unidade Construtiva"</formula>
    </cfRule>
    <cfRule type="expression" dxfId="1249" priority="1308">
      <formula>$B1614="Serviço"</formula>
    </cfRule>
    <cfRule type="expression" dxfId="1248" priority="1309">
      <formula>$B1614="Insumo"</formula>
    </cfRule>
    <cfRule type="expression" dxfId="1247" priority="1310">
      <formula>$B1614="Etapa"</formula>
    </cfRule>
    <cfRule type="expression" dxfId="1246" priority="1311">
      <formula>$B1614="Célula Construtiva"</formula>
    </cfRule>
    <cfRule type="expression" dxfId="1245" priority="1312">
      <formula>$B1614="Subetapa"</formula>
    </cfRule>
  </conditionalFormatting>
  <conditionalFormatting sqref="T1614">
    <cfRule type="expression" dxfId="1244" priority="1305" stopIfTrue="1">
      <formula>$B1614="INSUMO"</formula>
    </cfRule>
  </conditionalFormatting>
  <conditionalFormatting sqref="W1609">
    <cfRule type="containsText" dxfId="1243" priority="1304" stopIfTrue="1" operator="containsText" text="INSERIR">
      <formula>NOT(ISERROR(SEARCH("INSERIR",W1609)))</formula>
    </cfRule>
  </conditionalFormatting>
  <conditionalFormatting sqref="AA1613 T1613">
    <cfRule type="expression" dxfId="1242" priority="1296" stopIfTrue="1">
      <formula>$B1613="SERVIÇO"</formula>
    </cfRule>
  </conditionalFormatting>
  <conditionalFormatting sqref="AE1613:AF1613 A1613:E1613 AA1613:AC1613 G1613:T1613">
    <cfRule type="expression" dxfId="1241" priority="1297">
      <formula>$B1613="Unidade Construtiva"</formula>
    </cfRule>
    <cfRule type="expression" dxfId="1240" priority="1298">
      <formula>$B1613="Serviço"</formula>
    </cfRule>
    <cfRule type="expression" dxfId="1239" priority="1299">
      <formula>$B1613="Insumo"</formula>
    </cfRule>
    <cfRule type="expression" dxfId="1238" priority="1300">
      <formula>$B1613="Etapa"</formula>
    </cfRule>
    <cfRule type="expression" dxfId="1237" priority="1301">
      <formula>$B1613="Célula Construtiva"</formula>
    </cfRule>
    <cfRule type="expression" dxfId="1236" priority="1302">
      <formula>$B1613="Subetapa"</formula>
    </cfRule>
  </conditionalFormatting>
  <conditionalFormatting sqref="T1613">
    <cfRule type="expression" dxfId="1235" priority="1295" stopIfTrue="1">
      <formula>$B1613="INSUMO"</formula>
    </cfRule>
  </conditionalFormatting>
  <conditionalFormatting sqref="T1612 AA1612">
    <cfRule type="expression" dxfId="1234" priority="1287" stopIfTrue="1">
      <formula>$B1612="SERVIÇO"</formula>
    </cfRule>
  </conditionalFormatting>
  <conditionalFormatting sqref="A1612:E1612 AE1612:AF1612 AA1612:AC1612 G1612:T1612">
    <cfRule type="expression" dxfId="1233" priority="1288">
      <formula>$B1612="Unidade Construtiva"</formula>
    </cfRule>
    <cfRule type="expression" dxfId="1232" priority="1289">
      <formula>$B1612="Serviço"</formula>
    </cfRule>
    <cfRule type="expression" dxfId="1231" priority="1290">
      <formula>$B1612="Insumo"</formula>
    </cfRule>
    <cfRule type="expression" dxfId="1230" priority="1291">
      <formula>$B1612="Etapa"</formula>
    </cfRule>
    <cfRule type="expression" dxfId="1229" priority="1292">
      <formula>$B1612="Célula Construtiva"</formula>
    </cfRule>
    <cfRule type="expression" dxfId="1228" priority="1293">
      <formula>$B1612="Subetapa"</formula>
    </cfRule>
  </conditionalFormatting>
  <conditionalFormatting sqref="T1612">
    <cfRule type="expression" dxfId="1227" priority="1286" stopIfTrue="1">
      <formula>$B1612="INSUMO"</formula>
    </cfRule>
  </conditionalFormatting>
  <conditionalFormatting sqref="S1609">
    <cfRule type="expression" dxfId="1226" priority="1256">
      <formula>$B1609="Unidade Construtiva"</formula>
    </cfRule>
    <cfRule type="expression" dxfId="1225" priority="1257">
      <formula>$B1609="Serviço"</formula>
    </cfRule>
    <cfRule type="expression" dxfId="1224" priority="1258">
      <formula>$B1609="Insumo"</formula>
    </cfRule>
    <cfRule type="expression" dxfId="1223" priority="1259">
      <formula>$B1609="Etapa"</formula>
    </cfRule>
    <cfRule type="expression" dxfId="1222" priority="1260">
      <formula>$B1609="Célula Construtiva"</formula>
    </cfRule>
    <cfRule type="expression" dxfId="1221" priority="1261">
      <formula>$B1609="Subetapa"</formula>
    </cfRule>
  </conditionalFormatting>
  <conditionalFormatting sqref="V1610">
    <cfRule type="expression" dxfId="1220" priority="1242" stopIfTrue="1">
      <formula>$B1610="insumo"</formula>
    </cfRule>
  </conditionalFormatting>
  <conditionalFormatting sqref="V1610">
    <cfRule type="expression" dxfId="1219" priority="1243">
      <formula>$B1610="Unidade Construtiva"</formula>
    </cfRule>
    <cfRule type="expression" dxfId="1218" priority="1244">
      <formula>$B1610="Serviço"</formula>
    </cfRule>
    <cfRule type="expression" dxfId="1217" priority="1245">
      <formula>$B1610="Insumo"</formula>
    </cfRule>
    <cfRule type="expression" dxfId="1216" priority="1246">
      <formula>$B1610="Etapa"</formula>
    </cfRule>
    <cfRule type="expression" dxfId="1215" priority="1247">
      <formula>$B1610="Célula Construtiva"</formula>
    </cfRule>
    <cfRule type="expression" dxfId="1214" priority="1248">
      <formula>$B1610="Subetapa"</formula>
    </cfRule>
  </conditionalFormatting>
  <conditionalFormatting sqref="V1611">
    <cfRule type="expression" dxfId="1213" priority="1228" stopIfTrue="1">
      <formula>$B1611="insumo"</formula>
    </cfRule>
  </conditionalFormatting>
  <conditionalFormatting sqref="V1611">
    <cfRule type="expression" dxfId="1212" priority="1229">
      <formula>$B1611="Unidade Construtiva"</formula>
    </cfRule>
    <cfRule type="expression" dxfId="1211" priority="1230">
      <formula>$B1611="Serviço"</formula>
    </cfRule>
    <cfRule type="expression" dxfId="1210" priority="1231">
      <formula>$B1611="Insumo"</formula>
    </cfRule>
    <cfRule type="expression" dxfId="1209" priority="1232">
      <formula>$B1611="Etapa"</formula>
    </cfRule>
    <cfRule type="expression" dxfId="1208" priority="1233">
      <formula>$B1611="Célula Construtiva"</formula>
    </cfRule>
    <cfRule type="expression" dxfId="1207" priority="1234">
      <formula>$B1611="Subetapa"</formula>
    </cfRule>
  </conditionalFormatting>
  <conditionalFormatting sqref="V1613">
    <cfRule type="expression" dxfId="1206" priority="1221" stopIfTrue="1">
      <formula>$B1613="insumo"</formula>
    </cfRule>
  </conditionalFormatting>
  <conditionalFormatting sqref="V1613">
    <cfRule type="expression" dxfId="1205" priority="1222">
      <formula>$B1613="Unidade Construtiva"</formula>
    </cfRule>
    <cfRule type="expression" dxfId="1204" priority="1223">
      <formula>$B1613="Serviço"</formula>
    </cfRule>
    <cfRule type="expression" dxfId="1203" priority="1224">
      <formula>$B1613="Insumo"</formula>
    </cfRule>
    <cfRule type="expression" dxfId="1202" priority="1225">
      <formula>$B1613="Etapa"</formula>
    </cfRule>
    <cfRule type="expression" dxfId="1201" priority="1226">
      <formula>$B1613="Célula Construtiva"</formula>
    </cfRule>
    <cfRule type="expression" dxfId="1200" priority="1227">
      <formula>$B1613="Subetapa"</formula>
    </cfRule>
  </conditionalFormatting>
  <conditionalFormatting sqref="V1614">
    <cfRule type="expression" dxfId="1199" priority="1200" stopIfTrue="1">
      <formula>$B1614="insumo"</formula>
    </cfRule>
  </conditionalFormatting>
  <conditionalFormatting sqref="V1614">
    <cfRule type="expression" dxfId="1198" priority="1201">
      <formula>$B1614="Unidade Construtiva"</formula>
    </cfRule>
    <cfRule type="expression" dxfId="1197" priority="1202">
      <formula>$B1614="Serviço"</formula>
    </cfRule>
    <cfRule type="expression" dxfId="1196" priority="1203">
      <formula>$B1614="Insumo"</formula>
    </cfRule>
    <cfRule type="expression" dxfId="1195" priority="1204">
      <formula>$B1614="Etapa"</formula>
    </cfRule>
    <cfRule type="expression" dxfId="1194" priority="1205">
      <formula>$B1614="Célula Construtiva"</formula>
    </cfRule>
    <cfRule type="expression" dxfId="1193" priority="1206">
      <formula>$B1614="Subetapa"</formula>
    </cfRule>
  </conditionalFormatting>
  <conditionalFormatting sqref="V1612">
    <cfRule type="expression" dxfId="1192" priority="1186" stopIfTrue="1">
      <formula>$B1612="insumo"</formula>
    </cfRule>
  </conditionalFormatting>
  <conditionalFormatting sqref="V1612">
    <cfRule type="expression" dxfId="1191" priority="1187">
      <formula>$B1612="Unidade Construtiva"</formula>
    </cfRule>
    <cfRule type="expression" dxfId="1190" priority="1188">
      <formula>$B1612="Serviço"</formula>
    </cfRule>
    <cfRule type="expression" dxfId="1189" priority="1189">
      <formula>$B1612="Insumo"</formula>
    </cfRule>
    <cfRule type="expression" dxfId="1188" priority="1190">
      <formula>$B1612="Etapa"</formula>
    </cfRule>
    <cfRule type="expression" dxfId="1187" priority="1191">
      <formula>$B1612="Célula Construtiva"</formula>
    </cfRule>
    <cfRule type="expression" dxfId="1186" priority="1192">
      <formula>$B1612="Subetapa"</formula>
    </cfRule>
  </conditionalFormatting>
  <conditionalFormatting sqref="V1635:V1636">
    <cfRule type="expression" dxfId="1185" priority="1178" stopIfTrue="1">
      <formula>$B1635="insumo"</formula>
    </cfRule>
  </conditionalFormatting>
  <conditionalFormatting sqref="T1635:U1636 AA1635:AA1636">
    <cfRule type="expression" dxfId="1184" priority="1177" stopIfTrue="1">
      <formula>$B1635="SERVIÇO"</formula>
    </cfRule>
  </conditionalFormatting>
  <conditionalFormatting sqref="AE1635:AF1636 A1635:E1636 T1636:AC1636 G1636:R1636 G1635:AC1635">
    <cfRule type="expression" dxfId="1183" priority="1179">
      <formula>$B1635="Unidade Construtiva"</formula>
    </cfRule>
    <cfRule type="expression" dxfId="1182" priority="1180">
      <formula>$B1635="Serviço"</formula>
    </cfRule>
    <cfRule type="expression" dxfId="1181" priority="1181">
      <formula>$B1635="Insumo"</formula>
    </cfRule>
    <cfRule type="expression" dxfId="1180" priority="1182">
      <formula>$B1635="Etapa"</formula>
    </cfRule>
    <cfRule type="expression" dxfId="1179" priority="1183">
      <formula>$B1635="Célula Construtiva"</formula>
    </cfRule>
    <cfRule type="expression" dxfId="1178" priority="1184">
      <formula>$B1635="Subetapa"</formula>
    </cfRule>
  </conditionalFormatting>
  <conditionalFormatting sqref="T1635:T1636">
    <cfRule type="expression" dxfId="1177" priority="1176" stopIfTrue="1">
      <formula>$B1635="INSUMO"</formula>
    </cfRule>
  </conditionalFormatting>
  <conditionalFormatting sqref="W1635:W1636">
    <cfRule type="containsText" dxfId="1176" priority="1175" stopIfTrue="1" operator="containsText" text="INSERIR">
      <formula>NOT(ISERROR(SEARCH("INSERIR",W1635)))</formula>
    </cfRule>
  </conditionalFormatting>
  <conditionalFormatting sqref="U1671:U1674">
    <cfRule type="expression" dxfId="1175" priority="1168" stopIfTrue="1">
      <formula>$B1671="SERVIÇO"</formula>
    </cfRule>
  </conditionalFormatting>
  <conditionalFormatting sqref="U1671:U1674 W1671:Z1674">
    <cfRule type="expression" dxfId="1174" priority="1169">
      <formula>$B1671="Unidade Construtiva"</formula>
    </cfRule>
    <cfRule type="expression" dxfId="1173" priority="1170">
      <formula>$B1671="Serviço"</formula>
    </cfRule>
    <cfRule type="expression" dxfId="1172" priority="1171">
      <formula>$B1671="Insumo"</formula>
    </cfRule>
    <cfRule type="expression" dxfId="1171" priority="1172">
      <formula>$B1671="Etapa"</formula>
    </cfRule>
    <cfRule type="expression" dxfId="1170" priority="1173">
      <formula>$B1671="Célula Construtiva"</formula>
    </cfRule>
    <cfRule type="expression" dxfId="1169" priority="1174">
      <formula>$B1671="Subetapa"</formula>
    </cfRule>
  </conditionalFormatting>
  <conditionalFormatting sqref="W1671:W1674">
    <cfRule type="containsText" dxfId="1168" priority="1167" stopIfTrue="1" operator="containsText" text="INSERIR">
      <formula>NOT(ISERROR(SEARCH("INSERIR",W1671)))</formula>
    </cfRule>
  </conditionalFormatting>
  <conditionalFormatting sqref="S1674">
    <cfRule type="expression" dxfId="1167" priority="1161">
      <formula>$B1674="Unidade Construtiva"</formula>
    </cfRule>
    <cfRule type="expression" dxfId="1166" priority="1162">
      <formula>$B1674="Serviço"</formula>
    </cfRule>
    <cfRule type="expression" dxfId="1165" priority="1163">
      <formula>$B1674="Insumo"</formula>
    </cfRule>
    <cfRule type="expression" dxfId="1164" priority="1164">
      <formula>$B1674="Etapa"</formula>
    </cfRule>
    <cfRule type="expression" dxfId="1163" priority="1165">
      <formula>$B1674="Célula Construtiva"</formula>
    </cfRule>
    <cfRule type="expression" dxfId="1162" priority="1166">
      <formula>$B1674="Subetapa"</formula>
    </cfRule>
  </conditionalFormatting>
  <conditionalFormatting sqref="V1670:V1674">
    <cfRule type="expression" dxfId="1161" priority="1153" stopIfTrue="1">
      <formula>$B1670="insumo"</formula>
    </cfRule>
  </conditionalFormatting>
  <conditionalFormatting sqref="AA1670:AA1674 T1670:U1670 T1671:T1674">
    <cfRule type="expression" dxfId="1160" priority="1152" stopIfTrue="1">
      <formula>$B1670="SERVIÇO"</formula>
    </cfRule>
  </conditionalFormatting>
  <conditionalFormatting sqref="AE1670:AF1674 V1671:V1674 AA1671:AC1674 A1670:E1674 T1674 G1674:R1674 G1671:T1673 G1670:AC1670">
    <cfRule type="expression" dxfId="1159" priority="1154">
      <formula>$B1670="Unidade Construtiva"</formula>
    </cfRule>
    <cfRule type="expression" dxfId="1158" priority="1155">
      <formula>$B1670="Serviço"</formula>
    </cfRule>
    <cfRule type="expression" dxfId="1157" priority="1156">
      <formula>$B1670="Insumo"</formula>
    </cfRule>
    <cfRule type="expression" dxfId="1156" priority="1157">
      <formula>$B1670="Etapa"</formula>
    </cfRule>
    <cfRule type="expression" dxfId="1155" priority="1158">
      <formula>$B1670="Célula Construtiva"</formula>
    </cfRule>
    <cfRule type="expression" dxfId="1154" priority="1159">
      <formula>$B1670="Subetapa"</formula>
    </cfRule>
  </conditionalFormatting>
  <conditionalFormatting sqref="T1670:T1674">
    <cfRule type="expression" dxfId="1153" priority="1151" stopIfTrue="1">
      <formula>$B1670="INSUMO"</formula>
    </cfRule>
  </conditionalFormatting>
  <conditionalFormatting sqref="W1670">
    <cfRule type="containsText" dxfId="1152" priority="1150" stopIfTrue="1" operator="containsText" text="INSERIR">
      <formula>NOT(ISERROR(SEARCH("INSERIR",W1670)))</formula>
    </cfRule>
  </conditionalFormatting>
  <conditionalFormatting sqref="V1675">
    <cfRule type="expression" dxfId="1151" priority="1143" stopIfTrue="1">
      <formula>$B1675="insumo"</formula>
    </cfRule>
  </conditionalFormatting>
  <conditionalFormatting sqref="T1675:U1675 AA1675:AA1677 T1676:T1677 U1676:U1680">
    <cfRule type="expression" dxfId="1150" priority="1142" stopIfTrue="1">
      <formula>$B1675="SERVIÇO"</formula>
    </cfRule>
  </conditionalFormatting>
  <conditionalFormatting sqref="AE1675:AF1677 A1675:E1677 U1676:U1680 AA1676:AC1677 W1676:Z1680 T1675:AC1675 G1676:T1677 G1675:R1675">
    <cfRule type="expression" dxfId="1149" priority="1144">
      <formula>$B1675="Unidade Construtiva"</formula>
    </cfRule>
    <cfRule type="expression" dxfId="1148" priority="1145">
      <formula>$B1675="Serviço"</formula>
    </cfRule>
    <cfRule type="expression" dxfId="1147" priority="1146">
      <formula>$B1675="Insumo"</formula>
    </cfRule>
    <cfRule type="expression" dxfId="1146" priority="1147">
      <formula>$B1675="Etapa"</formula>
    </cfRule>
    <cfRule type="expression" dxfId="1145" priority="1148">
      <formula>$B1675="Célula Construtiva"</formula>
    </cfRule>
    <cfRule type="expression" dxfId="1144" priority="1149">
      <formula>$B1675="Subetapa"</formula>
    </cfRule>
  </conditionalFormatting>
  <conditionalFormatting sqref="T1675:T1677">
    <cfRule type="expression" dxfId="1143" priority="1141" stopIfTrue="1">
      <formula>$B1675="INSUMO"</formula>
    </cfRule>
  </conditionalFormatting>
  <conditionalFormatting sqref="W1676:W1680">
    <cfRule type="containsText" dxfId="1142" priority="1140" stopIfTrue="1" operator="containsText" text="INSERIR">
      <formula>NOT(ISERROR(SEARCH("INSERIR",W1676)))</formula>
    </cfRule>
  </conditionalFormatting>
  <conditionalFormatting sqref="AA1680 T1680">
    <cfRule type="expression" dxfId="1141" priority="1132" stopIfTrue="1">
      <formula>$B1680="SERVIÇO"</formula>
    </cfRule>
  </conditionalFormatting>
  <conditionalFormatting sqref="AE1680:AF1680 A1680:E1680 AA1680:AC1680 G1680:T1680">
    <cfRule type="expression" dxfId="1140" priority="1133">
      <formula>$B1680="Unidade Construtiva"</formula>
    </cfRule>
    <cfRule type="expression" dxfId="1139" priority="1134">
      <formula>$B1680="Serviço"</formula>
    </cfRule>
    <cfRule type="expression" dxfId="1138" priority="1135">
      <formula>$B1680="Insumo"</formula>
    </cfRule>
    <cfRule type="expression" dxfId="1137" priority="1136">
      <formula>$B1680="Etapa"</formula>
    </cfRule>
    <cfRule type="expression" dxfId="1136" priority="1137">
      <formula>$B1680="Célula Construtiva"</formula>
    </cfRule>
    <cfRule type="expression" dxfId="1135" priority="1138">
      <formula>$B1680="Subetapa"</formula>
    </cfRule>
  </conditionalFormatting>
  <conditionalFormatting sqref="T1680">
    <cfRule type="expression" dxfId="1134" priority="1131" stopIfTrue="1">
      <formula>$B1680="INSUMO"</formula>
    </cfRule>
  </conditionalFormatting>
  <conditionalFormatting sqref="W1675">
    <cfRule type="containsText" dxfId="1133" priority="1130" stopIfTrue="1" operator="containsText" text="INSERIR">
      <formula>NOT(ISERROR(SEARCH("INSERIR",W1675)))</formula>
    </cfRule>
  </conditionalFormatting>
  <conditionalFormatting sqref="AA1679 T1679">
    <cfRule type="expression" dxfId="1132" priority="1122" stopIfTrue="1">
      <formula>$B1679="SERVIÇO"</formula>
    </cfRule>
  </conditionalFormatting>
  <conditionalFormatting sqref="AE1679:AF1679 A1679:E1679 AA1679:AC1679 G1679:T1679">
    <cfRule type="expression" dxfId="1131" priority="1123">
      <formula>$B1679="Unidade Construtiva"</formula>
    </cfRule>
    <cfRule type="expression" dxfId="1130" priority="1124">
      <formula>$B1679="Serviço"</formula>
    </cfRule>
    <cfRule type="expression" dxfId="1129" priority="1125">
      <formula>$B1679="Insumo"</formula>
    </cfRule>
    <cfRule type="expression" dxfId="1128" priority="1126">
      <formula>$B1679="Etapa"</formula>
    </cfRule>
    <cfRule type="expression" dxfId="1127" priority="1127">
      <formula>$B1679="Célula Construtiva"</formula>
    </cfRule>
    <cfRule type="expression" dxfId="1126" priority="1128">
      <formula>$B1679="Subetapa"</formula>
    </cfRule>
  </conditionalFormatting>
  <conditionalFormatting sqref="T1679">
    <cfRule type="expression" dxfId="1125" priority="1121" stopIfTrue="1">
      <formula>$B1679="INSUMO"</formula>
    </cfRule>
  </conditionalFormatting>
  <conditionalFormatting sqref="T1678 AA1678">
    <cfRule type="expression" dxfId="1124" priority="1113" stopIfTrue="1">
      <formula>$B1678="SERVIÇO"</formula>
    </cfRule>
  </conditionalFormatting>
  <conditionalFormatting sqref="A1678:E1678 AE1678:AF1678 AA1678:AC1678 G1678:T1678">
    <cfRule type="expression" dxfId="1123" priority="1114">
      <formula>$B1678="Unidade Construtiva"</formula>
    </cfRule>
    <cfRule type="expression" dxfId="1122" priority="1115">
      <formula>$B1678="Serviço"</formula>
    </cfRule>
    <cfRule type="expression" dxfId="1121" priority="1116">
      <formula>$B1678="Insumo"</formula>
    </cfRule>
    <cfRule type="expression" dxfId="1120" priority="1117">
      <formula>$B1678="Etapa"</formula>
    </cfRule>
    <cfRule type="expression" dxfId="1119" priority="1118">
      <formula>$B1678="Célula Construtiva"</formula>
    </cfRule>
    <cfRule type="expression" dxfId="1118" priority="1119">
      <formula>$B1678="Subetapa"</formula>
    </cfRule>
  </conditionalFormatting>
  <conditionalFormatting sqref="T1678">
    <cfRule type="expression" dxfId="1117" priority="1112" stopIfTrue="1">
      <formula>$B1678="INSUMO"</formula>
    </cfRule>
  </conditionalFormatting>
  <conditionalFormatting sqref="S1675">
    <cfRule type="expression" dxfId="1116" priority="1106">
      <formula>$B1675="Unidade Construtiva"</formula>
    </cfRule>
    <cfRule type="expression" dxfId="1115" priority="1107">
      <formula>$B1675="Serviço"</formula>
    </cfRule>
    <cfRule type="expression" dxfId="1114" priority="1108">
      <formula>$B1675="Insumo"</formula>
    </cfRule>
    <cfRule type="expression" dxfId="1113" priority="1109">
      <formula>$B1675="Etapa"</formula>
    </cfRule>
    <cfRule type="expression" dxfId="1112" priority="1110">
      <formula>$B1675="Célula Construtiva"</formula>
    </cfRule>
    <cfRule type="expression" dxfId="1111" priority="1111">
      <formula>$B1675="Subetapa"</formula>
    </cfRule>
  </conditionalFormatting>
  <conditionalFormatting sqref="V1676">
    <cfRule type="expression" dxfId="1110" priority="1099" stopIfTrue="1">
      <formula>$B1676="insumo"</formula>
    </cfRule>
  </conditionalFormatting>
  <conditionalFormatting sqref="V1676">
    <cfRule type="expression" dxfId="1109" priority="1100">
      <formula>$B1676="Unidade Construtiva"</formula>
    </cfRule>
    <cfRule type="expression" dxfId="1108" priority="1101">
      <formula>$B1676="Serviço"</formula>
    </cfRule>
    <cfRule type="expression" dxfId="1107" priority="1102">
      <formula>$B1676="Insumo"</formula>
    </cfRule>
    <cfRule type="expression" dxfId="1106" priority="1103">
      <formula>$B1676="Etapa"</formula>
    </cfRule>
    <cfRule type="expression" dxfId="1105" priority="1104">
      <formula>$B1676="Célula Construtiva"</formula>
    </cfRule>
    <cfRule type="expression" dxfId="1104" priority="1105">
      <formula>$B1676="Subetapa"</formula>
    </cfRule>
  </conditionalFormatting>
  <conditionalFormatting sqref="V1677">
    <cfRule type="expression" dxfId="1103" priority="1092" stopIfTrue="1">
      <formula>$B1677="insumo"</formula>
    </cfRule>
  </conditionalFormatting>
  <conditionalFormatting sqref="V1677">
    <cfRule type="expression" dxfId="1102" priority="1093">
      <formula>$B1677="Unidade Construtiva"</formula>
    </cfRule>
    <cfRule type="expression" dxfId="1101" priority="1094">
      <formula>$B1677="Serviço"</formula>
    </cfRule>
    <cfRule type="expression" dxfId="1100" priority="1095">
      <formula>$B1677="Insumo"</formula>
    </cfRule>
    <cfRule type="expression" dxfId="1099" priority="1096">
      <formula>$B1677="Etapa"</formula>
    </cfRule>
    <cfRule type="expression" dxfId="1098" priority="1097">
      <formula>$B1677="Célula Construtiva"</formula>
    </cfRule>
    <cfRule type="expression" dxfId="1097" priority="1098">
      <formula>$B1677="Subetapa"</formula>
    </cfRule>
  </conditionalFormatting>
  <conditionalFormatting sqref="V1679">
    <cfRule type="expression" dxfId="1096" priority="1085" stopIfTrue="1">
      <formula>$B1679="insumo"</formula>
    </cfRule>
  </conditionalFormatting>
  <conditionalFormatting sqref="V1679">
    <cfRule type="expression" dxfId="1095" priority="1086">
      <formula>$B1679="Unidade Construtiva"</formula>
    </cfRule>
    <cfRule type="expression" dxfId="1094" priority="1087">
      <formula>$B1679="Serviço"</formula>
    </cfRule>
    <cfRule type="expression" dxfId="1093" priority="1088">
      <formula>$B1679="Insumo"</formula>
    </cfRule>
    <cfRule type="expression" dxfId="1092" priority="1089">
      <formula>$B1679="Etapa"</formula>
    </cfRule>
    <cfRule type="expression" dxfId="1091" priority="1090">
      <formula>$B1679="Célula Construtiva"</formula>
    </cfRule>
    <cfRule type="expression" dxfId="1090" priority="1091">
      <formula>$B1679="Subetapa"</formula>
    </cfRule>
  </conditionalFormatting>
  <conditionalFormatting sqref="V1680">
    <cfRule type="expression" dxfId="1089" priority="1078" stopIfTrue="1">
      <formula>$B1680="insumo"</formula>
    </cfRule>
  </conditionalFormatting>
  <conditionalFormatting sqref="V1680">
    <cfRule type="expression" dxfId="1088" priority="1079">
      <formula>$B1680="Unidade Construtiva"</formula>
    </cfRule>
    <cfRule type="expression" dxfId="1087" priority="1080">
      <formula>$B1680="Serviço"</formula>
    </cfRule>
    <cfRule type="expression" dxfId="1086" priority="1081">
      <formula>$B1680="Insumo"</formula>
    </cfRule>
    <cfRule type="expression" dxfId="1085" priority="1082">
      <formula>$B1680="Etapa"</formula>
    </cfRule>
    <cfRule type="expression" dxfId="1084" priority="1083">
      <formula>$B1680="Célula Construtiva"</formula>
    </cfRule>
    <cfRule type="expression" dxfId="1083" priority="1084">
      <formula>$B1680="Subetapa"</formula>
    </cfRule>
  </conditionalFormatting>
  <conditionalFormatting sqref="V1678">
    <cfRule type="expression" dxfId="1082" priority="1071" stopIfTrue="1">
      <formula>$B1678="insumo"</formula>
    </cfRule>
  </conditionalFormatting>
  <conditionalFormatting sqref="V1678">
    <cfRule type="expression" dxfId="1081" priority="1072">
      <formula>$B1678="Unidade Construtiva"</formula>
    </cfRule>
    <cfRule type="expression" dxfId="1080" priority="1073">
      <formula>$B1678="Serviço"</formula>
    </cfRule>
    <cfRule type="expression" dxfId="1079" priority="1074">
      <formula>$B1678="Insumo"</formula>
    </cfRule>
    <cfRule type="expression" dxfId="1078" priority="1075">
      <formula>$B1678="Etapa"</formula>
    </cfRule>
    <cfRule type="expression" dxfId="1077" priority="1076">
      <formula>$B1678="Célula Construtiva"</formula>
    </cfRule>
    <cfRule type="expression" dxfId="1076" priority="1077">
      <formula>$B1678="Subetapa"</formula>
    </cfRule>
  </conditionalFormatting>
  <conditionalFormatting sqref="V1681">
    <cfRule type="expression" dxfId="1075" priority="1064" stopIfTrue="1">
      <formula>$B1681="insumo"</formula>
    </cfRule>
  </conditionalFormatting>
  <conditionalFormatting sqref="T1681:U1681 AA1681:AA1683 T1682:T1683 U1682:U1686">
    <cfRule type="expression" dxfId="1074" priority="1063" stopIfTrue="1">
      <formula>$B1681="SERVIÇO"</formula>
    </cfRule>
  </conditionalFormatting>
  <conditionalFormatting sqref="AE1681:AF1683 A1681:E1683 U1682:U1686 AA1682:AC1683 W1682:Z1686 T1681:AC1681 G1682:T1683 G1681:R1681">
    <cfRule type="expression" dxfId="1073" priority="1065">
      <formula>$B1681="Unidade Construtiva"</formula>
    </cfRule>
    <cfRule type="expression" dxfId="1072" priority="1066">
      <formula>$B1681="Serviço"</formula>
    </cfRule>
    <cfRule type="expression" dxfId="1071" priority="1067">
      <formula>$B1681="Insumo"</formula>
    </cfRule>
    <cfRule type="expression" dxfId="1070" priority="1068">
      <formula>$B1681="Etapa"</formula>
    </cfRule>
    <cfRule type="expression" dxfId="1069" priority="1069">
      <formula>$B1681="Célula Construtiva"</formula>
    </cfRule>
    <cfRule type="expression" dxfId="1068" priority="1070">
      <formula>$B1681="Subetapa"</formula>
    </cfRule>
  </conditionalFormatting>
  <conditionalFormatting sqref="T1681:T1683">
    <cfRule type="expression" dxfId="1067" priority="1062" stopIfTrue="1">
      <formula>$B1681="INSUMO"</formula>
    </cfRule>
  </conditionalFormatting>
  <conditionalFormatting sqref="W1682:W1686">
    <cfRule type="containsText" dxfId="1066" priority="1061" stopIfTrue="1" operator="containsText" text="INSERIR">
      <formula>NOT(ISERROR(SEARCH("INSERIR",W1682)))</formula>
    </cfRule>
  </conditionalFormatting>
  <conditionalFormatting sqref="AA1686 T1686">
    <cfRule type="expression" dxfId="1065" priority="1053" stopIfTrue="1">
      <formula>$B1686="SERVIÇO"</formula>
    </cfRule>
  </conditionalFormatting>
  <conditionalFormatting sqref="AE1686:AF1686 A1686:E1686 AA1686:AC1686 G1686:T1686">
    <cfRule type="expression" dxfId="1064" priority="1054">
      <formula>$B1686="Unidade Construtiva"</formula>
    </cfRule>
    <cfRule type="expression" dxfId="1063" priority="1055">
      <formula>$B1686="Serviço"</formula>
    </cfRule>
    <cfRule type="expression" dxfId="1062" priority="1056">
      <formula>$B1686="Insumo"</formula>
    </cfRule>
    <cfRule type="expression" dxfId="1061" priority="1057">
      <formula>$B1686="Etapa"</formula>
    </cfRule>
    <cfRule type="expression" dxfId="1060" priority="1058">
      <formula>$B1686="Célula Construtiva"</formula>
    </cfRule>
    <cfRule type="expression" dxfId="1059" priority="1059">
      <formula>$B1686="Subetapa"</formula>
    </cfRule>
  </conditionalFormatting>
  <conditionalFormatting sqref="T1686">
    <cfRule type="expression" dxfId="1058" priority="1052" stopIfTrue="1">
      <formula>$B1686="INSUMO"</formula>
    </cfRule>
  </conditionalFormatting>
  <conditionalFormatting sqref="W1681">
    <cfRule type="containsText" dxfId="1057" priority="1051" stopIfTrue="1" operator="containsText" text="INSERIR">
      <formula>NOT(ISERROR(SEARCH("INSERIR",W1681)))</formula>
    </cfRule>
  </conditionalFormatting>
  <conditionalFormatting sqref="AA1685 T1685">
    <cfRule type="expression" dxfId="1056" priority="1043" stopIfTrue="1">
      <formula>$B1685="SERVIÇO"</formula>
    </cfRule>
  </conditionalFormatting>
  <conditionalFormatting sqref="AE1685:AF1685 A1685:E1685 AA1685:AC1685 G1685:T1685">
    <cfRule type="expression" dxfId="1055" priority="1044">
      <formula>$B1685="Unidade Construtiva"</formula>
    </cfRule>
    <cfRule type="expression" dxfId="1054" priority="1045">
      <formula>$B1685="Serviço"</formula>
    </cfRule>
    <cfRule type="expression" dxfId="1053" priority="1046">
      <formula>$B1685="Insumo"</formula>
    </cfRule>
    <cfRule type="expression" dxfId="1052" priority="1047">
      <formula>$B1685="Etapa"</formula>
    </cfRule>
    <cfRule type="expression" dxfId="1051" priority="1048">
      <formula>$B1685="Célula Construtiva"</formula>
    </cfRule>
    <cfRule type="expression" dxfId="1050" priority="1049">
      <formula>$B1685="Subetapa"</formula>
    </cfRule>
  </conditionalFormatting>
  <conditionalFormatting sqref="T1685">
    <cfRule type="expression" dxfId="1049" priority="1042" stopIfTrue="1">
      <formula>$B1685="INSUMO"</formula>
    </cfRule>
  </conditionalFormatting>
  <conditionalFormatting sqref="T1684 AA1684">
    <cfRule type="expression" dxfId="1048" priority="1034" stopIfTrue="1">
      <formula>$B1684="SERVIÇO"</formula>
    </cfRule>
  </conditionalFormatting>
  <conditionalFormatting sqref="A1684:E1684 AE1684:AF1684 AA1684:AC1684 G1684:T1684">
    <cfRule type="expression" dxfId="1047" priority="1035">
      <formula>$B1684="Unidade Construtiva"</formula>
    </cfRule>
    <cfRule type="expression" dxfId="1046" priority="1036">
      <formula>$B1684="Serviço"</formula>
    </cfRule>
    <cfRule type="expression" dxfId="1045" priority="1037">
      <formula>$B1684="Insumo"</formula>
    </cfRule>
    <cfRule type="expression" dxfId="1044" priority="1038">
      <formula>$B1684="Etapa"</formula>
    </cfRule>
    <cfRule type="expression" dxfId="1043" priority="1039">
      <formula>$B1684="Célula Construtiva"</formula>
    </cfRule>
    <cfRule type="expression" dxfId="1042" priority="1040">
      <formula>$B1684="Subetapa"</formula>
    </cfRule>
  </conditionalFormatting>
  <conditionalFormatting sqref="T1684">
    <cfRule type="expression" dxfId="1041" priority="1033" stopIfTrue="1">
      <formula>$B1684="INSUMO"</formula>
    </cfRule>
  </conditionalFormatting>
  <conditionalFormatting sqref="S1681">
    <cfRule type="expression" dxfId="1040" priority="1027">
      <formula>$B1681="Unidade Construtiva"</formula>
    </cfRule>
    <cfRule type="expression" dxfId="1039" priority="1028">
      <formula>$B1681="Serviço"</formula>
    </cfRule>
    <cfRule type="expression" dxfId="1038" priority="1029">
      <formula>$B1681="Insumo"</formula>
    </cfRule>
    <cfRule type="expression" dxfId="1037" priority="1030">
      <formula>$B1681="Etapa"</formula>
    </cfRule>
    <cfRule type="expression" dxfId="1036" priority="1031">
      <formula>$B1681="Célula Construtiva"</formula>
    </cfRule>
    <cfRule type="expression" dxfId="1035" priority="1032">
      <formula>$B1681="Subetapa"</formula>
    </cfRule>
  </conditionalFormatting>
  <conditionalFormatting sqref="V1682">
    <cfRule type="expression" dxfId="1034" priority="1020" stopIfTrue="1">
      <formula>$B1682="insumo"</formula>
    </cfRule>
  </conditionalFormatting>
  <conditionalFormatting sqref="V1682">
    <cfRule type="expression" dxfId="1033" priority="1021">
      <formula>$B1682="Unidade Construtiva"</formula>
    </cfRule>
    <cfRule type="expression" dxfId="1032" priority="1022">
      <formula>$B1682="Serviço"</formula>
    </cfRule>
    <cfRule type="expression" dxfId="1031" priority="1023">
      <formula>$B1682="Insumo"</formula>
    </cfRule>
    <cfRule type="expression" dxfId="1030" priority="1024">
      <formula>$B1682="Etapa"</formula>
    </cfRule>
    <cfRule type="expression" dxfId="1029" priority="1025">
      <formula>$B1682="Célula Construtiva"</formula>
    </cfRule>
    <cfRule type="expression" dxfId="1028" priority="1026">
      <formula>$B1682="Subetapa"</formula>
    </cfRule>
  </conditionalFormatting>
  <conditionalFormatting sqref="V1683">
    <cfRule type="expression" dxfId="1027" priority="1013" stopIfTrue="1">
      <formula>$B1683="insumo"</formula>
    </cfRule>
  </conditionalFormatting>
  <conditionalFormatting sqref="V1683">
    <cfRule type="expression" dxfId="1026" priority="1014">
      <formula>$B1683="Unidade Construtiva"</formula>
    </cfRule>
    <cfRule type="expression" dxfId="1025" priority="1015">
      <formula>$B1683="Serviço"</formula>
    </cfRule>
    <cfRule type="expression" dxfId="1024" priority="1016">
      <formula>$B1683="Insumo"</formula>
    </cfRule>
    <cfRule type="expression" dxfId="1023" priority="1017">
      <formula>$B1683="Etapa"</formula>
    </cfRule>
    <cfRule type="expression" dxfId="1022" priority="1018">
      <formula>$B1683="Célula Construtiva"</formula>
    </cfRule>
    <cfRule type="expression" dxfId="1021" priority="1019">
      <formula>$B1683="Subetapa"</formula>
    </cfRule>
  </conditionalFormatting>
  <conditionalFormatting sqref="V1685">
    <cfRule type="expression" dxfId="1020" priority="1006" stopIfTrue="1">
      <formula>$B1685="insumo"</formula>
    </cfRule>
  </conditionalFormatting>
  <conditionalFormatting sqref="V1685">
    <cfRule type="expression" dxfId="1019" priority="1007">
      <formula>$B1685="Unidade Construtiva"</formula>
    </cfRule>
    <cfRule type="expression" dxfId="1018" priority="1008">
      <formula>$B1685="Serviço"</formula>
    </cfRule>
    <cfRule type="expression" dxfId="1017" priority="1009">
      <formula>$B1685="Insumo"</formula>
    </cfRule>
    <cfRule type="expression" dxfId="1016" priority="1010">
      <formula>$B1685="Etapa"</formula>
    </cfRule>
    <cfRule type="expression" dxfId="1015" priority="1011">
      <formula>$B1685="Célula Construtiva"</formula>
    </cfRule>
    <cfRule type="expression" dxfId="1014" priority="1012">
      <formula>$B1685="Subetapa"</formula>
    </cfRule>
  </conditionalFormatting>
  <conditionalFormatting sqref="V1686">
    <cfRule type="expression" dxfId="1013" priority="999" stopIfTrue="1">
      <formula>$B1686="insumo"</formula>
    </cfRule>
  </conditionalFormatting>
  <conditionalFormatting sqref="V1686">
    <cfRule type="expression" dxfId="1012" priority="1000">
      <formula>$B1686="Unidade Construtiva"</formula>
    </cfRule>
    <cfRule type="expression" dxfId="1011" priority="1001">
      <formula>$B1686="Serviço"</formula>
    </cfRule>
    <cfRule type="expression" dxfId="1010" priority="1002">
      <formula>$B1686="Insumo"</formula>
    </cfRule>
    <cfRule type="expression" dxfId="1009" priority="1003">
      <formula>$B1686="Etapa"</formula>
    </cfRule>
    <cfRule type="expression" dxfId="1008" priority="1004">
      <formula>$B1686="Célula Construtiva"</formula>
    </cfRule>
    <cfRule type="expression" dxfId="1007" priority="1005">
      <formula>$B1686="Subetapa"</formula>
    </cfRule>
  </conditionalFormatting>
  <conditionalFormatting sqref="V1684">
    <cfRule type="expression" dxfId="1006" priority="992" stopIfTrue="1">
      <formula>$B1684="insumo"</formula>
    </cfRule>
  </conditionalFormatting>
  <conditionalFormatting sqref="V1684">
    <cfRule type="expression" dxfId="1005" priority="993">
      <formula>$B1684="Unidade Construtiva"</formula>
    </cfRule>
    <cfRule type="expression" dxfId="1004" priority="994">
      <formula>$B1684="Serviço"</formula>
    </cfRule>
    <cfRule type="expression" dxfId="1003" priority="995">
      <formula>$B1684="Insumo"</formula>
    </cfRule>
    <cfRule type="expression" dxfId="1002" priority="996">
      <formula>$B1684="Etapa"</formula>
    </cfRule>
    <cfRule type="expression" dxfId="1001" priority="997">
      <formula>$B1684="Célula Construtiva"</formula>
    </cfRule>
    <cfRule type="expression" dxfId="1000" priority="998">
      <formula>$B1684="Subetapa"</formula>
    </cfRule>
  </conditionalFormatting>
  <conditionalFormatting sqref="V1703:V1704">
    <cfRule type="expression" dxfId="999" priority="984" stopIfTrue="1">
      <formula>$B1703="insumo"</formula>
    </cfRule>
  </conditionalFormatting>
  <conditionalFormatting sqref="T1703:U1704 AA1703:AA1704">
    <cfRule type="expression" dxfId="998" priority="983" stopIfTrue="1">
      <formula>$B1703="SERVIÇO"</formula>
    </cfRule>
  </conditionalFormatting>
  <conditionalFormatting sqref="A1703:E1704 AE1703:AF1704 G1703:AC1704">
    <cfRule type="expression" dxfId="997" priority="985">
      <formula>$B1703="Unidade Construtiva"</formula>
    </cfRule>
    <cfRule type="expression" dxfId="996" priority="986">
      <formula>$B1703="Serviço"</formula>
    </cfRule>
    <cfRule type="expression" dxfId="995" priority="987">
      <formula>$B1703="Insumo"</formula>
    </cfRule>
    <cfRule type="expression" dxfId="994" priority="988">
      <formula>$B1703="Etapa"</formula>
    </cfRule>
    <cfRule type="expression" dxfId="993" priority="989">
      <formula>$B1703="Célula Construtiva"</formula>
    </cfRule>
    <cfRule type="expression" dxfId="992" priority="990">
      <formula>$B1703="Subetapa"</formula>
    </cfRule>
  </conditionalFormatting>
  <conditionalFormatting sqref="T1703:T1704">
    <cfRule type="expression" dxfId="991" priority="982" stopIfTrue="1">
      <formula>$B1703="INSUMO"</formula>
    </cfRule>
  </conditionalFormatting>
  <conditionalFormatting sqref="W1703:W1704">
    <cfRule type="containsText" dxfId="990" priority="981" stopIfTrue="1" operator="containsText" text="INSERIR">
      <formula>NOT(ISERROR(SEARCH("INSERIR",W1703)))</formula>
    </cfRule>
  </conditionalFormatting>
  <conditionalFormatting sqref="S1636">
    <cfRule type="expression" dxfId="989" priority="975">
      <formula>$B1636="Unidade Construtiva"</formula>
    </cfRule>
    <cfRule type="expression" dxfId="988" priority="976">
      <formula>$B1636="Serviço"</formula>
    </cfRule>
    <cfRule type="expression" dxfId="987" priority="977">
      <formula>$B1636="Insumo"</formula>
    </cfRule>
    <cfRule type="expression" dxfId="986" priority="978">
      <formula>$B1636="Etapa"</formula>
    </cfRule>
    <cfRule type="expression" dxfId="985" priority="979">
      <formula>$B1636="Célula Construtiva"</formula>
    </cfRule>
    <cfRule type="expression" dxfId="984" priority="980">
      <formula>$B1636="Subetapa"</formula>
    </cfRule>
  </conditionalFormatting>
  <conditionalFormatting sqref="S1575">
    <cfRule type="expression" dxfId="983" priority="969">
      <formula>$B1575="Unidade Construtiva"</formula>
    </cfRule>
    <cfRule type="expression" dxfId="982" priority="970">
      <formula>$B1575="Serviço"</formula>
    </cfRule>
    <cfRule type="expression" dxfId="981" priority="971">
      <formula>$B1575="Insumo"</formula>
    </cfRule>
    <cfRule type="expression" dxfId="980" priority="972">
      <formula>$B1575="Etapa"</formula>
    </cfRule>
    <cfRule type="expression" dxfId="979" priority="973">
      <formula>$B1575="Célula Construtiva"</formula>
    </cfRule>
    <cfRule type="expression" dxfId="978" priority="974">
      <formula>$B1575="Subetapa"</formula>
    </cfRule>
  </conditionalFormatting>
  <conditionalFormatting sqref="S1503">
    <cfRule type="expression" dxfId="977" priority="963">
      <formula>$B1503="Unidade Construtiva"</formula>
    </cfRule>
    <cfRule type="expression" dxfId="976" priority="964">
      <formula>$B1503="Serviço"</formula>
    </cfRule>
    <cfRule type="expression" dxfId="975" priority="965">
      <formula>$B1503="Insumo"</formula>
    </cfRule>
    <cfRule type="expression" dxfId="974" priority="966">
      <formula>$B1503="Etapa"</formula>
    </cfRule>
    <cfRule type="expression" dxfId="973" priority="967">
      <formula>$B1503="Célula Construtiva"</formula>
    </cfRule>
    <cfRule type="expression" dxfId="972" priority="968">
      <formula>$B1503="Subetapa"</formula>
    </cfRule>
  </conditionalFormatting>
  <conditionalFormatting sqref="T1321">
    <cfRule type="expression" dxfId="971" priority="937" stopIfTrue="1">
      <formula>$B1321="SERVIÇO"</formula>
    </cfRule>
  </conditionalFormatting>
  <conditionalFormatting sqref="T1321">
    <cfRule type="expression" dxfId="970" priority="938">
      <formula>$B1321="Unidade Construtiva"</formula>
    </cfRule>
    <cfRule type="expression" dxfId="969" priority="939">
      <formula>$B1321="Serviço"</formula>
    </cfRule>
    <cfRule type="expression" dxfId="968" priority="940">
      <formula>$B1321="Insumo"</formula>
    </cfRule>
    <cfRule type="expression" dxfId="967" priority="941">
      <formula>$B1321="Etapa"</formula>
    </cfRule>
    <cfRule type="expression" dxfId="966" priority="942">
      <formula>$B1321="Célula Construtiva"</formula>
    </cfRule>
    <cfRule type="expression" dxfId="965" priority="943">
      <formula>$B1321="Subetapa"</formula>
    </cfRule>
  </conditionalFormatting>
  <conditionalFormatting sqref="T1321">
    <cfRule type="expression" dxfId="964" priority="936" stopIfTrue="1">
      <formula>$B1321="INSUMO"</formula>
    </cfRule>
  </conditionalFormatting>
  <conditionalFormatting sqref="U1399:U1401">
    <cfRule type="expression" dxfId="963" priority="929" stopIfTrue="1">
      <formula>$B1399="SERVIÇO"</formula>
    </cfRule>
  </conditionalFormatting>
  <conditionalFormatting sqref="U1399:U1401 W1399:Z1401">
    <cfRule type="expression" dxfId="962" priority="930">
      <formula>$B1399="Unidade Construtiva"</formula>
    </cfRule>
    <cfRule type="expression" dxfId="961" priority="931">
      <formula>$B1399="Serviço"</formula>
    </cfRule>
    <cfRule type="expression" dxfId="960" priority="932">
      <formula>$B1399="Insumo"</formula>
    </cfRule>
    <cfRule type="expression" dxfId="959" priority="933">
      <formula>$B1399="Etapa"</formula>
    </cfRule>
    <cfRule type="expression" dxfId="958" priority="934">
      <formula>$B1399="Célula Construtiva"</formula>
    </cfRule>
    <cfRule type="expression" dxfId="957" priority="935">
      <formula>$B1399="Subetapa"</formula>
    </cfRule>
  </conditionalFormatting>
  <conditionalFormatting sqref="T1399:T1401">
    <cfRule type="expression" dxfId="956" priority="928" stopIfTrue="1">
      <formula>$B1399="INSUMO"</formula>
    </cfRule>
  </conditionalFormatting>
  <conditionalFormatting sqref="W1399:W1401">
    <cfRule type="containsText" dxfId="955" priority="927" stopIfTrue="1" operator="containsText" text="INSERIR">
      <formula>NOT(ISERROR(SEARCH("INSERIR",W1399)))</formula>
    </cfRule>
  </conditionalFormatting>
  <conditionalFormatting sqref="T1399:T1401">
    <cfRule type="expression" dxfId="954" priority="920" stopIfTrue="1">
      <formula>$B1399="SERVIÇO"</formula>
    </cfRule>
  </conditionalFormatting>
  <conditionalFormatting sqref="T1399:T1401">
    <cfRule type="expression" dxfId="953" priority="921">
      <formula>$B1399="Unidade Construtiva"</formula>
    </cfRule>
    <cfRule type="expression" dxfId="952" priority="922">
      <formula>$B1399="Serviço"</formula>
    </cfRule>
    <cfRule type="expression" dxfId="951" priority="923">
      <formula>$B1399="Insumo"</formula>
    </cfRule>
    <cfRule type="expression" dxfId="950" priority="924">
      <formula>$B1399="Etapa"</formula>
    </cfRule>
    <cfRule type="expression" dxfId="949" priority="925">
      <formula>$B1399="Célula Construtiva"</formula>
    </cfRule>
    <cfRule type="expression" dxfId="948" priority="926">
      <formula>$B1399="Subetapa"</formula>
    </cfRule>
  </conditionalFormatting>
  <conditionalFormatting sqref="AA1399:AA1401">
    <cfRule type="expression" dxfId="947" priority="912" stopIfTrue="1">
      <formula>$B1399="SERVIÇO"</formula>
    </cfRule>
  </conditionalFormatting>
  <conditionalFormatting sqref="A1399:E1401 AE1399:AF1401 AA1399:AC1401 G1399:S1401">
    <cfRule type="expression" dxfId="946" priority="913">
      <formula>$B1399="Unidade Construtiva"</formula>
    </cfRule>
    <cfRule type="expression" dxfId="945" priority="914">
      <formula>$B1399="Serviço"</formula>
    </cfRule>
    <cfRule type="expression" dxfId="944" priority="915">
      <formula>$B1399="Insumo"</formula>
    </cfRule>
    <cfRule type="expression" dxfId="943" priority="916">
      <formula>$B1399="Etapa"</formula>
    </cfRule>
    <cfRule type="expression" dxfId="942" priority="917">
      <formula>$B1399="Célula Construtiva"</formula>
    </cfRule>
    <cfRule type="expression" dxfId="941" priority="918">
      <formula>$B1399="Subetapa"</formula>
    </cfRule>
  </conditionalFormatting>
  <conditionalFormatting sqref="V1399 V1401 V1419 V1437">
    <cfRule type="expression" dxfId="940" priority="905" stopIfTrue="1">
      <formula>$B1399="insumo"</formula>
    </cfRule>
  </conditionalFormatting>
  <conditionalFormatting sqref="V1399 V1401 V1419 V1437">
    <cfRule type="expression" dxfId="939" priority="906">
      <formula>$B1399="Unidade Construtiva"</formula>
    </cfRule>
    <cfRule type="expression" dxfId="938" priority="907">
      <formula>$B1399="Serviço"</formula>
    </cfRule>
    <cfRule type="expression" dxfId="937" priority="908">
      <formula>$B1399="Insumo"</formula>
    </cfRule>
    <cfRule type="expression" dxfId="936" priority="909">
      <formula>$B1399="Etapa"</formula>
    </cfRule>
    <cfRule type="expression" dxfId="935" priority="910">
      <formula>$B1399="Célula Construtiva"</formula>
    </cfRule>
    <cfRule type="expression" dxfId="934" priority="911">
      <formula>$B1399="Subetapa"</formula>
    </cfRule>
  </conditionalFormatting>
  <conditionalFormatting sqref="W1402">
    <cfRule type="containsText" dxfId="933" priority="896" stopIfTrue="1" operator="containsText" text="INSERIR">
      <formula>NOT(ISERROR(SEARCH("INSERIR",W1402)))</formula>
    </cfRule>
  </conditionalFormatting>
  <conditionalFormatting sqref="U1404">
    <cfRule type="expression" dxfId="932" priority="867" stopIfTrue="1">
      <formula>$B1404="SERVIÇO"</formula>
    </cfRule>
  </conditionalFormatting>
  <conditionalFormatting sqref="U1404 W1404:Z1404">
    <cfRule type="expression" dxfId="931" priority="868">
      <formula>$B1404="Unidade Construtiva"</formula>
    </cfRule>
    <cfRule type="expression" dxfId="930" priority="869">
      <formula>$B1404="Serviço"</formula>
    </cfRule>
    <cfRule type="expression" dxfId="929" priority="870">
      <formula>$B1404="Insumo"</formula>
    </cfRule>
    <cfRule type="expression" dxfId="928" priority="871">
      <formula>$B1404="Etapa"</formula>
    </cfRule>
    <cfRule type="expression" dxfId="927" priority="872">
      <formula>$B1404="Célula Construtiva"</formula>
    </cfRule>
    <cfRule type="expression" dxfId="926" priority="873">
      <formula>$B1404="Subetapa"</formula>
    </cfRule>
  </conditionalFormatting>
  <conditionalFormatting sqref="T1404">
    <cfRule type="expression" dxfId="925" priority="866" stopIfTrue="1">
      <formula>$B1404="INSUMO"</formula>
    </cfRule>
  </conditionalFormatting>
  <conditionalFormatting sqref="W1404">
    <cfRule type="containsText" dxfId="924" priority="865" stopIfTrue="1" operator="containsText" text="INSERIR">
      <formula>NOT(ISERROR(SEARCH("INSERIR",W1404)))</formula>
    </cfRule>
  </conditionalFormatting>
  <conditionalFormatting sqref="T1404">
    <cfRule type="expression" dxfId="923" priority="858" stopIfTrue="1">
      <formula>$B1404="SERVIÇO"</formula>
    </cfRule>
  </conditionalFormatting>
  <conditionalFormatting sqref="T1404">
    <cfRule type="expression" dxfId="922" priority="859">
      <formula>$B1404="Unidade Construtiva"</formula>
    </cfRule>
    <cfRule type="expression" dxfId="921" priority="860">
      <formula>$B1404="Serviço"</formula>
    </cfRule>
    <cfRule type="expression" dxfId="920" priority="861">
      <formula>$B1404="Insumo"</formula>
    </cfRule>
    <cfRule type="expression" dxfId="919" priority="862">
      <formula>$B1404="Etapa"</formula>
    </cfRule>
    <cfRule type="expression" dxfId="918" priority="863">
      <formula>$B1404="Célula Construtiva"</formula>
    </cfRule>
    <cfRule type="expression" dxfId="917" priority="864">
      <formula>$B1404="Subetapa"</formula>
    </cfRule>
  </conditionalFormatting>
  <conditionalFormatting sqref="V1404">
    <cfRule type="expression" dxfId="916" priority="850" stopIfTrue="1">
      <formula>$B1404="insumo"</formula>
    </cfRule>
  </conditionalFormatting>
  <conditionalFormatting sqref="AA1404">
    <cfRule type="expression" dxfId="915" priority="849" stopIfTrue="1">
      <formula>$B1404="SERVIÇO"</formula>
    </cfRule>
  </conditionalFormatting>
  <conditionalFormatting sqref="V1404 A1404:E1404 AE1404:AF1404 AA1404:AC1404 G1404:S1404">
    <cfRule type="expression" dxfId="914" priority="851">
      <formula>$B1404="Unidade Construtiva"</formula>
    </cfRule>
    <cfRule type="expression" dxfId="913" priority="852">
      <formula>$B1404="Serviço"</formula>
    </cfRule>
    <cfRule type="expression" dxfId="912" priority="853">
      <formula>$B1404="Insumo"</formula>
    </cfRule>
    <cfRule type="expression" dxfId="911" priority="854">
      <formula>$B1404="Etapa"</formula>
    </cfRule>
    <cfRule type="expression" dxfId="910" priority="855">
      <formula>$B1404="Célula Construtiva"</formula>
    </cfRule>
    <cfRule type="expression" dxfId="909" priority="856">
      <formula>$B1404="Subetapa"</formula>
    </cfRule>
  </conditionalFormatting>
  <conditionalFormatting sqref="V1418">
    <cfRule type="expression" dxfId="908" priority="841" stopIfTrue="1">
      <formula>$B1418="insumo"</formula>
    </cfRule>
  </conditionalFormatting>
  <conditionalFormatting sqref="AA1418 U1418 T1422:U1422 AA1422">
    <cfRule type="expression" dxfId="907" priority="840" stopIfTrue="1">
      <formula>$B1418="SERVIÇO"</formula>
    </cfRule>
  </conditionalFormatting>
  <conditionalFormatting sqref="A1418:E1418 AE1418:AF1418 U1418:AC1418 AE1422:AF1422 A1422:E1422 W1422:AC1422 G1422:U1422 G1418:S1418">
    <cfRule type="expression" dxfId="906" priority="842">
      <formula>$B1418="Unidade Construtiva"</formula>
    </cfRule>
    <cfRule type="expression" dxfId="905" priority="843">
      <formula>$B1418="Serviço"</formula>
    </cfRule>
    <cfRule type="expression" dxfId="904" priority="844">
      <formula>$B1418="Insumo"</formula>
    </cfRule>
    <cfRule type="expression" dxfId="903" priority="845">
      <formula>$B1418="Etapa"</formula>
    </cfRule>
    <cfRule type="expression" dxfId="902" priority="846">
      <formula>$B1418="Célula Construtiva"</formula>
    </cfRule>
    <cfRule type="expression" dxfId="901" priority="847">
      <formula>$B1418="Subetapa"</formula>
    </cfRule>
  </conditionalFormatting>
  <conditionalFormatting sqref="T1422">
    <cfRule type="expression" dxfId="900" priority="839" stopIfTrue="1">
      <formula>$B1422="INSUMO"</formula>
    </cfRule>
  </conditionalFormatting>
  <conditionalFormatting sqref="W1418">
    <cfRule type="containsText" dxfId="899" priority="837" stopIfTrue="1" operator="containsText" text="INSERIR">
      <formula>NOT(ISERROR(SEARCH("INSERIR",W1418)))</formula>
    </cfRule>
  </conditionalFormatting>
  <conditionalFormatting sqref="T1418">
    <cfRule type="expression" dxfId="898" priority="830" stopIfTrue="1">
      <formula>$B1418="SERVIÇO"</formula>
    </cfRule>
  </conditionalFormatting>
  <conditionalFormatting sqref="T1418">
    <cfRule type="expression" dxfId="897" priority="831">
      <formula>$B1418="Unidade Construtiva"</formula>
    </cfRule>
    <cfRule type="expression" dxfId="896" priority="832">
      <formula>$B1418="Serviço"</formula>
    </cfRule>
    <cfRule type="expression" dxfId="895" priority="833">
      <formula>$B1418="Insumo"</formula>
    </cfRule>
    <cfRule type="expression" dxfId="894" priority="834">
      <formula>$B1418="Etapa"</formula>
    </cfRule>
    <cfRule type="expression" dxfId="893" priority="835">
      <formula>$B1418="Célula Construtiva"</formula>
    </cfRule>
    <cfRule type="expression" dxfId="892" priority="836">
      <formula>$B1418="Subetapa"</formula>
    </cfRule>
  </conditionalFormatting>
  <conditionalFormatting sqref="T1418">
    <cfRule type="expression" dxfId="891" priority="829" stopIfTrue="1">
      <formula>$B1418="INSUMO"</formula>
    </cfRule>
  </conditionalFormatting>
  <conditionalFormatting sqref="U1423">
    <cfRule type="expression" dxfId="890" priority="822" stopIfTrue="1">
      <formula>$B1423="SERVIÇO"</formula>
    </cfRule>
  </conditionalFormatting>
  <conditionalFormatting sqref="U1423 W1423:Z1423">
    <cfRule type="expression" dxfId="889" priority="823">
      <formula>$B1423="Unidade Construtiva"</formula>
    </cfRule>
    <cfRule type="expression" dxfId="888" priority="824">
      <formula>$B1423="Serviço"</formula>
    </cfRule>
    <cfRule type="expression" dxfId="887" priority="825">
      <formula>$B1423="Insumo"</formula>
    </cfRule>
    <cfRule type="expression" dxfId="886" priority="826">
      <formula>$B1423="Etapa"</formula>
    </cfRule>
    <cfRule type="expression" dxfId="885" priority="827">
      <formula>$B1423="Célula Construtiva"</formula>
    </cfRule>
    <cfRule type="expression" dxfId="884" priority="828">
      <formula>$B1423="Subetapa"</formula>
    </cfRule>
  </conditionalFormatting>
  <conditionalFormatting sqref="T1423">
    <cfRule type="expression" dxfId="883" priority="821" stopIfTrue="1">
      <formula>$B1423="INSUMO"</formula>
    </cfRule>
  </conditionalFormatting>
  <conditionalFormatting sqref="W1423">
    <cfRule type="containsText" dxfId="882" priority="820" stopIfTrue="1" operator="containsText" text="INSERIR">
      <formula>NOT(ISERROR(SEARCH("INSERIR",W1423)))</formula>
    </cfRule>
  </conditionalFormatting>
  <conditionalFormatting sqref="T1423">
    <cfRule type="expression" dxfId="881" priority="813" stopIfTrue="1">
      <formula>$B1423="SERVIÇO"</formula>
    </cfRule>
  </conditionalFormatting>
  <conditionalFormatting sqref="T1423">
    <cfRule type="expression" dxfId="880" priority="814">
      <formula>$B1423="Unidade Construtiva"</formula>
    </cfRule>
    <cfRule type="expression" dxfId="879" priority="815">
      <formula>$B1423="Serviço"</formula>
    </cfRule>
    <cfRule type="expression" dxfId="878" priority="816">
      <formula>$B1423="Insumo"</formula>
    </cfRule>
    <cfRule type="expression" dxfId="877" priority="817">
      <formula>$B1423="Etapa"</formula>
    </cfRule>
    <cfRule type="expression" dxfId="876" priority="818">
      <formula>$B1423="Célula Construtiva"</formula>
    </cfRule>
    <cfRule type="expression" dxfId="875" priority="819">
      <formula>$B1423="Subetapa"</formula>
    </cfRule>
  </conditionalFormatting>
  <conditionalFormatting sqref="AA1423">
    <cfRule type="expression" dxfId="874" priority="805" stopIfTrue="1">
      <formula>$B1423="SERVIÇO"</formula>
    </cfRule>
  </conditionalFormatting>
  <conditionalFormatting sqref="A1423:E1423 AE1423:AF1423 AA1423:AC1423 G1423:S1423">
    <cfRule type="expression" dxfId="873" priority="806">
      <formula>$B1423="Unidade Construtiva"</formula>
    </cfRule>
    <cfRule type="expression" dxfId="872" priority="807">
      <formula>$B1423="Serviço"</formula>
    </cfRule>
    <cfRule type="expression" dxfId="871" priority="808">
      <formula>$B1423="Insumo"</formula>
    </cfRule>
    <cfRule type="expression" dxfId="870" priority="809">
      <formula>$B1423="Etapa"</formula>
    </cfRule>
    <cfRule type="expression" dxfId="869" priority="810">
      <formula>$B1423="Célula Construtiva"</formula>
    </cfRule>
    <cfRule type="expression" dxfId="868" priority="811">
      <formula>$B1423="Subetapa"</formula>
    </cfRule>
  </conditionalFormatting>
  <conditionalFormatting sqref="U1425">
    <cfRule type="expression" dxfId="867" priority="798" stopIfTrue="1">
      <formula>$B1425="SERVIÇO"</formula>
    </cfRule>
  </conditionalFormatting>
  <conditionalFormatting sqref="U1425 W1425:Z1425">
    <cfRule type="expression" dxfId="866" priority="799">
      <formula>$B1425="Unidade Construtiva"</formula>
    </cfRule>
    <cfRule type="expression" dxfId="865" priority="800">
      <formula>$B1425="Serviço"</formula>
    </cfRule>
    <cfRule type="expression" dxfId="864" priority="801">
      <formula>$B1425="Insumo"</formula>
    </cfRule>
    <cfRule type="expression" dxfId="863" priority="802">
      <formula>$B1425="Etapa"</formula>
    </cfRule>
    <cfRule type="expression" dxfId="862" priority="803">
      <formula>$B1425="Célula Construtiva"</formula>
    </cfRule>
    <cfRule type="expression" dxfId="861" priority="804">
      <formula>$B1425="Subetapa"</formula>
    </cfRule>
  </conditionalFormatting>
  <conditionalFormatting sqref="T1425">
    <cfRule type="expression" dxfId="860" priority="797" stopIfTrue="1">
      <formula>$B1425="INSUMO"</formula>
    </cfRule>
  </conditionalFormatting>
  <conditionalFormatting sqref="W1425">
    <cfRule type="containsText" dxfId="859" priority="796" stopIfTrue="1" operator="containsText" text="INSERIR">
      <formula>NOT(ISERROR(SEARCH("INSERIR",W1425)))</formula>
    </cfRule>
  </conditionalFormatting>
  <conditionalFormatting sqref="T1425">
    <cfRule type="expression" dxfId="858" priority="789" stopIfTrue="1">
      <formula>$B1425="SERVIÇO"</formula>
    </cfRule>
  </conditionalFormatting>
  <conditionalFormatting sqref="T1425">
    <cfRule type="expression" dxfId="857" priority="790">
      <formula>$B1425="Unidade Construtiva"</formula>
    </cfRule>
    <cfRule type="expression" dxfId="856" priority="791">
      <formula>$B1425="Serviço"</formula>
    </cfRule>
    <cfRule type="expression" dxfId="855" priority="792">
      <formula>$B1425="Insumo"</formula>
    </cfRule>
    <cfRule type="expression" dxfId="854" priority="793">
      <formula>$B1425="Etapa"</formula>
    </cfRule>
    <cfRule type="expression" dxfId="853" priority="794">
      <formula>$B1425="Célula Construtiva"</formula>
    </cfRule>
    <cfRule type="expression" dxfId="852" priority="795">
      <formula>$B1425="Subetapa"</formula>
    </cfRule>
  </conditionalFormatting>
  <conditionalFormatting sqref="V1425">
    <cfRule type="expression" dxfId="851" priority="781" stopIfTrue="1">
      <formula>$B1425="insumo"</formula>
    </cfRule>
  </conditionalFormatting>
  <conditionalFormatting sqref="AA1425">
    <cfRule type="expression" dxfId="850" priority="780" stopIfTrue="1">
      <formula>$B1425="SERVIÇO"</formula>
    </cfRule>
  </conditionalFormatting>
  <conditionalFormatting sqref="V1425 A1425:E1425 AE1425:AF1425 AA1425:AC1425 G1425:S1425">
    <cfRule type="expression" dxfId="849" priority="782">
      <formula>$B1425="Unidade Construtiva"</formula>
    </cfRule>
    <cfRule type="expression" dxfId="848" priority="783">
      <formula>$B1425="Serviço"</formula>
    </cfRule>
    <cfRule type="expression" dxfId="847" priority="784">
      <formula>$B1425="Insumo"</formula>
    </cfRule>
    <cfRule type="expression" dxfId="846" priority="785">
      <formula>$B1425="Etapa"</formula>
    </cfRule>
    <cfRule type="expression" dxfId="845" priority="786">
      <formula>$B1425="Célula Construtiva"</formula>
    </cfRule>
    <cfRule type="expression" dxfId="844" priority="787">
      <formula>$B1425="Subetapa"</formula>
    </cfRule>
  </conditionalFormatting>
  <conditionalFormatting sqref="U1419:U1421">
    <cfRule type="expression" dxfId="843" priority="766" stopIfTrue="1">
      <formula>$B1419="SERVIÇO"</formula>
    </cfRule>
  </conditionalFormatting>
  <conditionalFormatting sqref="U1419:U1421 W1419:Z1421">
    <cfRule type="expression" dxfId="842" priority="767">
      <formula>$B1419="Unidade Construtiva"</formula>
    </cfRule>
    <cfRule type="expression" dxfId="841" priority="768">
      <formula>$B1419="Serviço"</formula>
    </cfRule>
    <cfRule type="expression" dxfId="840" priority="769">
      <formula>$B1419="Insumo"</formula>
    </cfRule>
    <cfRule type="expression" dxfId="839" priority="770">
      <formula>$B1419="Etapa"</formula>
    </cfRule>
    <cfRule type="expression" dxfId="838" priority="771">
      <formula>$B1419="Célula Construtiva"</formula>
    </cfRule>
    <cfRule type="expression" dxfId="837" priority="772">
      <formula>$B1419="Subetapa"</formula>
    </cfRule>
  </conditionalFormatting>
  <conditionalFormatting sqref="T1419:T1421">
    <cfRule type="expression" dxfId="836" priority="765" stopIfTrue="1">
      <formula>$B1419="INSUMO"</formula>
    </cfRule>
  </conditionalFormatting>
  <conditionalFormatting sqref="W1419:W1421">
    <cfRule type="containsText" dxfId="835" priority="764" stopIfTrue="1" operator="containsText" text="INSERIR">
      <formula>NOT(ISERROR(SEARCH("INSERIR",W1419)))</formula>
    </cfRule>
  </conditionalFormatting>
  <conditionalFormatting sqref="T1419:T1421">
    <cfRule type="expression" dxfId="834" priority="757" stopIfTrue="1">
      <formula>$B1419="SERVIÇO"</formula>
    </cfRule>
  </conditionalFormatting>
  <conditionalFormatting sqref="T1419:T1421">
    <cfRule type="expression" dxfId="833" priority="758">
      <formula>$B1419="Unidade Construtiva"</formula>
    </cfRule>
    <cfRule type="expression" dxfId="832" priority="759">
      <formula>$B1419="Serviço"</formula>
    </cfRule>
    <cfRule type="expression" dxfId="831" priority="760">
      <formula>$B1419="Insumo"</formula>
    </cfRule>
    <cfRule type="expression" dxfId="830" priority="761">
      <formula>$B1419="Etapa"</formula>
    </cfRule>
    <cfRule type="expression" dxfId="829" priority="762">
      <formula>$B1419="Célula Construtiva"</formula>
    </cfRule>
    <cfRule type="expression" dxfId="828" priority="763">
      <formula>$B1419="Subetapa"</formula>
    </cfRule>
  </conditionalFormatting>
  <conditionalFormatting sqref="AA1419:AA1421">
    <cfRule type="expression" dxfId="827" priority="749" stopIfTrue="1">
      <formula>$B1419="SERVIÇO"</formula>
    </cfRule>
  </conditionalFormatting>
  <conditionalFormatting sqref="A1419:E1421 AE1419:AF1421 AA1419:AC1421 G1419:S1421">
    <cfRule type="expression" dxfId="826" priority="750">
      <formula>$B1419="Unidade Construtiva"</formula>
    </cfRule>
    <cfRule type="expression" dxfId="825" priority="751">
      <formula>$B1419="Serviço"</formula>
    </cfRule>
    <cfRule type="expression" dxfId="824" priority="752">
      <formula>$B1419="Insumo"</formula>
    </cfRule>
    <cfRule type="expression" dxfId="823" priority="753">
      <formula>$B1419="Etapa"</formula>
    </cfRule>
    <cfRule type="expression" dxfId="822" priority="754">
      <formula>$B1419="Célula Construtiva"</formula>
    </cfRule>
    <cfRule type="expression" dxfId="821" priority="755">
      <formula>$B1419="Subetapa"</formula>
    </cfRule>
  </conditionalFormatting>
  <conditionalFormatting sqref="V1421">
    <cfRule type="expression" dxfId="820" priority="742" stopIfTrue="1">
      <formula>$B1421="insumo"</formula>
    </cfRule>
  </conditionalFormatting>
  <conditionalFormatting sqref="V1421">
    <cfRule type="expression" dxfId="819" priority="743">
      <formula>$B1421="Unidade Construtiva"</formula>
    </cfRule>
    <cfRule type="expression" dxfId="818" priority="744">
      <formula>$B1421="Serviço"</formula>
    </cfRule>
    <cfRule type="expression" dxfId="817" priority="745">
      <formula>$B1421="Insumo"</formula>
    </cfRule>
    <cfRule type="expression" dxfId="816" priority="746">
      <formula>$B1421="Etapa"</formula>
    </cfRule>
    <cfRule type="expression" dxfId="815" priority="747">
      <formula>$B1421="Célula Construtiva"</formula>
    </cfRule>
    <cfRule type="expression" dxfId="814" priority="748">
      <formula>$B1421="Subetapa"</formula>
    </cfRule>
  </conditionalFormatting>
  <conditionalFormatting sqref="W1422">
    <cfRule type="containsText" dxfId="813" priority="741" stopIfTrue="1" operator="containsText" text="INSERIR">
      <formula>NOT(ISERROR(SEARCH("INSERIR",W1422)))</formula>
    </cfRule>
  </conditionalFormatting>
  <conditionalFormatting sqref="U1424">
    <cfRule type="expression" dxfId="812" priority="734" stopIfTrue="1">
      <formula>$B1424="SERVIÇO"</formula>
    </cfRule>
  </conditionalFormatting>
  <conditionalFormatting sqref="U1424 W1424:Z1424">
    <cfRule type="expression" dxfId="811" priority="735">
      <formula>$B1424="Unidade Construtiva"</formula>
    </cfRule>
    <cfRule type="expression" dxfId="810" priority="736">
      <formula>$B1424="Serviço"</formula>
    </cfRule>
    <cfRule type="expression" dxfId="809" priority="737">
      <formula>$B1424="Insumo"</formula>
    </cfRule>
    <cfRule type="expression" dxfId="808" priority="738">
      <formula>$B1424="Etapa"</formula>
    </cfRule>
    <cfRule type="expression" dxfId="807" priority="739">
      <formula>$B1424="Célula Construtiva"</formula>
    </cfRule>
    <cfRule type="expression" dxfId="806" priority="740">
      <formula>$B1424="Subetapa"</formula>
    </cfRule>
  </conditionalFormatting>
  <conditionalFormatting sqref="T1424">
    <cfRule type="expression" dxfId="805" priority="733" stopIfTrue="1">
      <formula>$B1424="INSUMO"</formula>
    </cfRule>
  </conditionalFormatting>
  <conditionalFormatting sqref="W1424">
    <cfRule type="containsText" dxfId="804" priority="732" stopIfTrue="1" operator="containsText" text="INSERIR">
      <formula>NOT(ISERROR(SEARCH("INSERIR",W1424)))</formula>
    </cfRule>
  </conditionalFormatting>
  <conditionalFormatting sqref="T1424">
    <cfRule type="expression" dxfId="803" priority="725" stopIfTrue="1">
      <formula>$B1424="SERVIÇO"</formula>
    </cfRule>
  </conditionalFormatting>
  <conditionalFormatting sqref="T1424">
    <cfRule type="expression" dxfId="802" priority="726">
      <formula>$B1424="Unidade Construtiva"</formula>
    </cfRule>
    <cfRule type="expression" dxfId="801" priority="727">
      <formula>$B1424="Serviço"</formula>
    </cfRule>
    <cfRule type="expression" dxfId="800" priority="728">
      <formula>$B1424="Insumo"</formula>
    </cfRule>
    <cfRule type="expression" dxfId="799" priority="729">
      <formula>$B1424="Etapa"</formula>
    </cfRule>
    <cfRule type="expression" dxfId="798" priority="730">
      <formula>$B1424="Célula Construtiva"</formula>
    </cfRule>
    <cfRule type="expression" dxfId="797" priority="731">
      <formula>$B1424="Subetapa"</formula>
    </cfRule>
  </conditionalFormatting>
  <conditionalFormatting sqref="V1424">
    <cfRule type="expression" dxfId="796" priority="717" stopIfTrue="1">
      <formula>$B1424="insumo"</formula>
    </cfRule>
  </conditionalFormatting>
  <conditionalFormatting sqref="AA1424">
    <cfRule type="expression" dxfId="795" priority="716" stopIfTrue="1">
      <formula>$B1424="SERVIÇO"</formula>
    </cfRule>
  </conditionalFormatting>
  <conditionalFormatting sqref="V1424 A1424:E1424 AE1424:AF1424 AA1424:AC1424 G1424:S1424">
    <cfRule type="expression" dxfId="794" priority="718">
      <formula>$B1424="Unidade Construtiva"</formula>
    </cfRule>
    <cfRule type="expression" dxfId="793" priority="719">
      <formula>$B1424="Serviço"</formula>
    </cfRule>
    <cfRule type="expression" dxfId="792" priority="720">
      <formula>$B1424="Insumo"</formula>
    </cfRule>
    <cfRule type="expression" dxfId="791" priority="721">
      <formula>$B1424="Etapa"</formula>
    </cfRule>
    <cfRule type="expression" dxfId="790" priority="722">
      <formula>$B1424="Célula Construtiva"</formula>
    </cfRule>
    <cfRule type="expression" dxfId="789" priority="723">
      <formula>$B1424="Subetapa"</formula>
    </cfRule>
  </conditionalFormatting>
  <conditionalFormatting sqref="V1436">
    <cfRule type="expression" dxfId="788" priority="708" stopIfTrue="1">
      <formula>$B1436="insumo"</formula>
    </cfRule>
  </conditionalFormatting>
  <conditionalFormatting sqref="AA1436 U1436 T1440:U1440 AA1440">
    <cfRule type="expression" dxfId="787" priority="707" stopIfTrue="1">
      <formula>$B1436="SERVIÇO"</formula>
    </cfRule>
  </conditionalFormatting>
  <conditionalFormatting sqref="A1436:E1436 AE1436:AF1436 U1436:AC1436 AE1440:AF1440 A1440:E1440 W1440:AC1440 G1440:U1440 G1436:S1436">
    <cfRule type="expression" dxfId="786" priority="709">
      <formula>$B1436="Unidade Construtiva"</formula>
    </cfRule>
    <cfRule type="expression" dxfId="785" priority="710">
      <formula>$B1436="Serviço"</formula>
    </cfRule>
    <cfRule type="expression" dxfId="784" priority="711">
      <formula>$B1436="Insumo"</formula>
    </cfRule>
    <cfRule type="expression" dxfId="783" priority="712">
      <formula>$B1436="Etapa"</formula>
    </cfRule>
    <cfRule type="expression" dxfId="782" priority="713">
      <formula>$B1436="Célula Construtiva"</formula>
    </cfRule>
    <cfRule type="expression" dxfId="781" priority="714">
      <formula>$B1436="Subetapa"</formula>
    </cfRule>
  </conditionalFormatting>
  <conditionalFormatting sqref="T1440">
    <cfRule type="expression" dxfId="780" priority="706" stopIfTrue="1">
      <formula>$B1440="INSUMO"</formula>
    </cfRule>
  </conditionalFormatting>
  <conditionalFormatting sqref="W1436">
    <cfRule type="containsText" dxfId="779" priority="704" stopIfTrue="1" operator="containsText" text="INSERIR">
      <formula>NOT(ISERROR(SEARCH("INSERIR",W1436)))</formula>
    </cfRule>
  </conditionalFormatting>
  <conditionalFormatting sqref="T1436">
    <cfRule type="expression" dxfId="778" priority="697" stopIfTrue="1">
      <formula>$B1436="SERVIÇO"</formula>
    </cfRule>
  </conditionalFormatting>
  <conditionalFormatting sqref="T1436">
    <cfRule type="expression" dxfId="777" priority="698">
      <formula>$B1436="Unidade Construtiva"</formula>
    </cfRule>
    <cfRule type="expression" dxfId="776" priority="699">
      <formula>$B1436="Serviço"</formula>
    </cfRule>
    <cfRule type="expression" dxfId="775" priority="700">
      <formula>$B1436="Insumo"</formula>
    </cfRule>
    <cfRule type="expression" dxfId="774" priority="701">
      <formula>$B1436="Etapa"</formula>
    </cfRule>
    <cfRule type="expression" dxfId="773" priority="702">
      <formula>$B1436="Célula Construtiva"</formula>
    </cfRule>
    <cfRule type="expression" dxfId="772" priority="703">
      <formula>$B1436="Subetapa"</formula>
    </cfRule>
  </conditionalFormatting>
  <conditionalFormatting sqref="T1436">
    <cfRule type="expression" dxfId="771" priority="696" stopIfTrue="1">
      <formula>$B1436="INSUMO"</formula>
    </cfRule>
  </conditionalFormatting>
  <conditionalFormatting sqref="U1441">
    <cfRule type="expression" dxfId="770" priority="689" stopIfTrue="1">
      <formula>$B1441="SERVIÇO"</formula>
    </cfRule>
  </conditionalFormatting>
  <conditionalFormatting sqref="U1441 W1441:Z1441">
    <cfRule type="expression" dxfId="769" priority="690">
      <formula>$B1441="Unidade Construtiva"</formula>
    </cfRule>
    <cfRule type="expression" dxfId="768" priority="691">
      <formula>$B1441="Serviço"</formula>
    </cfRule>
    <cfRule type="expression" dxfId="767" priority="692">
      <formula>$B1441="Insumo"</formula>
    </cfRule>
    <cfRule type="expression" dxfId="766" priority="693">
      <formula>$B1441="Etapa"</formula>
    </cfRule>
    <cfRule type="expression" dxfId="765" priority="694">
      <formula>$B1441="Célula Construtiva"</formula>
    </cfRule>
    <cfRule type="expression" dxfId="764" priority="695">
      <formula>$B1441="Subetapa"</formula>
    </cfRule>
  </conditionalFormatting>
  <conditionalFormatting sqref="T1441">
    <cfRule type="expression" dxfId="763" priority="688" stopIfTrue="1">
      <formula>$B1441="INSUMO"</formula>
    </cfRule>
  </conditionalFormatting>
  <conditionalFormatting sqref="W1441">
    <cfRule type="containsText" dxfId="762" priority="687" stopIfTrue="1" operator="containsText" text="INSERIR">
      <formula>NOT(ISERROR(SEARCH("INSERIR",W1441)))</formula>
    </cfRule>
  </conditionalFormatting>
  <conditionalFormatting sqref="T1441">
    <cfRule type="expression" dxfId="761" priority="680" stopIfTrue="1">
      <formula>$B1441="SERVIÇO"</formula>
    </cfRule>
  </conditionalFormatting>
  <conditionalFormatting sqref="T1441">
    <cfRule type="expression" dxfId="760" priority="681">
      <formula>$B1441="Unidade Construtiva"</formula>
    </cfRule>
    <cfRule type="expression" dxfId="759" priority="682">
      <formula>$B1441="Serviço"</formula>
    </cfRule>
    <cfRule type="expression" dxfId="758" priority="683">
      <formula>$B1441="Insumo"</formula>
    </cfRule>
    <cfRule type="expression" dxfId="757" priority="684">
      <formula>$B1441="Etapa"</formula>
    </cfRule>
    <cfRule type="expression" dxfId="756" priority="685">
      <formula>$B1441="Célula Construtiva"</formula>
    </cfRule>
    <cfRule type="expression" dxfId="755" priority="686">
      <formula>$B1441="Subetapa"</formula>
    </cfRule>
  </conditionalFormatting>
  <conditionalFormatting sqref="AA1441">
    <cfRule type="expression" dxfId="754" priority="672" stopIfTrue="1">
      <formula>$B1441="SERVIÇO"</formula>
    </cfRule>
  </conditionalFormatting>
  <conditionalFormatting sqref="A1441:E1441 AE1441:AF1441 AA1441:AC1441 G1441:S1441">
    <cfRule type="expression" dxfId="753" priority="673">
      <formula>$B1441="Unidade Construtiva"</formula>
    </cfRule>
    <cfRule type="expression" dxfId="752" priority="674">
      <formula>$B1441="Serviço"</formula>
    </cfRule>
    <cfRule type="expression" dxfId="751" priority="675">
      <formula>$B1441="Insumo"</formula>
    </cfRule>
    <cfRule type="expression" dxfId="750" priority="676">
      <formula>$B1441="Etapa"</formula>
    </cfRule>
    <cfRule type="expression" dxfId="749" priority="677">
      <formula>$B1441="Célula Construtiva"</formula>
    </cfRule>
    <cfRule type="expression" dxfId="748" priority="678">
      <formula>$B1441="Subetapa"</formula>
    </cfRule>
  </conditionalFormatting>
  <conditionalFormatting sqref="U1443">
    <cfRule type="expression" dxfId="747" priority="665" stopIfTrue="1">
      <formula>$B1443="SERVIÇO"</formula>
    </cfRule>
  </conditionalFormatting>
  <conditionalFormatting sqref="U1443 W1443:Z1443">
    <cfRule type="expression" dxfId="746" priority="666">
      <formula>$B1443="Unidade Construtiva"</formula>
    </cfRule>
    <cfRule type="expression" dxfId="745" priority="667">
      <formula>$B1443="Serviço"</formula>
    </cfRule>
    <cfRule type="expression" dxfId="744" priority="668">
      <formula>$B1443="Insumo"</formula>
    </cfRule>
    <cfRule type="expression" dxfId="743" priority="669">
      <formula>$B1443="Etapa"</formula>
    </cfRule>
    <cfRule type="expression" dxfId="742" priority="670">
      <formula>$B1443="Célula Construtiva"</formula>
    </cfRule>
    <cfRule type="expression" dxfId="741" priority="671">
      <formula>$B1443="Subetapa"</formula>
    </cfRule>
  </conditionalFormatting>
  <conditionalFormatting sqref="T1443">
    <cfRule type="expression" dxfId="740" priority="664" stopIfTrue="1">
      <formula>$B1443="INSUMO"</formula>
    </cfRule>
  </conditionalFormatting>
  <conditionalFormatting sqref="W1443">
    <cfRule type="containsText" dxfId="739" priority="663" stopIfTrue="1" operator="containsText" text="INSERIR">
      <formula>NOT(ISERROR(SEARCH("INSERIR",W1443)))</formula>
    </cfRule>
  </conditionalFormatting>
  <conditionalFormatting sqref="T1443">
    <cfRule type="expression" dxfId="738" priority="656" stopIfTrue="1">
      <formula>$B1443="SERVIÇO"</formula>
    </cfRule>
  </conditionalFormatting>
  <conditionalFormatting sqref="T1443">
    <cfRule type="expression" dxfId="737" priority="657">
      <formula>$B1443="Unidade Construtiva"</formula>
    </cfRule>
    <cfRule type="expression" dxfId="736" priority="658">
      <formula>$B1443="Serviço"</formula>
    </cfRule>
    <cfRule type="expression" dxfId="735" priority="659">
      <formula>$B1443="Insumo"</formula>
    </cfRule>
    <cfRule type="expression" dxfId="734" priority="660">
      <formula>$B1443="Etapa"</formula>
    </cfRule>
    <cfRule type="expression" dxfId="733" priority="661">
      <formula>$B1443="Célula Construtiva"</formula>
    </cfRule>
    <cfRule type="expression" dxfId="732" priority="662">
      <formula>$B1443="Subetapa"</formula>
    </cfRule>
  </conditionalFormatting>
  <conditionalFormatting sqref="V1443">
    <cfRule type="expression" dxfId="731" priority="648" stopIfTrue="1">
      <formula>$B1443="insumo"</formula>
    </cfRule>
  </conditionalFormatting>
  <conditionalFormatting sqref="AA1443">
    <cfRule type="expression" dxfId="730" priority="647" stopIfTrue="1">
      <formula>$B1443="SERVIÇO"</formula>
    </cfRule>
  </conditionalFormatting>
  <conditionalFormatting sqref="V1443 A1443:E1443 AE1443:AF1443 AA1443:AC1443 G1443:S1443">
    <cfRule type="expression" dxfId="729" priority="649">
      <formula>$B1443="Unidade Construtiva"</formula>
    </cfRule>
    <cfRule type="expression" dxfId="728" priority="650">
      <formula>$B1443="Serviço"</formula>
    </cfRule>
    <cfRule type="expression" dxfId="727" priority="651">
      <formula>$B1443="Insumo"</formula>
    </cfRule>
    <cfRule type="expression" dxfId="726" priority="652">
      <formula>$B1443="Etapa"</formula>
    </cfRule>
    <cfRule type="expression" dxfId="725" priority="653">
      <formula>$B1443="Célula Construtiva"</formula>
    </cfRule>
    <cfRule type="expression" dxfId="724" priority="654">
      <formula>$B1443="Subetapa"</formula>
    </cfRule>
  </conditionalFormatting>
  <conditionalFormatting sqref="U1437:U1439">
    <cfRule type="expression" dxfId="723" priority="633" stopIfTrue="1">
      <formula>$B1437="SERVIÇO"</formula>
    </cfRule>
  </conditionalFormatting>
  <conditionalFormatting sqref="U1437:U1439 W1437:Z1439">
    <cfRule type="expression" dxfId="722" priority="634">
      <formula>$B1437="Unidade Construtiva"</formula>
    </cfRule>
    <cfRule type="expression" dxfId="721" priority="635">
      <formula>$B1437="Serviço"</formula>
    </cfRule>
    <cfRule type="expression" dxfId="720" priority="636">
      <formula>$B1437="Insumo"</formula>
    </cfRule>
    <cfRule type="expression" dxfId="719" priority="637">
      <formula>$B1437="Etapa"</formula>
    </cfRule>
    <cfRule type="expression" dxfId="718" priority="638">
      <formula>$B1437="Célula Construtiva"</formula>
    </cfRule>
    <cfRule type="expression" dxfId="717" priority="639">
      <formula>$B1437="Subetapa"</formula>
    </cfRule>
  </conditionalFormatting>
  <conditionalFormatting sqref="T1437:T1439">
    <cfRule type="expression" dxfId="716" priority="632" stopIfTrue="1">
      <formula>$B1437="INSUMO"</formula>
    </cfRule>
  </conditionalFormatting>
  <conditionalFormatting sqref="W1437:W1439">
    <cfRule type="containsText" dxfId="715" priority="631" stopIfTrue="1" operator="containsText" text="INSERIR">
      <formula>NOT(ISERROR(SEARCH("INSERIR",W1437)))</formula>
    </cfRule>
  </conditionalFormatting>
  <conditionalFormatting sqref="T1437:T1439">
    <cfRule type="expression" dxfId="714" priority="624" stopIfTrue="1">
      <formula>$B1437="SERVIÇO"</formula>
    </cfRule>
  </conditionalFormatting>
  <conditionalFormatting sqref="T1437:T1439">
    <cfRule type="expression" dxfId="713" priority="625">
      <formula>$B1437="Unidade Construtiva"</formula>
    </cfRule>
    <cfRule type="expression" dxfId="712" priority="626">
      <formula>$B1437="Serviço"</formula>
    </cfRule>
    <cfRule type="expression" dxfId="711" priority="627">
      <formula>$B1437="Insumo"</formula>
    </cfRule>
    <cfRule type="expression" dxfId="710" priority="628">
      <formula>$B1437="Etapa"</formula>
    </cfRule>
    <cfRule type="expression" dxfId="709" priority="629">
      <formula>$B1437="Célula Construtiva"</formula>
    </cfRule>
    <cfRule type="expression" dxfId="708" priority="630">
      <formula>$B1437="Subetapa"</formula>
    </cfRule>
  </conditionalFormatting>
  <conditionalFormatting sqref="AA1437:AA1439">
    <cfRule type="expression" dxfId="707" priority="616" stopIfTrue="1">
      <formula>$B1437="SERVIÇO"</formula>
    </cfRule>
  </conditionalFormatting>
  <conditionalFormatting sqref="A1437:E1439 AE1437:AF1439 AA1437:AC1439 G1437:S1439">
    <cfRule type="expression" dxfId="706" priority="617">
      <formula>$B1437="Unidade Construtiva"</formula>
    </cfRule>
    <cfRule type="expression" dxfId="705" priority="618">
      <formula>$B1437="Serviço"</formula>
    </cfRule>
    <cfRule type="expression" dxfId="704" priority="619">
      <formula>$B1437="Insumo"</formula>
    </cfRule>
    <cfRule type="expression" dxfId="703" priority="620">
      <formula>$B1437="Etapa"</formula>
    </cfRule>
    <cfRule type="expression" dxfId="702" priority="621">
      <formula>$B1437="Célula Construtiva"</formula>
    </cfRule>
    <cfRule type="expression" dxfId="701" priority="622">
      <formula>$B1437="Subetapa"</formula>
    </cfRule>
  </conditionalFormatting>
  <conditionalFormatting sqref="V1439">
    <cfRule type="expression" dxfId="700" priority="609" stopIfTrue="1">
      <formula>$B1439="insumo"</formula>
    </cfRule>
  </conditionalFormatting>
  <conditionalFormatting sqref="V1439">
    <cfRule type="expression" dxfId="699" priority="610">
      <formula>$B1439="Unidade Construtiva"</formula>
    </cfRule>
    <cfRule type="expression" dxfId="698" priority="611">
      <formula>$B1439="Serviço"</formula>
    </cfRule>
    <cfRule type="expression" dxfId="697" priority="612">
      <formula>$B1439="Insumo"</formula>
    </cfRule>
    <cfRule type="expression" dxfId="696" priority="613">
      <formula>$B1439="Etapa"</formula>
    </cfRule>
    <cfRule type="expression" dxfId="695" priority="614">
      <formula>$B1439="Célula Construtiva"</formula>
    </cfRule>
    <cfRule type="expression" dxfId="694" priority="615">
      <formula>$B1439="Subetapa"</formula>
    </cfRule>
  </conditionalFormatting>
  <conditionalFormatting sqref="W1440">
    <cfRule type="containsText" dxfId="693" priority="608" stopIfTrue="1" operator="containsText" text="INSERIR">
      <formula>NOT(ISERROR(SEARCH("INSERIR",W1440)))</formula>
    </cfRule>
  </conditionalFormatting>
  <conditionalFormatting sqref="U1442">
    <cfRule type="expression" dxfId="692" priority="601" stopIfTrue="1">
      <formula>$B1442="SERVIÇO"</formula>
    </cfRule>
  </conditionalFormatting>
  <conditionalFormatting sqref="U1442 W1442:Z1442">
    <cfRule type="expression" dxfId="691" priority="602">
      <formula>$B1442="Unidade Construtiva"</formula>
    </cfRule>
    <cfRule type="expression" dxfId="690" priority="603">
      <formula>$B1442="Serviço"</formula>
    </cfRule>
    <cfRule type="expression" dxfId="689" priority="604">
      <formula>$B1442="Insumo"</formula>
    </cfRule>
    <cfRule type="expression" dxfId="688" priority="605">
      <formula>$B1442="Etapa"</formula>
    </cfRule>
    <cfRule type="expression" dxfId="687" priority="606">
      <formula>$B1442="Célula Construtiva"</formula>
    </cfRule>
    <cfRule type="expression" dxfId="686" priority="607">
      <formula>$B1442="Subetapa"</formula>
    </cfRule>
  </conditionalFormatting>
  <conditionalFormatting sqref="T1442">
    <cfRule type="expression" dxfId="685" priority="600" stopIfTrue="1">
      <formula>$B1442="INSUMO"</formula>
    </cfRule>
  </conditionalFormatting>
  <conditionalFormatting sqref="W1442">
    <cfRule type="containsText" dxfId="684" priority="599" stopIfTrue="1" operator="containsText" text="INSERIR">
      <formula>NOT(ISERROR(SEARCH("INSERIR",W1442)))</formula>
    </cfRule>
  </conditionalFormatting>
  <conditionalFormatting sqref="T1442">
    <cfRule type="expression" dxfId="683" priority="592" stopIfTrue="1">
      <formula>$B1442="SERVIÇO"</formula>
    </cfRule>
  </conditionalFormatting>
  <conditionalFormatting sqref="T1442">
    <cfRule type="expression" dxfId="682" priority="593">
      <formula>$B1442="Unidade Construtiva"</formula>
    </cfRule>
    <cfRule type="expression" dxfId="681" priority="594">
      <formula>$B1442="Serviço"</formula>
    </cfRule>
    <cfRule type="expression" dxfId="680" priority="595">
      <formula>$B1442="Insumo"</formula>
    </cfRule>
    <cfRule type="expression" dxfId="679" priority="596">
      <formula>$B1442="Etapa"</formula>
    </cfRule>
    <cfRule type="expression" dxfId="678" priority="597">
      <formula>$B1442="Célula Construtiva"</formula>
    </cfRule>
    <cfRule type="expression" dxfId="677" priority="598">
      <formula>$B1442="Subetapa"</formula>
    </cfRule>
  </conditionalFormatting>
  <conditionalFormatting sqref="V1442">
    <cfRule type="expression" dxfId="676" priority="584" stopIfTrue="1">
      <formula>$B1442="insumo"</formula>
    </cfRule>
  </conditionalFormatting>
  <conditionalFormatting sqref="AA1442">
    <cfRule type="expression" dxfId="675" priority="583" stopIfTrue="1">
      <formula>$B1442="SERVIÇO"</formula>
    </cfRule>
  </conditionalFormatting>
  <conditionalFormatting sqref="V1442 A1442:E1442 AE1442:AF1442 AA1442:AC1442 G1442:S1442">
    <cfRule type="expression" dxfId="674" priority="585">
      <formula>$B1442="Unidade Construtiva"</formula>
    </cfRule>
    <cfRule type="expression" dxfId="673" priority="586">
      <formula>$B1442="Serviço"</formula>
    </cfRule>
    <cfRule type="expression" dxfId="672" priority="587">
      <formula>$B1442="Insumo"</formula>
    </cfRule>
    <cfRule type="expression" dxfId="671" priority="588">
      <formula>$B1442="Etapa"</formula>
    </cfRule>
    <cfRule type="expression" dxfId="670" priority="589">
      <formula>$B1442="Célula Construtiva"</formula>
    </cfRule>
    <cfRule type="expression" dxfId="669" priority="590">
      <formula>$B1442="Subetapa"</formula>
    </cfRule>
  </conditionalFormatting>
  <conditionalFormatting sqref="V1400 V1420 V1438">
    <cfRule type="expression" dxfId="668" priority="576" stopIfTrue="1">
      <formula>$B1400="insumo"</formula>
    </cfRule>
  </conditionalFormatting>
  <conditionalFormatting sqref="V1400 V1420 V1438">
    <cfRule type="expression" dxfId="667" priority="577">
      <formula>$B1400="Unidade Construtiva"</formula>
    </cfRule>
    <cfRule type="expression" dxfId="666" priority="578">
      <formula>$B1400="Serviço"</formula>
    </cfRule>
    <cfRule type="expression" dxfId="665" priority="579">
      <formula>$B1400="Insumo"</formula>
    </cfRule>
    <cfRule type="expression" dxfId="664" priority="580">
      <formula>$B1400="Etapa"</formula>
    </cfRule>
    <cfRule type="expression" dxfId="663" priority="581">
      <formula>$B1400="Célula Construtiva"</formula>
    </cfRule>
    <cfRule type="expression" dxfId="662" priority="582">
      <formula>$B1400="Subetapa"</formula>
    </cfRule>
  </conditionalFormatting>
  <conditionalFormatting sqref="V840:V841">
    <cfRule type="expression" dxfId="661" priority="568" stopIfTrue="1">
      <formula>$B840="insumo"</formula>
    </cfRule>
  </conditionalFormatting>
  <conditionalFormatting sqref="T840:U841 AA840:AA841">
    <cfRule type="expression" dxfId="660" priority="567" stopIfTrue="1">
      <formula>$B840="SERVIÇO"</formula>
    </cfRule>
  </conditionalFormatting>
  <conditionalFormatting sqref="AE840:AF841 A840:E841 G840:AC841">
    <cfRule type="expression" dxfId="659" priority="569">
      <formula>$B840="Unidade Construtiva"</formula>
    </cfRule>
    <cfRule type="expression" dxfId="658" priority="570">
      <formula>$B840="Serviço"</formula>
    </cfRule>
    <cfRule type="expression" dxfId="657" priority="571">
      <formula>$B840="Insumo"</formula>
    </cfRule>
    <cfRule type="expression" dxfId="656" priority="572">
      <formula>$B840="Etapa"</formula>
    </cfRule>
    <cfRule type="expression" dxfId="655" priority="573">
      <formula>$B840="Célula Construtiva"</formula>
    </cfRule>
    <cfRule type="expression" dxfId="654" priority="574">
      <formula>$B840="Subetapa"</formula>
    </cfRule>
  </conditionalFormatting>
  <conditionalFormatting sqref="T840:T841">
    <cfRule type="expression" dxfId="653" priority="566" stopIfTrue="1">
      <formula>$B840="INSUMO"</formula>
    </cfRule>
  </conditionalFormatting>
  <conditionalFormatting sqref="W840:W841">
    <cfRule type="containsText" dxfId="652" priority="565" stopIfTrue="1" operator="containsText" text="INSERIR">
      <formula>NOT(ISERROR(SEARCH("INSERIR",W840)))</formula>
    </cfRule>
  </conditionalFormatting>
  <conditionalFormatting sqref="W840">
    <cfRule type="containsText" dxfId="651" priority="564" stopIfTrue="1" operator="containsText" text="INSERIR">
      <formula>NOT(ISERROR(SEARCH("INSERIR",W840)))</formula>
    </cfRule>
  </conditionalFormatting>
  <conditionalFormatting sqref="V851:V853">
    <cfRule type="expression" dxfId="650" priority="556" stopIfTrue="1">
      <formula>$B851="insumo"</formula>
    </cfRule>
  </conditionalFormatting>
  <conditionalFormatting sqref="AA851:AA853 T851:U853">
    <cfRule type="expression" dxfId="649" priority="555" stopIfTrue="1">
      <formula>$B851="SERVIÇO"</formula>
    </cfRule>
  </conditionalFormatting>
  <conditionalFormatting sqref="AE851:AF853 A851:E853 G851:AC853">
    <cfRule type="expression" dxfId="648" priority="557">
      <formula>$B851="Unidade Construtiva"</formula>
    </cfRule>
    <cfRule type="expression" dxfId="647" priority="558">
      <formula>$B851="Serviço"</formula>
    </cfRule>
    <cfRule type="expression" dxfId="646" priority="559">
      <formula>$B851="Insumo"</formula>
    </cfRule>
    <cfRule type="expression" dxfId="645" priority="560">
      <formula>$B851="Etapa"</formula>
    </cfRule>
    <cfRule type="expression" dxfId="644" priority="561">
      <formula>$B851="Célula Construtiva"</formula>
    </cfRule>
    <cfRule type="expression" dxfId="643" priority="562">
      <formula>$B851="Subetapa"</formula>
    </cfRule>
  </conditionalFormatting>
  <conditionalFormatting sqref="T851:T853">
    <cfRule type="expression" dxfId="642" priority="554" stopIfTrue="1">
      <formula>$B851="INSUMO"</formula>
    </cfRule>
  </conditionalFormatting>
  <conditionalFormatting sqref="W851:W853">
    <cfRule type="containsText" dxfId="641" priority="553" stopIfTrue="1" operator="containsText" text="INSERIR">
      <formula>NOT(ISERROR(SEARCH("INSERIR",W851)))</formula>
    </cfRule>
  </conditionalFormatting>
  <conditionalFormatting sqref="W851">
    <cfRule type="containsText" dxfId="640" priority="552" stopIfTrue="1" operator="containsText" text="INSERIR">
      <formula>NOT(ISERROR(SEARCH("INSERIR",W851)))</formula>
    </cfRule>
  </conditionalFormatting>
  <conditionalFormatting sqref="V869:V870">
    <cfRule type="expression" dxfId="639" priority="544" stopIfTrue="1">
      <formula>$B869="insumo"</formula>
    </cfRule>
  </conditionalFormatting>
  <conditionalFormatting sqref="T869:U870 AA869:AA870">
    <cfRule type="expression" dxfId="638" priority="543" stopIfTrue="1">
      <formula>$B869="SERVIÇO"</formula>
    </cfRule>
  </conditionalFormatting>
  <conditionalFormatting sqref="A869:E870 AE869:AF870 G869:AC870">
    <cfRule type="expression" dxfId="637" priority="545">
      <formula>$B869="Unidade Construtiva"</formula>
    </cfRule>
    <cfRule type="expression" dxfId="636" priority="546">
      <formula>$B869="Serviço"</formula>
    </cfRule>
    <cfRule type="expression" dxfId="635" priority="547">
      <formula>$B869="Insumo"</formula>
    </cfRule>
    <cfRule type="expression" dxfId="634" priority="548">
      <formula>$B869="Etapa"</formula>
    </cfRule>
    <cfRule type="expression" dxfId="633" priority="549">
      <formula>$B869="Célula Construtiva"</formula>
    </cfRule>
    <cfRule type="expression" dxfId="632" priority="550">
      <formula>$B869="Subetapa"</formula>
    </cfRule>
  </conditionalFormatting>
  <conditionalFormatting sqref="T869:T870">
    <cfRule type="expression" dxfId="631" priority="542" stopIfTrue="1">
      <formula>$B869="INSUMO"</formula>
    </cfRule>
  </conditionalFormatting>
  <conditionalFormatting sqref="W869:W870">
    <cfRule type="containsText" dxfId="630" priority="541" stopIfTrue="1" operator="containsText" text="INSERIR">
      <formula>NOT(ISERROR(SEARCH("INSERIR",W869)))</formula>
    </cfRule>
  </conditionalFormatting>
  <conditionalFormatting sqref="W869">
    <cfRule type="containsText" dxfId="629" priority="540" stopIfTrue="1" operator="containsText" text="INSERIR">
      <formula>NOT(ISERROR(SEARCH("INSERIR",W869)))</formula>
    </cfRule>
  </conditionalFormatting>
  <conditionalFormatting sqref="V816:V818">
    <cfRule type="expression" dxfId="628" priority="532" stopIfTrue="1">
      <formula>$B816="insumo"</formula>
    </cfRule>
  </conditionalFormatting>
  <conditionalFormatting sqref="AA816:AA818 T816:U818">
    <cfRule type="expression" dxfId="627" priority="531" stopIfTrue="1">
      <formula>$B816="SERVIÇO"</formula>
    </cfRule>
  </conditionalFormatting>
  <conditionalFormatting sqref="AE816:AF818 A816:E818 G816:AC818">
    <cfRule type="expression" dxfId="626" priority="533">
      <formula>$B816="Unidade Construtiva"</formula>
    </cfRule>
    <cfRule type="expression" dxfId="625" priority="534">
      <formula>$B816="Serviço"</formula>
    </cfRule>
    <cfRule type="expression" dxfId="624" priority="535">
      <formula>$B816="Insumo"</formula>
    </cfRule>
    <cfRule type="expression" dxfId="623" priority="536">
      <formula>$B816="Etapa"</formula>
    </cfRule>
    <cfRule type="expression" dxfId="622" priority="537">
      <formula>$B816="Célula Construtiva"</formula>
    </cfRule>
    <cfRule type="expression" dxfId="621" priority="538">
      <formula>$B816="Subetapa"</formula>
    </cfRule>
  </conditionalFormatting>
  <conditionalFormatting sqref="T816:T818">
    <cfRule type="expression" dxfId="620" priority="530" stopIfTrue="1">
      <formula>$B816="INSUMO"</formula>
    </cfRule>
  </conditionalFormatting>
  <conditionalFormatting sqref="W816:W818">
    <cfRule type="containsText" dxfId="619" priority="529" stopIfTrue="1" operator="containsText" text="INSERIR">
      <formula>NOT(ISERROR(SEARCH("INSERIR",W816)))</formula>
    </cfRule>
  </conditionalFormatting>
  <conditionalFormatting sqref="W816">
    <cfRule type="containsText" dxfId="618" priority="528" stopIfTrue="1" operator="containsText" text="INSERIR">
      <formula>NOT(ISERROR(SEARCH("INSERIR",W816)))</formula>
    </cfRule>
  </conditionalFormatting>
  <conditionalFormatting sqref="V834:V835">
    <cfRule type="expression" dxfId="617" priority="520" stopIfTrue="1">
      <formula>$B834="insumo"</formula>
    </cfRule>
  </conditionalFormatting>
  <conditionalFormatting sqref="T834:U835 AA834:AA835">
    <cfRule type="expression" dxfId="616" priority="519" stopIfTrue="1">
      <formula>$B834="SERVIÇO"</formula>
    </cfRule>
  </conditionalFormatting>
  <conditionalFormatting sqref="A834:E835 AE834:AF835 G834:AC835">
    <cfRule type="expression" dxfId="615" priority="521">
      <formula>$B834="Unidade Construtiva"</formula>
    </cfRule>
    <cfRule type="expression" dxfId="614" priority="522">
      <formula>$B834="Serviço"</formula>
    </cfRule>
    <cfRule type="expression" dxfId="613" priority="523">
      <formula>$B834="Insumo"</formula>
    </cfRule>
    <cfRule type="expression" dxfId="612" priority="524">
      <formula>$B834="Etapa"</formula>
    </cfRule>
    <cfRule type="expression" dxfId="611" priority="525">
      <formula>$B834="Célula Construtiva"</formula>
    </cfRule>
    <cfRule type="expression" dxfId="610" priority="526">
      <formula>$B834="Subetapa"</formula>
    </cfRule>
  </conditionalFormatting>
  <conditionalFormatting sqref="T834:T835">
    <cfRule type="expression" dxfId="609" priority="518" stopIfTrue="1">
      <formula>$B834="INSUMO"</formula>
    </cfRule>
  </conditionalFormatting>
  <conditionalFormatting sqref="W834:W835">
    <cfRule type="containsText" dxfId="608" priority="517" stopIfTrue="1" operator="containsText" text="INSERIR">
      <formula>NOT(ISERROR(SEARCH("INSERIR",W834)))</formula>
    </cfRule>
  </conditionalFormatting>
  <conditionalFormatting sqref="W834">
    <cfRule type="containsText" dxfId="607" priority="516" stopIfTrue="1" operator="containsText" text="INSERIR">
      <formula>NOT(ISERROR(SEARCH("INSERIR",W834)))</formula>
    </cfRule>
  </conditionalFormatting>
  <conditionalFormatting sqref="V886:V888">
    <cfRule type="expression" dxfId="606" priority="508" stopIfTrue="1">
      <formula>$B886="insumo"</formula>
    </cfRule>
  </conditionalFormatting>
  <conditionalFormatting sqref="AA886:AA888 T886:U888">
    <cfRule type="expression" dxfId="605" priority="507" stopIfTrue="1">
      <formula>$B886="SERVIÇO"</formula>
    </cfRule>
  </conditionalFormatting>
  <conditionalFormatting sqref="AE886:AF888 A886:E888 G886:AC888">
    <cfRule type="expression" dxfId="604" priority="509">
      <formula>$B886="Unidade Construtiva"</formula>
    </cfRule>
    <cfRule type="expression" dxfId="603" priority="510">
      <formula>$B886="Serviço"</formula>
    </cfRule>
    <cfRule type="expression" dxfId="602" priority="511">
      <formula>$B886="Insumo"</formula>
    </cfRule>
    <cfRule type="expression" dxfId="601" priority="512">
      <formula>$B886="Etapa"</formula>
    </cfRule>
    <cfRule type="expression" dxfId="600" priority="513">
      <formula>$B886="Célula Construtiva"</formula>
    </cfRule>
    <cfRule type="expression" dxfId="599" priority="514">
      <formula>$B886="Subetapa"</formula>
    </cfRule>
  </conditionalFormatting>
  <conditionalFormatting sqref="T886:T888">
    <cfRule type="expression" dxfId="598" priority="506" stopIfTrue="1">
      <formula>$B886="INSUMO"</formula>
    </cfRule>
  </conditionalFormatting>
  <conditionalFormatting sqref="W886:W888">
    <cfRule type="containsText" dxfId="597" priority="505" stopIfTrue="1" operator="containsText" text="INSERIR">
      <formula>NOT(ISERROR(SEARCH("INSERIR",W886)))</formula>
    </cfRule>
  </conditionalFormatting>
  <conditionalFormatting sqref="W886">
    <cfRule type="containsText" dxfId="596" priority="504" stopIfTrue="1" operator="containsText" text="INSERIR">
      <formula>NOT(ISERROR(SEARCH("INSERIR",W886)))</formula>
    </cfRule>
  </conditionalFormatting>
  <conditionalFormatting sqref="V904:V905">
    <cfRule type="expression" dxfId="595" priority="496" stopIfTrue="1">
      <formula>$B904="insumo"</formula>
    </cfRule>
  </conditionalFormatting>
  <conditionalFormatting sqref="T904:U905 AA904:AA905">
    <cfRule type="expression" dxfId="594" priority="495" stopIfTrue="1">
      <formula>$B904="SERVIÇO"</formula>
    </cfRule>
  </conditionalFormatting>
  <conditionalFormatting sqref="A904:E905 AE904:AF905 G904:AC905">
    <cfRule type="expression" dxfId="593" priority="497">
      <formula>$B904="Unidade Construtiva"</formula>
    </cfRule>
    <cfRule type="expression" dxfId="592" priority="498">
      <formula>$B904="Serviço"</formula>
    </cfRule>
    <cfRule type="expression" dxfId="591" priority="499">
      <formula>$B904="Insumo"</formula>
    </cfRule>
    <cfRule type="expression" dxfId="590" priority="500">
      <formula>$B904="Etapa"</formula>
    </cfRule>
    <cfRule type="expression" dxfId="589" priority="501">
      <formula>$B904="Célula Construtiva"</formula>
    </cfRule>
    <cfRule type="expression" dxfId="588" priority="502">
      <formula>$B904="Subetapa"</formula>
    </cfRule>
  </conditionalFormatting>
  <conditionalFormatting sqref="T904:T905">
    <cfRule type="expression" dxfId="587" priority="494" stopIfTrue="1">
      <formula>$B904="INSUMO"</formula>
    </cfRule>
  </conditionalFormatting>
  <conditionalFormatting sqref="W904:W905">
    <cfRule type="containsText" dxfId="586" priority="493" stopIfTrue="1" operator="containsText" text="INSERIR">
      <formula>NOT(ISERROR(SEARCH("INSERIR",W904)))</formula>
    </cfRule>
  </conditionalFormatting>
  <conditionalFormatting sqref="W904">
    <cfRule type="containsText" dxfId="585" priority="492" stopIfTrue="1" operator="containsText" text="INSERIR">
      <formula>NOT(ISERROR(SEARCH("INSERIR",W904)))</formula>
    </cfRule>
  </conditionalFormatting>
  <conditionalFormatting sqref="V921:V923">
    <cfRule type="expression" dxfId="584" priority="484" stopIfTrue="1">
      <formula>$B921="insumo"</formula>
    </cfRule>
  </conditionalFormatting>
  <conditionalFormatting sqref="AA921:AA923 T921:U923">
    <cfRule type="expression" dxfId="583" priority="483" stopIfTrue="1">
      <formula>$B921="SERVIÇO"</formula>
    </cfRule>
  </conditionalFormatting>
  <conditionalFormatting sqref="AE921:AF923 A921:E923 G921:AC923">
    <cfRule type="expression" dxfId="582" priority="485">
      <formula>$B921="Unidade Construtiva"</formula>
    </cfRule>
    <cfRule type="expression" dxfId="581" priority="486">
      <formula>$B921="Serviço"</formula>
    </cfRule>
    <cfRule type="expression" dxfId="580" priority="487">
      <formula>$B921="Insumo"</formula>
    </cfRule>
    <cfRule type="expression" dxfId="579" priority="488">
      <formula>$B921="Etapa"</formula>
    </cfRule>
    <cfRule type="expression" dxfId="578" priority="489">
      <formula>$B921="Célula Construtiva"</formula>
    </cfRule>
    <cfRule type="expression" dxfId="577" priority="490">
      <formula>$B921="Subetapa"</formula>
    </cfRule>
  </conditionalFormatting>
  <conditionalFormatting sqref="T921:T923">
    <cfRule type="expression" dxfId="576" priority="482" stopIfTrue="1">
      <formula>$B921="INSUMO"</formula>
    </cfRule>
  </conditionalFormatting>
  <conditionalFormatting sqref="W921:W923">
    <cfRule type="containsText" dxfId="575" priority="481" stopIfTrue="1" operator="containsText" text="INSERIR">
      <formula>NOT(ISERROR(SEARCH("INSERIR",W921)))</formula>
    </cfRule>
  </conditionalFormatting>
  <conditionalFormatting sqref="W921">
    <cfRule type="containsText" dxfId="574" priority="480" stopIfTrue="1" operator="containsText" text="INSERIR">
      <formula>NOT(ISERROR(SEARCH("INSERIR",W921)))</formula>
    </cfRule>
  </conditionalFormatting>
  <conditionalFormatting sqref="V940:V941">
    <cfRule type="expression" dxfId="573" priority="472" stopIfTrue="1">
      <formula>$B940="insumo"</formula>
    </cfRule>
  </conditionalFormatting>
  <conditionalFormatting sqref="T940:U941 AA940:AA941">
    <cfRule type="expression" dxfId="572" priority="471" stopIfTrue="1">
      <formula>$B940="SERVIÇO"</formula>
    </cfRule>
  </conditionalFormatting>
  <conditionalFormatting sqref="A940:E941 AE940:AF941 G940:AC941">
    <cfRule type="expression" dxfId="571" priority="473">
      <formula>$B940="Unidade Construtiva"</formula>
    </cfRule>
    <cfRule type="expression" dxfId="570" priority="474">
      <formula>$B940="Serviço"</formula>
    </cfRule>
    <cfRule type="expression" dxfId="569" priority="475">
      <formula>$B940="Insumo"</formula>
    </cfRule>
    <cfRule type="expression" dxfId="568" priority="476">
      <formula>$B940="Etapa"</formula>
    </cfRule>
    <cfRule type="expression" dxfId="567" priority="477">
      <formula>$B940="Célula Construtiva"</formula>
    </cfRule>
    <cfRule type="expression" dxfId="566" priority="478">
      <formula>$B940="Subetapa"</formula>
    </cfRule>
  </conditionalFormatting>
  <conditionalFormatting sqref="T940:T941">
    <cfRule type="expression" dxfId="565" priority="470" stopIfTrue="1">
      <formula>$B940="INSUMO"</formula>
    </cfRule>
  </conditionalFormatting>
  <conditionalFormatting sqref="W940:W941">
    <cfRule type="containsText" dxfId="564" priority="469" stopIfTrue="1" operator="containsText" text="INSERIR">
      <formula>NOT(ISERROR(SEARCH("INSERIR",W940)))</formula>
    </cfRule>
  </conditionalFormatting>
  <conditionalFormatting sqref="W940">
    <cfRule type="containsText" dxfId="563" priority="468" stopIfTrue="1" operator="containsText" text="INSERIR">
      <formula>NOT(ISERROR(SEARCH("INSERIR",W940)))</formula>
    </cfRule>
  </conditionalFormatting>
  <conditionalFormatting sqref="V1461">
    <cfRule type="expression" dxfId="562" priority="460" stopIfTrue="1">
      <formula>$B1461="insumo"</formula>
    </cfRule>
  </conditionalFormatting>
  <conditionalFormatting sqref="T1461:U1461 AA1461">
    <cfRule type="expression" dxfId="561" priority="459" stopIfTrue="1">
      <formula>$B1461="SERVIÇO"</formula>
    </cfRule>
  </conditionalFormatting>
  <conditionalFormatting sqref="A1461:E1461 AE1461:AF1461 G1461:AC1461">
    <cfRule type="expression" dxfId="560" priority="461">
      <formula>$B1461="Unidade Construtiva"</formula>
    </cfRule>
    <cfRule type="expression" dxfId="559" priority="462">
      <formula>$B1461="Serviço"</formula>
    </cfRule>
    <cfRule type="expression" dxfId="558" priority="463">
      <formula>$B1461="Insumo"</formula>
    </cfRule>
    <cfRule type="expression" dxfId="557" priority="464">
      <formula>$B1461="Etapa"</formula>
    </cfRule>
    <cfRule type="expression" dxfId="556" priority="465">
      <formula>$B1461="Célula Construtiva"</formula>
    </cfRule>
    <cfRule type="expression" dxfId="555" priority="466">
      <formula>$B1461="Subetapa"</formula>
    </cfRule>
  </conditionalFormatting>
  <conditionalFormatting sqref="T1461">
    <cfRule type="expression" dxfId="554" priority="458" stopIfTrue="1">
      <formula>$B1461="INSUMO"</formula>
    </cfRule>
  </conditionalFormatting>
  <conditionalFormatting sqref="W1461">
    <cfRule type="containsText" dxfId="553" priority="457" stopIfTrue="1" operator="containsText" text="INSERIR">
      <formula>NOT(ISERROR(SEARCH("INSERIR",W1461)))</formula>
    </cfRule>
  </conditionalFormatting>
  <conditionalFormatting sqref="V1510">
    <cfRule type="expression" dxfId="552" priority="449" stopIfTrue="1">
      <formula>$B1510="insumo"</formula>
    </cfRule>
  </conditionalFormatting>
  <conditionalFormatting sqref="T1510:U1510 AA1510">
    <cfRule type="expression" dxfId="551" priority="448" stopIfTrue="1">
      <formula>$B1510="SERVIÇO"</formula>
    </cfRule>
  </conditionalFormatting>
  <conditionalFormatting sqref="A1510:E1510 AE1510:AF1510 G1510:AC1510">
    <cfRule type="expression" dxfId="550" priority="450">
      <formula>$B1510="Unidade Construtiva"</formula>
    </cfRule>
    <cfRule type="expression" dxfId="549" priority="451">
      <formula>$B1510="Serviço"</formula>
    </cfRule>
    <cfRule type="expression" dxfId="548" priority="452">
      <formula>$B1510="Insumo"</formula>
    </cfRule>
    <cfRule type="expression" dxfId="547" priority="453">
      <formula>$B1510="Etapa"</formula>
    </cfRule>
    <cfRule type="expression" dxfId="546" priority="454">
      <formula>$B1510="Célula Construtiva"</formula>
    </cfRule>
    <cfRule type="expression" dxfId="545" priority="455">
      <formula>$B1510="Subetapa"</formula>
    </cfRule>
  </conditionalFormatting>
  <conditionalFormatting sqref="T1510">
    <cfRule type="expression" dxfId="544" priority="447" stopIfTrue="1">
      <formula>$B1510="INSUMO"</formula>
    </cfRule>
  </conditionalFormatting>
  <conditionalFormatting sqref="W1510">
    <cfRule type="containsText" dxfId="543" priority="446" stopIfTrue="1" operator="containsText" text="INSERIR">
      <formula>NOT(ISERROR(SEARCH("INSERIR",W1510)))</formula>
    </cfRule>
  </conditionalFormatting>
  <conditionalFormatting sqref="V1584">
    <cfRule type="expression" dxfId="542" priority="438" stopIfTrue="1">
      <formula>$B1584="insumo"</formula>
    </cfRule>
  </conditionalFormatting>
  <conditionalFormatting sqref="T1584:U1584 AA1584">
    <cfRule type="expression" dxfId="541" priority="437" stopIfTrue="1">
      <formula>$B1584="SERVIÇO"</formula>
    </cfRule>
  </conditionalFormatting>
  <conditionalFormatting sqref="A1584:E1584 AE1584:AF1584 G1584:AC1584">
    <cfRule type="expression" dxfId="540" priority="439">
      <formula>$B1584="Unidade Construtiva"</formula>
    </cfRule>
    <cfRule type="expression" dxfId="539" priority="440">
      <formula>$B1584="Serviço"</formula>
    </cfRule>
    <cfRule type="expression" dxfId="538" priority="441">
      <formula>$B1584="Insumo"</formula>
    </cfRule>
    <cfRule type="expression" dxfId="537" priority="442">
      <formula>$B1584="Etapa"</formula>
    </cfRule>
    <cfRule type="expression" dxfId="536" priority="443">
      <formula>$B1584="Célula Construtiva"</formula>
    </cfRule>
    <cfRule type="expression" dxfId="535" priority="444">
      <formula>$B1584="Subetapa"</formula>
    </cfRule>
  </conditionalFormatting>
  <conditionalFormatting sqref="T1584">
    <cfRule type="expression" dxfId="534" priority="436" stopIfTrue="1">
      <formula>$B1584="INSUMO"</formula>
    </cfRule>
  </conditionalFormatting>
  <conditionalFormatting sqref="W1584">
    <cfRule type="containsText" dxfId="533" priority="435" stopIfTrue="1" operator="containsText" text="INSERIR">
      <formula>NOT(ISERROR(SEARCH("INSERIR",W1584)))</formula>
    </cfRule>
  </conditionalFormatting>
  <conditionalFormatting sqref="V1645">
    <cfRule type="expression" dxfId="532" priority="427" stopIfTrue="1">
      <formula>$B1645="insumo"</formula>
    </cfRule>
  </conditionalFormatting>
  <conditionalFormatting sqref="T1645:U1645 AA1645">
    <cfRule type="expression" dxfId="531" priority="426" stopIfTrue="1">
      <formula>$B1645="SERVIÇO"</formula>
    </cfRule>
  </conditionalFormatting>
  <conditionalFormatting sqref="A1645:E1645 AE1645:AF1645 G1645:AC1645">
    <cfRule type="expression" dxfId="530" priority="428">
      <formula>$B1645="Unidade Construtiva"</formula>
    </cfRule>
    <cfRule type="expression" dxfId="529" priority="429">
      <formula>$B1645="Serviço"</formula>
    </cfRule>
    <cfRule type="expression" dxfId="528" priority="430">
      <formula>$B1645="Insumo"</formula>
    </cfRule>
    <cfRule type="expression" dxfId="527" priority="431">
      <formula>$B1645="Etapa"</formula>
    </cfRule>
    <cfRule type="expression" dxfId="526" priority="432">
      <formula>$B1645="Célula Construtiva"</formula>
    </cfRule>
    <cfRule type="expression" dxfId="525" priority="433">
      <formula>$B1645="Subetapa"</formula>
    </cfRule>
  </conditionalFormatting>
  <conditionalFormatting sqref="T1645">
    <cfRule type="expression" dxfId="524" priority="425" stopIfTrue="1">
      <formula>$B1645="INSUMO"</formula>
    </cfRule>
  </conditionalFormatting>
  <conditionalFormatting sqref="W1645">
    <cfRule type="containsText" dxfId="523" priority="424" stopIfTrue="1" operator="containsText" text="INSERIR">
      <formula>NOT(ISERROR(SEARCH("INSERIR",W1645)))</formula>
    </cfRule>
  </conditionalFormatting>
  <conditionalFormatting sqref="V1713">
    <cfRule type="expression" dxfId="522" priority="416" stopIfTrue="1">
      <formula>$B1713="insumo"</formula>
    </cfRule>
  </conditionalFormatting>
  <conditionalFormatting sqref="T1713:U1713 AA1713">
    <cfRule type="expression" dxfId="521" priority="415" stopIfTrue="1">
      <formula>$B1713="SERVIÇO"</formula>
    </cfRule>
  </conditionalFormatting>
  <conditionalFormatting sqref="A1713:E1713 AE1713:AF1713 G1713:AC1713">
    <cfRule type="expression" dxfId="520" priority="417">
      <formula>$B1713="Unidade Construtiva"</formula>
    </cfRule>
    <cfRule type="expression" dxfId="519" priority="418">
      <formula>$B1713="Serviço"</formula>
    </cfRule>
    <cfRule type="expression" dxfId="518" priority="419">
      <formula>$B1713="Insumo"</formula>
    </cfRule>
    <cfRule type="expression" dxfId="517" priority="420">
      <formula>$B1713="Etapa"</formula>
    </cfRule>
    <cfRule type="expression" dxfId="516" priority="421">
      <formula>$B1713="Célula Construtiva"</formula>
    </cfRule>
    <cfRule type="expression" dxfId="515" priority="422">
      <formula>$B1713="Subetapa"</formula>
    </cfRule>
  </conditionalFormatting>
  <conditionalFormatting sqref="T1713">
    <cfRule type="expression" dxfId="514" priority="414" stopIfTrue="1">
      <formula>$B1713="INSUMO"</formula>
    </cfRule>
  </conditionalFormatting>
  <conditionalFormatting sqref="W1713">
    <cfRule type="containsText" dxfId="513" priority="413" stopIfTrue="1" operator="containsText" text="INSERIR">
      <formula>NOT(ISERROR(SEARCH("INSERIR",W1713)))</formula>
    </cfRule>
  </conditionalFormatting>
  <conditionalFormatting sqref="V107:V109">
    <cfRule type="expression" dxfId="512" priority="405" stopIfTrue="1">
      <formula>$B107="insumo"</formula>
    </cfRule>
  </conditionalFormatting>
  <conditionalFormatting sqref="AA107:AA109 T107:U109">
    <cfRule type="expression" dxfId="511" priority="404" stopIfTrue="1">
      <formula>$B107="SERVIÇO"</formula>
    </cfRule>
  </conditionalFormatting>
  <conditionalFormatting sqref="AE107:AF109 A107:E109 G107:AC109">
    <cfRule type="expression" dxfId="510" priority="406">
      <formula>$B107="Unidade Construtiva"</formula>
    </cfRule>
    <cfRule type="expression" dxfId="509" priority="407">
      <formula>$B107="Serviço"</formula>
    </cfRule>
    <cfRule type="expression" dxfId="508" priority="408">
      <formula>$B107="Insumo"</formula>
    </cfRule>
    <cfRule type="expression" dxfId="507" priority="409">
      <formula>$B107="Etapa"</formula>
    </cfRule>
    <cfRule type="expression" dxfId="506" priority="410">
      <formula>$B107="Célula Construtiva"</formula>
    </cfRule>
    <cfRule type="expression" dxfId="505" priority="411">
      <formula>$B107="Subetapa"</formula>
    </cfRule>
  </conditionalFormatting>
  <conditionalFormatting sqref="T107:T109">
    <cfRule type="expression" dxfId="504" priority="403" stopIfTrue="1">
      <formula>$B107="INSUMO"</formula>
    </cfRule>
  </conditionalFormatting>
  <conditionalFormatting sqref="W107:W109">
    <cfRule type="containsText" dxfId="503" priority="402" stopIfTrue="1" operator="containsText" text="INSERIR">
      <formula>NOT(ISERROR(SEARCH("INSERIR",W107)))</formula>
    </cfRule>
  </conditionalFormatting>
  <conditionalFormatting sqref="S1365">
    <cfRule type="expression" dxfId="502" priority="384">
      <formula>$B1365="Unidade Construtiva"</formula>
    </cfRule>
    <cfRule type="expression" dxfId="501" priority="385">
      <formula>$B1365="Serviço"</formula>
    </cfRule>
    <cfRule type="expression" dxfId="500" priority="386">
      <formula>$B1365="Insumo"</formula>
    </cfRule>
    <cfRule type="expression" dxfId="499" priority="387">
      <formula>$B1365="Etapa"</formula>
    </cfRule>
    <cfRule type="expression" dxfId="498" priority="388">
      <formula>$B1365="Célula Construtiva"</formula>
    </cfRule>
    <cfRule type="expression" dxfId="497" priority="389">
      <formula>$B1365="Subetapa"</formula>
    </cfRule>
  </conditionalFormatting>
  <conditionalFormatting sqref="S1301">
    <cfRule type="expression" dxfId="496" priority="396">
      <formula>$B1301="Unidade Construtiva"</formula>
    </cfRule>
    <cfRule type="expression" dxfId="495" priority="397">
      <formula>$B1301="Serviço"</formula>
    </cfRule>
    <cfRule type="expression" dxfId="494" priority="398">
      <formula>$B1301="Insumo"</formula>
    </cfRule>
    <cfRule type="expression" dxfId="493" priority="399">
      <formula>$B1301="Etapa"</formula>
    </cfRule>
    <cfRule type="expression" dxfId="492" priority="400">
      <formula>$B1301="Célula Construtiva"</formula>
    </cfRule>
    <cfRule type="expression" dxfId="491" priority="401">
      <formula>$B1301="Subetapa"</formula>
    </cfRule>
  </conditionalFormatting>
  <conditionalFormatting sqref="S1339">
    <cfRule type="expression" dxfId="490" priority="390">
      <formula>$B1339="Unidade Construtiva"</formula>
    </cfRule>
    <cfRule type="expression" dxfId="489" priority="391">
      <formula>$B1339="Serviço"</formula>
    </cfRule>
    <cfRule type="expression" dxfId="488" priority="392">
      <formula>$B1339="Insumo"</formula>
    </cfRule>
    <cfRule type="expression" dxfId="487" priority="393">
      <formula>$B1339="Etapa"</formula>
    </cfRule>
    <cfRule type="expression" dxfId="486" priority="394">
      <formula>$B1339="Célula Construtiva"</formula>
    </cfRule>
    <cfRule type="expression" dxfId="485" priority="395">
      <formula>$B1339="Subetapa"</formula>
    </cfRule>
  </conditionalFormatting>
  <conditionalFormatting sqref="V2141:V2142">
    <cfRule type="expression" dxfId="484" priority="376" stopIfTrue="1">
      <formula>$B2141="insumo"</formula>
    </cfRule>
  </conditionalFormatting>
  <conditionalFormatting sqref="AA2141:AA2142 T2141:U2142">
    <cfRule type="expression" dxfId="483" priority="375" stopIfTrue="1">
      <formula>$B2141="SERVIÇO"</formula>
    </cfRule>
  </conditionalFormatting>
  <conditionalFormatting sqref="AE2141:AF2142 A2141:E2142 G2141:AC2142">
    <cfRule type="expression" dxfId="482" priority="377">
      <formula>$B2141="Unidade Construtiva"</formula>
    </cfRule>
    <cfRule type="expression" dxfId="481" priority="378">
      <formula>$B2141="Serviço"</formula>
    </cfRule>
    <cfRule type="expression" dxfId="480" priority="379">
      <formula>$B2141="Insumo"</formula>
    </cfRule>
    <cfRule type="expression" dxfId="479" priority="380">
      <formula>$B2141="Etapa"</formula>
    </cfRule>
    <cfRule type="expression" dxfId="478" priority="381">
      <formula>$B2141="Célula Construtiva"</formula>
    </cfRule>
    <cfRule type="expression" dxfId="477" priority="382">
      <formula>$B2141="Subetapa"</formula>
    </cfRule>
  </conditionalFormatting>
  <conditionalFormatting sqref="T2141:T2142">
    <cfRule type="expression" dxfId="476" priority="374" stopIfTrue="1">
      <formula>$B2141="INSUMO"</formula>
    </cfRule>
  </conditionalFormatting>
  <conditionalFormatting sqref="W2141:W2142">
    <cfRule type="containsText" dxfId="475" priority="373" stopIfTrue="1" operator="containsText" text="INSERIR">
      <formula>NOT(ISERROR(SEARCH("INSERIR",W2141)))</formula>
    </cfRule>
  </conditionalFormatting>
  <conditionalFormatting sqref="S1771">
    <cfRule type="expression" dxfId="474" priority="367">
      <formula>$B1771="Unidade Construtiva"</formula>
    </cfRule>
    <cfRule type="expression" dxfId="473" priority="368">
      <formula>$B1771="Serviço"</formula>
    </cfRule>
    <cfRule type="expression" dxfId="472" priority="369">
      <formula>$B1771="Insumo"</formula>
    </cfRule>
    <cfRule type="expression" dxfId="471" priority="370">
      <formula>$B1771="Etapa"</formula>
    </cfRule>
    <cfRule type="expression" dxfId="470" priority="371">
      <formula>$B1771="Célula Construtiva"</formula>
    </cfRule>
    <cfRule type="expression" dxfId="469" priority="372">
      <formula>$B1771="Subetapa"</formula>
    </cfRule>
  </conditionalFormatting>
  <conditionalFormatting sqref="V1874">
    <cfRule type="expression" dxfId="468" priority="360" stopIfTrue="1">
      <formula>$B1874="insumo"</formula>
    </cfRule>
  </conditionalFormatting>
  <conditionalFormatting sqref="V1874">
    <cfRule type="expression" dxfId="467" priority="361">
      <formula>$B1874="Unidade Construtiva"</formula>
    </cfRule>
    <cfRule type="expression" dxfId="466" priority="362">
      <formula>$B1874="Serviço"</formula>
    </cfRule>
    <cfRule type="expression" dxfId="465" priority="363">
      <formula>$B1874="Insumo"</formula>
    </cfRule>
    <cfRule type="expression" dxfId="464" priority="364">
      <formula>$B1874="Etapa"</formula>
    </cfRule>
    <cfRule type="expression" dxfId="463" priority="365">
      <formula>$B1874="Célula Construtiva"</formula>
    </cfRule>
    <cfRule type="expression" dxfId="462" priority="366">
      <formula>$B1874="Subetapa"</formula>
    </cfRule>
  </conditionalFormatting>
  <conditionalFormatting sqref="W1874">
    <cfRule type="containsText" dxfId="461" priority="351" stopIfTrue="1" operator="containsText" text="INSERIR">
      <formula>NOT(ISERROR(SEARCH("INSERIR",W1874)))</formula>
    </cfRule>
  </conditionalFormatting>
  <conditionalFormatting sqref="V1873">
    <cfRule type="expression" dxfId="460" priority="343" stopIfTrue="1">
      <formula>$B1873="insumo"</formula>
    </cfRule>
  </conditionalFormatting>
  <conditionalFormatting sqref="T1873">
    <cfRule type="expression" dxfId="459" priority="342" stopIfTrue="1">
      <formula>$B1873="SERVIÇO"</formula>
    </cfRule>
  </conditionalFormatting>
  <conditionalFormatting sqref="A1873:E1873 V1873:AC1873 G1873:T1873">
    <cfRule type="expression" dxfId="458" priority="344">
      <formula>$B1873="Unidade Construtiva"</formula>
    </cfRule>
    <cfRule type="expression" dxfId="457" priority="345">
      <formula>$B1873="Serviço"</formula>
    </cfRule>
    <cfRule type="expression" dxfId="456" priority="346">
      <formula>$B1873="Insumo"</formula>
    </cfRule>
    <cfRule type="expression" dxfId="455" priority="347">
      <formula>$B1873="Etapa"</formula>
    </cfRule>
    <cfRule type="expression" dxfId="454" priority="348">
      <formula>$B1873="Célula Construtiva"</formula>
    </cfRule>
    <cfRule type="expression" dxfId="453" priority="349">
      <formula>$B1873="Subetapa"</formula>
    </cfRule>
  </conditionalFormatting>
  <conditionalFormatting sqref="T1873">
    <cfRule type="expression" dxfId="452" priority="341" stopIfTrue="1">
      <formula>$B1873="INSUMO"</formula>
    </cfRule>
  </conditionalFormatting>
  <conditionalFormatting sqref="W1873">
    <cfRule type="containsText" dxfId="451" priority="340" stopIfTrue="1" operator="containsText" text="INSERIR">
      <formula>NOT(ISERROR(SEARCH("INSERIR",W1873)))</formula>
    </cfRule>
  </conditionalFormatting>
  <conditionalFormatting sqref="U1873">
    <cfRule type="expression" dxfId="450" priority="333" stopIfTrue="1">
      <formula>$B1873="SERVIÇO"</formula>
    </cfRule>
  </conditionalFormatting>
  <conditionalFormatting sqref="U1873">
    <cfRule type="expression" dxfId="449" priority="334">
      <formula>$B1873="Unidade Construtiva"</formula>
    </cfRule>
    <cfRule type="expression" dxfId="448" priority="335">
      <formula>$B1873="Serviço"</formula>
    </cfRule>
    <cfRule type="expression" dxfId="447" priority="336">
      <formula>$B1873="Insumo"</formula>
    </cfRule>
    <cfRule type="expression" dxfId="446" priority="337">
      <formula>$B1873="Etapa"</formula>
    </cfRule>
    <cfRule type="expression" dxfId="445" priority="338">
      <formula>$B1873="Célula Construtiva"</formula>
    </cfRule>
    <cfRule type="expression" dxfId="444" priority="339">
      <formula>$B1873="Subetapa"</formula>
    </cfRule>
  </conditionalFormatting>
  <conditionalFormatting sqref="T1910:U1910 AA1909:AA1910">
    <cfRule type="expression" dxfId="443" priority="325" stopIfTrue="1">
      <formula>$B1909="SERVIÇO"</formula>
    </cfRule>
  </conditionalFormatting>
  <conditionalFormatting sqref="AE1909:AF1910 A1910:E1910 W1910:AC1910 G1910:U1910">
    <cfRule type="expression" dxfId="442" priority="326">
      <formula>$B1909="Unidade Construtiva"</formula>
    </cfRule>
    <cfRule type="expression" dxfId="441" priority="327">
      <formula>$B1909="Serviço"</formula>
    </cfRule>
    <cfRule type="expression" dxfId="440" priority="328">
      <formula>$B1909="Insumo"</formula>
    </cfRule>
    <cfRule type="expression" dxfId="439" priority="329">
      <formula>$B1909="Etapa"</formula>
    </cfRule>
    <cfRule type="expression" dxfId="438" priority="330">
      <formula>$B1909="Célula Construtiva"</formula>
    </cfRule>
    <cfRule type="expression" dxfId="437" priority="331">
      <formula>$B1909="Subetapa"</formula>
    </cfRule>
  </conditionalFormatting>
  <conditionalFormatting sqref="T1910">
    <cfRule type="expression" dxfId="436" priority="324" stopIfTrue="1">
      <formula>$B1910="INSUMO"</formula>
    </cfRule>
  </conditionalFormatting>
  <conditionalFormatting sqref="V1910">
    <cfRule type="expression" dxfId="435" priority="317" stopIfTrue="1">
      <formula>$B1910="insumo"</formula>
    </cfRule>
  </conditionalFormatting>
  <conditionalFormatting sqref="V1910">
    <cfRule type="expression" dxfId="434" priority="318">
      <formula>$B1910="Unidade Construtiva"</formula>
    </cfRule>
    <cfRule type="expression" dxfId="433" priority="319">
      <formula>$B1910="Serviço"</formula>
    </cfRule>
    <cfRule type="expression" dxfId="432" priority="320">
      <formula>$B1910="Insumo"</formula>
    </cfRule>
    <cfRule type="expression" dxfId="431" priority="321">
      <formula>$B1910="Etapa"</formula>
    </cfRule>
    <cfRule type="expression" dxfId="430" priority="322">
      <formula>$B1910="Célula Construtiva"</formula>
    </cfRule>
    <cfRule type="expression" dxfId="429" priority="323">
      <formula>$B1910="Subetapa"</formula>
    </cfRule>
  </conditionalFormatting>
  <conditionalFormatting sqref="W1910">
    <cfRule type="containsText" dxfId="428" priority="316" stopIfTrue="1" operator="containsText" text="INSERIR">
      <formula>NOT(ISERROR(SEARCH("INSERIR",W1910)))</formula>
    </cfRule>
  </conditionalFormatting>
  <conditionalFormatting sqref="V1909">
    <cfRule type="expression" dxfId="427" priority="309" stopIfTrue="1">
      <formula>$B1909="insumo"</formula>
    </cfRule>
  </conditionalFormatting>
  <conditionalFormatting sqref="T1909">
    <cfRule type="expression" dxfId="426" priority="308" stopIfTrue="1">
      <formula>$B1909="SERVIÇO"</formula>
    </cfRule>
  </conditionalFormatting>
  <conditionalFormatting sqref="A1909:E1909 V1909:AC1909 G1909:T1909">
    <cfRule type="expression" dxfId="425" priority="310">
      <formula>$B1909="Unidade Construtiva"</formula>
    </cfRule>
    <cfRule type="expression" dxfId="424" priority="311">
      <formula>$B1909="Serviço"</formula>
    </cfRule>
    <cfRule type="expression" dxfId="423" priority="312">
      <formula>$B1909="Insumo"</formula>
    </cfRule>
    <cfRule type="expression" dxfId="422" priority="313">
      <formula>$B1909="Etapa"</formula>
    </cfRule>
    <cfRule type="expression" dxfId="421" priority="314">
      <formula>$B1909="Célula Construtiva"</formula>
    </cfRule>
    <cfRule type="expression" dxfId="420" priority="315">
      <formula>$B1909="Subetapa"</formula>
    </cfRule>
  </conditionalFormatting>
  <conditionalFormatting sqref="T1909">
    <cfRule type="expression" dxfId="419" priority="307" stopIfTrue="1">
      <formula>$B1909="INSUMO"</formula>
    </cfRule>
  </conditionalFormatting>
  <conditionalFormatting sqref="W1909">
    <cfRule type="containsText" dxfId="418" priority="306" stopIfTrue="1" operator="containsText" text="INSERIR">
      <formula>NOT(ISERROR(SEARCH("INSERIR",W1909)))</formula>
    </cfRule>
  </conditionalFormatting>
  <conditionalFormatting sqref="U1909">
    <cfRule type="expression" dxfId="417" priority="299" stopIfTrue="1">
      <formula>$B1909="SERVIÇO"</formula>
    </cfRule>
  </conditionalFormatting>
  <conditionalFormatting sqref="U1909">
    <cfRule type="expression" dxfId="416" priority="300">
      <formula>$B1909="Unidade Construtiva"</formula>
    </cfRule>
    <cfRule type="expression" dxfId="415" priority="301">
      <formula>$B1909="Serviço"</formula>
    </cfRule>
    <cfRule type="expression" dxfId="414" priority="302">
      <formula>$B1909="Insumo"</formula>
    </cfRule>
    <cfRule type="expression" dxfId="413" priority="303">
      <formula>$B1909="Etapa"</formula>
    </cfRule>
    <cfRule type="expression" dxfId="412" priority="304">
      <formula>$B1909="Célula Construtiva"</formula>
    </cfRule>
    <cfRule type="expression" dxfId="411" priority="305">
      <formula>$B1909="Subetapa"</formula>
    </cfRule>
  </conditionalFormatting>
  <conditionalFormatting sqref="T1938:U1938 AA1937:AA1938">
    <cfRule type="expression" dxfId="410" priority="291" stopIfTrue="1">
      <formula>$B1937="SERVIÇO"</formula>
    </cfRule>
  </conditionalFormatting>
  <conditionalFormatting sqref="AE1937:AF1938 A1938:E1938 W1938:AC1938 G1938:U1938">
    <cfRule type="expression" dxfId="409" priority="292">
      <formula>$B1937="Unidade Construtiva"</formula>
    </cfRule>
    <cfRule type="expression" dxfId="408" priority="293">
      <formula>$B1937="Serviço"</formula>
    </cfRule>
    <cfRule type="expression" dxfId="407" priority="294">
      <formula>$B1937="Insumo"</formula>
    </cfRule>
    <cfRule type="expression" dxfId="406" priority="295">
      <formula>$B1937="Etapa"</formula>
    </cfRule>
    <cfRule type="expression" dxfId="405" priority="296">
      <formula>$B1937="Célula Construtiva"</formula>
    </cfRule>
    <cfRule type="expression" dxfId="404" priority="297">
      <formula>$B1937="Subetapa"</formula>
    </cfRule>
  </conditionalFormatting>
  <conditionalFormatting sqref="T1938">
    <cfRule type="expression" dxfId="403" priority="290" stopIfTrue="1">
      <formula>$B1938="INSUMO"</formula>
    </cfRule>
  </conditionalFormatting>
  <conditionalFormatting sqref="V1938">
    <cfRule type="expression" dxfId="402" priority="283" stopIfTrue="1">
      <formula>$B1938="insumo"</formula>
    </cfRule>
  </conditionalFormatting>
  <conditionalFormatting sqref="V1938">
    <cfRule type="expression" dxfId="401" priority="284">
      <formula>$B1938="Unidade Construtiva"</formula>
    </cfRule>
    <cfRule type="expression" dxfId="400" priority="285">
      <formula>$B1938="Serviço"</formula>
    </cfRule>
    <cfRule type="expression" dxfId="399" priority="286">
      <formula>$B1938="Insumo"</formula>
    </cfRule>
    <cfRule type="expression" dxfId="398" priority="287">
      <formula>$B1938="Etapa"</formula>
    </cfRule>
    <cfRule type="expression" dxfId="397" priority="288">
      <formula>$B1938="Célula Construtiva"</formula>
    </cfRule>
    <cfRule type="expression" dxfId="396" priority="289">
      <formula>$B1938="Subetapa"</formula>
    </cfRule>
  </conditionalFormatting>
  <conditionalFormatting sqref="W1938">
    <cfRule type="containsText" dxfId="395" priority="282" stopIfTrue="1" operator="containsText" text="INSERIR">
      <formula>NOT(ISERROR(SEARCH("INSERIR",W1938)))</formula>
    </cfRule>
  </conditionalFormatting>
  <conditionalFormatting sqref="V1937">
    <cfRule type="expression" dxfId="394" priority="275" stopIfTrue="1">
      <formula>$B1937="insumo"</formula>
    </cfRule>
  </conditionalFormatting>
  <conditionalFormatting sqref="T1937">
    <cfRule type="expression" dxfId="393" priority="274" stopIfTrue="1">
      <formula>$B1937="SERVIÇO"</formula>
    </cfRule>
  </conditionalFormatting>
  <conditionalFormatting sqref="A1937:E1937 V1937:AC1937 G1937:T1937">
    <cfRule type="expression" dxfId="392" priority="276">
      <formula>$B1937="Unidade Construtiva"</formula>
    </cfRule>
    <cfRule type="expression" dxfId="391" priority="277">
      <formula>$B1937="Serviço"</formula>
    </cfRule>
    <cfRule type="expression" dxfId="390" priority="278">
      <formula>$B1937="Insumo"</formula>
    </cfRule>
    <cfRule type="expression" dxfId="389" priority="279">
      <formula>$B1937="Etapa"</formula>
    </cfRule>
    <cfRule type="expression" dxfId="388" priority="280">
      <formula>$B1937="Célula Construtiva"</formula>
    </cfRule>
    <cfRule type="expression" dxfId="387" priority="281">
      <formula>$B1937="Subetapa"</formula>
    </cfRule>
  </conditionalFormatting>
  <conditionalFormatting sqref="T1937">
    <cfRule type="expression" dxfId="386" priority="273" stopIfTrue="1">
      <formula>$B1937="INSUMO"</formula>
    </cfRule>
  </conditionalFormatting>
  <conditionalFormatting sqref="W1937">
    <cfRule type="containsText" dxfId="385" priority="272" stopIfTrue="1" operator="containsText" text="INSERIR">
      <formula>NOT(ISERROR(SEARCH("INSERIR",W1937)))</formula>
    </cfRule>
  </conditionalFormatting>
  <conditionalFormatting sqref="U1937">
    <cfRule type="expression" dxfId="384" priority="265" stopIfTrue="1">
      <formula>$B1937="SERVIÇO"</formula>
    </cfRule>
  </conditionalFormatting>
  <conditionalFormatting sqref="U1937">
    <cfRule type="expression" dxfId="383" priority="266">
      <formula>$B1937="Unidade Construtiva"</formula>
    </cfRule>
    <cfRule type="expression" dxfId="382" priority="267">
      <formula>$B1937="Serviço"</formula>
    </cfRule>
    <cfRule type="expression" dxfId="381" priority="268">
      <formula>$B1937="Insumo"</formula>
    </cfRule>
    <cfRule type="expression" dxfId="380" priority="269">
      <formula>$B1937="Etapa"</formula>
    </cfRule>
    <cfRule type="expression" dxfId="379" priority="270">
      <formula>$B1937="Célula Construtiva"</formula>
    </cfRule>
    <cfRule type="expression" dxfId="378" priority="271">
      <formula>$B1937="Subetapa"</formula>
    </cfRule>
  </conditionalFormatting>
  <conditionalFormatting sqref="V158">
    <cfRule type="expression" dxfId="377" priority="248" stopIfTrue="1">
      <formula>$B158="insumo"</formula>
    </cfRule>
  </conditionalFormatting>
  <conditionalFormatting sqref="AA158 T158:U158">
    <cfRule type="expression" dxfId="376" priority="247" stopIfTrue="1">
      <formula>$B158="SERVIÇO"</formula>
    </cfRule>
  </conditionalFormatting>
  <conditionalFormatting sqref="AE158:AF158 A158:E158 T158:AC158 G158:R158">
    <cfRule type="expression" dxfId="375" priority="249">
      <formula>$B158="Unidade Construtiva"</formula>
    </cfRule>
    <cfRule type="expression" dxfId="374" priority="250">
      <formula>$B158="Serviço"</formula>
    </cfRule>
    <cfRule type="expression" dxfId="373" priority="251">
      <formula>$B158="Insumo"</formula>
    </cfRule>
    <cfRule type="expression" dxfId="372" priority="252">
      <formula>$B158="Etapa"</formula>
    </cfRule>
    <cfRule type="expression" dxfId="371" priority="253">
      <formula>$B158="Célula Construtiva"</formula>
    </cfRule>
    <cfRule type="expression" dxfId="370" priority="254">
      <formula>$B158="Subetapa"</formula>
    </cfRule>
  </conditionalFormatting>
  <conditionalFormatting sqref="T158">
    <cfRule type="expression" dxfId="369" priority="246" stopIfTrue="1">
      <formula>$B158="INSUMO"</formula>
    </cfRule>
  </conditionalFormatting>
  <conditionalFormatting sqref="W158">
    <cfRule type="containsText" dxfId="368" priority="245" stopIfTrue="1" operator="containsText" text="INSERIR">
      <formula>NOT(ISERROR(SEARCH("INSERIR",W158)))</formula>
    </cfRule>
  </conditionalFormatting>
  <conditionalFormatting sqref="S158">
    <cfRule type="expression" dxfId="367" priority="237">
      <formula>$B158="Unidade Construtiva"</formula>
    </cfRule>
    <cfRule type="expression" dxfId="366" priority="238">
      <formula>$B158="Serviço"</formula>
    </cfRule>
    <cfRule type="expression" dxfId="365" priority="239">
      <formula>$B158="Insumo"</formula>
    </cfRule>
    <cfRule type="expression" dxfId="364" priority="240">
      <formula>$B158="Etapa"</formula>
    </cfRule>
    <cfRule type="expression" dxfId="363" priority="241">
      <formula>$B158="Célula Construtiva"</formula>
    </cfRule>
    <cfRule type="expression" dxfId="362" priority="242">
      <formula>$B158="Subetapa"</formula>
    </cfRule>
  </conditionalFormatting>
  <conditionalFormatting sqref="V159">
    <cfRule type="expression" dxfId="361" priority="230" stopIfTrue="1">
      <formula>$B159="insumo"</formula>
    </cfRule>
  </conditionalFormatting>
  <conditionalFormatting sqref="AA159 T159:U159">
    <cfRule type="expression" dxfId="360" priority="229" stopIfTrue="1">
      <formula>$B159="SERVIÇO"</formula>
    </cfRule>
  </conditionalFormatting>
  <conditionalFormatting sqref="AE159:AF159 A159:E159 G159:AC159">
    <cfRule type="expression" dxfId="359" priority="231">
      <formula>$B159="Unidade Construtiva"</formula>
    </cfRule>
    <cfRule type="expression" dxfId="358" priority="232">
      <formula>$B159="Serviço"</formula>
    </cfRule>
    <cfRule type="expression" dxfId="357" priority="233">
      <formula>$B159="Insumo"</formula>
    </cfRule>
    <cfRule type="expression" dxfId="356" priority="234">
      <formula>$B159="Etapa"</formula>
    </cfRule>
    <cfRule type="expression" dxfId="355" priority="235">
      <formula>$B159="Célula Construtiva"</formula>
    </cfRule>
    <cfRule type="expression" dxfId="354" priority="236">
      <formula>$B159="Subetapa"</formula>
    </cfRule>
  </conditionalFormatting>
  <conditionalFormatting sqref="T159">
    <cfRule type="expression" dxfId="353" priority="228" stopIfTrue="1">
      <formula>$B159="INSUMO"</formula>
    </cfRule>
  </conditionalFormatting>
  <conditionalFormatting sqref="W159">
    <cfRule type="containsText" dxfId="352" priority="226" stopIfTrue="1" operator="containsText" text="INSERIR">
      <formula>NOT(ISERROR(SEARCH("INSERIR",W159)))</formula>
    </cfRule>
  </conditionalFormatting>
  <conditionalFormatting sqref="B170:D172">
    <cfRule type="expression" dxfId="351" priority="212">
      <formula>$B170="Unidade Construtiva"</formula>
    </cfRule>
    <cfRule type="expression" dxfId="350" priority="213">
      <formula>$B170="Serviço"</formula>
    </cfRule>
    <cfRule type="expression" dxfId="349" priority="214">
      <formula>$B170="Insumo"</formula>
    </cfRule>
    <cfRule type="expression" dxfId="348" priority="215">
      <formula>$B170="Etapa"</formula>
    </cfRule>
    <cfRule type="expression" dxfId="347" priority="216">
      <formula>$B170="Célula Construtiva"</formula>
    </cfRule>
    <cfRule type="expression" dxfId="346" priority="217">
      <formula>$B170="Subetapa"</formula>
    </cfRule>
  </conditionalFormatting>
  <conditionalFormatting sqref="F210">
    <cfRule type="expression" dxfId="345" priority="206">
      <formula>$B210="Unidade Construtiva"</formula>
    </cfRule>
    <cfRule type="expression" dxfId="344" priority="207">
      <formula>$B210="Serviço"</formula>
    </cfRule>
    <cfRule type="expression" dxfId="343" priority="208">
      <formula>$B210="Insumo"</formula>
    </cfRule>
    <cfRule type="expression" dxfId="342" priority="209">
      <formula>$B210="Etapa"</formula>
    </cfRule>
    <cfRule type="expression" dxfId="341" priority="210">
      <formula>$B210="Célula Construtiva"</formula>
    </cfRule>
    <cfRule type="expression" dxfId="340" priority="211">
      <formula>$B210="Subetapa"</formula>
    </cfRule>
  </conditionalFormatting>
  <conditionalFormatting sqref="V210">
    <cfRule type="expression" dxfId="339" priority="199" stopIfTrue="1">
      <formula>$B210="insumo"</formula>
    </cfRule>
  </conditionalFormatting>
  <conditionalFormatting sqref="T210:U210 AA210">
    <cfRule type="expression" dxfId="338" priority="198" stopIfTrue="1">
      <formula>$B210="SERVIÇO"</formula>
    </cfRule>
  </conditionalFormatting>
  <conditionalFormatting sqref="A210:E210 AE210:AF210 G210:AC210">
    <cfRule type="expression" dxfId="337" priority="200">
      <formula>$B210="Unidade Construtiva"</formula>
    </cfRule>
    <cfRule type="expression" dxfId="336" priority="201">
      <formula>$B210="Serviço"</formula>
    </cfRule>
    <cfRule type="expression" dxfId="335" priority="202">
      <formula>$B210="Insumo"</formula>
    </cfRule>
    <cfRule type="expression" dxfId="334" priority="203">
      <formula>$B210="Etapa"</formula>
    </cfRule>
    <cfRule type="expression" dxfId="333" priority="204">
      <formula>$B210="Célula Construtiva"</formula>
    </cfRule>
    <cfRule type="expression" dxfId="332" priority="205">
      <formula>$B210="Subetapa"</formula>
    </cfRule>
  </conditionalFormatting>
  <conditionalFormatting sqref="T210">
    <cfRule type="expression" dxfId="331" priority="197" stopIfTrue="1">
      <formula>$B210="INSUMO"</formula>
    </cfRule>
  </conditionalFormatting>
  <conditionalFormatting sqref="W210">
    <cfRule type="containsText" dxfId="330" priority="196" stopIfTrue="1" operator="containsText" text="INSERIR">
      <formula>NOT(ISERROR(SEARCH("INSERIR",W210)))</formula>
    </cfRule>
  </conditionalFormatting>
  <conditionalFormatting sqref="F202:F203">
    <cfRule type="expression" dxfId="329" priority="189">
      <formula>$B202="Unidade Construtiva"</formula>
    </cfRule>
    <cfRule type="expression" dxfId="328" priority="190">
      <formula>$B202="Serviço"</formula>
    </cfRule>
    <cfRule type="expression" dxfId="327" priority="191">
      <formula>$B202="Insumo"</formula>
    </cfRule>
    <cfRule type="expression" dxfId="326" priority="192">
      <formula>$B202="Etapa"</formula>
    </cfRule>
    <cfRule type="expression" dxfId="325" priority="193">
      <formula>$B202="Célula Construtiva"</formula>
    </cfRule>
    <cfRule type="expression" dxfId="324" priority="194">
      <formula>$B202="Subetapa"</formula>
    </cfRule>
  </conditionalFormatting>
  <conditionalFormatting sqref="T203:U203">
    <cfRule type="expression" dxfId="323" priority="182" stopIfTrue="1">
      <formula>$B203="SERVIÇO"</formula>
    </cfRule>
  </conditionalFormatting>
  <conditionalFormatting sqref="T203:U203 W203:Z203">
    <cfRule type="expression" dxfId="322" priority="183">
      <formula>$B203="Unidade Construtiva"</formula>
    </cfRule>
    <cfRule type="expression" dxfId="321" priority="184">
      <formula>$B203="Serviço"</formula>
    </cfRule>
    <cfRule type="expression" dxfId="320" priority="185">
      <formula>$B203="Insumo"</formula>
    </cfRule>
    <cfRule type="expression" dxfId="319" priority="186">
      <formula>$B203="Etapa"</formula>
    </cfRule>
    <cfRule type="expression" dxfId="318" priority="187">
      <formula>$B203="Célula Construtiva"</formula>
    </cfRule>
    <cfRule type="expression" dxfId="317" priority="188">
      <formula>$B203="Subetapa"</formula>
    </cfRule>
  </conditionalFormatting>
  <conditionalFormatting sqref="T203">
    <cfRule type="expression" dxfId="316" priority="181" stopIfTrue="1">
      <formula>$B203="INSUMO"</formula>
    </cfRule>
  </conditionalFormatting>
  <conditionalFormatting sqref="W203">
    <cfRule type="containsText" dxfId="315" priority="180" stopIfTrue="1" operator="containsText" text="INSERIR">
      <formula>NOT(ISERROR(SEARCH("INSERIR",W203)))</formula>
    </cfRule>
  </conditionalFormatting>
  <conditionalFormatting sqref="V202:V203">
    <cfRule type="expression" dxfId="314" priority="172" stopIfTrue="1">
      <formula>$B202="insumo"</formula>
    </cfRule>
  </conditionalFormatting>
  <conditionalFormatting sqref="AA202:AA203 T202:U202">
    <cfRule type="expression" dxfId="313" priority="171" stopIfTrue="1">
      <formula>$B202="SERVIÇO"</formula>
    </cfRule>
  </conditionalFormatting>
  <conditionalFormatting sqref="AE202:AF203 V203 A202:E203 AA203:AC203 G203:S203 G202:R202 T202:AC202">
    <cfRule type="expression" dxfId="312" priority="173">
      <formula>$B202="Unidade Construtiva"</formula>
    </cfRule>
    <cfRule type="expression" dxfId="311" priority="174">
      <formula>$B202="Serviço"</formula>
    </cfRule>
    <cfRule type="expression" dxfId="310" priority="175">
      <formula>$B202="Insumo"</formula>
    </cfRule>
    <cfRule type="expression" dxfId="309" priority="176">
      <formula>$B202="Etapa"</formula>
    </cfRule>
    <cfRule type="expression" dxfId="308" priority="177">
      <formula>$B202="Célula Construtiva"</formula>
    </cfRule>
    <cfRule type="expression" dxfId="307" priority="178">
      <formula>$B202="Subetapa"</formula>
    </cfRule>
  </conditionalFormatting>
  <conditionalFormatting sqref="T202">
    <cfRule type="expression" dxfId="306" priority="170" stopIfTrue="1">
      <formula>$B202="INSUMO"</formula>
    </cfRule>
  </conditionalFormatting>
  <conditionalFormatting sqref="W202">
    <cfRule type="containsText" dxfId="305" priority="169" stopIfTrue="1" operator="containsText" text="INSERIR">
      <formula>NOT(ISERROR(SEARCH("INSERIR",W202)))</formula>
    </cfRule>
  </conditionalFormatting>
  <conditionalFormatting sqref="F201">
    <cfRule type="expression" dxfId="304" priority="163">
      <formula>$B201="Unidade Construtiva"</formula>
    </cfRule>
    <cfRule type="expression" dxfId="303" priority="164">
      <formula>$B201="Serviço"</formula>
    </cfRule>
    <cfRule type="expression" dxfId="302" priority="165">
      <formula>$B201="Insumo"</formula>
    </cfRule>
    <cfRule type="expression" dxfId="301" priority="166">
      <formula>$B201="Etapa"</formula>
    </cfRule>
    <cfRule type="expression" dxfId="300" priority="167">
      <formula>$B201="Célula Construtiva"</formula>
    </cfRule>
    <cfRule type="expression" dxfId="299" priority="168">
      <formula>$B201="Subetapa"</formula>
    </cfRule>
  </conditionalFormatting>
  <conditionalFormatting sqref="V201">
    <cfRule type="expression" dxfId="298" priority="156" stopIfTrue="1">
      <formula>$B201="insumo"</formula>
    </cfRule>
  </conditionalFormatting>
  <conditionalFormatting sqref="T201:U201 AA201">
    <cfRule type="expression" dxfId="297" priority="155" stopIfTrue="1">
      <formula>$B201="SERVIÇO"</formula>
    </cfRule>
  </conditionalFormatting>
  <conditionalFormatting sqref="A201:E201 AE201:AF201 G201:AC201">
    <cfRule type="expression" dxfId="296" priority="157">
      <formula>$B201="Unidade Construtiva"</formula>
    </cfRule>
    <cfRule type="expression" dxfId="295" priority="158">
      <formula>$B201="Serviço"</formula>
    </cfRule>
    <cfRule type="expression" dxfId="294" priority="159">
      <formula>$B201="Insumo"</formula>
    </cfRule>
    <cfRule type="expression" dxfId="293" priority="160">
      <formula>$B201="Etapa"</formula>
    </cfRule>
    <cfRule type="expression" dxfId="292" priority="161">
      <formula>$B201="Célula Construtiva"</formula>
    </cfRule>
    <cfRule type="expression" dxfId="291" priority="162">
      <formula>$B201="Subetapa"</formula>
    </cfRule>
  </conditionalFormatting>
  <conditionalFormatting sqref="T201">
    <cfRule type="expression" dxfId="290" priority="154" stopIfTrue="1">
      <formula>$B201="INSUMO"</formula>
    </cfRule>
  </conditionalFormatting>
  <conditionalFormatting sqref="W201">
    <cfRule type="containsText" dxfId="289" priority="153" stopIfTrue="1" operator="containsText" text="INSERIR">
      <formula>NOT(ISERROR(SEARCH("INSERIR",W201)))</formula>
    </cfRule>
  </conditionalFormatting>
  <conditionalFormatting sqref="V205:V206">
    <cfRule type="expression" dxfId="288" priority="145" stopIfTrue="1">
      <formula>$B205="insumo"</formula>
    </cfRule>
  </conditionalFormatting>
  <conditionalFormatting sqref="AA205:AA206">
    <cfRule type="expression" dxfId="287" priority="144" stopIfTrue="1">
      <formula>$B205="SERVIÇO"</formula>
    </cfRule>
  </conditionalFormatting>
  <conditionalFormatting sqref="AE205:AF206 F204:F206">
    <cfRule type="expression" dxfId="286" priority="146">
      <formula>$B204="Unidade Construtiva"</formula>
    </cfRule>
    <cfRule type="expression" dxfId="285" priority="147">
      <formula>$B204="Serviço"</formula>
    </cfRule>
    <cfRule type="expression" dxfId="284" priority="148">
      <formula>$B204="Insumo"</formula>
    </cfRule>
    <cfRule type="expression" dxfId="283" priority="149">
      <formula>$B204="Etapa"</formula>
    </cfRule>
    <cfRule type="expression" dxfId="282" priority="150">
      <formula>$B204="Célula Construtiva"</formula>
    </cfRule>
    <cfRule type="expression" dxfId="281" priority="151">
      <formula>$B204="Subetapa"</formula>
    </cfRule>
  </conditionalFormatting>
  <conditionalFormatting sqref="T206:U206">
    <cfRule type="expression" dxfId="280" priority="136" stopIfTrue="1">
      <formula>$B206="SERVIÇO"</formula>
    </cfRule>
  </conditionalFormatting>
  <conditionalFormatting sqref="T206:Z206">
    <cfRule type="expression" dxfId="279" priority="137">
      <formula>$B206="Unidade Construtiva"</formula>
    </cfRule>
    <cfRule type="expression" dxfId="278" priority="138">
      <formula>$B206="Serviço"</formula>
    </cfRule>
    <cfRule type="expression" dxfId="277" priority="139">
      <formula>$B206="Insumo"</formula>
    </cfRule>
    <cfRule type="expression" dxfId="276" priority="140">
      <formula>$B206="Etapa"</formula>
    </cfRule>
    <cfRule type="expression" dxfId="275" priority="141">
      <formula>$B206="Célula Construtiva"</formula>
    </cfRule>
    <cfRule type="expression" dxfId="274" priority="142">
      <formula>$B206="Subetapa"</formula>
    </cfRule>
  </conditionalFormatting>
  <conditionalFormatting sqref="T206">
    <cfRule type="expression" dxfId="273" priority="135" stopIfTrue="1">
      <formula>$B206="INSUMO"</formula>
    </cfRule>
  </conditionalFormatting>
  <conditionalFormatting sqref="W206">
    <cfRule type="containsText" dxfId="272" priority="134" stopIfTrue="1" operator="containsText" text="INSERIR">
      <formula>NOT(ISERROR(SEARCH("INSERIR",W206)))</formula>
    </cfRule>
  </conditionalFormatting>
  <conditionalFormatting sqref="U205">
    <cfRule type="expression" dxfId="271" priority="127" stopIfTrue="1">
      <formula>$B205="SERVIÇO"</formula>
    </cfRule>
  </conditionalFormatting>
  <conditionalFormatting sqref="V206 A205:E206 AA206:AC206 G206:S206 U205:AC205 G205:R205">
    <cfRule type="expression" dxfId="270" priority="128">
      <formula>$B205="Unidade Construtiva"</formula>
    </cfRule>
    <cfRule type="expression" dxfId="269" priority="129">
      <formula>$B205="Serviço"</formula>
    </cfRule>
    <cfRule type="expression" dxfId="268" priority="130">
      <formula>$B205="Insumo"</formula>
    </cfRule>
    <cfRule type="expression" dxfId="267" priority="131">
      <formula>$B205="Etapa"</formula>
    </cfRule>
    <cfRule type="expression" dxfId="266" priority="132">
      <formula>$B205="Célula Construtiva"</formula>
    </cfRule>
    <cfRule type="expression" dxfId="265" priority="133">
      <formula>$B205="Subetapa"</formula>
    </cfRule>
  </conditionalFormatting>
  <conditionalFormatting sqref="W205">
    <cfRule type="containsText" dxfId="264" priority="125" stopIfTrue="1" operator="containsText" text="INSERIR">
      <formula>NOT(ISERROR(SEARCH("INSERIR",W205)))</formula>
    </cfRule>
  </conditionalFormatting>
  <conditionalFormatting sqref="V204">
    <cfRule type="expression" dxfId="263" priority="118" stopIfTrue="1">
      <formula>$B204="insumo"</formula>
    </cfRule>
  </conditionalFormatting>
  <conditionalFormatting sqref="T204:U204 AA204">
    <cfRule type="expression" dxfId="262" priority="117" stopIfTrue="1">
      <formula>$B204="SERVIÇO"</formula>
    </cfRule>
  </conditionalFormatting>
  <conditionalFormatting sqref="A204:E204 AE204:AF204 G204:AC204">
    <cfRule type="expression" dxfId="261" priority="119">
      <formula>$B204="Unidade Construtiva"</formula>
    </cfRule>
    <cfRule type="expression" dxfId="260" priority="120">
      <formula>$B204="Serviço"</formula>
    </cfRule>
    <cfRule type="expression" dxfId="259" priority="121">
      <formula>$B204="Insumo"</formula>
    </cfRule>
    <cfRule type="expression" dxfId="258" priority="122">
      <formula>$B204="Etapa"</formula>
    </cfRule>
    <cfRule type="expression" dxfId="257" priority="123">
      <formula>$B204="Célula Construtiva"</formula>
    </cfRule>
    <cfRule type="expression" dxfId="256" priority="124">
      <formula>$B204="Subetapa"</formula>
    </cfRule>
  </conditionalFormatting>
  <conditionalFormatting sqref="T204">
    <cfRule type="expression" dxfId="255" priority="116" stopIfTrue="1">
      <formula>$B204="INSUMO"</formula>
    </cfRule>
  </conditionalFormatting>
  <conditionalFormatting sqref="W204">
    <cfRule type="containsText" dxfId="254" priority="115" stopIfTrue="1" operator="containsText" text="INSERIR">
      <formula>NOT(ISERROR(SEARCH("INSERIR",W204)))</formula>
    </cfRule>
  </conditionalFormatting>
  <conditionalFormatting sqref="V208:V209">
    <cfRule type="expression" dxfId="253" priority="107" stopIfTrue="1">
      <formula>$B208="insumo"</formula>
    </cfRule>
  </conditionalFormatting>
  <conditionalFormatting sqref="T209:U209 AA208:AA209">
    <cfRule type="expression" dxfId="252" priority="106" stopIfTrue="1">
      <formula>$B208="SERVIÇO"</formula>
    </cfRule>
  </conditionalFormatting>
  <conditionalFormatting sqref="AE208:AF209 F207:F209">
    <cfRule type="expression" dxfId="251" priority="108">
      <formula>$B207="Unidade Construtiva"</formula>
    </cfRule>
    <cfRule type="expression" dxfId="250" priority="109">
      <formula>$B207="Serviço"</formula>
    </cfRule>
    <cfRule type="expression" dxfId="249" priority="110">
      <formula>$B207="Insumo"</formula>
    </cfRule>
    <cfRule type="expression" dxfId="248" priority="111">
      <formula>$B207="Etapa"</formula>
    </cfRule>
    <cfRule type="expression" dxfId="247" priority="112">
      <formula>$B207="Célula Construtiva"</formula>
    </cfRule>
    <cfRule type="expression" dxfId="246" priority="113">
      <formula>$B207="Subetapa"</formula>
    </cfRule>
  </conditionalFormatting>
  <conditionalFormatting sqref="T209">
    <cfRule type="expression" dxfId="245" priority="105" stopIfTrue="1">
      <formula>$B209="INSUMO"</formula>
    </cfRule>
  </conditionalFormatting>
  <conditionalFormatting sqref="T209:U209 W209:Z209">
    <cfRule type="expression" dxfId="244" priority="98">
      <formula>$B209="Unidade Construtiva"</formula>
    </cfRule>
    <cfRule type="expression" dxfId="243" priority="99">
      <formula>$B209="Serviço"</formula>
    </cfRule>
    <cfRule type="expression" dxfId="242" priority="100">
      <formula>$B209="Insumo"</formula>
    </cfRule>
    <cfRule type="expression" dxfId="241" priority="101">
      <formula>$B209="Etapa"</formula>
    </cfRule>
    <cfRule type="expression" dxfId="240" priority="102">
      <formula>$B209="Célula Construtiva"</formula>
    </cfRule>
    <cfRule type="expression" dxfId="239" priority="103">
      <formula>$B209="Subetapa"</formula>
    </cfRule>
  </conditionalFormatting>
  <conditionalFormatting sqref="W209">
    <cfRule type="containsText" dxfId="238" priority="97" stopIfTrue="1" operator="containsText" text="INSERIR">
      <formula>NOT(ISERROR(SEARCH("INSERIR",W209)))</formula>
    </cfRule>
  </conditionalFormatting>
  <conditionalFormatting sqref="U208">
    <cfRule type="expression" dxfId="237" priority="90" stopIfTrue="1">
      <formula>$B208="SERVIÇO"</formula>
    </cfRule>
  </conditionalFormatting>
  <conditionalFormatting sqref="A208:E209 V209 AA209:AC209 G209:S209 U208:AC208 G208:R208">
    <cfRule type="expression" dxfId="236" priority="91">
      <formula>$B208="Unidade Construtiva"</formula>
    </cfRule>
    <cfRule type="expression" dxfId="235" priority="92">
      <formula>$B208="Serviço"</formula>
    </cfRule>
    <cfRule type="expression" dxfId="234" priority="93">
      <formula>$B208="Insumo"</formula>
    </cfRule>
    <cfRule type="expression" dxfId="233" priority="94">
      <formula>$B208="Etapa"</formula>
    </cfRule>
    <cfRule type="expression" dxfId="232" priority="95">
      <formula>$B208="Célula Construtiva"</formula>
    </cfRule>
    <cfRule type="expression" dxfId="231" priority="96">
      <formula>$B208="Subetapa"</formula>
    </cfRule>
  </conditionalFormatting>
  <conditionalFormatting sqref="W208">
    <cfRule type="containsText" dxfId="230" priority="88" stopIfTrue="1" operator="containsText" text="INSERIR">
      <formula>NOT(ISERROR(SEARCH("INSERIR",W208)))</formula>
    </cfRule>
  </conditionalFormatting>
  <conditionalFormatting sqref="V207">
    <cfRule type="expression" dxfId="229" priority="81" stopIfTrue="1">
      <formula>$B207="insumo"</formula>
    </cfRule>
  </conditionalFormatting>
  <conditionalFormatting sqref="T207:U207 AA207">
    <cfRule type="expression" dxfId="228" priority="80" stopIfTrue="1">
      <formula>$B207="SERVIÇO"</formula>
    </cfRule>
  </conditionalFormatting>
  <conditionalFormatting sqref="A207:E207 AE207:AF207 G207:AC207">
    <cfRule type="expression" dxfId="227" priority="82">
      <formula>$B207="Unidade Construtiva"</formula>
    </cfRule>
    <cfRule type="expression" dxfId="226" priority="83">
      <formula>$B207="Serviço"</formula>
    </cfRule>
    <cfRule type="expression" dxfId="225" priority="84">
      <formula>$B207="Insumo"</formula>
    </cfRule>
    <cfRule type="expression" dxfId="224" priority="85">
      <formula>$B207="Etapa"</formula>
    </cfRule>
    <cfRule type="expression" dxfId="223" priority="86">
      <formula>$B207="Célula Construtiva"</formula>
    </cfRule>
    <cfRule type="expression" dxfId="222" priority="87">
      <formula>$B207="Subetapa"</formula>
    </cfRule>
  </conditionalFormatting>
  <conditionalFormatting sqref="T207">
    <cfRule type="expression" dxfId="221" priority="79" stopIfTrue="1">
      <formula>$B207="INSUMO"</formula>
    </cfRule>
  </conditionalFormatting>
  <conditionalFormatting sqref="W207">
    <cfRule type="containsText" dxfId="220" priority="78" stopIfTrue="1" operator="containsText" text="INSERIR">
      <formula>NOT(ISERROR(SEARCH("INSERIR",W207)))</formula>
    </cfRule>
  </conditionalFormatting>
  <conditionalFormatting sqref="T205">
    <cfRule type="expression" dxfId="219" priority="70" stopIfTrue="1">
      <formula>$B205="SERVIÇO"</formula>
    </cfRule>
  </conditionalFormatting>
  <conditionalFormatting sqref="T205">
    <cfRule type="expression" dxfId="218" priority="71">
      <formula>$B205="Unidade Construtiva"</formula>
    </cfRule>
    <cfRule type="expression" dxfId="217" priority="72">
      <formula>$B205="Serviço"</formula>
    </cfRule>
    <cfRule type="expression" dxfId="216" priority="73">
      <formula>$B205="Insumo"</formula>
    </cfRule>
    <cfRule type="expression" dxfId="215" priority="74">
      <formula>$B205="Etapa"</formula>
    </cfRule>
    <cfRule type="expression" dxfId="214" priority="75">
      <formula>$B205="Célula Construtiva"</formula>
    </cfRule>
    <cfRule type="expression" dxfId="213" priority="76">
      <formula>$B205="Subetapa"</formula>
    </cfRule>
  </conditionalFormatting>
  <conditionalFormatting sqref="T205">
    <cfRule type="expression" dxfId="212" priority="69" stopIfTrue="1">
      <formula>$B205="INSUMO"</formula>
    </cfRule>
  </conditionalFormatting>
  <conditionalFormatting sqref="T208">
    <cfRule type="expression" dxfId="211" priority="62" stopIfTrue="1">
      <formula>$B208="SERVIÇO"</formula>
    </cfRule>
  </conditionalFormatting>
  <conditionalFormatting sqref="T208">
    <cfRule type="expression" dxfId="210" priority="63">
      <formula>$B208="Unidade Construtiva"</formula>
    </cfRule>
    <cfRule type="expression" dxfId="209" priority="64">
      <formula>$B208="Serviço"</formula>
    </cfRule>
    <cfRule type="expression" dxfId="208" priority="65">
      <formula>$B208="Insumo"</formula>
    </cfRule>
    <cfRule type="expression" dxfId="207" priority="66">
      <formula>$B208="Etapa"</formula>
    </cfRule>
    <cfRule type="expression" dxfId="206" priority="67">
      <formula>$B208="Célula Construtiva"</formula>
    </cfRule>
    <cfRule type="expression" dxfId="205" priority="68">
      <formula>$B208="Subetapa"</formula>
    </cfRule>
  </conditionalFormatting>
  <conditionalFormatting sqref="T208">
    <cfRule type="expression" dxfId="204" priority="61" stopIfTrue="1">
      <formula>$B208="INSUMO"</formula>
    </cfRule>
  </conditionalFormatting>
  <conditionalFormatting sqref="T188">
    <cfRule type="expression" dxfId="203" priority="54" stopIfTrue="1">
      <formula>$B188="SERVIÇO"</formula>
    </cfRule>
  </conditionalFormatting>
  <conditionalFormatting sqref="T188">
    <cfRule type="expression" dxfId="202" priority="55">
      <formula>$B188="Unidade Construtiva"</formula>
    </cfRule>
    <cfRule type="expression" dxfId="201" priority="56">
      <formula>$B188="Serviço"</formula>
    </cfRule>
    <cfRule type="expression" dxfId="200" priority="57">
      <formula>$B188="Insumo"</formula>
    </cfRule>
    <cfRule type="expression" dxfId="199" priority="58">
      <formula>$B188="Etapa"</formula>
    </cfRule>
    <cfRule type="expression" dxfId="198" priority="59">
      <formula>$B188="Célula Construtiva"</formula>
    </cfRule>
    <cfRule type="expression" dxfId="197" priority="60">
      <formula>$B188="Subetapa"</formula>
    </cfRule>
  </conditionalFormatting>
  <conditionalFormatting sqref="T188">
    <cfRule type="expression" dxfId="196" priority="53" stopIfTrue="1">
      <formula>$B188="INSUMO"</formula>
    </cfRule>
  </conditionalFormatting>
  <conditionalFormatting sqref="T191">
    <cfRule type="expression" dxfId="195" priority="46" stopIfTrue="1">
      <formula>$B191="SERVIÇO"</formula>
    </cfRule>
  </conditionalFormatting>
  <conditionalFormatting sqref="T191">
    <cfRule type="expression" dxfId="194" priority="47">
      <formula>$B191="Unidade Construtiva"</formula>
    </cfRule>
    <cfRule type="expression" dxfId="193" priority="48">
      <formula>$B191="Serviço"</formula>
    </cfRule>
    <cfRule type="expression" dxfId="192" priority="49">
      <formula>$B191="Insumo"</formula>
    </cfRule>
    <cfRule type="expression" dxfId="191" priority="50">
      <formula>$B191="Etapa"</formula>
    </cfRule>
    <cfRule type="expression" dxfId="190" priority="51">
      <formula>$B191="Célula Construtiva"</formula>
    </cfRule>
    <cfRule type="expression" dxfId="189" priority="52">
      <formula>$B191="Subetapa"</formula>
    </cfRule>
  </conditionalFormatting>
  <conditionalFormatting sqref="T191">
    <cfRule type="expression" dxfId="188" priority="45" stopIfTrue="1">
      <formula>$B191="INSUMO"</formula>
    </cfRule>
  </conditionalFormatting>
  <conditionalFormatting sqref="T194">
    <cfRule type="expression" dxfId="187" priority="38" stopIfTrue="1">
      <formula>$B194="SERVIÇO"</formula>
    </cfRule>
  </conditionalFormatting>
  <conditionalFormatting sqref="T194">
    <cfRule type="expression" dxfId="186" priority="39">
      <formula>$B194="Unidade Construtiva"</formula>
    </cfRule>
    <cfRule type="expression" dxfId="185" priority="40">
      <formula>$B194="Serviço"</formula>
    </cfRule>
    <cfRule type="expression" dxfId="184" priority="41">
      <formula>$B194="Insumo"</formula>
    </cfRule>
    <cfRule type="expression" dxfId="183" priority="42">
      <formula>$B194="Etapa"</formula>
    </cfRule>
    <cfRule type="expression" dxfId="182" priority="43">
      <formula>$B194="Célula Construtiva"</formula>
    </cfRule>
    <cfRule type="expression" dxfId="181" priority="44">
      <formula>$B194="Subetapa"</formula>
    </cfRule>
  </conditionalFormatting>
  <conditionalFormatting sqref="T194">
    <cfRule type="expression" dxfId="180" priority="37" stopIfTrue="1">
      <formula>$B194="INSUMO"</formula>
    </cfRule>
  </conditionalFormatting>
  <conditionalFormatting sqref="S208">
    <cfRule type="expression" dxfId="179" priority="31">
      <formula>$B208="Unidade Construtiva"</formula>
    </cfRule>
    <cfRule type="expression" dxfId="178" priority="32">
      <formula>$B208="Serviço"</formula>
    </cfRule>
    <cfRule type="expression" dxfId="177" priority="33">
      <formula>$B208="Insumo"</formula>
    </cfRule>
    <cfRule type="expression" dxfId="176" priority="34">
      <formula>$B208="Etapa"</formula>
    </cfRule>
    <cfRule type="expression" dxfId="175" priority="35">
      <formula>$B208="Célula Construtiva"</formula>
    </cfRule>
    <cfRule type="expression" dxfId="174" priority="36">
      <formula>$B208="Subetapa"</formula>
    </cfRule>
  </conditionalFormatting>
  <conditionalFormatting sqref="S205">
    <cfRule type="expression" dxfId="173" priority="25">
      <formula>$B205="Unidade Construtiva"</formula>
    </cfRule>
    <cfRule type="expression" dxfId="172" priority="26">
      <formula>$B205="Serviço"</formula>
    </cfRule>
    <cfRule type="expression" dxfId="171" priority="27">
      <formula>$B205="Insumo"</formula>
    </cfRule>
    <cfRule type="expression" dxfId="170" priority="28">
      <formula>$B205="Etapa"</formula>
    </cfRule>
    <cfRule type="expression" dxfId="169" priority="29">
      <formula>$B205="Célula Construtiva"</formula>
    </cfRule>
    <cfRule type="expression" dxfId="168" priority="30">
      <formula>$B205="Subetapa"</formula>
    </cfRule>
  </conditionalFormatting>
  <conditionalFormatting sqref="S202">
    <cfRule type="expression" dxfId="167" priority="19">
      <formula>$B202="Unidade Construtiva"</formula>
    </cfRule>
    <cfRule type="expression" dxfId="166" priority="20">
      <formula>$B202="Serviço"</formula>
    </cfRule>
    <cfRule type="expression" dxfId="165" priority="21">
      <formula>$B202="Insumo"</formula>
    </cfRule>
    <cfRule type="expression" dxfId="164" priority="22">
      <formula>$B202="Etapa"</formula>
    </cfRule>
    <cfRule type="expression" dxfId="163" priority="23">
      <formula>$B202="Célula Construtiva"</formula>
    </cfRule>
    <cfRule type="expression" dxfId="162" priority="24">
      <formula>$B202="Subetapa"</formula>
    </cfRule>
  </conditionalFormatting>
  <conditionalFormatting sqref="S187">
    <cfRule type="expression" dxfId="161" priority="13">
      <formula>$B187="Unidade Construtiva"</formula>
    </cfRule>
    <cfRule type="expression" dxfId="160" priority="14">
      <formula>$B187="Serviço"</formula>
    </cfRule>
    <cfRule type="expression" dxfId="159" priority="15">
      <formula>$B187="Insumo"</formula>
    </cfRule>
    <cfRule type="expression" dxfId="158" priority="16">
      <formula>$B187="Etapa"</formula>
    </cfRule>
    <cfRule type="expression" dxfId="157" priority="17">
      <formula>$B187="Célula Construtiva"</formula>
    </cfRule>
    <cfRule type="expression" dxfId="156" priority="18">
      <formula>$B187="Subetapa"</formula>
    </cfRule>
  </conditionalFormatting>
  <conditionalFormatting sqref="S190">
    <cfRule type="expression" dxfId="155" priority="7">
      <formula>$B190="Unidade Construtiva"</formula>
    </cfRule>
    <cfRule type="expression" dxfId="154" priority="8">
      <formula>$B190="Serviço"</formula>
    </cfRule>
    <cfRule type="expression" dxfId="153" priority="9">
      <formula>$B190="Insumo"</formula>
    </cfRule>
    <cfRule type="expression" dxfId="152" priority="10">
      <formula>$B190="Etapa"</formula>
    </cfRule>
    <cfRule type="expression" dxfId="151" priority="11">
      <formula>$B190="Célula Construtiva"</formula>
    </cfRule>
    <cfRule type="expression" dxfId="150" priority="12">
      <formula>$B190="Subetapa"</formula>
    </cfRule>
  </conditionalFormatting>
  <conditionalFormatting sqref="S193">
    <cfRule type="expression" dxfId="149" priority="1">
      <formula>$B193="Unidade Construtiva"</formula>
    </cfRule>
    <cfRule type="expression" dxfId="148" priority="2">
      <formula>$B193="Serviço"</formula>
    </cfRule>
    <cfRule type="expression" dxfId="147" priority="3">
      <formula>$B193="Insumo"</formula>
    </cfRule>
    <cfRule type="expression" dxfId="146" priority="4">
      <formula>$B193="Etapa"</formula>
    </cfRule>
    <cfRule type="expression" dxfId="145" priority="5">
      <formula>$B193="Célula Construtiva"</formula>
    </cfRule>
    <cfRule type="expression" dxfId="144" priority="6">
      <formula>$B193="Subetapa"</formula>
    </cfRule>
  </conditionalFormatting>
  <dataValidations disablePrompts="1" count="2">
    <dataValidation type="list" allowBlank="1" showInputMessage="1" showErrorMessage="1" sqref="AF12:AF192 AF199:AF206 AF210:AF226" xr:uid="{11AD021A-8707-429F-BBF4-8DF4F7348C2F}">
      <formula1>"R$/Mês,R$/m²,R$/Apto"</formula1>
    </dataValidation>
    <dataValidation type="list" allowBlank="1" showInputMessage="1" showErrorMessage="1" sqref="B12:B2147" xr:uid="{9140C195-4162-4DDF-8064-D976E52CD0D8}">
      <formula1>"Unidade Construtiva,Célula Construtiva,Etapa,Subetapa,Serviço,Insumo,Complemento do Insumo"</formula1>
    </dataValidation>
  </dataValidations>
  <pageMargins left="0.511811024" right="0.511811024" top="0.78740157499999996" bottom="0.78740157499999996" header="0.31496062000000002" footer="0.31496062000000002"/>
  <pageSetup paperSize="9" scale="10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883" id="{F8AAF0AF-D03C-4F34-8132-62E447A1552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C65:C66</xm:sqref>
        </x14:conditionalFormatting>
        <x14:conditionalFormatting xmlns:xm="http://schemas.microsoft.com/office/excel/2006/main">
          <x14:cfRule type="iconSet" priority="13872" id="{CA6527B6-C3DA-4DBC-87AE-FF93611E5F1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C63:C64</xm:sqref>
        </x14:conditionalFormatting>
        <x14:conditionalFormatting xmlns:xm="http://schemas.microsoft.com/office/excel/2006/main">
          <x14:cfRule type="iconSet" priority="13861" id="{3562270C-F09E-4665-9D5C-8A573847AC1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C67:C68</xm:sqref>
        </x14:conditionalFormatting>
        <x14:conditionalFormatting xmlns:xm="http://schemas.microsoft.com/office/excel/2006/main">
          <x14:cfRule type="iconSet" priority="13850" id="{E0B104CA-E8A2-4A17-B7D9-1360A1C7B89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C49:C50</xm:sqref>
        </x14:conditionalFormatting>
        <x14:conditionalFormatting xmlns:xm="http://schemas.microsoft.com/office/excel/2006/main">
          <x14:cfRule type="iconSet" priority="13839" id="{311176ED-4A24-457D-B60F-F3D47574A2D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C71:C72</xm:sqref>
        </x14:conditionalFormatting>
        <x14:conditionalFormatting xmlns:xm="http://schemas.microsoft.com/office/excel/2006/main">
          <x14:cfRule type="iconSet" priority="13828" id="{B6127EA1-BD15-4E58-9041-543302288DF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C35:C36</xm:sqref>
        </x14:conditionalFormatting>
        <x14:conditionalFormatting xmlns:xm="http://schemas.microsoft.com/office/excel/2006/main">
          <x14:cfRule type="iconSet" priority="13787" id="{E919E111-9DC2-444A-8715-0282A74F340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C77</xm:sqref>
        </x14:conditionalFormatting>
        <x14:conditionalFormatting xmlns:xm="http://schemas.microsoft.com/office/excel/2006/main">
          <x14:cfRule type="iconSet" priority="13776" id="{D2F77162-E465-480A-8C49-746C7DA699A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C147:C148</xm:sqref>
        </x14:conditionalFormatting>
        <x14:conditionalFormatting xmlns:xm="http://schemas.microsoft.com/office/excel/2006/main">
          <x14:cfRule type="iconSet" priority="13765" id="{4E063E75-F60D-40E1-A536-80184D99784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C146</xm:sqref>
        </x14:conditionalFormatting>
        <x14:conditionalFormatting xmlns:xm="http://schemas.microsoft.com/office/excel/2006/main">
          <x14:cfRule type="iconSet" priority="13633" id="{D5A62826-3D83-4823-A1D6-E098F759729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C1097:C1108</xm:sqref>
        </x14:conditionalFormatting>
        <x14:conditionalFormatting xmlns:xm="http://schemas.microsoft.com/office/excel/2006/main">
          <x14:cfRule type="iconSet" priority="13622" id="{77EA3AF2-7C16-483C-BB94-288C095DE20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C1110:C1121</xm:sqref>
        </x14:conditionalFormatting>
        <x14:conditionalFormatting xmlns:xm="http://schemas.microsoft.com/office/excel/2006/main">
          <x14:cfRule type="iconSet" priority="13611" id="{DD975BAD-7A56-4907-9FDD-CB03245C74B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C1123:C1125</xm:sqref>
        </x14:conditionalFormatting>
        <x14:conditionalFormatting xmlns:xm="http://schemas.microsoft.com/office/excel/2006/main">
          <x14:cfRule type="iconSet" priority="13600" id="{7DB8DF7D-6537-48DC-8AAB-B9B94F7FEE1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C1126:C1128</xm:sqref>
        </x14:conditionalFormatting>
        <x14:conditionalFormatting xmlns:xm="http://schemas.microsoft.com/office/excel/2006/main">
          <x14:cfRule type="iconSet" priority="13589" id="{825E2ABA-F117-4281-B63A-2C2C65F26CD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C1129:C1131</xm:sqref>
        </x14:conditionalFormatting>
        <x14:conditionalFormatting xmlns:xm="http://schemas.microsoft.com/office/excel/2006/main">
          <x14:cfRule type="iconSet" priority="13578" id="{9D5D3D96-6B49-4C40-8891-924E2CBE260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C1132:C1134</xm:sqref>
        </x14:conditionalFormatting>
        <x14:conditionalFormatting xmlns:xm="http://schemas.microsoft.com/office/excel/2006/main">
          <x14:cfRule type="iconSet" priority="13534" id="{757AC269-3C10-4767-B65D-2D547FD4374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C1137:C1139</xm:sqref>
        </x14:conditionalFormatting>
        <x14:conditionalFormatting xmlns:xm="http://schemas.microsoft.com/office/excel/2006/main">
          <x14:cfRule type="iconSet" priority="13501" id="{138099BD-A3BB-47D1-B899-066EE1826B6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C1141:C1143</xm:sqref>
        </x14:conditionalFormatting>
        <x14:conditionalFormatting xmlns:xm="http://schemas.microsoft.com/office/excel/2006/main">
          <x14:cfRule type="iconSet" priority="13468" id="{91D462A9-844A-4329-AEC7-404D4A5D9AE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C1145:C1147</xm:sqref>
        </x14:conditionalFormatting>
        <x14:conditionalFormatting xmlns:xm="http://schemas.microsoft.com/office/excel/2006/main">
          <x14:cfRule type="iconSet" priority="13435" id="{F559B069-E4A3-4AA5-A8EA-7BF1AA7D6E3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C1149:C1151</xm:sqref>
        </x14:conditionalFormatting>
        <x14:conditionalFormatting xmlns:xm="http://schemas.microsoft.com/office/excel/2006/main">
          <x14:cfRule type="iconSet" priority="13402" id="{C4C26E3E-F96E-4E86-AEC2-7A66365C90F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C1157:C1159</xm:sqref>
        </x14:conditionalFormatting>
        <x14:conditionalFormatting xmlns:xm="http://schemas.microsoft.com/office/excel/2006/main">
          <x14:cfRule type="iconSet" priority="13307" id="{D77B0537-1DE0-4349-B17E-22501E50D54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C349:C360</xm:sqref>
        </x14:conditionalFormatting>
        <x14:conditionalFormatting xmlns:xm="http://schemas.microsoft.com/office/excel/2006/main">
          <x14:cfRule type="iconSet" priority="13048" id="{E5B212B3-4EB4-4445-BBA7-3D57C481167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C472:C473</xm:sqref>
        </x14:conditionalFormatting>
        <x14:conditionalFormatting xmlns:xm="http://schemas.microsoft.com/office/excel/2006/main">
          <x14:cfRule type="iconSet" priority="21543" id="{5F1B5DA1-561C-4629-BD4E-7C9C6F18C1B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C471</xm:sqref>
        </x14:conditionalFormatting>
        <x14:conditionalFormatting xmlns:xm="http://schemas.microsoft.com/office/excel/2006/main">
          <x14:cfRule type="iconSet" priority="13019" id="{44D7EDE6-F247-464F-A723-7A02F593039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C491:C494</xm:sqref>
        </x14:conditionalFormatting>
        <x14:conditionalFormatting xmlns:xm="http://schemas.microsoft.com/office/excel/2006/main">
          <x14:cfRule type="iconSet" priority="13006" id="{B0869648-9426-4225-8EFE-6C1FB11C0FC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C361</xm:sqref>
        </x14:conditionalFormatting>
        <x14:conditionalFormatting xmlns:xm="http://schemas.microsoft.com/office/excel/2006/main">
          <x14:cfRule type="iconSet" priority="12889" id="{7A2BA22E-AF22-4180-B911-A1F5B172239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C381:C382</xm:sqref>
        </x14:conditionalFormatting>
        <x14:conditionalFormatting xmlns:xm="http://schemas.microsoft.com/office/excel/2006/main">
          <x14:cfRule type="iconSet" priority="13008" id="{FB784AA9-8067-4AF3-B827-8B181E2EA9E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C380</xm:sqref>
        </x14:conditionalFormatting>
        <x14:conditionalFormatting xmlns:xm="http://schemas.microsoft.com/office/excel/2006/main">
          <x14:cfRule type="iconSet" priority="12721" id="{98FD46FC-2D90-4039-84DB-CBF3D6F8C91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C654</xm:sqref>
        </x14:conditionalFormatting>
        <x14:conditionalFormatting xmlns:xm="http://schemas.microsoft.com/office/excel/2006/main">
          <x14:cfRule type="iconSet" priority="12129" id="{4AB84F98-96EE-4030-B517-E06A4FC6581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C619</xm:sqref>
        </x14:conditionalFormatting>
        <x14:conditionalFormatting xmlns:xm="http://schemas.microsoft.com/office/excel/2006/main">
          <x14:cfRule type="iconSet" priority="11994" id="{004585CE-5FEE-488E-B8D8-C099273F8A4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C655:C658</xm:sqref>
        </x14:conditionalFormatting>
        <x14:conditionalFormatting xmlns:xm="http://schemas.microsoft.com/office/excel/2006/main">
          <x14:cfRule type="iconSet" priority="11981" id="{FED4FBBD-7FB8-4A6E-98F2-91C083D4F8B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C581 C543</xm:sqref>
        </x14:conditionalFormatting>
        <x14:conditionalFormatting xmlns:xm="http://schemas.microsoft.com/office/excel/2006/main">
          <x14:cfRule type="iconSet" priority="11864" id="{CD4EF1F8-6EBA-4225-97D2-3DB376B0260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C563:C564</xm:sqref>
        </x14:conditionalFormatting>
        <x14:conditionalFormatting xmlns:xm="http://schemas.microsoft.com/office/excel/2006/main">
          <x14:cfRule type="iconSet" priority="11983" id="{F50B6C24-0D57-404E-BDF7-0DE7E585203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C562</xm:sqref>
        </x14:conditionalFormatting>
        <x14:conditionalFormatting xmlns:xm="http://schemas.microsoft.com/office/excel/2006/main">
          <x14:cfRule type="iconSet" priority="11846" id="{7FCF02A4-01ED-4844-AF17-8D09FC29AB0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C582:C585</xm:sqref>
        </x14:conditionalFormatting>
        <x14:conditionalFormatting xmlns:xm="http://schemas.microsoft.com/office/excel/2006/main">
          <x14:cfRule type="iconSet" priority="11792" id="{0220AAE7-5521-491C-AE1D-2351AA2ECA8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C312:C315</xm:sqref>
        </x14:conditionalFormatting>
        <x14:conditionalFormatting xmlns:xm="http://schemas.microsoft.com/office/excel/2006/main">
          <x14:cfRule type="iconSet" priority="11813" id="{C45BDB9A-3116-4D2F-BAD4-16EE8BD46FD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C310:C311 C316 C319:C320</xm:sqref>
        </x14:conditionalFormatting>
        <x14:conditionalFormatting xmlns:xm="http://schemas.microsoft.com/office/excel/2006/main">
          <x14:cfRule type="iconSet" priority="11760" id="{CA85DF04-572E-448E-B158-31F1B77E5A7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C411:C414</xm:sqref>
        </x14:conditionalFormatting>
        <x14:conditionalFormatting xmlns:xm="http://schemas.microsoft.com/office/excel/2006/main">
          <x14:cfRule type="iconSet" priority="11781" id="{E69F1B41-DBEB-4F0F-8D2E-6561E9B72EB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C409:C410 C415 C418:C419</xm:sqref>
        </x14:conditionalFormatting>
        <x14:conditionalFormatting xmlns:xm="http://schemas.microsoft.com/office/excel/2006/main">
          <x14:cfRule type="iconSet" priority="11749" id="{1822C5B3-AFF0-456C-A919-3D818703C92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C506 C509:C510</xm:sqref>
        </x14:conditionalFormatting>
        <x14:conditionalFormatting xmlns:xm="http://schemas.microsoft.com/office/excel/2006/main">
          <x14:cfRule type="iconSet" priority="11600" id="{1ED558BF-4E26-4CE8-B15C-8D109A193D0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C502:C505</xm:sqref>
        </x14:conditionalFormatting>
        <x14:conditionalFormatting xmlns:xm="http://schemas.microsoft.com/office/excel/2006/main">
          <x14:cfRule type="iconSet" priority="11621" id="{7425DA05-30A0-4252-8692-29CFE3C4AD9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C500:C501</xm:sqref>
        </x14:conditionalFormatting>
        <x14:conditionalFormatting xmlns:xm="http://schemas.microsoft.com/office/excel/2006/main">
          <x14:cfRule type="iconSet" priority="11563" id="{B2D17E07-FC98-4FD4-B5DA-D2A78E3F158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C400:C403</xm:sqref>
        </x14:conditionalFormatting>
        <x14:conditionalFormatting xmlns:xm="http://schemas.microsoft.com/office/excel/2006/main">
          <x14:cfRule type="iconSet" priority="23718" id="{E723AAC4-89F5-40A8-90FB-0F82F3F4852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C404:C406 C399</xm:sqref>
        </x14:conditionalFormatting>
        <x14:conditionalFormatting xmlns:xm="http://schemas.microsoft.com/office/excel/2006/main">
          <x14:cfRule type="iconSet" priority="11489" id="{890425D4-C3F2-4B9D-AC8E-AC6A5013441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C1852</xm:sqref>
        </x14:conditionalFormatting>
        <x14:conditionalFormatting xmlns:xm="http://schemas.microsoft.com/office/excel/2006/main">
          <x14:cfRule type="iconSet" priority="11420" id="{49C28DC6-8864-43CD-8FA0-5A80D953E2A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C1082</xm:sqref>
        </x14:conditionalFormatting>
        <x14:conditionalFormatting xmlns:xm="http://schemas.microsoft.com/office/excel/2006/main">
          <x14:cfRule type="iconSet" priority="11282" id="{F96BA41F-F3CC-47E5-9239-AFB38C78CBF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C668:C670</xm:sqref>
        </x14:conditionalFormatting>
        <x14:conditionalFormatting xmlns:xm="http://schemas.microsoft.com/office/excel/2006/main">
          <x14:cfRule type="iconSet" priority="11237" id="{8FF18BF0-6D8A-45E7-9A0D-B63DFA584C1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C693:C696 C700:C702 C707:C724</xm:sqref>
        </x14:conditionalFormatting>
        <x14:conditionalFormatting xmlns:xm="http://schemas.microsoft.com/office/excel/2006/main">
          <x14:cfRule type="iconSet" priority="11226" id="{88D0843B-88A7-467C-BEFD-89E1A15F106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C697:C699</xm:sqref>
        </x14:conditionalFormatting>
        <x14:conditionalFormatting xmlns:xm="http://schemas.microsoft.com/office/excel/2006/main">
          <x14:cfRule type="iconSet" priority="11209" id="{301768BC-88D2-4818-9012-7C0F4ADDD4E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C726:C729 C733:C753</xm:sqref>
        </x14:conditionalFormatting>
        <x14:conditionalFormatting xmlns:xm="http://schemas.microsoft.com/office/excel/2006/main">
          <x14:cfRule type="iconSet" priority="11198" id="{A68F1F8D-EA76-40BA-8EF9-82EB879D5AF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C730:C732</xm:sqref>
        </x14:conditionalFormatting>
        <x14:conditionalFormatting xmlns:xm="http://schemas.microsoft.com/office/excel/2006/main">
          <x14:cfRule type="iconSet" priority="11167" id="{1677B37F-D2B8-4F9E-937F-46C8C72DFDE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C755:C758 C762:C782</xm:sqref>
        </x14:conditionalFormatting>
        <x14:conditionalFormatting xmlns:xm="http://schemas.microsoft.com/office/excel/2006/main">
          <x14:cfRule type="iconSet" priority="11156" id="{B6517566-D004-465D-B82D-B0140708EB8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C759:C761</xm:sqref>
        </x14:conditionalFormatting>
        <x14:conditionalFormatting xmlns:xm="http://schemas.microsoft.com/office/excel/2006/main">
          <x14:cfRule type="iconSet" priority="11125" id="{03CA5BF3-0836-447C-83CC-5C5C5E2A2EF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C703:C706</xm:sqref>
        </x14:conditionalFormatting>
        <x14:conditionalFormatting xmlns:xm="http://schemas.microsoft.com/office/excel/2006/main">
          <x14:cfRule type="iconSet" priority="11114" id="{FD5922F2-950E-496A-9B18-91EA853DE0F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C785:C787</xm:sqref>
        </x14:conditionalFormatting>
        <x14:conditionalFormatting xmlns:xm="http://schemas.microsoft.com/office/excel/2006/main">
          <x14:cfRule type="iconSet" priority="11103" id="{AB66F409-88A3-41CC-BDEF-ACC9ADA809C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C803:C805</xm:sqref>
        </x14:conditionalFormatting>
        <x14:conditionalFormatting xmlns:xm="http://schemas.microsoft.com/office/excel/2006/main">
          <x14:cfRule type="iconSet" priority="11071" id="{4ED22237-3086-4816-AA32-FCC45B639B3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C1844:C1846</xm:sqref>
        </x14:conditionalFormatting>
        <x14:conditionalFormatting xmlns:xm="http://schemas.microsoft.com/office/excel/2006/main">
          <x14:cfRule type="iconSet" priority="10971" id="{53F61F1F-38C8-4116-8390-DF3B5C3F05E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C1843</xm:sqref>
        </x14:conditionalFormatting>
        <x14:conditionalFormatting xmlns:xm="http://schemas.microsoft.com/office/excel/2006/main">
          <x14:cfRule type="iconSet" priority="10953" id="{274DC405-2642-464A-8D9A-A144CF7C203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C1861:C1863</xm:sqref>
        </x14:conditionalFormatting>
        <x14:conditionalFormatting xmlns:xm="http://schemas.microsoft.com/office/excel/2006/main">
          <x14:cfRule type="iconSet" priority="10909" id="{E279D2E9-7CA3-4483-B638-23CFFF93EDC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C1883</xm:sqref>
        </x14:conditionalFormatting>
        <x14:conditionalFormatting xmlns:xm="http://schemas.microsoft.com/office/excel/2006/main">
          <x14:cfRule type="iconSet" priority="10828" id="{992374AD-2DC7-4098-B503-1E7E482DC3C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C1897:C1899</xm:sqref>
        </x14:conditionalFormatting>
        <x14:conditionalFormatting xmlns:xm="http://schemas.microsoft.com/office/excel/2006/main">
          <x14:cfRule type="iconSet" priority="10784" id="{F4287291-8983-43BD-8BF8-D2A0E460F52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C1919</xm:sqref>
        </x14:conditionalFormatting>
        <x14:conditionalFormatting xmlns:xm="http://schemas.microsoft.com/office/excel/2006/main">
          <x14:cfRule type="iconSet" priority="24934" id="{5292704E-A82A-484F-9F91-F94E5DB75B0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C1854:C1855 C1857</xm:sqref>
        </x14:conditionalFormatting>
        <x14:conditionalFormatting xmlns:xm="http://schemas.microsoft.com/office/excel/2006/main">
          <x14:cfRule type="iconSet" priority="10451" id="{29DC8EB2-D281-4290-B240-1F0D6649949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C1854</xm:sqref>
        </x14:conditionalFormatting>
        <x14:conditionalFormatting xmlns:xm="http://schemas.microsoft.com/office/excel/2006/main">
          <x14:cfRule type="iconSet" priority="10439" id="{E56EFD11-ED03-4241-BB20-AD89A9C9295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C1853</xm:sqref>
        </x14:conditionalFormatting>
        <x14:conditionalFormatting xmlns:xm="http://schemas.microsoft.com/office/excel/2006/main">
          <x14:cfRule type="iconSet" priority="10428" id="{6D336FFB-F603-4697-8821-4FCB32C4464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C1886</xm:sqref>
        </x14:conditionalFormatting>
        <x14:conditionalFormatting xmlns:xm="http://schemas.microsoft.com/office/excel/2006/main">
          <x14:cfRule type="iconSet" priority="10405" id="{C43EFBB1-6A9E-4848-BD5A-0AE5E6471CC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C1922</xm:sqref>
        </x14:conditionalFormatting>
        <x14:conditionalFormatting xmlns:xm="http://schemas.microsoft.com/office/excel/2006/main">
          <x14:cfRule type="iconSet" priority="10392" id="{CDF60453-816F-48E6-8E5B-DD128FC36CA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C1947</xm:sqref>
        </x14:conditionalFormatting>
        <x14:conditionalFormatting xmlns:xm="http://schemas.microsoft.com/office/excel/2006/main">
          <x14:cfRule type="iconSet" priority="10231" id="{02363A13-4658-4AAA-B195-1E43B0C23BA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C1948</xm:sqref>
        </x14:conditionalFormatting>
        <x14:conditionalFormatting xmlns:xm="http://schemas.microsoft.com/office/excel/2006/main">
          <x14:cfRule type="iconSet" priority="10071" id="{6FF00831-398E-4486-92CE-2529927709F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C2111:C2112</xm:sqref>
        </x14:conditionalFormatting>
        <x14:conditionalFormatting xmlns:xm="http://schemas.microsoft.com/office/excel/2006/main">
          <x14:cfRule type="iconSet" priority="10052" id="{3FDCB97E-384B-417B-B9DC-EECE190CD01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C1224:C1227</xm:sqref>
        </x14:conditionalFormatting>
        <x14:conditionalFormatting xmlns:xm="http://schemas.microsoft.com/office/excel/2006/main">
          <x14:cfRule type="iconSet" priority="25768" id="{BD04AFD2-F5F1-4779-A805-EAFBDBFD823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C1228:C1229</xm:sqref>
        </x14:conditionalFormatting>
        <x14:conditionalFormatting xmlns:xm="http://schemas.microsoft.com/office/excel/2006/main">
          <x14:cfRule type="iconSet" priority="9957" id="{FCD49D16-2C82-484E-8C3B-4928C96A1B2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C1244:C1255 C1262:C1270 C1273:C1274</xm:sqref>
        </x14:conditionalFormatting>
        <x14:conditionalFormatting xmlns:xm="http://schemas.microsoft.com/office/excel/2006/main">
          <x14:cfRule type="iconSet" priority="9946" id="{01AA8A5A-E34C-4DAB-8D77-2671B08E89A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C1256:C1259</xm:sqref>
        </x14:conditionalFormatting>
        <x14:conditionalFormatting xmlns:xm="http://schemas.microsoft.com/office/excel/2006/main">
          <x14:cfRule type="iconSet" priority="9958" id="{416BE020-CB1A-42D8-8E39-3E11E776F93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C1260:C1261</xm:sqref>
        </x14:conditionalFormatting>
        <x14:conditionalFormatting xmlns:xm="http://schemas.microsoft.com/office/excel/2006/main">
          <x14:cfRule type="iconSet" priority="9907" id="{6312F7C0-D86A-4A74-B66A-8E1BBEB5294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C1276:C1287 C1294:C1302 C1305:C1306</xm:sqref>
        </x14:conditionalFormatting>
        <x14:conditionalFormatting xmlns:xm="http://schemas.microsoft.com/office/excel/2006/main">
          <x14:cfRule type="iconSet" priority="9896" id="{82DF0E93-34BC-42B5-82D6-174CBE69C5A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C1288:C1291</xm:sqref>
        </x14:conditionalFormatting>
        <x14:conditionalFormatting xmlns:xm="http://schemas.microsoft.com/office/excel/2006/main">
          <x14:cfRule type="iconSet" priority="9908" id="{12C4130A-578F-4F6E-A595-EAB49E64248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C1292:C1293</xm:sqref>
        </x14:conditionalFormatting>
        <x14:conditionalFormatting xmlns:xm="http://schemas.microsoft.com/office/excel/2006/main">
          <x14:cfRule type="iconSet" priority="9843" id="{DDC63525-FFB9-4E43-916F-22A7F1541CB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C1332:C1340 C1308:C1319 C1343:C1344</xm:sqref>
        </x14:conditionalFormatting>
        <x14:conditionalFormatting xmlns:xm="http://schemas.microsoft.com/office/excel/2006/main">
          <x14:cfRule type="iconSet" priority="9832" id="{0F99D5AE-569A-489E-94F7-D668DA32A82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C1320 C1327:C1329</xm:sqref>
        </x14:conditionalFormatting>
        <x14:conditionalFormatting xmlns:xm="http://schemas.microsoft.com/office/excel/2006/main">
          <x14:cfRule type="iconSet" priority="9844" id="{39E30375-D792-4457-A68C-35AC1DD3DEE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C1330:C1331</xm:sqref>
        </x14:conditionalFormatting>
        <x14:conditionalFormatting xmlns:xm="http://schemas.microsoft.com/office/excel/2006/main">
          <x14:cfRule type="iconSet" priority="9793" id="{15863538-0389-4D18-8DAA-343E75DA247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C1346:C1368</xm:sqref>
        </x14:conditionalFormatting>
        <x14:conditionalFormatting xmlns:xm="http://schemas.microsoft.com/office/excel/2006/main">
          <x14:cfRule type="iconSet" priority="9666" id="{1CFEF54C-8E0B-4AF7-936F-905884227E6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C1321:C1323</xm:sqref>
        </x14:conditionalFormatting>
        <x14:conditionalFormatting xmlns:xm="http://schemas.microsoft.com/office/excel/2006/main">
          <x14:cfRule type="iconSet" priority="9674" id="{A5737550-8353-44AD-B54D-2DCBDAFEA8D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C1324 C1326</xm:sqref>
        </x14:conditionalFormatting>
        <x14:conditionalFormatting xmlns:xm="http://schemas.microsoft.com/office/excel/2006/main">
          <x14:cfRule type="iconSet" priority="9628" id="{693CAED1-1EC2-434B-94ED-75EB14B30C9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C1325</xm:sqref>
        </x14:conditionalFormatting>
        <x14:conditionalFormatting xmlns:xm="http://schemas.microsoft.com/office/excel/2006/main">
          <x14:cfRule type="iconSet" priority="9599" id="{AE515D54-0ADF-4F99-AFF7-5E2A7219387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C1734:C1735</xm:sqref>
        </x14:conditionalFormatting>
        <x14:conditionalFormatting xmlns:xm="http://schemas.microsoft.com/office/excel/2006/main">
          <x14:cfRule type="iconSet" priority="9533" id="{9DA8EB02-86F2-41B4-88D9-4B735347068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C1753:C1754</xm:sqref>
        </x14:conditionalFormatting>
        <x14:conditionalFormatting xmlns:xm="http://schemas.microsoft.com/office/excel/2006/main">
          <x14:cfRule type="iconSet" priority="9522" id="{249D90E7-C409-43FA-A82A-D42A55F4FB2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C1755:C1756</xm:sqref>
        </x14:conditionalFormatting>
        <x14:conditionalFormatting xmlns:xm="http://schemas.microsoft.com/office/excel/2006/main">
          <x14:cfRule type="iconSet" priority="9500" id="{8F27CDD1-DB6E-457D-9DCF-90FAECE4F43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C1757:C1758</xm:sqref>
        </x14:conditionalFormatting>
        <x14:conditionalFormatting xmlns:xm="http://schemas.microsoft.com/office/excel/2006/main">
          <x14:cfRule type="iconSet" priority="9489" id="{0585C0D2-CBA7-4258-BA99-C8ECE22E204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C1759:C1760</xm:sqref>
        </x14:conditionalFormatting>
        <x14:conditionalFormatting xmlns:xm="http://schemas.microsoft.com/office/excel/2006/main">
          <x14:cfRule type="iconSet" priority="9467" id="{150DB62F-42B8-484F-9473-C0656A7EC10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C1775:C1776</xm:sqref>
        </x14:conditionalFormatting>
        <x14:conditionalFormatting xmlns:xm="http://schemas.microsoft.com/office/excel/2006/main">
          <x14:cfRule type="iconSet" priority="9456" id="{168E0479-4676-4A53-A54F-E8FE289A29F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C1777:C1778</xm:sqref>
        </x14:conditionalFormatting>
        <x14:conditionalFormatting xmlns:xm="http://schemas.microsoft.com/office/excel/2006/main">
          <x14:cfRule type="iconSet" priority="9434" id="{77249BB1-BEF2-41A0-924A-F0F93938006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C1779:C1780</xm:sqref>
        </x14:conditionalFormatting>
        <x14:conditionalFormatting xmlns:xm="http://schemas.microsoft.com/office/excel/2006/main">
          <x14:cfRule type="iconSet" priority="9423" id="{94392DBE-FA0D-446F-8B2C-A4A3E99C648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C1781:C1782</xm:sqref>
        </x14:conditionalFormatting>
        <x14:conditionalFormatting xmlns:xm="http://schemas.microsoft.com/office/excel/2006/main">
          <x14:cfRule type="iconSet" priority="9401" id="{6284F33B-CD3A-4F63-A20F-D68D7CB494F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C1799:C1800</xm:sqref>
        </x14:conditionalFormatting>
        <x14:conditionalFormatting xmlns:xm="http://schemas.microsoft.com/office/excel/2006/main">
          <x14:cfRule type="iconSet" priority="9390" id="{E056740C-ACB6-4B64-99EA-60280EFF905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C1801:C1802</xm:sqref>
        </x14:conditionalFormatting>
        <x14:conditionalFormatting xmlns:xm="http://schemas.microsoft.com/office/excel/2006/main">
          <x14:cfRule type="iconSet" priority="9335" id="{E71C1A6A-024D-43F9-B9A0-8B4F33C5A26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C1821:C1822</xm:sqref>
        </x14:conditionalFormatting>
        <x14:conditionalFormatting xmlns:xm="http://schemas.microsoft.com/office/excel/2006/main">
          <x14:cfRule type="iconSet" priority="9324" id="{BA9144AC-86CD-493B-B4FA-F5379B5EDF2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C1823:C1824</xm:sqref>
        </x14:conditionalFormatting>
        <x14:conditionalFormatting xmlns:xm="http://schemas.microsoft.com/office/excel/2006/main">
          <x14:cfRule type="iconSet" priority="9258" id="{7FB8C1F2-F88B-4D0B-9EFF-A2ADDACFEEA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C1762:C1765</xm:sqref>
        </x14:conditionalFormatting>
        <x14:conditionalFormatting xmlns:xm="http://schemas.microsoft.com/office/excel/2006/main">
          <x14:cfRule type="iconSet" priority="9245" id="{06F99834-5423-4F9F-BB4F-6EA3956C12E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C1784:C1787</xm:sqref>
        </x14:conditionalFormatting>
        <x14:conditionalFormatting xmlns:xm="http://schemas.microsoft.com/office/excel/2006/main">
          <x14:cfRule type="iconSet" priority="9232" id="{CDF234D0-0E1C-425A-8AE1-4E15D03DCD2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C1804:C1807</xm:sqref>
        </x14:conditionalFormatting>
        <x14:conditionalFormatting xmlns:xm="http://schemas.microsoft.com/office/excel/2006/main">
          <x14:cfRule type="iconSet" priority="9219" id="{EEF84ED6-EBFC-448B-8F78-23D61AFF212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C1826:C1829</xm:sqref>
        </x14:conditionalFormatting>
        <x14:conditionalFormatting xmlns:xm="http://schemas.microsoft.com/office/excel/2006/main">
          <x14:cfRule type="iconSet" priority="26035" id="{A04B46D4-D80C-4E17-A3EB-879B2D43620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C1374:C1375</xm:sqref>
        </x14:conditionalFormatting>
        <x14:conditionalFormatting xmlns:xm="http://schemas.microsoft.com/office/excel/2006/main">
          <x14:cfRule type="iconSet" priority="9049" id="{A318B4B0-27E9-4E85-AEB3-506A1032B53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C1406:C1408 C1387 C1392:C1397</xm:sqref>
        </x14:conditionalFormatting>
        <x14:conditionalFormatting xmlns:xm="http://schemas.microsoft.com/office/excel/2006/main">
          <x14:cfRule type="iconSet" priority="9051" id="{ACEE955B-B56E-414D-A2CC-60DC5D4643C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C1390:C1391</xm:sqref>
        </x14:conditionalFormatting>
        <x14:conditionalFormatting xmlns:xm="http://schemas.microsoft.com/office/excel/2006/main">
          <x14:cfRule type="iconSet" priority="9001" id="{A85E69E1-8E69-4D50-8363-C16D13F8B45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C1398</xm:sqref>
        </x14:conditionalFormatting>
        <x14:conditionalFormatting xmlns:xm="http://schemas.microsoft.com/office/excel/2006/main">
          <x14:cfRule type="iconSet" priority="8955" id="{54B6223A-B86A-4CCE-B535-176582117B9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C1415:C1416</xm:sqref>
        </x14:conditionalFormatting>
        <x14:conditionalFormatting xmlns:xm="http://schemas.microsoft.com/office/excel/2006/main">
          <x14:cfRule type="iconSet" priority="8859" id="{1A450F77-24F4-443A-BB3C-A83E4C07D34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C1433:C1434</xm:sqref>
        </x14:conditionalFormatting>
        <x14:conditionalFormatting xmlns:xm="http://schemas.microsoft.com/office/excel/2006/main">
          <x14:cfRule type="iconSet" priority="8763" id="{B27C4506-0F7D-4A4A-AE2F-E32E12607E3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C1451:C1452</xm:sqref>
        </x14:conditionalFormatting>
        <x14:conditionalFormatting xmlns:xm="http://schemas.microsoft.com/office/excel/2006/main">
          <x14:cfRule type="iconSet" priority="8656" id="{7529B3D6-B7D1-456A-8C16-104E7FC6CA6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C1466:C1470</xm:sqref>
        </x14:conditionalFormatting>
        <x14:conditionalFormatting xmlns:xm="http://schemas.microsoft.com/office/excel/2006/main">
          <x14:cfRule type="iconSet" priority="8612" id="{A155CB3A-CB25-4A03-8767-FBED1D313ED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C1512:C1516</xm:sqref>
        </x14:conditionalFormatting>
        <x14:conditionalFormatting xmlns:xm="http://schemas.microsoft.com/office/excel/2006/main">
          <x14:cfRule type="iconSet" priority="8590" id="{7EE607E6-D87F-4CAF-800E-B4EA2C90B14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C1528 C1523:C1525</xm:sqref>
        </x14:conditionalFormatting>
        <x14:conditionalFormatting xmlns:xm="http://schemas.microsoft.com/office/excel/2006/main">
          <x14:cfRule type="iconSet" priority="8579" id="{B01AE64A-2135-4627-B1C5-2AAFABCE67C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C1552:C1555</xm:sqref>
        </x14:conditionalFormatting>
        <x14:conditionalFormatting xmlns:xm="http://schemas.microsoft.com/office/excel/2006/main">
          <x14:cfRule type="iconSet" priority="8537" id="{74666E20-A384-488A-B3F2-6C38FBDBB68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C1586:C1590</xm:sqref>
        </x14:conditionalFormatting>
        <x14:conditionalFormatting xmlns:xm="http://schemas.microsoft.com/office/excel/2006/main">
          <x14:cfRule type="iconSet" priority="8533" id="{18F973D6-D7C6-4E32-9378-407EF764889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C1602 C1597:C1599</xm:sqref>
        </x14:conditionalFormatting>
        <x14:conditionalFormatting xmlns:xm="http://schemas.microsoft.com/office/excel/2006/main">
          <x14:cfRule type="iconSet" priority="8522" id="{0DFD0921-15F2-4D8A-AA1A-CD898EEAF6A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C1615:C1618</xm:sqref>
        </x14:conditionalFormatting>
        <x14:conditionalFormatting xmlns:xm="http://schemas.microsoft.com/office/excel/2006/main">
          <x14:cfRule type="iconSet" priority="8480" id="{F5C74C47-D0F8-488A-AEFD-81546E8ACF3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C1647:C1651</xm:sqref>
        </x14:conditionalFormatting>
        <x14:conditionalFormatting xmlns:xm="http://schemas.microsoft.com/office/excel/2006/main">
          <x14:cfRule type="iconSet" priority="8476" id="{451AEA6A-3F5D-45B1-A6B7-729CFF0161A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C1658:C1660 C1662:C1663</xm:sqref>
        </x14:conditionalFormatting>
        <x14:conditionalFormatting xmlns:xm="http://schemas.microsoft.com/office/excel/2006/main">
          <x14:cfRule type="iconSet" priority="8465" id="{586CB060-247A-42E5-A87F-927FA4506E0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C1687:C1690</xm:sqref>
        </x14:conditionalFormatting>
        <x14:conditionalFormatting xmlns:xm="http://schemas.microsoft.com/office/excel/2006/main">
          <x14:cfRule type="iconSet" priority="8454" id="{4E912CD8-044E-4C3E-BFAA-035E588FAF8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C1664:C1668</xm:sqref>
        </x14:conditionalFormatting>
        <x14:conditionalFormatting xmlns:xm="http://schemas.microsoft.com/office/excel/2006/main">
          <x14:cfRule type="iconSet" priority="8432" id="{BF5EA8F4-8FE7-4750-9A2E-61C572A20A1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C1661</xm:sqref>
        </x14:conditionalFormatting>
        <x14:conditionalFormatting xmlns:xm="http://schemas.microsoft.com/office/excel/2006/main">
          <x14:cfRule type="iconSet" priority="8421" id="{130B9AA2-88A7-4F1E-B3C6-B5D3FCD4E1C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C1655</xm:sqref>
        </x14:conditionalFormatting>
        <x14:conditionalFormatting xmlns:xm="http://schemas.microsoft.com/office/excel/2006/main">
          <x14:cfRule type="iconSet" priority="8410" id="{FBE63473-94E9-4C5E-A335-162346CBE3E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C1601</xm:sqref>
        </x14:conditionalFormatting>
        <x14:conditionalFormatting xmlns:xm="http://schemas.microsoft.com/office/excel/2006/main">
          <x14:cfRule type="iconSet" priority="8399" id="{B8F5E766-C118-486A-B892-EF59945D406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C1600</xm:sqref>
        </x14:conditionalFormatting>
        <x14:conditionalFormatting xmlns:xm="http://schemas.microsoft.com/office/excel/2006/main">
          <x14:cfRule type="iconSet" priority="8388" id="{1EB4B285-551D-4EEB-A759-9924D64DBEF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C1595</xm:sqref>
        </x14:conditionalFormatting>
        <x14:conditionalFormatting xmlns:xm="http://schemas.microsoft.com/office/excel/2006/main">
          <x14:cfRule type="iconSet" priority="8377" id="{ACDF4681-EC26-48DA-9A3F-786085CAE4E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C1594</xm:sqref>
        </x14:conditionalFormatting>
        <x14:conditionalFormatting xmlns:xm="http://schemas.microsoft.com/office/excel/2006/main">
          <x14:cfRule type="iconSet" priority="8366" id="{72B91A16-CA1F-4442-B86F-DAE12945375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C1527</xm:sqref>
        </x14:conditionalFormatting>
        <x14:conditionalFormatting xmlns:xm="http://schemas.microsoft.com/office/excel/2006/main">
          <x14:cfRule type="iconSet" priority="8355" id="{17D920D1-C6F6-4DCA-886F-FD481F887C8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C1526</xm:sqref>
        </x14:conditionalFormatting>
        <x14:conditionalFormatting xmlns:xm="http://schemas.microsoft.com/office/excel/2006/main">
          <x14:cfRule type="iconSet" priority="8344" id="{4C4A4E77-FEA7-4739-8BBA-25E315CF915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C1521</xm:sqref>
        </x14:conditionalFormatting>
        <x14:conditionalFormatting xmlns:xm="http://schemas.microsoft.com/office/excel/2006/main">
          <x14:cfRule type="iconSet" priority="8333" id="{57184372-1790-4E61-B4C6-6109B9589CB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C1520</xm:sqref>
        </x14:conditionalFormatting>
        <x14:conditionalFormatting xmlns:xm="http://schemas.microsoft.com/office/excel/2006/main">
          <x14:cfRule type="iconSet" priority="8322" id="{D38470A5-9633-4D36-B42F-C4741231F68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C1475</xm:sqref>
        </x14:conditionalFormatting>
        <x14:conditionalFormatting xmlns:xm="http://schemas.microsoft.com/office/excel/2006/main">
          <x14:cfRule type="iconSet" priority="8311" id="{DE337439-1599-40B1-8B59-59599081FBA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C1474</xm:sqref>
        </x14:conditionalFormatting>
        <x14:conditionalFormatting xmlns:xm="http://schemas.microsoft.com/office/excel/2006/main">
          <x14:cfRule type="iconSet" priority="8280" id="{7CF88C46-8BD2-4AD5-AE88-6B471B6D400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C1714:C1715</xm:sqref>
        </x14:conditionalFormatting>
        <x14:conditionalFormatting xmlns:xm="http://schemas.microsoft.com/office/excel/2006/main">
          <x14:cfRule type="iconSet" priority="8166" id="{C4FBFAD3-60C6-4BC9-8697-636615CAF8B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C2063:C2064 C2066:C2069</xm:sqref>
        </x14:conditionalFormatting>
        <x14:conditionalFormatting xmlns:xm="http://schemas.microsoft.com/office/excel/2006/main">
          <x14:cfRule type="iconSet" priority="8155" id="{F1190D32-940D-4D67-A908-6279F142632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C2065</xm:sqref>
        </x14:conditionalFormatting>
        <x14:conditionalFormatting xmlns:xm="http://schemas.microsoft.com/office/excel/2006/main">
          <x14:cfRule type="iconSet" priority="8144" id="{C00C23E8-E6A1-4C61-B767-2F87A1162ED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C2070:C2072</xm:sqref>
        </x14:conditionalFormatting>
        <x14:conditionalFormatting xmlns:xm="http://schemas.microsoft.com/office/excel/2006/main">
          <x14:cfRule type="iconSet" priority="8125" id="{A4968EDE-575F-44D4-BB03-676CB8ACFC1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C2086:C2088</xm:sqref>
        </x14:conditionalFormatting>
        <x14:conditionalFormatting xmlns:xm="http://schemas.microsoft.com/office/excel/2006/main">
          <x14:cfRule type="iconSet" priority="8114" id="{02BD9FF4-870E-4D7F-BF00-01CA4C500D6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C2073 C2075 C2077:C2079</xm:sqref>
        </x14:conditionalFormatting>
        <x14:conditionalFormatting xmlns:xm="http://schemas.microsoft.com/office/excel/2006/main">
          <x14:cfRule type="iconSet" priority="8103" id="{F6475B9D-FF6E-4DE1-A7CF-0432062E342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C2074</xm:sqref>
        </x14:conditionalFormatting>
        <x14:conditionalFormatting xmlns:xm="http://schemas.microsoft.com/office/excel/2006/main">
          <x14:cfRule type="iconSet" priority="8092" id="{C6101E4E-215A-44D7-9502-90453252F2B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C2080:C2082</xm:sqref>
        </x14:conditionalFormatting>
        <x14:conditionalFormatting xmlns:xm="http://schemas.microsoft.com/office/excel/2006/main">
          <x14:cfRule type="iconSet" priority="8081" id="{DF66EF89-D276-43E8-B5FE-3D3F56BE703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C2076</xm:sqref>
        </x14:conditionalFormatting>
        <x14:conditionalFormatting xmlns:xm="http://schemas.microsoft.com/office/excel/2006/main">
          <x14:cfRule type="iconSet" priority="8048" id="{5385A8E6-1BB8-4347-AF83-04B1EB674B6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C1578:C1579</xm:sqref>
        </x14:conditionalFormatting>
        <x14:conditionalFormatting xmlns:xm="http://schemas.microsoft.com/office/excel/2006/main">
          <x14:cfRule type="iconSet" priority="8037" id="{32189DAF-B471-4FD5-A205-6A0CF4C252D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C2136</xm:sqref>
        </x14:conditionalFormatting>
        <x14:conditionalFormatting xmlns:xm="http://schemas.microsoft.com/office/excel/2006/main">
          <x14:cfRule type="iconSet" priority="26335" id="{2BE23B83-F3E2-4411-9316-6C8900B3D9C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C2133:C2135</xm:sqref>
        </x14:conditionalFormatting>
        <x14:conditionalFormatting xmlns:xm="http://schemas.microsoft.com/office/excel/2006/main">
          <x14:cfRule type="iconSet" priority="8015" id="{A8F63D7E-1E16-4BDE-B504-CCFE78F2CED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C1175</xm:sqref>
        </x14:conditionalFormatting>
        <x14:conditionalFormatting xmlns:xm="http://schemas.microsoft.com/office/excel/2006/main">
          <x14:cfRule type="iconSet" priority="7895" id="{09703BAC-1E14-4BC3-9BC3-CBB63E2D351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C42:C44</xm:sqref>
        </x14:conditionalFormatting>
        <x14:conditionalFormatting xmlns:xm="http://schemas.microsoft.com/office/excel/2006/main">
          <x14:cfRule type="iconSet" priority="7872" id="{C1287806-BF65-419E-9BD3-1CB47E7BAD7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C1498:C1499</xm:sqref>
        </x14:conditionalFormatting>
        <x14:conditionalFormatting xmlns:xm="http://schemas.microsoft.com/office/excel/2006/main">
          <x14:cfRule type="iconSet" priority="7861" id="{755001CB-149F-45CA-ACEB-64D9D6B09FB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C1570:C1571</xm:sqref>
        </x14:conditionalFormatting>
        <x14:conditionalFormatting xmlns:xm="http://schemas.microsoft.com/office/excel/2006/main">
          <x14:cfRule type="iconSet" priority="7850" id="{466996B9-859C-4782-8104-67D9AFC1F49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C1568:C1569</xm:sqref>
        </x14:conditionalFormatting>
        <x14:conditionalFormatting xmlns:xm="http://schemas.microsoft.com/office/excel/2006/main">
          <x14:cfRule type="iconSet" priority="7839" id="{C5BD0779-B7F3-47BF-96F3-7E43A20A792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C1633:C1634</xm:sqref>
        </x14:conditionalFormatting>
        <x14:conditionalFormatting xmlns:xm="http://schemas.microsoft.com/office/excel/2006/main">
          <x14:cfRule type="iconSet" priority="7828" id="{7923C51D-8C8C-4377-B08D-D9B7F3F9783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C1631:C1632</xm:sqref>
        </x14:conditionalFormatting>
        <x14:conditionalFormatting xmlns:xm="http://schemas.microsoft.com/office/excel/2006/main">
          <x14:cfRule type="iconSet" priority="7817" id="{48CB422B-1771-4874-9FEF-A244CD03D25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C1701:C1702</xm:sqref>
        </x14:conditionalFormatting>
        <x14:conditionalFormatting xmlns:xm="http://schemas.microsoft.com/office/excel/2006/main">
          <x14:cfRule type="iconSet" priority="7806" id="{7AD2BC0A-8DAC-4D82-A141-4513EF20DD0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C1699:C1700</xm:sqref>
        </x14:conditionalFormatting>
        <x14:conditionalFormatting xmlns:xm="http://schemas.microsoft.com/office/excel/2006/main">
          <x14:cfRule type="iconSet" priority="7751" id="{5AAEE6A0-3975-4D45-A59C-AEF149CFC8B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C1341:C1342</xm:sqref>
        </x14:conditionalFormatting>
        <x14:conditionalFormatting xmlns:xm="http://schemas.microsoft.com/office/excel/2006/main">
          <x14:cfRule type="iconSet" priority="7740" id="{B95DEF04-864E-4537-B2CD-75402100852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C1303:C1304</xm:sqref>
        </x14:conditionalFormatting>
        <x14:conditionalFormatting xmlns:xm="http://schemas.microsoft.com/office/excel/2006/main">
          <x14:cfRule type="iconSet" priority="7729" id="{CEC9F195-D2F2-45EB-9AD3-93F5F899A1C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C1271:C1272</xm:sqref>
        </x14:conditionalFormatting>
        <x14:conditionalFormatting xmlns:xm="http://schemas.microsoft.com/office/excel/2006/main">
          <x14:cfRule type="iconSet" priority="7718" id="{C5819D08-6B52-4849-87E3-EBE8788F45A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C1239:C1240</xm:sqref>
        </x14:conditionalFormatting>
        <x14:conditionalFormatting xmlns:xm="http://schemas.microsoft.com/office/excel/2006/main">
          <x14:cfRule type="iconSet" priority="7696" id="{C74911F2-4DCB-44F1-A2A4-73B9685BEA5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C1196:C1197</xm:sqref>
        </x14:conditionalFormatting>
        <x14:conditionalFormatting xmlns:xm="http://schemas.microsoft.com/office/excel/2006/main">
          <x14:cfRule type="iconSet" priority="7677" id="{1B084AFD-748B-44D0-BED2-0524802F6B4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C317:C318</xm:sqref>
        </x14:conditionalFormatting>
        <x14:conditionalFormatting xmlns:xm="http://schemas.microsoft.com/office/excel/2006/main">
          <x14:cfRule type="iconSet" priority="7648" id="{695F9F26-53A9-4446-BC48-1CB0CCED2E0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C416:C417</xm:sqref>
        </x14:conditionalFormatting>
        <x14:conditionalFormatting xmlns:xm="http://schemas.microsoft.com/office/excel/2006/main">
          <x14:cfRule type="iconSet" priority="7628" id="{F718B6FF-D50F-454B-AA06-13978377491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C507:C508</xm:sqref>
        </x14:conditionalFormatting>
        <x14:conditionalFormatting xmlns:xm="http://schemas.microsoft.com/office/excel/2006/main">
          <x14:cfRule type="iconSet" priority="7290" id="{09EB8226-A517-4729-8157-8E21D6F4260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C269</xm:sqref>
        </x14:conditionalFormatting>
        <x14:conditionalFormatting xmlns:xm="http://schemas.microsoft.com/office/excel/2006/main">
          <x14:cfRule type="iconSet" priority="7279" id="{6BD4C9E6-C2D1-4B86-911C-2C26C11AD21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C1198</xm:sqref>
        </x14:conditionalFormatting>
        <x14:conditionalFormatting xmlns:xm="http://schemas.microsoft.com/office/excel/2006/main">
          <x14:cfRule type="iconSet" priority="7257" id="{E1687B96-0229-409C-B1C9-744B39AF22B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C1209</xm:sqref>
        </x14:conditionalFormatting>
        <x14:conditionalFormatting xmlns:xm="http://schemas.microsoft.com/office/excel/2006/main">
          <x14:cfRule type="iconSet" priority="7246" id="{EC480971-D309-4F1C-B7F2-0D128990639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C270</xm:sqref>
        </x14:conditionalFormatting>
        <x14:conditionalFormatting xmlns:xm="http://schemas.microsoft.com/office/excel/2006/main">
          <x14:cfRule type="iconSet" priority="7118" id="{E5462FFA-F11D-46AA-951F-8139DAE738C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C119 C122</xm:sqref>
        </x14:conditionalFormatting>
        <x14:conditionalFormatting xmlns:xm="http://schemas.microsoft.com/office/excel/2006/main">
          <x14:cfRule type="iconSet" priority="7107" id="{75BA75F1-63A7-450E-983C-4C37518E8B7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C120</xm:sqref>
        </x14:conditionalFormatting>
        <x14:conditionalFormatting xmlns:xm="http://schemas.microsoft.com/office/excel/2006/main">
          <x14:cfRule type="iconSet" priority="7085" id="{8F980892-56E6-44B3-BD83-71286005C96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C114</xm:sqref>
        </x14:conditionalFormatting>
        <x14:conditionalFormatting xmlns:xm="http://schemas.microsoft.com/office/excel/2006/main">
          <x14:cfRule type="iconSet" priority="7041" id="{DC40CD72-6320-4EF6-A03E-FB6298CA336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C126</xm:sqref>
        </x14:conditionalFormatting>
        <x14:conditionalFormatting xmlns:xm="http://schemas.microsoft.com/office/excel/2006/main">
          <x14:cfRule type="iconSet" priority="7030" id="{575E8142-8B9E-4513-8CD4-1A45C0F7DF9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C124</xm:sqref>
        </x14:conditionalFormatting>
        <x14:conditionalFormatting xmlns:xm="http://schemas.microsoft.com/office/excel/2006/main">
          <x14:cfRule type="iconSet" priority="28975" id="{568C76F7-CF88-470F-BDB3-C02B25C2BD8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C1921</xm:sqref>
        </x14:conditionalFormatting>
        <x14:conditionalFormatting xmlns:xm="http://schemas.microsoft.com/office/excel/2006/main">
          <x14:cfRule type="iconSet" priority="29001" id="{382FE0AA-6708-4DA6-93EE-BF7717FAD1D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C1885</xm:sqref>
        </x14:conditionalFormatting>
        <x14:conditionalFormatting xmlns:xm="http://schemas.microsoft.com/office/excel/2006/main">
          <x14:cfRule type="iconSet" priority="6903" id="{69B81451-C124-4DB1-B3EB-EB377BD44AB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C1891</xm:sqref>
        </x14:conditionalFormatting>
        <x14:conditionalFormatting xmlns:xm="http://schemas.microsoft.com/office/excel/2006/main">
          <x14:cfRule type="iconSet" priority="6807" id="{1C5A56E8-F512-41BF-92D3-67CC2C70AE6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C1856</xm:sqref>
        </x14:conditionalFormatting>
        <x14:conditionalFormatting xmlns:xm="http://schemas.microsoft.com/office/excel/2006/main">
          <x14:cfRule type="iconSet" priority="6796" id="{DC9CFC94-908E-4B26-803D-66A18C8CF76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C1856</xm:sqref>
        </x14:conditionalFormatting>
        <x14:conditionalFormatting xmlns:xm="http://schemas.microsoft.com/office/excel/2006/main">
          <x14:cfRule type="iconSet" priority="6794" id="{6E634F38-4E16-4E72-9A77-4A6FE01B7A7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C1858</xm:sqref>
        </x14:conditionalFormatting>
        <x14:conditionalFormatting xmlns:xm="http://schemas.microsoft.com/office/excel/2006/main">
          <x14:cfRule type="iconSet" priority="6783" id="{B105BCA4-3B6E-445F-A83A-E662DD3F7E0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C1858</xm:sqref>
        </x14:conditionalFormatting>
        <x14:conditionalFormatting xmlns:xm="http://schemas.microsoft.com/office/excel/2006/main">
          <x14:cfRule type="iconSet" priority="6768" id="{D0961A1B-13FF-412F-9200-1E55DFC7E6C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C1890</xm:sqref>
        </x14:conditionalFormatting>
        <x14:conditionalFormatting xmlns:xm="http://schemas.microsoft.com/office/excel/2006/main">
          <x14:cfRule type="iconSet" priority="6751" id="{668BD461-2173-4341-97A3-09931BEF670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C1889</xm:sqref>
        </x14:conditionalFormatting>
        <x14:conditionalFormatting xmlns:xm="http://schemas.microsoft.com/office/excel/2006/main">
          <x14:cfRule type="iconSet" priority="6740" id="{50BD989E-B8EF-42AB-A496-DD64FBFA671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C1889</xm:sqref>
        </x14:conditionalFormatting>
        <x14:conditionalFormatting xmlns:xm="http://schemas.microsoft.com/office/excel/2006/main">
          <x14:cfRule type="iconSet" priority="6692" id="{902B693F-7D53-4DE8-AFB1-A9F4631F6C7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C1925</xm:sqref>
        </x14:conditionalFormatting>
        <x14:conditionalFormatting xmlns:xm="http://schemas.microsoft.com/office/excel/2006/main">
          <x14:cfRule type="iconSet" priority="6682" id="{D698A755-5964-4BB0-8604-91C920AD9AC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C1925</xm:sqref>
        </x14:conditionalFormatting>
        <x14:conditionalFormatting xmlns:xm="http://schemas.microsoft.com/office/excel/2006/main">
          <x14:cfRule type="iconSet" priority="29392" id="{1343ADDA-9212-4460-BA7D-E81344CEB8E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C1952 C1954 C1956</xm:sqref>
        </x14:conditionalFormatting>
        <x14:conditionalFormatting xmlns:xm="http://schemas.microsoft.com/office/excel/2006/main">
          <x14:cfRule type="iconSet" priority="6648" id="{A63156F3-722D-4ADE-AB18-0B6BBC716CF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C1951</xm:sqref>
        </x14:conditionalFormatting>
        <x14:conditionalFormatting xmlns:xm="http://schemas.microsoft.com/office/excel/2006/main">
          <x14:cfRule type="iconSet" priority="6638" id="{F0116D16-FDD8-4DDD-A885-B70BED78127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C1951</xm:sqref>
        </x14:conditionalFormatting>
        <x14:conditionalFormatting xmlns:xm="http://schemas.microsoft.com/office/excel/2006/main">
          <x14:cfRule type="iconSet" priority="6628" id="{1BDFD8F0-C29C-43D6-A0C4-A87FCC030EC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C1953</xm:sqref>
        </x14:conditionalFormatting>
        <x14:conditionalFormatting xmlns:xm="http://schemas.microsoft.com/office/excel/2006/main">
          <x14:cfRule type="iconSet" priority="6618" id="{CCA6CFE8-E6B3-49CE-9098-1700A835679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C1953</xm:sqref>
        </x14:conditionalFormatting>
        <x14:conditionalFormatting xmlns:xm="http://schemas.microsoft.com/office/excel/2006/main">
          <x14:cfRule type="iconSet" priority="6608" id="{D5A1FAF4-39A6-441E-A55C-D8C45A41D2B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C1955</xm:sqref>
        </x14:conditionalFormatting>
        <x14:conditionalFormatting xmlns:xm="http://schemas.microsoft.com/office/excel/2006/main">
          <x14:cfRule type="iconSet" priority="6598" id="{220911F3-7C7E-49C3-B9F3-19E86485336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C1955</xm:sqref>
        </x14:conditionalFormatting>
        <x14:conditionalFormatting xmlns:xm="http://schemas.microsoft.com/office/excel/2006/main">
          <x14:cfRule type="iconSet" priority="29617" id="{8C934900-F708-4522-8126-47AD6361737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C1153:C1155</xm:sqref>
        </x14:conditionalFormatting>
        <x14:conditionalFormatting xmlns:xm="http://schemas.microsoft.com/office/excel/2006/main">
          <x14:cfRule type="iconSet" priority="5635" id="{3B0E2EDF-BB88-4836-A70E-F839137CE94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C393</xm:sqref>
        </x14:conditionalFormatting>
        <x14:conditionalFormatting xmlns:xm="http://schemas.microsoft.com/office/excel/2006/main">
          <x14:cfRule type="iconSet" priority="5617" id="{E06D24BA-6719-4BBE-BA20-7162CF1327C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C294</xm:sqref>
        </x14:conditionalFormatting>
        <x14:conditionalFormatting xmlns:xm="http://schemas.microsoft.com/office/excel/2006/main">
          <x14:cfRule type="iconSet" priority="29908" id="{DF9CC7E9-4E76-4491-B8E7-9083AB15872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C1444 C1430 C1435</xm:sqref>
        </x14:conditionalFormatting>
        <x14:conditionalFormatting xmlns:xm="http://schemas.microsoft.com/office/excel/2006/main">
          <x14:cfRule type="iconSet" priority="29934" id="{673E3E82-4089-4364-B2BE-BF2EF01B4A3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C1426 C1412 C1417</xm:sqref>
        </x14:conditionalFormatting>
        <x14:conditionalFormatting xmlns:xm="http://schemas.microsoft.com/office/excel/2006/main">
          <x14:cfRule type="iconSet" priority="31723" id="{C20C85C7-8DD2-401B-BA53-904CCF244D7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C1051:C1063 C1066:C1068</xm:sqref>
        </x14:conditionalFormatting>
        <x14:conditionalFormatting xmlns:xm="http://schemas.microsoft.com/office/excel/2006/main">
          <x14:cfRule type="iconSet" priority="31748" id="{6095B3CA-BD70-4FCF-ABD8-676ABDD7088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C1032:C1044 C1047:C1049</xm:sqref>
        </x14:conditionalFormatting>
        <x14:conditionalFormatting xmlns:xm="http://schemas.microsoft.com/office/excel/2006/main">
          <x14:cfRule type="iconSet" priority="31773" id="{78BC43D9-FB73-4450-9B3A-BAF0E5E9F63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C1013:C1025 C1028:C1030</xm:sqref>
        </x14:conditionalFormatting>
        <x14:conditionalFormatting xmlns:xm="http://schemas.microsoft.com/office/excel/2006/main">
          <x14:cfRule type="iconSet" priority="31786" id="{4F114A14-4B0A-4C37-91FB-541E163A895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C539:C542</xm:sqref>
        </x14:conditionalFormatting>
        <x14:conditionalFormatting xmlns:xm="http://schemas.microsoft.com/office/excel/2006/main">
          <x14:cfRule type="iconSet" priority="31802" id="{6A2CD766-9B11-4A5F-97F2-9326B9DCEBE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C448:C451</xm:sqref>
        </x14:conditionalFormatting>
        <x14:conditionalFormatting xmlns:xm="http://schemas.microsoft.com/office/excel/2006/main">
          <x14:cfRule type="iconSet" priority="32114" id="{58D1D932-E8E4-4E1D-9DEC-9D460279DCE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C1831:C1836</xm:sqref>
        </x14:conditionalFormatting>
        <x14:conditionalFormatting xmlns:xm="http://schemas.microsoft.com/office/excel/2006/main">
          <x14:cfRule type="iconSet" priority="32136" id="{5C6F8C47-8FC2-4FEA-B868-F7F3D3A5108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C1809:C1814</xm:sqref>
        </x14:conditionalFormatting>
        <x14:conditionalFormatting xmlns:xm="http://schemas.microsoft.com/office/excel/2006/main">
          <x14:cfRule type="iconSet" priority="32173" id="{B0B28124-D0CB-40DB-BEA5-A0AB1A2C16F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C1789:C1792</xm:sqref>
        </x14:conditionalFormatting>
        <x14:conditionalFormatting xmlns:xm="http://schemas.microsoft.com/office/excel/2006/main">
          <x14:cfRule type="iconSet" priority="32360" id="{26EA9508-013A-4A8A-814D-CDC2D170C78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C1742:C1745</xm:sqref>
        </x14:conditionalFormatting>
        <x14:conditionalFormatting xmlns:xm="http://schemas.microsoft.com/office/excel/2006/main">
          <x14:cfRule type="iconSet" priority="32882" id="{D5F467F4-C245-4DBA-A041-11A22DFEB85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C1705:C1708 C1669 C1642:C1644 C1652:C1654 C1691:C1698 C1656:C1657 C1646</xm:sqref>
        </x14:conditionalFormatting>
        <x14:conditionalFormatting xmlns:xm="http://schemas.microsoft.com/office/excel/2006/main">
          <x14:cfRule type="iconSet" priority="32929" id="{3E684B6A-DCD9-446B-BBC3-6906E238A20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C1637:C1640 C1603 C1581:C1583 C1591:C1593 C1619:C1630 C1596 C1585</xm:sqref>
        </x14:conditionalFormatting>
        <x14:conditionalFormatting xmlns:xm="http://schemas.microsoft.com/office/excel/2006/main">
          <x14:cfRule type="iconSet" priority="32947" id="{6E3B3CD1-BE46-4920-A258-87E4EEAD5D8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C1572:C1573 C1556:C1567 C1507:C1509 C1517:C1519 C1522 C1529 C1576:C1577 C1511</xm:sqref>
        </x14:conditionalFormatting>
        <x14:conditionalFormatting xmlns:xm="http://schemas.microsoft.com/office/excel/2006/main">
          <x14:cfRule type="iconSet" priority="5564" id="{AC451249-0D5D-43A3-BA62-D2BD3336102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C136</xm:sqref>
        </x14:conditionalFormatting>
        <x14:conditionalFormatting xmlns:xm="http://schemas.microsoft.com/office/excel/2006/main">
          <x14:cfRule type="iconSet" priority="5553" id="{B6FB0FE8-CF09-4928-86C7-8B23BD888C0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C135</xm:sqref>
        </x14:conditionalFormatting>
        <x14:conditionalFormatting xmlns:xm="http://schemas.microsoft.com/office/excel/2006/main">
          <x14:cfRule type="iconSet" priority="33347" id="{3433EF7D-A479-4450-8547-6D86B7099A2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C137:C139</xm:sqref>
        </x14:conditionalFormatting>
        <x14:conditionalFormatting xmlns:xm="http://schemas.microsoft.com/office/excel/2006/main">
          <x14:cfRule type="iconSet" priority="33487" id="{FD94E615-57EA-4D60-9D89-D844FC68854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C1710:C1712 C1716:C1725</xm:sqref>
        </x14:conditionalFormatting>
        <x14:conditionalFormatting xmlns:xm="http://schemas.microsoft.com/office/excel/2006/main">
          <x14:cfRule type="iconSet" priority="33655" id="{4BC18D1D-C30F-4D50-9400-1BFB3A5D66E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C1453 C1448</xm:sqref>
        </x14:conditionalFormatting>
        <x14:conditionalFormatting xmlns:xm="http://schemas.microsoft.com/office/excel/2006/main">
          <x14:cfRule type="iconSet" priority="33719" id="{A85AD31C-D3F4-4B99-93F2-75E591E4251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C878:C885 C889:C903 C906:C911</xm:sqref>
        </x14:conditionalFormatting>
        <x14:conditionalFormatting xmlns:xm="http://schemas.microsoft.com/office/excel/2006/main">
          <x14:cfRule type="iconSet" priority="33783" id="{A391C414-6681-4B53-8018-1A0D1BA8E70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C808:C815 C825:C833 C819:C821 C836:C839</xm:sqref>
        </x14:conditionalFormatting>
        <x14:conditionalFormatting xmlns:xm="http://schemas.microsoft.com/office/excel/2006/main">
          <x14:cfRule type="iconSet" priority="33847" id="{83D972F6-7E8E-48E3-8397-CD7DC2A4E28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C843:C850 C854:C868 C871:C876</xm:sqref>
        </x14:conditionalFormatting>
        <x14:conditionalFormatting xmlns:xm="http://schemas.microsoft.com/office/excel/2006/main">
          <x14:cfRule type="iconSet" priority="5503" id="{7A861FAA-D7C5-4757-A41C-10302554839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C1201:C1202</xm:sqref>
        </x14:conditionalFormatting>
        <x14:conditionalFormatting xmlns:xm="http://schemas.microsoft.com/office/excel/2006/main">
          <x14:cfRule type="iconSet" priority="34093" id="{3960BD18-6786-41E4-8201-082DDFDCE11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C949:C972</xm:sqref>
        </x14:conditionalFormatting>
        <x14:conditionalFormatting xmlns:xm="http://schemas.microsoft.com/office/excel/2006/main">
          <x14:cfRule type="iconSet" priority="5484" id="{5CFDC80C-D3A2-4E76-BC65-F20D01F35C1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C1428</xm:sqref>
        </x14:conditionalFormatting>
        <x14:conditionalFormatting xmlns:xm="http://schemas.microsoft.com/office/excel/2006/main">
          <x14:cfRule type="iconSet" priority="5466" id="{8B438195-E1C9-4A2F-965A-B83B09B7FFE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C1446</xm:sqref>
        </x14:conditionalFormatting>
        <x14:conditionalFormatting xmlns:xm="http://schemas.microsoft.com/office/excel/2006/main">
          <x14:cfRule type="iconSet" priority="5448" id="{03F90F61-5B3A-4D7A-8F9A-4CF03209D6A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C1455</xm:sqref>
        </x14:conditionalFormatting>
        <x14:conditionalFormatting xmlns:xm="http://schemas.microsoft.com/office/excel/2006/main">
          <x14:cfRule type="iconSet" priority="5438" id="{1EFCF796-30A4-41AD-96FB-79FACAD4851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C1427</xm:sqref>
        </x14:conditionalFormatting>
        <x14:conditionalFormatting xmlns:xm="http://schemas.microsoft.com/office/excel/2006/main">
          <x14:cfRule type="iconSet" priority="5427" id="{F2459749-A5D4-4DBE-8919-F8D58CB4F17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C1445</xm:sqref>
        </x14:conditionalFormatting>
        <x14:conditionalFormatting xmlns:xm="http://schemas.microsoft.com/office/excel/2006/main">
          <x14:cfRule type="iconSet" priority="5416" id="{7F9D4F9E-5C8B-4546-86A6-A71A9DE9008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C1454</xm:sqref>
        </x14:conditionalFormatting>
        <x14:conditionalFormatting xmlns:xm="http://schemas.microsoft.com/office/excel/2006/main">
          <x14:cfRule type="iconSet" priority="5357" id="{6752AF39-D24D-4488-A74C-F036C481D54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C1064:C1065</xm:sqref>
        </x14:conditionalFormatting>
        <x14:conditionalFormatting xmlns:xm="http://schemas.microsoft.com/office/excel/2006/main">
          <x14:cfRule type="iconSet" priority="5337" id="{9803D2A7-0326-46FD-9478-F865C05CBA8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C1045:C1046</xm:sqref>
        </x14:conditionalFormatting>
        <x14:conditionalFormatting xmlns:xm="http://schemas.microsoft.com/office/excel/2006/main">
          <x14:cfRule type="iconSet" priority="5317" id="{71637CB2-8EBA-43BA-AB77-5B5A5DA0F63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C1026:C1027</xm:sqref>
        </x14:conditionalFormatting>
        <x14:conditionalFormatting xmlns:xm="http://schemas.microsoft.com/office/excel/2006/main">
          <x14:cfRule type="iconSet" priority="5297" id="{E1A772A2-1DD5-4A0E-B6E2-1C354FD5EBC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C1007:C1008</xm:sqref>
        </x14:conditionalFormatting>
        <x14:conditionalFormatting xmlns:xm="http://schemas.microsoft.com/office/excel/2006/main">
          <x14:cfRule type="iconSet" priority="5277" id="{C8F89C30-6614-4BD4-BB23-2722371C9DD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C988:C989</xm:sqref>
        </x14:conditionalFormatting>
        <x14:conditionalFormatting xmlns:xm="http://schemas.microsoft.com/office/excel/2006/main">
          <x14:cfRule type="iconSet" priority="5218" id="{3680D968-CC12-4FE2-A780-30104B81360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C176</xm:sqref>
        </x14:conditionalFormatting>
        <x14:conditionalFormatting xmlns:xm="http://schemas.microsoft.com/office/excel/2006/main">
          <x14:cfRule type="iconSet" priority="5207" id="{5E7B1CA2-00B2-4307-9376-E27BF40120F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C1178:C1179 C1186</xm:sqref>
        </x14:conditionalFormatting>
        <x14:conditionalFormatting xmlns:xm="http://schemas.microsoft.com/office/excel/2006/main">
          <x14:cfRule type="iconSet" priority="5196" id="{FC38A61C-EDD3-4971-BA35-F83F1A3BD41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C1180:C1184</xm:sqref>
        </x14:conditionalFormatting>
        <x14:conditionalFormatting xmlns:xm="http://schemas.microsoft.com/office/excel/2006/main">
          <x14:cfRule type="iconSet" priority="5185" id="{FA7A16CA-4941-44DC-A114-710168A2494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C1185</xm:sqref>
        </x14:conditionalFormatting>
        <x14:conditionalFormatting xmlns:xm="http://schemas.microsoft.com/office/excel/2006/main">
          <x14:cfRule type="iconSet" priority="4988" id="{CDD3B272-A41A-4A92-8418-150F8D05D3B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C154</xm:sqref>
        </x14:conditionalFormatting>
        <x14:conditionalFormatting xmlns:xm="http://schemas.microsoft.com/office/excel/2006/main">
          <x14:cfRule type="iconSet" priority="4971" id="{828E0F9B-1427-4A02-ACCD-B5F4B76A59E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C97:C101</xm:sqref>
        </x14:conditionalFormatting>
        <x14:conditionalFormatting xmlns:xm="http://schemas.microsoft.com/office/excel/2006/main">
          <x14:cfRule type="iconSet" priority="4893" id="{74452C1E-E2B6-47D4-83B8-1D9BB202A52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C155</xm:sqref>
        </x14:conditionalFormatting>
        <x14:conditionalFormatting xmlns:xm="http://schemas.microsoft.com/office/excel/2006/main">
          <x14:cfRule type="iconSet" priority="4882" id="{FB5BD4AD-CEE9-4932-863F-34FC08884D5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C157</xm:sqref>
        </x14:conditionalFormatting>
        <x14:conditionalFormatting xmlns:xm="http://schemas.microsoft.com/office/excel/2006/main">
          <x14:cfRule type="iconSet" priority="4597" id="{389955A1-E656-4D7E-B7D6-273E5014994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C116:C117</xm:sqref>
        </x14:conditionalFormatting>
        <x14:conditionalFormatting xmlns:xm="http://schemas.microsoft.com/office/excel/2006/main">
          <x14:cfRule type="iconSet" priority="4586" id="{F7FF67A4-C6B8-4BB9-A50F-75BE68FC9E8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C127</xm:sqref>
        </x14:conditionalFormatting>
        <x14:conditionalFormatting xmlns:xm="http://schemas.microsoft.com/office/excel/2006/main">
          <x14:cfRule type="iconSet" priority="4575" id="{1A9BF7D7-5ED7-4F9B-9D8F-25AC455F57A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C129</xm:sqref>
        </x14:conditionalFormatting>
        <x14:conditionalFormatting xmlns:xm="http://schemas.microsoft.com/office/excel/2006/main">
          <x14:cfRule type="iconSet" priority="4564" id="{CF56F1D3-46A6-47DD-86FF-CD5C6E2F596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C131</xm:sqref>
        </x14:conditionalFormatting>
        <x14:conditionalFormatting xmlns:xm="http://schemas.microsoft.com/office/excel/2006/main">
          <x14:cfRule type="iconSet" priority="4542" id="{012E1064-B696-48A1-BD68-F02F72E485C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C121</xm:sqref>
        </x14:conditionalFormatting>
        <x14:conditionalFormatting xmlns:xm="http://schemas.microsoft.com/office/excel/2006/main">
          <x14:cfRule type="iconSet" priority="4509" id="{3EE7CB90-18C6-40E8-8305-25E98F3D1D4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C123</xm:sqref>
        </x14:conditionalFormatting>
        <x14:conditionalFormatting xmlns:xm="http://schemas.microsoft.com/office/excel/2006/main">
          <x14:cfRule type="iconSet" priority="4498" id="{CD537CB9-C81D-4947-8AD1-44FD003BDD0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C125</xm:sqref>
        </x14:conditionalFormatting>
        <x14:conditionalFormatting xmlns:xm="http://schemas.microsoft.com/office/excel/2006/main">
          <x14:cfRule type="iconSet" priority="4470" id="{34C36BFE-5A0F-4FAA-962E-48261706244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C156</xm:sqref>
        </x14:conditionalFormatting>
        <x14:conditionalFormatting xmlns:xm="http://schemas.microsoft.com/office/excel/2006/main">
          <x14:cfRule type="iconSet" priority="34301" id="{E633C3C0-BDDA-45B0-9720-25AAADF7101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C169</xm:sqref>
        </x14:conditionalFormatting>
        <x14:conditionalFormatting xmlns:xm="http://schemas.microsoft.com/office/excel/2006/main">
          <x14:cfRule type="iconSet" priority="4429" id="{5DFD3921-B525-4C43-802A-813F900E6A7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C165</xm:sqref>
        </x14:conditionalFormatting>
        <x14:conditionalFormatting xmlns:xm="http://schemas.microsoft.com/office/excel/2006/main">
          <x14:cfRule type="iconSet" priority="4412" id="{CB463157-1814-45E4-B93E-6FACB787B15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C160</xm:sqref>
        </x14:conditionalFormatting>
        <x14:conditionalFormatting xmlns:xm="http://schemas.microsoft.com/office/excel/2006/main">
          <x14:cfRule type="iconSet" priority="4401" id="{A7DED280-0D0B-4682-90AF-0C3A9102827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C163</xm:sqref>
        </x14:conditionalFormatting>
        <x14:conditionalFormatting xmlns:xm="http://schemas.microsoft.com/office/excel/2006/main">
          <x14:cfRule type="iconSet" priority="4384" id="{283AE399-E207-44F6-A42B-CA17A1F85D7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C161</xm:sqref>
        </x14:conditionalFormatting>
        <x14:conditionalFormatting xmlns:xm="http://schemas.microsoft.com/office/excel/2006/main">
          <x14:cfRule type="iconSet" priority="4367" id="{151BDCF3-D3F3-410E-9D08-8D036017F2A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C162</xm:sqref>
        </x14:conditionalFormatting>
        <x14:conditionalFormatting xmlns:xm="http://schemas.microsoft.com/office/excel/2006/main">
          <x14:cfRule type="iconSet" priority="34385" id="{3D5B25E1-6ACC-4F9F-B2A4-263C1246F4A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C45:C46</xm:sqref>
        </x14:conditionalFormatting>
        <x14:conditionalFormatting xmlns:xm="http://schemas.microsoft.com/office/excel/2006/main">
          <x14:cfRule type="iconSet" priority="4151" id="{9AF4A2DC-B0F5-4011-9682-11F087FA1F0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C211:C217</xm:sqref>
        </x14:conditionalFormatting>
        <x14:conditionalFormatting xmlns:xm="http://schemas.microsoft.com/office/excel/2006/main">
          <x14:cfRule type="iconSet" priority="4122" id="{922E2D95-57C6-4D0E-A6AC-28A87B5F718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C232:C233</xm:sqref>
        </x14:conditionalFormatting>
        <x14:conditionalFormatting xmlns:xm="http://schemas.microsoft.com/office/excel/2006/main">
          <x14:cfRule type="iconSet" priority="4171" id="{078FF5A7-E108-4B71-B057-2830A61E83E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C228:C230</xm:sqref>
        </x14:conditionalFormatting>
        <x14:conditionalFormatting xmlns:xm="http://schemas.microsoft.com/office/excel/2006/main">
          <x14:cfRule type="iconSet" priority="4172" id="{5EE69E34-7B1E-4860-BE72-D374C0F7618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C219:C226</xm:sqref>
        </x14:conditionalFormatting>
        <x14:conditionalFormatting xmlns:xm="http://schemas.microsoft.com/office/excel/2006/main">
          <x14:cfRule type="iconSet" priority="34608" id="{3A44320D-FC2B-4DF1-9E32-A68AC6A6315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C231 C199:C200</xm:sqref>
        </x14:conditionalFormatting>
        <x14:conditionalFormatting xmlns:xm="http://schemas.microsoft.com/office/excel/2006/main">
          <x14:cfRule type="iconSet" priority="4083" id="{9BAF1D37-62E9-47BA-9F97-6DF50465A1E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C218</xm:sqref>
        </x14:conditionalFormatting>
        <x14:conditionalFormatting xmlns:xm="http://schemas.microsoft.com/office/excel/2006/main">
          <x14:cfRule type="iconSet" priority="4072" id="{CF77552E-2DA6-4942-A161-C7C8D6CFEBC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C227</xm:sqref>
        </x14:conditionalFormatting>
        <x14:conditionalFormatting xmlns:xm="http://schemas.microsoft.com/office/excel/2006/main">
          <x14:cfRule type="iconSet" priority="4071" id="{1954D4B9-B6BE-49B5-B06E-4C56A6AD0CD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C177</xm:sqref>
        </x14:conditionalFormatting>
        <x14:conditionalFormatting xmlns:xm="http://schemas.microsoft.com/office/excel/2006/main">
          <x14:cfRule type="iconSet" priority="4049" id="{21C748D7-BBEF-4FDB-B602-9BAC96BB9A5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C182</xm:sqref>
        </x14:conditionalFormatting>
        <x14:conditionalFormatting xmlns:xm="http://schemas.microsoft.com/office/excel/2006/main">
          <x14:cfRule type="iconSet" priority="4020" id="{ED3A74C6-A5B1-4459-95BB-5BB9315D313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C274</xm:sqref>
        </x14:conditionalFormatting>
        <x14:conditionalFormatting xmlns:xm="http://schemas.microsoft.com/office/excel/2006/main">
          <x14:cfRule type="iconSet" priority="4010" id="{9B8B9B38-F829-436B-8348-E0A20A8093E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C275</xm:sqref>
        </x14:conditionalFormatting>
        <x14:conditionalFormatting xmlns:xm="http://schemas.microsoft.com/office/excel/2006/main">
          <x14:cfRule type="iconSet" priority="3982" id="{04FB5398-A0FB-48D9-8D70-8C8DBC5C8A3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C279</xm:sqref>
        </x14:conditionalFormatting>
        <x14:conditionalFormatting xmlns:xm="http://schemas.microsoft.com/office/excel/2006/main">
          <x14:cfRule type="iconSet" priority="3972" id="{2928D5BC-C00E-4D6C-8F24-46F4E59F20F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C280</xm:sqref>
        </x14:conditionalFormatting>
        <x14:conditionalFormatting xmlns:xm="http://schemas.microsoft.com/office/excel/2006/main">
          <x14:cfRule type="iconSet" priority="34899" id="{284A5BF0-B238-45BF-B79B-00185FBF825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C276:C278</xm:sqref>
        </x14:conditionalFormatting>
        <x14:conditionalFormatting xmlns:xm="http://schemas.microsoft.com/office/excel/2006/main">
          <x14:cfRule type="iconSet" priority="35183" id="{4BE2CD01-E94C-4173-8607-503946E0436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C271:C273</xm:sqref>
        </x14:conditionalFormatting>
        <x14:conditionalFormatting xmlns:xm="http://schemas.microsoft.com/office/excel/2006/main">
          <x14:cfRule type="iconSet" priority="3937" id="{60E5638B-920A-4BCD-B5B0-D9BF9CD6DB5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C283</xm:sqref>
        </x14:conditionalFormatting>
        <x14:conditionalFormatting xmlns:xm="http://schemas.microsoft.com/office/excel/2006/main">
          <x14:cfRule type="iconSet" priority="3844" id="{283AB22C-74CD-442E-A200-110DF285C40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C365</xm:sqref>
        </x14:conditionalFormatting>
        <x14:conditionalFormatting xmlns:xm="http://schemas.microsoft.com/office/excel/2006/main">
          <x14:cfRule type="iconSet" priority="3834" id="{4A8E936F-8A03-4118-AE0D-43CE6749617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C366</xm:sqref>
        </x14:conditionalFormatting>
        <x14:conditionalFormatting xmlns:xm="http://schemas.microsoft.com/office/excel/2006/main">
          <x14:cfRule type="iconSet" priority="3862" id="{B97FCD07-8422-4A2F-B9C5-7F7D24BC5D8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C362:C364 C377:C378</xm:sqref>
        </x14:conditionalFormatting>
        <x14:conditionalFormatting xmlns:xm="http://schemas.microsoft.com/office/excel/2006/main">
          <x14:cfRule type="iconSet" priority="3810" id="{5A55DA56-4D1C-4604-859A-2046CA0A15A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C370</xm:sqref>
        </x14:conditionalFormatting>
        <x14:conditionalFormatting xmlns:xm="http://schemas.microsoft.com/office/excel/2006/main">
          <x14:cfRule type="iconSet" priority="3800" id="{00227D27-B0C8-421A-AF61-8135881B5CD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C371</xm:sqref>
        </x14:conditionalFormatting>
        <x14:conditionalFormatting xmlns:xm="http://schemas.microsoft.com/office/excel/2006/main">
          <x14:cfRule type="iconSet" priority="3777" id="{243F4852-20AF-4247-90D1-A6142AF05E1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C375</xm:sqref>
        </x14:conditionalFormatting>
        <x14:conditionalFormatting xmlns:xm="http://schemas.microsoft.com/office/excel/2006/main">
          <x14:cfRule type="iconSet" priority="3767" id="{955D13CD-C28D-4182-8147-ADFFE08B637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C376</xm:sqref>
        </x14:conditionalFormatting>
        <x14:conditionalFormatting xmlns:xm="http://schemas.microsoft.com/office/excel/2006/main">
          <x14:cfRule type="iconSet" priority="3863" id="{0F88F18D-0ED5-4D94-8E12-192D66102D9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C372:C374</xm:sqref>
        </x14:conditionalFormatting>
        <x14:conditionalFormatting xmlns:xm="http://schemas.microsoft.com/office/excel/2006/main">
          <x14:cfRule type="iconSet" priority="3864" id="{79407F3D-CE59-41C2-B71A-034810A51F6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C367:C369</xm:sqref>
        </x14:conditionalFormatting>
        <x14:conditionalFormatting xmlns:xm="http://schemas.microsoft.com/office/excel/2006/main">
          <x14:cfRule type="iconSet" priority="3757" id="{22365F68-BA60-48CC-9DDD-E0AEAB5FC24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C379</xm:sqref>
        </x14:conditionalFormatting>
        <x14:conditionalFormatting xmlns:xm="http://schemas.microsoft.com/office/excel/2006/main">
          <x14:cfRule type="iconSet" priority="3693" id="{E1570A1C-CDDC-46AD-A8FA-B8A0326B129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C456</xm:sqref>
        </x14:conditionalFormatting>
        <x14:conditionalFormatting xmlns:xm="http://schemas.microsoft.com/office/excel/2006/main">
          <x14:cfRule type="iconSet" priority="3683" id="{E6221A2A-A862-4F52-8E5A-CF72EC567B5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C457</xm:sqref>
        </x14:conditionalFormatting>
        <x14:conditionalFormatting xmlns:xm="http://schemas.microsoft.com/office/excel/2006/main">
          <x14:cfRule type="iconSet" priority="3711" id="{3A29EF22-D829-49C5-B87B-05629571819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C453:C455 C468:C469</xm:sqref>
        </x14:conditionalFormatting>
        <x14:conditionalFormatting xmlns:xm="http://schemas.microsoft.com/office/excel/2006/main">
          <x14:cfRule type="iconSet" priority="3659" id="{DEF20AB1-A82A-4C36-861C-5AEEC70FCE6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C461</xm:sqref>
        </x14:conditionalFormatting>
        <x14:conditionalFormatting xmlns:xm="http://schemas.microsoft.com/office/excel/2006/main">
          <x14:cfRule type="iconSet" priority="3649" id="{22C24E57-62F3-447C-97D1-0D9684D8BC0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C462</xm:sqref>
        </x14:conditionalFormatting>
        <x14:conditionalFormatting xmlns:xm="http://schemas.microsoft.com/office/excel/2006/main">
          <x14:cfRule type="iconSet" priority="3626" id="{15393453-EAE3-4589-ACC0-3EA0F334BDF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C466</xm:sqref>
        </x14:conditionalFormatting>
        <x14:conditionalFormatting xmlns:xm="http://schemas.microsoft.com/office/excel/2006/main">
          <x14:cfRule type="iconSet" priority="3616" id="{77E66385-9C10-4149-B7D8-7A256303C59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C467</xm:sqref>
        </x14:conditionalFormatting>
        <x14:conditionalFormatting xmlns:xm="http://schemas.microsoft.com/office/excel/2006/main">
          <x14:cfRule type="iconSet" priority="3712" id="{CE4CB1F7-A196-4DDA-BE4C-4C79FEFCFEA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C463:C465</xm:sqref>
        </x14:conditionalFormatting>
        <x14:conditionalFormatting xmlns:xm="http://schemas.microsoft.com/office/excel/2006/main">
          <x14:cfRule type="iconSet" priority="3713" id="{8A5F08F1-A5A6-4222-B197-CC5EFFF903F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C458:C460</xm:sqref>
        </x14:conditionalFormatting>
        <x14:conditionalFormatting xmlns:xm="http://schemas.microsoft.com/office/excel/2006/main">
          <x14:cfRule type="iconSet" priority="3606" id="{555C5F1E-6F13-46F3-9ACC-339B09DD75C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C470</xm:sqref>
        </x14:conditionalFormatting>
        <x14:conditionalFormatting xmlns:xm="http://schemas.microsoft.com/office/excel/2006/main">
          <x14:cfRule type="iconSet" priority="3542" id="{D33AAFEE-954A-45AB-ACDD-5E450CF9D40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C547</xm:sqref>
        </x14:conditionalFormatting>
        <x14:conditionalFormatting xmlns:xm="http://schemas.microsoft.com/office/excel/2006/main">
          <x14:cfRule type="iconSet" priority="3532" id="{49362D48-1F19-405C-9B4E-487917A3E80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C548</xm:sqref>
        </x14:conditionalFormatting>
        <x14:conditionalFormatting xmlns:xm="http://schemas.microsoft.com/office/excel/2006/main">
          <x14:cfRule type="iconSet" priority="3560" id="{93718D60-B442-4582-BD3E-4FA7A723174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C544:C546 C559:C560</xm:sqref>
        </x14:conditionalFormatting>
        <x14:conditionalFormatting xmlns:xm="http://schemas.microsoft.com/office/excel/2006/main">
          <x14:cfRule type="iconSet" priority="3508" id="{99C761A7-6179-4C32-9B0D-E8300DF1C7B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C552</xm:sqref>
        </x14:conditionalFormatting>
        <x14:conditionalFormatting xmlns:xm="http://schemas.microsoft.com/office/excel/2006/main">
          <x14:cfRule type="iconSet" priority="3498" id="{18FD0F88-1018-416C-A11F-328A06375CF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C553</xm:sqref>
        </x14:conditionalFormatting>
        <x14:conditionalFormatting xmlns:xm="http://schemas.microsoft.com/office/excel/2006/main">
          <x14:cfRule type="iconSet" priority="3475" id="{C769FE2F-7283-42AB-B483-E47504F4D10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C557</xm:sqref>
        </x14:conditionalFormatting>
        <x14:conditionalFormatting xmlns:xm="http://schemas.microsoft.com/office/excel/2006/main">
          <x14:cfRule type="iconSet" priority="3465" id="{2C2AD722-8036-4FD1-AF8D-475A63063EA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C558</xm:sqref>
        </x14:conditionalFormatting>
        <x14:conditionalFormatting xmlns:xm="http://schemas.microsoft.com/office/excel/2006/main">
          <x14:cfRule type="iconSet" priority="3561" id="{8E03A48C-10F0-4801-9769-4E3FAB33AAD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C554:C556</xm:sqref>
        </x14:conditionalFormatting>
        <x14:conditionalFormatting xmlns:xm="http://schemas.microsoft.com/office/excel/2006/main">
          <x14:cfRule type="iconSet" priority="3562" id="{25ABED3D-5F98-4610-B28F-BC8B8F6ED6C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C549:C551</xm:sqref>
        </x14:conditionalFormatting>
        <x14:conditionalFormatting xmlns:xm="http://schemas.microsoft.com/office/excel/2006/main">
          <x14:cfRule type="iconSet" priority="3455" id="{002F9E69-F5BB-4E22-BB2A-0181304417D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C561</xm:sqref>
        </x14:conditionalFormatting>
        <x14:conditionalFormatting xmlns:xm="http://schemas.microsoft.com/office/excel/2006/main">
          <x14:cfRule type="iconSet" priority="3391" id="{72CFEF6C-4BD1-420D-B306-2CDFC730AA9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C623</xm:sqref>
        </x14:conditionalFormatting>
        <x14:conditionalFormatting xmlns:xm="http://schemas.microsoft.com/office/excel/2006/main">
          <x14:cfRule type="iconSet" priority="3381" id="{744789CE-AC76-4DFA-B789-D9A28839424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C624</xm:sqref>
        </x14:conditionalFormatting>
        <x14:conditionalFormatting xmlns:xm="http://schemas.microsoft.com/office/excel/2006/main">
          <x14:cfRule type="iconSet" priority="3409" id="{D3ECAE2F-57DE-462A-95F5-01ACC762BD6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C620:C622 C635:C636</xm:sqref>
        </x14:conditionalFormatting>
        <x14:conditionalFormatting xmlns:xm="http://schemas.microsoft.com/office/excel/2006/main">
          <x14:cfRule type="iconSet" priority="3357" id="{2BC8262E-8104-496C-B04E-68F4FEFDA20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C628</xm:sqref>
        </x14:conditionalFormatting>
        <x14:conditionalFormatting xmlns:xm="http://schemas.microsoft.com/office/excel/2006/main">
          <x14:cfRule type="iconSet" priority="3347" id="{9DAC9F7F-4C30-47AA-84D4-92752ED86CB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C629</xm:sqref>
        </x14:conditionalFormatting>
        <x14:conditionalFormatting xmlns:xm="http://schemas.microsoft.com/office/excel/2006/main">
          <x14:cfRule type="iconSet" priority="3324" id="{26EC8AAC-9421-4205-AA25-6FB6A1F28F3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C633</xm:sqref>
        </x14:conditionalFormatting>
        <x14:conditionalFormatting xmlns:xm="http://schemas.microsoft.com/office/excel/2006/main">
          <x14:cfRule type="iconSet" priority="3314" id="{5BD14C81-AAC3-422B-8C6F-C9CFDF1ABCD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C634</xm:sqref>
        </x14:conditionalFormatting>
        <x14:conditionalFormatting xmlns:xm="http://schemas.microsoft.com/office/excel/2006/main">
          <x14:cfRule type="iconSet" priority="3410" id="{B083BB3A-5F59-4F30-A1EE-9055BB2F95F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C630:C632</xm:sqref>
        </x14:conditionalFormatting>
        <x14:conditionalFormatting xmlns:xm="http://schemas.microsoft.com/office/excel/2006/main">
          <x14:cfRule type="iconSet" priority="3411" id="{CDE0AEC9-1F1B-4650-9CD1-6011016D545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C625:C627</xm:sqref>
        </x14:conditionalFormatting>
        <x14:conditionalFormatting xmlns:xm="http://schemas.microsoft.com/office/excel/2006/main">
          <x14:cfRule type="iconSet" priority="3304" id="{A1C8BD3A-0CAE-48AC-AFA0-46789AC3837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C637</xm:sqref>
        </x14:conditionalFormatting>
        <x14:conditionalFormatting xmlns:xm="http://schemas.microsoft.com/office/excel/2006/main">
          <x14:cfRule type="iconSet" priority="3252" id="{0EF5913A-EBD4-4D4A-AD9E-62BDB345F57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C822:C824</xm:sqref>
        </x14:conditionalFormatting>
        <x14:conditionalFormatting xmlns:xm="http://schemas.microsoft.com/office/excel/2006/main">
          <x14:cfRule type="iconSet" priority="35216" id="{F43CB1D0-C219-47CB-B74B-B8567F8AE89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C1372:C1373</xm:sqref>
        </x14:conditionalFormatting>
        <x14:conditionalFormatting xmlns:xm="http://schemas.microsoft.com/office/excel/2006/main">
          <x14:cfRule type="iconSet" priority="35242" id="{7B0F520C-44A7-4974-A422-2B8E4D862B5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C1388:C1389</xm:sqref>
        </x14:conditionalFormatting>
        <x14:conditionalFormatting xmlns:xm="http://schemas.microsoft.com/office/excel/2006/main">
          <x14:cfRule type="iconSet" priority="35266" id="{A7AA13DB-D32D-4F5E-A6C2-FE6CB804394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C1413:C1414</xm:sqref>
        </x14:conditionalFormatting>
        <x14:conditionalFormatting xmlns:xm="http://schemas.microsoft.com/office/excel/2006/main">
          <x14:cfRule type="iconSet" priority="35290" id="{A0495833-2210-46D9-8E64-60C9B8A45AA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C1431:C1432</xm:sqref>
        </x14:conditionalFormatting>
        <x14:conditionalFormatting xmlns:xm="http://schemas.microsoft.com/office/excel/2006/main">
          <x14:cfRule type="iconSet" priority="35314" id="{FF5CDA15-C995-454F-8E66-723D09BDA84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C1449:C1450</xm:sqref>
        </x14:conditionalFormatting>
        <x14:conditionalFormatting xmlns:xm="http://schemas.microsoft.com/office/excel/2006/main">
          <x14:cfRule type="iconSet" priority="2970" id="{F4FD1B3E-552E-4A48-BE62-F4F80103D16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C1403</xm:sqref>
        </x14:conditionalFormatting>
        <x14:conditionalFormatting xmlns:xm="http://schemas.microsoft.com/office/excel/2006/main">
          <x14:cfRule type="iconSet" priority="2920" id="{FA26C897-90E3-4FE1-8016-CB48B4A423B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C1405</xm:sqref>
        </x14:conditionalFormatting>
        <x14:conditionalFormatting xmlns:xm="http://schemas.microsoft.com/office/excel/2006/main">
          <x14:cfRule type="iconSet" priority="2889" id="{3B34C58B-9165-40D5-B375-150F991F6B0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C1409:C1410</xm:sqref>
        </x14:conditionalFormatting>
        <x14:conditionalFormatting xmlns:xm="http://schemas.microsoft.com/office/excel/2006/main">
          <x14:cfRule type="iconSet" priority="2866" id="{0ED42919-5E5D-4099-A6F1-E636FDD1A18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C1384:C1385</xm:sqref>
        </x14:conditionalFormatting>
        <x14:conditionalFormatting xmlns:xm="http://schemas.microsoft.com/office/excel/2006/main">
          <x14:cfRule type="iconSet" priority="2802" id="{312754D9-DE6C-4108-9E32-71799887401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C1164</xm:sqref>
        </x14:conditionalFormatting>
        <x14:conditionalFormatting xmlns:xm="http://schemas.microsoft.com/office/excel/2006/main">
          <x14:cfRule type="iconSet" priority="35519" id="{D421F969-EF37-4520-AF39-3A77E4D3D3B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C1168 C1160:C1163</xm:sqref>
        </x14:conditionalFormatting>
        <x14:conditionalFormatting xmlns:xm="http://schemas.microsoft.com/office/excel/2006/main">
          <x14:cfRule type="iconSet" priority="2784" id="{45B7D1A7-2137-4035-B65A-1600276FD3C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C1166:C1167</xm:sqref>
        </x14:conditionalFormatting>
        <x14:conditionalFormatting xmlns:xm="http://schemas.microsoft.com/office/excel/2006/main">
          <x14:cfRule type="iconSet" priority="2795" id="{8B8E115A-CEE0-45ED-89C4-309F5A2AAB5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C1165</xm:sqref>
        </x14:conditionalFormatting>
        <x14:conditionalFormatting xmlns:xm="http://schemas.microsoft.com/office/excel/2006/main">
          <x14:cfRule type="iconSet" priority="35769" id="{8F835516-4FFB-4036-9BF7-1994F1B583F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C1170</xm:sqref>
        </x14:conditionalFormatting>
        <x14:conditionalFormatting xmlns:xm="http://schemas.microsoft.com/office/excel/2006/main">
          <x14:cfRule type="iconSet" priority="35974" id="{DEDB6A0E-285C-4BE6-AABF-0B8824EC49D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C1169</xm:sqref>
        </x14:conditionalFormatting>
        <x14:conditionalFormatting xmlns:xm="http://schemas.microsoft.com/office/excel/2006/main">
          <x14:cfRule type="iconSet" priority="2773" id="{B7704C80-EE29-44A9-A7A9-8BB77A1B9BE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C1934:C1936</xm:sqref>
        </x14:conditionalFormatting>
        <x14:conditionalFormatting xmlns:xm="http://schemas.microsoft.com/office/excel/2006/main">
          <x14:cfRule type="iconSet" priority="2746" id="{A4A04894-223F-44CF-AD73-6A6B30951D0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C1903:C1905</xm:sqref>
        </x14:conditionalFormatting>
        <x14:conditionalFormatting xmlns:xm="http://schemas.microsoft.com/office/excel/2006/main">
          <x14:cfRule type="iconSet" priority="2719" id="{DAEB673E-2F45-4FFE-AD86-C83B49ADA28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C1906:C1908</xm:sqref>
        </x14:conditionalFormatting>
        <x14:conditionalFormatting xmlns:xm="http://schemas.microsoft.com/office/excel/2006/main">
          <x14:cfRule type="iconSet" priority="2692" id="{DAB1EB7C-3DD2-4B4A-96EA-2FBB5084240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C1867:C1869</xm:sqref>
        </x14:conditionalFormatting>
        <x14:conditionalFormatting xmlns:xm="http://schemas.microsoft.com/office/excel/2006/main">
          <x14:cfRule type="iconSet" priority="2665" id="{E1897BDB-85A1-4D66-B453-34B300F304D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C1870:C1872</xm:sqref>
        </x14:conditionalFormatting>
        <x14:conditionalFormatting xmlns:xm="http://schemas.microsoft.com/office/excel/2006/main">
          <x14:cfRule type="iconSet" priority="2647" id="{2A2DA9FC-64DF-4EA5-BEC8-6A643B01835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C1746:C1747</xm:sqref>
        </x14:conditionalFormatting>
        <x14:conditionalFormatting xmlns:xm="http://schemas.microsoft.com/office/excel/2006/main">
          <x14:cfRule type="iconSet" priority="2621" id="{97C3BDFF-3D02-44E6-8A6F-BBE55113EE6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C1771:C1772</xm:sqref>
        </x14:conditionalFormatting>
        <x14:conditionalFormatting xmlns:xm="http://schemas.microsoft.com/office/excel/2006/main">
          <x14:cfRule type="iconSet" priority="2573" id="{9E3AEC0A-C821-4CB4-9254-7465D960B90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C1963</xm:sqref>
        </x14:conditionalFormatting>
        <x14:conditionalFormatting xmlns:xm="http://schemas.microsoft.com/office/excel/2006/main">
          <x14:cfRule type="iconSet" priority="2535" id="{8AADFEBA-EE73-4A95-8CC0-0A1B7690919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C1964</xm:sqref>
        </x14:conditionalFormatting>
        <x14:conditionalFormatting xmlns:xm="http://schemas.microsoft.com/office/excel/2006/main">
          <x14:cfRule type="iconSet" priority="36322" id="{65EEAC74-033F-413D-B5F3-3E40FCB3DE2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C1957:C1962</xm:sqref>
        </x14:conditionalFormatting>
        <x14:conditionalFormatting xmlns:xm="http://schemas.microsoft.com/office/excel/2006/main">
          <x14:cfRule type="iconSet" priority="2515" id="{7FA8731C-B849-47FB-B06B-B1F8C6645FA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C1992:C1993</xm:sqref>
        </x14:conditionalFormatting>
        <x14:conditionalFormatting xmlns:xm="http://schemas.microsoft.com/office/excel/2006/main">
          <x14:cfRule type="iconSet" priority="2486" id="{78652F93-4389-490E-9D7C-0FB6E5FEB94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C1967 C1969</xm:sqref>
        </x14:conditionalFormatting>
        <x14:conditionalFormatting xmlns:xm="http://schemas.microsoft.com/office/excel/2006/main">
          <x14:cfRule type="iconSet" priority="2469" id="{495507A1-7CD9-4B72-8A11-7114706D97A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C1976</xm:sqref>
        </x14:conditionalFormatting>
        <x14:conditionalFormatting xmlns:xm="http://schemas.microsoft.com/office/excel/2006/main">
          <x14:cfRule type="iconSet" priority="2450" id="{1AA2A24C-FACB-4A0F-8108-9AF376F7274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C1968</xm:sqref>
        </x14:conditionalFormatting>
        <x14:conditionalFormatting xmlns:xm="http://schemas.microsoft.com/office/excel/2006/main">
          <x14:cfRule type="iconSet" priority="2443" id="{C36EE2F5-9C66-40D8-A65E-F8E55AC19F5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C1974</xm:sqref>
        </x14:conditionalFormatting>
        <x14:conditionalFormatting xmlns:xm="http://schemas.microsoft.com/office/excel/2006/main">
          <x14:cfRule type="iconSet" priority="2432" id="{D7DA8238-9315-4E8B-AB68-4B8E48442E6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C1973</xm:sqref>
        </x14:conditionalFormatting>
        <x14:conditionalFormatting xmlns:xm="http://schemas.microsoft.com/office/excel/2006/main">
          <x14:cfRule type="iconSet" priority="2421" id="{602BA947-8323-454D-ACBA-5F437C2667B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C1975</xm:sqref>
        </x14:conditionalFormatting>
        <x14:conditionalFormatting xmlns:xm="http://schemas.microsoft.com/office/excel/2006/main">
          <x14:cfRule type="iconSet" priority="2393" id="{DF1B5A94-AF1D-4723-A82B-F0F3A18A42B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C1985</xm:sqref>
        </x14:conditionalFormatting>
        <x14:conditionalFormatting xmlns:xm="http://schemas.microsoft.com/office/excel/2006/main">
          <x14:cfRule type="iconSet" priority="2375" id="{C09FEB57-B390-4410-8E5C-30B5A116F04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C1987</xm:sqref>
        </x14:conditionalFormatting>
        <x14:conditionalFormatting xmlns:xm="http://schemas.microsoft.com/office/excel/2006/main">
          <x14:cfRule type="iconSet" priority="2366" id="{620F079C-213A-43E0-8369-4A16E225F12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C1989:C1990</xm:sqref>
        </x14:conditionalFormatting>
        <x14:conditionalFormatting xmlns:xm="http://schemas.microsoft.com/office/excel/2006/main">
          <x14:cfRule type="iconSet" priority="2497" id="{698E4087-A9EF-413B-99D4-83DAE951A0B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C1986 C1970:C1972 C1988 C1981:C1984</xm:sqref>
        </x14:conditionalFormatting>
        <x14:conditionalFormatting xmlns:xm="http://schemas.microsoft.com/office/excel/2006/main">
          <x14:cfRule type="iconSet" priority="2355" id="{E090BE80-D620-4BBB-A6F9-0FE8708241D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C1978</xm:sqref>
        </x14:conditionalFormatting>
        <x14:conditionalFormatting xmlns:xm="http://schemas.microsoft.com/office/excel/2006/main">
          <x14:cfRule type="iconSet" priority="2344" id="{2E6B7974-9AA8-4B12-8C7C-2EE18021AF1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C1977</xm:sqref>
        </x14:conditionalFormatting>
        <x14:conditionalFormatting xmlns:xm="http://schemas.microsoft.com/office/excel/2006/main">
          <x14:cfRule type="iconSet" priority="2333" id="{755D355A-63C0-47BC-90E4-B3800BE8B65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C1979</xm:sqref>
        </x14:conditionalFormatting>
        <x14:conditionalFormatting xmlns:xm="http://schemas.microsoft.com/office/excel/2006/main">
          <x14:cfRule type="iconSet" priority="2322" id="{46FAEEDA-D76C-442C-9EB6-681190F0FE1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C1980</xm:sqref>
        </x14:conditionalFormatting>
        <x14:conditionalFormatting xmlns:xm="http://schemas.microsoft.com/office/excel/2006/main">
          <x14:cfRule type="iconSet" priority="36460" id="{B34F9636-A308-4538-BA67-6BF4550173A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C1991 C1965:C1966</xm:sqref>
        </x14:conditionalFormatting>
        <x14:conditionalFormatting xmlns:xm="http://schemas.microsoft.com/office/excel/2006/main">
          <x14:cfRule type="iconSet" priority="2281" id="{72D833EA-1AD1-42C0-90C7-8E352184899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C2006:C2007</xm:sqref>
        </x14:conditionalFormatting>
        <x14:conditionalFormatting xmlns:xm="http://schemas.microsoft.com/office/excel/2006/main">
          <x14:cfRule type="iconSet" priority="2242" id="{A1E7FD04-4135-40BE-BD09-3E2BE056687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C1998</xm:sqref>
        </x14:conditionalFormatting>
        <x14:conditionalFormatting xmlns:xm="http://schemas.microsoft.com/office/excel/2006/main">
          <x14:cfRule type="iconSet" priority="2230" id="{41BFAB5E-2148-4286-9144-47F450C6E95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C1996</xm:sqref>
        </x14:conditionalFormatting>
        <x14:conditionalFormatting xmlns:xm="http://schemas.microsoft.com/office/excel/2006/main">
          <x14:cfRule type="iconSet" priority="2212" id="{CBC29BA9-E8BD-4AC5-BE72-F340CA9F368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C1997</xm:sqref>
        </x14:conditionalFormatting>
        <x14:conditionalFormatting xmlns:xm="http://schemas.microsoft.com/office/excel/2006/main">
          <x14:cfRule type="iconSet" priority="2205" id="{85157DB8-7D17-4EF7-949F-04A25E29F3D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C2003</xm:sqref>
        </x14:conditionalFormatting>
        <x14:conditionalFormatting xmlns:xm="http://schemas.microsoft.com/office/excel/2006/main">
          <x14:cfRule type="iconSet" priority="2194" id="{EB39FA03-5C54-44A6-B3B0-EE96B2F290B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C2002</xm:sqref>
        </x14:conditionalFormatting>
        <x14:conditionalFormatting xmlns:xm="http://schemas.microsoft.com/office/excel/2006/main">
          <x14:cfRule type="iconSet" priority="2183" id="{55DB52B3-ADE1-4E06-A946-F34806BAF36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C2004</xm:sqref>
        </x14:conditionalFormatting>
        <x14:conditionalFormatting xmlns:xm="http://schemas.microsoft.com/office/excel/2006/main">
          <x14:cfRule type="iconSet" priority="2241" id="{6AB272B7-116C-48D8-A83C-A5CBE66FA1D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C1999:C2001</xm:sqref>
        </x14:conditionalFormatting>
        <x14:conditionalFormatting xmlns:xm="http://schemas.microsoft.com/office/excel/2006/main">
          <x14:cfRule type="iconSet" priority="2311" id="{8C7FA982-B4E2-48CF-B21A-C3E367F8ED1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C1994</xm:sqref>
        </x14:conditionalFormatting>
        <x14:conditionalFormatting xmlns:xm="http://schemas.microsoft.com/office/excel/2006/main">
          <x14:cfRule type="iconSet" priority="36591" id="{A614E1D5-CE36-4152-A99D-C37274816FA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C2005 C1995</xm:sqref>
        </x14:conditionalFormatting>
        <x14:conditionalFormatting xmlns:xm="http://schemas.microsoft.com/office/excel/2006/main">
          <x14:cfRule type="iconSet" priority="2134" id="{85874326-AAEB-458F-B841-87C2E153BD5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C2059:C2060</xm:sqref>
        </x14:conditionalFormatting>
        <x14:conditionalFormatting xmlns:xm="http://schemas.microsoft.com/office/excel/2006/main">
          <x14:cfRule type="iconSet" priority="2086" id="{66A68BA8-930B-47A6-8677-38324AAE188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C2019</xm:sqref>
        </x14:conditionalFormatting>
        <x14:conditionalFormatting xmlns:xm="http://schemas.microsoft.com/office/excel/2006/main">
          <x14:cfRule type="iconSet" priority="2067" id="{E06D91B3-D0CB-42B2-B585-149A2D133B3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C2011</xm:sqref>
        </x14:conditionalFormatting>
        <x14:conditionalFormatting xmlns:xm="http://schemas.microsoft.com/office/excel/2006/main">
          <x14:cfRule type="iconSet" priority="2060" id="{DC54F608-D0A7-4F1B-B2A4-ED68DEE6294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C2017</xm:sqref>
        </x14:conditionalFormatting>
        <x14:conditionalFormatting xmlns:xm="http://schemas.microsoft.com/office/excel/2006/main">
          <x14:cfRule type="iconSet" priority="2049" id="{B5C5E4A2-83B4-4D3B-B427-68B571F884E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C2016</xm:sqref>
        </x14:conditionalFormatting>
        <x14:conditionalFormatting xmlns:xm="http://schemas.microsoft.com/office/excel/2006/main">
          <x14:cfRule type="iconSet" priority="2038" id="{BFCF63F1-05A3-4567-AB5C-361E19ECFB6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C2018</xm:sqref>
        </x14:conditionalFormatting>
        <x14:conditionalFormatting xmlns:xm="http://schemas.microsoft.com/office/excel/2006/main">
          <x14:cfRule type="iconSet" priority="2010" id="{E4392D7A-9EF4-4907-8760-7169370823B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C2046</xm:sqref>
        </x14:conditionalFormatting>
        <x14:conditionalFormatting xmlns:xm="http://schemas.microsoft.com/office/excel/2006/main">
          <x14:cfRule type="iconSet" priority="1992" id="{B4CA6FB2-9A68-4328-8C8C-F54CAAE643C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C2048</xm:sqref>
        </x14:conditionalFormatting>
        <x14:conditionalFormatting xmlns:xm="http://schemas.microsoft.com/office/excel/2006/main">
          <x14:cfRule type="iconSet" priority="1983" id="{BFD15B64-198E-4B65-81D3-5C691153F63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C2050:C2051</xm:sqref>
        </x14:conditionalFormatting>
        <x14:conditionalFormatting xmlns:xm="http://schemas.microsoft.com/office/excel/2006/main">
          <x14:cfRule type="iconSet" priority="2163" id="{4D32287E-195E-4C9D-9521-01D891EBB81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C2047 C2013:C2015 C2049 C2029:C2030 C2024:C2027 C2032:C2033</xm:sqref>
        </x14:conditionalFormatting>
        <x14:conditionalFormatting xmlns:xm="http://schemas.microsoft.com/office/excel/2006/main">
          <x14:cfRule type="iconSet" priority="1963" id="{708C41F2-9D17-4291-BE44-B3FBEB285F0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C2028</xm:sqref>
        </x14:conditionalFormatting>
        <x14:conditionalFormatting xmlns:xm="http://schemas.microsoft.com/office/excel/2006/main">
          <x14:cfRule type="iconSet" priority="1954" id="{5D9188F2-8F4D-401C-BF82-87B05707A8A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C2031</xm:sqref>
        </x14:conditionalFormatting>
        <x14:conditionalFormatting xmlns:xm="http://schemas.microsoft.com/office/excel/2006/main">
          <x14:cfRule type="iconSet" priority="1943" id="{C588E4E8-2243-4193-B509-DEB4E9346C1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C2035</xm:sqref>
        </x14:conditionalFormatting>
        <x14:conditionalFormatting xmlns:xm="http://schemas.microsoft.com/office/excel/2006/main">
          <x14:cfRule type="iconSet" priority="1932" id="{DE62EDA1-EACB-4B93-B8FC-C7ECAD88D1C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C2034</xm:sqref>
        </x14:conditionalFormatting>
        <x14:conditionalFormatting xmlns:xm="http://schemas.microsoft.com/office/excel/2006/main">
          <x14:cfRule type="iconSet" priority="1921" id="{9DA112C0-8B47-4441-B758-9661E7DC1B2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C2036</xm:sqref>
        </x14:conditionalFormatting>
        <x14:conditionalFormatting xmlns:xm="http://schemas.microsoft.com/office/excel/2006/main">
          <x14:cfRule type="iconSet" priority="1910" id="{8D05F5D3-420F-4502-944E-DAC2F5A7280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C2021</xm:sqref>
        </x14:conditionalFormatting>
        <x14:conditionalFormatting xmlns:xm="http://schemas.microsoft.com/office/excel/2006/main">
          <x14:cfRule type="iconSet" priority="1899" id="{32A7FF1B-1C1E-4954-915A-1A88B6D8426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C2020</xm:sqref>
        </x14:conditionalFormatting>
        <x14:conditionalFormatting xmlns:xm="http://schemas.microsoft.com/office/excel/2006/main">
          <x14:cfRule type="iconSet" priority="1888" id="{64E1AE54-0A47-4E18-AE3A-AB75A93D340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C2022</xm:sqref>
        </x14:conditionalFormatting>
        <x14:conditionalFormatting xmlns:xm="http://schemas.microsoft.com/office/excel/2006/main">
          <x14:cfRule type="iconSet" priority="1877" id="{5C77737E-94C9-44E8-BB64-FD281F4ECDF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C2023</xm:sqref>
        </x14:conditionalFormatting>
        <x14:conditionalFormatting xmlns:xm="http://schemas.microsoft.com/office/excel/2006/main">
          <x14:cfRule type="iconSet" priority="1846" id="{6EE7EE93-431A-41B8-A416-9D3300E68CA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C2052</xm:sqref>
        </x14:conditionalFormatting>
        <x14:conditionalFormatting xmlns:xm="http://schemas.microsoft.com/office/excel/2006/main">
          <x14:cfRule type="iconSet" priority="1866" id="{3405EC01-4F99-41C4-A548-1808B8AAC84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C2053</xm:sqref>
        </x14:conditionalFormatting>
        <x14:conditionalFormatting xmlns:xm="http://schemas.microsoft.com/office/excel/2006/main">
          <x14:cfRule type="iconSet" priority="1817" id="{9BB10E0B-C5C8-4597-B22E-453A9A504F8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C2054</xm:sqref>
        </x14:conditionalFormatting>
        <x14:conditionalFormatting xmlns:xm="http://schemas.microsoft.com/office/excel/2006/main">
          <x14:cfRule type="iconSet" priority="1808" id="{20A62FA0-B1B4-4192-B4BD-4E0F2E3F843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C2056:C2057</xm:sqref>
        </x14:conditionalFormatting>
        <x14:conditionalFormatting xmlns:xm="http://schemas.microsoft.com/office/excel/2006/main">
          <x14:cfRule type="iconSet" priority="1837" id="{9B348BEE-9C0D-4147-BF35-A787F207A14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C2055</xm:sqref>
        </x14:conditionalFormatting>
        <x14:conditionalFormatting xmlns:xm="http://schemas.microsoft.com/office/excel/2006/main">
          <x14:cfRule type="iconSet" priority="1797" id="{07B4F7DE-3F51-42B5-91F0-EC7E68F510E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C2038:C2039 C2041:C2042</xm:sqref>
        </x14:conditionalFormatting>
        <x14:conditionalFormatting xmlns:xm="http://schemas.microsoft.com/office/excel/2006/main">
          <x14:cfRule type="iconSet" priority="1777" id="{A1EB0F5E-D34F-4653-BC21-1FA7063DA2D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C2037</xm:sqref>
        </x14:conditionalFormatting>
        <x14:conditionalFormatting xmlns:xm="http://schemas.microsoft.com/office/excel/2006/main">
          <x14:cfRule type="iconSet" priority="1768" id="{10336E7A-25BF-46D3-A1F9-8B4AF3FB03C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C2040</xm:sqref>
        </x14:conditionalFormatting>
        <x14:conditionalFormatting xmlns:xm="http://schemas.microsoft.com/office/excel/2006/main">
          <x14:cfRule type="iconSet" priority="1757" id="{F889DBF0-2678-40D0-BC37-F805E47F5A1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C2044</xm:sqref>
        </x14:conditionalFormatting>
        <x14:conditionalFormatting xmlns:xm="http://schemas.microsoft.com/office/excel/2006/main">
          <x14:cfRule type="iconSet" priority="1746" id="{BF63A427-2982-46AC-9574-B73AF5C2C4D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C2043</xm:sqref>
        </x14:conditionalFormatting>
        <x14:conditionalFormatting xmlns:xm="http://schemas.microsoft.com/office/excel/2006/main">
          <x14:cfRule type="iconSet" priority="1735" id="{0AB74435-8479-471E-9689-38F2271F06A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C2045</xm:sqref>
        </x14:conditionalFormatting>
        <x14:conditionalFormatting xmlns:xm="http://schemas.microsoft.com/office/excel/2006/main">
          <x14:cfRule type="iconSet" priority="2164" id="{FC171FC8-3A41-46EC-BA6A-267FBBEE5F9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C2008</xm:sqref>
        </x14:conditionalFormatting>
        <x14:conditionalFormatting xmlns:xm="http://schemas.microsoft.com/office/excel/2006/main">
          <x14:cfRule type="iconSet" priority="36722" id="{02FCC467-17D0-4896-809E-5F56ECC4CBA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C2058 C2009:C2010 C2012</xm:sqref>
        </x14:conditionalFormatting>
        <x14:conditionalFormatting xmlns:xm="http://schemas.microsoft.com/office/excel/2006/main">
          <x14:cfRule type="iconSet" priority="36772" id="{8959C8A5-FFBC-4A4B-B7EA-37703F27F0B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C2143:C2147</xm:sqref>
        </x14:conditionalFormatting>
        <x14:conditionalFormatting xmlns:xm="http://schemas.microsoft.com/office/excel/2006/main">
          <x14:cfRule type="iconSet" priority="36807" id="{4138933C-E5A0-4C97-9CC8-B657FA77632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C2113:C2132 C2137:C2140 C1176:C1177 C912:C920 C164 C1171:C1174 C2061:C2062 C1942 C1914 C1031 C69:C70 C8 C10:C34 C51:C62 C37:C41 C47:C48 C73:C76 C78:C96 C1050 C1069:C1081 C1109 C1122 C1135:C1136 C1140 C1144 C1148 C1152 C1156 C511:C538 C452 C659:C667 C490 C407:C408 C495:C499 C321:C348 C420:C447 C586:C618 C234:C268 C1083:C1096 C671:C692 C725 C754 C783:C784 C788:C802 C973:C987 C1864:C1866 C1860 C1230:C1238 C1275 C1307 C1345 C1369:C1371 C1447 C1752 C1761 C1783 C1803 C1825 C1736:C1741 C1766 C1788 C1808 C1830 C1837:C1842 C1815:C1820 C1793:C1798 C1773:C1774 C1748:C1749 C1376:C1383 C1411 C1429 C1456:C1460 C1471:C1473 C1580 C1641 C1709 C1476 C1726:C1733 C1210:C1223 C877 C2083:C2085 C2089:C2110 C1500:C1501 C1241:C1243 C1199:C1200 C281:C282 C806:C807 C842 C115 C128 C1847:C1851 C295:C309 C149:C153 C1203:C1208 C1009:C1012 C990:C1006 C178:C181 C1187:C1195 C102:C106 C118 C130 C132:C134 C140:C145 C166:C168 C284:C293 C1386 C1875:C1878 C1488:C1497 C1504:C1506 C924:C939 C942:C948 C1462:C1465 C110:C113 C173:C174</xm:sqref>
        </x14:conditionalFormatting>
        <x14:conditionalFormatting xmlns:xm="http://schemas.microsoft.com/office/excel/2006/main">
          <x14:cfRule type="iconSet" priority="1693" id="{4CEC6BE4-B909-44A7-A53E-6108EE8B36A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C1478:C1482</xm:sqref>
        </x14:conditionalFormatting>
        <x14:conditionalFormatting xmlns:xm="http://schemas.microsoft.com/office/excel/2006/main">
          <x14:cfRule type="iconSet" priority="1632" id="{0F87F544-FE00-4F9F-A4EE-B5109AA9995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C1483:C1487</xm:sqref>
        </x14:conditionalFormatting>
        <x14:conditionalFormatting xmlns:xm="http://schemas.microsoft.com/office/excel/2006/main">
          <x14:cfRule type="iconSet" priority="36980" id="{CB92DFA8-BA8A-462C-92D2-186863904AA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C1477</xm:sqref>
        </x14:conditionalFormatting>
        <x14:conditionalFormatting xmlns:xm="http://schemas.microsoft.com/office/excel/2006/main">
          <x14:cfRule type="iconSet" priority="1621" id="{7E225E00-643A-44FA-A927-E00FC203EE6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C1502:C1503</xm:sqref>
        </x14:conditionalFormatting>
        <x14:conditionalFormatting xmlns:xm="http://schemas.microsoft.com/office/excel/2006/main">
          <x14:cfRule type="iconSet" priority="1610" id="{0E36F9BE-B501-4799-901F-A5AFE550518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C1574:C1575</xm:sqref>
        </x14:conditionalFormatting>
        <x14:conditionalFormatting xmlns:xm="http://schemas.microsoft.com/office/excel/2006/main">
          <x14:cfRule type="iconSet" priority="1585" id="{7426DAD7-48F5-4036-B820-0E9F7A20AB4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C1530:C1534</xm:sqref>
        </x14:conditionalFormatting>
        <x14:conditionalFormatting xmlns:xm="http://schemas.microsoft.com/office/excel/2006/main">
          <x14:cfRule type="iconSet" priority="1560" id="{BBF9E216-CA70-43C4-8A83-CFFDC2E2DCE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C1535:C1539</xm:sqref>
        </x14:conditionalFormatting>
        <x14:conditionalFormatting xmlns:xm="http://schemas.microsoft.com/office/excel/2006/main">
          <x14:cfRule type="iconSet" priority="1522" id="{EC5378F1-1F18-424A-A886-5CB409847CF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C1551 C1546:C1548</xm:sqref>
        </x14:conditionalFormatting>
        <x14:conditionalFormatting xmlns:xm="http://schemas.microsoft.com/office/excel/2006/main">
          <x14:cfRule type="iconSet" priority="1511" id="{0F735AB6-A200-4F4A-8432-36C05E27425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C1550</xm:sqref>
        </x14:conditionalFormatting>
        <x14:conditionalFormatting xmlns:xm="http://schemas.microsoft.com/office/excel/2006/main">
          <x14:cfRule type="iconSet" priority="1501" id="{58C2A25A-38C2-43D2-BB9D-00E4C57454F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C1549</xm:sqref>
        </x14:conditionalFormatting>
        <x14:conditionalFormatting xmlns:xm="http://schemas.microsoft.com/office/excel/2006/main">
          <x14:cfRule type="iconSet" priority="1491" id="{981E151F-FAFD-479D-B305-D13A0CFA157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C1544</xm:sqref>
        </x14:conditionalFormatting>
        <x14:conditionalFormatting xmlns:xm="http://schemas.microsoft.com/office/excel/2006/main">
          <x14:cfRule type="iconSet" priority="1481" id="{9D9DF0D6-BEC9-4EAA-9BEF-24B2ACDB065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C1543</xm:sqref>
        </x14:conditionalFormatting>
        <x14:conditionalFormatting xmlns:xm="http://schemas.microsoft.com/office/excel/2006/main">
          <x14:cfRule type="iconSet" priority="1549" id="{63C91E85-8678-4914-9C4E-E1D106F1BA2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C1540:C1542 C1545</xm:sqref>
        </x14:conditionalFormatting>
        <x14:conditionalFormatting xmlns:xm="http://schemas.microsoft.com/office/excel/2006/main">
          <x14:cfRule type="iconSet" priority="1350" id="{E4CE418C-3CB2-426D-9364-FAAE5FAD118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C1604:C1608</xm:sqref>
        </x14:conditionalFormatting>
        <x14:conditionalFormatting xmlns:xm="http://schemas.microsoft.com/office/excel/2006/main">
          <x14:cfRule type="iconSet" priority="1313" id="{7666DFE3-9CDF-4155-9ED6-B2A61C0158C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C1614 C1609:C1611</xm:sqref>
        </x14:conditionalFormatting>
        <x14:conditionalFormatting xmlns:xm="http://schemas.microsoft.com/office/excel/2006/main">
          <x14:cfRule type="iconSet" priority="1303" id="{4E955FAB-619A-4177-8896-B437C7E3D72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C1613</xm:sqref>
        </x14:conditionalFormatting>
        <x14:conditionalFormatting xmlns:xm="http://schemas.microsoft.com/office/excel/2006/main">
          <x14:cfRule type="iconSet" priority="1294" id="{365346B1-7A09-40D9-B581-429DD00C72D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C1612</xm:sqref>
        </x14:conditionalFormatting>
        <x14:conditionalFormatting xmlns:xm="http://schemas.microsoft.com/office/excel/2006/main">
          <x14:cfRule type="iconSet" priority="1185" id="{AA0C320C-9529-48F7-BF09-C3C4DA15E61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C1635:C1636</xm:sqref>
        </x14:conditionalFormatting>
        <x14:conditionalFormatting xmlns:xm="http://schemas.microsoft.com/office/excel/2006/main">
          <x14:cfRule type="iconSet" priority="1160" id="{77AE6ED9-36BD-4EA2-888D-AA711D7E858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C1670:C1674</xm:sqref>
        </x14:conditionalFormatting>
        <x14:conditionalFormatting xmlns:xm="http://schemas.microsoft.com/office/excel/2006/main">
          <x14:cfRule type="iconSet" priority="1139" id="{A681A15D-AE09-4192-B575-ED091EA3A6E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C1680 C1675:C1677</xm:sqref>
        </x14:conditionalFormatting>
        <x14:conditionalFormatting xmlns:xm="http://schemas.microsoft.com/office/excel/2006/main">
          <x14:cfRule type="iconSet" priority="1129" id="{A80A4B71-1450-4876-9CE7-3EDE484B770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C1679</xm:sqref>
        </x14:conditionalFormatting>
        <x14:conditionalFormatting xmlns:xm="http://schemas.microsoft.com/office/excel/2006/main">
          <x14:cfRule type="iconSet" priority="1120" id="{A95B4AE4-B260-44E4-9459-5E7A0DDEE42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C1678</xm:sqref>
        </x14:conditionalFormatting>
        <x14:conditionalFormatting xmlns:xm="http://schemas.microsoft.com/office/excel/2006/main">
          <x14:cfRule type="iconSet" priority="1060" id="{80644268-DE3E-4B57-B1E1-F7A543E7643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C1686 C1681:C1683</xm:sqref>
        </x14:conditionalFormatting>
        <x14:conditionalFormatting xmlns:xm="http://schemas.microsoft.com/office/excel/2006/main">
          <x14:cfRule type="iconSet" priority="1050" id="{ACB53058-53FD-46E0-B180-9BFFC68B5E8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C1685</xm:sqref>
        </x14:conditionalFormatting>
        <x14:conditionalFormatting xmlns:xm="http://schemas.microsoft.com/office/excel/2006/main">
          <x14:cfRule type="iconSet" priority="1041" id="{55EA3EA0-72E6-4FCB-BA7B-3744C0E99EA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C1684</xm:sqref>
        </x14:conditionalFormatting>
        <x14:conditionalFormatting xmlns:xm="http://schemas.microsoft.com/office/excel/2006/main">
          <x14:cfRule type="iconSet" priority="991" id="{04CC70A1-E8AC-4D2C-A0EC-C90BA3F9FDD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C1703:C1704</xm:sqref>
        </x14:conditionalFormatting>
        <x14:conditionalFormatting xmlns:xm="http://schemas.microsoft.com/office/excel/2006/main">
          <x14:cfRule type="iconSet" priority="36999" id="{459407ED-0F33-4C64-BA60-584118F118D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C638:C653</xm:sqref>
        </x14:conditionalFormatting>
        <x14:conditionalFormatting xmlns:xm="http://schemas.microsoft.com/office/excel/2006/main">
          <x14:cfRule type="iconSet" priority="37016" id="{26DE967B-44AF-419A-A854-1F3340CCE97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C565:C580</xm:sqref>
        </x14:conditionalFormatting>
        <x14:conditionalFormatting xmlns:xm="http://schemas.microsoft.com/office/excel/2006/main">
          <x14:cfRule type="iconSet" priority="37032" id="{9652F53F-DBCC-4CD7-B8DF-9CD2AF94756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C474:C489</xm:sqref>
        </x14:conditionalFormatting>
        <x14:conditionalFormatting xmlns:xm="http://schemas.microsoft.com/office/excel/2006/main">
          <x14:cfRule type="iconSet" priority="37097" id="{1130601E-7AE7-48FC-9FB2-D42D0FA98B7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C383:C392 C394:C398</xm:sqref>
        </x14:conditionalFormatting>
        <x14:conditionalFormatting xmlns:xm="http://schemas.microsoft.com/office/excel/2006/main">
          <x14:cfRule type="iconSet" priority="37341" id="{959B6F4F-EBAD-42C8-A5A4-99387664C23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C1750:C1751</xm:sqref>
        </x14:conditionalFormatting>
        <x14:conditionalFormatting xmlns:xm="http://schemas.microsoft.com/office/excel/2006/main">
          <x14:cfRule type="iconSet" priority="919" id="{89DBCA04-0BEC-4C6B-8041-4713B1C3D5C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C1399:C1401</xm:sqref>
        </x14:conditionalFormatting>
        <x14:conditionalFormatting xmlns:xm="http://schemas.microsoft.com/office/excel/2006/main">
          <x14:cfRule type="iconSet" priority="37566" id="{1CFDA73A-BA84-4117-A29E-58559A73861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C1402</xm:sqref>
        </x14:conditionalFormatting>
        <x14:conditionalFormatting xmlns:xm="http://schemas.microsoft.com/office/excel/2006/main">
          <x14:cfRule type="iconSet" priority="857" id="{0E9CE594-15EA-484D-9B2A-FF4718F3765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C1404</xm:sqref>
        </x14:conditionalFormatting>
        <x14:conditionalFormatting xmlns:xm="http://schemas.microsoft.com/office/excel/2006/main">
          <x14:cfRule type="iconSet" priority="838" id="{D4354175-FCDA-4EB2-B0FE-0D1221D72E5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C1418</xm:sqref>
        </x14:conditionalFormatting>
        <x14:conditionalFormatting xmlns:xm="http://schemas.microsoft.com/office/excel/2006/main">
          <x14:cfRule type="iconSet" priority="812" id="{A4CF11AA-A83C-44EE-98D1-547C5060027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C1423</xm:sqref>
        </x14:conditionalFormatting>
        <x14:conditionalFormatting xmlns:xm="http://schemas.microsoft.com/office/excel/2006/main">
          <x14:cfRule type="iconSet" priority="788" id="{D107632A-A69B-4451-9250-48FDBE50BDA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C1425</xm:sqref>
        </x14:conditionalFormatting>
        <x14:conditionalFormatting xmlns:xm="http://schemas.microsoft.com/office/excel/2006/main">
          <x14:cfRule type="iconSet" priority="756" id="{22BAC35F-5974-48A0-9646-EC720AA28E8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C1419:C1421</xm:sqref>
        </x14:conditionalFormatting>
        <x14:conditionalFormatting xmlns:xm="http://schemas.microsoft.com/office/excel/2006/main">
          <x14:cfRule type="iconSet" priority="848" id="{5BFDA17D-7047-4B5A-B01F-7020738C95B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C1422</xm:sqref>
        </x14:conditionalFormatting>
        <x14:conditionalFormatting xmlns:xm="http://schemas.microsoft.com/office/excel/2006/main">
          <x14:cfRule type="iconSet" priority="724" id="{4CF505E3-F4CF-4E7C-9D24-4F30FA8B3F6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C1424</xm:sqref>
        </x14:conditionalFormatting>
        <x14:conditionalFormatting xmlns:xm="http://schemas.microsoft.com/office/excel/2006/main">
          <x14:cfRule type="iconSet" priority="705" id="{898CE6A6-A1B5-4A01-8687-F9BDF0A9753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C1436</xm:sqref>
        </x14:conditionalFormatting>
        <x14:conditionalFormatting xmlns:xm="http://schemas.microsoft.com/office/excel/2006/main">
          <x14:cfRule type="iconSet" priority="679" id="{C1D54023-7A1E-4AA2-87DF-7078442BD32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C1441</xm:sqref>
        </x14:conditionalFormatting>
        <x14:conditionalFormatting xmlns:xm="http://schemas.microsoft.com/office/excel/2006/main">
          <x14:cfRule type="iconSet" priority="655" id="{BA0A244E-5802-4C7D-8F30-CB9DCB0DE03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C1443</xm:sqref>
        </x14:conditionalFormatting>
        <x14:conditionalFormatting xmlns:xm="http://schemas.microsoft.com/office/excel/2006/main">
          <x14:cfRule type="iconSet" priority="623" id="{24436C97-5A34-4921-943D-3F25408B9D9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C1437:C1439</xm:sqref>
        </x14:conditionalFormatting>
        <x14:conditionalFormatting xmlns:xm="http://schemas.microsoft.com/office/excel/2006/main">
          <x14:cfRule type="iconSet" priority="715" id="{1584678A-6D6C-4F90-868B-32EF560D961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C1440</xm:sqref>
        </x14:conditionalFormatting>
        <x14:conditionalFormatting xmlns:xm="http://schemas.microsoft.com/office/excel/2006/main">
          <x14:cfRule type="iconSet" priority="591" id="{FFD83FFB-DAD7-45D4-8F86-B225397F905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C1442</xm:sqref>
        </x14:conditionalFormatting>
        <x14:conditionalFormatting xmlns:xm="http://schemas.microsoft.com/office/excel/2006/main">
          <x14:cfRule type="iconSet" priority="37636" id="{95F6C135-CB78-4970-8CA2-12A87E52554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C1927:C1933 C1923:C1924 C1920 C1915:C1918 C1939:C1941</xm:sqref>
        </x14:conditionalFormatting>
        <x14:conditionalFormatting xmlns:xm="http://schemas.microsoft.com/office/excel/2006/main">
          <x14:cfRule type="iconSet" priority="37667" id="{E36D6891-854E-497B-856C-8E71AC1192D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C1900:C1902 C1884 C1879:C1882 C1887:C1888 C1892:C1896 C1911:C1913</xm:sqref>
        </x14:conditionalFormatting>
        <x14:conditionalFormatting xmlns:xm="http://schemas.microsoft.com/office/excel/2006/main">
          <x14:cfRule type="iconSet" priority="37826" id="{515604DC-9862-44C1-9FFB-A5DE0317548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C1949:C1950 C1943:C1946</xm:sqref>
        </x14:conditionalFormatting>
        <x14:conditionalFormatting xmlns:xm="http://schemas.microsoft.com/office/excel/2006/main">
          <x14:cfRule type="iconSet" priority="575" id="{64AB4C61-36BA-4CE2-807B-6564946CEF8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C840:C841</xm:sqref>
        </x14:conditionalFormatting>
        <x14:conditionalFormatting xmlns:xm="http://schemas.microsoft.com/office/excel/2006/main">
          <x14:cfRule type="iconSet" priority="563" id="{4B28F309-769F-4B62-B4E0-F2A8D01114D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C851:C853</xm:sqref>
        </x14:conditionalFormatting>
        <x14:conditionalFormatting xmlns:xm="http://schemas.microsoft.com/office/excel/2006/main">
          <x14:cfRule type="iconSet" priority="551" id="{ABD1F69D-1FA4-4433-BCFA-647F6EDCEC6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C869:C870</xm:sqref>
        </x14:conditionalFormatting>
        <x14:conditionalFormatting xmlns:xm="http://schemas.microsoft.com/office/excel/2006/main">
          <x14:cfRule type="iconSet" priority="539" id="{FAB60860-6A56-4197-8912-9156E565052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C816:C818</xm:sqref>
        </x14:conditionalFormatting>
        <x14:conditionalFormatting xmlns:xm="http://schemas.microsoft.com/office/excel/2006/main">
          <x14:cfRule type="iconSet" priority="527" id="{65E1E481-8381-41E3-8B88-A5ED503B4F5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C834:C835</xm:sqref>
        </x14:conditionalFormatting>
        <x14:conditionalFormatting xmlns:xm="http://schemas.microsoft.com/office/excel/2006/main">
          <x14:cfRule type="iconSet" priority="515" id="{06B87747-2F33-4781-82FA-6005648A5CB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C886:C888</xm:sqref>
        </x14:conditionalFormatting>
        <x14:conditionalFormatting xmlns:xm="http://schemas.microsoft.com/office/excel/2006/main">
          <x14:cfRule type="iconSet" priority="503" id="{9173B217-7651-4F9D-9CB2-9D6D2357C29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C904:C905</xm:sqref>
        </x14:conditionalFormatting>
        <x14:conditionalFormatting xmlns:xm="http://schemas.microsoft.com/office/excel/2006/main">
          <x14:cfRule type="iconSet" priority="491" id="{E77B4E14-DAD9-48CD-B7E8-2F070F4B46A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C921:C923</xm:sqref>
        </x14:conditionalFormatting>
        <x14:conditionalFormatting xmlns:xm="http://schemas.microsoft.com/office/excel/2006/main">
          <x14:cfRule type="iconSet" priority="479" id="{529963A3-5ADB-4F8E-9221-06D5A6069CF8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C940:C941</xm:sqref>
        </x14:conditionalFormatting>
        <x14:conditionalFormatting xmlns:xm="http://schemas.microsoft.com/office/excel/2006/main">
          <x14:cfRule type="iconSet" priority="467" id="{16AD6458-A035-4AA3-8DCB-1D3E2AAA9F6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C1461</xm:sqref>
        </x14:conditionalFormatting>
        <x14:conditionalFormatting xmlns:xm="http://schemas.microsoft.com/office/excel/2006/main">
          <x14:cfRule type="iconSet" priority="456" id="{7B4943DA-9E71-4E44-B850-A1656E6DB46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C1510</xm:sqref>
        </x14:conditionalFormatting>
        <x14:conditionalFormatting xmlns:xm="http://schemas.microsoft.com/office/excel/2006/main">
          <x14:cfRule type="iconSet" priority="445" id="{ACA12990-A181-43D6-A21D-DC8CDC4D3E4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C1584</xm:sqref>
        </x14:conditionalFormatting>
        <x14:conditionalFormatting xmlns:xm="http://schemas.microsoft.com/office/excel/2006/main">
          <x14:cfRule type="iconSet" priority="434" id="{EFD76FC4-A5D4-4A78-9470-670A5EEF2392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C1645</xm:sqref>
        </x14:conditionalFormatting>
        <x14:conditionalFormatting xmlns:xm="http://schemas.microsoft.com/office/excel/2006/main">
          <x14:cfRule type="iconSet" priority="423" id="{876DB3FA-4876-4D3A-85C1-15557BBBDDB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C1713</xm:sqref>
        </x14:conditionalFormatting>
        <x14:conditionalFormatting xmlns:xm="http://schemas.microsoft.com/office/excel/2006/main">
          <x14:cfRule type="iconSet" priority="412" id="{3D73F2D6-5EB4-40DD-9B2C-A845609B290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C107:C109</xm:sqref>
        </x14:conditionalFormatting>
        <x14:conditionalFormatting xmlns:xm="http://schemas.microsoft.com/office/excel/2006/main">
          <x14:cfRule type="iconSet" priority="383" id="{7FA43809-F7DC-42C9-83B7-E70C5966493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C2141:C2142</xm:sqref>
        </x14:conditionalFormatting>
        <x14:conditionalFormatting xmlns:xm="http://schemas.microsoft.com/office/excel/2006/main">
          <x14:cfRule type="iconSet" priority="37851" id="{B59E2A6D-04AD-4B51-B92B-B76627B411B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C1767:C1770</xm:sqref>
        </x14:conditionalFormatting>
        <x14:conditionalFormatting xmlns:xm="http://schemas.microsoft.com/office/excel/2006/main">
          <x14:cfRule type="iconSet" priority="37870" id="{D5BAD9F2-F24E-4E3F-B812-D3B54F7CA3E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C1926</xm:sqref>
        </x14:conditionalFormatting>
        <x14:conditionalFormatting xmlns:xm="http://schemas.microsoft.com/office/excel/2006/main">
          <x14:cfRule type="iconSet" priority="37891" id="{544A032C-3F12-4464-BC78-2AA23282D32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C1859</xm:sqref>
        </x14:conditionalFormatting>
        <x14:conditionalFormatting xmlns:xm="http://schemas.microsoft.com/office/excel/2006/main">
          <x14:cfRule type="iconSet" priority="38068" id="{00369B57-5163-4ECE-A974-D1FC64D02CF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C1873:C1874</xm:sqref>
        </x14:conditionalFormatting>
        <x14:conditionalFormatting xmlns:xm="http://schemas.microsoft.com/office/excel/2006/main">
          <x14:cfRule type="iconSet" priority="332" id="{DBE75E54-5380-4D6A-BDB1-DFFC3F523D86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C1909:C1910</xm:sqref>
        </x14:conditionalFormatting>
        <x14:conditionalFormatting xmlns:xm="http://schemas.microsoft.com/office/excel/2006/main">
          <x14:cfRule type="iconSet" priority="298" id="{6D6C5A4D-2F16-4A5B-BF06-E4494961EAE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C1937:C1938</xm:sqref>
        </x14:conditionalFormatting>
        <x14:conditionalFormatting xmlns:xm="http://schemas.microsoft.com/office/excel/2006/main">
          <x14:cfRule type="iconSet" priority="255" id="{98D7348B-6036-4079-B79D-531ED1017AC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C158</xm:sqref>
        </x14:conditionalFormatting>
        <x14:conditionalFormatting xmlns:xm="http://schemas.microsoft.com/office/excel/2006/main">
          <x14:cfRule type="iconSet" priority="227" id="{33B12F8C-BBE5-41A4-A9D1-614BCA32D5A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C159</xm:sqref>
        </x14:conditionalFormatting>
        <x14:conditionalFormatting xmlns:xm="http://schemas.microsoft.com/office/excel/2006/main">
          <x14:cfRule type="iconSet" priority="218" id="{0996C97D-7525-46A9-9BFC-72AE88E87EC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C170:C172</xm:sqref>
        </x14:conditionalFormatting>
        <x14:conditionalFormatting xmlns:xm="http://schemas.microsoft.com/office/excel/2006/main">
          <x14:cfRule type="iconSet" priority="38146" id="{950A12FD-F175-4206-91A2-754B2348990F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C175</xm:sqref>
        </x14:conditionalFormatting>
        <x14:conditionalFormatting xmlns:xm="http://schemas.microsoft.com/office/excel/2006/main">
          <x14:cfRule type="iconSet" priority="39009" id="{A7F35768-CEFC-4C34-BA93-37A8782511C0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C183:C198</xm:sqref>
        </x14:conditionalFormatting>
        <x14:conditionalFormatting xmlns:xm="http://schemas.microsoft.com/office/excel/2006/main">
          <x14:cfRule type="iconSet" priority="195" id="{2973EAC2-E662-48EF-9D75-ADD2754226C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C210</xm:sqref>
        </x14:conditionalFormatting>
        <x14:conditionalFormatting xmlns:xm="http://schemas.microsoft.com/office/excel/2006/main">
          <x14:cfRule type="iconSet" priority="179" id="{BAA40266-9F77-4171-9D84-74FB2BB7A6D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C202:C203</xm:sqref>
        </x14:conditionalFormatting>
        <x14:conditionalFormatting xmlns:xm="http://schemas.microsoft.com/office/excel/2006/main">
          <x14:cfRule type="iconSet" priority="152" id="{DC210B49-5BCF-4E0F-AD49-96BB0C530D9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C201</xm:sqref>
        </x14:conditionalFormatting>
        <x14:conditionalFormatting xmlns:xm="http://schemas.microsoft.com/office/excel/2006/main">
          <x14:cfRule type="iconSet" priority="143" id="{C61D7A0D-9D9E-469D-A853-12C70328295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C205:C206</xm:sqref>
        </x14:conditionalFormatting>
        <x14:conditionalFormatting xmlns:xm="http://schemas.microsoft.com/office/excel/2006/main">
          <x14:cfRule type="iconSet" priority="114" id="{6172649F-DB1B-43AD-A0E9-7CC3555CAEA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C204</xm:sqref>
        </x14:conditionalFormatting>
        <x14:conditionalFormatting xmlns:xm="http://schemas.microsoft.com/office/excel/2006/main">
          <x14:cfRule type="iconSet" priority="104" id="{8D3A0570-76EA-4808-B6B8-F7C9E438C7F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C208:C209</xm:sqref>
        </x14:conditionalFormatting>
        <x14:conditionalFormatting xmlns:xm="http://schemas.microsoft.com/office/excel/2006/main">
          <x14:cfRule type="iconSet" priority="77" id="{F1ECD154-D2A3-4AE3-AA15-B732B54050B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C207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69C8-5174-4BF2-B2DF-6D1CE244C4BF}">
  <sheetPr codeName="Planilha6">
    <tabColor rgb="FF1851D6"/>
  </sheetPr>
  <dimension ref="A1:I371"/>
  <sheetViews>
    <sheetView showGridLines="0" workbookViewId="0">
      <pane ySplit="3" topLeftCell="A4" activePane="bottomLeft" state="frozen"/>
      <selection pane="bottomLeft" activeCell="A5" sqref="A5"/>
    </sheetView>
  </sheetViews>
  <sheetFormatPr defaultRowHeight="12.75" x14ac:dyDescent="0.2"/>
  <cols>
    <col min="1" max="1" width="77.42578125" customWidth="1"/>
    <col min="2" max="2" width="6.7109375" style="294" customWidth="1"/>
    <col min="3" max="3" width="14.7109375" style="291" customWidth="1"/>
    <col min="4" max="4" width="20.42578125" style="223" customWidth="1"/>
    <col min="5" max="5" width="14.140625" customWidth="1"/>
    <col min="6" max="6" width="16.7109375" customWidth="1"/>
    <col min="7" max="7" width="44.42578125" bestFit="1" customWidth="1"/>
    <col min="9" max="9" width="11.28515625" bestFit="1" customWidth="1"/>
    <col min="242" max="242" width="9.28515625" customWidth="1"/>
    <col min="243" max="243" width="13.7109375" customWidth="1"/>
    <col min="244" max="244" width="27.5703125" customWidth="1"/>
    <col min="245" max="245" width="6.7109375" customWidth="1"/>
    <col min="246" max="246" width="14.140625" customWidth="1"/>
    <col min="247" max="247" width="14.7109375" customWidth="1"/>
    <col min="248" max="249" width="16.85546875" customWidth="1"/>
    <col min="250" max="250" width="9.140625" customWidth="1"/>
    <col min="251" max="251" width="15.28515625" customWidth="1"/>
    <col min="252" max="252" width="7.7109375" customWidth="1"/>
    <col min="253" max="253" width="14.140625" customWidth="1"/>
    <col min="254" max="254" width="28.140625" customWidth="1"/>
    <col min="255" max="255" width="12.140625" customWidth="1"/>
    <col min="256" max="256" width="14.28515625" customWidth="1"/>
    <col min="257" max="257" width="28.140625" customWidth="1"/>
    <col min="258" max="258" width="35.140625" customWidth="1"/>
    <col min="498" max="498" width="9.28515625" customWidth="1"/>
    <col min="499" max="499" width="13.7109375" customWidth="1"/>
    <col min="500" max="500" width="27.5703125" customWidth="1"/>
    <col min="501" max="501" width="6.7109375" customWidth="1"/>
    <col min="502" max="502" width="14.140625" customWidth="1"/>
    <col min="503" max="503" width="14.7109375" customWidth="1"/>
    <col min="504" max="505" width="16.85546875" customWidth="1"/>
    <col min="506" max="506" width="9.140625" customWidth="1"/>
    <col min="507" max="507" width="15.28515625" customWidth="1"/>
    <col min="508" max="508" width="7.7109375" customWidth="1"/>
    <col min="509" max="509" width="14.140625" customWidth="1"/>
    <col min="510" max="510" width="28.140625" customWidth="1"/>
    <col min="511" max="511" width="12.140625" customWidth="1"/>
    <col min="512" max="512" width="14.28515625" customWidth="1"/>
    <col min="513" max="513" width="28.140625" customWidth="1"/>
    <col min="514" max="514" width="35.140625" customWidth="1"/>
    <col min="754" max="754" width="9.28515625" customWidth="1"/>
    <col min="755" max="755" width="13.7109375" customWidth="1"/>
    <col min="756" max="756" width="27.5703125" customWidth="1"/>
    <col min="757" max="757" width="6.7109375" customWidth="1"/>
    <col min="758" max="758" width="14.140625" customWidth="1"/>
    <col min="759" max="759" width="14.7109375" customWidth="1"/>
    <col min="760" max="761" width="16.85546875" customWidth="1"/>
    <col min="762" max="762" width="9.140625" customWidth="1"/>
    <col min="763" max="763" width="15.28515625" customWidth="1"/>
    <col min="764" max="764" width="7.7109375" customWidth="1"/>
    <col min="765" max="765" width="14.140625" customWidth="1"/>
    <col min="766" max="766" width="28.140625" customWidth="1"/>
    <col min="767" max="767" width="12.140625" customWidth="1"/>
    <col min="768" max="768" width="14.28515625" customWidth="1"/>
    <col min="769" max="769" width="28.140625" customWidth="1"/>
    <col min="770" max="770" width="35.140625" customWidth="1"/>
    <col min="1010" max="1010" width="9.28515625" customWidth="1"/>
    <col min="1011" max="1011" width="13.7109375" customWidth="1"/>
    <col min="1012" max="1012" width="27.5703125" customWidth="1"/>
    <col min="1013" max="1013" width="6.7109375" customWidth="1"/>
    <col min="1014" max="1014" width="14.140625" customWidth="1"/>
    <col min="1015" max="1015" width="14.7109375" customWidth="1"/>
    <col min="1016" max="1017" width="16.85546875" customWidth="1"/>
    <col min="1018" max="1018" width="9.140625" customWidth="1"/>
    <col min="1019" max="1019" width="15.28515625" customWidth="1"/>
    <col min="1020" max="1020" width="7.7109375" customWidth="1"/>
    <col min="1021" max="1021" width="14.140625" customWidth="1"/>
    <col min="1022" max="1022" width="28.140625" customWidth="1"/>
    <col min="1023" max="1023" width="12.140625" customWidth="1"/>
    <col min="1024" max="1024" width="14.28515625" customWidth="1"/>
    <col min="1025" max="1025" width="28.140625" customWidth="1"/>
    <col min="1026" max="1026" width="35.140625" customWidth="1"/>
    <col min="1266" max="1266" width="9.28515625" customWidth="1"/>
    <col min="1267" max="1267" width="13.7109375" customWidth="1"/>
    <col min="1268" max="1268" width="27.5703125" customWidth="1"/>
    <col min="1269" max="1269" width="6.7109375" customWidth="1"/>
    <col min="1270" max="1270" width="14.140625" customWidth="1"/>
    <col min="1271" max="1271" width="14.7109375" customWidth="1"/>
    <col min="1272" max="1273" width="16.85546875" customWidth="1"/>
    <col min="1274" max="1274" width="9.140625" customWidth="1"/>
    <col min="1275" max="1275" width="15.28515625" customWidth="1"/>
    <col min="1276" max="1276" width="7.7109375" customWidth="1"/>
    <col min="1277" max="1277" width="14.140625" customWidth="1"/>
    <col min="1278" max="1278" width="28.140625" customWidth="1"/>
    <col min="1279" max="1279" width="12.140625" customWidth="1"/>
    <col min="1280" max="1280" width="14.28515625" customWidth="1"/>
    <col min="1281" max="1281" width="28.140625" customWidth="1"/>
    <col min="1282" max="1282" width="35.140625" customWidth="1"/>
    <col min="1522" max="1522" width="9.28515625" customWidth="1"/>
    <col min="1523" max="1523" width="13.7109375" customWidth="1"/>
    <col min="1524" max="1524" width="27.5703125" customWidth="1"/>
    <col min="1525" max="1525" width="6.7109375" customWidth="1"/>
    <col min="1526" max="1526" width="14.140625" customWidth="1"/>
    <col min="1527" max="1527" width="14.7109375" customWidth="1"/>
    <col min="1528" max="1529" width="16.85546875" customWidth="1"/>
    <col min="1530" max="1530" width="9.140625" customWidth="1"/>
    <col min="1531" max="1531" width="15.28515625" customWidth="1"/>
    <col min="1532" max="1532" width="7.7109375" customWidth="1"/>
    <col min="1533" max="1533" width="14.140625" customWidth="1"/>
    <col min="1534" max="1534" width="28.140625" customWidth="1"/>
    <col min="1535" max="1535" width="12.140625" customWidth="1"/>
    <col min="1536" max="1536" width="14.28515625" customWidth="1"/>
    <col min="1537" max="1537" width="28.140625" customWidth="1"/>
    <col min="1538" max="1538" width="35.140625" customWidth="1"/>
    <col min="1778" max="1778" width="9.28515625" customWidth="1"/>
    <col min="1779" max="1779" width="13.7109375" customWidth="1"/>
    <col min="1780" max="1780" width="27.5703125" customWidth="1"/>
    <col min="1781" max="1781" width="6.7109375" customWidth="1"/>
    <col min="1782" max="1782" width="14.140625" customWidth="1"/>
    <col min="1783" max="1783" width="14.7109375" customWidth="1"/>
    <col min="1784" max="1785" width="16.85546875" customWidth="1"/>
    <col min="1786" max="1786" width="9.140625" customWidth="1"/>
    <col min="1787" max="1787" width="15.28515625" customWidth="1"/>
    <col min="1788" max="1788" width="7.7109375" customWidth="1"/>
    <col min="1789" max="1789" width="14.140625" customWidth="1"/>
    <col min="1790" max="1790" width="28.140625" customWidth="1"/>
    <col min="1791" max="1791" width="12.140625" customWidth="1"/>
    <col min="1792" max="1792" width="14.28515625" customWidth="1"/>
    <col min="1793" max="1793" width="28.140625" customWidth="1"/>
    <col min="1794" max="1794" width="35.140625" customWidth="1"/>
    <col min="2034" max="2034" width="9.28515625" customWidth="1"/>
    <col min="2035" max="2035" width="13.7109375" customWidth="1"/>
    <col min="2036" max="2036" width="27.5703125" customWidth="1"/>
    <col min="2037" max="2037" width="6.7109375" customWidth="1"/>
    <col min="2038" max="2038" width="14.140625" customWidth="1"/>
    <col min="2039" max="2039" width="14.7109375" customWidth="1"/>
    <col min="2040" max="2041" width="16.85546875" customWidth="1"/>
    <col min="2042" max="2042" width="9.140625" customWidth="1"/>
    <col min="2043" max="2043" width="15.28515625" customWidth="1"/>
    <col min="2044" max="2044" width="7.7109375" customWidth="1"/>
    <col min="2045" max="2045" width="14.140625" customWidth="1"/>
    <col min="2046" max="2046" width="28.140625" customWidth="1"/>
    <col min="2047" max="2047" width="12.140625" customWidth="1"/>
    <col min="2048" max="2048" width="14.28515625" customWidth="1"/>
    <col min="2049" max="2049" width="28.140625" customWidth="1"/>
    <col min="2050" max="2050" width="35.140625" customWidth="1"/>
    <col min="2290" max="2290" width="9.28515625" customWidth="1"/>
    <col min="2291" max="2291" width="13.7109375" customWidth="1"/>
    <col min="2292" max="2292" width="27.5703125" customWidth="1"/>
    <col min="2293" max="2293" width="6.7109375" customWidth="1"/>
    <col min="2294" max="2294" width="14.140625" customWidth="1"/>
    <col min="2295" max="2295" width="14.7109375" customWidth="1"/>
    <col min="2296" max="2297" width="16.85546875" customWidth="1"/>
    <col min="2298" max="2298" width="9.140625" customWidth="1"/>
    <col min="2299" max="2299" width="15.28515625" customWidth="1"/>
    <col min="2300" max="2300" width="7.7109375" customWidth="1"/>
    <col min="2301" max="2301" width="14.140625" customWidth="1"/>
    <col min="2302" max="2302" width="28.140625" customWidth="1"/>
    <col min="2303" max="2303" width="12.140625" customWidth="1"/>
    <col min="2304" max="2304" width="14.28515625" customWidth="1"/>
    <col min="2305" max="2305" width="28.140625" customWidth="1"/>
    <col min="2306" max="2306" width="35.140625" customWidth="1"/>
    <col min="2546" max="2546" width="9.28515625" customWidth="1"/>
    <col min="2547" max="2547" width="13.7109375" customWidth="1"/>
    <col min="2548" max="2548" width="27.5703125" customWidth="1"/>
    <col min="2549" max="2549" width="6.7109375" customWidth="1"/>
    <col min="2550" max="2550" width="14.140625" customWidth="1"/>
    <col min="2551" max="2551" width="14.7109375" customWidth="1"/>
    <col min="2552" max="2553" width="16.85546875" customWidth="1"/>
    <col min="2554" max="2554" width="9.140625" customWidth="1"/>
    <col min="2555" max="2555" width="15.28515625" customWidth="1"/>
    <col min="2556" max="2556" width="7.7109375" customWidth="1"/>
    <col min="2557" max="2557" width="14.140625" customWidth="1"/>
    <col min="2558" max="2558" width="28.140625" customWidth="1"/>
    <col min="2559" max="2559" width="12.140625" customWidth="1"/>
    <col min="2560" max="2560" width="14.28515625" customWidth="1"/>
    <col min="2561" max="2561" width="28.140625" customWidth="1"/>
    <col min="2562" max="2562" width="35.140625" customWidth="1"/>
    <col min="2802" max="2802" width="9.28515625" customWidth="1"/>
    <col min="2803" max="2803" width="13.7109375" customWidth="1"/>
    <col min="2804" max="2804" width="27.5703125" customWidth="1"/>
    <col min="2805" max="2805" width="6.7109375" customWidth="1"/>
    <col min="2806" max="2806" width="14.140625" customWidth="1"/>
    <col min="2807" max="2807" width="14.7109375" customWidth="1"/>
    <col min="2808" max="2809" width="16.85546875" customWidth="1"/>
    <col min="2810" max="2810" width="9.140625" customWidth="1"/>
    <col min="2811" max="2811" width="15.28515625" customWidth="1"/>
    <col min="2812" max="2812" width="7.7109375" customWidth="1"/>
    <col min="2813" max="2813" width="14.140625" customWidth="1"/>
    <col min="2814" max="2814" width="28.140625" customWidth="1"/>
    <col min="2815" max="2815" width="12.140625" customWidth="1"/>
    <col min="2816" max="2816" width="14.28515625" customWidth="1"/>
    <col min="2817" max="2817" width="28.140625" customWidth="1"/>
    <col min="2818" max="2818" width="35.140625" customWidth="1"/>
    <col min="3058" max="3058" width="9.28515625" customWidth="1"/>
    <col min="3059" max="3059" width="13.7109375" customWidth="1"/>
    <col min="3060" max="3060" width="27.5703125" customWidth="1"/>
    <col min="3061" max="3061" width="6.7109375" customWidth="1"/>
    <col min="3062" max="3062" width="14.140625" customWidth="1"/>
    <col min="3063" max="3063" width="14.7109375" customWidth="1"/>
    <col min="3064" max="3065" width="16.85546875" customWidth="1"/>
    <col min="3066" max="3066" width="9.140625" customWidth="1"/>
    <col min="3067" max="3067" width="15.28515625" customWidth="1"/>
    <col min="3068" max="3068" width="7.7109375" customWidth="1"/>
    <col min="3069" max="3069" width="14.140625" customWidth="1"/>
    <col min="3070" max="3070" width="28.140625" customWidth="1"/>
    <col min="3071" max="3071" width="12.140625" customWidth="1"/>
    <col min="3072" max="3072" width="14.28515625" customWidth="1"/>
    <col min="3073" max="3073" width="28.140625" customWidth="1"/>
    <col min="3074" max="3074" width="35.140625" customWidth="1"/>
    <col min="3314" max="3314" width="9.28515625" customWidth="1"/>
    <col min="3315" max="3315" width="13.7109375" customWidth="1"/>
    <col min="3316" max="3316" width="27.5703125" customWidth="1"/>
    <col min="3317" max="3317" width="6.7109375" customWidth="1"/>
    <col min="3318" max="3318" width="14.140625" customWidth="1"/>
    <col min="3319" max="3319" width="14.7109375" customWidth="1"/>
    <col min="3320" max="3321" width="16.85546875" customWidth="1"/>
    <col min="3322" max="3322" width="9.140625" customWidth="1"/>
    <col min="3323" max="3323" width="15.28515625" customWidth="1"/>
    <col min="3324" max="3324" width="7.7109375" customWidth="1"/>
    <col min="3325" max="3325" width="14.140625" customWidth="1"/>
    <col min="3326" max="3326" width="28.140625" customWidth="1"/>
    <col min="3327" max="3327" width="12.140625" customWidth="1"/>
    <col min="3328" max="3328" width="14.28515625" customWidth="1"/>
    <col min="3329" max="3329" width="28.140625" customWidth="1"/>
    <col min="3330" max="3330" width="35.140625" customWidth="1"/>
    <col min="3570" max="3570" width="9.28515625" customWidth="1"/>
    <col min="3571" max="3571" width="13.7109375" customWidth="1"/>
    <col min="3572" max="3572" width="27.5703125" customWidth="1"/>
    <col min="3573" max="3573" width="6.7109375" customWidth="1"/>
    <col min="3574" max="3574" width="14.140625" customWidth="1"/>
    <col min="3575" max="3575" width="14.7109375" customWidth="1"/>
    <col min="3576" max="3577" width="16.85546875" customWidth="1"/>
    <col min="3578" max="3578" width="9.140625" customWidth="1"/>
    <col min="3579" max="3579" width="15.28515625" customWidth="1"/>
    <col min="3580" max="3580" width="7.7109375" customWidth="1"/>
    <col min="3581" max="3581" width="14.140625" customWidth="1"/>
    <col min="3582" max="3582" width="28.140625" customWidth="1"/>
    <col min="3583" max="3583" width="12.140625" customWidth="1"/>
    <col min="3584" max="3584" width="14.28515625" customWidth="1"/>
    <col min="3585" max="3585" width="28.140625" customWidth="1"/>
    <col min="3586" max="3586" width="35.140625" customWidth="1"/>
    <col min="3826" max="3826" width="9.28515625" customWidth="1"/>
    <col min="3827" max="3827" width="13.7109375" customWidth="1"/>
    <col min="3828" max="3828" width="27.5703125" customWidth="1"/>
    <col min="3829" max="3829" width="6.7109375" customWidth="1"/>
    <col min="3830" max="3830" width="14.140625" customWidth="1"/>
    <col min="3831" max="3831" width="14.7109375" customWidth="1"/>
    <col min="3832" max="3833" width="16.85546875" customWidth="1"/>
    <col min="3834" max="3834" width="9.140625" customWidth="1"/>
    <col min="3835" max="3835" width="15.28515625" customWidth="1"/>
    <col min="3836" max="3836" width="7.7109375" customWidth="1"/>
    <col min="3837" max="3837" width="14.140625" customWidth="1"/>
    <col min="3838" max="3838" width="28.140625" customWidth="1"/>
    <col min="3839" max="3839" width="12.140625" customWidth="1"/>
    <col min="3840" max="3840" width="14.28515625" customWidth="1"/>
    <col min="3841" max="3841" width="28.140625" customWidth="1"/>
    <col min="3842" max="3842" width="35.140625" customWidth="1"/>
    <col min="4082" max="4082" width="9.28515625" customWidth="1"/>
    <col min="4083" max="4083" width="13.7109375" customWidth="1"/>
    <col min="4084" max="4084" width="27.5703125" customWidth="1"/>
    <col min="4085" max="4085" width="6.7109375" customWidth="1"/>
    <col min="4086" max="4086" width="14.140625" customWidth="1"/>
    <col min="4087" max="4087" width="14.7109375" customWidth="1"/>
    <col min="4088" max="4089" width="16.85546875" customWidth="1"/>
    <col min="4090" max="4090" width="9.140625" customWidth="1"/>
    <col min="4091" max="4091" width="15.28515625" customWidth="1"/>
    <col min="4092" max="4092" width="7.7109375" customWidth="1"/>
    <col min="4093" max="4093" width="14.140625" customWidth="1"/>
    <col min="4094" max="4094" width="28.140625" customWidth="1"/>
    <col min="4095" max="4095" width="12.140625" customWidth="1"/>
    <col min="4096" max="4096" width="14.28515625" customWidth="1"/>
    <col min="4097" max="4097" width="28.140625" customWidth="1"/>
    <col min="4098" max="4098" width="35.140625" customWidth="1"/>
    <col min="4338" max="4338" width="9.28515625" customWidth="1"/>
    <col min="4339" max="4339" width="13.7109375" customWidth="1"/>
    <col min="4340" max="4340" width="27.5703125" customWidth="1"/>
    <col min="4341" max="4341" width="6.7109375" customWidth="1"/>
    <col min="4342" max="4342" width="14.140625" customWidth="1"/>
    <col min="4343" max="4343" width="14.7109375" customWidth="1"/>
    <col min="4344" max="4345" width="16.85546875" customWidth="1"/>
    <col min="4346" max="4346" width="9.140625" customWidth="1"/>
    <col min="4347" max="4347" width="15.28515625" customWidth="1"/>
    <col min="4348" max="4348" width="7.7109375" customWidth="1"/>
    <col min="4349" max="4349" width="14.140625" customWidth="1"/>
    <col min="4350" max="4350" width="28.140625" customWidth="1"/>
    <col min="4351" max="4351" width="12.140625" customWidth="1"/>
    <col min="4352" max="4352" width="14.28515625" customWidth="1"/>
    <col min="4353" max="4353" width="28.140625" customWidth="1"/>
    <col min="4354" max="4354" width="35.140625" customWidth="1"/>
    <col min="4594" max="4594" width="9.28515625" customWidth="1"/>
    <col min="4595" max="4595" width="13.7109375" customWidth="1"/>
    <col min="4596" max="4596" width="27.5703125" customWidth="1"/>
    <col min="4597" max="4597" width="6.7109375" customWidth="1"/>
    <col min="4598" max="4598" width="14.140625" customWidth="1"/>
    <col min="4599" max="4599" width="14.7109375" customWidth="1"/>
    <col min="4600" max="4601" width="16.85546875" customWidth="1"/>
    <col min="4602" max="4602" width="9.140625" customWidth="1"/>
    <col min="4603" max="4603" width="15.28515625" customWidth="1"/>
    <col min="4604" max="4604" width="7.7109375" customWidth="1"/>
    <col min="4605" max="4605" width="14.140625" customWidth="1"/>
    <col min="4606" max="4606" width="28.140625" customWidth="1"/>
    <col min="4607" max="4607" width="12.140625" customWidth="1"/>
    <col min="4608" max="4608" width="14.28515625" customWidth="1"/>
    <col min="4609" max="4609" width="28.140625" customWidth="1"/>
    <col min="4610" max="4610" width="35.140625" customWidth="1"/>
    <col min="4850" max="4850" width="9.28515625" customWidth="1"/>
    <col min="4851" max="4851" width="13.7109375" customWidth="1"/>
    <col min="4852" max="4852" width="27.5703125" customWidth="1"/>
    <col min="4853" max="4853" width="6.7109375" customWidth="1"/>
    <col min="4854" max="4854" width="14.140625" customWidth="1"/>
    <col min="4855" max="4855" width="14.7109375" customWidth="1"/>
    <col min="4856" max="4857" width="16.85546875" customWidth="1"/>
    <col min="4858" max="4858" width="9.140625" customWidth="1"/>
    <col min="4859" max="4859" width="15.28515625" customWidth="1"/>
    <col min="4860" max="4860" width="7.7109375" customWidth="1"/>
    <col min="4861" max="4861" width="14.140625" customWidth="1"/>
    <col min="4862" max="4862" width="28.140625" customWidth="1"/>
    <col min="4863" max="4863" width="12.140625" customWidth="1"/>
    <col min="4864" max="4864" width="14.28515625" customWidth="1"/>
    <col min="4865" max="4865" width="28.140625" customWidth="1"/>
    <col min="4866" max="4866" width="35.140625" customWidth="1"/>
    <col min="5106" max="5106" width="9.28515625" customWidth="1"/>
    <col min="5107" max="5107" width="13.7109375" customWidth="1"/>
    <col min="5108" max="5108" width="27.5703125" customWidth="1"/>
    <col min="5109" max="5109" width="6.7109375" customWidth="1"/>
    <col min="5110" max="5110" width="14.140625" customWidth="1"/>
    <col min="5111" max="5111" width="14.7109375" customWidth="1"/>
    <col min="5112" max="5113" width="16.85546875" customWidth="1"/>
    <col min="5114" max="5114" width="9.140625" customWidth="1"/>
    <col min="5115" max="5115" width="15.28515625" customWidth="1"/>
    <col min="5116" max="5116" width="7.7109375" customWidth="1"/>
    <col min="5117" max="5117" width="14.140625" customWidth="1"/>
    <col min="5118" max="5118" width="28.140625" customWidth="1"/>
    <col min="5119" max="5119" width="12.140625" customWidth="1"/>
    <col min="5120" max="5120" width="14.28515625" customWidth="1"/>
    <col min="5121" max="5121" width="28.140625" customWidth="1"/>
    <col min="5122" max="5122" width="35.140625" customWidth="1"/>
    <col min="5362" max="5362" width="9.28515625" customWidth="1"/>
    <col min="5363" max="5363" width="13.7109375" customWidth="1"/>
    <col min="5364" max="5364" width="27.5703125" customWidth="1"/>
    <col min="5365" max="5365" width="6.7109375" customWidth="1"/>
    <col min="5366" max="5366" width="14.140625" customWidth="1"/>
    <col min="5367" max="5367" width="14.7109375" customWidth="1"/>
    <col min="5368" max="5369" width="16.85546875" customWidth="1"/>
    <col min="5370" max="5370" width="9.140625" customWidth="1"/>
    <col min="5371" max="5371" width="15.28515625" customWidth="1"/>
    <col min="5372" max="5372" width="7.7109375" customWidth="1"/>
    <col min="5373" max="5373" width="14.140625" customWidth="1"/>
    <col min="5374" max="5374" width="28.140625" customWidth="1"/>
    <col min="5375" max="5375" width="12.140625" customWidth="1"/>
    <col min="5376" max="5376" width="14.28515625" customWidth="1"/>
    <col min="5377" max="5377" width="28.140625" customWidth="1"/>
    <col min="5378" max="5378" width="35.140625" customWidth="1"/>
    <col min="5618" max="5618" width="9.28515625" customWidth="1"/>
    <col min="5619" max="5619" width="13.7109375" customWidth="1"/>
    <col min="5620" max="5620" width="27.5703125" customWidth="1"/>
    <col min="5621" max="5621" width="6.7109375" customWidth="1"/>
    <col min="5622" max="5622" width="14.140625" customWidth="1"/>
    <col min="5623" max="5623" width="14.7109375" customWidth="1"/>
    <col min="5624" max="5625" width="16.85546875" customWidth="1"/>
    <col min="5626" max="5626" width="9.140625" customWidth="1"/>
    <col min="5627" max="5627" width="15.28515625" customWidth="1"/>
    <col min="5628" max="5628" width="7.7109375" customWidth="1"/>
    <col min="5629" max="5629" width="14.140625" customWidth="1"/>
    <col min="5630" max="5630" width="28.140625" customWidth="1"/>
    <col min="5631" max="5631" width="12.140625" customWidth="1"/>
    <col min="5632" max="5632" width="14.28515625" customWidth="1"/>
    <col min="5633" max="5633" width="28.140625" customWidth="1"/>
    <col min="5634" max="5634" width="35.140625" customWidth="1"/>
    <col min="5874" max="5874" width="9.28515625" customWidth="1"/>
    <col min="5875" max="5875" width="13.7109375" customWidth="1"/>
    <col min="5876" max="5876" width="27.5703125" customWidth="1"/>
    <col min="5877" max="5877" width="6.7109375" customWidth="1"/>
    <col min="5878" max="5878" width="14.140625" customWidth="1"/>
    <col min="5879" max="5879" width="14.7109375" customWidth="1"/>
    <col min="5880" max="5881" width="16.85546875" customWidth="1"/>
    <col min="5882" max="5882" width="9.140625" customWidth="1"/>
    <col min="5883" max="5883" width="15.28515625" customWidth="1"/>
    <col min="5884" max="5884" width="7.7109375" customWidth="1"/>
    <col min="5885" max="5885" width="14.140625" customWidth="1"/>
    <col min="5886" max="5886" width="28.140625" customWidth="1"/>
    <col min="5887" max="5887" width="12.140625" customWidth="1"/>
    <col min="5888" max="5888" width="14.28515625" customWidth="1"/>
    <col min="5889" max="5889" width="28.140625" customWidth="1"/>
    <col min="5890" max="5890" width="35.140625" customWidth="1"/>
    <col min="6130" max="6130" width="9.28515625" customWidth="1"/>
    <col min="6131" max="6131" width="13.7109375" customWidth="1"/>
    <col min="6132" max="6132" width="27.5703125" customWidth="1"/>
    <col min="6133" max="6133" width="6.7109375" customWidth="1"/>
    <col min="6134" max="6134" width="14.140625" customWidth="1"/>
    <col min="6135" max="6135" width="14.7109375" customWidth="1"/>
    <col min="6136" max="6137" width="16.85546875" customWidth="1"/>
    <col min="6138" max="6138" width="9.140625" customWidth="1"/>
    <col min="6139" max="6139" width="15.28515625" customWidth="1"/>
    <col min="6140" max="6140" width="7.7109375" customWidth="1"/>
    <col min="6141" max="6141" width="14.140625" customWidth="1"/>
    <col min="6142" max="6142" width="28.140625" customWidth="1"/>
    <col min="6143" max="6143" width="12.140625" customWidth="1"/>
    <col min="6144" max="6144" width="14.28515625" customWidth="1"/>
    <col min="6145" max="6145" width="28.140625" customWidth="1"/>
    <col min="6146" max="6146" width="35.140625" customWidth="1"/>
    <col min="6386" max="6386" width="9.28515625" customWidth="1"/>
    <col min="6387" max="6387" width="13.7109375" customWidth="1"/>
    <col min="6388" max="6388" width="27.5703125" customWidth="1"/>
    <col min="6389" max="6389" width="6.7109375" customWidth="1"/>
    <col min="6390" max="6390" width="14.140625" customWidth="1"/>
    <col min="6391" max="6391" width="14.7109375" customWidth="1"/>
    <col min="6392" max="6393" width="16.85546875" customWidth="1"/>
    <col min="6394" max="6394" width="9.140625" customWidth="1"/>
    <col min="6395" max="6395" width="15.28515625" customWidth="1"/>
    <col min="6396" max="6396" width="7.7109375" customWidth="1"/>
    <col min="6397" max="6397" width="14.140625" customWidth="1"/>
    <col min="6398" max="6398" width="28.140625" customWidth="1"/>
    <col min="6399" max="6399" width="12.140625" customWidth="1"/>
    <col min="6400" max="6400" width="14.28515625" customWidth="1"/>
    <col min="6401" max="6401" width="28.140625" customWidth="1"/>
    <col min="6402" max="6402" width="35.140625" customWidth="1"/>
    <col min="6642" max="6642" width="9.28515625" customWidth="1"/>
    <col min="6643" max="6643" width="13.7109375" customWidth="1"/>
    <col min="6644" max="6644" width="27.5703125" customWidth="1"/>
    <col min="6645" max="6645" width="6.7109375" customWidth="1"/>
    <col min="6646" max="6646" width="14.140625" customWidth="1"/>
    <col min="6647" max="6647" width="14.7109375" customWidth="1"/>
    <col min="6648" max="6649" width="16.85546875" customWidth="1"/>
    <col min="6650" max="6650" width="9.140625" customWidth="1"/>
    <col min="6651" max="6651" width="15.28515625" customWidth="1"/>
    <col min="6652" max="6652" width="7.7109375" customWidth="1"/>
    <col min="6653" max="6653" width="14.140625" customWidth="1"/>
    <col min="6654" max="6654" width="28.140625" customWidth="1"/>
    <col min="6655" max="6655" width="12.140625" customWidth="1"/>
    <col min="6656" max="6656" width="14.28515625" customWidth="1"/>
    <col min="6657" max="6657" width="28.140625" customWidth="1"/>
    <col min="6658" max="6658" width="35.140625" customWidth="1"/>
    <col min="6898" max="6898" width="9.28515625" customWidth="1"/>
    <col min="6899" max="6899" width="13.7109375" customWidth="1"/>
    <col min="6900" max="6900" width="27.5703125" customWidth="1"/>
    <col min="6901" max="6901" width="6.7109375" customWidth="1"/>
    <col min="6902" max="6902" width="14.140625" customWidth="1"/>
    <col min="6903" max="6903" width="14.7109375" customWidth="1"/>
    <col min="6904" max="6905" width="16.85546875" customWidth="1"/>
    <col min="6906" max="6906" width="9.140625" customWidth="1"/>
    <col min="6907" max="6907" width="15.28515625" customWidth="1"/>
    <col min="6908" max="6908" width="7.7109375" customWidth="1"/>
    <col min="6909" max="6909" width="14.140625" customWidth="1"/>
    <col min="6910" max="6910" width="28.140625" customWidth="1"/>
    <col min="6911" max="6911" width="12.140625" customWidth="1"/>
    <col min="6912" max="6912" width="14.28515625" customWidth="1"/>
    <col min="6913" max="6913" width="28.140625" customWidth="1"/>
    <col min="6914" max="6914" width="35.140625" customWidth="1"/>
    <col min="7154" max="7154" width="9.28515625" customWidth="1"/>
    <col min="7155" max="7155" width="13.7109375" customWidth="1"/>
    <col min="7156" max="7156" width="27.5703125" customWidth="1"/>
    <col min="7157" max="7157" width="6.7109375" customWidth="1"/>
    <col min="7158" max="7158" width="14.140625" customWidth="1"/>
    <col min="7159" max="7159" width="14.7109375" customWidth="1"/>
    <col min="7160" max="7161" width="16.85546875" customWidth="1"/>
    <col min="7162" max="7162" width="9.140625" customWidth="1"/>
    <col min="7163" max="7163" width="15.28515625" customWidth="1"/>
    <col min="7164" max="7164" width="7.7109375" customWidth="1"/>
    <col min="7165" max="7165" width="14.140625" customWidth="1"/>
    <col min="7166" max="7166" width="28.140625" customWidth="1"/>
    <col min="7167" max="7167" width="12.140625" customWidth="1"/>
    <col min="7168" max="7168" width="14.28515625" customWidth="1"/>
    <col min="7169" max="7169" width="28.140625" customWidth="1"/>
    <col min="7170" max="7170" width="35.140625" customWidth="1"/>
    <col min="7410" max="7410" width="9.28515625" customWidth="1"/>
    <col min="7411" max="7411" width="13.7109375" customWidth="1"/>
    <col min="7412" max="7412" width="27.5703125" customWidth="1"/>
    <col min="7413" max="7413" width="6.7109375" customWidth="1"/>
    <col min="7414" max="7414" width="14.140625" customWidth="1"/>
    <col min="7415" max="7415" width="14.7109375" customWidth="1"/>
    <col min="7416" max="7417" width="16.85546875" customWidth="1"/>
    <col min="7418" max="7418" width="9.140625" customWidth="1"/>
    <col min="7419" max="7419" width="15.28515625" customWidth="1"/>
    <col min="7420" max="7420" width="7.7109375" customWidth="1"/>
    <col min="7421" max="7421" width="14.140625" customWidth="1"/>
    <col min="7422" max="7422" width="28.140625" customWidth="1"/>
    <col min="7423" max="7423" width="12.140625" customWidth="1"/>
    <col min="7424" max="7424" width="14.28515625" customWidth="1"/>
    <col min="7425" max="7425" width="28.140625" customWidth="1"/>
    <col min="7426" max="7426" width="35.140625" customWidth="1"/>
    <col min="7666" max="7666" width="9.28515625" customWidth="1"/>
    <col min="7667" max="7667" width="13.7109375" customWidth="1"/>
    <col min="7668" max="7668" width="27.5703125" customWidth="1"/>
    <col min="7669" max="7669" width="6.7109375" customWidth="1"/>
    <col min="7670" max="7670" width="14.140625" customWidth="1"/>
    <col min="7671" max="7671" width="14.7109375" customWidth="1"/>
    <col min="7672" max="7673" width="16.85546875" customWidth="1"/>
    <col min="7674" max="7674" width="9.140625" customWidth="1"/>
    <col min="7675" max="7675" width="15.28515625" customWidth="1"/>
    <col min="7676" max="7676" width="7.7109375" customWidth="1"/>
    <col min="7677" max="7677" width="14.140625" customWidth="1"/>
    <col min="7678" max="7678" width="28.140625" customWidth="1"/>
    <col min="7679" max="7679" width="12.140625" customWidth="1"/>
    <col min="7680" max="7680" width="14.28515625" customWidth="1"/>
    <col min="7681" max="7681" width="28.140625" customWidth="1"/>
    <col min="7682" max="7682" width="35.140625" customWidth="1"/>
    <col min="7922" max="7922" width="9.28515625" customWidth="1"/>
    <col min="7923" max="7923" width="13.7109375" customWidth="1"/>
    <col min="7924" max="7924" width="27.5703125" customWidth="1"/>
    <col min="7925" max="7925" width="6.7109375" customWidth="1"/>
    <col min="7926" max="7926" width="14.140625" customWidth="1"/>
    <col min="7927" max="7927" width="14.7109375" customWidth="1"/>
    <col min="7928" max="7929" width="16.85546875" customWidth="1"/>
    <col min="7930" max="7930" width="9.140625" customWidth="1"/>
    <col min="7931" max="7931" width="15.28515625" customWidth="1"/>
    <col min="7932" max="7932" width="7.7109375" customWidth="1"/>
    <col min="7933" max="7933" width="14.140625" customWidth="1"/>
    <col min="7934" max="7934" width="28.140625" customWidth="1"/>
    <col min="7935" max="7935" width="12.140625" customWidth="1"/>
    <col min="7936" max="7936" width="14.28515625" customWidth="1"/>
    <col min="7937" max="7937" width="28.140625" customWidth="1"/>
    <col min="7938" max="7938" width="35.140625" customWidth="1"/>
    <col min="8178" max="8178" width="9.28515625" customWidth="1"/>
    <col min="8179" max="8179" width="13.7109375" customWidth="1"/>
    <col min="8180" max="8180" width="27.5703125" customWidth="1"/>
    <col min="8181" max="8181" width="6.7109375" customWidth="1"/>
    <col min="8182" max="8182" width="14.140625" customWidth="1"/>
    <col min="8183" max="8183" width="14.7109375" customWidth="1"/>
    <col min="8184" max="8185" width="16.85546875" customWidth="1"/>
    <col min="8186" max="8186" width="9.140625" customWidth="1"/>
    <col min="8187" max="8187" width="15.28515625" customWidth="1"/>
    <col min="8188" max="8188" width="7.7109375" customWidth="1"/>
    <col min="8189" max="8189" width="14.140625" customWidth="1"/>
    <col min="8190" max="8190" width="28.140625" customWidth="1"/>
    <col min="8191" max="8191" width="12.140625" customWidth="1"/>
    <col min="8192" max="8192" width="14.28515625" customWidth="1"/>
    <col min="8193" max="8193" width="28.140625" customWidth="1"/>
    <col min="8194" max="8194" width="35.140625" customWidth="1"/>
    <col min="8434" max="8434" width="9.28515625" customWidth="1"/>
    <col min="8435" max="8435" width="13.7109375" customWidth="1"/>
    <col min="8436" max="8436" width="27.5703125" customWidth="1"/>
    <col min="8437" max="8437" width="6.7109375" customWidth="1"/>
    <col min="8438" max="8438" width="14.140625" customWidth="1"/>
    <col min="8439" max="8439" width="14.7109375" customWidth="1"/>
    <col min="8440" max="8441" width="16.85546875" customWidth="1"/>
    <col min="8442" max="8442" width="9.140625" customWidth="1"/>
    <col min="8443" max="8443" width="15.28515625" customWidth="1"/>
    <col min="8444" max="8444" width="7.7109375" customWidth="1"/>
    <col min="8445" max="8445" width="14.140625" customWidth="1"/>
    <col min="8446" max="8446" width="28.140625" customWidth="1"/>
    <col min="8447" max="8447" width="12.140625" customWidth="1"/>
    <col min="8448" max="8448" width="14.28515625" customWidth="1"/>
    <col min="8449" max="8449" width="28.140625" customWidth="1"/>
    <col min="8450" max="8450" width="35.140625" customWidth="1"/>
    <col min="8690" max="8690" width="9.28515625" customWidth="1"/>
    <col min="8691" max="8691" width="13.7109375" customWidth="1"/>
    <col min="8692" max="8692" width="27.5703125" customWidth="1"/>
    <col min="8693" max="8693" width="6.7109375" customWidth="1"/>
    <col min="8694" max="8694" width="14.140625" customWidth="1"/>
    <col min="8695" max="8695" width="14.7109375" customWidth="1"/>
    <col min="8696" max="8697" width="16.85546875" customWidth="1"/>
    <col min="8698" max="8698" width="9.140625" customWidth="1"/>
    <col min="8699" max="8699" width="15.28515625" customWidth="1"/>
    <col min="8700" max="8700" width="7.7109375" customWidth="1"/>
    <col min="8701" max="8701" width="14.140625" customWidth="1"/>
    <col min="8702" max="8702" width="28.140625" customWidth="1"/>
    <col min="8703" max="8703" width="12.140625" customWidth="1"/>
    <col min="8704" max="8704" width="14.28515625" customWidth="1"/>
    <col min="8705" max="8705" width="28.140625" customWidth="1"/>
    <col min="8706" max="8706" width="35.140625" customWidth="1"/>
    <col min="8946" max="8946" width="9.28515625" customWidth="1"/>
    <col min="8947" max="8947" width="13.7109375" customWidth="1"/>
    <col min="8948" max="8948" width="27.5703125" customWidth="1"/>
    <col min="8949" max="8949" width="6.7109375" customWidth="1"/>
    <col min="8950" max="8950" width="14.140625" customWidth="1"/>
    <col min="8951" max="8951" width="14.7109375" customWidth="1"/>
    <col min="8952" max="8953" width="16.85546875" customWidth="1"/>
    <col min="8954" max="8954" width="9.140625" customWidth="1"/>
    <col min="8955" max="8955" width="15.28515625" customWidth="1"/>
    <col min="8956" max="8956" width="7.7109375" customWidth="1"/>
    <col min="8957" max="8957" width="14.140625" customWidth="1"/>
    <col min="8958" max="8958" width="28.140625" customWidth="1"/>
    <col min="8959" max="8959" width="12.140625" customWidth="1"/>
    <col min="8960" max="8960" width="14.28515625" customWidth="1"/>
    <col min="8961" max="8961" width="28.140625" customWidth="1"/>
    <col min="8962" max="8962" width="35.140625" customWidth="1"/>
    <col min="9202" max="9202" width="9.28515625" customWidth="1"/>
    <col min="9203" max="9203" width="13.7109375" customWidth="1"/>
    <col min="9204" max="9204" width="27.5703125" customWidth="1"/>
    <col min="9205" max="9205" width="6.7109375" customWidth="1"/>
    <col min="9206" max="9206" width="14.140625" customWidth="1"/>
    <col min="9207" max="9207" width="14.7109375" customWidth="1"/>
    <col min="9208" max="9209" width="16.85546875" customWidth="1"/>
    <col min="9210" max="9210" width="9.140625" customWidth="1"/>
    <col min="9211" max="9211" width="15.28515625" customWidth="1"/>
    <col min="9212" max="9212" width="7.7109375" customWidth="1"/>
    <col min="9213" max="9213" width="14.140625" customWidth="1"/>
    <col min="9214" max="9214" width="28.140625" customWidth="1"/>
    <col min="9215" max="9215" width="12.140625" customWidth="1"/>
    <col min="9216" max="9216" width="14.28515625" customWidth="1"/>
    <col min="9217" max="9217" width="28.140625" customWidth="1"/>
    <col min="9218" max="9218" width="35.140625" customWidth="1"/>
    <col min="9458" max="9458" width="9.28515625" customWidth="1"/>
    <col min="9459" max="9459" width="13.7109375" customWidth="1"/>
    <col min="9460" max="9460" width="27.5703125" customWidth="1"/>
    <col min="9461" max="9461" width="6.7109375" customWidth="1"/>
    <col min="9462" max="9462" width="14.140625" customWidth="1"/>
    <col min="9463" max="9463" width="14.7109375" customWidth="1"/>
    <col min="9464" max="9465" width="16.85546875" customWidth="1"/>
    <col min="9466" max="9466" width="9.140625" customWidth="1"/>
    <col min="9467" max="9467" width="15.28515625" customWidth="1"/>
    <col min="9468" max="9468" width="7.7109375" customWidth="1"/>
    <col min="9469" max="9469" width="14.140625" customWidth="1"/>
    <col min="9470" max="9470" width="28.140625" customWidth="1"/>
    <col min="9471" max="9471" width="12.140625" customWidth="1"/>
    <col min="9472" max="9472" width="14.28515625" customWidth="1"/>
    <col min="9473" max="9473" width="28.140625" customWidth="1"/>
    <col min="9474" max="9474" width="35.140625" customWidth="1"/>
    <col min="9714" max="9714" width="9.28515625" customWidth="1"/>
    <col min="9715" max="9715" width="13.7109375" customWidth="1"/>
    <col min="9716" max="9716" width="27.5703125" customWidth="1"/>
    <col min="9717" max="9717" width="6.7109375" customWidth="1"/>
    <col min="9718" max="9718" width="14.140625" customWidth="1"/>
    <col min="9719" max="9719" width="14.7109375" customWidth="1"/>
    <col min="9720" max="9721" width="16.85546875" customWidth="1"/>
    <col min="9722" max="9722" width="9.140625" customWidth="1"/>
    <col min="9723" max="9723" width="15.28515625" customWidth="1"/>
    <col min="9724" max="9724" width="7.7109375" customWidth="1"/>
    <col min="9725" max="9725" width="14.140625" customWidth="1"/>
    <col min="9726" max="9726" width="28.140625" customWidth="1"/>
    <col min="9727" max="9727" width="12.140625" customWidth="1"/>
    <col min="9728" max="9728" width="14.28515625" customWidth="1"/>
    <col min="9729" max="9729" width="28.140625" customWidth="1"/>
    <col min="9730" max="9730" width="35.140625" customWidth="1"/>
    <col min="9970" max="9970" width="9.28515625" customWidth="1"/>
    <col min="9971" max="9971" width="13.7109375" customWidth="1"/>
    <col min="9972" max="9972" width="27.5703125" customWidth="1"/>
    <col min="9973" max="9973" width="6.7109375" customWidth="1"/>
    <col min="9974" max="9974" width="14.140625" customWidth="1"/>
    <col min="9975" max="9975" width="14.7109375" customWidth="1"/>
    <col min="9976" max="9977" width="16.85546875" customWidth="1"/>
    <col min="9978" max="9978" width="9.140625" customWidth="1"/>
    <col min="9979" max="9979" width="15.28515625" customWidth="1"/>
    <col min="9980" max="9980" width="7.7109375" customWidth="1"/>
    <col min="9981" max="9981" width="14.140625" customWidth="1"/>
    <col min="9982" max="9982" width="28.140625" customWidth="1"/>
    <col min="9983" max="9983" width="12.140625" customWidth="1"/>
    <col min="9984" max="9984" width="14.28515625" customWidth="1"/>
    <col min="9985" max="9985" width="28.140625" customWidth="1"/>
    <col min="9986" max="9986" width="35.140625" customWidth="1"/>
    <col min="10226" max="10226" width="9.28515625" customWidth="1"/>
    <col min="10227" max="10227" width="13.7109375" customWidth="1"/>
    <col min="10228" max="10228" width="27.5703125" customWidth="1"/>
    <col min="10229" max="10229" width="6.7109375" customWidth="1"/>
    <col min="10230" max="10230" width="14.140625" customWidth="1"/>
    <col min="10231" max="10231" width="14.7109375" customWidth="1"/>
    <col min="10232" max="10233" width="16.85546875" customWidth="1"/>
    <col min="10234" max="10234" width="9.140625" customWidth="1"/>
    <col min="10235" max="10235" width="15.28515625" customWidth="1"/>
    <col min="10236" max="10236" width="7.7109375" customWidth="1"/>
    <col min="10237" max="10237" width="14.140625" customWidth="1"/>
    <col min="10238" max="10238" width="28.140625" customWidth="1"/>
    <col min="10239" max="10239" width="12.140625" customWidth="1"/>
    <col min="10240" max="10240" width="14.28515625" customWidth="1"/>
    <col min="10241" max="10241" width="28.140625" customWidth="1"/>
    <col min="10242" max="10242" width="35.140625" customWidth="1"/>
    <col min="10482" max="10482" width="9.28515625" customWidth="1"/>
    <col min="10483" max="10483" width="13.7109375" customWidth="1"/>
    <col min="10484" max="10484" width="27.5703125" customWidth="1"/>
    <col min="10485" max="10485" width="6.7109375" customWidth="1"/>
    <col min="10486" max="10486" width="14.140625" customWidth="1"/>
    <col min="10487" max="10487" width="14.7109375" customWidth="1"/>
    <col min="10488" max="10489" width="16.85546875" customWidth="1"/>
    <col min="10490" max="10490" width="9.140625" customWidth="1"/>
    <col min="10491" max="10491" width="15.28515625" customWidth="1"/>
    <col min="10492" max="10492" width="7.7109375" customWidth="1"/>
    <col min="10493" max="10493" width="14.140625" customWidth="1"/>
    <col min="10494" max="10494" width="28.140625" customWidth="1"/>
    <col min="10495" max="10495" width="12.140625" customWidth="1"/>
    <col min="10496" max="10496" width="14.28515625" customWidth="1"/>
    <col min="10497" max="10497" width="28.140625" customWidth="1"/>
    <col min="10498" max="10498" width="35.140625" customWidth="1"/>
    <col min="10738" max="10738" width="9.28515625" customWidth="1"/>
    <col min="10739" max="10739" width="13.7109375" customWidth="1"/>
    <col min="10740" max="10740" width="27.5703125" customWidth="1"/>
    <col min="10741" max="10741" width="6.7109375" customWidth="1"/>
    <col min="10742" max="10742" width="14.140625" customWidth="1"/>
    <col min="10743" max="10743" width="14.7109375" customWidth="1"/>
    <col min="10744" max="10745" width="16.85546875" customWidth="1"/>
    <col min="10746" max="10746" width="9.140625" customWidth="1"/>
    <col min="10747" max="10747" width="15.28515625" customWidth="1"/>
    <col min="10748" max="10748" width="7.7109375" customWidth="1"/>
    <col min="10749" max="10749" width="14.140625" customWidth="1"/>
    <col min="10750" max="10750" width="28.140625" customWidth="1"/>
    <col min="10751" max="10751" width="12.140625" customWidth="1"/>
    <col min="10752" max="10752" width="14.28515625" customWidth="1"/>
    <col min="10753" max="10753" width="28.140625" customWidth="1"/>
    <col min="10754" max="10754" width="35.140625" customWidth="1"/>
    <col min="10994" max="10994" width="9.28515625" customWidth="1"/>
    <col min="10995" max="10995" width="13.7109375" customWidth="1"/>
    <col min="10996" max="10996" width="27.5703125" customWidth="1"/>
    <col min="10997" max="10997" width="6.7109375" customWidth="1"/>
    <col min="10998" max="10998" width="14.140625" customWidth="1"/>
    <col min="10999" max="10999" width="14.7109375" customWidth="1"/>
    <col min="11000" max="11001" width="16.85546875" customWidth="1"/>
    <col min="11002" max="11002" width="9.140625" customWidth="1"/>
    <col min="11003" max="11003" width="15.28515625" customWidth="1"/>
    <col min="11004" max="11004" width="7.7109375" customWidth="1"/>
    <col min="11005" max="11005" width="14.140625" customWidth="1"/>
    <col min="11006" max="11006" width="28.140625" customWidth="1"/>
    <col min="11007" max="11007" width="12.140625" customWidth="1"/>
    <col min="11008" max="11008" width="14.28515625" customWidth="1"/>
    <col min="11009" max="11009" width="28.140625" customWidth="1"/>
    <col min="11010" max="11010" width="35.140625" customWidth="1"/>
    <col min="11250" max="11250" width="9.28515625" customWidth="1"/>
    <col min="11251" max="11251" width="13.7109375" customWidth="1"/>
    <col min="11252" max="11252" width="27.5703125" customWidth="1"/>
    <col min="11253" max="11253" width="6.7109375" customWidth="1"/>
    <col min="11254" max="11254" width="14.140625" customWidth="1"/>
    <col min="11255" max="11255" width="14.7109375" customWidth="1"/>
    <col min="11256" max="11257" width="16.85546875" customWidth="1"/>
    <col min="11258" max="11258" width="9.140625" customWidth="1"/>
    <col min="11259" max="11259" width="15.28515625" customWidth="1"/>
    <col min="11260" max="11260" width="7.7109375" customWidth="1"/>
    <col min="11261" max="11261" width="14.140625" customWidth="1"/>
    <col min="11262" max="11262" width="28.140625" customWidth="1"/>
    <col min="11263" max="11263" width="12.140625" customWidth="1"/>
    <col min="11264" max="11264" width="14.28515625" customWidth="1"/>
    <col min="11265" max="11265" width="28.140625" customWidth="1"/>
    <col min="11266" max="11266" width="35.140625" customWidth="1"/>
    <col min="11506" max="11506" width="9.28515625" customWidth="1"/>
    <col min="11507" max="11507" width="13.7109375" customWidth="1"/>
    <col min="11508" max="11508" width="27.5703125" customWidth="1"/>
    <col min="11509" max="11509" width="6.7109375" customWidth="1"/>
    <col min="11510" max="11510" width="14.140625" customWidth="1"/>
    <col min="11511" max="11511" width="14.7109375" customWidth="1"/>
    <col min="11512" max="11513" width="16.85546875" customWidth="1"/>
    <col min="11514" max="11514" width="9.140625" customWidth="1"/>
    <col min="11515" max="11515" width="15.28515625" customWidth="1"/>
    <col min="11516" max="11516" width="7.7109375" customWidth="1"/>
    <col min="11517" max="11517" width="14.140625" customWidth="1"/>
    <col min="11518" max="11518" width="28.140625" customWidth="1"/>
    <col min="11519" max="11519" width="12.140625" customWidth="1"/>
    <col min="11520" max="11520" width="14.28515625" customWidth="1"/>
    <col min="11521" max="11521" width="28.140625" customWidth="1"/>
    <col min="11522" max="11522" width="35.140625" customWidth="1"/>
    <col min="11762" max="11762" width="9.28515625" customWidth="1"/>
    <col min="11763" max="11763" width="13.7109375" customWidth="1"/>
    <col min="11764" max="11764" width="27.5703125" customWidth="1"/>
    <col min="11765" max="11765" width="6.7109375" customWidth="1"/>
    <col min="11766" max="11766" width="14.140625" customWidth="1"/>
    <col min="11767" max="11767" width="14.7109375" customWidth="1"/>
    <col min="11768" max="11769" width="16.85546875" customWidth="1"/>
    <col min="11770" max="11770" width="9.140625" customWidth="1"/>
    <col min="11771" max="11771" width="15.28515625" customWidth="1"/>
    <col min="11772" max="11772" width="7.7109375" customWidth="1"/>
    <col min="11773" max="11773" width="14.140625" customWidth="1"/>
    <col min="11774" max="11774" width="28.140625" customWidth="1"/>
    <col min="11775" max="11775" width="12.140625" customWidth="1"/>
    <col min="11776" max="11776" width="14.28515625" customWidth="1"/>
    <col min="11777" max="11777" width="28.140625" customWidth="1"/>
    <col min="11778" max="11778" width="35.140625" customWidth="1"/>
    <col min="12018" max="12018" width="9.28515625" customWidth="1"/>
    <col min="12019" max="12019" width="13.7109375" customWidth="1"/>
    <col min="12020" max="12020" width="27.5703125" customWidth="1"/>
    <col min="12021" max="12021" width="6.7109375" customWidth="1"/>
    <col min="12022" max="12022" width="14.140625" customWidth="1"/>
    <col min="12023" max="12023" width="14.7109375" customWidth="1"/>
    <col min="12024" max="12025" width="16.85546875" customWidth="1"/>
    <col min="12026" max="12026" width="9.140625" customWidth="1"/>
    <col min="12027" max="12027" width="15.28515625" customWidth="1"/>
    <col min="12028" max="12028" width="7.7109375" customWidth="1"/>
    <col min="12029" max="12029" width="14.140625" customWidth="1"/>
    <col min="12030" max="12030" width="28.140625" customWidth="1"/>
    <col min="12031" max="12031" width="12.140625" customWidth="1"/>
    <col min="12032" max="12032" width="14.28515625" customWidth="1"/>
    <col min="12033" max="12033" width="28.140625" customWidth="1"/>
    <col min="12034" max="12034" width="35.140625" customWidth="1"/>
    <col min="12274" max="12274" width="9.28515625" customWidth="1"/>
    <col min="12275" max="12275" width="13.7109375" customWidth="1"/>
    <col min="12276" max="12276" width="27.5703125" customWidth="1"/>
    <col min="12277" max="12277" width="6.7109375" customWidth="1"/>
    <col min="12278" max="12278" width="14.140625" customWidth="1"/>
    <col min="12279" max="12279" width="14.7109375" customWidth="1"/>
    <col min="12280" max="12281" width="16.85546875" customWidth="1"/>
    <col min="12282" max="12282" width="9.140625" customWidth="1"/>
    <col min="12283" max="12283" width="15.28515625" customWidth="1"/>
    <col min="12284" max="12284" width="7.7109375" customWidth="1"/>
    <col min="12285" max="12285" width="14.140625" customWidth="1"/>
    <col min="12286" max="12286" width="28.140625" customWidth="1"/>
    <col min="12287" max="12287" width="12.140625" customWidth="1"/>
    <col min="12288" max="12288" width="14.28515625" customWidth="1"/>
    <col min="12289" max="12289" width="28.140625" customWidth="1"/>
    <col min="12290" max="12290" width="35.140625" customWidth="1"/>
    <col min="12530" max="12530" width="9.28515625" customWidth="1"/>
    <col min="12531" max="12531" width="13.7109375" customWidth="1"/>
    <col min="12532" max="12532" width="27.5703125" customWidth="1"/>
    <col min="12533" max="12533" width="6.7109375" customWidth="1"/>
    <col min="12534" max="12534" width="14.140625" customWidth="1"/>
    <col min="12535" max="12535" width="14.7109375" customWidth="1"/>
    <col min="12536" max="12537" width="16.85546875" customWidth="1"/>
    <col min="12538" max="12538" width="9.140625" customWidth="1"/>
    <col min="12539" max="12539" width="15.28515625" customWidth="1"/>
    <col min="12540" max="12540" width="7.7109375" customWidth="1"/>
    <col min="12541" max="12541" width="14.140625" customWidth="1"/>
    <col min="12542" max="12542" width="28.140625" customWidth="1"/>
    <col min="12543" max="12543" width="12.140625" customWidth="1"/>
    <col min="12544" max="12544" width="14.28515625" customWidth="1"/>
    <col min="12545" max="12545" width="28.140625" customWidth="1"/>
    <col min="12546" max="12546" width="35.140625" customWidth="1"/>
    <col min="12786" max="12786" width="9.28515625" customWidth="1"/>
    <col min="12787" max="12787" width="13.7109375" customWidth="1"/>
    <col min="12788" max="12788" width="27.5703125" customWidth="1"/>
    <col min="12789" max="12789" width="6.7109375" customWidth="1"/>
    <col min="12790" max="12790" width="14.140625" customWidth="1"/>
    <col min="12791" max="12791" width="14.7109375" customWidth="1"/>
    <col min="12792" max="12793" width="16.85546875" customWidth="1"/>
    <col min="12794" max="12794" width="9.140625" customWidth="1"/>
    <col min="12795" max="12795" width="15.28515625" customWidth="1"/>
    <col min="12796" max="12796" width="7.7109375" customWidth="1"/>
    <col min="12797" max="12797" width="14.140625" customWidth="1"/>
    <col min="12798" max="12798" width="28.140625" customWidth="1"/>
    <col min="12799" max="12799" width="12.140625" customWidth="1"/>
    <col min="12800" max="12800" width="14.28515625" customWidth="1"/>
    <col min="12801" max="12801" width="28.140625" customWidth="1"/>
    <col min="12802" max="12802" width="35.140625" customWidth="1"/>
    <col min="13042" max="13042" width="9.28515625" customWidth="1"/>
    <col min="13043" max="13043" width="13.7109375" customWidth="1"/>
    <col min="13044" max="13044" width="27.5703125" customWidth="1"/>
    <col min="13045" max="13045" width="6.7109375" customWidth="1"/>
    <col min="13046" max="13046" width="14.140625" customWidth="1"/>
    <col min="13047" max="13047" width="14.7109375" customWidth="1"/>
    <col min="13048" max="13049" width="16.85546875" customWidth="1"/>
    <col min="13050" max="13050" width="9.140625" customWidth="1"/>
    <col min="13051" max="13051" width="15.28515625" customWidth="1"/>
    <col min="13052" max="13052" width="7.7109375" customWidth="1"/>
    <col min="13053" max="13053" width="14.140625" customWidth="1"/>
    <col min="13054" max="13054" width="28.140625" customWidth="1"/>
    <col min="13055" max="13055" width="12.140625" customWidth="1"/>
    <col min="13056" max="13056" width="14.28515625" customWidth="1"/>
    <col min="13057" max="13057" width="28.140625" customWidth="1"/>
    <col min="13058" max="13058" width="35.140625" customWidth="1"/>
    <col min="13298" max="13298" width="9.28515625" customWidth="1"/>
    <col min="13299" max="13299" width="13.7109375" customWidth="1"/>
    <col min="13300" max="13300" width="27.5703125" customWidth="1"/>
    <col min="13301" max="13301" width="6.7109375" customWidth="1"/>
    <col min="13302" max="13302" width="14.140625" customWidth="1"/>
    <col min="13303" max="13303" width="14.7109375" customWidth="1"/>
    <col min="13304" max="13305" width="16.85546875" customWidth="1"/>
    <col min="13306" max="13306" width="9.140625" customWidth="1"/>
    <col min="13307" max="13307" width="15.28515625" customWidth="1"/>
    <col min="13308" max="13308" width="7.7109375" customWidth="1"/>
    <col min="13309" max="13309" width="14.140625" customWidth="1"/>
    <col min="13310" max="13310" width="28.140625" customWidth="1"/>
    <col min="13311" max="13311" width="12.140625" customWidth="1"/>
    <col min="13312" max="13312" width="14.28515625" customWidth="1"/>
    <col min="13313" max="13313" width="28.140625" customWidth="1"/>
    <col min="13314" max="13314" width="35.140625" customWidth="1"/>
    <col min="13554" max="13554" width="9.28515625" customWidth="1"/>
    <col min="13555" max="13555" width="13.7109375" customWidth="1"/>
    <col min="13556" max="13556" width="27.5703125" customWidth="1"/>
    <col min="13557" max="13557" width="6.7109375" customWidth="1"/>
    <col min="13558" max="13558" width="14.140625" customWidth="1"/>
    <col min="13559" max="13559" width="14.7109375" customWidth="1"/>
    <col min="13560" max="13561" width="16.85546875" customWidth="1"/>
    <col min="13562" max="13562" width="9.140625" customWidth="1"/>
    <col min="13563" max="13563" width="15.28515625" customWidth="1"/>
    <col min="13564" max="13564" width="7.7109375" customWidth="1"/>
    <col min="13565" max="13565" width="14.140625" customWidth="1"/>
    <col min="13566" max="13566" width="28.140625" customWidth="1"/>
    <col min="13567" max="13567" width="12.140625" customWidth="1"/>
    <col min="13568" max="13568" width="14.28515625" customWidth="1"/>
    <col min="13569" max="13569" width="28.140625" customWidth="1"/>
    <col min="13570" max="13570" width="35.140625" customWidth="1"/>
    <col min="13810" max="13810" width="9.28515625" customWidth="1"/>
    <col min="13811" max="13811" width="13.7109375" customWidth="1"/>
    <col min="13812" max="13812" width="27.5703125" customWidth="1"/>
    <col min="13813" max="13813" width="6.7109375" customWidth="1"/>
    <col min="13814" max="13814" width="14.140625" customWidth="1"/>
    <col min="13815" max="13815" width="14.7109375" customWidth="1"/>
    <col min="13816" max="13817" width="16.85546875" customWidth="1"/>
    <col min="13818" max="13818" width="9.140625" customWidth="1"/>
    <col min="13819" max="13819" width="15.28515625" customWidth="1"/>
    <col min="13820" max="13820" width="7.7109375" customWidth="1"/>
    <col min="13821" max="13821" width="14.140625" customWidth="1"/>
    <col min="13822" max="13822" width="28.140625" customWidth="1"/>
    <col min="13823" max="13823" width="12.140625" customWidth="1"/>
    <col min="13824" max="13824" width="14.28515625" customWidth="1"/>
    <col min="13825" max="13825" width="28.140625" customWidth="1"/>
    <col min="13826" max="13826" width="35.140625" customWidth="1"/>
    <col min="14066" max="14066" width="9.28515625" customWidth="1"/>
    <col min="14067" max="14067" width="13.7109375" customWidth="1"/>
    <col min="14068" max="14068" width="27.5703125" customWidth="1"/>
    <col min="14069" max="14069" width="6.7109375" customWidth="1"/>
    <col min="14070" max="14070" width="14.140625" customWidth="1"/>
    <col min="14071" max="14071" width="14.7109375" customWidth="1"/>
    <col min="14072" max="14073" width="16.85546875" customWidth="1"/>
    <col min="14074" max="14074" width="9.140625" customWidth="1"/>
    <col min="14075" max="14075" width="15.28515625" customWidth="1"/>
    <col min="14076" max="14076" width="7.7109375" customWidth="1"/>
    <col min="14077" max="14077" width="14.140625" customWidth="1"/>
    <col min="14078" max="14078" width="28.140625" customWidth="1"/>
    <col min="14079" max="14079" width="12.140625" customWidth="1"/>
    <col min="14080" max="14080" width="14.28515625" customWidth="1"/>
    <col min="14081" max="14081" width="28.140625" customWidth="1"/>
    <col min="14082" max="14082" width="35.140625" customWidth="1"/>
    <col min="14322" max="14322" width="9.28515625" customWidth="1"/>
    <col min="14323" max="14323" width="13.7109375" customWidth="1"/>
    <col min="14324" max="14324" width="27.5703125" customWidth="1"/>
    <col min="14325" max="14325" width="6.7109375" customWidth="1"/>
    <col min="14326" max="14326" width="14.140625" customWidth="1"/>
    <col min="14327" max="14327" width="14.7109375" customWidth="1"/>
    <col min="14328" max="14329" width="16.85546875" customWidth="1"/>
    <col min="14330" max="14330" width="9.140625" customWidth="1"/>
    <col min="14331" max="14331" width="15.28515625" customWidth="1"/>
    <col min="14332" max="14332" width="7.7109375" customWidth="1"/>
    <col min="14333" max="14333" width="14.140625" customWidth="1"/>
    <col min="14334" max="14334" width="28.140625" customWidth="1"/>
    <col min="14335" max="14335" width="12.140625" customWidth="1"/>
    <col min="14336" max="14336" width="14.28515625" customWidth="1"/>
    <col min="14337" max="14337" width="28.140625" customWidth="1"/>
    <col min="14338" max="14338" width="35.140625" customWidth="1"/>
    <col min="14578" max="14578" width="9.28515625" customWidth="1"/>
    <col min="14579" max="14579" width="13.7109375" customWidth="1"/>
    <col min="14580" max="14580" width="27.5703125" customWidth="1"/>
    <col min="14581" max="14581" width="6.7109375" customWidth="1"/>
    <col min="14582" max="14582" width="14.140625" customWidth="1"/>
    <col min="14583" max="14583" width="14.7109375" customWidth="1"/>
    <col min="14584" max="14585" width="16.85546875" customWidth="1"/>
    <col min="14586" max="14586" width="9.140625" customWidth="1"/>
    <col min="14587" max="14587" width="15.28515625" customWidth="1"/>
    <col min="14588" max="14588" width="7.7109375" customWidth="1"/>
    <col min="14589" max="14589" width="14.140625" customWidth="1"/>
    <col min="14590" max="14590" width="28.140625" customWidth="1"/>
    <col min="14591" max="14591" width="12.140625" customWidth="1"/>
    <col min="14592" max="14592" width="14.28515625" customWidth="1"/>
    <col min="14593" max="14593" width="28.140625" customWidth="1"/>
    <col min="14594" max="14594" width="35.140625" customWidth="1"/>
    <col min="14834" max="14834" width="9.28515625" customWidth="1"/>
    <col min="14835" max="14835" width="13.7109375" customWidth="1"/>
    <col min="14836" max="14836" width="27.5703125" customWidth="1"/>
    <col min="14837" max="14837" width="6.7109375" customWidth="1"/>
    <col min="14838" max="14838" width="14.140625" customWidth="1"/>
    <col min="14839" max="14839" width="14.7109375" customWidth="1"/>
    <col min="14840" max="14841" width="16.85546875" customWidth="1"/>
    <col min="14842" max="14842" width="9.140625" customWidth="1"/>
    <col min="14843" max="14843" width="15.28515625" customWidth="1"/>
    <col min="14844" max="14844" width="7.7109375" customWidth="1"/>
    <col min="14845" max="14845" width="14.140625" customWidth="1"/>
    <col min="14846" max="14846" width="28.140625" customWidth="1"/>
    <col min="14847" max="14847" width="12.140625" customWidth="1"/>
    <col min="14848" max="14848" width="14.28515625" customWidth="1"/>
    <col min="14849" max="14849" width="28.140625" customWidth="1"/>
    <col min="14850" max="14850" width="35.140625" customWidth="1"/>
    <col min="15090" max="15090" width="9.28515625" customWidth="1"/>
    <col min="15091" max="15091" width="13.7109375" customWidth="1"/>
    <col min="15092" max="15092" width="27.5703125" customWidth="1"/>
    <col min="15093" max="15093" width="6.7109375" customWidth="1"/>
    <col min="15094" max="15094" width="14.140625" customWidth="1"/>
    <col min="15095" max="15095" width="14.7109375" customWidth="1"/>
    <col min="15096" max="15097" width="16.85546875" customWidth="1"/>
    <col min="15098" max="15098" width="9.140625" customWidth="1"/>
    <col min="15099" max="15099" width="15.28515625" customWidth="1"/>
    <col min="15100" max="15100" width="7.7109375" customWidth="1"/>
    <col min="15101" max="15101" width="14.140625" customWidth="1"/>
    <col min="15102" max="15102" width="28.140625" customWidth="1"/>
    <col min="15103" max="15103" width="12.140625" customWidth="1"/>
    <col min="15104" max="15104" width="14.28515625" customWidth="1"/>
    <col min="15105" max="15105" width="28.140625" customWidth="1"/>
    <col min="15106" max="15106" width="35.140625" customWidth="1"/>
    <col min="15346" max="15346" width="9.28515625" customWidth="1"/>
    <col min="15347" max="15347" width="13.7109375" customWidth="1"/>
    <col min="15348" max="15348" width="27.5703125" customWidth="1"/>
    <col min="15349" max="15349" width="6.7109375" customWidth="1"/>
    <col min="15350" max="15350" width="14.140625" customWidth="1"/>
    <col min="15351" max="15351" width="14.7109375" customWidth="1"/>
    <col min="15352" max="15353" width="16.85546875" customWidth="1"/>
    <col min="15354" max="15354" width="9.140625" customWidth="1"/>
    <col min="15355" max="15355" width="15.28515625" customWidth="1"/>
    <col min="15356" max="15356" width="7.7109375" customWidth="1"/>
    <col min="15357" max="15357" width="14.140625" customWidth="1"/>
    <col min="15358" max="15358" width="28.140625" customWidth="1"/>
    <col min="15359" max="15359" width="12.140625" customWidth="1"/>
    <col min="15360" max="15360" width="14.28515625" customWidth="1"/>
    <col min="15361" max="15361" width="28.140625" customWidth="1"/>
    <col min="15362" max="15362" width="35.140625" customWidth="1"/>
    <col min="15602" max="15602" width="9.28515625" customWidth="1"/>
    <col min="15603" max="15603" width="13.7109375" customWidth="1"/>
    <col min="15604" max="15604" width="27.5703125" customWidth="1"/>
    <col min="15605" max="15605" width="6.7109375" customWidth="1"/>
    <col min="15606" max="15606" width="14.140625" customWidth="1"/>
    <col min="15607" max="15607" width="14.7109375" customWidth="1"/>
    <col min="15608" max="15609" width="16.85546875" customWidth="1"/>
    <col min="15610" max="15610" width="9.140625" customWidth="1"/>
    <col min="15611" max="15611" width="15.28515625" customWidth="1"/>
    <col min="15612" max="15612" width="7.7109375" customWidth="1"/>
    <col min="15613" max="15613" width="14.140625" customWidth="1"/>
    <col min="15614" max="15614" width="28.140625" customWidth="1"/>
    <col min="15615" max="15615" width="12.140625" customWidth="1"/>
    <col min="15616" max="15616" width="14.28515625" customWidth="1"/>
    <col min="15617" max="15617" width="28.140625" customWidth="1"/>
    <col min="15618" max="15618" width="35.140625" customWidth="1"/>
    <col min="15858" max="15858" width="9.28515625" customWidth="1"/>
    <col min="15859" max="15859" width="13.7109375" customWidth="1"/>
    <col min="15860" max="15860" width="27.5703125" customWidth="1"/>
    <col min="15861" max="15861" width="6.7109375" customWidth="1"/>
    <col min="15862" max="15862" width="14.140625" customWidth="1"/>
    <col min="15863" max="15863" width="14.7109375" customWidth="1"/>
    <col min="15864" max="15865" width="16.85546875" customWidth="1"/>
    <col min="15866" max="15866" width="9.140625" customWidth="1"/>
    <col min="15867" max="15867" width="15.28515625" customWidth="1"/>
    <col min="15868" max="15868" width="7.7109375" customWidth="1"/>
    <col min="15869" max="15869" width="14.140625" customWidth="1"/>
    <col min="15870" max="15870" width="28.140625" customWidth="1"/>
    <col min="15871" max="15871" width="12.140625" customWidth="1"/>
    <col min="15872" max="15872" width="14.28515625" customWidth="1"/>
    <col min="15873" max="15873" width="28.140625" customWidth="1"/>
    <col min="15874" max="15874" width="35.140625" customWidth="1"/>
    <col min="16114" max="16114" width="9.28515625" customWidth="1"/>
    <col min="16115" max="16115" width="13.7109375" customWidth="1"/>
    <col min="16116" max="16116" width="27.5703125" customWidth="1"/>
    <col min="16117" max="16117" width="6.7109375" customWidth="1"/>
    <col min="16118" max="16118" width="14.140625" customWidth="1"/>
    <col min="16119" max="16119" width="14.7109375" customWidth="1"/>
    <col min="16120" max="16121" width="16.85546875" customWidth="1"/>
    <col min="16122" max="16122" width="9.140625" customWidth="1"/>
    <col min="16123" max="16123" width="15.28515625" customWidth="1"/>
    <col min="16124" max="16124" width="7.7109375" customWidth="1"/>
    <col min="16125" max="16125" width="14.140625" customWidth="1"/>
    <col min="16126" max="16126" width="28.140625" customWidth="1"/>
    <col min="16127" max="16127" width="12.140625" customWidth="1"/>
    <col min="16128" max="16128" width="14.28515625" customWidth="1"/>
    <col min="16129" max="16129" width="28.140625" customWidth="1"/>
    <col min="16130" max="16130" width="35.140625" customWidth="1"/>
  </cols>
  <sheetData>
    <row r="1" spans="1:7" ht="22.5" customHeight="1" x14ac:dyDescent="0.2">
      <c r="A1" s="329" t="s">
        <v>562</v>
      </c>
      <c r="B1" s="198"/>
      <c r="C1" s="329"/>
      <c r="D1" s="329"/>
      <c r="E1" s="329"/>
      <c r="F1" s="329"/>
      <c r="G1" s="329"/>
    </row>
    <row r="2" spans="1:7" ht="22.5" customHeight="1" x14ac:dyDescent="0.2">
      <c r="A2" s="329"/>
      <c r="B2" s="198"/>
      <c r="C2" s="329"/>
      <c r="D2" s="329"/>
      <c r="E2" s="329"/>
      <c r="F2" s="329"/>
      <c r="G2" s="329"/>
    </row>
    <row r="3" spans="1:7" ht="15.6" customHeight="1" x14ac:dyDescent="0.2">
      <c r="A3" s="286" t="s">
        <v>7</v>
      </c>
      <c r="B3" s="286" t="s">
        <v>24</v>
      </c>
      <c r="C3" s="288" t="s">
        <v>232</v>
      </c>
      <c r="D3" s="286" t="s">
        <v>564</v>
      </c>
      <c r="E3" s="286" t="s">
        <v>233</v>
      </c>
      <c r="F3" s="286" t="s">
        <v>234</v>
      </c>
      <c r="G3" s="286" t="s">
        <v>235</v>
      </c>
    </row>
    <row r="4" spans="1:7" x14ac:dyDescent="0.2">
      <c r="A4" s="259" t="s">
        <v>922</v>
      </c>
      <c r="B4" s="260" t="s">
        <v>142</v>
      </c>
      <c r="C4" s="289">
        <v>2.2999999999999998</v>
      </c>
      <c r="D4" s="313" t="s">
        <v>566</v>
      </c>
      <c r="E4" s="260" t="s">
        <v>242</v>
      </c>
      <c r="F4" s="259" t="s">
        <v>243</v>
      </c>
      <c r="G4" s="259" t="s">
        <v>371</v>
      </c>
    </row>
    <row r="5" spans="1:7" x14ac:dyDescent="0.2">
      <c r="A5" s="259" t="s">
        <v>179</v>
      </c>
      <c r="B5" s="260" t="s">
        <v>159</v>
      </c>
      <c r="C5" s="289">
        <v>6.11</v>
      </c>
      <c r="D5" s="313" t="s">
        <v>1229</v>
      </c>
      <c r="E5" s="260" t="s">
        <v>242</v>
      </c>
      <c r="F5" s="259" t="s">
        <v>243</v>
      </c>
      <c r="G5" s="259" t="s">
        <v>599</v>
      </c>
    </row>
    <row r="6" spans="1:7" x14ac:dyDescent="0.2">
      <c r="A6" s="259" t="s">
        <v>160</v>
      </c>
      <c r="B6" s="260" t="s">
        <v>159</v>
      </c>
      <c r="C6" s="289">
        <v>5.62</v>
      </c>
      <c r="D6" s="313" t="s">
        <v>1230</v>
      </c>
      <c r="E6" s="260" t="s">
        <v>242</v>
      </c>
      <c r="F6" s="259" t="s">
        <v>243</v>
      </c>
      <c r="G6" s="259" t="s">
        <v>599</v>
      </c>
    </row>
    <row r="7" spans="1:7" x14ac:dyDescent="0.2">
      <c r="A7" s="259" t="s">
        <v>163</v>
      </c>
      <c r="B7" s="260" t="s">
        <v>159</v>
      </c>
      <c r="C7" s="289">
        <v>5.62</v>
      </c>
      <c r="D7" s="313" t="s">
        <v>1230</v>
      </c>
      <c r="E7" s="260" t="s">
        <v>242</v>
      </c>
      <c r="F7" s="259" t="s">
        <v>243</v>
      </c>
      <c r="G7" s="259" t="s">
        <v>599</v>
      </c>
    </row>
    <row r="8" spans="1:7" x14ac:dyDescent="0.2">
      <c r="A8" s="259" t="s">
        <v>177</v>
      </c>
      <c r="B8" s="260" t="s">
        <v>159</v>
      </c>
      <c r="C8" s="289">
        <v>5.36</v>
      </c>
      <c r="D8" s="313" t="s">
        <v>1230</v>
      </c>
      <c r="E8" s="260" t="s">
        <v>242</v>
      </c>
      <c r="F8" s="259" t="s">
        <v>243</v>
      </c>
      <c r="G8" s="259" t="s">
        <v>599</v>
      </c>
    </row>
    <row r="9" spans="1:7" x14ac:dyDescent="0.2">
      <c r="A9" s="259" t="s">
        <v>164</v>
      </c>
      <c r="B9" s="260" t="s">
        <v>159</v>
      </c>
      <c r="C9" s="289">
        <v>5.2</v>
      </c>
      <c r="D9" s="313" t="s">
        <v>1230</v>
      </c>
      <c r="E9" s="260" t="s">
        <v>242</v>
      </c>
      <c r="F9" s="259" t="s">
        <v>243</v>
      </c>
      <c r="G9" s="259" t="s">
        <v>599</v>
      </c>
    </row>
    <row r="10" spans="1:7" x14ac:dyDescent="0.2">
      <c r="A10" s="259" t="s">
        <v>178</v>
      </c>
      <c r="B10" s="260" t="s">
        <v>159</v>
      </c>
      <c r="C10" s="289">
        <v>5.2</v>
      </c>
      <c r="D10" s="313" t="s">
        <v>1230</v>
      </c>
      <c r="E10" s="260" t="s">
        <v>242</v>
      </c>
      <c r="F10" s="259" t="s">
        <v>243</v>
      </c>
      <c r="G10" s="259" t="s">
        <v>599</v>
      </c>
    </row>
    <row r="11" spans="1:7" x14ac:dyDescent="0.2">
      <c r="A11" s="259" t="s">
        <v>165</v>
      </c>
      <c r="B11" s="260" t="s">
        <v>159</v>
      </c>
      <c r="C11" s="289">
        <v>5.2</v>
      </c>
      <c r="D11" s="313" t="s">
        <v>1230</v>
      </c>
      <c r="E11" s="260" t="s">
        <v>242</v>
      </c>
      <c r="F11" s="259" t="s">
        <v>243</v>
      </c>
      <c r="G11" s="259" t="s">
        <v>599</v>
      </c>
    </row>
    <row r="12" spans="1:7" x14ac:dyDescent="0.2">
      <c r="A12" s="259" t="s">
        <v>180</v>
      </c>
      <c r="B12" s="260" t="s">
        <v>159</v>
      </c>
      <c r="C12" s="289">
        <v>6.39</v>
      </c>
      <c r="D12" s="313" t="s">
        <v>1231</v>
      </c>
      <c r="E12" s="260" t="s">
        <v>242</v>
      </c>
      <c r="F12" s="259" t="s">
        <v>243</v>
      </c>
      <c r="G12" s="259" t="s">
        <v>599</v>
      </c>
    </row>
    <row r="13" spans="1:7" x14ac:dyDescent="0.2">
      <c r="A13" s="259" t="s">
        <v>609</v>
      </c>
      <c r="B13" s="260" t="s">
        <v>159</v>
      </c>
      <c r="C13" s="289">
        <v>6.1</v>
      </c>
      <c r="D13" s="313" t="s">
        <v>688</v>
      </c>
      <c r="E13" s="260" t="s">
        <v>242</v>
      </c>
      <c r="F13" s="259" t="s">
        <v>243</v>
      </c>
      <c r="G13" s="259" t="s">
        <v>599</v>
      </c>
    </row>
    <row r="14" spans="1:7" x14ac:dyDescent="0.2">
      <c r="A14" s="259" t="s">
        <v>610</v>
      </c>
      <c r="B14" s="260" t="s">
        <v>159</v>
      </c>
      <c r="C14" s="289">
        <v>6.1</v>
      </c>
      <c r="D14" s="313" t="s">
        <v>688</v>
      </c>
      <c r="E14" s="260" t="s">
        <v>242</v>
      </c>
      <c r="F14" s="259" t="s">
        <v>243</v>
      </c>
      <c r="G14" s="259" t="s">
        <v>599</v>
      </c>
    </row>
    <row r="15" spans="1:7" x14ac:dyDescent="0.2">
      <c r="A15" s="259" t="s">
        <v>611</v>
      </c>
      <c r="B15" s="260" t="s">
        <v>159</v>
      </c>
      <c r="C15" s="289">
        <v>8.93</v>
      </c>
      <c r="D15" s="313" t="s">
        <v>688</v>
      </c>
      <c r="E15" s="260" t="s">
        <v>242</v>
      </c>
      <c r="F15" s="259" t="s">
        <v>243</v>
      </c>
      <c r="G15" s="259" t="s">
        <v>599</v>
      </c>
    </row>
    <row r="16" spans="1:7" x14ac:dyDescent="0.2">
      <c r="A16" s="259" t="s">
        <v>618</v>
      </c>
      <c r="B16" s="260" t="s">
        <v>159</v>
      </c>
      <c r="C16" s="289">
        <v>9.4989993646759849</v>
      </c>
      <c r="D16" s="313" t="s">
        <v>1232</v>
      </c>
      <c r="E16" s="260" t="s">
        <v>242</v>
      </c>
      <c r="F16" s="259" t="s">
        <v>243</v>
      </c>
      <c r="G16" s="259" t="s">
        <v>599</v>
      </c>
    </row>
    <row r="17" spans="1:7" x14ac:dyDescent="0.2">
      <c r="A17" s="259" t="s">
        <v>355</v>
      </c>
      <c r="B17" s="260" t="s">
        <v>159</v>
      </c>
      <c r="C17" s="289">
        <v>17.990000000000002</v>
      </c>
      <c r="D17" s="259" t="s">
        <v>566</v>
      </c>
      <c r="E17" s="260" t="s">
        <v>242</v>
      </c>
      <c r="F17" s="259" t="s">
        <v>243</v>
      </c>
      <c r="G17" s="259" t="s">
        <v>356</v>
      </c>
    </row>
    <row r="18" spans="1:7" x14ac:dyDescent="0.2">
      <c r="A18" s="259" t="s">
        <v>369</v>
      </c>
      <c r="B18" s="260" t="s">
        <v>159</v>
      </c>
      <c r="C18" s="289">
        <v>31.8</v>
      </c>
      <c r="D18" s="259" t="s">
        <v>566</v>
      </c>
      <c r="E18" s="260" t="s">
        <v>242</v>
      </c>
      <c r="F18" s="259" t="s">
        <v>243</v>
      </c>
      <c r="G18" s="259" t="s">
        <v>356</v>
      </c>
    </row>
    <row r="19" spans="1:7" x14ac:dyDescent="0.2">
      <c r="A19" s="259" t="s">
        <v>294</v>
      </c>
      <c r="B19" s="260" t="s">
        <v>159</v>
      </c>
      <c r="C19" s="289">
        <v>11.33</v>
      </c>
      <c r="D19" s="259" t="s">
        <v>566</v>
      </c>
      <c r="E19" s="260" t="s">
        <v>242</v>
      </c>
      <c r="F19" s="259" t="s">
        <v>243</v>
      </c>
      <c r="G19" s="259" t="s">
        <v>295</v>
      </c>
    </row>
    <row r="20" spans="1:7" x14ac:dyDescent="0.2">
      <c r="A20" s="259" t="s">
        <v>203</v>
      </c>
      <c r="B20" s="260" t="s">
        <v>159</v>
      </c>
      <c r="C20" s="289">
        <v>7.99</v>
      </c>
      <c r="D20" s="313" t="s">
        <v>566</v>
      </c>
      <c r="E20" s="260" t="s">
        <v>242</v>
      </c>
      <c r="F20" s="259" t="s">
        <v>243</v>
      </c>
      <c r="G20" s="259" t="s">
        <v>295</v>
      </c>
    </row>
    <row r="21" spans="1:7" x14ac:dyDescent="0.2">
      <c r="A21" s="259" t="s">
        <v>359</v>
      </c>
      <c r="B21" s="260" t="s">
        <v>166</v>
      </c>
      <c r="C21" s="289">
        <v>129</v>
      </c>
      <c r="D21" s="313" t="s">
        <v>1233</v>
      </c>
      <c r="E21" s="260" t="s">
        <v>242</v>
      </c>
      <c r="F21" s="259" t="s">
        <v>243</v>
      </c>
      <c r="G21" s="259" t="s">
        <v>600</v>
      </c>
    </row>
    <row r="22" spans="1:7" x14ac:dyDescent="0.2">
      <c r="A22" s="259" t="s">
        <v>913</v>
      </c>
      <c r="B22" s="260" t="s">
        <v>681</v>
      </c>
      <c r="C22" s="289">
        <v>1500</v>
      </c>
      <c r="D22" s="313" t="s">
        <v>688</v>
      </c>
      <c r="E22" s="260" t="s">
        <v>242</v>
      </c>
      <c r="F22" s="259" t="s">
        <v>243</v>
      </c>
      <c r="G22" s="259" t="s">
        <v>600</v>
      </c>
    </row>
    <row r="23" spans="1:7" x14ac:dyDescent="0.2">
      <c r="A23" s="259" t="s">
        <v>914</v>
      </c>
      <c r="B23" s="260" t="s">
        <v>681</v>
      </c>
      <c r="C23" s="289">
        <v>85</v>
      </c>
      <c r="D23" s="313" t="s">
        <v>688</v>
      </c>
      <c r="E23" s="260" t="s">
        <v>242</v>
      </c>
      <c r="F23" s="259" t="s">
        <v>243</v>
      </c>
      <c r="G23" s="259" t="s">
        <v>600</v>
      </c>
    </row>
    <row r="24" spans="1:7" x14ac:dyDescent="0.2">
      <c r="A24" s="259" t="s">
        <v>915</v>
      </c>
      <c r="B24" s="260" t="s">
        <v>919</v>
      </c>
      <c r="C24" s="289">
        <v>7.8</v>
      </c>
      <c r="D24" s="313" t="s">
        <v>688</v>
      </c>
      <c r="E24" s="260" t="s">
        <v>242</v>
      </c>
      <c r="F24" s="259" t="s">
        <v>243</v>
      </c>
      <c r="G24" s="259" t="s">
        <v>600</v>
      </c>
    </row>
    <row r="25" spans="1:7" x14ac:dyDescent="0.2">
      <c r="A25" s="259" t="s">
        <v>916</v>
      </c>
      <c r="B25" s="260" t="s">
        <v>681</v>
      </c>
      <c r="C25" s="289">
        <v>32.5</v>
      </c>
      <c r="D25" s="313" t="s">
        <v>688</v>
      </c>
      <c r="E25" s="260" t="s">
        <v>242</v>
      </c>
      <c r="F25" s="259" t="s">
        <v>243</v>
      </c>
      <c r="G25" s="259" t="s">
        <v>600</v>
      </c>
    </row>
    <row r="26" spans="1:7" x14ac:dyDescent="0.2">
      <c r="A26" s="259" t="s">
        <v>917</v>
      </c>
      <c r="B26" s="260" t="s">
        <v>681</v>
      </c>
      <c r="C26" s="289">
        <v>9.5</v>
      </c>
      <c r="D26" s="313" t="s">
        <v>688</v>
      </c>
      <c r="E26" s="260" t="s">
        <v>242</v>
      </c>
      <c r="F26" s="259" t="s">
        <v>243</v>
      </c>
      <c r="G26" s="259" t="s">
        <v>600</v>
      </c>
    </row>
    <row r="27" spans="1:7" x14ac:dyDescent="0.2">
      <c r="A27" s="259" t="s">
        <v>918</v>
      </c>
      <c r="B27" s="260" t="s">
        <v>681</v>
      </c>
      <c r="C27" s="289">
        <v>4.5</v>
      </c>
      <c r="D27" s="313" t="s">
        <v>688</v>
      </c>
      <c r="E27" s="260" t="s">
        <v>242</v>
      </c>
      <c r="F27" s="259" t="s">
        <v>243</v>
      </c>
      <c r="G27" s="259" t="s">
        <v>600</v>
      </c>
    </row>
    <row r="28" spans="1:7" x14ac:dyDescent="0.2">
      <c r="A28" s="259" t="s">
        <v>765</v>
      </c>
      <c r="B28" s="260" t="s">
        <v>166</v>
      </c>
      <c r="C28" s="289">
        <v>130</v>
      </c>
      <c r="D28" s="313" t="s">
        <v>688</v>
      </c>
      <c r="E28" s="260" t="s">
        <v>242</v>
      </c>
      <c r="F28" s="259" t="s">
        <v>243</v>
      </c>
      <c r="G28" s="259" t="s">
        <v>600</v>
      </c>
    </row>
    <row r="29" spans="1:7" x14ac:dyDescent="0.2">
      <c r="A29" s="259" t="s">
        <v>396</v>
      </c>
      <c r="B29" s="260" t="s">
        <v>170</v>
      </c>
      <c r="C29" s="289">
        <v>2000</v>
      </c>
      <c r="D29" s="313" t="s">
        <v>570</v>
      </c>
      <c r="E29" s="260" t="s">
        <v>239</v>
      </c>
      <c r="F29" s="259" t="s">
        <v>240</v>
      </c>
      <c r="G29" s="259" t="s">
        <v>397</v>
      </c>
    </row>
    <row r="30" spans="1:7" x14ac:dyDescent="0.2">
      <c r="A30" s="259" t="s">
        <v>856</v>
      </c>
      <c r="B30" s="260" t="s">
        <v>142</v>
      </c>
      <c r="C30" s="289">
        <v>22</v>
      </c>
      <c r="D30" s="313" t="s">
        <v>566</v>
      </c>
      <c r="E30" s="260" t="s">
        <v>242</v>
      </c>
      <c r="F30" s="259" t="s">
        <v>243</v>
      </c>
      <c r="G30" s="259" t="s">
        <v>311</v>
      </c>
    </row>
    <row r="31" spans="1:7" x14ac:dyDescent="0.2">
      <c r="A31" s="259" t="s">
        <v>310</v>
      </c>
      <c r="B31" s="260" t="s">
        <v>142</v>
      </c>
      <c r="C31" s="289">
        <v>150</v>
      </c>
      <c r="D31" s="313" t="s">
        <v>566</v>
      </c>
      <c r="E31" s="260" t="s">
        <v>242</v>
      </c>
      <c r="F31" s="259" t="s">
        <v>243</v>
      </c>
      <c r="G31" s="259" t="s">
        <v>311</v>
      </c>
    </row>
    <row r="32" spans="1:7" x14ac:dyDescent="0.2">
      <c r="A32" s="259" t="s">
        <v>196</v>
      </c>
      <c r="B32" s="260" t="s">
        <v>159</v>
      </c>
      <c r="C32" s="289">
        <v>11.5</v>
      </c>
      <c r="D32" s="313" t="s">
        <v>688</v>
      </c>
      <c r="E32" s="260" t="s">
        <v>242</v>
      </c>
      <c r="F32" s="259" t="s">
        <v>243</v>
      </c>
      <c r="G32" s="259" t="s">
        <v>301</v>
      </c>
    </row>
    <row r="33" spans="1:7" x14ac:dyDescent="0.2">
      <c r="A33" s="259" t="s">
        <v>1145</v>
      </c>
      <c r="B33" s="260" t="s">
        <v>159</v>
      </c>
      <c r="C33" s="289">
        <v>10.14</v>
      </c>
      <c r="D33" s="313"/>
      <c r="E33" s="260" t="s">
        <v>242</v>
      </c>
      <c r="F33" s="259" t="s">
        <v>243</v>
      </c>
      <c r="G33" s="259" t="s">
        <v>301</v>
      </c>
    </row>
    <row r="34" spans="1:7" x14ac:dyDescent="0.2">
      <c r="A34" s="259" t="s">
        <v>161</v>
      </c>
      <c r="B34" s="260" t="s">
        <v>159</v>
      </c>
      <c r="C34" s="289">
        <v>13.69</v>
      </c>
      <c r="D34" s="313" t="s">
        <v>1231</v>
      </c>
      <c r="E34" s="260" t="s">
        <v>242</v>
      </c>
      <c r="F34" s="259" t="s">
        <v>243</v>
      </c>
      <c r="G34" s="259" t="s">
        <v>301</v>
      </c>
    </row>
    <row r="35" spans="1:7" x14ac:dyDescent="0.2">
      <c r="A35" s="259" t="s">
        <v>206</v>
      </c>
      <c r="B35" s="260" t="s">
        <v>166</v>
      </c>
      <c r="C35" s="289">
        <v>425</v>
      </c>
      <c r="D35" s="259" t="s">
        <v>566</v>
      </c>
      <c r="E35" s="260" t="s">
        <v>242</v>
      </c>
      <c r="F35" s="259" t="s">
        <v>243</v>
      </c>
      <c r="G35" s="259" t="s">
        <v>306</v>
      </c>
    </row>
    <row r="36" spans="1:7" x14ac:dyDescent="0.2">
      <c r="A36" s="259" t="s">
        <v>217</v>
      </c>
      <c r="B36" s="260" t="s">
        <v>159</v>
      </c>
      <c r="C36" s="289">
        <v>2.2600000000000002</v>
      </c>
      <c r="D36" s="259" t="s">
        <v>566</v>
      </c>
      <c r="E36" s="260" t="s">
        <v>242</v>
      </c>
      <c r="F36" s="259" t="s">
        <v>243</v>
      </c>
      <c r="G36" s="259" t="s">
        <v>306</v>
      </c>
    </row>
    <row r="37" spans="1:7" x14ac:dyDescent="0.2">
      <c r="A37" s="259" t="s">
        <v>735</v>
      </c>
      <c r="B37" s="260" t="s">
        <v>159</v>
      </c>
      <c r="C37" s="289">
        <v>4.45</v>
      </c>
      <c r="D37" s="313" t="s">
        <v>1234</v>
      </c>
      <c r="E37" s="260" t="s">
        <v>242</v>
      </c>
      <c r="F37" s="259" t="s">
        <v>243</v>
      </c>
      <c r="G37" s="259" t="s">
        <v>330</v>
      </c>
    </row>
    <row r="38" spans="1:7" x14ac:dyDescent="0.2">
      <c r="A38" s="259" t="s">
        <v>734</v>
      </c>
      <c r="B38" s="260" t="s">
        <v>159</v>
      </c>
      <c r="C38" s="289">
        <v>4.2</v>
      </c>
      <c r="D38" s="313" t="s">
        <v>1234</v>
      </c>
      <c r="E38" s="260" t="s">
        <v>242</v>
      </c>
      <c r="F38" s="259" t="s">
        <v>243</v>
      </c>
      <c r="G38" s="259" t="s">
        <v>330</v>
      </c>
    </row>
    <row r="39" spans="1:7" x14ac:dyDescent="0.2">
      <c r="A39" s="259" t="s">
        <v>314</v>
      </c>
      <c r="B39" s="260" t="s">
        <v>159</v>
      </c>
      <c r="C39" s="289">
        <v>0.84000000000000008</v>
      </c>
      <c r="D39" s="313" t="s">
        <v>1235</v>
      </c>
      <c r="E39" s="260" t="s">
        <v>242</v>
      </c>
      <c r="F39" s="259" t="s">
        <v>243</v>
      </c>
      <c r="G39" s="259" t="s">
        <v>257</v>
      </c>
    </row>
    <row r="40" spans="1:7" x14ac:dyDescent="0.2">
      <c r="A40" s="259" t="s">
        <v>357</v>
      </c>
      <c r="B40" s="260" t="s">
        <v>159</v>
      </c>
      <c r="C40" s="289">
        <v>0.92500000000000004</v>
      </c>
      <c r="D40" s="313" t="s">
        <v>1235</v>
      </c>
      <c r="E40" s="260" t="s">
        <v>242</v>
      </c>
      <c r="F40" s="259" t="s">
        <v>243</v>
      </c>
      <c r="G40" s="259" t="s">
        <v>257</v>
      </c>
    </row>
    <row r="41" spans="1:7" x14ac:dyDescent="0.2">
      <c r="A41" s="259" t="s">
        <v>277</v>
      </c>
      <c r="B41" s="260" t="s">
        <v>166</v>
      </c>
      <c r="C41" s="289">
        <v>425</v>
      </c>
      <c r="D41" s="259" t="s">
        <v>566</v>
      </c>
      <c r="E41" s="260" t="s">
        <v>242</v>
      </c>
      <c r="F41" s="259" t="s">
        <v>243</v>
      </c>
      <c r="G41" s="259" t="s">
        <v>257</v>
      </c>
    </row>
    <row r="42" spans="1:7" x14ac:dyDescent="0.2">
      <c r="A42" s="259" t="s">
        <v>328</v>
      </c>
      <c r="B42" s="260" t="s">
        <v>166</v>
      </c>
      <c r="C42" s="289">
        <v>420</v>
      </c>
      <c r="D42" s="259" t="s">
        <v>566</v>
      </c>
      <c r="E42" s="260" t="s">
        <v>242</v>
      </c>
      <c r="F42" s="259" t="s">
        <v>243</v>
      </c>
      <c r="G42" s="259" t="s">
        <v>257</v>
      </c>
    </row>
    <row r="43" spans="1:7" x14ac:dyDescent="0.2">
      <c r="A43" s="259" t="s">
        <v>256</v>
      </c>
      <c r="B43" s="260" t="s">
        <v>166</v>
      </c>
      <c r="C43" s="289">
        <v>480</v>
      </c>
      <c r="D43" s="259" t="s">
        <v>566</v>
      </c>
      <c r="E43" s="260" t="s">
        <v>242</v>
      </c>
      <c r="F43" s="259" t="s">
        <v>243</v>
      </c>
      <c r="G43" s="259" t="s">
        <v>257</v>
      </c>
    </row>
    <row r="44" spans="1:7" x14ac:dyDescent="0.2">
      <c r="A44" s="259" t="s">
        <v>1027</v>
      </c>
      <c r="B44" s="260" t="s">
        <v>159</v>
      </c>
      <c r="C44" s="289">
        <v>1.31</v>
      </c>
      <c r="D44" s="259" t="s">
        <v>566</v>
      </c>
      <c r="E44" s="260" t="s">
        <v>242</v>
      </c>
      <c r="F44" s="259" t="s">
        <v>243</v>
      </c>
      <c r="G44" s="259" t="s">
        <v>257</v>
      </c>
    </row>
    <row r="45" spans="1:7" x14ac:dyDescent="0.2">
      <c r="A45" s="259" t="s">
        <v>764</v>
      </c>
      <c r="B45" s="260" t="s">
        <v>140</v>
      </c>
      <c r="C45" s="289">
        <v>98</v>
      </c>
      <c r="D45" s="313" t="s">
        <v>566</v>
      </c>
      <c r="E45" s="260" t="s">
        <v>242</v>
      </c>
      <c r="F45" s="259" t="s">
        <v>243</v>
      </c>
      <c r="G45" s="259" t="s">
        <v>714</v>
      </c>
    </row>
    <row r="46" spans="1:7" x14ac:dyDescent="0.2">
      <c r="A46" s="259" t="s">
        <v>742</v>
      </c>
      <c r="B46" s="260" t="s">
        <v>142</v>
      </c>
      <c r="C46" s="289">
        <v>990</v>
      </c>
      <c r="D46" s="259" t="s">
        <v>688</v>
      </c>
      <c r="E46" s="260" t="s">
        <v>242</v>
      </c>
      <c r="F46" s="259" t="s">
        <v>243</v>
      </c>
      <c r="G46" s="259" t="s">
        <v>283</v>
      </c>
    </row>
    <row r="47" spans="1:7" x14ac:dyDescent="0.2">
      <c r="A47" s="259" t="s">
        <v>207</v>
      </c>
      <c r="B47" s="260" t="s">
        <v>142</v>
      </c>
      <c r="C47" s="289">
        <v>2.2705000000000002</v>
      </c>
      <c r="D47" s="259" t="s">
        <v>1236</v>
      </c>
      <c r="E47" s="260" t="s">
        <v>242</v>
      </c>
      <c r="F47" s="259" t="s">
        <v>243</v>
      </c>
      <c r="G47" s="259" t="s">
        <v>283</v>
      </c>
    </row>
    <row r="48" spans="1:7" x14ac:dyDescent="0.2">
      <c r="A48" s="259" t="s">
        <v>209</v>
      </c>
      <c r="B48" s="260" t="s">
        <v>142</v>
      </c>
      <c r="C48" s="289">
        <v>1.6245000000000001</v>
      </c>
      <c r="D48" s="259" t="s">
        <v>1236</v>
      </c>
      <c r="E48" s="260" t="s">
        <v>242</v>
      </c>
      <c r="F48" s="259" t="s">
        <v>243</v>
      </c>
      <c r="G48" s="259" t="s">
        <v>283</v>
      </c>
    </row>
    <row r="49" spans="1:7" x14ac:dyDescent="0.2">
      <c r="A49" s="259" t="s">
        <v>389</v>
      </c>
      <c r="B49" s="260" t="s">
        <v>142</v>
      </c>
      <c r="C49" s="289">
        <v>1.179</v>
      </c>
      <c r="D49" s="259" t="s">
        <v>566</v>
      </c>
      <c r="E49" s="260" t="s">
        <v>242</v>
      </c>
      <c r="F49" s="259" t="s">
        <v>243</v>
      </c>
      <c r="G49" s="259" t="s">
        <v>283</v>
      </c>
    </row>
    <row r="50" spans="1:7" x14ac:dyDescent="0.2">
      <c r="A50" s="259" t="s">
        <v>691</v>
      </c>
      <c r="B50" s="260" t="s">
        <v>142</v>
      </c>
      <c r="C50" s="289">
        <v>1.6420000000000001</v>
      </c>
      <c r="D50" s="259" t="s">
        <v>566</v>
      </c>
      <c r="E50" s="260" t="s">
        <v>242</v>
      </c>
      <c r="F50" s="259" t="s">
        <v>243</v>
      </c>
      <c r="G50" s="259" t="s">
        <v>283</v>
      </c>
    </row>
    <row r="51" spans="1:7" x14ac:dyDescent="0.2">
      <c r="A51" s="259" t="s">
        <v>379</v>
      </c>
      <c r="B51" s="260" t="s">
        <v>159</v>
      </c>
      <c r="C51" s="289">
        <v>2.64</v>
      </c>
      <c r="D51" s="259" t="s">
        <v>566</v>
      </c>
      <c r="E51" s="260" t="s">
        <v>242</v>
      </c>
      <c r="F51" s="259" t="s">
        <v>243</v>
      </c>
      <c r="G51" s="259" t="s">
        <v>344</v>
      </c>
    </row>
    <row r="52" spans="1:7" x14ac:dyDescent="0.2">
      <c r="A52" s="259" t="s">
        <v>201</v>
      </c>
      <c r="B52" s="260" t="s">
        <v>159</v>
      </c>
      <c r="C52" s="289">
        <v>0.6</v>
      </c>
      <c r="D52" s="259" t="s">
        <v>566</v>
      </c>
      <c r="E52" s="260" t="s">
        <v>242</v>
      </c>
      <c r="F52" s="259" t="s">
        <v>243</v>
      </c>
      <c r="G52" s="259" t="s">
        <v>344</v>
      </c>
    </row>
    <row r="53" spans="1:7" x14ac:dyDescent="0.2">
      <c r="A53" s="259" t="s">
        <v>343</v>
      </c>
      <c r="B53" s="260" t="s">
        <v>159</v>
      </c>
      <c r="C53" s="289">
        <v>0.74</v>
      </c>
      <c r="D53" s="259" t="s">
        <v>566</v>
      </c>
      <c r="E53" s="260" t="s">
        <v>242</v>
      </c>
      <c r="F53" s="259" t="s">
        <v>243</v>
      </c>
      <c r="G53" s="259" t="s">
        <v>344</v>
      </c>
    </row>
    <row r="54" spans="1:7" x14ac:dyDescent="0.2">
      <c r="A54" s="259" t="s">
        <v>347</v>
      </c>
      <c r="B54" s="260" t="s">
        <v>140</v>
      </c>
      <c r="C54" s="289">
        <v>700.88</v>
      </c>
      <c r="D54" s="313" t="s">
        <v>566</v>
      </c>
      <c r="E54" s="260" t="s">
        <v>242</v>
      </c>
      <c r="F54" s="259" t="s">
        <v>243</v>
      </c>
      <c r="G54" s="259" t="s">
        <v>348</v>
      </c>
    </row>
    <row r="55" spans="1:7" x14ac:dyDescent="0.2">
      <c r="A55" s="259" t="s">
        <v>167</v>
      </c>
      <c r="B55" s="260" t="s">
        <v>166</v>
      </c>
      <c r="C55" s="289">
        <v>35</v>
      </c>
      <c r="D55" s="259" t="s">
        <v>1237</v>
      </c>
      <c r="E55" s="260" t="s">
        <v>242</v>
      </c>
      <c r="F55" s="259" t="s">
        <v>243</v>
      </c>
      <c r="G55" s="259" t="s">
        <v>244</v>
      </c>
    </row>
    <row r="56" spans="1:7" x14ac:dyDescent="0.2">
      <c r="A56" s="259" t="s">
        <v>182</v>
      </c>
      <c r="B56" s="260" t="s">
        <v>166</v>
      </c>
      <c r="C56" s="289">
        <v>352</v>
      </c>
      <c r="D56" s="259" t="s">
        <v>566</v>
      </c>
      <c r="E56" s="260" t="s">
        <v>242</v>
      </c>
      <c r="F56" s="259" t="s">
        <v>243</v>
      </c>
      <c r="G56" s="259" t="s">
        <v>244</v>
      </c>
    </row>
    <row r="57" spans="1:7" x14ac:dyDescent="0.2">
      <c r="A57" s="259" t="s">
        <v>211</v>
      </c>
      <c r="B57" s="260" t="s">
        <v>166</v>
      </c>
      <c r="C57" s="289">
        <v>480</v>
      </c>
      <c r="D57" s="259" t="s">
        <v>566</v>
      </c>
      <c r="E57" s="260" t="s">
        <v>242</v>
      </c>
      <c r="F57" s="259" t="s">
        <v>243</v>
      </c>
      <c r="G57" s="259" t="s">
        <v>244</v>
      </c>
    </row>
    <row r="58" spans="1:7" x14ac:dyDescent="0.2">
      <c r="A58" s="259" t="s">
        <v>923</v>
      </c>
      <c r="B58" s="260" t="s">
        <v>140</v>
      </c>
      <c r="C58" s="289">
        <f>2.5*1.2</f>
        <v>3</v>
      </c>
      <c r="D58" s="313" t="s">
        <v>688</v>
      </c>
      <c r="E58" s="260" t="s">
        <v>242</v>
      </c>
      <c r="F58" s="259" t="s">
        <v>243</v>
      </c>
      <c r="G58" s="259" t="s">
        <v>244</v>
      </c>
    </row>
    <row r="59" spans="1:7" x14ac:dyDescent="0.2">
      <c r="A59" s="259" t="s">
        <v>820</v>
      </c>
      <c r="B59" s="260" t="s">
        <v>166</v>
      </c>
      <c r="C59" s="289">
        <v>450</v>
      </c>
      <c r="D59" s="313" t="s">
        <v>570</v>
      </c>
      <c r="E59" s="260" t="s">
        <v>242</v>
      </c>
      <c r="F59" s="259" t="s">
        <v>243</v>
      </c>
      <c r="G59" s="259" t="s">
        <v>244</v>
      </c>
    </row>
    <row r="60" spans="1:7" x14ac:dyDescent="0.2">
      <c r="A60" s="259" t="s">
        <v>183</v>
      </c>
      <c r="B60" s="260" t="s">
        <v>166</v>
      </c>
      <c r="C60" s="289">
        <v>560</v>
      </c>
      <c r="D60" s="259" t="s">
        <v>566</v>
      </c>
      <c r="E60" s="260" t="s">
        <v>242</v>
      </c>
      <c r="F60" s="259" t="s">
        <v>243</v>
      </c>
      <c r="G60" s="259" t="s">
        <v>244</v>
      </c>
    </row>
    <row r="61" spans="1:7" x14ac:dyDescent="0.2">
      <c r="A61" s="259" t="s">
        <v>323</v>
      </c>
      <c r="B61" s="260" t="s">
        <v>170</v>
      </c>
      <c r="C61" s="289">
        <v>350</v>
      </c>
      <c r="D61" s="259" t="s">
        <v>566</v>
      </c>
      <c r="E61" s="260" t="s">
        <v>239</v>
      </c>
      <c r="F61" s="259" t="s">
        <v>240</v>
      </c>
      <c r="G61" s="259" t="s">
        <v>305</v>
      </c>
    </row>
    <row r="62" spans="1:7" x14ac:dyDescent="0.2">
      <c r="A62" s="259" t="s">
        <v>304</v>
      </c>
      <c r="B62" s="260" t="s">
        <v>170</v>
      </c>
      <c r="C62" s="289">
        <v>400</v>
      </c>
      <c r="D62" s="259"/>
      <c r="E62" s="260" t="s">
        <v>239</v>
      </c>
      <c r="F62" s="259" t="s">
        <v>240</v>
      </c>
      <c r="G62" s="259" t="s">
        <v>305</v>
      </c>
    </row>
    <row r="63" spans="1:7" x14ac:dyDescent="0.2">
      <c r="A63" s="259" t="s">
        <v>370</v>
      </c>
      <c r="B63" s="260" t="s">
        <v>170</v>
      </c>
      <c r="C63" s="289">
        <v>150</v>
      </c>
      <c r="D63" s="259" t="s">
        <v>810</v>
      </c>
      <c r="E63" s="260" t="s">
        <v>239</v>
      </c>
      <c r="F63" s="259" t="s">
        <v>240</v>
      </c>
      <c r="G63" s="259" t="s">
        <v>305</v>
      </c>
    </row>
    <row r="64" spans="1:7" x14ac:dyDescent="0.2">
      <c r="A64" s="259" t="s">
        <v>814</v>
      </c>
      <c r="B64" s="260" t="s">
        <v>170</v>
      </c>
      <c r="C64" s="289">
        <v>12200</v>
      </c>
      <c r="D64" s="259" t="s">
        <v>810</v>
      </c>
      <c r="E64" s="260" t="s">
        <v>239</v>
      </c>
      <c r="F64" s="259" t="s">
        <v>240</v>
      </c>
      <c r="G64" s="259" t="s">
        <v>305</v>
      </c>
    </row>
    <row r="65" spans="1:7" x14ac:dyDescent="0.2">
      <c r="A65" s="259" t="s">
        <v>815</v>
      </c>
      <c r="B65" s="260" t="s">
        <v>170</v>
      </c>
      <c r="C65" s="289">
        <v>27000</v>
      </c>
      <c r="D65" s="259" t="s">
        <v>810</v>
      </c>
      <c r="E65" s="260" t="s">
        <v>239</v>
      </c>
      <c r="F65" s="259" t="s">
        <v>240</v>
      </c>
      <c r="G65" s="259" t="s">
        <v>305</v>
      </c>
    </row>
    <row r="66" spans="1:7" x14ac:dyDescent="0.2">
      <c r="A66" s="259" t="s">
        <v>816</v>
      </c>
      <c r="B66" s="260" t="s">
        <v>101</v>
      </c>
      <c r="C66" s="289">
        <v>100</v>
      </c>
      <c r="D66" s="259" t="s">
        <v>810</v>
      </c>
      <c r="E66" s="260" t="s">
        <v>239</v>
      </c>
      <c r="F66" s="259" t="s">
        <v>240</v>
      </c>
      <c r="G66" s="259" t="s">
        <v>305</v>
      </c>
    </row>
    <row r="67" spans="1:7" x14ac:dyDescent="0.2">
      <c r="A67" s="259" t="s">
        <v>817</v>
      </c>
      <c r="B67" s="260" t="s">
        <v>101</v>
      </c>
      <c r="C67" s="289">
        <v>300</v>
      </c>
      <c r="D67" s="259" t="s">
        <v>810</v>
      </c>
      <c r="E67" s="260" t="s">
        <v>239</v>
      </c>
      <c r="F67" s="259" t="s">
        <v>240</v>
      </c>
      <c r="G67" s="259" t="s">
        <v>305</v>
      </c>
    </row>
    <row r="68" spans="1:7" x14ac:dyDescent="0.2">
      <c r="A68" s="259" t="s">
        <v>818</v>
      </c>
      <c r="B68" s="260" t="s">
        <v>101</v>
      </c>
      <c r="C68" s="289">
        <v>84</v>
      </c>
      <c r="D68" s="259" t="s">
        <v>810</v>
      </c>
      <c r="E68" s="260" t="s">
        <v>239</v>
      </c>
      <c r="F68" s="259" t="s">
        <v>240</v>
      </c>
      <c r="G68" s="259" t="s">
        <v>305</v>
      </c>
    </row>
    <row r="69" spans="1:7" x14ac:dyDescent="0.2">
      <c r="A69" s="259" t="s">
        <v>819</v>
      </c>
      <c r="B69" s="260" t="s">
        <v>101</v>
      </c>
      <c r="C69" s="289">
        <v>130</v>
      </c>
      <c r="D69" s="259" t="s">
        <v>810</v>
      </c>
      <c r="E69" s="260" t="s">
        <v>239</v>
      </c>
      <c r="F69" s="259" t="s">
        <v>240</v>
      </c>
      <c r="G69" s="259" t="s">
        <v>305</v>
      </c>
    </row>
    <row r="70" spans="1:7" x14ac:dyDescent="0.2">
      <c r="A70" s="259" t="s">
        <v>335</v>
      </c>
      <c r="B70" s="260" t="s">
        <v>170</v>
      </c>
      <c r="C70" s="289">
        <v>8129.21</v>
      </c>
      <c r="D70" s="259" t="s">
        <v>810</v>
      </c>
      <c r="E70" s="260" t="s">
        <v>236</v>
      </c>
      <c r="F70" s="259" t="s">
        <v>4</v>
      </c>
      <c r="G70" s="259" t="s">
        <v>336</v>
      </c>
    </row>
    <row r="71" spans="1:7" x14ac:dyDescent="0.2">
      <c r="A71" s="259" t="s">
        <v>171</v>
      </c>
      <c r="B71" s="260" t="s">
        <v>176</v>
      </c>
      <c r="C71" s="289">
        <v>6.34</v>
      </c>
      <c r="D71" s="259" t="s">
        <v>566</v>
      </c>
      <c r="E71" s="260" t="s">
        <v>242</v>
      </c>
      <c r="F71" s="259" t="s">
        <v>243</v>
      </c>
      <c r="G71" s="259" t="s">
        <v>360</v>
      </c>
    </row>
    <row r="72" spans="1:7" x14ac:dyDescent="0.2">
      <c r="A72" s="259" t="s">
        <v>585</v>
      </c>
      <c r="B72" s="260" t="s">
        <v>170</v>
      </c>
      <c r="C72" s="289">
        <f>6916.85</f>
        <v>6916.85</v>
      </c>
      <c r="D72" s="259" t="s">
        <v>570</v>
      </c>
      <c r="E72" s="260" t="s">
        <v>239</v>
      </c>
      <c r="F72" s="259" t="s">
        <v>240</v>
      </c>
      <c r="G72" s="259" t="s">
        <v>313</v>
      </c>
    </row>
    <row r="73" spans="1:7" x14ac:dyDescent="0.2">
      <c r="A73" s="259" t="s">
        <v>162</v>
      </c>
      <c r="B73" s="260" t="s">
        <v>142</v>
      </c>
      <c r="C73" s="289">
        <v>0.76</v>
      </c>
      <c r="D73" s="259" t="s">
        <v>566</v>
      </c>
      <c r="E73" s="260" t="s">
        <v>242</v>
      </c>
      <c r="F73" s="259" t="s">
        <v>243</v>
      </c>
      <c r="G73" s="259" t="s">
        <v>285</v>
      </c>
    </row>
    <row r="74" spans="1:7" x14ac:dyDescent="0.2">
      <c r="A74" s="259" t="s">
        <v>612</v>
      </c>
      <c r="B74" s="260" t="s">
        <v>142</v>
      </c>
      <c r="C74" s="289">
        <v>0.45</v>
      </c>
      <c r="D74" s="313" t="s">
        <v>566</v>
      </c>
      <c r="E74" s="260" t="s">
        <v>242</v>
      </c>
      <c r="F74" s="259" t="s">
        <v>243</v>
      </c>
      <c r="G74" s="259" t="s">
        <v>285</v>
      </c>
    </row>
    <row r="75" spans="1:7" x14ac:dyDescent="0.2">
      <c r="A75" s="259" t="s">
        <v>716</v>
      </c>
      <c r="B75" s="260" t="s">
        <v>142</v>
      </c>
      <c r="C75" s="289">
        <v>0.22</v>
      </c>
      <c r="D75" s="313" t="s">
        <v>688</v>
      </c>
      <c r="E75" s="260" t="s">
        <v>242</v>
      </c>
      <c r="F75" s="259" t="s">
        <v>243</v>
      </c>
      <c r="G75" s="259" t="s">
        <v>285</v>
      </c>
    </row>
    <row r="76" spans="1:7" x14ac:dyDescent="0.2">
      <c r="A76" s="259" t="s">
        <v>715</v>
      </c>
      <c r="B76" s="260" t="s">
        <v>142</v>
      </c>
      <c r="C76" s="289">
        <v>0.22</v>
      </c>
      <c r="D76" s="313" t="s">
        <v>688</v>
      </c>
      <c r="E76" s="260" t="s">
        <v>242</v>
      </c>
      <c r="F76" s="259" t="s">
        <v>243</v>
      </c>
      <c r="G76" s="259" t="s">
        <v>285</v>
      </c>
    </row>
    <row r="77" spans="1:7" x14ac:dyDescent="0.2">
      <c r="A77" s="259" t="s">
        <v>717</v>
      </c>
      <c r="B77" s="260" t="s">
        <v>142</v>
      </c>
      <c r="C77" s="289">
        <v>0.2</v>
      </c>
      <c r="D77" s="313" t="s">
        <v>688</v>
      </c>
      <c r="E77" s="260" t="s">
        <v>242</v>
      </c>
      <c r="F77" s="259" t="s">
        <v>243</v>
      </c>
      <c r="G77" s="259" t="s">
        <v>285</v>
      </c>
    </row>
    <row r="78" spans="1:7" x14ac:dyDescent="0.2">
      <c r="A78" s="259" t="s">
        <v>761</v>
      </c>
      <c r="B78" s="260" t="s">
        <v>142</v>
      </c>
      <c r="C78" s="289">
        <v>0.12</v>
      </c>
      <c r="D78" s="259" t="s">
        <v>566</v>
      </c>
      <c r="E78" s="260" t="s">
        <v>242</v>
      </c>
      <c r="F78" s="259" t="s">
        <v>243</v>
      </c>
      <c r="G78" s="259" t="s">
        <v>337</v>
      </c>
    </row>
    <row r="79" spans="1:7" x14ac:dyDescent="0.2">
      <c r="A79" s="259" t="s">
        <v>390</v>
      </c>
      <c r="B79" s="260" t="s">
        <v>142</v>
      </c>
      <c r="C79" s="289">
        <v>0.157</v>
      </c>
      <c r="D79" s="259" t="s">
        <v>566</v>
      </c>
      <c r="E79" s="260" t="s">
        <v>242</v>
      </c>
      <c r="F79" s="259" t="s">
        <v>243</v>
      </c>
      <c r="G79" s="259" t="s">
        <v>337</v>
      </c>
    </row>
    <row r="80" spans="1:7" x14ac:dyDescent="0.2">
      <c r="A80" s="259" t="s">
        <v>215</v>
      </c>
      <c r="B80" s="260" t="s">
        <v>142</v>
      </c>
      <c r="C80" s="289">
        <v>0.3</v>
      </c>
      <c r="D80" s="259" t="s">
        <v>566</v>
      </c>
      <c r="E80" s="260" t="s">
        <v>242</v>
      </c>
      <c r="F80" s="259" t="s">
        <v>243</v>
      </c>
      <c r="G80" s="259" t="s">
        <v>337</v>
      </c>
    </row>
    <row r="81" spans="1:9" x14ac:dyDescent="0.2">
      <c r="A81" s="259" t="s">
        <v>214</v>
      </c>
      <c r="B81" s="260" t="s">
        <v>142</v>
      </c>
      <c r="C81" s="289">
        <v>0.3</v>
      </c>
      <c r="D81" s="313" t="s">
        <v>566</v>
      </c>
      <c r="E81" s="260" t="s">
        <v>242</v>
      </c>
      <c r="F81" s="259" t="s">
        <v>243</v>
      </c>
      <c r="G81" s="259" t="s">
        <v>337</v>
      </c>
    </row>
    <row r="82" spans="1:9" x14ac:dyDescent="0.2">
      <c r="A82" s="259" t="s">
        <v>1144</v>
      </c>
      <c r="B82" s="260" t="s">
        <v>142</v>
      </c>
      <c r="C82" s="289">
        <v>0.3</v>
      </c>
      <c r="D82" s="313" t="s">
        <v>566</v>
      </c>
      <c r="E82" s="260" t="s">
        <v>242</v>
      </c>
      <c r="F82" s="259" t="s">
        <v>243</v>
      </c>
      <c r="G82" s="259" t="s">
        <v>337</v>
      </c>
    </row>
    <row r="83" spans="1:9" x14ac:dyDescent="0.2">
      <c r="A83" s="259" t="s">
        <v>749</v>
      </c>
      <c r="B83" s="260" t="s">
        <v>159</v>
      </c>
      <c r="C83" s="289">
        <v>10.37</v>
      </c>
      <c r="D83" s="313" t="s">
        <v>566</v>
      </c>
      <c r="E83" s="260" t="s">
        <v>242</v>
      </c>
      <c r="F83" s="259" t="s">
        <v>243</v>
      </c>
      <c r="G83" s="259" t="s">
        <v>337</v>
      </c>
    </row>
    <row r="84" spans="1:9" x14ac:dyDescent="0.2">
      <c r="A84" s="259" t="s">
        <v>173</v>
      </c>
      <c r="B84" s="260" t="s">
        <v>159</v>
      </c>
      <c r="C84" s="289">
        <v>13</v>
      </c>
      <c r="D84" s="313" t="s">
        <v>566</v>
      </c>
      <c r="E84" s="260" t="s">
        <v>242</v>
      </c>
      <c r="F84" s="259" t="s">
        <v>243</v>
      </c>
      <c r="G84" s="259" t="s">
        <v>337</v>
      </c>
    </row>
    <row r="85" spans="1:9" x14ac:dyDescent="0.2">
      <c r="A85" s="259" t="s">
        <v>1201</v>
      </c>
      <c r="B85" s="260" t="s">
        <v>170</v>
      </c>
      <c r="C85" s="289">
        <v>46260.671085225476</v>
      </c>
      <c r="D85" s="313" t="s">
        <v>1197</v>
      </c>
      <c r="E85" s="260" t="s">
        <v>242</v>
      </c>
      <c r="F85" s="259" t="s">
        <v>243</v>
      </c>
      <c r="G85" s="259" t="s">
        <v>1200</v>
      </c>
    </row>
    <row r="86" spans="1:9" x14ac:dyDescent="0.2">
      <c r="A86" s="259" t="s">
        <v>1202</v>
      </c>
      <c r="B86" s="260" t="s">
        <v>170</v>
      </c>
      <c r="C86" s="289">
        <v>13855.798914774519</v>
      </c>
      <c r="D86" s="313" t="s">
        <v>1197</v>
      </c>
      <c r="E86" s="260" t="s">
        <v>242</v>
      </c>
      <c r="F86" s="259" t="s">
        <v>243</v>
      </c>
      <c r="G86" s="259" t="s">
        <v>1200</v>
      </c>
    </row>
    <row r="87" spans="1:9" x14ac:dyDescent="0.2">
      <c r="A87" s="259" t="s">
        <v>1203</v>
      </c>
      <c r="B87" s="260" t="s">
        <v>170</v>
      </c>
      <c r="C87" s="289">
        <v>43781.855390624762</v>
      </c>
      <c r="D87" s="313" t="s">
        <v>1197</v>
      </c>
      <c r="E87" s="260" t="s">
        <v>242</v>
      </c>
      <c r="F87" s="259" t="s">
        <v>243</v>
      </c>
      <c r="G87" s="259" t="s">
        <v>805</v>
      </c>
    </row>
    <row r="88" spans="1:9" x14ac:dyDescent="0.2">
      <c r="A88" s="259" t="s">
        <v>1204</v>
      </c>
      <c r="B88" s="260" t="s">
        <v>170</v>
      </c>
      <c r="C88" s="289">
        <v>13113.354609375243</v>
      </c>
      <c r="D88" s="313" t="s">
        <v>1197</v>
      </c>
      <c r="E88" s="260" t="s">
        <v>242</v>
      </c>
      <c r="F88" s="259" t="s">
        <v>243</v>
      </c>
      <c r="G88" s="259" t="s">
        <v>805</v>
      </c>
    </row>
    <row r="89" spans="1:9" x14ac:dyDescent="0.2">
      <c r="A89" s="259" t="s">
        <v>1205</v>
      </c>
      <c r="B89" s="260" t="s">
        <v>170</v>
      </c>
      <c r="C89" s="289">
        <v>75566.564785471885</v>
      </c>
      <c r="D89" s="313" t="s">
        <v>1197</v>
      </c>
      <c r="E89" s="260" t="s">
        <v>242</v>
      </c>
      <c r="F89" s="259" t="s">
        <v>243</v>
      </c>
      <c r="G89" s="259" t="s">
        <v>244</v>
      </c>
    </row>
    <row r="90" spans="1:9" x14ac:dyDescent="0.2">
      <c r="A90" s="259" t="s">
        <v>1206</v>
      </c>
      <c r="B90" s="260" t="s">
        <v>170</v>
      </c>
      <c r="C90" s="289">
        <v>22633.375214528114</v>
      </c>
      <c r="D90" s="313" t="s">
        <v>1197</v>
      </c>
      <c r="E90" s="260" t="s">
        <v>242</v>
      </c>
      <c r="F90" s="259" t="s">
        <v>243</v>
      </c>
      <c r="G90" s="259" t="s">
        <v>244</v>
      </c>
    </row>
    <row r="91" spans="1:9" x14ac:dyDescent="0.2">
      <c r="A91" s="259" t="s">
        <v>172</v>
      </c>
      <c r="B91" s="260" t="s">
        <v>159</v>
      </c>
      <c r="C91" s="289">
        <v>12.8</v>
      </c>
      <c r="D91" s="313" t="s">
        <v>566</v>
      </c>
      <c r="E91" s="260" t="s">
        <v>242</v>
      </c>
      <c r="F91" s="259" t="s">
        <v>243</v>
      </c>
      <c r="G91" s="259" t="s">
        <v>337</v>
      </c>
    </row>
    <row r="92" spans="1:9" x14ac:dyDescent="0.2">
      <c r="A92" s="259" t="s">
        <v>399</v>
      </c>
      <c r="B92" s="260" t="s">
        <v>159</v>
      </c>
      <c r="C92" s="289">
        <v>12.120000000000001</v>
      </c>
      <c r="D92" s="313" t="s">
        <v>566</v>
      </c>
      <c r="E92" s="260" t="s">
        <v>242</v>
      </c>
      <c r="F92" s="259" t="s">
        <v>243</v>
      </c>
      <c r="G92" s="259" t="s">
        <v>337</v>
      </c>
    </row>
    <row r="93" spans="1:9" x14ac:dyDescent="0.2">
      <c r="A93" s="259" t="str">
        <f>UPPER("Manutenção provisória de Canteiro - elétrica/ Hidrossanitária/Vigilância/Deteticação")</f>
        <v>MANUTENÇÃO PROVISÓRIA DE CANTEIRO - ELÉTRICA/ HIDROSSANITÁRIA/VIGILÂNCIA/DETETICAÇÃO</v>
      </c>
      <c r="B93" s="260" t="s">
        <v>260</v>
      </c>
      <c r="C93" s="289">
        <v>3000</v>
      </c>
      <c r="D93" s="313" t="s">
        <v>810</v>
      </c>
      <c r="E93" s="260" t="s">
        <v>242</v>
      </c>
      <c r="F93" s="259" t="s">
        <v>243</v>
      </c>
      <c r="G93" s="259" t="s">
        <v>340</v>
      </c>
    </row>
    <row r="94" spans="1:9" x14ac:dyDescent="0.2">
      <c r="A94" s="259" t="s">
        <v>251</v>
      </c>
      <c r="B94" s="260" t="s">
        <v>170</v>
      </c>
      <c r="C94" s="289">
        <f ca="1">'Custos Serviços'!D18/SUM('Custos Serviços'!$B$19:$B$23)</f>
        <v>36.785494629101763</v>
      </c>
      <c r="D94" s="313" t="s">
        <v>634</v>
      </c>
      <c r="E94" s="260" t="s">
        <v>236</v>
      </c>
      <c r="F94" s="259" t="s">
        <v>4</v>
      </c>
      <c r="G94" s="259" t="s">
        <v>252</v>
      </c>
      <c r="I94" s="427"/>
    </row>
    <row r="95" spans="1:9" x14ac:dyDescent="0.2">
      <c r="A95" s="259" t="s">
        <v>832</v>
      </c>
      <c r="B95" s="260" t="s">
        <v>170</v>
      </c>
      <c r="C95" s="289">
        <f ca="1">'Custos Serviços'!$D$24/SUM('Custos Serviços'!$B$25:$B$29)</f>
        <v>36.785494629101763</v>
      </c>
      <c r="D95" s="313" t="s">
        <v>634</v>
      </c>
      <c r="E95" s="260" t="s">
        <v>236</v>
      </c>
      <c r="F95" s="259" t="s">
        <v>4</v>
      </c>
      <c r="G95" s="259" t="s">
        <v>250</v>
      </c>
      <c r="I95" s="427"/>
    </row>
    <row r="96" spans="1:9" x14ac:dyDescent="0.2">
      <c r="A96" s="259" t="s">
        <v>1026</v>
      </c>
      <c r="B96" s="260" t="s">
        <v>176</v>
      </c>
      <c r="C96" s="289">
        <v>44.68</v>
      </c>
      <c r="D96" s="313" t="s">
        <v>810</v>
      </c>
      <c r="E96" s="260" t="s">
        <v>236</v>
      </c>
      <c r="F96" s="259" t="s">
        <v>4</v>
      </c>
      <c r="G96" s="259" t="s">
        <v>297</v>
      </c>
    </row>
    <row r="97" spans="1:7" x14ac:dyDescent="0.2">
      <c r="A97" s="259" t="s">
        <v>398</v>
      </c>
      <c r="B97" s="260" t="s">
        <v>142</v>
      </c>
      <c r="C97" s="289">
        <v>890</v>
      </c>
      <c r="D97" s="313" t="s">
        <v>1238</v>
      </c>
      <c r="E97" s="260" t="s">
        <v>236</v>
      </c>
      <c r="F97" s="259" t="s">
        <v>4</v>
      </c>
      <c r="G97" s="259" t="s">
        <v>297</v>
      </c>
    </row>
    <row r="98" spans="1:7" x14ac:dyDescent="0.2">
      <c r="A98" s="259" t="s">
        <v>803</v>
      </c>
      <c r="B98" s="260" t="s">
        <v>142</v>
      </c>
      <c r="C98" s="289">
        <v>420</v>
      </c>
      <c r="D98" s="313" t="s">
        <v>1238</v>
      </c>
      <c r="E98" s="260" t="s">
        <v>236</v>
      </c>
      <c r="F98" s="259" t="s">
        <v>4</v>
      </c>
      <c r="G98" s="259" t="s">
        <v>297</v>
      </c>
    </row>
    <row r="99" spans="1:7" x14ac:dyDescent="0.2">
      <c r="A99" s="259" t="s">
        <v>312</v>
      </c>
      <c r="B99" s="260" t="s">
        <v>170</v>
      </c>
      <c r="C99" s="289">
        <v>850</v>
      </c>
      <c r="D99" s="313" t="s">
        <v>566</v>
      </c>
      <c r="E99" s="260" t="s">
        <v>236</v>
      </c>
      <c r="F99" s="259" t="s">
        <v>4</v>
      </c>
      <c r="G99" s="259" t="s">
        <v>297</v>
      </c>
    </row>
    <row r="100" spans="1:7" x14ac:dyDescent="0.2">
      <c r="A100" s="259" t="s">
        <v>296</v>
      </c>
      <c r="B100" s="260" t="s">
        <v>170</v>
      </c>
      <c r="C100" s="289">
        <v>1200</v>
      </c>
      <c r="D100" s="313" t="s">
        <v>566</v>
      </c>
      <c r="E100" s="260" t="s">
        <v>242</v>
      </c>
      <c r="F100" s="259" t="s">
        <v>243</v>
      </c>
      <c r="G100" s="259" t="s">
        <v>297</v>
      </c>
    </row>
    <row r="101" spans="1:7" x14ac:dyDescent="0.2">
      <c r="A101" s="259" t="s">
        <v>1198</v>
      </c>
      <c r="B101" s="260" t="s">
        <v>170</v>
      </c>
      <c r="C101" s="289">
        <v>3772</v>
      </c>
      <c r="D101" s="313" t="s">
        <v>1197</v>
      </c>
      <c r="E101" s="260" t="s">
        <v>236</v>
      </c>
      <c r="F101" s="259" t="s">
        <v>4</v>
      </c>
      <c r="G101" s="259" t="s">
        <v>290</v>
      </c>
    </row>
    <row r="102" spans="1:7" x14ac:dyDescent="0.2">
      <c r="A102" s="259" t="s">
        <v>231</v>
      </c>
      <c r="B102" s="260" t="s">
        <v>170</v>
      </c>
      <c r="C102" s="289">
        <v>23.07</v>
      </c>
      <c r="D102" s="313" t="s">
        <v>566</v>
      </c>
      <c r="E102" s="260" t="s">
        <v>236</v>
      </c>
      <c r="F102" s="259" t="s">
        <v>4</v>
      </c>
      <c r="G102" s="259" t="s">
        <v>290</v>
      </c>
    </row>
    <row r="103" spans="1:7" x14ac:dyDescent="0.2">
      <c r="A103" s="259" t="s">
        <v>876</v>
      </c>
      <c r="B103" s="260" t="s">
        <v>877</v>
      </c>
      <c r="C103" s="289">
        <v>1313.95</v>
      </c>
      <c r="D103" s="313"/>
      <c r="E103" s="260" t="s">
        <v>236</v>
      </c>
      <c r="F103" s="259" t="s">
        <v>4</v>
      </c>
      <c r="G103" s="259" t="s">
        <v>290</v>
      </c>
    </row>
    <row r="104" spans="1:7" x14ac:dyDescent="0.2">
      <c r="A104" s="259" t="s">
        <v>219</v>
      </c>
      <c r="B104" s="260" t="s">
        <v>166</v>
      </c>
      <c r="C104" s="289">
        <v>7800</v>
      </c>
      <c r="D104" s="313" t="s">
        <v>1197</v>
      </c>
      <c r="E104" s="260" t="s">
        <v>236</v>
      </c>
      <c r="F104" s="259" t="s">
        <v>4</v>
      </c>
      <c r="G104" s="259" t="s">
        <v>290</v>
      </c>
    </row>
    <row r="105" spans="1:7" x14ac:dyDescent="0.2">
      <c r="A105" s="259" t="s">
        <v>1199</v>
      </c>
      <c r="B105" s="260" t="s">
        <v>170</v>
      </c>
      <c r="C105" s="289">
        <v>1615</v>
      </c>
      <c r="D105" s="313" t="s">
        <v>1197</v>
      </c>
      <c r="E105" s="260" t="s">
        <v>236</v>
      </c>
      <c r="F105" s="259" t="s">
        <v>4</v>
      </c>
      <c r="G105" s="259" t="s">
        <v>290</v>
      </c>
    </row>
    <row r="106" spans="1:7" x14ac:dyDescent="0.2">
      <c r="A106" s="259" t="s">
        <v>220</v>
      </c>
      <c r="B106" s="260" t="s">
        <v>170</v>
      </c>
      <c r="C106" s="289">
        <v>8900</v>
      </c>
      <c r="D106" s="313" t="s">
        <v>1197</v>
      </c>
      <c r="E106" s="260" t="s">
        <v>236</v>
      </c>
      <c r="F106" s="259" t="s">
        <v>4</v>
      </c>
      <c r="G106" s="259" t="s">
        <v>290</v>
      </c>
    </row>
    <row r="107" spans="1:7" x14ac:dyDescent="0.2">
      <c r="A107" s="259" t="s">
        <v>867</v>
      </c>
      <c r="B107" s="260" t="s">
        <v>260</v>
      </c>
      <c r="C107" s="289">
        <v>1500</v>
      </c>
      <c r="D107" s="313" t="s">
        <v>809</v>
      </c>
      <c r="E107" s="260" t="s">
        <v>236</v>
      </c>
      <c r="F107" s="259" t="s">
        <v>4</v>
      </c>
      <c r="G107" s="259" t="s">
        <v>146</v>
      </c>
    </row>
    <row r="108" spans="1:7" x14ac:dyDescent="0.2">
      <c r="A108" s="259" t="s">
        <v>320</v>
      </c>
      <c r="B108" s="260" t="s">
        <v>142</v>
      </c>
      <c r="C108" s="289">
        <v>8500</v>
      </c>
      <c r="D108" s="313" t="s">
        <v>1238</v>
      </c>
      <c r="E108" s="260" t="s">
        <v>242</v>
      </c>
      <c r="F108" s="259" t="s">
        <v>243</v>
      </c>
      <c r="G108" s="259" t="s">
        <v>321</v>
      </c>
    </row>
    <row r="109" spans="1:7" x14ac:dyDescent="0.2">
      <c r="A109" s="259" t="s">
        <v>245</v>
      </c>
      <c r="B109" s="260" t="s">
        <v>170</v>
      </c>
      <c r="C109" s="289">
        <v>356636.125</v>
      </c>
      <c r="D109" s="313" t="s">
        <v>809</v>
      </c>
      <c r="E109" s="260" t="s">
        <v>242</v>
      </c>
      <c r="F109" s="259" t="s">
        <v>243</v>
      </c>
      <c r="G109" s="259" t="s">
        <v>246</v>
      </c>
    </row>
    <row r="110" spans="1:7" x14ac:dyDescent="0.2">
      <c r="A110" s="259" t="s">
        <v>863</v>
      </c>
      <c r="B110" s="260" t="s">
        <v>142</v>
      </c>
      <c r="C110" s="289">
        <v>1150</v>
      </c>
      <c r="D110" s="259" t="s">
        <v>566</v>
      </c>
      <c r="E110" s="260" t="s">
        <v>387</v>
      </c>
      <c r="F110" s="259" t="s">
        <v>321</v>
      </c>
      <c r="G110" s="259" t="s">
        <v>388</v>
      </c>
    </row>
    <row r="111" spans="1:7" x14ac:dyDescent="0.2">
      <c r="A111" s="259" t="s">
        <v>864</v>
      </c>
      <c r="B111" s="260" t="s">
        <v>142</v>
      </c>
      <c r="C111" s="289">
        <v>250</v>
      </c>
      <c r="D111" s="259" t="s">
        <v>566</v>
      </c>
      <c r="E111" s="260" t="s">
        <v>387</v>
      </c>
      <c r="F111" s="259" t="s">
        <v>321</v>
      </c>
      <c r="G111" s="259" t="s">
        <v>388</v>
      </c>
    </row>
    <row r="112" spans="1:7" x14ac:dyDescent="0.2">
      <c r="A112" s="259" t="s">
        <v>865</v>
      </c>
      <c r="B112" s="260" t="s">
        <v>142</v>
      </c>
      <c r="C112" s="289">
        <v>533.63</v>
      </c>
      <c r="D112" s="259" t="s">
        <v>566</v>
      </c>
      <c r="E112" s="260" t="s">
        <v>387</v>
      </c>
      <c r="F112" s="259" t="s">
        <v>321</v>
      </c>
      <c r="G112" s="259" t="s">
        <v>388</v>
      </c>
    </row>
    <row r="113" spans="1:7" x14ac:dyDescent="0.2">
      <c r="A113" s="259" t="s">
        <v>866</v>
      </c>
      <c r="B113" s="260" t="s">
        <v>142</v>
      </c>
      <c r="C113" s="289">
        <v>2643.33</v>
      </c>
      <c r="D113" s="259" t="s">
        <v>566</v>
      </c>
      <c r="E113" s="260" t="s">
        <v>387</v>
      </c>
      <c r="F113" s="259" t="s">
        <v>321</v>
      </c>
      <c r="G113" s="259" t="s">
        <v>388</v>
      </c>
    </row>
    <row r="114" spans="1:7" x14ac:dyDescent="0.2">
      <c r="A114" s="259" t="s">
        <v>1061</v>
      </c>
      <c r="B114" s="260" t="s">
        <v>142</v>
      </c>
      <c r="C114" s="289">
        <v>15</v>
      </c>
      <c r="D114" s="313" t="s">
        <v>688</v>
      </c>
      <c r="E114" s="260" t="s">
        <v>242</v>
      </c>
      <c r="F114" s="259" t="s">
        <v>243</v>
      </c>
      <c r="G114" s="259" t="s">
        <v>271</v>
      </c>
    </row>
    <row r="115" spans="1:7" x14ac:dyDescent="0.2">
      <c r="A115" s="259" t="s">
        <v>1062</v>
      </c>
      <c r="B115" s="260" t="s">
        <v>142</v>
      </c>
      <c r="C115" s="289">
        <v>95</v>
      </c>
      <c r="D115" s="313" t="s">
        <v>688</v>
      </c>
      <c r="E115" s="260" t="s">
        <v>242</v>
      </c>
      <c r="F115" s="259" t="s">
        <v>243</v>
      </c>
      <c r="G115" s="259" t="s">
        <v>271</v>
      </c>
    </row>
    <row r="116" spans="1:7" x14ac:dyDescent="0.2">
      <c r="A116" s="259" t="s">
        <v>1063</v>
      </c>
      <c r="B116" s="260" t="s">
        <v>142</v>
      </c>
      <c r="C116" s="289">
        <v>85</v>
      </c>
      <c r="D116" s="313" t="s">
        <v>688</v>
      </c>
      <c r="E116" s="260" t="s">
        <v>242</v>
      </c>
      <c r="F116" s="259" t="s">
        <v>243</v>
      </c>
      <c r="G116" s="259" t="s">
        <v>271</v>
      </c>
    </row>
    <row r="117" spans="1:7" x14ac:dyDescent="0.2">
      <c r="A117" s="259" t="s">
        <v>696</v>
      </c>
      <c r="B117" s="260" t="s">
        <v>142</v>
      </c>
      <c r="C117" s="289">
        <v>473.50549999999998</v>
      </c>
      <c r="D117" s="313" t="s">
        <v>1239</v>
      </c>
      <c r="E117" s="260" t="s">
        <v>242</v>
      </c>
      <c r="F117" s="259" t="s">
        <v>243</v>
      </c>
      <c r="G117" s="259" t="s">
        <v>271</v>
      </c>
    </row>
    <row r="118" spans="1:7" x14ac:dyDescent="0.2">
      <c r="A118" s="259" t="s">
        <v>697</v>
      </c>
      <c r="B118" s="260" t="s">
        <v>142</v>
      </c>
      <c r="C118" s="289">
        <v>457.99549999999999</v>
      </c>
      <c r="D118" s="313" t="s">
        <v>1239</v>
      </c>
      <c r="E118" s="260" t="s">
        <v>242</v>
      </c>
      <c r="F118" s="259" t="s">
        <v>243</v>
      </c>
      <c r="G118" s="259" t="s">
        <v>271</v>
      </c>
    </row>
    <row r="119" spans="1:7" x14ac:dyDescent="0.2">
      <c r="A119" s="259" t="s">
        <v>698</v>
      </c>
      <c r="B119" s="260" t="s">
        <v>142</v>
      </c>
      <c r="C119" s="289">
        <v>437.8655</v>
      </c>
      <c r="D119" s="313" t="s">
        <v>1239</v>
      </c>
      <c r="E119" s="260" t="s">
        <v>242</v>
      </c>
      <c r="F119" s="259" t="s">
        <v>243</v>
      </c>
      <c r="G119" s="259" t="s">
        <v>271</v>
      </c>
    </row>
    <row r="120" spans="1:7" x14ac:dyDescent="0.2">
      <c r="A120" s="259" t="s">
        <v>699</v>
      </c>
      <c r="B120" s="260" t="s">
        <v>142</v>
      </c>
      <c r="C120" s="289">
        <v>2826.9</v>
      </c>
      <c r="D120" s="313" t="s">
        <v>1240</v>
      </c>
      <c r="E120" s="260" t="s">
        <v>242</v>
      </c>
      <c r="F120" s="259" t="s">
        <v>243</v>
      </c>
      <c r="G120" s="259" t="s">
        <v>271</v>
      </c>
    </row>
    <row r="121" spans="1:7" x14ac:dyDescent="0.2">
      <c r="A121" s="259" t="s">
        <v>683</v>
      </c>
      <c r="B121" s="260" t="s">
        <v>142</v>
      </c>
      <c r="C121" s="289">
        <v>1569.69</v>
      </c>
      <c r="D121" s="313" t="s">
        <v>566</v>
      </c>
      <c r="E121" s="260" t="s">
        <v>242</v>
      </c>
      <c r="F121" s="259" t="s">
        <v>243</v>
      </c>
      <c r="G121" s="259" t="s">
        <v>682</v>
      </c>
    </row>
    <row r="122" spans="1:7" x14ac:dyDescent="0.2">
      <c r="A122" s="259" t="s">
        <v>694</v>
      </c>
      <c r="B122" s="260" t="s">
        <v>681</v>
      </c>
      <c r="C122" s="293">
        <v>826.51</v>
      </c>
      <c r="D122" s="313" t="s">
        <v>1241</v>
      </c>
      <c r="E122" s="260" t="s">
        <v>242</v>
      </c>
      <c r="F122" s="259" t="s">
        <v>243</v>
      </c>
      <c r="G122" s="259" t="s">
        <v>682</v>
      </c>
    </row>
    <row r="123" spans="1:7" x14ac:dyDescent="0.2">
      <c r="A123" s="259" t="s">
        <v>700</v>
      </c>
      <c r="B123" s="260" t="s">
        <v>592</v>
      </c>
      <c r="C123" s="293">
        <v>425.63123993558781</v>
      </c>
      <c r="D123" s="313" t="s">
        <v>1241</v>
      </c>
      <c r="E123" s="260" t="s">
        <v>242</v>
      </c>
      <c r="F123" s="259" t="s">
        <v>243</v>
      </c>
      <c r="G123" s="259" t="s">
        <v>682</v>
      </c>
    </row>
    <row r="124" spans="1:7" x14ac:dyDescent="0.2">
      <c r="A124" s="259" t="s">
        <v>701</v>
      </c>
      <c r="B124" s="260" t="s">
        <v>592</v>
      </c>
      <c r="C124" s="293">
        <v>559.77756286266913</v>
      </c>
      <c r="D124" s="313" t="s">
        <v>1241</v>
      </c>
      <c r="E124" s="260" t="s">
        <v>242</v>
      </c>
      <c r="F124" s="259" t="s">
        <v>243</v>
      </c>
      <c r="G124" s="259" t="s">
        <v>682</v>
      </c>
    </row>
    <row r="125" spans="1:7" x14ac:dyDescent="0.2">
      <c r="A125" s="259" t="s">
        <v>702</v>
      </c>
      <c r="B125" s="260" t="s">
        <v>592</v>
      </c>
      <c r="C125" s="293">
        <v>568.53463128876638</v>
      </c>
      <c r="D125" s="313" t="s">
        <v>1241</v>
      </c>
      <c r="E125" s="260" t="s">
        <v>242</v>
      </c>
      <c r="F125" s="259" t="s">
        <v>243</v>
      </c>
      <c r="G125" s="259" t="s">
        <v>682</v>
      </c>
    </row>
    <row r="126" spans="1:7" x14ac:dyDescent="0.2">
      <c r="A126" s="259" t="s">
        <v>703</v>
      </c>
      <c r="B126" s="260" t="s">
        <v>592</v>
      </c>
      <c r="C126" s="293">
        <v>506.01731601731598</v>
      </c>
      <c r="D126" s="313" t="s">
        <v>1241</v>
      </c>
      <c r="E126" s="260" t="s">
        <v>242</v>
      </c>
      <c r="F126" s="259" t="s">
        <v>243</v>
      </c>
      <c r="G126" s="259" t="s">
        <v>682</v>
      </c>
    </row>
    <row r="127" spans="1:7" x14ac:dyDescent="0.2">
      <c r="A127" s="259" t="s">
        <v>704</v>
      </c>
      <c r="B127" s="260" t="s">
        <v>681</v>
      </c>
      <c r="C127" s="293">
        <v>1533.99</v>
      </c>
      <c r="D127" s="313" t="s">
        <v>1241</v>
      </c>
      <c r="E127" s="260" t="s">
        <v>242</v>
      </c>
      <c r="F127" s="259" t="s">
        <v>243</v>
      </c>
      <c r="G127" s="259" t="s">
        <v>682</v>
      </c>
    </row>
    <row r="128" spans="1:7" x14ac:dyDescent="0.2">
      <c r="A128" s="259" t="s">
        <v>695</v>
      </c>
      <c r="B128" s="260" t="s">
        <v>681</v>
      </c>
      <c r="C128" s="293">
        <v>5445.82</v>
      </c>
      <c r="D128" s="313" t="s">
        <v>1241</v>
      </c>
      <c r="E128" s="260" t="s">
        <v>242</v>
      </c>
      <c r="F128" s="259" t="s">
        <v>243</v>
      </c>
      <c r="G128" s="259" t="s">
        <v>682</v>
      </c>
    </row>
    <row r="129" spans="1:7" x14ac:dyDescent="0.2">
      <c r="A129" s="259" t="s">
        <v>1189</v>
      </c>
      <c r="B129" s="260" t="s">
        <v>158</v>
      </c>
      <c r="C129" s="327">
        <v>60</v>
      </c>
      <c r="D129" s="313" t="s">
        <v>688</v>
      </c>
      <c r="E129" s="260" t="s">
        <v>242</v>
      </c>
      <c r="F129" s="259" t="s">
        <v>243</v>
      </c>
      <c r="G129" s="259" t="s">
        <v>1190</v>
      </c>
    </row>
    <row r="130" spans="1:7" x14ac:dyDescent="0.2">
      <c r="A130" s="325" t="s">
        <v>613</v>
      </c>
      <c r="B130" s="326" t="s">
        <v>142</v>
      </c>
      <c r="C130" s="327">
        <v>1.56</v>
      </c>
      <c r="D130" s="313" t="s">
        <v>566</v>
      </c>
      <c r="E130" s="260" t="s">
        <v>242</v>
      </c>
      <c r="F130" s="259" t="s">
        <v>243</v>
      </c>
      <c r="G130" s="259" t="s">
        <v>400</v>
      </c>
    </row>
    <row r="131" spans="1:7" x14ac:dyDescent="0.2">
      <c r="A131" s="259" t="s">
        <v>358</v>
      </c>
      <c r="B131" s="260" t="s">
        <v>176</v>
      </c>
      <c r="C131" s="289">
        <v>9.44</v>
      </c>
      <c r="D131" s="313" t="s">
        <v>566</v>
      </c>
      <c r="E131" s="260" t="s">
        <v>242</v>
      </c>
      <c r="F131" s="259" t="s">
        <v>243</v>
      </c>
      <c r="G131" s="259" t="s">
        <v>334</v>
      </c>
    </row>
    <row r="132" spans="1:7" x14ac:dyDescent="0.2">
      <c r="A132" s="259" t="s">
        <v>333</v>
      </c>
      <c r="B132" s="260" t="s">
        <v>176</v>
      </c>
      <c r="C132" s="289">
        <v>6</v>
      </c>
      <c r="D132" s="313" t="s">
        <v>566</v>
      </c>
      <c r="E132" s="260" t="s">
        <v>242</v>
      </c>
      <c r="F132" s="259" t="s">
        <v>243</v>
      </c>
      <c r="G132" s="259" t="s">
        <v>334</v>
      </c>
    </row>
    <row r="133" spans="1:7" x14ac:dyDescent="0.2">
      <c r="A133" s="259" t="s">
        <v>1196</v>
      </c>
      <c r="B133" s="260" t="s">
        <v>170</v>
      </c>
      <c r="C133" s="289">
        <v>135260</v>
      </c>
      <c r="D133" s="313" t="s">
        <v>1197</v>
      </c>
      <c r="E133" s="260" t="s">
        <v>236</v>
      </c>
      <c r="F133" s="259" t="s">
        <v>4</v>
      </c>
      <c r="G133" s="259" t="s">
        <v>346</v>
      </c>
    </row>
    <row r="134" spans="1:7" x14ac:dyDescent="0.2">
      <c r="A134" s="259" t="s">
        <v>949</v>
      </c>
      <c r="B134" s="260" t="s">
        <v>142</v>
      </c>
      <c r="C134" s="289">
        <v>650</v>
      </c>
      <c r="D134" s="313" t="s">
        <v>810</v>
      </c>
      <c r="E134" s="260" t="s">
        <v>236</v>
      </c>
      <c r="F134" s="259" t="s">
        <v>4</v>
      </c>
      <c r="G134" s="259" t="s">
        <v>346</v>
      </c>
    </row>
    <row r="135" spans="1:7" x14ac:dyDescent="0.2">
      <c r="A135" s="259" t="s">
        <v>862</v>
      </c>
      <c r="B135" s="260" t="s">
        <v>142</v>
      </c>
      <c r="C135" s="289">
        <v>300</v>
      </c>
      <c r="D135" s="313" t="s">
        <v>1242</v>
      </c>
      <c r="E135" s="260" t="s">
        <v>236</v>
      </c>
      <c r="F135" s="259" t="s">
        <v>4</v>
      </c>
      <c r="G135" s="259" t="s">
        <v>346</v>
      </c>
    </row>
    <row r="136" spans="1:7" x14ac:dyDescent="0.2">
      <c r="A136" s="259" t="s">
        <v>870</v>
      </c>
      <c r="B136" s="260" t="s">
        <v>142</v>
      </c>
      <c r="C136" s="289">
        <v>350</v>
      </c>
      <c r="D136" s="313" t="s">
        <v>1242</v>
      </c>
      <c r="E136" s="260" t="s">
        <v>236</v>
      </c>
      <c r="F136" s="259" t="s">
        <v>4</v>
      </c>
      <c r="G136" s="259" t="s">
        <v>346</v>
      </c>
    </row>
    <row r="137" spans="1:7" x14ac:dyDescent="0.2">
      <c r="A137" s="259" t="s">
        <v>871</v>
      </c>
      <c r="B137" s="260" t="s">
        <v>142</v>
      </c>
      <c r="C137" s="289">
        <v>400</v>
      </c>
      <c r="D137" s="313" t="s">
        <v>1242</v>
      </c>
      <c r="E137" s="260" t="s">
        <v>236</v>
      </c>
      <c r="F137" s="259" t="s">
        <v>4</v>
      </c>
      <c r="G137" s="259" t="s">
        <v>346</v>
      </c>
    </row>
    <row r="138" spans="1:7" x14ac:dyDescent="0.2">
      <c r="A138" s="259" t="s">
        <v>872</v>
      </c>
      <c r="B138" s="260" t="s">
        <v>142</v>
      </c>
      <c r="C138" s="289">
        <v>550</v>
      </c>
      <c r="D138" s="313" t="s">
        <v>1242</v>
      </c>
      <c r="E138" s="260" t="s">
        <v>236</v>
      </c>
      <c r="F138" s="259" t="s">
        <v>4</v>
      </c>
      <c r="G138" s="259" t="s">
        <v>346</v>
      </c>
    </row>
    <row r="139" spans="1:7" x14ac:dyDescent="0.2">
      <c r="A139" s="259" t="s">
        <v>361</v>
      </c>
      <c r="B139" s="260" t="s">
        <v>170</v>
      </c>
      <c r="C139" s="289">
        <v>7000</v>
      </c>
      <c r="D139" s="313" t="s">
        <v>570</v>
      </c>
      <c r="E139" s="260" t="s">
        <v>239</v>
      </c>
      <c r="F139" s="259" t="s">
        <v>240</v>
      </c>
      <c r="G139" s="259" t="s">
        <v>362</v>
      </c>
    </row>
    <row r="140" spans="1:7" x14ac:dyDescent="0.2">
      <c r="A140" s="259" t="s">
        <v>770</v>
      </c>
      <c r="B140" s="260" t="s">
        <v>142</v>
      </c>
      <c r="C140" s="289">
        <v>780</v>
      </c>
      <c r="D140" s="313" t="s">
        <v>566</v>
      </c>
      <c r="E140" s="260" t="s">
        <v>239</v>
      </c>
      <c r="F140" s="259" t="s">
        <v>240</v>
      </c>
      <c r="G140" s="259" t="s">
        <v>247</v>
      </c>
    </row>
    <row r="141" spans="1:7" x14ac:dyDescent="0.2">
      <c r="A141" s="259" t="s">
        <v>769</v>
      </c>
      <c r="B141" s="260" t="s">
        <v>142</v>
      </c>
      <c r="C141" s="289">
        <v>180000</v>
      </c>
      <c r="D141" s="313" t="s">
        <v>1243</v>
      </c>
      <c r="E141" s="260" t="s">
        <v>239</v>
      </c>
      <c r="F141" s="259" t="s">
        <v>240</v>
      </c>
      <c r="G141" s="259" t="s">
        <v>247</v>
      </c>
    </row>
    <row r="142" spans="1:7" x14ac:dyDescent="0.2">
      <c r="A142" s="259" t="s">
        <v>1058</v>
      </c>
      <c r="B142" s="260" t="s">
        <v>170</v>
      </c>
      <c r="C142" s="289">
        <v>5829.6900000000005</v>
      </c>
      <c r="D142" s="313" t="s">
        <v>809</v>
      </c>
      <c r="E142" s="260" t="s">
        <v>242</v>
      </c>
      <c r="F142" s="259" t="s">
        <v>243</v>
      </c>
      <c r="G142" s="259" t="s">
        <v>800</v>
      </c>
    </row>
    <row r="143" spans="1:7" x14ac:dyDescent="0.2">
      <c r="A143" s="259" t="s">
        <v>1057</v>
      </c>
      <c r="B143" s="260" t="s">
        <v>170</v>
      </c>
      <c r="C143" s="289">
        <v>3886.46</v>
      </c>
      <c r="D143" s="313" t="s">
        <v>809</v>
      </c>
      <c r="E143" s="260" t="s">
        <v>242</v>
      </c>
      <c r="F143" s="259" t="s">
        <v>243</v>
      </c>
      <c r="G143" s="259" t="s">
        <v>800</v>
      </c>
    </row>
    <row r="144" spans="1:7" x14ac:dyDescent="0.2">
      <c r="A144" s="259" t="s">
        <v>1055</v>
      </c>
      <c r="B144" s="260" t="s">
        <v>170</v>
      </c>
      <c r="C144" s="289">
        <v>7363</v>
      </c>
      <c r="D144" s="313" t="s">
        <v>809</v>
      </c>
      <c r="E144" s="260" t="s">
        <v>242</v>
      </c>
      <c r="F144" s="259" t="s">
        <v>243</v>
      </c>
      <c r="G144" s="259" t="s">
        <v>800</v>
      </c>
    </row>
    <row r="145" spans="1:7" x14ac:dyDescent="0.2">
      <c r="A145" s="259" t="s">
        <v>1021</v>
      </c>
      <c r="B145" s="260" t="s">
        <v>170</v>
      </c>
      <c r="C145" s="289">
        <v>5849.041567440685</v>
      </c>
      <c r="D145" s="313" t="s">
        <v>809</v>
      </c>
      <c r="E145" s="260" t="s">
        <v>242</v>
      </c>
      <c r="F145" s="259" t="s">
        <v>243</v>
      </c>
      <c r="G145" s="259" t="s">
        <v>800</v>
      </c>
    </row>
    <row r="146" spans="1:7" x14ac:dyDescent="0.2">
      <c r="A146" s="259" t="s">
        <v>1022</v>
      </c>
      <c r="B146" s="260" t="s">
        <v>170</v>
      </c>
      <c r="C146" s="289">
        <v>3958.8243394615042</v>
      </c>
      <c r="D146" s="313" t="s">
        <v>809</v>
      </c>
      <c r="E146" s="260" t="s">
        <v>242</v>
      </c>
      <c r="F146" s="259" t="s">
        <v>243</v>
      </c>
      <c r="G146" s="259" t="s">
        <v>800</v>
      </c>
    </row>
    <row r="147" spans="1:7" x14ac:dyDescent="0.2">
      <c r="A147" s="259" t="s">
        <v>1023</v>
      </c>
      <c r="B147" s="260" t="s">
        <v>170</v>
      </c>
      <c r="C147" s="289">
        <v>14175.675939308778</v>
      </c>
      <c r="D147" s="313" t="s">
        <v>809</v>
      </c>
      <c r="E147" s="260" t="s">
        <v>242</v>
      </c>
      <c r="F147" s="259" t="s">
        <v>243</v>
      </c>
      <c r="G147" s="259" t="s">
        <v>800</v>
      </c>
    </row>
    <row r="148" spans="1:7" x14ac:dyDescent="0.2">
      <c r="A148" s="259" t="s">
        <v>1024</v>
      </c>
      <c r="B148" s="260" t="s">
        <v>170</v>
      </c>
      <c r="C148" s="289">
        <v>2835.8299946360062</v>
      </c>
      <c r="D148" s="313" t="s">
        <v>809</v>
      </c>
      <c r="E148" s="260" t="s">
        <v>242</v>
      </c>
      <c r="F148" s="259" t="s">
        <v>243</v>
      </c>
      <c r="G148" s="259" t="s">
        <v>800</v>
      </c>
    </row>
    <row r="149" spans="1:7" x14ac:dyDescent="0.2">
      <c r="A149" s="259" t="s">
        <v>1025</v>
      </c>
      <c r="B149" s="260" t="s">
        <v>170</v>
      </c>
      <c r="C149" s="289">
        <v>2329.0781591530267</v>
      </c>
      <c r="D149" s="313" t="s">
        <v>809</v>
      </c>
      <c r="E149" s="260" t="s">
        <v>242</v>
      </c>
      <c r="F149" s="259" t="s">
        <v>243</v>
      </c>
      <c r="G149" s="259" t="s">
        <v>800</v>
      </c>
    </row>
    <row r="150" spans="1:7" x14ac:dyDescent="0.2">
      <c r="A150" s="259" t="s">
        <v>953</v>
      </c>
      <c r="B150" s="260" t="s">
        <v>170</v>
      </c>
      <c r="C150" s="289">
        <v>6489.6546573177948</v>
      </c>
      <c r="D150" s="259" t="s">
        <v>801</v>
      </c>
      <c r="E150" s="260" t="s">
        <v>242</v>
      </c>
      <c r="F150" s="259" t="s">
        <v>243</v>
      </c>
      <c r="G150" s="259" t="s">
        <v>799</v>
      </c>
    </row>
    <row r="151" spans="1:7" x14ac:dyDescent="0.2">
      <c r="A151" s="259" t="s">
        <v>954</v>
      </c>
      <c r="B151" s="260" t="s">
        <v>170</v>
      </c>
      <c r="C151" s="289">
        <v>4392.4124176349396</v>
      </c>
      <c r="D151" s="313" t="s">
        <v>801</v>
      </c>
      <c r="E151" s="260" t="s">
        <v>242</v>
      </c>
      <c r="F151" s="259" t="s">
        <v>243</v>
      </c>
      <c r="G151" s="259" t="s">
        <v>799</v>
      </c>
    </row>
    <row r="152" spans="1:7" x14ac:dyDescent="0.2">
      <c r="A152" s="259" t="s">
        <v>955</v>
      </c>
      <c r="B152" s="260" t="s">
        <v>170</v>
      </c>
      <c r="C152" s="289">
        <v>15728.259120650528</v>
      </c>
      <c r="D152" s="313" t="s">
        <v>801</v>
      </c>
      <c r="E152" s="260" t="s">
        <v>242</v>
      </c>
      <c r="F152" s="259" t="s">
        <v>243</v>
      </c>
      <c r="G152" s="259" t="s">
        <v>799</v>
      </c>
    </row>
    <row r="153" spans="1:7" x14ac:dyDescent="0.2">
      <c r="A153" s="259" t="s">
        <v>956</v>
      </c>
      <c r="B153" s="260" t="s">
        <v>170</v>
      </c>
      <c r="C153" s="289">
        <v>3146.4227292376281</v>
      </c>
      <c r="D153" s="313" t="s">
        <v>801</v>
      </c>
      <c r="E153" s="260" t="s">
        <v>242</v>
      </c>
      <c r="F153" s="259" t="s">
        <v>243</v>
      </c>
      <c r="G153" s="259" t="s">
        <v>799</v>
      </c>
    </row>
    <row r="154" spans="1:7" x14ac:dyDescent="0.2">
      <c r="A154" s="259" t="s">
        <v>957</v>
      </c>
      <c r="B154" s="260" t="s">
        <v>170</v>
      </c>
      <c r="C154" s="289">
        <v>2584.1691751591188</v>
      </c>
      <c r="D154" s="313" t="s">
        <v>801</v>
      </c>
      <c r="E154" s="260" t="s">
        <v>242</v>
      </c>
      <c r="F154" s="259" t="s">
        <v>243</v>
      </c>
      <c r="G154" s="259" t="s">
        <v>799</v>
      </c>
    </row>
    <row r="155" spans="1:7" x14ac:dyDescent="0.2">
      <c r="A155" s="259" t="s">
        <v>958</v>
      </c>
      <c r="B155" s="260" t="s">
        <v>170</v>
      </c>
      <c r="C155" s="289">
        <v>10009.513655419161</v>
      </c>
      <c r="D155" s="259" t="s">
        <v>801</v>
      </c>
      <c r="E155" s="260" t="s">
        <v>242</v>
      </c>
      <c r="F155" s="259" t="s">
        <v>243</v>
      </c>
      <c r="G155" s="259" t="s">
        <v>799</v>
      </c>
    </row>
    <row r="156" spans="1:7" x14ac:dyDescent="0.2">
      <c r="A156" s="259" t="s">
        <v>959</v>
      </c>
      <c r="B156" s="260" t="s">
        <v>170</v>
      </c>
      <c r="C156" s="289">
        <v>6774.769135823467</v>
      </c>
      <c r="D156" s="313" t="s">
        <v>801</v>
      </c>
      <c r="E156" s="260" t="s">
        <v>242</v>
      </c>
      <c r="F156" s="259" t="s">
        <v>243</v>
      </c>
      <c r="G156" s="259" t="s">
        <v>799</v>
      </c>
    </row>
    <row r="157" spans="1:7" x14ac:dyDescent="0.2">
      <c r="A157" s="259" t="s">
        <v>960</v>
      </c>
      <c r="B157" s="260" t="s">
        <v>170</v>
      </c>
      <c r="C157" s="289">
        <v>24258.952557144221</v>
      </c>
      <c r="D157" s="313" t="s">
        <v>801</v>
      </c>
      <c r="E157" s="260" t="s">
        <v>242</v>
      </c>
      <c r="F157" s="259" t="s">
        <v>243</v>
      </c>
      <c r="G157" s="259" t="s">
        <v>799</v>
      </c>
    </row>
    <row r="158" spans="1:7" x14ac:dyDescent="0.2">
      <c r="A158" s="259" t="s">
        <v>961</v>
      </c>
      <c r="B158" s="260" t="s">
        <v>170</v>
      </c>
      <c r="C158" s="289">
        <v>4852.9795400610647</v>
      </c>
      <c r="D158" s="313" t="s">
        <v>801</v>
      </c>
      <c r="E158" s="260" t="s">
        <v>242</v>
      </c>
      <c r="F158" s="259" t="s">
        <v>243</v>
      </c>
      <c r="G158" s="259" t="s">
        <v>799</v>
      </c>
    </row>
    <row r="159" spans="1:7" x14ac:dyDescent="0.2">
      <c r="A159" s="259" t="s">
        <v>962</v>
      </c>
      <c r="B159" s="260" t="s">
        <v>170</v>
      </c>
      <c r="C159" s="289">
        <v>3985.7708942187569</v>
      </c>
      <c r="D159" s="313" t="s">
        <v>801</v>
      </c>
      <c r="E159" s="260" t="s">
        <v>242</v>
      </c>
      <c r="F159" s="259" t="s">
        <v>243</v>
      </c>
      <c r="G159" s="259" t="s">
        <v>799</v>
      </c>
    </row>
    <row r="160" spans="1:7" x14ac:dyDescent="0.2">
      <c r="A160" s="259" t="s">
        <v>963</v>
      </c>
      <c r="B160" s="260" t="s">
        <v>170</v>
      </c>
      <c r="C160" s="289">
        <v>30072.356023839933</v>
      </c>
      <c r="D160" s="259" t="s">
        <v>801</v>
      </c>
      <c r="E160" s="260" t="s">
        <v>242</v>
      </c>
      <c r="F160" s="259" t="s">
        <v>243</v>
      </c>
      <c r="G160" s="259" t="s">
        <v>799</v>
      </c>
    </row>
    <row r="161" spans="1:7" x14ac:dyDescent="0.2">
      <c r="A161" s="259" t="s">
        <v>964</v>
      </c>
      <c r="B161" s="260" t="s">
        <v>170</v>
      </c>
      <c r="C161" s="289">
        <v>20353.962884251054</v>
      </c>
      <c r="D161" s="313" t="s">
        <v>801</v>
      </c>
      <c r="E161" s="260" t="s">
        <v>242</v>
      </c>
      <c r="F161" s="259" t="s">
        <v>243</v>
      </c>
      <c r="G161" s="259" t="s">
        <v>799</v>
      </c>
    </row>
    <row r="162" spans="1:7" x14ac:dyDescent="0.2">
      <c r="A162" s="259" t="s">
        <v>965</v>
      </c>
      <c r="B162" s="260" t="s">
        <v>170</v>
      </c>
      <c r="C162" s="289">
        <v>72883.04738651494</v>
      </c>
      <c r="D162" s="313" t="s">
        <v>801</v>
      </c>
      <c r="E162" s="260" t="s">
        <v>242</v>
      </c>
      <c r="F162" s="259" t="s">
        <v>243</v>
      </c>
      <c r="G162" s="259" t="s">
        <v>799</v>
      </c>
    </row>
    <row r="163" spans="1:7" x14ac:dyDescent="0.2">
      <c r="A163" s="259" t="s">
        <v>966</v>
      </c>
      <c r="B163" s="260" t="s">
        <v>170</v>
      </c>
      <c r="C163" s="289">
        <v>14580.181767983799</v>
      </c>
      <c r="D163" s="313" t="s">
        <v>801</v>
      </c>
      <c r="E163" s="260" t="s">
        <v>242</v>
      </c>
      <c r="F163" s="259" t="s">
        <v>243</v>
      </c>
      <c r="G163" s="259" t="s">
        <v>799</v>
      </c>
    </row>
    <row r="164" spans="1:7" x14ac:dyDescent="0.2">
      <c r="A164" s="259" t="s">
        <v>967</v>
      </c>
      <c r="B164" s="260" t="s">
        <v>170</v>
      </c>
      <c r="C164" s="289">
        <v>11974.759762230022</v>
      </c>
      <c r="D164" s="313" t="s">
        <v>801</v>
      </c>
      <c r="E164" s="260" t="s">
        <v>242</v>
      </c>
      <c r="F164" s="259" t="s">
        <v>243</v>
      </c>
      <c r="G164" s="259" t="s">
        <v>799</v>
      </c>
    </row>
    <row r="165" spans="1:7" x14ac:dyDescent="0.2">
      <c r="A165" s="259" t="s">
        <v>968</v>
      </c>
      <c r="B165" s="260" t="s">
        <v>170</v>
      </c>
      <c r="C165" s="289">
        <v>779.87220899209137</v>
      </c>
      <c r="D165" s="259" t="s">
        <v>801</v>
      </c>
      <c r="E165" s="260" t="s">
        <v>242</v>
      </c>
      <c r="F165" s="259" t="s">
        <v>243</v>
      </c>
      <c r="G165" s="259" t="s">
        <v>799</v>
      </c>
    </row>
    <row r="166" spans="1:7" x14ac:dyDescent="0.2">
      <c r="A166" s="259" t="s">
        <v>969</v>
      </c>
      <c r="B166" s="260" t="s">
        <v>170</v>
      </c>
      <c r="C166" s="289">
        <v>527.84324526153387</v>
      </c>
      <c r="D166" s="313" t="s">
        <v>801</v>
      </c>
      <c r="E166" s="260" t="s">
        <v>242</v>
      </c>
      <c r="F166" s="259" t="s">
        <v>243</v>
      </c>
      <c r="G166" s="259" t="s">
        <v>799</v>
      </c>
    </row>
    <row r="167" spans="1:7" x14ac:dyDescent="0.2">
      <c r="A167" s="259" t="s">
        <v>970</v>
      </c>
      <c r="B167" s="260" t="s">
        <v>170</v>
      </c>
      <c r="C167" s="289">
        <v>1890.0901252411704</v>
      </c>
      <c r="D167" s="313" t="s">
        <v>801</v>
      </c>
      <c r="E167" s="260" t="s">
        <v>242</v>
      </c>
      <c r="F167" s="259" t="s">
        <v>243</v>
      </c>
      <c r="G167" s="259" t="s">
        <v>799</v>
      </c>
    </row>
    <row r="168" spans="1:7" x14ac:dyDescent="0.2">
      <c r="A168" s="259" t="s">
        <v>971</v>
      </c>
      <c r="B168" s="260" t="s">
        <v>170</v>
      </c>
      <c r="C168" s="289">
        <v>378.11066595146747</v>
      </c>
      <c r="D168" s="313" t="s">
        <v>801</v>
      </c>
      <c r="E168" s="260" t="s">
        <v>242</v>
      </c>
      <c r="F168" s="259" t="s">
        <v>243</v>
      </c>
      <c r="G168" s="259" t="s">
        <v>799</v>
      </c>
    </row>
    <row r="169" spans="1:7" x14ac:dyDescent="0.2">
      <c r="A169" s="259" t="s">
        <v>972</v>
      </c>
      <c r="B169" s="260" t="s">
        <v>170</v>
      </c>
      <c r="C169" s="289">
        <v>310.54375455373685</v>
      </c>
      <c r="D169" s="313" t="s">
        <v>801</v>
      </c>
      <c r="E169" s="260" t="s">
        <v>242</v>
      </c>
      <c r="F169" s="259" t="s">
        <v>243</v>
      </c>
      <c r="G169" s="259" t="s">
        <v>799</v>
      </c>
    </row>
    <row r="170" spans="1:7" x14ac:dyDescent="0.2">
      <c r="A170" s="259" t="s">
        <v>973</v>
      </c>
      <c r="B170" s="260" t="s">
        <v>170</v>
      </c>
      <c r="C170" s="289">
        <v>3218.5033858336856</v>
      </c>
      <c r="D170" s="259" t="s">
        <v>801</v>
      </c>
      <c r="E170" s="260" t="s">
        <v>242</v>
      </c>
      <c r="F170" s="259" t="s">
        <v>243</v>
      </c>
      <c r="G170" s="259" t="s">
        <v>799</v>
      </c>
    </row>
    <row r="171" spans="1:7" x14ac:dyDescent="0.2">
      <c r="A171" s="259" t="s">
        <v>974</v>
      </c>
      <c r="B171" s="260" t="s">
        <v>170</v>
      </c>
      <c r="C171" s="289">
        <v>2178.3892956761529</v>
      </c>
      <c r="D171" s="313" t="s">
        <v>801</v>
      </c>
      <c r="E171" s="260" t="s">
        <v>242</v>
      </c>
      <c r="F171" s="259" t="s">
        <v>243</v>
      </c>
      <c r="G171" s="259" t="s">
        <v>799</v>
      </c>
    </row>
    <row r="172" spans="1:7" x14ac:dyDescent="0.2">
      <c r="A172" s="259" t="s">
        <v>975</v>
      </c>
      <c r="B172" s="260" t="s">
        <v>170</v>
      </c>
      <c r="C172" s="289">
        <v>7800.3311279440804</v>
      </c>
      <c r="D172" s="313" t="s">
        <v>801</v>
      </c>
      <c r="E172" s="260" t="s">
        <v>242</v>
      </c>
      <c r="F172" s="259" t="s">
        <v>243</v>
      </c>
      <c r="G172" s="259" t="s">
        <v>799</v>
      </c>
    </row>
    <row r="173" spans="1:7" x14ac:dyDescent="0.2">
      <c r="A173" s="259" t="s">
        <v>976</v>
      </c>
      <c r="B173" s="260" t="s">
        <v>170</v>
      </c>
      <c r="C173" s="289">
        <v>1560.4485511253404</v>
      </c>
      <c r="D173" s="313" t="s">
        <v>801</v>
      </c>
      <c r="E173" s="260" t="s">
        <v>242</v>
      </c>
      <c r="F173" s="259" t="s">
        <v>243</v>
      </c>
      <c r="G173" s="259" t="s">
        <v>799</v>
      </c>
    </row>
    <row r="174" spans="1:7" x14ac:dyDescent="0.2">
      <c r="A174" s="259" t="s">
        <v>977</v>
      </c>
      <c r="B174" s="260" t="s">
        <v>170</v>
      </c>
      <c r="C174" s="289">
        <v>1281.602439420742</v>
      </c>
      <c r="D174" s="313" t="s">
        <v>801</v>
      </c>
      <c r="E174" s="260" t="s">
        <v>242</v>
      </c>
      <c r="F174" s="259" t="s">
        <v>243</v>
      </c>
      <c r="G174" s="259" t="s">
        <v>799</v>
      </c>
    </row>
    <row r="175" spans="1:7" x14ac:dyDescent="0.2">
      <c r="A175" s="259" t="s">
        <v>590</v>
      </c>
      <c r="B175" s="260" t="s">
        <v>170</v>
      </c>
      <c r="C175" s="289">
        <v>2111.2724197693183</v>
      </c>
      <c r="D175" s="259" t="s">
        <v>810</v>
      </c>
      <c r="E175" s="260" t="s">
        <v>239</v>
      </c>
      <c r="F175" s="259" t="s">
        <v>240</v>
      </c>
      <c r="G175" s="259" t="s">
        <v>241</v>
      </c>
    </row>
    <row r="176" spans="1:7" x14ac:dyDescent="0.2">
      <c r="A176" s="259" t="s">
        <v>284</v>
      </c>
      <c r="B176" s="260" t="s">
        <v>170</v>
      </c>
      <c r="C176" s="289">
        <v>19432.3</v>
      </c>
      <c r="D176" s="259" t="s">
        <v>809</v>
      </c>
      <c r="E176" s="260" t="s">
        <v>239</v>
      </c>
      <c r="F176" s="259" t="s">
        <v>240</v>
      </c>
      <c r="G176" s="259" t="s">
        <v>241</v>
      </c>
    </row>
    <row r="177" spans="1:7" x14ac:dyDescent="0.2">
      <c r="A177" s="259" t="s">
        <v>291</v>
      </c>
      <c r="B177" s="260" t="s">
        <v>170</v>
      </c>
      <c r="C177" s="289">
        <v>9716.15</v>
      </c>
      <c r="D177" s="259" t="s">
        <v>809</v>
      </c>
      <c r="E177" s="260" t="s">
        <v>239</v>
      </c>
      <c r="F177" s="259" t="s">
        <v>240</v>
      </c>
      <c r="G177" s="259" t="s">
        <v>241</v>
      </c>
    </row>
    <row r="178" spans="1:7" x14ac:dyDescent="0.2">
      <c r="A178" s="259" t="s">
        <v>821</v>
      </c>
      <c r="B178" s="260" t="s">
        <v>170</v>
      </c>
      <c r="C178" s="289">
        <v>340.90909090909093</v>
      </c>
      <c r="D178" s="259" t="s">
        <v>810</v>
      </c>
      <c r="E178" s="260" t="s">
        <v>236</v>
      </c>
      <c r="F178" s="259" t="s">
        <v>4</v>
      </c>
      <c r="G178" s="259" t="s">
        <v>241</v>
      </c>
    </row>
    <row r="179" spans="1:7" x14ac:dyDescent="0.2">
      <c r="A179" s="259" t="s">
        <v>299</v>
      </c>
      <c r="B179" s="260" t="s">
        <v>170</v>
      </c>
      <c r="C179" s="289">
        <v>4006.1937716174516</v>
      </c>
      <c r="D179" s="259" t="s">
        <v>810</v>
      </c>
      <c r="E179" s="260" t="s">
        <v>236</v>
      </c>
      <c r="F179" s="259" t="s">
        <v>4</v>
      </c>
      <c r="G179" s="259" t="s">
        <v>241</v>
      </c>
    </row>
    <row r="180" spans="1:7" x14ac:dyDescent="0.2">
      <c r="A180" s="259" t="s">
        <v>324</v>
      </c>
      <c r="B180" s="260" t="s">
        <v>170</v>
      </c>
      <c r="C180" s="289">
        <v>500</v>
      </c>
      <c r="D180" s="259" t="s">
        <v>570</v>
      </c>
      <c r="E180" s="260" t="s">
        <v>239</v>
      </c>
      <c r="F180" s="259" t="s">
        <v>240</v>
      </c>
      <c r="G180" s="259" t="s">
        <v>241</v>
      </c>
    </row>
    <row r="181" spans="1:7" x14ac:dyDescent="0.2">
      <c r="A181" s="259" t="s">
        <v>879</v>
      </c>
      <c r="B181" s="260" t="s">
        <v>5</v>
      </c>
      <c r="C181" s="289">
        <v>35800</v>
      </c>
      <c r="D181" s="259" t="s">
        <v>810</v>
      </c>
      <c r="E181" s="260" t="s">
        <v>239</v>
      </c>
      <c r="F181" s="259" t="s">
        <v>240</v>
      </c>
      <c r="G181" s="259" t="s">
        <v>241</v>
      </c>
    </row>
    <row r="182" spans="1:7" x14ac:dyDescent="0.2">
      <c r="A182" s="259" t="s">
        <v>880</v>
      </c>
      <c r="B182" s="260" t="s">
        <v>681</v>
      </c>
      <c r="C182" s="289">
        <v>889</v>
      </c>
      <c r="D182" s="259" t="s">
        <v>810</v>
      </c>
      <c r="E182" s="260" t="s">
        <v>239</v>
      </c>
      <c r="F182" s="259" t="s">
        <v>240</v>
      </c>
      <c r="G182" s="259" t="s">
        <v>241</v>
      </c>
    </row>
    <row r="183" spans="1:7" x14ac:dyDescent="0.2">
      <c r="A183" s="259" t="s">
        <v>881</v>
      </c>
      <c r="B183" s="260" t="s">
        <v>681</v>
      </c>
      <c r="C183" s="289">
        <v>20392</v>
      </c>
      <c r="D183" s="259" t="s">
        <v>810</v>
      </c>
      <c r="E183" s="260" t="s">
        <v>239</v>
      </c>
      <c r="F183" s="259" t="s">
        <v>240</v>
      </c>
      <c r="G183" s="259" t="s">
        <v>241</v>
      </c>
    </row>
    <row r="184" spans="1:7" x14ac:dyDescent="0.2">
      <c r="A184" s="259" t="s">
        <v>882</v>
      </c>
      <c r="B184" s="260" t="s">
        <v>681</v>
      </c>
      <c r="C184" s="289">
        <v>2187</v>
      </c>
      <c r="D184" s="259" t="s">
        <v>810</v>
      </c>
      <c r="E184" s="260" t="s">
        <v>239</v>
      </c>
      <c r="F184" s="259" t="s">
        <v>240</v>
      </c>
      <c r="G184" s="259" t="s">
        <v>241</v>
      </c>
    </row>
    <row r="185" spans="1:7" x14ac:dyDescent="0.2">
      <c r="A185" s="259" t="s">
        <v>883</v>
      </c>
      <c r="B185" s="260" t="s">
        <v>681</v>
      </c>
      <c r="C185" s="289">
        <v>1464</v>
      </c>
      <c r="D185" s="259" t="s">
        <v>810</v>
      </c>
      <c r="E185" s="260" t="s">
        <v>239</v>
      </c>
      <c r="F185" s="259" t="s">
        <v>240</v>
      </c>
      <c r="G185" s="259" t="s">
        <v>241</v>
      </c>
    </row>
    <row r="186" spans="1:7" x14ac:dyDescent="0.2">
      <c r="A186" s="259" t="s">
        <v>884</v>
      </c>
      <c r="B186" s="260" t="s">
        <v>681</v>
      </c>
      <c r="C186" s="289">
        <v>45</v>
      </c>
      <c r="D186" s="259" t="s">
        <v>810</v>
      </c>
      <c r="E186" s="260" t="s">
        <v>239</v>
      </c>
      <c r="F186" s="259" t="s">
        <v>240</v>
      </c>
      <c r="G186" s="259" t="s">
        <v>241</v>
      </c>
    </row>
    <row r="187" spans="1:7" x14ac:dyDescent="0.2">
      <c r="A187" s="259" t="s">
        <v>885</v>
      </c>
      <c r="B187" s="260" t="s">
        <v>681</v>
      </c>
      <c r="C187" s="289">
        <v>35</v>
      </c>
      <c r="D187" s="259" t="s">
        <v>810</v>
      </c>
      <c r="E187" s="260" t="s">
        <v>239</v>
      </c>
      <c r="F187" s="259" t="s">
        <v>240</v>
      </c>
      <c r="G187" s="259" t="s">
        <v>241</v>
      </c>
    </row>
    <row r="188" spans="1:7" x14ac:dyDescent="0.2">
      <c r="A188" s="259" t="s">
        <v>886</v>
      </c>
      <c r="B188" s="260" t="s">
        <v>681</v>
      </c>
      <c r="C188" s="289">
        <v>409.5</v>
      </c>
      <c r="D188" s="259" t="s">
        <v>810</v>
      </c>
      <c r="E188" s="260" t="s">
        <v>239</v>
      </c>
      <c r="F188" s="259" t="s">
        <v>240</v>
      </c>
      <c r="G188" s="259" t="s">
        <v>241</v>
      </c>
    </row>
    <row r="189" spans="1:7" x14ac:dyDescent="0.2">
      <c r="A189" s="259" t="s">
        <v>823</v>
      </c>
      <c r="B189" s="260" t="s">
        <v>592</v>
      </c>
      <c r="C189" s="289">
        <v>830.94770876576717</v>
      </c>
      <c r="D189" s="313" t="s">
        <v>1247</v>
      </c>
      <c r="E189" s="260" t="s">
        <v>242</v>
      </c>
      <c r="F189" s="259" t="s">
        <v>243</v>
      </c>
      <c r="G189" s="259" t="s">
        <v>255</v>
      </c>
    </row>
    <row r="190" spans="1:7" x14ac:dyDescent="0.2">
      <c r="A190" s="259" t="s">
        <v>238</v>
      </c>
      <c r="B190" s="260" t="s">
        <v>140</v>
      </c>
      <c r="C190" s="289">
        <v>830.73240202071486</v>
      </c>
      <c r="D190" s="313" t="s">
        <v>1247</v>
      </c>
      <c r="E190" s="260" t="s">
        <v>239</v>
      </c>
      <c r="F190" s="259" t="s">
        <v>240</v>
      </c>
      <c r="G190" s="259" t="s">
        <v>255</v>
      </c>
    </row>
    <row r="191" spans="1:7" x14ac:dyDescent="0.2">
      <c r="A191" s="259" t="s">
        <v>366</v>
      </c>
      <c r="B191" s="260" t="s">
        <v>170</v>
      </c>
      <c r="C191" s="289">
        <v>13.68</v>
      </c>
      <c r="D191" s="313" t="s">
        <v>566</v>
      </c>
      <c r="E191" s="260" t="s">
        <v>239</v>
      </c>
      <c r="F191" s="259" t="s">
        <v>240</v>
      </c>
      <c r="G191" s="259" t="s">
        <v>241</v>
      </c>
    </row>
    <row r="192" spans="1:7" x14ac:dyDescent="0.2">
      <c r="A192" s="259" t="s">
        <v>293</v>
      </c>
      <c r="B192" s="260" t="s">
        <v>170</v>
      </c>
      <c r="C192" s="289">
        <v>9716.15</v>
      </c>
      <c r="D192" s="313" t="s">
        <v>809</v>
      </c>
      <c r="E192" s="260" t="s">
        <v>239</v>
      </c>
      <c r="F192" s="259" t="s">
        <v>240</v>
      </c>
      <c r="G192" s="259" t="s">
        <v>241</v>
      </c>
    </row>
    <row r="193" spans="1:9" x14ac:dyDescent="0.2">
      <c r="A193" s="259" t="s">
        <v>1160</v>
      </c>
      <c r="B193" s="260" t="s">
        <v>170</v>
      </c>
      <c r="C193" s="289">
        <f>'Custos Serviços'!D3</f>
        <v>41400</v>
      </c>
      <c r="D193" s="313" t="s">
        <v>634</v>
      </c>
      <c r="E193" s="260" t="s">
        <v>239</v>
      </c>
      <c r="F193" s="259" t="s">
        <v>240</v>
      </c>
      <c r="G193" s="259" t="s">
        <v>241</v>
      </c>
      <c r="I193" s="427"/>
    </row>
    <row r="194" spans="1:9" x14ac:dyDescent="0.2">
      <c r="A194" s="259" t="s">
        <v>315</v>
      </c>
      <c r="B194" s="260" t="s">
        <v>170</v>
      </c>
      <c r="C194" s="289">
        <v>26970</v>
      </c>
      <c r="D194" s="313" t="s">
        <v>810</v>
      </c>
      <c r="E194" s="260" t="s">
        <v>239</v>
      </c>
      <c r="F194" s="259" t="s">
        <v>240</v>
      </c>
      <c r="G194" s="259" t="s">
        <v>241</v>
      </c>
    </row>
    <row r="195" spans="1:9" x14ac:dyDescent="0.2">
      <c r="A195" s="259" t="s">
        <v>350</v>
      </c>
      <c r="B195" s="260" t="s">
        <v>170</v>
      </c>
      <c r="C195" s="289">
        <v>2332.5602176638477</v>
      </c>
      <c r="D195" s="313" t="s">
        <v>810</v>
      </c>
      <c r="E195" s="260" t="s">
        <v>239</v>
      </c>
      <c r="F195" s="259" t="s">
        <v>240</v>
      </c>
      <c r="G195" s="259" t="s">
        <v>241</v>
      </c>
    </row>
    <row r="196" spans="1:9" x14ac:dyDescent="0.2">
      <c r="A196" s="259" t="s">
        <v>354</v>
      </c>
      <c r="B196" s="260" t="s">
        <v>170</v>
      </c>
      <c r="C196" s="289">
        <v>2043.1499684351852</v>
      </c>
      <c r="D196" s="313" t="s">
        <v>810</v>
      </c>
      <c r="E196" s="260" t="s">
        <v>239</v>
      </c>
      <c r="F196" s="259" t="s">
        <v>240</v>
      </c>
      <c r="G196" s="259" t="s">
        <v>241</v>
      </c>
    </row>
    <row r="197" spans="1:9" x14ac:dyDescent="0.2">
      <c r="A197" s="259" t="s">
        <v>249</v>
      </c>
      <c r="B197" s="260" t="s">
        <v>170</v>
      </c>
      <c r="C197" s="289">
        <f ca="1">'ABC Insumos'!I6*0.02</f>
        <v>139412.54058804107</v>
      </c>
      <c r="D197" s="313" t="s">
        <v>809</v>
      </c>
      <c r="E197" s="260" t="s">
        <v>239</v>
      </c>
      <c r="F197" s="259" t="s">
        <v>240</v>
      </c>
      <c r="G197" s="259" t="s">
        <v>241</v>
      </c>
    </row>
    <row r="198" spans="1:9" x14ac:dyDescent="0.2">
      <c r="A198" s="259" t="s">
        <v>276</v>
      </c>
      <c r="B198" s="260" t="s">
        <v>170</v>
      </c>
      <c r="C198" s="289">
        <v>29148.45</v>
      </c>
      <c r="D198" s="313" t="s">
        <v>809</v>
      </c>
      <c r="E198" s="260" t="s">
        <v>239</v>
      </c>
      <c r="F198" s="259" t="s">
        <v>240</v>
      </c>
      <c r="G198" s="259" t="s">
        <v>241</v>
      </c>
    </row>
    <row r="199" spans="1:9" x14ac:dyDescent="0.2">
      <c r="A199" s="259" t="s">
        <v>316</v>
      </c>
      <c r="B199" s="260" t="s">
        <v>142</v>
      </c>
      <c r="C199" s="289">
        <v>130</v>
      </c>
      <c r="D199" s="313" t="s">
        <v>810</v>
      </c>
      <c r="E199" s="260" t="s">
        <v>239</v>
      </c>
      <c r="F199" s="259" t="s">
        <v>240</v>
      </c>
      <c r="G199" s="259" t="s">
        <v>241</v>
      </c>
    </row>
    <row r="200" spans="1:9" x14ac:dyDescent="0.2">
      <c r="A200" s="259" t="s">
        <v>1192</v>
      </c>
      <c r="B200" s="260" t="s">
        <v>170</v>
      </c>
      <c r="C200" s="289">
        <v>56000</v>
      </c>
      <c r="D200" s="313" t="s">
        <v>809</v>
      </c>
      <c r="E200" s="260" t="s">
        <v>239</v>
      </c>
      <c r="F200" s="259" t="s">
        <v>240</v>
      </c>
      <c r="G200" s="259" t="s">
        <v>241</v>
      </c>
    </row>
    <row r="201" spans="1:9" x14ac:dyDescent="0.2">
      <c r="A201" s="259" t="s">
        <v>933</v>
      </c>
      <c r="B201" s="260" t="s">
        <v>170</v>
      </c>
      <c r="C201" s="289">
        <v>78</v>
      </c>
      <c r="D201" s="313" t="s">
        <v>566</v>
      </c>
      <c r="E201" s="260" t="s">
        <v>239</v>
      </c>
      <c r="F201" s="259" t="s">
        <v>240</v>
      </c>
      <c r="G201" s="259" t="s">
        <v>241</v>
      </c>
    </row>
    <row r="202" spans="1:9" x14ac:dyDescent="0.2">
      <c r="A202" s="259" t="s">
        <v>936</v>
      </c>
      <c r="B202" s="260" t="s">
        <v>170</v>
      </c>
      <c r="C202" s="289">
        <v>7000</v>
      </c>
      <c r="D202" s="313" t="s">
        <v>809</v>
      </c>
      <c r="E202" s="260" t="s">
        <v>239</v>
      </c>
      <c r="F202" s="259" t="s">
        <v>240</v>
      </c>
      <c r="G202" s="259" t="s">
        <v>241</v>
      </c>
    </row>
    <row r="203" spans="1:9" x14ac:dyDescent="0.2">
      <c r="A203" s="259" t="s">
        <v>937</v>
      </c>
      <c r="B203" s="260" t="s">
        <v>170</v>
      </c>
      <c r="C203" s="289">
        <v>9756</v>
      </c>
      <c r="D203" s="313" t="s">
        <v>809</v>
      </c>
      <c r="E203" s="260" t="s">
        <v>239</v>
      </c>
      <c r="F203" s="259" t="s">
        <v>240</v>
      </c>
      <c r="G203" s="259" t="s">
        <v>241</v>
      </c>
    </row>
    <row r="204" spans="1:9" x14ac:dyDescent="0.2">
      <c r="A204" s="259" t="s">
        <v>934</v>
      </c>
      <c r="B204" s="260" t="s">
        <v>170</v>
      </c>
      <c r="C204" s="289">
        <v>301.94215024203669</v>
      </c>
      <c r="D204" s="313" t="s">
        <v>809</v>
      </c>
      <c r="E204" s="260" t="s">
        <v>239</v>
      </c>
      <c r="F204" s="259" t="s">
        <v>240</v>
      </c>
      <c r="G204" s="259" t="s">
        <v>241</v>
      </c>
    </row>
    <row r="205" spans="1:9" x14ac:dyDescent="0.2">
      <c r="A205" s="259" t="s">
        <v>935</v>
      </c>
      <c r="B205" s="260" t="s">
        <v>170</v>
      </c>
      <c r="C205" s="289">
        <v>200</v>
      </c>
      <c r="D205" s="313" t="s">
        <v>809</v>
      </c>
      <c r="E205" s="260" t="s">
        <v>239</v>
      </c>
      <c r="F205" s="259" t="s">
        <v>240</v>
      </c>
      <c r="G205" s="259" t="s">
        <v>241</v>
      </c>
    </row>
    <row r="206" spans="1:9" x14ac:dyDescent="0.2">
      <c r="A206" s="259" t="s">
        <v>230</v>
      </c>
      <c r="B206" s="260" t="s">
        <v>170</v>
      </c>
      <c r="C206" s="289">
        <v>21000</v>
      </c>
      <c r="D206" s="313" t="s">
        <v>570</v>
      </c>
      <c r="E206" s="260" t="s">
        <v>239</v>
      </c>
      <c r="F206" s="259" t="s">
        <v>240</v>
      </c>
      <c r="G206" s="259" t="s">
        <v>241</v>
      </c>
    </row>
    <row r="207" spans="1:9" x14ac:dyDescent="0.2">
      <c r="A207" s="259" t="s">
        <v>261</v>
      </c>
      <c r="B207" s="260" t="s">
        <v>170</v>
      </c>
      <c r="C207" s="289">
        <v>3420.2999999999997</v>
      </c>
      <c r="D207" s="313" t="s">
        <v>809</v>
      </c>
      <c r="E207" s="260" t="s">
        <v>239</v>
      </c>
      <c r="F207" s="259" t="s">
        <v>240</v>
      </c>
      <c r="G207" s="259" t="s">
        <v>241</v>
      </c>
    </row>
    <row r="208" spans="1:9" x14ac:dyDescent="0.2">
      <c r="A208" s="259" t="s">
        <v>228</v>
      </c>
      <c r="B208" s="260" t="s">
        <v>170</v>
      </c>
      <c r="C208" s="289">
        <v>1400</v>
      </c>
      <c r="D208" s="313" t="s">
        <v>570</v>
      </c>
      <c r="E208" s="260" t="s">
        <v>239</v>
      </c>
      <c r="F208" s="259" t="s">
        <v>240</v>
      </c>
      <c r="G208" s="259" t="s">
        <v>241</v>
      </c>
    </row>
    <row r="209" spans="1:7" x14ac:dyDescent="0.2">
      <c r="A209" s="259" t="s">
        <v>596</v>
      </c>
      <c r="B209" s="260" t="s">
        <v>170</v>
      </c>
      <c r="C209" s="289">
        <v>720.02</v>
      </c>
      <c r="D209" s="313" t="s">
        <v>810</v>
      </c>
      <c r="E209" s="260" t="s">
        <v>239</v>
      </c>
      <c r="F209" s="259" t="s">
        <v>240</v>
      </c>
      <c r="G209" s="259" t="s">
        <v>241</v>
      </c>
    </row>
    <row r="210" spans="1:7" x14ac:dyDescent="0.2">
      <c r="A210" s="259" t="s">
        <v>595</v>
      </c>
      <c r="B210" s="260" t="s">
        <v>170</v>
      </c>
      <c r="C210" s="289">
        <v>4500</v>
      </c>
      <c r="D210" s="313" t="s">
        <v>570</v>
      </c>
      <c r="E210" s="260" t="s">
        <v>239</v>
      </c>
      <c r="F210" s="259" t="s">
        <v>240</v>
      </c>
      <c r="G210" s="259" t="s">
        <v>241</v>
      </c>
    </row>
    <row r="211" spans="1:7" x14ac:dyDescent="0.2">
      <c r="A211" s="259" t="s">
        <v>594</v>
      </c>
      <c r="B211" s="260" t="s">
        <v>170</v>
      </c>
      <c r="C211" s="289">
        <v>3500</v>
      </c>
      <c r="D211" s="313" t="s">
        <v>570</v>
      </c>
      <c r="E211" s="260" t="s">
        <v>239</v>
      </c>
      <c r="F211" s="259" t="s">
        <v>240</v>
      </c>
      <c r="G211" s="259" t="s">
        <v>241</v>
      </c>
    </row>
    <row r="212" spans="1:7" x14ac:dyDescent="0.2">
      <c r="A212" s="259" t="s">
        <v>319</v>
      </c>
      <c r="B212" s="260" t="s">
        <v>170</v>
      </c>
      <c r="C212" s="289">
        <f>1000+1260</f>
        <v>2260</v>
      </c>
      <c r="D212" s="313" t="s">
        <v>570</v>
      </c>
      <c r="E212" s="260" t="s">
        <v>239</v>
      </c>
      <c r="F212" s="259" t="s">
        <v>240</v>
      </c>
      <c r="G212" s="259" t="s">
        <v>241</v>
      </c>
    </row>
    <row r="213" spans="1:7" x14ac:dyDescent="0.2">
      <c r="A213" s="259" t="s">
        <v>576</v>
      </c>
      <c r="B213" s="260" t="s">
        <v>170</v>
      </c>
      <c r="C213" s="289">
        <v>293.89</v>
      </c>
      <c r="D213" s="313" t="s">
        <v>570</v>
      </c>
      <c r="E213" s="260" t="s">
        <v>239</v>
      </c>
      <c r="F213" s="259" t="s">
        <v>240</v>
      </c>
      <c r="G213" s="259" t="s">
        <v>241</v>
      </c>
    </row>
    <row r="214" spans="1:7" x14ac:dyDescent="0.2">
      <c r="A214" s="259" t="s">
        <v>391</v>
      </c>
      <c r="B214" s="260" t="s">
        <v>170</v>
      </c>
      <c r="C214" s="289">
        <v>905.81</v>
      </c>
      <c r="D214" s="313" t="s">
        <v>570</v>
      </c>
      <c r="E214" s="260" t="s">
        <v>239</v>
      </c>
      <c r="F214" s="259" t="s">
        <v>240</v>
      </c>
      <c r="G214" s="259" t="s">
        <v>241</v>
      </c>
    </row>
    <row r="215" spans="1:7" x14ac:dyDescent="0.2">
      <c r="A215" s="259" t="s">
        <v>584</v>
      </c>
      <c r="B215" s="260" t="s">
        <v>170</v>
      </c>
      <c r="C215" s="289">
        <v>248000</v>
      </c>
      <c r="D215" s="259" t="s">
        <v>570</v>
      </c>
      <c r="E215" s="260" t="s">
        <v>239</v>
      </c>
      <c r="F215" s="259" t="s">
        <v>240</v>
      </c>
      <c r="G215" s="259" t="s">
        <v>318</v>
      </c>
    </row>
    <row r="216" spans="1:7" x14ac:dyDescent="0.2">
      <c r="A216" s="259" t="s">
        <v>577</v>
      </c>
      <c r="B216" s="260" t="s">
        <v>170</v>
      </c>
      <c r="C216" s="289">
        <v>2588.5732803442297</v>
      </c>
      <c r="D216" s="313" t="s">
        <v>810</v>
      </c>
      <c r="E216" s="260" t="s">
        <v>239</v>
      </c>
      <c r="F216" s="259" t="s">
        <v>240</v>
      </c>
      <c r="G216" s="259" t="s">
        <v>318</v>
      </c>
    </row>
    <row r="217" spans="1:7" x14ac:dyDescent="0.2">
      <c r="A217" s="259" t="s">
        <v>317</v>
      </c>
      <c r="B217" s="260" t="s">
        <v>170</v>
      </c>
      <c r="C217" s="289">
        <f>4329.62+1594.02</f>
        <v>5923.6399999999994</v>
      </c>
      <c r="D217" s="313" t="s">
        <v>578</v>
      </c>
      <c r="E217" s="260" t="s">
        <v>239</v>
      </c>
      <c r="F217" s="259" t="s">
        <v>240</v>
      </c>
      <c r="G217" s="259" t="s">
        <v>318</v>
      </c>
    </row>
    <row r="218" spans="1:7" x14ac:dyDescent="0.2">
      <c r="A218" s="259" t="s">
        <v>381</v>
      </c>
      <c r="B218" s="260" t="s">
        <v>170</v>
      </c>
      <c r="C218" s="289">
        <v>2250</v>
      </c>
      <c r="D218" s="313" t="s">
        <v>570</v>
      </c>
      <c r="E218" s="260" t="s">
        <v>239</v>
      </c>
      <c r="F218" s="259" t="s">
        <v>240</v>
      </c>
      <c r="G218" s="259" t="s">
        <v>318</v>
      </c>
    </row>
    <row r="219" spans="1:7" x14ac:dyDescent="0.2">
      <c r="A219" s="259" t="s">
        <v>581</v>
      </c>
      <c r="B219" s="260" t="s">
        <v>170</v>
      </c>
      <c r="C219" s="289">
        <v>7600</v>
      </c>
      <c r="D219" s="313" t="s">
        <v>810</v>
      </c>
      <c r="E219" s="260" t="s">
        <v>239</v>
      </c>
      <c r="F219" s="259" t="s">
        <v>240</v>
      </c>
      <c r="G219" s="259" t="s">
        <v>318</v>
      </c>
    </row>
    <row r="220" spans="1:7" x14ac:dyDescent="0.2">
      <c r="A220" s="259" t="s">
        <v>582</v>
      </c>
      <c r="B220" s="260" t="s">
        <v>170</v>
      </c>
      <c r="C220" s="289">
        <v>2528.2336255662462</v>
      </c>
      <c r="D220" s="313" t="s">
        <v>810</v>
      </c>
      <c r="E220" s="260" t="s">
        <v>239</v>
      </c>
      <c r="F220" s="259" t="s">
        <v>240</v>
      </c>
      <c r="G220" s="259" t="s">
        <v>318</v>
      </c>
    </row>
    <row r="221" spans="1:7" x14ac:dyDescent="0.2">
      <c r="A221" s="259" t="s">
        <v>309</v>
      </c>
      <c r="B221" s="260" t="s">
        <v>170</v>
      </c>
      <c r="C221" s="289">
        <v>2500</v>
      </c>
      <c r="D221" s="313" t="s">
        <v>809</v>
      </c>
      <c r="E221" s="260" t="s">
        <v>236</v>
      </c>
      <c r="F221" s="259" t="s">
        <v>4</v>
      </c>
      <c r="G221" s="259" t="s">
        <v>248</v>
      </c>
    </row>
    <row r="222" spans="1:7" x14ac:dyDescent="0.2">
      <c r="A222" s="259" t="s">
        <v>931</v>
      </c>
      <c r="B222" s="260" t="s">
        <v>170</v>
      </c>
      <c r="C222" s="289">
        <v>450</v>
      </c>
      <c r="D222" s="313" t="s">
        <v>809</v>
      </c>
      <c r="E222" s="260" t="s">
        <v>236</v>
      </c>
      <c r="F222" s="259" t="s">
        <v>4</v>
      </c>
      <c r="G222" s="259" t="s">
        <v>248</v>
      </c>
    </row>
    <row r="223" spans="1:7" x14ac:dyDescent="0.2">
      <c r="A223" s="259" t="s">
        <v>822</v>
      </c>
      <c r="B223" s="260" t="s">
        <v>142</v>
      </c>
      <c r="C223" s="289">
        <v>8</v>
      </c>
      <c r="D223" s="313" t="s">
        <v>1244</v>
      </c>
      <c r="E223" s="260" t="s">
        <v>242</v>
      </c>
      <c r="F223" s="259" t="s">
        <v>243</v>
      </c>
      <c r="G223" s="259" t="s">
        <v>248</v>
      </c>
    </row>
    <row r="224" spans="1:7" x14ac:dyDescent="0.2">
      <c r="A224" s="259" t="s">
        <v>168</v>
      </c>
      <c r="B224" s="260" t="s">
        <v>169</v>
      </c>
      <c r="C224" s="289">
        <f>1600/8</f>
        <v>200</v>
      </c>
      <c r="D224" s="313" t="s">
        <v>566</v>
      </c>
      <c r="E224" s="260" t="s">
        <v>236</v>
      </c>
      <c r="F224" s="259" t="s">
        <v>4</v>
      </c>
      <c r="G224" s="259" t="s">
        <v>263</v>
      </c>
    </row>
    <row r="225" spans="1:7" x14ac:dyDescent="0.2">
      <c r="A225" s="259" t="s">
        <v>331</v>
      </c>
      <c r="B225" s="260" t="s">
        <v>260</v>
      </c>
      <c r="C225" s="289">
        <v>900</v>
      </c>
      <c r="D225" s="313" t="s">
        <v>570</v>
      </c>
      <c r="E225" s="260" t="s">
        <v>236</v>
      </c>
      <c r="F225" s="259" t="s">
        <v>4</v>
      </c>
      <c r="G225" s="259" t="s">
        <v>332</v>
      </c>
    </row>
    <row r="226" spans="1:7" x14ac:dyDescent="0.2">
      <c r="A226" s="259" t="s">
        <v>835</v>
      </c>
      <c r="B226" s="260" t="s">
        <v>681</v>
      </c>
      <c r="C226" s="289">
        <v>285</v>
      </c>
      <c r="D226" s="313" t="s">
        <v>688</v>
      </c>
      <c r="E226" s="260" t="s">
        <v>242</v>
      </c>
      <c r="F226" s="259" t="s">
        <v>243</v>
      </c>
      <c r="G226" s="259" t="s">
        <v>685</v>
      </c>
    </row>
    <row r="227" spans="1:7" x14ac:dyDescent="0.2">
      <c r="A227" s="259" t="s">
        <v>836</v>
      </c>
      <c r="B227" s="260" t="s">
        <v>681</v>
      </c>
      <c r="C227" s="289">
        <v>130.49</v>
      </c>
      <c r="D227" s="313" t="s">
        <v>688</v>
      </c>
      <c r="E227" s="260" t="s">
        <v>242</v>
      </c>
      <c r="F227" s="259" t="s">
        <v>243</v>
      </c>
      <c r="G227" s="259" t="s">
        <v>685</v>
      </c>
    </row>
    <row r="228" spans="1:7" x14ac:dyDescent="0.2">
      <c r="A228" s="259" t="s">
        <v>852</v>
      </c>
      <c r="B228" s="260" t="s">
        <v>681</v>
      </c>
      <c r="C228" s="289">
        <v>265.89999999999998</v>
      </c>
      <c r="D228" s="313" t="s">
        <v>688</v>
      </c>
      <c r="E228" s="260" t="s">
        <v>242</v>
      </c>
      <c r="F228" s="259" t="s">
        <v>243</v>
      </c>
      <c r="G228" s="259" t="s">
        <v>685</v>
      </c>
    </row>
    <row r="229" spans="1:7" x14ac:dyDescent="0.2">
      <c r="A229" s="259" t="s">
        <v>844</v>
      </c>
      <c r="B229" s="260" t="s">
        <v>681</v>
      </c>
      <c r="C229" s="289">
        <v>652</v>
      </c>
      <c r="D229" s="313" t="s">
        <v>688</v>
      </c>
      <c r="E229" s="260" t="s">
        <v>242</v>
      </c>
      <c r="F229" s="259" t="s">
        <v>243</v>
      </c>
      <c r="G229" s="259" t="s">
        <v>685</v>
      </c>
    </row>
    <row r="230" spans="1:7" x14ac:dyDescent="0.2">
      <c r="A230" s="259" t="s">
        <v>860</v>
      </c>
      <c r="B230" s="260" t="s">
        <v>681</v>
      </c>
      <c r="C230" s="289">
        <v>152</v>
      </c>
      <c r="D230" s="313" t="s">
        <v>688</v>
      </c>
      <c r="E230" s="260" t="s">
        <v>242</v>
      </c>
      <c r="F230" s="259" t="s">
        <v>243</v>
      </c>
      <c r="G230" s="259" t="s">
        <v>685</v>
      </c>
    </row>
    <row r="231" spans="1:7" x14ac:dyDescent="0.2">
      <c r="A231" s="259" t="s">
        <v>845</v>
      </c>
      <c r="B231" s="260" t="s">
        <v>681</v>
      </c>
      <c r="C231" s="289">
        <v>13.9</v>
      </c>
      <c r="D231" s="313" t="s">
        <v>688</v>
      </c>
      <c r="E231" s="260" t="s">
        <v>242</v>
      </c>
      <c r="F231" s="259" t="s">
        <v>243</v>
      </c>
      <c r="G231" s="259" t="s">
        <v>685</v>
      </c>
    </row>
    <row r="232" spans="1:7" x14ac:dyDescent="0.2">
      <c r="A232" s="259" t="s">
        <v>847</v>
      </c>
      <c r="B232" s="260" t="s">
        <v>681</v>
      </c>
      <c r="C232" s="289">
        <v>165</v>
      </c>
      <c r="D232" s="313" t="s">
        <v>688</v>
      </c>
      <c r="E232" s="260" t="s">
        <v>242</v>
      </c>
      <c r="F232" s="259" t="s">
        <v>243</v>
      </c>
      <c r="G232" s="259" t="s">
        <v>685</v>
      </c>
    </row>
    <row r="233" spans="1:7" x14ac:dyDescent="0.2">
      <c r="A233" s="259" t="s">
        <v>689</v>
      </c>
      <c r="B233" s="260" t="s">
        <v>681</v>
      </c>
      <c r="C233" s="289">
        <v>75</v>
      </c>
      <c r="D233" s="313" t="s">
        <v>688</v>
      </c>
      <c r="E233" s="260" t="s">
        <v>242</v>
      </c>
      <c r="F233" s="259" t="s">
        <v>243</v>
      </c>
      <c r="G233" s="259" t="s">
        <v>685</v>
      </c>
    </row>
    <row r="234" spans="1:7" x14ac:dyDescent="0.2">
      <c r="A234" s="259" t="s">
        <v>859</v>
      </c>
      <c r="B234" s="260" t="s">
        <v>681</v>
      </c>
      <c r="C234" s="289">
        <v>39.9</v>
      </c>
      <c r="D234" s="313" t="s">
        <v>688</v>
      </c>
      <c r="E234" s="260" t="s">
        <v>242</v>
      </c>
      <c r="F234" s="259" t="s">
        <v>243</v>
      </c>
      <c r="G234" s="259" t="s">
        <v>685</v>
      </c>
    </row>
    <row r="235" spans="1:7" x14ac:dyDescent="0.2">
      <c r="A235" s="259" t="s">
        <v>849</v>
      </c>
      <c r="B235" s="260" t="s">
        <v>681</v>
      </c>
      <c r="C235" s="289">
        <v>229.9</v>
      </c>
      <c r="D235" s="313" t="s">
        <v>688</v>
      </c>
      <c r="E235" s="260" t="s">
        <v>242</v>
      </c>
      <c r="F235" s="259" t="s">
        <v>243</v>
      </c>
      <c r="G235" s="259" t="s">
        <v>685</v>
      </c>
    </row>
    <row r="236" spans="1:7" x14ac:dyDescent="0.2">
      <c r="A236" s="259" t="s">
        <v>686</v>
      </c>
      <c r="B236" s="260" t="s">
        <v>681</v>
      </c>
      <c r="C236" s="289">
        <v>519.66</v>
      </c>
      <c r="D236" s="313" t="s">
        <v>688</v>
      </c>
      <c r="E236" s="260" t="s">
        <v>242</v>
      </c>
      <c r="F236" s="259" t="s">
        <v>243</v>
      </c>
      <c r="G236" s="259" t="s">
        <v>685</v>
      </c>
    </row>
    <row r="237" spans="1:7" x14ac:dyDescent="0.2">
      <c r="A237" s="259" t="s">
        <v>853</v>
      </c>
      <c r="B237" s="260" t="s">
        <v>681</v>
      </c>
      <c r="C237" s="289">
        <v>66</v>
      </c>
      <c r="D237" s="313" t="s">
        <v>688</v>
      </c>
      <c r="E237" s="260" t="s">
        <v>242</v>
      </c>
      <c r="F237" s="259" t="s">
        <v>243</v>
      </c>
      <c r="G237" s="259" t="s">
        <v>685</v>
      </c>
    </row>
    <row r="238" spans="1:7" x14ac:dyDescent="0.2">
      <c r="A238" s="259" t="s">
        <v>837</v>
      </c>
      <c r="B238" s="260" t="s">
        <v>681</v>
      </c>
      <c r="C238" s="289">
        <v>15.9</v>
      </c>
      <c r="D238" s="313" t="s">
        <v>688</v>
      </c>
      <c r="E238" s="260" t="s">
        <v>242</v>
      </c>
      <c r="F238" s="259" t="s">
        <v>243</v>
      </c>
      <c r="G238" s="259" t="s">
        <v>685</v>
      </c>
    </row>
    <row r="239" spans="1:7" x14ac:dyDescent="0.2">
      <c r="A239" s="259" t="s">
        <v>838</v>
      </c>
      <c r="B239" s="260" t="s">
        <v>681</v>
      </c>
      <c r="C239" s="289">
        <v>14.75</v>
      </c>
      <c r="D239" s="313" t="s">
        <v>688</v>
      </c>
      <c r="E239" s="260" t="s">
        <v>242</v>
      </c>
      <c r="F239" s="259" t="s">
        <v>243</v>
      </c>
      <c r="G239" s="259" t="s">
        <v>685</v>
      </c>
    </row>
    <row r="240" spans="1:7" x14ac:dyDescent="0.2">
      <c r="A240" s="259" t="s">
        <v>755</v>
      </c>
      <c r="B240" s="260" t="s">
        <v>142</v>
      </c>
      <c r="C240" s="289">
        <v>0.14000000000000001</v>
      </c>
      <c r="D240" s="313"/>
      <c r="E240" s="260" t="s">
        <v>242</v>
      </c>
      <c r="F240" s="259" t="s">
        <v>243</v>
      </c>
      <c r="G240" s="259" t="s">
        <v>685</v>
      </c>
    </row>
    <row r="241" spans="1:7" x14ac:dyDescent="0.2">
      <c r="A241" s="259" t="s">
        <v>754</v>
      </c>
      <c r="B241" s="260" t="s">
        <v>142</v>
      </c>
      <c r="C241" s="289">
        <v>0.35</v>
      </c>
      <c r="D241" s="313"/>
      <c r="E241" s="260" t="s">
        <v>242</v>
      </c>
      <c r="F241" s="259" t="s">
        <v>243</v>
      </c>
      <c r="G241" s="259" t="s">
        <v>685</v>
      </c>
    </row>
    <row r="242" spans="1:7" x14ac:dyDescent="0.2">
      <c r="A242" s="259" t="s">
        <v>839</v>
      </c>
      <c r="B242" s="260" t="s">
        <v>142</v>
      </c>
      <c r="C242" s="289">
        <f>140/100</f>
        <v>1.4</v>
      </c>
      <c r="D242" s="313" t="s">
        <v>688</v>
      </c>
      <c r="E242" s="260" t="s">
        <v>242</v>
      </c>
      <c r="F242" s="259" t="s">
        <v>243</v>
      </c>
      <c r="G242" s="259" t="s">
        <v>685</v>
      </c>
    </row>
    <row r="243" spans="1:7" x14ac:dyDescent="0.2">
      <c r="A243" s="259" t="s">
        <v>850</v>
      </c>
      <c r="B243" s="260" t="s">
        <v>142</v>
      </c>
      <c r="C243" s="289">
        <v>24.5</v>
      </c>
      <c r="D243" s="313" t="s">
        <v>688</v>
      </c>
      <c r="E243" s="260" t="s">
        <v>242</v>
      </c>
      <c r="F243" s="259" t="s">
        <v>243</v>
      </c>
      <c r="G243" s="259" t="s">
        <v>685</v>
      </c>
    </row>
    <row r="244" spans="1:7" x14ac:dyDescent="0.2">
      <c r="A244" s="259" t="s">
        <v>846</v>
      </c>
      <c r="B244" s="260" t="s">
        <v>142</v>
      </c>
      <c r="C244" s="289">
        <v>54.25</v>
      </c>
      <c r="D244" s="313" t="s">
        <v>688</v>
      </c>
      <c r="E244" s="260" t="s">
        <v>242</v>
      </c>
      <c r="F244" s="259" t="s">
        <v>243</v>
      </c>
      <c r="G244" s="259" t="s">
        <v>685</v>
      </c>
    </row>
    <row r="245" spans="1:7" x14ac:dyDescent="0.2">
      <c r="A245" s="259" t="s">
        <v>851</v>
      </c>
      <c r="B245" s="260" t="s">
        <v>142</v>
      </c>
      <c r="C245" s="289">
        <v>28.51</v>
      </c>
      <c r="D245" s="313" t="s">
        <v>688</v>
      </c>
      <c r="E245" s="260" t="s">
        <v>242</v>
      </c>
      <c r="F245" s="259" t="s">
        <v>243</v>
      </c>
      <c r="G245" s="259" t="s">
        <v>685</v>
      </c>
    </row>
    <row r="246" spans="1:7" x14ac:dyDescent="0.2">
      <c r="A246" s="259" t="s">
        <v>378</v>
      </c>
      <c r="B246" s="260" t="s">
        <v>166</v>
      </c>
      <c r="C246" s="289">
        <v>1050</v>
      </c>
      <c r="D246" s="259" t="s">
        <v>566</v>
      </c>
      <c r="E246" s="260" t="s">
        <v>242</v>
      </c>
      <c r="F246" s="259" t="s">
        <v>243</v>
      </c>
      <c r="G246" s="259" t="s">
        <v>805</v>
      </c>
    </row>
    <row r="247" spans="1:7" x14ac:dyDescent="0.2">
      <c r="A247" s="259" t="s">
        <v>750</v>
      </c>
      <c r="B247" s="260" t="s">
        <v>166</v>
      </c>
      <c r="C247" s="289">
        <v>7500</v>
      </c>
      <c r="D247" s="259" t="s">
        <v>566</v>
      </c>
      <c r="E247" s="260" t="s">
        <v>242</v>
      </c>
      <c r="F247" s="259" t="s">
        <v>243</v>
      </c>
      <c r="G247" s="259" t="s">
        <v>805</v>
      </c>
    </row>
    <row r="248" spans="1:7" x14ac:dyDescent="0.2">
      <c r="A248" s="259" t="s">
        <v>386</v>
      </c>
      <c r="B248" s="260" t="s">
        <v>166</v>
      </c>
      <c r="C248" s="289">
        <v>1050</v>
      </c>
      <c r="D248" s="259" t="s">
        <v>566</v>
      </c>
      <c r="E248" s="260" t="s">
        <v>242</v>
      </c>
      <c r="F248" s="259" t="s">
        <v>243</v>
      </c>
      <c r="G248" s="259" t="s">
        <v>805</v>
      </c>
    </row>
    <row r="249" spans="1:7" x14ac:dyDescent="0.2">
      <c r="A249" s="259" t="s">
        <v>804</v>
      </c>
      <c r="B249" s="260" t="s">
        <v>200</v>
      </c>
      <c r="C249" s="289">
        <f>110*1.2</f>
        <v>132</v>
      </c>
      <c r="D249" s="259" t="s">
        <v>566</v>
      </c>
      <c r="E249" s="260" t="s">
        <v>242</v>
      </c>
      <c r="F249" s="259" t="s">
        <v>243</v>
      </c>
      <c r="G249" s="259" t="s">
        <v>805</v>
      </c>
    </row>
    <row r="250" spans="1:7" x14ac:dyDescent="0.2">
      <c r="A250" s="259" t="s">
        <v>808</v>
      </c>
      <c r="B250" s="260" t="s">
        <v>140</v>
      </c>
      <c r="C250" s="289">
        <v>46.5</v>
      </c>
      <c r="D250" s="259" t="s">
        <v>566</v>
      </c>
      <c r="E250" s="260" t="s">
        <v>242</v>
      </c>
      <c r="F250" s="259" t="s">
        <v>243</v>
      </c>
      <c r="G250" s="259" t="s">
        <v>805</v>
      </c>
    </row>
    <row r="251" spans="1:7" x14ac:dyDescent="0.2">
      <c r="A251" s="259" t="s">
        <v>377</v>
      </c>
      <c r="B251" s="260" t="s">
        <v>200</v>
      </c>
      <c r="C251" s="289">
        <v>110</v>
      </c>
      <c r="D251" s="259" t="s">
        <v>566</v>
      </c>
      <c r="E251" s="260" t="s">
        <v>242</v>
      </c>
      <c r="F251" s="259" t="s">
        <v>243</v>
      </c>
      <c r="G251" s="259" t="s">
        <v>805</v>
      </c>
    </row>
    <row r="252" spans="1:7" x14ac:dyDescent="0.2">
      <c r="A252" s="259" t="s">
        <v>193</v>
      </c>
      <c r="B252" s="260" t="s">
        <v>166</v>
      </c>
      <c r="C252" s="289">
        <v>1300</v>
      </c>
      <c r="D252" s="313" t="s">
        <v>566</v>
      </c>
      <c r="E252" s="260" t="s">
        <v>242</v>
      </c>
      <c r="F252" s="259" t="s">
        <v>243</v>
      </c>
      <c r="G252" s="259" t="s">
        <v>805</v>
      </c>
    </row>
    <row r="253" spans="1:7" x14ac:dyDescent="0.2">
      <c r="A253" s="259" t="s">
        <v>807</v>
      </c>
      <c r="B253" s="260" t="s">
        <v>158</v>
      </c>
      <c r="C253" s="289">
        <v>7</v>
      </c>
      <c r="D253" s="313" t="s">
        <v>566</v>
      </c>
      <c r="E253" s="260" t="s">
        <v>242</v>
      </c>
      <c r="F253" s="259" t="s">
        <v>243</v>
      </c>
      <c r="G253" s="259" t="s">
        <v>805</v>
      </c>
    </row>
    <row r="254" spans="1:7" x14ac:dyDescent="0.2">
      <c r="A254" s="259" t="s">
        <v>806</v>
      </c>
      <c r="B254" s="260" t="s">
        <v>158</v>
      </c>
      <c r="C254" s="289">
        <v>2</v>
      </c>
      <c r="D254" s="313" t="s">
        <v>688</v>
      </c>
      <c r="E254" s="260" t="s">
        <v>242</v>
      </c>
      <c r="F254" s="259" t="s">
        <v>243</v>
      </c>
      <c r="G254" s="259" t="s">
        <v>805</v>
      </c>
    </row>
    <row r="255" spans="1:7" x14ac:dyDescent="0.2">
      <c r="A255" s="259" t="s">
        <v>175</v>
      </c>
      <c r="B255" s="260" t="s">
        <v>166</v>
      </c>
      <c r="C255" s="289">
        <v>1300</v>
      </c>
      <c r="D255" s="313" t="s">
        <v>566</v>
      </c>
      <c r="E255" s="260" t="s">
        <v>242</v>
      </c>
      <c r="F255" s="259" t="s">
        <v>243</v>
      </c>
      <c r="G255" s="259" t="s">
        <v>805</v>
      </c>
    </row>
    <row r="256" spans="1:7" x14ac:dyDescent="0.2">
      <c r="A256" s="259" t="s">
        <v>392</v>
      </c>
      <c r="B256" s="260" t="s">
        <v>158</v>
      </c>
      <c r="C256" s="289">
        <v>10.575000000000001</v>
      </c>
      <c r="D256" s="313" t="s">
        <v>566</v>
      </c>
      <c r="E256" s="260" t="s">
        <v>242</v>
      </c>
      <c r="F256" s="259" t="s">
        <v>243</v>
      </c>
      <c r="G256" s="259" t="s">
        <v>805</v>
      </c>
    </row>
    <row r="257" spans="1:9" x14ac:dyDescent="0.2">
      <c r="A257" s="259" t="s">
        <v>174</v>
      </c>
      <c r="B257" s="260" t="s">
        <v>166</v>
      </c>
      <c r="C257" s="289">
        <v>1410</v>
      </c>
      <c r="D257" s="313" t="s">
        <v>566</v>
      </c>
      <c r="E257" s="260" t="s">
        <v>242</v>
      </c>
      <c r="F257" s="259" t="s">
        <v>243</v>
      </c>
      <c r="G257" s="259" t="s">
        <v>805</v>
      </c>
    </row>
    <row r="258" spans="1:9" x14ac:dyDescent="0.2">
      <c r="A258" s="259" t="s">
        <v>1142</v>
      </c>
      <c r="B258" s="260" t="s">
        <v>919</v>
      </c>
      <c r="C258" s="289">
        <v>2.99</v>
      </c>
      <c r="D258" s="313"/>
      <c r="E258" s="260" t="s">
        <v>236</v>
      </c>
      <c r="F258" s="259" t="s">
        <v>4</v>
      </c>
      <c r="G258" s="259" t="s">
        <v>279</v>
      </c>
    </row>
    <row r="259" spans="1:9" x14ac:dyDescent="0.2">
      <c r="A259" s="259" t="s">
        <v>1141</v>
      </c>
      <c r="B259" s="260" t="s">
        <v>142</v>
      </c>
      <c r="C259" s="289">
        <v>8.3800000000000008</v>
      </c>
      <c r="D259" s="313"/>
      <c r="E259" s="260" t="s">
        <v>236</v>
      </c>
      <c r="F259" s="259" t="s">
        <v>4</v>
      </c>
      <c r="G259" s="259" t="s">
        <v>279</v>
      </c>
    </row>
    <row r="260" spans="1:9" x14ac:dyDescent="0.2">
      <c r="A260" s="259" t="s">
        <v>1143</v>
      </c>
      <c r="B260" s="260" t="s">
        <v>159</v>
      </c>
      <c r="C260" s="289">
        <v>29.26</v>
      </c>
      <c r="D260" s="313"/>
      <c r="E260" s="260" t="s">
        <v>236</v>
      </c>
      <c r="F260" s="259" t="s">
        <v>4</v>
      </c>
      <c r="G260" s="259" t="s">
        <v>279</v>
      </c>
    </row>
    <row r="261" spans="1:9" x14ac:dyDescent="0.2">
      <c r="A261" s="259" t="s">
        <v>1147</v>
      </c>
      <c r="B261" s="260" t="s">
        <v>158</v>
      </c>
      <c r="C261" s="289">
        <v>16</v>
      </c>
      <c r="D261" s="313" t="s">
        <v>1149</v>
      </c>
      <c r="E261" s="260" t="s">
        <v>236</v>
      </c>
      <c r="F261" s="259" t="s">
        <v>4</v>
      </c>
      <c r="G261" s="259" t="s">
        <v>279</v>
      </c>
    </row>
    <row r="262" spans="1:9" x14ac:dyDescent="0.2">
      <c r="A262" s="259" t="s">
        <v>1146</v>
      </c>
      <c r="B262" s="260" t="s">
        <v>140</v>
      </c>
      <c r="C262" s="289">
        <v>23</v>
      </c>
      <c r="D262" s="313" t="s">
        <v>1149</v>
      </c>
      <c r="E262" s="260" t="s">
        <v>236</v>
      </c>
      <c r="F262" s="259" t="s">
        <v>4</v>
      </c>
      <c r="G262" s="259" t="s">
        <v>279</v>
      </c>
    </row>
    <row r="263" spans="1:9" x14ac:dyDescent="0.2">
      <c r="A263" s="259" t="s">
        <v>1043</v>
      </c>
      <c r="B263" s="260" t="s">
        <v>140</v>
      </c>
      <c r="C263" s="289">
        <v>22</v>
      </c>
      <c r="D263" s="313"/>
      <c r="E263" s="260" t="s">
        <v>236</v>
      </c>
      <c r="F263" s="259" t="s">
        <v>4</v>
      </c>
      <c r="G263" s="259" t="s">
        <v>279</v>
      </c>
    </row>
    <row r="264" spans="1:9" x14ac:dyDescent="0.2">
      <c r="A264" s="259" t="s">
        <v>1113</v>
      </c>
      <c r="B264" s="260" t="s">
        <v>158</v>
      </c>
      <c r="C264" s="289" cm="1">
        <f t="array" ref="C264">SUM('Custos Serviços'!D75:D79/SUM('Custos Serviços'!B75:B79))</f>
        <v>20.778316515676838</v>
      </c>
      <c r="D264" s="313" t="s">
        <v>634</v>
      </c>
      <c r="E264" s="260" t="s">
        <v>236</v>
      </c>
      <c r="F264" s="259" t="s">
        <v>4</v>
      </c>
      <c r="G264" s="259" t="s">
        <v>365</v>
      </c>
      <c r="I264" s="427"/>
    </row>
    <row r="265" spans="1:9" x14ac:dyDescent="0.2">
      <c r="A265" s="259" t="s">
        <v>364</v>
      </c>
      <c r="B265" s="260" t="s">
        <v>140</v>
      </c>
      <c r="C265" s="289">
        <v>10.4</v>
      </c>
      <c r="D265" s="313" t="s">
        <v>566</v>
      </c>
      <c r="E265" s="260" t="s">
        <v>236</v>
      </c>
      <c r="F265" s="259" t="s">
        <v>4</v>
      </c>
      <c r="G265" s="259" t="s">
        <v>365</v>
      </c>
    </row>
    <row r="266" spans="1:9" x14ac:dyDescent="0.2">
      <c r="A266" s="259" t="s">
        <v>571</v>
      </c>
      <c r="B266" s="260" t="s">
        <v>260</v>
      </c>
      <c r="C266" s="289">
        <v>2100</v>
      </c>
      <c r="D266" s="313" t="s">
        <v>570</v>
      </c>
      <c r="E266" s="260" t="s">
        <v>269</v>
      </c>
      <c r="F266" s="259" t="s">
        <v>184</v>
      </c>
      <c r="G266" s="259" t="s">
        <v>270</v>
      </c>
    </row>
    <row r="267" spans="1:9" x14ac:dyDescent="0.2">
      <c r="A267" s="259" t="s">
        <v>268</v>
      </c>
      <c r="B267" s="260" t="s">
        <v>260</v>
      </c>
      <c r="C267" s="289">
        <v>3000</v>
      </c>
      <c r="D267" s="313" t="s">
        <v>570</v>
      </c>
      <c r="E267" s="260" t="s">
        <v>269</v>
      </c>
      <c r="F267" s="259" t="s">
        <v>184</v>
      </c>
      <c r="G267" s="259" t="s">
        <v>270</v>
      </c>
    </row>
    <row r="268" spans="1:9" x14ac:dyDescent="0.2">
      <c r="A268" s="259" t="s">
        <v>30</v>
      </c>
      <c r="B268" s="260" t="s">
        <v>260</v>
      </c>
      <c r="C268" s="289">
        <v>3500</v>
      </c>
      <c r="D268" s="313" t="s">
        <v>570</v>
      </c>
      <c r="E268" s="260" t="s">
        <v>269</v>
      </c>
      <c r="F268" s="259" t="s">
        <v>184</v>
      </c>
      <c r="G268" s="259" t="s">
        <v>270</v>
      </c>
    </row>
    <row r="269" spans="1:9" x14ac:dyDescent="0.2">
      <c r="A269" s="259" t="s">
        <v>572</v>
      </c>
      <c r="B269" s="260" t="s">
        <v>260</v>
      </c>
      <c r="C269" s="289">
        <v>10000</v>
      </c>
      <c r="D269" s="313" t="s">
        <v>570</v>
      </c>
      <c r="E269" s="260" t="s">
        <v>269</v>
      </c>
      <c r="F269" s="259" t="s">
        <v>184</v>
      </c>
      <c r="G269" s="259" t="s">
        <v>270</v>
      </c>
    </row>
    <row r="270" spans="1:9" x14ac:dyDescent="0.2">
      <c r="A270" s="259" t="s">
        <v>693</v>
      </c>
      <c r="B270" s="260" t="s">
        <v>140</v>
      </c>
      <c r="C270" s="289">
        <f>'Custos Serviços'!D12/SUM('Custos Serviços'!B13:B17)</f>
        <v>58.930413003977797</v>
      </c>
      <c r="D270" s="313" t="s">
        <v>634</v>
      </c>
      <c r="E270" s="260" t="s">
        <v>236</v>
      </c>
      <c r="F270" s="259" t="s">
        <v>4</v>
      </c>
      <c r="G270" s="259" t="s">
        <v>254</v>
      </c>
      <c r="I270" s="427"/>
    </row>
    <row r="271" spans="1:9" x14ac:dyDescent="0.2">
      <c r="A271" s="259" t="s">
        <v>259</v>
      </c>
      <c r="B271" s="260" t="s">
        <v>140</v>
      </c>
      <c r="C271" s="289">
        <f>'Custos Serviços'!$D$62/'Custos Serviços'!$B$62</f>
        <v>99.198636884002028</v>
      </c>
      <c r="D271" s="313" t="s">
        <v>634</v>
      </c>
      <c r="E271" s="260" t="s">
        <v>236</v>
      </c>
      <c r="F271" s="259" t="s">
        <v>4</v>
      </c>
      <c r="G271" s="259" t="s">
        <v>254</v>
      </c>
      <c r="I271" s="427"/>
    </row>
    <row r="272" spans="1:9" x14ac:dyDescent="0.2">
      <c r="A272" s="259" t="s">
        <v>253</v>
      </c>
      <c r="B272" s="260" t="s">
        <v>140</v>
      </c>
      <c r="C272" s="289">
        <f>SUM('Custos Serviços'!$D$32:$D$36)/SUM('Custos Serviços'!$B$32:$B$36)</f>
        <v>40.637259305842548</v>
      </c>
      <c r="D272" s="313" t="s">
        <v>634</v>
      </c>
      <c r="E272" s="260" t="s">
        <v>236</v>
      </c>
      <c r="F272" s="259" t="s">
        <v>4</v>
      </c>
      <c r="G272" s="259" t="s">
        <v>254</v>
      </c>
      <c r="I272" s="427"/>
    </row>
    <row r="273" spans="1:9" x14ac:dyDescent="0.2">
      <c r="A273" s="259" t="s">
        <v>777</v>
      </c>
      <c r="B273" s="260" t="s">
        <v>140</v>
      </c>
      <c r="C273" s="289">
        <f>SUM('Custos Serviços'!$D$38:$D$42)/SUM('Custos Serviços'!$B$38:$B$42)</f>
        <v>50.894746969405425</v>
      </c>
      <c r="D273" s="313" t="s">
        <v>634</v>
      </c>
      <c r="E273" s="260" t="s">
        <v>236</v>
      </c>
      <c r="F273" s="259" t="s">
        <v>4</v>
      </c>
      <c r="G273" s="259" t="s">
        <v>254</v>
      </c>
      <c r="I273" s="427"/>
    </row>
    <row r="274" spans="1:9" x14ac:dyDescent="0.2">
      <c r="A274" s="259" t="s">
        <v>1051</v>
      </c>
      <c r="B274" s="260" t="s">
        <v>140</v>
      </c>
      <c r="C274" s="289">
        <f>SUM('Custos Serviços'!$D$50:$D$54)/SUM('Custos Serviços'!$B$50:$B$54)</f>
        <v>50.631699846860634</v>
      </c>
      <c r="D274" s="313" t="s">
        <v>634</v>
      </c>
      <c r="E274" s="260" t="s">
        <v>236</v>
      </c>
      <c r="F274" s="259" t="s">
        <v>4</v>
      </c>
      <c r="G274" s="259" t="s">
        <v>254</v>
      </c>
      <c r="I274" s="427"/>
    </row>
    <row r="275" spans="1:9" x14ac:dyDescent="0.2">
      <c r="A275" s="259" t="s">
        <v>874</v>
      </c>
      <c r="B275" s="260" t="s">
        <v>140</v>
      </c>
      <c r="C275" s="289">
        <f>SUM('Custos Serviços'!$D$44:$D$48)/SUM('Custos Serviços'!$B$44:$B$48)</f>
        <v>170.47233219777189</v>
      </c>
      <c r="D275" s="313" t="s">
        <v>634</v>
      </c>
      <c r="E275" s="260" t="s">
        <v>236</v>
      </c>
      <c r="F275" s="259" t="s">
        <v>4</v>
      </c>
      <c r="G275" s="259" t="s">
        <v>254</v>
      </c>
      <c r="I275" s="427"/>
    </row>
    <row r="276" spans="1:9" x14ac:dyDescent="0.2">
      <c r="A276" s="259" t="s">
        <v>272</v>
      </c>
      <c r="B276" s="260" t="s">
        <v>140</v>
      </c>
      <c r="C276" s="289">
        <f>SUM('Custos Serviços'!$D$56:$D$60)/SUM('Custos Serviços'!$B$56:$B$60)</f>
        <v>21.975617726721353</v>
      </c>
      <c r="D276" s="313" t="s">
        <v>634</v>
      </c>
      <c r="E276" s="260" t="s">
        <v>236</v>
      </c>
      <c r="F276" s="259" t="s">
        <v>4</v>
      </c>
      <c r="G276" s="259" t="s">
        <v>273</v>
      </c>
      <c r="I276" s="427"/>
    </row>
    <row r="277" spans="1:9" x14ac:dyDescent="0.2">
      <c r="A277" s="259" t="s">
        <v>372</v>
      </c>
      <c r="B277" s="260" t="s">
        <v>140</v>
      </c>
      <c r="C277" s="289">
        <v>41</v>
      </c>
      <c r="D277" s="313" t="s">
        <v>566</v>
      </c>
      <c r="E277" s="260" t="s">
        <v>236</v>
      </c>
      <c r="F277" s="259" t="s">
        <v>4</v>
      </c>
      <c r="G277" s="259" t="s">
        <v>273</v>
      </c>
    </row>
    <row r="278" spans="1:9" x14ac:dyDescent="0.2">
      <c r="A278" s="259" t="s">
        <v>300</v>
      </c>
      <c r="B278" s="260" t="s">
        <v>158</v>
      </c>
      <c r="C278" s="289">
        <v>22</v>
      </c>
      <c r="D278" s="313" t="s">
        <v>566</v>
      </c>
      <c r="E278" s="260" t="s">
        <v>236</v>
      </c>
      <c r="F278" s="259" t="s">
        <v>4</v>
      </c>
      <c r="G278" s="259" t="s">
        <v>273</v>
      </c>
    </row>
    <row r="279" spans="1:9" x14ac:dyDescent="0.2">
      <c r="A279" s="259" t="s">
        <v>368</v>
      </c>
      <c r="B279" s="260" t="s">
        <v>140</v>
      </c>
      <c r="C279" s="289">
        <f>SUM('Custos Serviços'!$D$56:$D$60)/SUM('Custos Serviços'!$B$56:$B$60)</f>
        <v>21.975617726721353</v>
      </c>
      <c r="D279" s="313" t="s">
        <v>634</v>
      </c>
      <c r="E279" s="260" t="s">
        <v>236</v>
      </c>
      <c r="F279" s="259" t="s">
        <v>4</v>
      </c>
      <c r="G279" s="259" t="s">
        <v>273</v>
      </c>
      <c r="I279" s="427"/>
    </row>
    <row r="280" spans="1:9" x14ac:dyDescent="0.2">
      <c r="A280" s="259" t="s">
        <v>202</v>
      </c>
      <c r="B280" s="260" t="s">
        <v>140</v>
      </c>
      <c r="C280" s="289">
        <v>16.899999999999999</v>
      </c>
      <c r="D280" s="313" t="s">
        <v>566</v>
      </c>
      <c r="E280" s="260" t="s">
        <v>236</v>
      </c>
      <c r="F280" s="259" t="s">
        <v>4</v>
      </c>
      <c r="G280" s="259" t="s">
        <v>273</v>
      </c>
    </row>
    <row r="281" spans="1:9" x14ac:dyDescent="0.2">
      <c r="A281" s="259" t="s">
        <v>363</v>
      </c>
      <c r="B281" s="260" t="s">
        <v>140</v>
      </c>
      <c r="C281" s="289" cm="1">
        <f t="array" ref="C281">SUM('Custos Serviços'!$D$65:$D$69/SUM('Custos Serviços'!$B$65:$B$69))</f>
        <v>73.511069535391343</v>
      </c>
      <c r="D281" s="313" t="s">
        <v>634</v>
      </c>
      <c r="E281" s="260" t="s">
        <v>236</v>
      </c>
      <c r="F281" s="259" t="s">
        <v>4</v>
      </c>
      <c r="G281" s="259" t="s">
        <v>275</v>
      </c>
      <c r="I281" s="427"/>
    </row>
    <row r="282" spans="1:9" x14ac:dyDescent="0.2">
      <c r="A282" s="259" t="s">
        <v>395</v>
      </c>
      <c r="B282" s="260" t="s">
        <v>140</v>
      </c>
      <c r="C282" s="289" cm="1">
        <f t="array" ref="C282">SUM('Custos Serviços'!$D$70:$D$74/SUM('Custos Serviços'!$B$70:$B$74))</f>
        <v>73.511069535391329</v>
      </c>
      <c r="D282" s="313" t="s">
        <v>634</v>
      </c>
      <c r="E282" s="260" t="s">
        <v>236</v>
      </c>
      <c r="F282" s="259" t="s">
        <v>4</v>
      </c>
      <c r="G282" s="259" t="s">
        <v>275</v>
      </c>
      <c r="I282" s="427"/>
    </row>
    <row r="283" spans="1:9" x14ac:dyDescent="0.2">
      <c r="A283" s="259" t="s">
        <v>274</v>
      </c>
      <c r="B283" s="260" t="s">
        <v>140</v>
      </c>
      <c r="C283" s="289" cm="1">
        <f t="array" ref="C283">SUM('Custos Serviços'!$D$70:$D$74/SUM('Custos Serviços'!$B$70:$B$74))</f>
        <v>73.511069535391329</v>
      </c>
      <c r="D283" s="313" t="s">
        <v>634</v>
      </c>
      <c r="E283" s="260" t="s">
        <v>236</v>
      </c>
      <c r="F283" s="259" t="s">
        <v>4</v>
      </c>
      <c r="G283" s="259" t="s">
        <v>275</v>
      </c>
      <c r="I283" s="427"/>
    </row>
    <row r="284" spans="1:9" x14ac:dyDescent="0.2">
      <c r="A284" s="259" t="s">
        <v>1162</v>
      </c>
      <c r="B284" s="260" t="s">
        <v>140</v>
      </c>
      <c r="C284" s="289">
        <f>'Custos Serviços'!D81/'Custos Serviços'!B81</f>
        <v>45.422229244016116</v>
      </c>
      <c r="D284" s="313" t="s">
        <v>634</v>
      </c>
      <c r="E284" s="260" t="s">
        <v>236</v>
      </c>
      <c r="F284" s="259" t="s">
        <v>4</v>
      </c>
      <c r="G284" s="259" t="s">
        <v>275</v>
      </c>
      <c r="I284" s="427"/>
    </row>
    <row r="285" spans="1:9" x14ac:dyDescent="0.2">
      <c r="A285" s="259" t="s">
        <v>841</v>
      </c>
      <c r="B285" s="260" t="s">
        <v>142</v>
      </c>
      <c r="C285" s="289">
        <v>12.88</v>
      </c>
      <c r="D285" s="313" t="s">
        <v>566</v>
      </c>
      <c r="E285" s="260" t="s">
        <v>242</v>
      </c>
      <c r="F285" s="259" t="s">
        <v>243</v>
      </c>
      <c r="G285" s="259" t="s">
        <v>329</v>
      </c>
    </row>
    <row r="286" spans="1:9" x14ac:dyDescent="0.2">
      <c r="A286" s="259" t="s">
        <v>338</v>
      </c>
      <c r="B286" s="260" t="s">
        <v>176</v>
      </c>
      <c r="C286" s="289">
        <v>1.26</v>
      </c>
      <c r="D286" s="313" t="s">
        <v>566</v>
      </c>
      <c r="E286" s="260" t="s">
        <v>242</v>
      </c>
      <c r="F286" s="259" t="s">
        <v>243</v>
      </c>
      <c r="G286" s="259" t="s">
        <v>329</v>
      </c>
    </row>
    <row r="287" spans="1:9" x14ac:dyDescent="0.2">
      <c r="A287" s="259" t="s">
        <v>766</v>
      </c>
      <c r="B287" s="260" t="s">
        <v>166</v>
      </c>
      <c r="C287" s="289">
        <v>251.24</v>
      </c>
      <c r="D287" s="313" t="s">
        <v>566</v>
      </c>
      <c r="E287" s="260" t="s">
        <v>242</v>
      </c>
      <c r="F287" s="259" t="s">
        <v>243</v>
      </c>
      <c r="G287" s="259" t="s">
        <v>329</v>
      </c>
    </row>
    <row r="288" spans="1:9" x14ac:dyDescent="0.2">
      <c r="A288" s="259" t="s">
        <v>1006</v>
      </c>
      <c r="B288" s="260" t="s">
        <v>142</v>
      </c>
      <c r="C288" s="289">
        <v>7798.7220899209133</v>
      </c>
      <c r="D288" s="313" t="s">
        <v>809</v>
      </c>
      <c r="E288" s="260" t="s">
        <v>242</v>
      </c>
      <c r="F288" s="259" t="s">
        <v>243</v>
      </c>
      <c r="G288" s="259" t="s">
        <v>278</v>
      </c>
    </row>
    <row r="289" spans="1:9" x14ac:dyDescent="0.2">
      <c r="A289" s="259" t="s">
        <v>1007</v>
      </c>
      <c r="B289" s="260" t="s">
        <v>142</v>
      </c>
      <c r="C289" s="289">
        <v>5278.4324526153387</v>
      </c>
      <c r="D289" s="313" t="s">
        <v>809</v>
      </c>
      <c r="E289" s="260" t="s">
        <v>242</v>
      </c>
      <c r="F289" s="259" t="s">
        <v>243</v>
      </c>
      <c r="G289" s="259" t="s">
        <v>278</v>
      </c>
    </row>
    <row r="290" spans="1:9" x14ac:dyDescent="0.2">
      <c r="A290" s="259" t="s">
        <v>1008</v>
      </c>
      <c r="B290" s="260" t="s">
        <v>142</v>
      </c>
      <c r="C290" s="289">
        <v>18900.901252411702</v>
      </c>
      <c r="D290" s="313" t="s">
        <v>809</v>
      </c>
      <c r="E290" s="260" t="s">
        <v>242</v>
      </c>
      <c r="F290" s="259" t="s">
        <v>243</v>
      </c>
      <c r="G290" s="259" t="s">
        <v>278</v>
      </c>
    </row>
    <row r="291" spans="1:9" x14ac:dyDescent="0.2">
      <c r="A291" s="259" t="s">
        <v>1009</v>
      </c>
      <c r="B291" s="260" t="s">
        <v>142</v>
      </c>
      <c r="C291" s="289">
        <v>3781.1066595146744</v>
      </c>
      <c r="D291" s="313" t="s">
        <v>809</v>
      </c>
      <c r="E291" s="260" t="s">
        <v>242</v>
      </c>
      <c r="F291" s="259" t="s">
        <v>243</v>
      </c>
      <c r="G291" s="259" t="s">
        <v>278</v>
      </c>
    </row>
    <row r="292" spans="1:9" x14ac:dyDescent="0.2">
      <c r="A292" s="259" t="s">
        <v>1010</v>
      </c>
      <c r="B292" s="260" t="s">
        <v>142</v>
      </c>
      <c r="C292" s="289">
        <v>3105.4375455373684</v>
      </c>
      <c r="D292" s="313" t="s">
        <v>809</v>
      </c>
      <c r="E292" s="260" t="s">
        <v>242</v>
      </c>
      <c r="F292" s="259" t="s">
        <v>243</v>
      </c>
      <c r="G292" s="259" t="s">
        <v>278</v>
      </c>
    </row>
    <row r="293" spans="1:9" x14ac:dyDescent="0.2">
      <c r="A293" s="259" t="s">
        <v>1011</v>
      </c>
      <c r="B293" s="260" t="s">
        <v>142</v>
      </c>
      <c r="C293" s="289">
        <v>3899.3610449604566</v>
      </c>
      <c r="D293" s="313" t="s">
        <v>809</v>
      </c>
      <c r="E293" s="260" t="s">
        <v>242</v>
      </c>
      <c r="F293" s="259" t="s">
        <v>243</v>
      </c>
      <c r="G293" s="259" t="s">
        <v>278</v>
      </c>
    </row>
    <row r="294" spans="1:9" x14ac:dyDescent="0.2">
      <c r="A294" s="259" t="s">
        <v>1012</v>
      </c>
      <c r="B294" s="260" t="s">
        <v>142</v>
      </c>
      <c r="C294" s="289">
        <v>2639.2162263076693</v>
      </c>
      <c r="D294" s="313" t="s">
        <v>809</v>
      </c>
      <c r="E294" s="260" t="s">
        <v>242</v>
      </c>
      <c r="F294" s="259" t="s">
        <v>243</v>
      </c>
      <c r="G294" s="259" t="s">
        <v>278</v>
      </c>
    </row>
    <row r="295" spans="1:9" x14ac:dyDescent="0.2">
      <c r="A295" s="259" t="s">
        <v>1013</v>
      </c>
      <c r="B295" s="260" t="s">
        <v>142</v>
      </c>
      <c r="C295" s="289">
        <v>9450.4506262058512</v>
      </c>
      <c r="D295" s="313" t="s">
        <v>809</v>
      </c>
      <c r="E295" s="260" t="s">
        <v>242</v>
      </c>
      <c r="F295" s="259" t="s">
        <v>243</v>
      </c>
      <c r="G295" s="259" t="s">
        <v>278</v>
      </c>
    </row>
    <row r="296" spans="1:9" x14ac:dyDescent="0.2">
      <c r="A296" s="259" t="s">
        <v>1014</v>
      </c>
      <c r="B296" s="260" t="s">
        <v>142</v>
      </c>
      <c r="C296" s="289">
        <v>1890.5533297573372</v>
      </c>
      <c r="D296" s="313" t="s">
        <v>809</v>
      </c>
      <c r="E296" s="260" t="s">
        <v>242</v>
      </c>
      <c r="F296" s="259" t="s">
        <v>243</v>
      </c>
      <c r="G296" s="259" t="s">
        <v>278</v>
      </c>
    </row>
    <row r="297" spans="1:9" x14ac:dyDescent="0.2">
      <c r="A297" s="259" t="s">
        <v>1015</v>
      </c>
      <c r="B297" s="260" t="s">
        <v>142</v>
      </c>
      <c r="C297" s="289">
        <v>1552.7187727686842</v>
      </c>
      <c r="D297" s="313" t="s">
        <v>809</v>
      </c>
      <c r="E297" s="260" t="s">
        <v>242</v>
      </c>
      <c r="F297" s="259" t="s">
        <v>243</v>
      </c>
      <c r="G297" s="259" t="s">
        <v>278</v>
      </c>
    </row>
    <row r="298" spans="1:9" x14ac:dyDescent="0.2">
      <c r="A298" s="259" t="s">
        <v>1016</v>
      </c>
      <c r="B298" s="260" t="s">
        <v>142</v>
      </c>
      <c r="C298" s="289">
        <v>5849.041567440685</v>
      </c>
      <c r="D298" s="313" t="s">
        <v>809</v>
      </c>
      <c r="E298" s="260" t="s">
        <v>242</v>
      </c>
      <c r="F298" s="259" t="s">
        <v>243</v>
      </c>
      <c r="G298" s="259" t="s">
        <v>278</v>
      </c>
    </row>
    <row r="299" spans="1:9" x14ac:dyDescent="0.2">
      <c r="A299" s="259" t="s">
        <v>1017</v>
      </c>
      <c r="B299" s="260" t="s">
        <v>142</v>
      </c>
      <c r="C299" s="289">
        <v>3958.8243394615042</v>
      </c>
      <c r="D299" s="313" t="s">
        <v>809</v>
      </c>
      <c r="E299" s="260" t="s">
        <v>242</v>
      </c>
      <c r="F299" s="259" t="s">
        <v>243</v>
      </c>
      <c r="G299" s="259" t="s">
        <v>278</v>
      </c>
    </row>
    <row r="300" spans="1:9" x14ac:dyDescent="0.2">
      <c r="A300" s="259" t="s">
        <v>1018</v>
      </c>
      <c r="B300" s="260" t="s">
        <v>142</v>
      </c>
      <c r="C300" s="289">
        <v>14175.675939308778</v>
      </c>
      <c r="D300" s="313" t="s">
        <v>809</v>
      </c>
      <c r="E300" s="260" t="s">
        <v>242</v>
      </c>
      <c r="F300" s="259" t="s">
        <v>243</v>
      </c>
      <c r="G300" s="259" t="s">
        <v>278</v>
      </c>
    </row>
    <row r="301" spans="1:9" x14ac:dyDescent="0.2">
      <c r="A301" s="259" t="s">
        <v>1019</v>
      </c>
      <c r="B301" s="260" t="s">
        <v>142</v>
      </c>
      <c r="C301" s="289">
        <v>2835.8299946360062</v>
      </c>
      <c r="D301" s="313" t="s">
        <v>809</v>
      </c>
      <c r="E301" s="260" t="s">
        <v>242</v>
      </c>
      <c r="F301" s="259" t="s">
        <v>243</v>
      </c>
      <c r="G301" s="259" t="s">
        <v>278</v>
      </c>
    </row>
    <row r="302" spans="1:9" x14ac:dyDescent="0.2">
      <c r="A302" s="259" t="s">
        <v>1020</v>
      </c>
      <c r="B302" s="260" t="s">
        <v>142</v>
      </c>
      <c r="C302" s="289">
        <v>2329.0781591530267</v>
      </c>
      <c r="D302" s="313" t="s">
        <v>809</v>
      </c>
      <c r="E302" s="260" t="s">
        <v>242</v>
      </c>
      <c r="F302" s="259" t="s">
        <v>243</v>
      </c>
      <c r="G302" s="259" t="s">
        <v>278</v>
      </c>
    </row>
    <row r="303" spans="1:9" x14ac:dyDescent="0.2">
      <c r="A303" s="259" t="s">
        <v>833</v>
      </c>
      <c r="B303" s="260" t="s">
        <v>170</v>
      </c>
      <c r="C303" s="289">
        <f>'Custos Serviços'!D103</f>
        <v>50600</v>
      </c>
      <c r="D303" s="313" t="s">
        <v>634</v>
      </c>
      <c r="E303" s="260" t="s">
        <v>236</v>
      </c>
      <c r="F303" s="259" t="s">
        <v>4</v>
      </c>
      <c r="G303" s="259" t="s">
        <v>278</v>
      </c>
      <c r="I303" s="427"/>
    </row>
    <row r="304" spans="1:9" x14ac:dyDescent="0.2">
      <c r="A304" s="259" t="s">
        <v>840</v>
      </c>
      <c r="B304" s="260" t="s">
        <v>142</v>
      </c>
      <c r="C304" s="289">
        <v>6.56</v>
      </c>
      <c r="D304" s="313" t="s">
        <v>566</v>
      </c>
      <c r="E304" s="260" t="s">
        <v>242</v>
      </c>
      <c r="F304" s="259" t="s">
        <v>243</v>
      </c>
      <c r="G304" s="259" t="s">
        <v>288</v>
      </c>
    </row>
    <row r="305" spans="1:7" x14ac:dyDescent="0.2">
      <c r="A305" s="259" t="s">
        <v>909</v>
      </c>
      <c r="B305" s="260" t="s">
        <v>170</v>
      </c>
      <c r="C305" s="289">
        <v>981.81818181818187</v>
      </c>
      <c r="D305" s="313" t="s">
        <v>809</v>
      </c>
      <c r="E305" s="260" t="s">
        <v>242</v>
      </c>
      <c r="F305" s="259" t="s">
        <v>243</v>
      </c>
      <c r="G305" s="259" t="s">
        <v>288</v>
      </c>
    </row>
    <row r="306" spans="1:7" x14ac:dyDescent="0.2">
      <c r="A306" s="259" t="s">
        <v>401</v>
      </c>
      <c r="B306" s="260" t="s">
        <v>176</v>
      </c>
      <c r="C306" s="289">
        <v>3</v>
      </c>
      <c r="D306" s="313" t="s">
        <v>566</v>
      </c>
      <c r="E306" s="260" t="s">
        <v>242</v>
      </c>
      <c r="F306" s="259" t="s">
        <v>243</v>
      </c>
      <c r="G306" s="259" t="s">
        <v>288</v>
      </c>
    </row>
    <row r="307" spans="1:7" x14ac:dyDescent="0.2">
      <c r="A307" s="259" t="s">
        <v>380</v>
      </c>
      <c r="B307" s="260" t="s">
        <v>159</v>
      </c>
      <c r="C307" s="289">
        <v>25.75</v>
      </c>
      <c r="D307" s="313" t="s">
        <v>566</v>
      </c>
      <c r="E307" s="260" t="s">
        <v>242</v>
      </c>
      <c r="F307" s="259" t="s">
        <v>243</v>
      </c>
      <c r="G307" s="259" t="s">
        <v>288</v>
      </c>
    </row>
    <row r="308" spans="1:7" x14ac:dyDescent="0.2">
      <c r="A308" s="259" t="s">
        <v>1158</v>
      </c>
      <c r="B308" s="260" t="s">
        <v>140</v>
      </c>
      <c r="C308" s="289">
        <v>10.15</v>
      </c>
      <c r="D308" s="313" t="s">
        <v>566</v>
      </c>
      <c r="E308" s="260" t="s">
        <v>242</v>
      </c>
      <c r="F308" s="259" t="s">
        <v>243</v>
      </c>
      <c r="G308" s="259" t="s">
        <v>288</v>
      </c>
    </row>
    <row r="309" spans="1:7" x14ac:dyDescent="0.2">
      <c r="A309" s="259" t="s">
        <v>326</v>
      </c>
      <c r="B309" s="260" t="s">
        <v>140</v>
      </c>
      <c r="C309" s="289">
        <v>37.72</v>
      </c>
      <c r="D309" s="313" t="s">
        <v>566</v>
      </c>
      <c r="E309" s="260" t="s">
        <v>242</v>
      </c>
      <c r="F309" s="259" t="s">
        <v>243</v>
      </c>
      <c r="G309" s="259" t="s">
        <v>288</v>
      </c>
    </row>
    <row r="310" spans="1:7" x14ac:dyDescent="0.2">
      <c r="A310" s="259" t="s">
        <v>768</v>
      </c>
      <c r="B310" s="260" t="s">
        <v>140</v>
      </c>
      <c r="C310" s="289">
        <v>7</v>
      </c>
      <c r="D310" s="313" t="s">
        <v>566</v>
      </c>
      <c r="E310" s="260" t="s">
        <v>242</v>
      </c>
      <c r="F310" s="259" t="s">
        <v>243</v>
      </c>
      <c r="G310" s="259" t="s">
        <v>288</v>
      </c>
    </row>
    <row r="311" spans="1:7" x14ac:dyDescent="0.2">
      <c r="A311" s="259" t="s">
        <v>1155</v>
      </c>
      <c r="B311" s="260" t="s">
        <v>140</v>
      </c>
      <c r="C311" s="289">
        <v>3.4</v>
      </c>
      <c r="D311" s="313" t="s">
        <v>566</v>
      </c>
      <c r="E311" s="260" t="s">
        <v>242</v>
      </c>
      <c r="F311" s="259" t="s">
        <v>243</v>
      </c>
      <c r="G311" s="259" t="s">
        <v>288</v>
      </c>
    </row>
    <row r="312" spans="1:7" x14ac:dyDescent="0.2">
      <c r="A312" s="259" t="s">
        <v>1154</v>
      </c>
      <c r="B312" s="260" t="s">
        <v>159</v>
      </c>
      <c r="C312" s="289">
        <v>8.33</v>
      </c>
      <c r="D312" s="313" t="s">
        <v>566</v>
      </c>
      <c r="E312" s="260" t="s">
        <v>242</v>
      </c>
      <c r="F312" s="259" t="s">
        <v>243</v>
      </c>
      <c r="G312" s="259" t="s">
        <v>288</v>
      </c>
    </row>
    <row r="313" spans="1:7" x14ac:dyDescent="0.2">
      <c r="A313" s="259" t="s">
        <v>367</v>
      </c>
      <c r="B313" s="260" t="s">
        <v>176</v>
      </c>
      <c r="C313" s="289">
        <v>11.9</v>
      </c>
      <c r="D313" s="313" t="s">
        <v>566</v>
      </c>
      <c r="E313" s="260" t="s">
        <v>242</v>
      </c>
      <c r="F313" s="259" t="s">
        <v>243</v>
      </c>
      <c r="G313" s="259" t="s">
        <v>288</v>
      </c>
    </row>
    <row r="314" spans="1:7" x14ac:dyDescent="0.2">
      <c r="A314" s="259" t="s">
        <v>222</v>
      </c>
      <c r="B314" s="260" t="s">
        <v>170</v>
      </c>
      <c r="C314" s="289">
        <v>40816</v>
      </c>
      <c r="D314" s="313" t="s">
        <v>570</v>
      </c>
      <c r="E314" s="260" t="s">
        <v>236</v>
      </c>
      <c r="F314" s="259" t="s">
        <v>4</v>
      </c>
      <c r="G314" s="259" t="s">
        <v>298</v>
      </c>
    </row>
    <row r="315" spans="1:7" x14ac:dyDescent="0.2">
      <c r="A315" s="259" t="s">
        <v>224</v>
      </c>
      <c r="B315" s="260" t="s">
        <v>170</v>
      </c>
      <c r="C315" s="289">
        <v>29900</v>
      </c>
      <c r="D315" s="313" t="s">
        <v>570</v>
      </c>
      <c r="E315" s="260" t="s">
        <v>236</v>
      </c>
      <c r="F315" s="259" t="s">
        <v>4</v>
      </c>
      <c r="G315" s="259" t="s">
        <v>307</v>
      </c>
    </row>
    <row r="316" spans="1:7" x14ac:dyDescent="0.2">
      <c r="A316" s="259" t="s">
        <v>225</v>
      </c>
      <c r="B316" s="260" t="s">
        <v>170</v>
      </c>
      <c r="C316" s="289">
        <v>5936</v>
      </c>
      <c r="D316" s="313" t="s">
        <v>570</v>
      </c>
      <c r="E316" s="260" t="s">
        <v>236</v>
      </c>
      <c r="F316" s="259" t="s">
        <v>4</v>
      </c>
      <c r="G316" s="259" t="s">
        <v>339</v>
      </c>
    </row>
    <row r="317" spans="1:7" x14ac:dyDescent="0.2">
      <c r="A317" s="259" t="s">
        <v>227</v>
      </c>
      <c r="B317" s="260" t="s">
        <v>170</v>
      </c>
      <c r="C317" s="289">
        <v>9500</v>
      </c>
      <c r="D317" s="313" t="s">
        <v>570</v>
      </c>
      <c r="E317" s="260" t="s">
        <v>236</v>
      </c>
      <c r="F317" s="259" t="s">
        <v>4</v>
      </c>
      <c r="G317" s="259" t="s">
        <v>327</v>
      </c>
    </row>
    <row r="318" spans="1:7" x14ac:dyDescent="0.2">
      <c r="A318" s="259" t="s">
        <v>591</v>
      </c>
      <c r="B318" s="260" t="s">
        <v>170</v>
      </c>
      <c r="C318" s="289">
        <v>5700</v>
      </c>
      <c r="D318" s="313" t="s">
        <v>810</v>
      </c>
      <c r="E318" s="260" t="s">
        <v>236</v>
      </c>
      <c r="F318" s="259" t="s">
        <v>4</v>
      </c>
      <c r="G318" s="259" t="s">
        <v>292</v>
      </c>
    </row>
    <row r="319" spans="1:7" x14ac:dyDescent="0.2">
      <c r="A319" s="259" t="s">
        <v>573</v>
      </c>
      <c r="B319" s="260" t="s">
        <v>170</v>
      </c>
      <c r="C319" s="289">
        <v>2967</v>
      </c>
      <c r="D319" s="313" t="s">
        <v>570</v>
      </c>
      <c r="E319" s="260" t="s">
        <v>236</v>
      </c>
      <c r="F319" s="259" t="s">
        <v>4</v>
      </c>
      <c r="G319" s="259" t="s">
        <v>292</v>
      </c>
    </row>
    <row r="320" spans="1:7" x14ac:dyDescent="0.2">
      <c r="A320" s="259" t="s">
        <v>574</v>
      </c>
      <c r="B320" s="260" t="s">
        <v>170</v>
      </c>
      <c r="C320" s="289">
        <v>2967</v>
      </c>
      <c r="D320" s="313" t="s">
        <v>570</v>
      </c>
      <c r="E320" s="260" t="s">
        <v>236</v>
      </c>
      <c r="F320" s="259" t="s">
        <v>4</v>
      </c>
      <c r="G320" s="259" t="s">
        <v>292</v>
      </c>
    </row>
    <row r="321" spans="1:7" x14ac:dyDescent="0.2">
      <c r="A321" s="259" t="s">
        <v>575</v>
      </c>
      <c r="B321" s="260" t="s">
        <v>170</v>
      </c>
      <c r="C321" s="289">
        <v>9500</v>
      </c>
      <c r="D321" s="313" t="s">
        <v>570</v>
      </c>
      <c r="E321" s="260" t="s">
        <v>236</v>
      </c>
      <c r="F321" s="259" t="s">
        <v>4</v>
      </c>
      <c r="G321" s="259" t="s">
        <v>292</v>
      </c>
    </row>
    <row r="322" spans="1:7" x14ac:dyDescent="0.2">
      <c r="A322" s="259" t="s">
        <v>789</v>
      </c>
      <c r="B322" s="260" t="s">
        <v>142</v>
      </c>
      <c r="C322" s="289">
        <v>12.57</v>
      </c>
      <c r="D322" s="259" t="s">
        <v>1245</v>
      </c>
      <c r="E322" s="260" t="s">
        <v>242</v>
      </c>
      <c r="F322" s="259" t="s">
        <v>243</v>
      </c>
      <c r="G322" s="259" t="s">
        <v>616</v>
      </c>
    </row>
    <row r="323" spans="1:7" x14ac:dyDescent="0.2">
      <c r="A323" s="259" t="s">
        <v>790</v>
      </c>
      <c r="B323" s="260" t="s">
        <v>793</v>
      </c>
      <c r="C323" s="289">
        <v>9.18</v>
      </c>
      <c r="D323" s="259" t="s">
        <v>1245</v>
      </c>
      <c r="E323" s="260" t="s">
        <v>242</v>
      </c>
      <c r="F323" s="259" t="s">
        <v>243</v>
      </c>
      <c r="G323" s="259" t="s">
        <v>616</v>
      </c>
    </row>
    <row r="324" spans="1:7" x14ac:dyDescent="0.2">
      <c r="A324" s="259" t="s">
        <v>794</v>
      </c>
      <c r="B324" s="260" t="s">
        <v>142</v>
      </c>
      <c r="C324" s="289">
        <v>2.86</v>
      </c>
      <c r="D324" s="259" t="s">
        <v>1245</v>
      </c>
      <c r="E324" s="260" t="s">
        <v>242</v>
      </c>
      <c r="F324" s="259" t="s">
        <v>243</v>
      </c>
      <c r="G324" s="259" t="s">
        <v>616</v>
      </c>
    </row>
    <row r="325" spans="1:7" x14ac:dyDescent="0.2">
      <c r="A325" s="259" t="s">
        <v>791</v>
      </c>
      <c r="B325" s="260" t="s">
        <v>142</v>
      </c>
      <c r="C325" s="289">
        <v>1.43</v>
      </c>
      <c r="D325" s="259" t="s">
        <v>1245</v>
      </c>
      <c r="E325" s="260" t="s">
        <v>242</v>
      </c>
      <c r="F325" s="259" t="s">
        <v>243</v>
      </c>
      <c r="G325" s="259" t="s">
        <v>616</v>
      </c>
    </row>
    <row r="326" spans="1:7" x14ac:dyDescent="0.2">
      <c r="A326" s="259" t="s">
        <v>795</v>
      </c>
      <c r="B326" s="260" t="s">
        <v>142</v>
      </c>
      <c r="C326" s="289">
        <v>5.17</v>
      </c>
      <c r="D326" s="259" t="s">
        <v>1245</v>
      </c>
      <c r="E326" s="260" t="s">
        <v>242</v>
      </c>
      <c r="F326" s="259" t="s">
        <v>243</v>
      </c>
      <c r="G326" s="259" t="s">
        <v>616</v>
      </c>
    </row>
    <row r="327" spans="1:7" x14ac:dyDescent="0.2">
      <c r="A327" s="259" t="s">
        <v>792</v>
      </c>
      <c r="B327" s="260" t="s">
        <v>793</v>
      </c>
      <c r="C327" s="289">
        <v>2.31</v>
      </c>
      <c r="D327" s="259" t="s">
        <v>1245</v>
      </c>
      <c r="E327" s="260" t="s">
        <v>242</v>
      </c>
      <c r="F327" s="259" t="s">
        <v>243</v>
      </c>
      <c r="G327" s="259" t="s">
        <v>616</v>
      </c>
    </row>
    <row r="328" spans="1:7" x14ac:dyDescent="0.2">
      <c r="A328" s="259" t="s">
        <v>796</v>
      </c>
      <c r="B328" s="260" t="s">
        <v>159</v>
      </c>
      <c r="C328" s="289">
        <v>7.54</v>
      </c>
      <c r="D328" s="259" t="s">
        <v>1245</v>
      </c>
      <c r="E328" s="260" t="s">
        <v>242</v>
      </c>
      <c r="F328" s="259" t="s">
        <v>243</v>
      </c>
      <c r="G328" s="259" t="s">
        <v>616</v>
      </c>
    </row>
    <row r="329" spans="1:7" x14ac:dyDescent="0.2">
      <c r="A329" s="259" t="s">
        <v>797</v>
      </c>
      <c r="B329" s="260" t="s">
        <v>142</v>
      </c>
      <c r="C329" s="289">
        <v>1</v>
      </c>
      <c r="D329" s="259" t="s">
        <v>1245</v>
      </c>
      <c r="E329" s="260" t="s">
        <v>242</v>
      </c>
      <c r="F329" s="259" t="s">
        <v>243</v>
      </c>
      <c r="G329" s="259" t="s">
        <v>616</v>
      </c>
    </row>
    <row r="330" spans="1:7" x14ac:dyDescent="0.2">
      <c r="A330" s="259" t="s">
        <v>341</v>
      </c>
      <c r="B330" s="260" t="s">
        <v>140</v>
      </c>
      <c r="C330" s="289">
        <f>120/50</f>
        <v>2.4</v>
      </c>
      <c r="D330" s="313" t="s">
        <v>566</v>
      </c>
      <c r="E330" s="260" t="s">
        <v>242</v>
      </c>
      <c r="F330" s="259" t="s">
        <v>243</v>
      </c>
      <c r="G330" s="259" t="s">
        <v>342</v>
      </c>
    </row>
    <row r="331" spans="1:7" x14ac:dyDescent="0.2">
      <c r="A331" s="259" t="s">
        <v>1130</v>
      </c>
      <c r="B331" s="260" t="s">
        <v>140</v>
      </c>
      <c r="C331" s="289">
        <v>102.4</v>
      </c>
      <c r="D331" s="313" t="s">
        <v>688</v>
      </c>
      <c r="E331" s="260" t="s">
        <v>242</v>
      </c>
      <c r="F331" s="259" t="s">
        <v>243</v>
      </c>
      <c r="G331" s="259" t="s">
        <v>713</v>
      </c>
    </row>
    <row r="332" spans="1:7" x14ac:dyDescent="0.2">
      <c r="A332" s="259" t="s">
        <v>912</v>
      </c>
      <c r="B332" s="260" t="s">
        <v>140</v>
      </c>
      <c r="C332" s="289">
        <v>45.19</v>
      </c>
      <c r="D332" s="313" t="s">
        <v>1246</v>
      </c>
      <c r="E332" s="260" t="s">
        <v>242</v>
      </c>
      <c r="F332" s="259" t="s">
        <v>243</v>
      </c>
      <c r="G332" s="259" t="s">
        <v>713</v>
      </c>
    </row>
    <row r="333" spans="1:7" x14ac:dyDescent="0.2">
      <c r="A333" s="259" t="s">
        <v>1066</v>
      </c>
      <c r="B333" s="260" t="s">
        <v>140</v>
      </c>
      <c r="C333" s="289">
        <v>125.5</v>
      </c>
      <c r="D333" s="313"/>
      <c r="E333" s="260" t="s">
        <v>242</v>
      </c>
      <c r="F333" s="259" t="s">
        <v>243</v>
      </c>
      <c r="G333" s="259" t="s">
        <v>713</v>
      </c>
    </row>
    <row r="334" spans="1:7" x14ac:dyDescent="0.2">
      <c r="A334" s="259" t="s">
        <v>910</v>
      </c>
      <c r="B334" s="260" t="s">
        <v>140</v>
      </c>
      <c r="C334" s="289">
        <v>60.29</v>
      </c>
      <c r="D334" s="313" t="s">
        <v>1246</v>
      </c>
      <c r="E334" s="260" t="s">
        <v>242</v>
      </c>
      <c r="F334" s="259" t="s">
        <v>243</v>
      </c>
      <c r="G334" s="259" t="s">
        <v>713</v>
      </c>
    </row>
    <row r="335" spans="1:7" x14ac:dyDescent="0.2">
      <c r="A335" s="259" t="s">
        <v>911</v>
      </c>
      <c r="B335" s="260" t="s">
        <v>140</v>
      </c>
      <c r="C335" s="289">
        <v>60.29</v>
      </c>
      <c r="D335" s="313" t="s">
        <v>1246</v>
      </c>
      <c r="E335" s="260" t="s">
        <v>242</v>
      </c>
      <c r="F335" s="259" t="s">
        <v>243</v>
      </c>
      <c r="G335" s="259" t="s">
        <v>713</v>
      </c>
    </row>
    <row r="336" spans="1:7" x14ac:dyDescent="0.2">
      <c r="A336" s="259" t="s">
        <v>281</v>
      </c>
      <c r="B336" s="260" t="s">
        <v>158</v>
      </c>
      <c r="C336" s="289">
        <v>40.700000000000003</v>
      </c>
      <c r="D336" s="313" t="s">
        <v>566</v>
      </c>
      <c r="E336" s="260" t="s">
        <v>242</v>
      </c>
      <c r="F336" s="259" t="s">
        <v>243</v>
      </c>
      <c r="G336" s="259" t="s">
        <v>282</v>
      </c>
    </row>
    <row r="337" spans="1:9" x14ac:dyDescent="0.2">
      <c r="A337" s="259" t="s">
        <v>748</v>
      </c>
      <c r="B337" s="260" t="s">
        <v>158</v>
      </c>
      <c r="C337" s="289">
        <f>40.7*1.5</f>
        <v>61.050000000000004</v>
      </c>
      <c r="D337" s="313" t="s">
        <v>566</v>
      </c>
      <c r="E337" s="260" t="s">
        <v>242</v>
      </c>
      <c r="F337" s="259" t="s">
        <v>243</v>
      </c>
      <c r="G337" s="259" t="s">
        <v>282</v>
      </c>
    </row>
    <row r="338" spans="1:9" x14ac:dyDescent="0.2">
      <c r="A338" s="259" t="s">
        <v>286</v>
      </c>
      <c r="B338" s="260" t="s">
        <v>140</v>
      </c>
      <c r="C338" s="289">
        <v>638</v>
      </c>
      <c r="D338" s="313" t="s">
        <v>566</v>
      </c>
      <c r="E338" s="260" t="s">
        <v>242</v>
      </c>
      <c r="F338" s="259" t="s">
        <v>243</v>
      </c>
      <c r="G338" s="259" t="s">
        <v>287</v>
      </c>
    </row>
    <row r="339" spans="1:9" x14ac:dyDescent="0.2">
      <c r="A339" s="259" t="s">
        <v>185</v>
      </c>
      <c r="B339" s="260" t="s">
        <v>140</v>
      </c>
      <c r="C339" s="289">
        <f>'Custos Serviços'!D5/Orçamento!U197</f>
        <v>182850</v>
      </c>
      <c r="D339" s="313" t="s">
        <v>634</v>
      </c>
      <c r="E339" s="260" t="s">
        <v>236</v>
      </c>
      <c r="F339" s="259" t="s">
        <v>4</v>
      </c>
      <c r="G339" s="259" t="s">
        <v>262</v>
      </c>
      <c r="I339" s="427"/>
    </row>
    <row r="340" spans="1:9" x14ac:dyDescent="0.2">
      <c r="A340" s="259" t="s">
        <v>684</v>
      </c>
      <c r="B340" s="260" t="s">
        <v>140</v>
      </c>
      <c r="C340" s="289">
        <f>'Custos Serviços'!$D$4/Orçamento!$U$232</f>
        <v>317.98202084030663</v>
      </c>
      <c r="D340" s="313" t="s">
        <v>634</v>
      </c>
      <c r="E340" s="260" t="s">
        <v>236</v>
      </c>
      <c r="F340" s="259" t="s">
        <v>4</v>
      </c>
      <c r="G340" s="259" t="s">
        <v>262</v>
      </c>
      <c r="I340" s="427"/>
    </row>
    <row r="341" spans="1:9" x14ac:dyDescent="0.2">
      <c r="A341" s="259" t="s">
        <v>204</v>
      </c>
      <c r="B341" s="260" t="s">
        <v>140</v>
      </c>
      <c r="C341" s="289">
        <f>'Custos Serviços'!D6/SUM('Custos Serviços'!B7:B11)</f>
        <v>328.98247759174944</v>
      </c>
      <c r="D341" s="313" t="s">
        <v>634</v>
      </c>
      <c r="E341" s="260" t="s">
        <v>236</v>
      </c>
      <c r="F341" s="259" t="s">
        <v>4</v>
      </c>
      <c r="G341" s="259" t="s">
        <v>237</v>
      </c>
      <c r="I341" s="427"/>
    </row>
    <row r="342" spans="1:9" x14ac:dyDescent="0.2">
      <c r="A342" s="259" t="s">
        <v>1157</v>
      </c>
      <c r="B342" s="260" t="s">
        <v>142</v>
      </c>
      <c r="C342" s="289">
        <v>80</v>
      </c>
      <c r="D342" s="313" t="s">
        <v>566</v>
      </c>
      <c r="E342" s="260" t="s">
        <v>236</v>
      </c>
      <c r="F342" s="259" t="s">
        <v>4</v>
      </c>
      <c r="G342" s="259" t="s">
        <v>303</v>
      </c>
    </row>
    <row r="343" spans="1:9" x14ac:dyDescent="0.2">
      <c r="A343" s="259" t="s">
        <v>325</v>
      </c>
      <c r="B343" s="260" t="s">
        <v>140</v>
      </c>
      <c r="C343" s="289">
        <v>4.5</v>
      </c>
      <c r="D343" s="313" t="s">
        <v>566</v>
      </c>
      <c r="E343" s="260" t="s">
        <v>236</v>
      </c>
      <c r="F343" s="259" t="s">
        <v>4</v>
      </c>
      <c r="G343" s="259" t="s">
        <v>303</v>
      </c>
    </row>
    <row r="344" spans="1:9" x14ac:dyDescent="0.2">
      <c r="A344" s="259" t="s">
        <v>322</v>
      </c>
      <c r="B344" s="260" t="s">
        <v>140</v>
      </c>
      <c r="C344" s="289">
        <f>114-48.81</f>
        <v>65.19</v>
      </c>
      <c r="D344" s="313" t="s">
        <v>566</v>
      </c>
      <c r="E344" s="260" t="s">
        <v>236</v>
      </c>
      <c r="F344" s="259" t="s">
        <v>4</v>
      </c>
      <c r="G344" s="259" t="s">
        <v>303</v>
      </c>
    </row>
    <row r="345" spans="1:9" x14ac:dyDescent="0.2">
      <c r="A345" s="259" t="s">
        <v>302</v>
      </c>
      <c r="B345" s="260" t="s">
        <v>140</v>
      </c>
      <c r="C345" s="289">
        <f>70-36.26</f>
        <v>33.74</v>
      </c>
      <c r="D345" s="313" t="s">
        <v>566</v>
      </c>
      <c r="E345" s="260" t="s">
        <v>236</v>
      </c>
      <c r="F345" s="259" t="s">
        <v>4</v>
      </c>
      <c r="G345" s="259" t="s">
        <v>303</v>
      </c>
    </row>
    <row r="346" spans="1:9" x14ac:dyDescent="0.2">
      <c r="A346" s="259" t="s">
        <v>382</v>
      </c>
      <c r="B346" s="260" t="s">
        <v>140</v>
      </c>
      <c r="C346" s="289">
        <v>32</v>
      </c>
      <c r="D346" s="313" t="s">
        <v>566</v>
      </c>
      <c r="E346" s="260" t="s">
        <v>236</v>
      </c>
      <c r="F346" s="259" t="s">
        <v>4</v>
      </c>
      <c r="G346" s="259" t="s">
        <v>303</v>
      </c>
    </row>
    <row r="347" spans="1:9" x14ac:dyDescent="0.2">
      <c r="A347" s="259" t="s">
        <v>1152</v>
      </c>
      <c r="B347" s="260" t="s">
        <v>140</v>
      </c>
      <c r="C347" s="289">
        <v>15</v>
      </c>
      <c r="D347" s="313" t="s">
        <v>566</v>
      </c>
      <c r="E347" s="260" t="s">
        <v>236</v>
      </c>
      <c r="F347" s="259" t="s">
        <v>4</v>
      </c>
      <c r="G347" s="259" t="s">
        <v>303</v>
      </c>
    </row>
    <row r="348" spans="1:9" x14ac:dyDescent="0.2">
      <c r="A348" s="259" t="s">
        <v>308</v>
      </c>
      <c r="B348" s="260" t="s">
        <v>140</v>
      </c>
      <c r="C348" s="289">
        <v>18</v>
      </c>
      <c r="D348" s="313" t="s">
        <v>566</v>
      </c>
      <c r="E348" s="260" t="s">
        <v>236</v>
      </c>
      <c r="F348" s="259" t="s">
        <v>4</v>
      </c>
      <c r="G348" s="259" t="s">
        <v>303</v>
      </c>
    </row>
    <row r="349" spans="1:9" x14ac:dyDescent="0.2">
      <c r="A349" s="259" t="s">
        <v>757</v>
      </c>
      <c r="B349" s="260" t="s">
        <v>140</v>
      </c>
      <c r="C349" s="289">
        <f>'Custos Serviços'!D63/(Orçamento!U2064+Orçamento!U2084)</f>
        <v>367.74783005938787</v>
      </c>
      <c r="D349" s="313" t="s">
        <v>634</v>
      </c>
      <c r="E349" s="260" t="s">
        <v>236</v>
      </c>
      <c r="F349" s="259" t="s">
        <v>4</v>
      </c>
      <c r="G349" s="259" t="s">
        <v>303</v>
      </c>
      <c r="I349" s="427"/>
    </row>
    <row r="350" spans="1:9" x14ac:dyDescent="0.2">
      <c r="A350" s="259" t="s">
        <v>384</v>
      </c>
      <c r="B350" s="260" t="s">
        <v>260</v>
      </c>
      <c r="C350" s="289">
        <v>70</v>
      </c>
      <c r="D350" s="259" t="s">
        <v>566</v>
      </c>
      <c r="E350" s="260" t="s">
        <v>236</v>
      </c>
      <c r="F350" s="259" t="s">
        <v>4</v>
      </c>
      <c r="G350" s="259" t="s">
        <v>385</v>
      </c>
    </row>
    <row r="351" spans="1:9" x14ac:dyDescent="0.2">
      <c r="A351" s="259" t="s">
        <v>373</v>
      </c>
      <c r="B351" s="260" t="s">
        <v>140</v>
      </c>
      <c r="C351" s="289">
        <v>10.5</v>
      </c>
      <c r="D351" s="313" t="s">
        <v>566</v>
      </c>
      <c r="E351" s="260" t="s">
        <v>236</v>
      </c>
      <c r="F351" s="259" t="s">
        <v>4</v>
      </c>
      <c r="G351" s="259" t="s">
        <v>374</v>
      </c>
    </row>
    <row r="352" spans="1:9" x14ac:dyDescent="0.2">
      <c r="A352" s="259" t="s">
        <v>1169</v>
      </c>
      <c r="B352" s="260" t="s">
        <v>170</v>
      </c>
      <c r="C352" s="289">
        <f>'Custos Serviços'!D109</f>
        <v>23000</v>
      </c>
      <c r="D352" s="313" t="s">
        <v>634</v>
      </c>
      <c r="E352" s="260" t="s">
        <v>236</v>
      </c>
      <c r="F352" s="259" t="s">
        <v>4</v>
      </c>
      <c r="G352" s="259" t="s">
        <v>267</v>
      </c>
      <c r="I352" s="427"/>
    </row>
    <row r="353" spans="1:9" x14ac:dyDescent="0.2">
      <c r="A353" s="259" t="s">
        <v>266</v>
      </c>
      <c r="B353" s="260" t="s">
        <v>140</v>
      </c>
      <c r="C353" s="289">
        <f>'Custos Serviços'!$D$102/'Custos Serviços'!B102</f>
        <v>37.369143377624056</v>
      </c>
      <c r="D353" s="313" t="s">
        <v>634</v>
      </c>
      <c r="E353" s="260" t="s">
        <v>236</v>
      </c>
      <c r="F353" s="259" t="s">
        <v>4</v>
      </c>
      <c r="G353" s="259" t="s">
        <v>267</v>
      </c>
      <c r="I353" s="427"/>
    </row>
    <row r="354" spans="1:9" x14ac:dyDescent="0.2">
      <c r="A354" s="259" t="s">
        <v>280</v>
      </c>
      <c r="B354" s="260" t="s">
        <v>140</v>
      </c>
      <c r="C354" s="289">
        <f>SUM('Custos Serviços'!D96:D100)/SUM('Custos Serviços'!B96:B100)</f>
        <v>53.07250036855902</v>
      </c>
      <c r="D354" s="313" t="s">
        <v>634</v>
      </c>
      <c r="E354" s="260" t="s">
        <v>236</v>
      </c>
      <c r="F354" s="259" t="s">
        <v>4</v>
      </c>
      <c r="G354" s="259" t="s">
        <v>267</v>
      </c>
      <c r="I354" s="427"/>
    </row>
    <row r="355" spans="1:9" x14ac:dyDescent="0.2">
      <c r="A355" s="259" t="s">
        <v>779</v>
      </c>
      <c r="B355" s="260" t="s">
        <v>140</v>
      </c>
      <c r="C355" s="289">
        <f>SUM('Custos Serviços'!$D$84:$D$88)/SUM('Custos Serviços'!$B$84:$B$88)</f>
        <v>38.187489622964783</v>
      </c>
      <c r="D355" s="313" t="s">
        <v>634</v>
      </c>
      <c r="E355" s="260" t="s">
        <v>236</v>
      </c>
      <c r="F355" s="259" t="s">
        <v>4</v>
      </c>
      <c r="G355" s="259" t="s">
        <v>258</v>
      </c>
      <c r="I355" s="427"/>
    </row>
    <row r="356" spans="1:9" x14ac:dyDescent="0.2">
      <c r="A356" s="259" t="s">
        <v>349</v>
      </c>
      <c r="B356" s="260" t="s">
        <v>140</v>
      </c>
      <c r="C356" s="289">
        <f>SUM('Custos Serviços'!$D$90:$D$94)/SUM('Custos Serviços'!$B$90:$B$94)</f>
        <v>44.956704738697304</v>
      </c>
      <c r="D356" s="313" t="s">
        <v>634</v>
      </c>
      <c r="E356" s="260" t="s">
        <v>236</v>
      </c>
      <c r="F356" s="259" t="s">
        <v>4</v>
      </c>
      <c r="G356" s="259" t="s">
        <v>258</v>
      </c>
      <c r="I356" s="427"/>
    </row>
    <row r="357" spans="1:9" x14ac:dyDescent="0.2">
      <c r="A357" s="259" t="s">
        <v>213</v>
      </c>
      <c r="B357" s="260" t="s">
        <v>142</v>
      </c>
      <c r="C357" s="289">
        <f>165/150</f>
        <v>1.1000000000000001</v>
      </c>
      <c r="D357" s="313" t="s">
        <v>810</v>
      </c>
      <c r="E357" s="260" t="s">
        <v>242</v>
      </c>
      <c r="F357" s="259" t="s">
        <v>243</v>
      </c>
      <c r="G357" s="259" t="s">
        <v>345</v>
      </c>
    </row>
    <row r="358" spans="1:9" x14ac:dyDescent="0.2">
      <c r="A358" s="259" t="s">
        <v>351</v>
      </c>
      <c r="B358" s="260" t="s">
        <v>140</v>
      </c>
      <c r="C358" s="289">
        <v>12.84</v>
      </c>
      <c r="D358" s="313" t="s">
        <v>566</v>
      </c>
      <c r="E358" s="260" t="s">
        <v>242</v>
      </c>
      <c r="F358" s="259" t="s">
        <v>243</v>
      </c>
      <c r="G358" s="259" t="s">
        <v>345</v>
      </c>
    </row>
    <row r="359" spans="1:9" x14ac:dyDescent="0.2">
      <c r="A359" s="259" t="s">
        <v>762</v>
      </c>
      <c r="B359" s="260" t="s">
        <v>158</v>
      </c>
      <c r="C359" s="289">
        <v>30</v>
      </c>
      <c r="D359" s="313" t="s">
        <v>566</v>
      </c>
      <c r="E359" s="260" t="s">
        <v>242</v>
      </c>
      <c r="F359" s="259" t="s">
        <v>243</v>
      </c>
      <c r="G359" s="259" t="s">
        <v>353</v>
      </c>
    </row>
    <row r="360" spans="1:9" x14ac:dyDescent="0.2">
      <c r="A360" s="259" t="s">
        <v>760</v>
      </c>
      <c r="B360" s="260" t="s">
        <v>158</v>
      </c>
      <c r="C360" s="289">
        <v>18</v>
      </c>
      <c r="D360" s="313" t="s">
        <v>566</v>
      </c>
      <c r="E360" s="260" t="s">
        <v>242</v>
      </c>
      <c r="F360" s="259" t="s">
        <v>243</v>
      </c>
      <c r="G360" s="259" t="s">
        <v>353</v>
      </c>
    </row>
    <row r="361" spans="1:9" x14ac:dyDescent="0.2">
      <c r="A361" s="259" t="s">
        <v>753</v>
      </c>
      <c r="B361" s="260" t="s">
        <v>140</v>
      </c>
      <c r="C361" s="289">
        <f>82.42674/1.1/2.13</f>
        <v>35.18</v>
      </c>
      <c r="D361" s="313" t="s">
        <v>566</v>
      </c>
      <c r="E361" s="260" t="s">
        <v>242</v>
      </c>
      <c r="F361" s="259" t="s">
        <v>243</v>
      </c>
      <c r="G361" s="259" t="s">
        <v>353</v>
      </c>
    </row>
    <row r="362" spans="1:9" x14ac:dyDescent="0.2">
      <c r="A362" s="259" t="s">
        <v>352</v>
      </c>
      <c r="B362" s="260" t="s">
        <v>140</v>
      </c>
      <c r="C362" s="289">
        <v>97</v>
      </c>
      <c r="D362" s="313" t="s">
        <v>566</v>
      </c>
      <c r="E362" s="260" t="s">
        <v>242</v>
      </c>
      <c r="F362" s="259" t="s">
        <v>243</v>
      </c>
      <c r="G362" s="259" t="s">
        <v>353</v>
      </c>
    </row>
    <row r="363" spans="1:9" x14ac:dyDescent="0.2">
      <c r="A363" s="259" t="s">
        <v>1088</v>
      </c>
      <c r="B363" s="260" t="s">
        <v>140</v>
      </c>
      <c r="C363" s="289">
        <f>SUM('Custos Serviços'!$D$90:$D$94)/SUM('Custos Serviços'!$B$90:$B$94)</f>
        <v>44.956704738697304</v>
      </c>
      <c r="D363" s="313" t="s">
        <v>634</v>
      </c>
      <c r="E363" s="260" t="s">
        <v>242</v>
      </c>
      <c r="F363" s="259" t="s">
        <v>243</v>
      </c>
      <c r="G363" s="259" t="s">
        <v>265</v>
      </c>
      <c r="I363" s="427"/>
    </row>
    <row r="364" spans="1:9" x14ac:dyDescent="0.2">
      <c r="A364" s="259" t="s">
        <v>383</v>
      </c>
      <c r="B364" s="260" t="s">
        <v>176</v>
      </c>
      <c r="C364" s="289">
        <v>10.91</v>
      </c>
      <c r="D364" s="313" t="s">
        <v>566</v>
      </c>
      <c r="E364" s="260" t="s">
        <v>242</v>
      </c>
      <c r="F364" s="259" t="s">
        <v>243</v>
      </c>
      <c r="G364" s="259" t="s">
        <v>265</v>
      </c>
    </row>
    <row r="365" spans="1:9" x14ac:dyDescent="0.2">
      <c r="A365" s="259" t="s">
        <v>264</v>
      </c>
      <c r="B365" s="260" t="s">
        <v>176</v>
      </c>
      <c r="C365" s="289">
        <v>29.17</v>
      </c>
      <c r="D365" s="313" t="s">
        <v>566</v>
      </c>
      <c r="E365" s="260" t="s">
        <v>242</v>
      </c>
      <c r="F365" s="259" t="s">
        <v>243</v>
      </c>
      <c r="G365" s="259" t="s">
        <v>265</v>
      </c>
    </row>
    <row r="366" spans="1:9" x14ac:dyDescent="0.2">
      <c r="A366" s="259" t="s">
        <v>289</v>
      </c>
      <c r="B366" s="260" t="s">
        <v>176</v>
      </c>
      <c r="C366" s="289">
        <v>101.92</v>
      </c>
      <c r="D366" s="313" t="s">
        <v>566</v>
      </c>
      <c r="E366" s="260" t="s">
        <v>242</v>
      </c>
      <c r="F366" s="259" t="s">
        <v>243</v>
      </c>
      <c r="G366" s="259" t="s">
        <v>265</v>
      </c>
    </row>
    <row r="367" spans="1:9" x14ac:dyDescent="0.2">
      <c r="A367" s="259" t="s">
        <v>756</v>
      </c>
      <c r="B367" s="260" t="s">
        <v>142</v>
      </c>
      <c r="C367" s="289">
        <v>15.9</v>
      </c>
      <c r="D367" s="313" t="s">
        <v>566</v>
      </c>
      <c r="E367" s="260" t="s">
        <v>242</v>
      </c>
      <c r="F367" s="259" t="s">
        <v>243</v>
      </c>
      <c r="G367" s="259" t="s">
        <v>375</v>
      </c>
    </row>
    <row r="368" spans="1:9" x14ac:dyDescent="0.2">
      <c r="A368" s="259" t="s">
        <v>376</v>
      </c>
      <c r="B368" s="260" t="s">
        <v>142</v>
      </c>
      <c r="C368" s="289">
        <v>24.69</v>
      </c>
      <c r="D368" s="313" t="s">
        <v>566</v>
      </c>
      <c r="E368" s="260" t="s">
        <v>242</v>
      </c>
      <c r="F368" s="259" t="s">
        <v>243</v>
      </c>
      <c r="G368" s="259" t="s">
        <v>375</v>
      </c>
    </row>
    <row r="369" spans="1:7" x14ac:dyDescent="0.2">
      <c r="A369" s="259" t="s">
        <v>842</v>
      </c>
      <c r="B369" s="260" t="s">
        <v>142</v>
      </c>
      <c r="C369" s="289">
        <v>15.9</v>
      </c>
      <c r="D369" s="313" t="s">
        <v>566</v>
      </c>
      <c r="E369" s="260" t="s">
        <v>242</v>
      </c>
      <c r="F369" s="259" t="s">
        <v>243</v>
      </c>
      <c r="G369" s="259" t="s">
        <v>375</v>
      </c>
    </row>
    <row r="370" spans="1:7" x14ac:dyDescent="0.2">
      <c r="A370" s="259" t="s">
        <v>393</v>
      </c>
      <c r="B370" s="260" t="s">
        <v>158</v>
      </c>
      <c r="C370" s="289">
        <v>6.8900000000000006</v>
      </c>
      <c r="D370" s="313" t="s">
        <v>566</v>
      </c>
      <c r="E370" s="260" t="s">
        <v>242</v>
      </c>
      <c r="F370" s="259" t="s">
        <v>243</v>
      </c>
      <c r="G370" s="259" t="s">
        <v>394</v>
      </c>
    </row>
    <row r="371" spans="1:7" x14ac:dyDescent="0.2">
      <c r="A371" s="247"/>
      <c r="B371" s="247"/>
      <c r="C371" s="290"/>
      <c r="D371" s="247"/>
      <c r="E371" s="247"/>
      <c r="F371" s="247"/>
      <c r="G371" s="247"/>
    </row>
  </sheetData>
  <autoFilter ref="A3:G371" xr:uid="{558069C8-5174-4BF2-B2DF-6D1CE244C4BF}"/>
  <sortState xmlns:xlrd2="http://schemas.microsoft.com/office/spreadsheetml/2017/richdata2" ref="A4:G370">
    <sortCondition ref="G4:G370"/>
  </sortState>
  <conditionalFormatting sqref="A78">
    <cfRule type="duplicateValues" dxfId="143" priority="130"/>
  </conditionalFormatting>
  <conditionalFormatting sqref="A270">
    <cfRule type="duplicateValues" dxfId="142" priority="129"/>
  </conditionalFormatting>
  <conditionalFormatting sqref="A326">
    <cfRule type="duplicateValues" dxfId="141" priority="128"/>
  </conditionalFormatting>
  <conditionalFormatting sqref="A327">
    <cfRule type="duplicateValues" dxfId="140" priority="127"/>
  </conditionalFormatting>
  <conditionalFormatting sqref="A328">
    <cfRule type="duplicateValues" dxfId="139" priority="126"/>
  </conditionalFormatting>
  <conditionalFormatting sqref="A350:A351">
    <cfRule type="duplicateValues" dxfId="138" priority="124"/>
  </conditionalFormatting>
  <conditionalFormatting sqref="A354">
    <cfRule type="duplicateValues" dxfId="137" priority="123"/>
  </conditionalFormatting>
  <conditionalFormatting sqref="A357:A358">
    <cfRule type="duplicateValues" dxfId="136" priority="122"/>
  </conditionalFormatting>
  <conditionalFormatting sqref="A341">
    <cfRule type="duplicateValues" dxfId="135" priority="120"/>
  </conditionalFormatting>
  <conditionalFormatting sqref="A340">
    <cfRule type="duplicateValues" dxfId="134" priority="119"/>
  </conditionalFormatting>
  <conditionalFormatting sqref="A339">
    <cfRule type="duplicateValues" dxfId="133" priority="118"/>
  </conditionalFormatting>
  <conditionalFormatting sqref="A12:A14">
    <cfRule type="duplicateValues" dxfId="132" priority="117"/>
  </conditionalFormatting>
  <conditionalFormatting sqref="A130">
    <cfRule type="duplicateValues" dxfId="131" priority="116"/>
  </conditionalFormatting>
  <conditionalFormatting sqref="A56">
    <cfRule type="duplicateValues" dxfId="130" priority="114"/>
  </conditionalFormatting>
  <conditionalFormatting sqref="A15">
    <cfRule type="duplicateValues" dxfId="129" priority="112"/>
  </conditionalFormatting>
  <conditionalFormatting sqref="A176">
    <cfRule type="duplicateValues" dxfId="128" priority="107"/>
  </conditionalFormatting>
  <conditionalFormatting sqref="A248">
    <cfRule type="duplicateValues" dxfId="127" priority="106"/>
  </conditionalFormatting>
  <conditionalFormatting sqref="A43">
    <cfRule type="duplicateValues" dxfId="126" priority="105"/>
  </conditionalFormatting>
  <conditionalFormatting sqref="A132">
    <cfRule type="duplicateValues" dxfId="125" priority="103"/>
  </conditionalFormatting>
  <conditionalFormatting sqref="A134">
    <cfRule type="duplicateValues" dxfId="124" priority="102"/>
  </conditionalFormatting>
  <conditionalFormatting sqref="A39">
    <cfRule type="duplicateValues" dxfId="123" priority="101"/>
  </conditionalFormatting>
  <conditionalFormatting sqref="A331">
    <cfRule type="duplicateValues" dxfId="122" priority="98"/>
  </conditionalFormatting>
  <conditionalFormatting sqref="A315">
    <cfRule type="duplicateValues" dxfId="121" priority="97"/>
  </conditionalFormatting>
  <conditionalFormatting sqref="A48">
    <cfRule type="duplicateValues" dxfId="120" priority="96"/>
  </conditionalFormatting>
  <conditionalFormatting sqref="A364">
    <cfRule type="duplicateValues" dxfId="119" priority="95"/>
  </conditionalFormatting>
  <conditionalFormatting sqref="A215">
    <cfRule type="duplicateValues" dxfId="118" priority="94"/>
  </conditionalFormatting>
  <conditionalFormatting sqref="A214">
    <cfRule type="duplicateValues" dxfId="117" priority="93"/>
  </conditionalFormatting>
  <conditionalFormatting sqref="A136">
    <cfRule type="duplicateValues" dxfId="116" priority="92"/>
  </conditionalFormatting>
  <conditionalFormatting sqref="A266">
    <cfRule type="duplicateValues" dxfId="115" priority="91"/>
  </conditionalFormatting>
  <conditionalFormatting sqref="A363">
    <cfRule type="duplicateValues" dxfId="114" priority="90"/>
  </conditionalFormatting>
  <conditionalFormatting sqref="A46">
    <cfRule type="duplicateValues" dxfId="113" priority="89"/>
  </conditionalFormatting>
  <conditionalFormatting sqref="A362">
    <cfRule type="duplicateValues" dxfId="112" priority="88"/>
  </conditionalFormatting>
  <conditionalFormatting sqref="A27">
    <cfRule type="duplicateValues" dxfId="111" priority="87"/>
  </conditionalFormatting>
  <conditionalFormatting sqref="A366">
    <cfRule type="duplicateValues" dxfId="110" priority="86"/>
  </conditionalFormatting>
  <conditionalFormatting sqref="A319">
    <cfRule type="duplicateValues" dxfId="109" priority="85"/>
  </conditionalFormatting>
  <conditionalFormatting sqref="A109">
    <cfRule type="duplicateValues" dxfId="108" priority="84"/>
  </conditionalFormatting>
  <conditionalFormatting sqref="A112">
    <cfRule type="duplicateValues" dxfId="107" priority="80"/>
  </conditionalFormatting>
  <conditionalFormatting sqref="A57:A65">
    <cfRule type="duplicateValues" dxfId="106" priority="78"/>
  </conditionalFormatting>
  <conditionalFormatting sqref="A57:A65">
    <cfRule type="duplicateValues" dxfId="105" priority="77"/>
  </conditionalFormatting>
  <conditionalFormatting sqref="A334">
    <cfRule type="duplicateValues" dxfId="104" priority="76"/>
  </conditionalFormatting>
  <conditionalFormatting sqref="A156">
    <cfRule type="duplicateValues" dxfId="103" priority="75"/>
  </conditionalFormatting>
  <conditionalFormatting sqref="A66">
    <cfRule type="duplicateValues" dxfId="102" priority="74"/>
  </conditionalFormatting>
  <conditionalFormatting sqref="A66">
    <cfRule type="duplicateValues" dxfId="101" priority="73"/>
  </conditionalFormatting>
  <conditionalFormatting sqref="A238">
    <cfRule type="duplicateValues" dxfId="100" priority="72"/>
  </conditionalFormatting>
  <conditionalFormatting sqref="A107">
    <cfRule type="duplicateValues" dxfId="99" priority="68"/>
  </conditionalFormatting>
  <conditionalFormatting sqref="A92">
    <cfRule type="duplicateValues" dxfId="98" priority="67"/>
  </conditionalFormatting>
  <conditionalFormatting sqref="A99">
    <cfRule type="duplicateValues" dxfId="97" priority="66"/>
  </conditionalFormatting>
  <conditionalFormatting sqref="A100 A102:A104 A106">
    <cfRule type="duplicateValues" dxfId="96" priority="65"/>
  </conditionalFormatting>
  <conditionalFormatting sqref="A140">
    <cfRule type="duplicateValues" dxfId="95" priority="61"/>
  </conditionalFormatting>
  <conditionalFormatting sqref="A267">
    <cfRule type="duplicateValues" dxfId="94" priority="60"/>
  </conditionalFormatting>
  <conditionalFormatting sqref="A345">
    <cfRule type="duplicateValues" dxfId="93" priority="58"/>
  </conditionalFormatting>
  <conditionalFormatting sqref="A125">
    <cfRule type="duplicateValues" dxfId="92" priority="57"/>
  </conditionalFormatting>
  <conditionalFormatting sqref="A52:A54">
    <cfRule type="duplicateValues" dxfId="91" priority="56"/>
  </conditionalFormatting>
  <conditionalFormatting sqref="A141">
    <cfRule type="duplicateValues" dxfId="90" priority="54"/>
  </conditionalFormatting>
  <conditionalFormatting sqref="A126:A128">
    <cfRule type="duplicateValues" dxfId="89" priority="53"/>
  </conditionalFormatting>
  <conditionalFormatting sqref="A246">
    <cfRule type="duplicateValues" dxfId="88" priority="52"/>
  </conditionalFormatting>
  <conditionalFormatting sqref="A191">
    <cfRule type="duplicateValues" dxfId="87" priority="51"/>
  </conditionalFormatting>
  <conditionalFormatting sqref="A117:A123">
    <cfRule type="duplicateValues" dxfId="86" priority="49"/>
  </conditionalFormatting>
  <conditionalFormatting sqref="A277:A279">
    <cfRule type="duplicateValues" dxfId="85" priority="29242"/>
  </conditionalFormatting>
  <conditionalFormatting sqref="A21:A26">
    <cfRule type="duplicateValues" dxfId="84" priority="48"/>
  </conditionalFormatting>
  <conditionalFormatting sqref="A75">
    <cfRule type="duplicateValues" dxfId="83" priority="47"/>
  </conditionalFormatting>
  <conditionalFormatting sqref="A195">
    <cfRule type="duplicateValues" dxfId="82" priority="46"/>
  </conditionalFormatting>
  <conditionalFormatting sqref="A225">
    <cfRule type="duplicateValues" dxfId="81" priority="45"/>
  </conditionalFormatting>
  <conditionalFormatting sqref="A228">
    <cfRule type="duplicateValues" dxfId="80" priority="44"/>
  </conditionalFormatting>
  <conditionalFormatting sqref="A226:A227">
    <cfRule type="duplicateValues" dxfId="79" priority="43"/>
  </conditionalFormatting>
  <conditionalFormatting sqref="A124">
    <cfRule type="duplicateValues" dxfId="78" priority="42"/>
  </conditionalFormatting>
  <conditionalFormatting sqref="A152:A154 A150">
    <cfRule type="duplicateValues" dxfId="77" priority="41"/>
  </conditionalFormatting>
  <conditionalFormatting sqref="A151">
    <cfRule type="duplicateValues" dxfId="76" priority="40"/>
  </conditionalFormatting>
  <conditionalFormatting sqref="A167:A169 A165">
    <cfRule type="duplicateValues" dxfId="75" priority="39"/>
  </conditionalFormatting>
  <conditionalFormatting sqref="A166">
    <cfRule type="duplicateValues" dxfId="74" priority="38"/>
  </conditionalFormatting>
  <conditionalFormatting sqref="A162:A164 A160">
    <cfRule type="duplicateValues" dxfId="73" priority="37"/>
  </conditionalFormatting>
  <conditionalFormatting sqref="A161">
    <cfRule type="duplicateValues" dxfId="72" priority="36"/>
  </conditionalFormatting>
  <conditionalFormatting sqref="A172:A174 A170">
    <cfRule type="duplicateValues" dxfId="71" priority="35"/>
  </conditionalFormatting>
  <conditionalFormatting sqref="A171">
    <cfRule type="duplicateValues" dxfId="70" priority="34"/>
  </conditionalFormatting>
  <conditionalFormatting sqref="A289:A292">
    <cfRule type="duplicateValues" dxfId="69" priority="33"/>
  </conditionalFormatting>
  <conditionalFormatting sqref="A294:A297">
    <cfRule type="duplicateValues" dxfId="68" priority="32"/>
  </conditionalFormatting>
  <conditionalFormatting sqref="A299:A302">
    <cfRule type="duplicateValues" dxfId="67" priority="31"/>
  </conditionalFormatting>
  <conditionalFormatting sqref="A146:A149">
    <cfRule type="duplicateValues" dxfId="66" priority="30"/>
  </conditionalFormatting>
  <conditionalFormatting sqref="A96">
    <cfRule type="duplicateValues" dxfId="65" priority="29"/>
  </conditionalFormatting>
  <conditionalFormatting sqref="A44">
    <cfRule type="duplicateValues" dxfId="64" priority="28"/>
  </conditionalFormatting>
  <conditionalFormatting sqref="A333">
    <cfRule type="duplicateValues" dxfId="63" priority="27"/>
  </conditionalFormatting>
  <conditionalFormatting sqref="A258">
    <cfRule type="duplicateValues" dxfId="62" priority="26"/>
  </conditionalFormatting>
  <conditionalFormatting sqref="A274">
    <cfRule type="duplicateValues" dxfId="61" priority="25"/>
  </conditionalFormatting>
  <conditionalFormatting sqref="A144">
    <cfRule type="duplicateValues" dxfId="60" priority="24"/>
  </conditionalFormatting>
  <conditionalFormatting sqref="A143">
    <cfRule type="duplicateValues" dxfId="59" priority="32801"/>
  </conditionalFormatting>
  <conditionalFormatting sqref="A142">
    <cfRule type="duplicateValues" dxfId="58" priority="21"/>
  </conditionalFormatting>
  <conditionalFormatting sqref="A114 A116">
    <cfRule type="duplicateValues" dxfId="57" priority="20"/>
  </conditionalFormatting>
  <conditionalFormatting sqref="A115">
    <cfRule type="duplicateValues" dxfId="56" priority="19"/>
  </conditionalFormatting>
  <conditionalFormatting sqref="A264">
    <cfRule type="duplicateValues" dxfId="55" priority="18"/>
  </conditionalFormatting>
  <conditionalFormatting sqref="A82">
    <cfRule type="duplicateValues" dxfId="54" priority="17"/>
  </conditionalFormatting>
  <conditionalFormatting sqref="A259:A260">
    <cfRule type="duplicateValues" dxfId="53" priority="16"/>
  </conditionalFormatting>
  <conditionalFormatting sqref="A262">
    <cfRule type="duplicateValues" dxfId="52" priority="15"/>
  </conditionalFormatting>
  <conditionalFormatting sqref="A261">
    <cfRule type="duplicateValues" dxfId="51" priority="14"/>
  </conditionalFormatting>
  <conditionalFormatting sqref="A346">
    <cfRule type="duplicateValues" dxfId="50" priority="13"/>
  </conditionalFormatting>
  <conditionalFormatting sqref="A311:A312">
    <cfRule type="duplicateValues" dxfId="49" priority="12"/>
  </conditionalFormatting>
  <conditionalFormatting sqref="A342">
    <cfRule type="duplicateValues" dxfId="48" priority="11"/>
  </conditionalFormatting>
  <conditionalFormatting sqref="A308">
    <cfRule type="duplicateValues" dxfId="47" priority="10"/>
  </conditionalFormatting>
  <conditionalFormatting sqref="A193">
    <cfRule type="duplicateValues" dxfId="46" priority="9"/>
  </conditionalFormatting>
  <conditionalFormatting sqref="A283">
    <cfRule type="duplicateValues" dxfId="45" priority="8"/>
  </conditionalFormatting>
  <conditionalFormatting sqref="A352">
    <cfRule type="duplicateValues" dxfId="44" priority="7"/>
  </conditionalFormatting>
  <conditionalFormatting sqref="A129">
    <cfRule type="duplicateValues" dxfId="43" priority="6"/>
  </conditionalFormatting>
  <conditionalFormatting sqref="A200">
    <cfRule type="duplicateValues" dxfId="42" priority="5"/>
  </conditionalFormatting>
  <conditionalFormatting sqref="A133">
    <cfRule type="duplicateValues" dxfId="41" priority="4"/>
  </conditionalFormatting>
  <conditionalFormatting sqref="A101">
    <cfRule type="duplicateValues" dxfId="40" priority="3"/>
  </conditionalFormatting>
  <conditionalFormatting sqref="A105">
    <cfRule type="duplicateValues" dxfId="39" priority="2"/>
  </conditionalFormatting>
  <conditionalFormatting sqref="A85:A90">
    <cfRule type="duplicateValues" dxfId="38" priority="1"/>
  </conditionalFormatting>
  <conditionalFormatting sqref="A353 A1 A3:A11 A79:A81 A329:A330 A355:A356 A343:A344 A359:A361 A131 A271:A273 A249:A257 A45 A280:A282 A135 A40:A42 A239:A245 A332 A316:A318 A49:A51 A365 A216:A224 A137:A139 A268:A269 A47 A28:A38 A367:A1048576 A320:A325 A110:A111 A67:A74 A113 A157:A159 A108 A93:A95 A145 A335:A338 A347:A349 A55:A56 A16:A20 A247 A192 A177:A190 A76:A77 A196:A199 A229:A237 A155 A175 A293 A298 A303:A307 A97:A98 A263 A275:A276 A265 A83:A84 A313:A314 A309:A310 A194 A284:A288 A201:A213 A91">
    <cfRule type="duplicateValues" dxfId="37" priority="39013"/>
  </conditionalFormatting>
  <pageMargins left="0.78740157499999996" right="0.78740157499999996" top="0.984251969" bottom="0.984251969" header="0.4921259845" footer="0.492125984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8BE0-CFE9-4B09-8199-343EA07FDC60}">
  <sheetPr codeName="Planilha7"/>
  <dimension ref="A1:E390"/>
  <sheetViews>
    <sheetView showGridLines="0" workbookViewId="0">
      <pane ySplit="1" topLeftCell="A275" activePane="bottomLeft" state="frozen"/>
      <selection activeCell="C3" sqref="C3:C294"/>
      <selection pane="bottomLeft" activeCell="C3" sqref="C3:C294"/>
    </sheetView>
  </sheetViews>
  <sheetFormatPr defaultRowHeight="12.75" x14ac:dyDescent="0.2"/>
  <cols>
    <col min="1" max="1" width="37.28515625" customWidth="1"/>
    <col min="2" max="2" width="17.7109375" customWidth="1"/>
    <col min="3" max="3" width="62.42578125" customWidth="1"/>
    <col min="5" max="5" width="12.28515625" bestFit="1" customWidth="1"/>
    <col min="241" max="241" width="9.28515625" customWidth="1"/>
    <col min="242" max="242" width="13.7109375" customWidth="1"/>
    <col min="243" max="243" width="27.5703125" customWidth="1"/>
    <col min="244" max="244" width="6.7109375" customWidth="1"/>
    <col min="245" max="245" width="14.140625" customWidth="1"/>
    <col min="246" max="246" width="14.7109375" customWidth="1"/>
    <col min="247" max="248" width="16.85546875" customWidth="1"/>
    <col min="249" max="249" width="9.140625" customWidth="1"/>
    <col min="250" max="250" width="15.28515625" customWidth="1"/>
    <col min="251" max="251" width="7.7109375" customWidth="1"/>
    <col min="252" max="252" width="14.140625" customWidth="1"/>
    <col min="253" max="253" width="28.140625" customWidth="1"/>
    <col min="254" max="254" width="12.140625" customWidth="1"/>
    <col min="255" max="255" width="14.28515625" customWidth="1"/>
    <col min="256" max="256" width="28.140625" customWidth="1"/>
    <col min="257" max="257" width="35.140625" customWidth="1"/>
    <col min="497" max="497" width="9.28515625" customWidth="1"/>
    <col min="498" max="498" width="13.7109375" customWidth="1"/>
    <col min="499" max="499" width="27.5703125" customWidth="1"/>
    <col min="500" max="500" width="6.7109375" customWidth="1"/>
    <col min="501" max="501" width="14.140625" customWidth="1"/>
    <col min="502" max="502" width="14.7109375" customWidth="1"/>
    <col min="503" max="504" width="16.85546875" customWidth="1"/>
    <col min="505" max="505" width="9.140625" customWidth="1"/>
    <col min="506" max="506" width="15.28515625" customWidth="1"/>
    <col min="507" max="507" width="7.7109375" customWidth="1"/>
    <col min="508" max="508" width="14.140625" customWidth="1"/>
    <col min="509" max="509" width="28.140625" customWidth="1"/>
    <col min="510" max="510" width="12.140625" customWidth="1"/>
    <col min="511" max="511" width="14.28515625" customWidth="1"/>
    <col min="512" max="512" width="28.140625" customWidth="1"/>
    <col min="513" max="513" width="35.140625" customWidth="1"/>
    <col min="753" max="753" width="9.28515625" customWidth="1"/>
    <col min="754" max="754" width="13.7109375" customWidth="1"/>
    <col min="755" max="755" width="27.5703125" customWidth="1"/>
    <col min="756" max="756" width="6.7109375" customWidth="1"/>
    <col min="757" max="757" width="14.140625" customWidth="1"/>
    <col min="758" max="758" width="14.7109375" customWidth="1"/>
    <col min="759" max="760" width="16.85546875" customWidth="1"/>
    <col min="761" max="761" width="9.140625" customWidth="1"/>
    <col min="762" max="762" width="15.28515625" customWidth="1"/>
    <col min="763" max="763" width="7.7109375" customWidth="1"/>
    <col min="764" max="764" width="14.140625" customWidth="1"/>
    <col min="765" max="765" width="28.140625" customWidth="1"/>
    <col min="766" max="766" width="12.140625" customWidth="1"/>
    <col min="767" max="767" width="14.28515625" customWidth="1"/>
    <col min="768" max="768" width="28.140625" customWidth="1"/>
    <col min="769" max="769" width="35.140625" customWidth="1"/>
    <col min="1009" max="1009" width="9.28515625" customWidth="1"/>
    <col min="1010" max="1010" width="13.7109375" customWidth="1"/>
    <col min="1011" max="1011" width="27.5703125" customWidth="1"/>
    <col min="1012" max="1012" width="6.7109375" customWidth="1"/>
    <col min="1013" max="1013" width="14.140625" customWidth="1"/>
    <col min="1014" max="1014" width="14.7109375" customWidth="1"/>
    <col min="1015" max="1016" width="16.85546875" customWidth="1"/>
    <col min="1017" max="1017" width="9.140625" customWidth="1"/>
    <col min="1018" max="1018" width="15.28515625" customWidth="1"/>
    <col min="1019" max="1019" width="7.7109375" customWidth="1"/>
    <col min="1020" max="1020" width="14.140625" customWidth="1"/>
    <col min="1021" max="1021" width="28.140625" customWidth="1"/>
    <col min="1022" max="1022" width="12.140625" customWidth="1"/>
    <col min="1023" max="1023" width="14.28515625" customWidth="1"/>
    <col min="1024" max="1024" width="28.140625" customWidth="1"/>
    <col min="1025" max="1025" width="35.140625" customWidth="1"/>
    <col min="1265" max="1265" width="9.28515625" customWidth="1"/>
    <col min="1266" max="1266" width="13.7109375" customWidth="1"/>
    <col min="1267" max="1267" width="27.5703125" customWidth="1"/>
    <col min="1268" max="1268" width="6.7109375" customWidth="1"/>
    <col min="1269" max="1269" width="14.140625" customWidth="1"/>
    <col min="1270" max="1270" width="14.7109375" customWidth="1"/>
    <col min="1271" max="1272" width="16.85546875" customWidth="1"/>
    <col min="1273" max="1273" width="9.140625" customWidth="1"/>
    <col min="1274" max="1274" width="15.28515625" customWidth="1"/>
    <col min="1275" max="1275" width="7.7109375" customWidth="1"/>
    <col min="1276" max="1276" width="14.140625" customWidth="1"/>
    <col min="1277" max="1277" width="28.140625" customWidth="1"/>
    <col min="1278" max="1278" width="12.140625" customWidth="1"/>
    <col min="1279" max="1279" width="14.28515625" customWidth="1"/>
    <col min="1280" max="1280" width="28.140625" customWidth="1"/>
    <col min="1281" max="1281" width="35.140625" customWidth="1"/>
    <col min="1521" max="1521" width="9.28515625" customWidth="1"/>
    <col min="1522" max="1522" width="13.7109375" customWidth="1"/>
    <col min="1523" max="1523" width="27.5703125" customWidth="1"/>
    <col min="1524" max="1524" width="6.7109375" customWidth="1"/>
    <col min="1525" max="1525" width="14.140625" customWidth="1"/>
    <col min="1526" max="1526" width="14.7109375" customWidth="1"/>
    <col min="1527" max="1528" width="16.85546875" customWidth="1"/>
    <col min="1529" max="1529" width="9.140625" customWidth="1"/>
    <col min="1530" max="1530" width="15.28515625" customWidth="1"/>
    <col min="1531" max="1531" width="7.7109375" customWidth="1"/>
    <col min="1532" max="1532" width="14.140625" customWidth="1"/>
    <col min="1533" max="1533" width="28.140625" customWidth="1"/>
    <col min="1534" max="1534" width="12.140625" customWidth="1"/>
    <col min="1535" max="1535" width="14.28515625" customWidth="1"/>
    <col min="1536" max="1536" width="28.140625" customWidth="1"/>
    <col min="1537" max="1537" width="35.140625" customWidth="1"/>
    <col min="1777" max="1777" width="9.28515625" customWidth="1"/>
    <col min="1778" max="1778" width="13.7109375" customWidth="1"/>
    <col min="1779" max="1779" width="27.5703125" customWidth="1"/>
    <col min="1780" max="1780" width="6.7109375" customWidth="1"/>
    <col min="1781" max="1781" width="14.140625" customWidth="1"/>
    <col min="1782" max="1782" width="14.7109375" customWidth="1"/>
    <col min="1783" max="1784" width="16.85546875" customWidth="1"/>
    <col min="1785" max="1785" width="9.140625" customWidth="1"/>
    <col min="1786" max="1786" width="15.28515625" customWidth="1"/>
    <col min="1787" max="1787" width="7.7109375" customWidth="1"/>
    <col min="1788" max="1788" width="14.140625" customWidth="1"/>
    <col min="1789" max="1789" width="28.140625" customWidth="1"/>
    <col min="1790" max="1790" width="12.140625" customWidth="1"/>
    <col min="1791" max="1791" width="14.28515625" customWidth="1"/>
    <col min="1792" max="1792" width="28.140625" customWidth="1"/>
    <col min="1793" max="1793" width="35.140625" customWidth="1"/>
    <col min="2033" max="2033" width="9.28515625" customWidth="1"/>
    <col min="2034" max="2034" width="13.7109375" customWidth="1"/>
    <col min="2035" max="2035" width="27.5703125" customWidth="1"/>
    <col min="2036" max="2036" width="6.7109375" customWidth="1"/>
    <col min="2037" max="2037" width="14.140625" customWidth="1"/>
    <col min="2038" max="2038" width="14.7109375" customWidth="1"/>
    <col min="2039" max="2040" width="16.85546875" customWidth="1"/>
    <col min="2041" max="2041" width="9.140625" customWidth="1"/>
    <col min="2042" max="2042" width="15.28515625" customWidth="1"/>
    <col min="2043" max="2043" width="7.7109375" customWidth="1"/>
    <col min="2044" max="2044" width="14.140625" customWidth="1"/>
    <col min="2045" max="2045" width="28.140625" customWidth="1"/>
    <col min="2046" max="2046" width="12.140625" customWidth="1"/>
    <col min="2047" max="2047" width="14.28515625" customWidth="1"/>
    <col min="2048" max="2048" width="28.140625" customWidth="1"/>
    <col min="2049" max="2049" width="35.140625" customWidth="1"/>
    <col min="2289" max="2289" width="9.28515625" customWidth="1"/>
    <col min="2290" max="2290" width="13.7109375" customWidth="1"/>
    <col min="2291" max="2291" width="27.5703125" customWidth="1"/>
    <col min="2292" max="2292" width="6.7109375" customWidth="1"/>
    <col min="2293" max="2293" width="14.140625" customWidth="1"/>
    <col min="2294" max="2294" width="14.7109375" customWidth="1"/>
    <col min="2295" max="2296" width="16.85546875" customWidth="1"/>
    <col min="2297" max="2297" width="9.140625" customWidth="1"/>
    <col min="2298" max="2298" width="15.28515625" customWidth="1"/>
    <col min="2299" max="2299" width="7.7109375" customWidth="1"/>
    <col min="2300" max="2300" width="14.140625" customWidth="1"/>
    <col min="2301" max="2301" width="28.140625" customWidth="1"/>
    <col min="2302" max="2302" width="12.140625" customWidth="1"/>
    <col min="2303" max="2303" width="14.28515625" customWidth="1"/>
    <col min="2304" max="2304" width="28.140625" customWidth="1"/>
    <col min="2305" max="2305" width="35.140625" customWidth="1"/>
    <col min="2545" max="2545" width="9.28515625" customWidth="1"/>
    <col min="2546" max="2546" width="13.7109375" customWidth="1"/>
    <col min="2547" max="2547" width="27.5703125" customWidth="1"/>
    <col min="2548" max="2548" width="6.7109375" customWidth="1"/>
    <col min="2549" max="2549" width="14.140625" customWidth="1"/>
    <col min="2550" max="2550" width="14.7109375" customWidth="1"/>
    <col min="2551" max="2552" width="16.85546875" customWidth="1"/>
    <col min="2553" max="2553" width="9.140625" customWidth="1"/>
    <col min="2554" max="2554" width="15.28515625" customWidth="1"/>
    <col min="2555" max="2555" width="7.7109375" customWidth="1"/>
    <col min="2556" max="2556" width="14.140625" customWidth="1"/>
    <col min="2557" max="2557" width="28.140625" customWidth="1"/>
    <col min="2558" max="2558" width="12.140625" customWidth="1"/>
    <col min="2559" max="2559" width="14.28515625" customWidth="1"/>
    <col min="2560" max="2560" width="28.140625" customWidth="1"/>
    <col min="2561" max="2561" width="35.140625" customWidth="1"/>
    <col min="2801" max="2801" width="9.28515625" customWidth="1"/>
    <col min="2802" max="2802" width="13.7109375" customWidth="1"/>
    <col min="2803" max="2803" width="27.5703125" customWidth="1"/>
    <col min="2804" max="2804" width="6.7109375" customWidth="1"/>
    <col min="2805" max="2805" width="14.140625" customWidth="1"/>
    <col min="2806" max="2806" width="14.7109375" customWidth="1"/>
    <col min="2807" max="2808" width="16.85546875" customWidth="1"/>
    <col min="2809" max="2809" width="9.140625" customWidth="1"/>
    <col min="2810" max="2810" width="15.28515625" customWidth="1"/>
    <col min="2811" max="2811" width="7.7109375" customWidth="1"/>
    <col min="2812" max="2812" width="14.140625" customWidth="1"/>
    <col min="2813" max="2813" width="28.140625" customWidth="1"/>
    <col min="2814" max="2814" width="12.140625" customWidth="1"/>
    <col min="2815" max="2815" width="14.28515625" customWidth="1"/>
    <col min="2816" max="2816" width="28.140625" customWidth="1"/>
    <col min="2817" max="2817" width="35.140625" customWidth="1"/>
    <col min="3057" max="3057" width="9.28515625" customWidth="1"/>
    <col min="3058" max="3058" width="13.7109375" customWidth="1"/>
    <col min="3059" max="3059" width="27.5703125" customWidth="1"/>
    <col min="3060" max="3060" width="6.7109375" customWidth="1"/>
    <col min="3061" max="3061" width="14.140625" customWidth="1"/>
    <col min="3062" max="3062" width="14.7109375" customWidth="1"/>
    <col min="3063" max="3064" width="16.85546875" customWidth="1"/>
    <col min="3065" max="3065" width="9.140625" customWidth="1"/>
    <col min="3066" max="3066" width="15.28515625" customWidth="1"/>
    <col min="3067" max="3067" width="7.7109375" customWidth="1"/>
    <col min="3068" max="3068" width="14.140625" customWidth="1"/>
    <col min="3069" max="3069" width="28.140625" customWidth="1"/>
    <col min="3070" max="3070" width="12.140625" customWidth="1"/>
    <col min="3071" max="3071" width="14.28515625" customWidth="1"/>
    <col min="3072" max="3072" width="28.140625" customWidth="1"/>
    <col min="3073" max="3073" width="35.140625" customWidth="1"/>
    <col min="3313" max="3313" width="9.28515625" customWidth="1"/>
    <col min="3314" max="3314" width="13.7109375" customWidth="1"/>
    <col min="3315" max="3315" width="27.5703125" customWidth="1"/>
    <col min="3316" max="3316" width="6.7109375" customWidth="1"/>
    <col min="3317" max="3317" width="14.140625" customWidth="1"/>
    <col min="3318" max="3318" width="14.7109375" customWidth="1"/>
    <col min="3319" max="3320" width="16.85546875" customWidth="1"/>
    <col min="3321" max="3321" width="9.140625" customWidth="1"/>
    <col min="3322" max="3322" width="15.28515625" customWidth="1"/>
    <col min="3323" max="3323" width="7.7109375" customWidth="1"/>
    <col min="3324" max="3324" width="14.140625" customWidth="1"/>
    <col min="3325" max="3325" width="28.140625" customWidth="1"/>
    <col min="3326" max="3326" width="12.140625" customWidth="1"/>
    <col min="3327" max="3327" width="14.28515625" customWidth="1"/>
    <col min="3328" max="3328" width="28.140625" customWidth="1"/>
    <col min="3329" max="3329" width="35.140625" customWidth="1"/>
    <col min="3569" max="3569" width="9.28515625" customWidth="1"/>
    <col min="3570" max="3570" width="13.7109375" customWidth="1"/>
    <col min="3571" max="3571" width="27.5703125" customWidth="1"/>
    <col min="3572" max="3572" width="6.7109375" customWidth="1"/>
    <col min="3573" max="3573" width="14.140625" customWidth="1"/>
    <col min="3574" max="3574" width="14.7109375" customWidth="1"/>
    <col min="3575" max="3576" width="16.85546875" customWidth="1"/>
    <col min="3577" max="3577" width="9.140625" customWidth="1"/>
    <col min="3578" max="3578" width="15.28515625" customWidth="1"/>
    <col min="3579" max="3579" width="7.7109375" customWidth="1"/>
    <col min="3580" max="3580" width="14.140625" customWidth="1"/>
    <col min="3581" max="3581" width="28.140625" customWidth="1"/>
    <col min="3582" max="3582" width="12.140625" customWidth="1"/>
    <col min="3583" max="3583" width="14.28515625" customWidth="1"/>
    <col min="3584" max="3584" width="28.140625" customWidth="1"/>
    <col min="3585" max="3585" width="35.140625" customWidth="1"/>
    <col min="3825" max="3825" width="9.28515625" customWidth="1"/>
    <col min="3826" max="3826" width="13.7109375" customWidth="1"/>
    <col min="3827" max="3827" width="27.5703125" customWidth="1"/>
    <col min="3828" max="3828" width="6.7109375" customWidth="1"/>
    <col min="3829" max="3829" width="14.140625" customWidth="1"/>
    <col min="3830" max="3830" width="14.7109375" customWidth="1"/>
    <col min="3831" max="3832" width="16.85546875" customWidth="1"/>
    <col min="3833" max="3833" width="9.140625" customWidth="1"/>
    <col min="3834" max="3834" width="15.28515625" customWidth="1"/>
    <col min="3835" max="3835" width="7.7109375" customWidth="1"/>
    <col min="3836" max="3836" width="14.140625" customWidth="1"/>
    <col min="3837" max="3837" width="28.140625" customWidth="1"/>
    <col min="3838" max="3838" width="12.140625" customWidth="1"/>
    <col min="3839" max="3839" width="14.28515625" customWidth="1"/>
    <col min="3840" max="3840" width="28.140625" customWidth="1"/>
    <col min="3841" max="3841" width="35.140625" customWidth="1"/>
    <col min="4081" max="4081" width="9.28515625" customWidth="1"/>
    <col min="4082" max="4082" width="13.7109375" customWidth="1"/>
    <col min="4083" max="4083" width="27.5703125" customWidth="1"/>
    <col min="4084" max="4084" width="6.7109375" customWidth="1"/>
    <col min="4085" max="4085" width="14.140625" customWidth="1"/>
    <col min="4086" max="4086" width="14.7109375" customWidth="1"/>
    <col min="4087" max="4088" width="16.85546875" customWidth="1"/>
    <col min="4089" max="4089" width="9.140625" customWidth="1"/>
    <col min="4090" max="4090" width="15.28515625" customWidth="1"/>
    <col min="4091" max="4091" width="7.7109375" customWidth="1"/>
    <col min="4092" max="4092" width="14.140625" customWidth="1"/>
    <col min="4093" max="4093" width="28.140625" customWidth="1"/>
    <col min="4094" max="4094" width="12.140625" customWidth="1"/>
    <col min="4095" max="4095" width="14.28515625" customWidth="1"/>
    <col min="4096" max="4096" width="28.140625" customWidth="1"/>
    <col min="4097" max="4097" width="35.140625" customWidth="1"/>
    <col min="4337" max="4337" width="9.28515625" customWidth="1"/>
    <col min="4338" max="4338" width="13.7109375" customWidth="1"/>
    <col min="4339" max="4339" width="27.5703125" customWidth="1"/>
    <col min="4340" max="4340" width="6.7109375" customWidth="1"/>
    <col min="4341" max="4341" width="14.140625" customWidth="1"/>
    <col min="4342" max="4342" width="14.7109375" customWidth="1"/>
    <col min="4343" max="4344" width="16.85546875" customWidth="1"/>
    <col min="4345" max="4345" width="9.140625" customWidth="1"/>
    <col min="4346" max="4346" width="15.28515625" customWidth="1"/>
    <col min="4347" max="4347" width="7.7109375" customWidth="1"/>
    <col min="4348" max="4348" width="14.140625" customWidth="1"/>
    <col min="4349" max="4349" width="28.140625" customWidth="1"/>
    <col min="4350" max="4350" width="12.140625" customWidth="1"/>
    <col min="4351" max="4351" width="14.28515625" customWidth="1"/>
    <col min="4352" max="4352" width="28.140625" customWidth="1"/>
    <col min="4353" max="4353" width="35.140625" customWidth="1"/>
    <col min="4593" max="4593" width="9.28515625" customWidth="1"/>
    <col min="4594" max="4594" width="13.7109375" customWidth="1"/>
    <col min="4595" max="4595" width="27.5703125" customWidth="1"/>
    <col min="4596" max="4596" width="6.7109375" customWidth="1"/>
    <col min="4597" max="4597" width="14.140625" customWidth="1"/>
    <col min="4598" max="4598" width="14.7109375" customWidth="1"/>
    <col min="4599" max="4600" width="16.85546875" customWidth="1"/>
    <col min="4601" max="4601" width="9.140625" customWidth="1"/>
    <col min="4602" max="4602" width="15.28515625" customWidth="1"/>
    <col min="4603" max="4603" width="7.7109375" customWidth="1"/>
    <col min="4604" max="4604" width="14.140625" customWidth="1"/>
    <col min="4605" max="4605" width="28.140625" customWidth="1"/>
    <col min="4606" max="4606" width="12.140625" customWidth="1"/>
    <col min="4607" max="4607" width="14.28515625" customWidth="1"/>
    <col min="4608" max="4608" width="28.140625" customWidth="1"/>
    <col min="4609" max="4609" width="35.140625" customWidth="1"/>
    <col min="4849" max="4849" width="9.28515625" customWidth="1"/>
    <col min="4850" max="4850" width="13.7109375" customWidth="1"/>
    <col min="4851" max="4851" width="27.5703125" customWidth="1"/>
    <col min="4852" max="4852" width="6.7109375" customWidth="1"/>
    <col min="4853" max="4853" width="14.140625" customWidth="1"/>
    <col min="4854" max="4854" width="14.7109375" customWidth="1"/>
    <col min="4855" max="4856" width="16.85546875" customWidth="1"/>
    <col min="4857" max="4857" width="9.140625" customWidth="1"/>
    <col min="4858" max="4858" width="15.28515625" customWidth="1"/>
    <col min="4859" max="4859" width="7.7109375" customWidth="1"/>
    <col min="4860" max="4860" width="14.140625" customWidth="1"/>
    <col min="4861" max="4861" width="28.140625" customWidth="1"/>
    <col min="4862" max="4862" width="12.140625" customWidth="1"/>
    <col min="4863" max="4863" width="14.28515625" customWidth="1"/>
    <col min="4864" max="4864" width="28.140625" customWidth="1"/>
    <col min="4865" max="4865" width="35.140625" customWidth="1"/>
    <col min="5105" max="5105" width="9.28515625" customWidth="1"/>
    <col min="5106" max="5106" width="13.7109375" customWidth="1"/>
    <col min="5107" max="5107" width="27.5703125" customWidth="1"/>
    <col min="5108" max="5108" width="6.7109375" customWidth="1"/>
    <col min="5109" max="5109" width="14.140625" customWidth="1"/>
    <col min="5110" max="5110" width="14.7109375" customWidth="1"/>
    <col min="5111" max="5112" width="16.85546875" customWidth="1"/>
    <col min="5113" max="5113" width="9.140625" customWidth="1"/>
    <col min="5114" max="5114" width="15.28515625" customWidth="1"/>
    <col min="5115" max="5115" width="7.7109375" customWidth="1"/>
    <col min="5116" max="5116" width="14.140625" customWidth="1"/>
    <col min="5117" max="5117" width="28.140625" customWidth="1"/>
    <col min="5118" max="5118" width="12.140625" customWidth="1"/>
    <col min="5119" max="5119" width="14.28515625" customWidth="1"/>
    <col min="5120" max="5120" width="28.140625" customWidth="1"/>
    <col min="5121" max="5121" width="35.140625" customWidth="1"/>
    <col min="5361" max="5361" width="9.28515625" customWidth="1"/>
    <col min="5362" max="5362" width="13.7109375" customWidth="1"/>
    <col min="5363" max="5363" width="27.5703125" customWidth="1"/>
    <col min="5364" max="5364" width="6.7109375" customWidth="1"/>
    <col min="5365" max="5365" width="14.140625" customWidth="1"/>
    <col min="5366" max="5366" width="14.7109375" customWidth="1"/>
    <col min="5367" max="5368" width="16.85546875" customWidth="1"/>
    <col min="5369" max="5369" width="9.140625" customWidth="1"/>
    <col min="5370" max="5370" width="15.28515625" customWidth="1"/>
    <col min="5371" max="5371" width="7.7109375" customWidth="1"/>
    <col min="5372" max="5372" width="14.140625" customWidth="1"/>
    <col min="5373" max="5373" width="28.140625" customWidth="1"/>
    <col min="5374" max="5374" width="12.140625" customWidth="1"/>
    <col min="5375" max="5375" width="14.28515625" customWidth="1"/>
    <col min="5376" max="5376" width="28.140625" customWidth="1"/>
    <col min="5377" max="5377" width="35.140625" customWidth="1"/>
    <col min="5617" max="5617" width="9.28515625" customWidth="1"/>
    <col min="5618" max="5618" width="13.7109375" customWidth="1"/>
    <col min="5619" max="5619" width="27.5703125" customWidth="1"/>
    <col min="5620" max="5620" width="6.7109375" customWidth="1"/>
    <col min="5621" max="5621" width="14.140625" customWidth="1"/>
    <col min="5622" max="5622" width="14.7109375" customWidth="1"/>
    <col min="5623" max="5624" width="16.85546875" customWidth="1"/>
    <col min="5625" max="5625" width="9.140625" customWidth="1"/>
    <col min="5626" max="5626" width="15.28515625" customWidth="1"/>
    <col min="5627" max="5627" width="7.7109375" customWidth="1"/>
    <col min="5628" max="5628" width="14.140625" customWidth="1"/>
    <col min="5629" max="5629" width="28.140625" customWidth="1"/>
    <col min="5630" max="5630" width="12.140625" customWidth="1"/>
    <col min="5631" max="5631" width="14.28515625" customWidth="1"/>
    <col min="5632" max="5632" width="28.140625" customWidth="1"/>
    <col min="5633" max="5633" width="35.140625" customWidth="1"/>
    <col min="5873" max="5873" width="9.28515625" customWidth="1"/>
    <col min="5874" max="5874" width="13.7109375" customWidth="1"/>
    <col min="5875" max="5875" width="27.5703125" customWidth="1"/>
    <col min="5876" max="5876" width="6.7109375" customWidth="1"/>
    <col min="5877" max="5877" width="14.140625" customWidth="1"/>
    <col min="5878" max="5878" width="14.7109375" customWidth="1"/>
    <col min="5879" max="5880" width="16.85546875" customWidth="1"/>
    <col min="5881" max="5881" width="9.140625" customWidth="1"/>
    <col min="5882" max="5882" width="15.28515625" customWidth="1"/>
    <col min="5883" max="5883" width="7.7109375" customWidth="1"/>
    <col min="5884" max="5884" width="14.140625" customWidth="1"/>
    <col min="5885" max="5885" width="28.140625" customWidth="1"/>
    <col min="5886" max="5886" width="12.140625" customWidth="1"/>
    <col min="5887" max="5887" width="14.28515625" customWidth="1"/>
    <col min="5888" max="5888" width="28.140625" customWidth="1"/>
    <col min="5889" max="5889" width="35.140625" customWidth="1"/>
    <col min="6129" max="6129" width="9.28515625" customWidth="1"/>
    <col min="6130" max="6130" width="13.7109375" customWidth="1"/>
    <col min="6131" max="6131" width="27.5703125" customWidth="1"/>
    <col min="6132" max="6132" width="6.7109375" customWidth="1"/>
    <col min="6133" max="6133" width="14.140625" customWidth="1"/>
    <col min="6134" max="6134" width="14.7109375" customWidth="1"/>
    <col min="6135" max="6136" width="16.85546875" customWidth="1"/>
    <col min="6137" max="6137" width="9.140625" customWidth="1"/>
    <col min="6138" max="6138" width="15.28515625" customWidth="1"/>
    <col min="6139" max="6139" width="7.7109375" customWidth="1"/>
    <col min="6140" max="6140" width="14.140625" customWidth="1"/>
    <col min="6141" max="6141" width="28.140625" customWidth="1"/>
    <col min="6142" max="6142" width="12.140625" customWidth="1"/>
    <col min="6143" max="6143" width="14.28515625" customWidth="1"/>
    <col min="6144" max="6144" width="28.140625" customWidth="1"/>
    <col min="6145" max="6145" width="35.140625" customWidth="1"/>
    <col min="6385" max="6385" width="9.28515625" customWidth="1"/>
    <col min="6386" max="6386" width="13.7109375" customWidth="1"/>
    <col min="6387" max="6387" width="27.5703125" customWidth="1"/>
    <col min="6388" max="6388" width="6.7109375" customWidth="1"/>
    <col min="6389" max="6389" width="14.140625" customWidth="1"/>
    <col min="6390" max="6390" width="14.7109375" customWidth="1"/>
    <col min="6391" max="6392" width="16.85546875" customWidth="1"/>
    <col min="6393" max="6393" width="9.140625" customWidth="1"/>
    <col min="6394" max="6394" width="15.28515625" customWidth="1"/>
    <col min="6395" max="6395" width="7.7109375" customWidth="1"/>
    <col min="6396" max="6396" width="14.140625" customWidth="1"/>
    <col min="6397" max="6397" width="28.140625" customWidth="1"/>
    <col min="6398" max="6398" width="12.140625" customWidth="1"/>
    <col min="6399" max="6399" width="14.28515625" customWidth="1"/>
    <col min="6400" max="6400" width="28.140625" customWidth="1"/>
    <col min="6401" max="6401" width="35.140625" customWidth="1"/>
    <col min="6641" max="6641" width="9.28515625" customWidth="1"/>
    <col min="6642" max="6642" width="13.7109375" customWidth="1"/>
    <col min="6643" max="6643" width="27.5703125" customWidth="1"/>
    <col min="6644" max="6644" width="6.7109375" customWidth="1"/>
    <col min="6645" max="6645" width="14.140625" customWidth="1"/>
    <col min="6646" max="6646" width="14.7109375" customWidth="1"/>
    <col min="6647" max="6648" width="16.85546875" customWidth="1"/>
    <col min="6649" max="6649" width="9.140625" customWidth="1"/>
    <col min="6650" max="6650" width="15.28515625" customWidth="1"/>
    <col min="6651" max="6651" width="7.7109375" customWidth="1"/>
    <col min="6652" max="6652" width="14.140625" customWidth="1"/>
    <col min="6653" max="6653" width="28.140625" customWidth="1"/>
    <col min="6654" max="6654" width="12.140625" customWidth="1"/>
    <col min="6655" max="6655" width="14.28515625" customWidth="1"/>
    <col min="6656" max="6656" width="28.140625" customWidth="1"/>
    <col min="6657" max="6657" width="35.140625" customWidth="1"/>
    <col min="6897" max="6897" width="9.28515625" customWidth="1"/>
    <col min="6898" max="6898" width="13.7109375" customWidth="1"/>
    <col min="6899" max="6899" width="27.5703125" customWidth="1"/>
    <col min="6900" max="6900" width="6.7109375" customWidth="1"/>
    <col min="6901" max="6901" width="14.140625" customWidth="1"/>
    <col min="6902" max="6902" width="14.7109375" customWidth="1"/>
    <col min="6903" max="6904" width="16.85546875" customWidth="1"/>
    <col min="6905" max="6905" width="9.140625" customWidth="1"/>
    <col min="6906" max="6906" width="15.28515625" customWidth="1"/>
    <col min="6907" max="6907" width="7.7109375" customWidth="1"/>
    <col min="6908" max="6908" width="14.140625" customWidth="1"/>
    <col min="6909" max="6909" width="28.140625" customWidth="1"/>
    <col min="6910" max="6910" width="12.140625" customWidth="1"/>
    <col min="6911" max="6911" width="14.28515625" customWidth="1"/>
    <col min="6912" max="6912" width="28.140625" customWidth="1"/>
    <col min="6913" max="6913" width="35.140625" customWidth="1"/>
    <col min="7153" max="7153" width="9.28515625" customWidth="1"/>
    <col min="7154" max="7154" width="13.7109375" customWidth="1"/>
    <col min="7155" max="7155" width="27.5703125" customWidth="1"/>
    <col min="7156" max="7156" width="6.7109375" customWidth="1"/>
    <col min="7157" max="7157" width="14.140625" customWidth="1"/>
    <col min="7158" max="7158" width="14.7109375" customWidth="1"/>
    <col min="7159" max="7160" width="16.85546875" customWidth="1"/>
    <col min="7161" max="7161" width="9.140625" customWidth="1"/>
    <col min="7162" max="7162" width="15.28515625" customWidth="1"/>
    <col min="7163" max="7163" width="7.7109375" customWidth="1"/>
    <col min="7164" max="7164" width="14.140625" customWidth="1"/>
    <col min="7165" max="7165" width="28.140625" customWidth="1"/>
    <col min="7166" max="7166" width="12.140625" customWidth="1"/>
    <col min="7167" max="7167" width="14.28515625" customWidth="1"/>
    <col min="7168" max="7168" width="28.140625" customWidth="1"/>
    <col min="7169" max="7169" width="35.140625" customWidth="1"/>
    <col min="7409" max="7409" width="9.28515625" customWidth="1"/>
    <col min="7410" max="7410" width="13.7109375" customWidth="1"/>
    <col min="7411" max="7411" width="27.5703125" customWidth="1"/>
    <col min="7412" max="7412" width="6.7109375" customWidth="1"/>
    <col min="7413" max="7413" width="14.140625" customWidth="1"/>
    <col min="7414" max="7414" width="14.7109375" customWidth="1"/>
    <col min="7415" max="7416" width="16.85546875" customWidth="1"/>
    <col min="7417" max="7417" width="9.140625" customWidth="1"/>
    <col min="7418" max="7418" width="15.28515625" customWidth="1"/>
    <col min="7419" max="7419" width="7.7109375" customWidth="1"/>
    <col min="7420" max="7420" width="14.140625" customWidth="1"/>
    <col min="7421" max="7421" width="28.140625" customWidth="1"/>
    <col min="7422" max="7422" width="12.140625" customWidth="1"/>
    <col min="7423" max="7423" width="14.28515625" customWidth="1"/>
    <col min="7424" max="7424" width="28.140625" customWidth="1"/>
    <col min="7425" max="7425" width="35.140625" customWidth="1"/>
    <col min="7665" max="7665" width="9.28515625" customWidth="1"/>
    <col min="7666" max="7666" width="13.7109375" customWidth="1"/>
    <col min="7667" max="7667" width="27.5703125" customWidth="1"/>
    <col min="7668" max="7668" width="6.7109375" customWidth="1"/>
    <col min="7669" max="7669" width="14.140625" customWidth="1"/>
    <col min="7670" max="7670" width="14.7109375" customWidth="1"/>
    <col min="7671" max="7672" width="16.85546875" customWidth="1"/>
    <col min="7673" max="7673" width="9.140625" customWidth="1"/>
    <col min="7674" max="7674" width="15.28515625" customWidth="1"/>
    <col min="7675" max="7675" width="7.7109375" customWidth="1"/>
    <col min="7676" max="7676" width="14.140625" customWidth="1"/>
    <col min="7677" max="7677" width="28.140625" customWidth="1"/>
    <col min="7678" max="7678" width="12.140625" customWidth="1"/>
    <col min="7679" max="7679" width="14.28515625" customWidth="1"/>
    <col min="7680" max="7680" width="28.140625" customWidth="1"/>
    <col min="7681" max="7681" width="35.140625" customWidth="1"/>
    <col min="7921" max="7921" width="9.28515625" customWidth="1"/>
    <col min="7922" max="7922" width="13.7109375" customWidth="1"/>
    <col min="7923" max="7923" width="27.5703125" customWidth="1"/>
    <col min="7924" max="7924" width="6.7109375" customWidth="1"/>
    <col min="7925" max="7925" width="14.140625" customWidth="1"/>
    <col min="7926" max="7926" width="14.7109375" customWidth="1"/>
    <col min="7927" max="7928" width="16.85546875" customWidth="1"/>
    <col min="7929" max="7929" width="9.140625" customWidth="1"/>
    <col min="7930" max="7930" width="15.28515625" customWidth="1"/>
    <col min="7931" max="7931" width="7.7109375" customWidth="1"/>
    <col min="7932" max="7932" width="14.140625" customWidth="1"/>
    <col min="7933" max="7933" width="28.140625" customWidth="1"/>
    <col min="7934" max="7934" width="12.140625" customWidth="1"/>
    <col min="7935" max="7935" width="14.28515625" customWidth="1"/>
    <col min="7936" max="7936" width="28.140625" customWidth="1"/>
    <col min="7937" max="7937" width="35.140625" customWidth="1"/>
    <col min="8177" max="8177" width="9.28515625" customWidth="1"/>
    <col min="8178" max="8178" width="13.7109375" customWidth="1"/>
    <col min="8179" max="8179" width="27.5703125" customWidth="1"/>
    <col min="8180" max="8180" width="6.7109375" customWidth="1"/>
    <col min="8181" max="8181" width="14.140625" customWidth="1"/>
    <col min="8182" max="8182" width="14.7109375" customWidth="1"/>
    <col min="8183" max="8184" width="16.85546875" customWidth="1"/>
    <col min="8185" max="8185" width="9.140625" customWidth="1"/>
    <col min="8186" max="8186" width="15.28515625" customWidth="1"/>
    <col min="8187" max="8187" width="7.7109375" customWidth="1"/>
    <col min="8188" max="8188" width="14.140625" customWidth="1"/>
    <col min="8189" max="8189" width="28.140625" customWidth="1"/>
    <col min="8190" max="8190" width="12.140625" customWidth="1"/>
    <col min="8191" max="8191" width="14.28515625" customWidth="1"/>
    <col min="8192" max="8192" width="28.140625" customWidth="1"/>
    <col min="8193" max="8193" width="35.140625" customWidth="1"/>
    <col min="8433" max="8433" width="9.28515625" customWidth="1"/>
    <col min="8434" max="8434" width="13.7109375" customWidth="1"/>
    <col min="8435" max="8435" width="27.5703125" customWidth="1"/>
    <col min="8436" max="8436" width="6.7109375" customWidth="1"/>
    <col min="8437" max="8437" width="14.140625" customWidth="1"/>
    <col min="8438" max="8438" width="14.7109375" customWidth="1"/>
    <col min="8439" max="8440" width="16.85546875" customWidth="1"/>
    <col min="8441" max="8441" width="9.140625" customWidth="1"/>
    <col min="8442" max="8442" width="15.28515625" customWidth="1"/>
    <col min="8443" max="8443" width="7.7109375" customWidth="1"/>
    <col min="8444" max="8444" width="14.140625" customWidth="1"/>
    <col min="8445" max="8445" width="28.140625" customWidth="1"/>
    <col min="8446" max="8446" width="12.140625" customWidth="1"/>
    <col min="8447" max="8447" width="14.28515625" customWidth="1"/>
    <col min="8448" max="8448" width="28.140625" customWidth="1"/>
    <col min="8449" max="8449" width="35.140625" customWidth="1"/>
    <col min="8689" max="8689" width="9.28515625" customWidth="1"/>
    <col min="8690" max="8690" width="13.7109375" customWidth="1"/>
    <col min="8691" max="8691" width="27.5703125" customWidth="1"/>
    <col min="8692" max="8692" width="6.7109375" customWidth="1"/>
    <col min="8693" max="8693" width="14.140625" customWidth="1"/>
    <col min="8694" max="8694" width="14.7109375" customWidth="1"/>
    <col min="8695" max="8696" width="16.85546875" customWidth="1"/>
    <col min="8697" max="8697" width="9.140625" customWidth="1"/>
    <col min="8698" max="8698" width="15.28515625" customWidth="1"/>
    <col min="8699" max="8699" width="7.7109375" customWidth="1"/>
    <col min="8700" max="8700" width="14.140625" customWidth="1"/>
    <col min="8701" max="8701" width="28.140625" customWidth="1"/>
    <col min="8702" max="8702" width="12.140625" customWidth="1"/>
    <col min="8703" max="8703" width="14.28515625" customWidth="1"/>
    <col min="8704" max="8704" width="28.140625" customWidth="1"/>
    <col min="8705" max="8705" width="35.140625" customWidth="1"/>
    <col min="8945" max="8945" width="9.28515625" customWidth="1"/>
    <col min="8946" max="8946" width="13.7109375" customWidth="1"/>
    <col min="8947" max="8947" width="27.5703125" customWidth="1"/>
    <col min="8948" max="8948" width="6.7109375" customWidth="1"/>
    <col min="8949" max="8949" width="14.140625" customWidth="1"/>
    <col min="8950" max="8950" width="14.7109375" customWidth="1"/>
    <col min="8951" max="8952" width="16.85546875" customWidth="1"/>
    <col min="8953" max="8953" width="9.140625" customWidth="1"/>
    <col min="8954" max="8954" width="15.28515625" customWidth="1"/>
    <col min="8955" max="8955" width="7.7109375" customWidth="1"/>
    <col min="8956" max="8956" width="14.140625" customWidth="1"/>
    <col min="8957" max="8957" width="28.140625" customWidth="1"/>
    <col min="8958" max="8958" width="12.140625" customWidth="1"/>
    <col min="8959" max="8959" width="14.28515625" customWidth="1"/>
    <col min="8960" max="8960" width="28.140625" customWidth="1"/>
    <col min="8961" max="8961" width="35.140625" customWidth="1"/>
    <col min="9201" max="9201" width="9.28515625" customWidth="1"/>
    <col min="9202" max="9202" width="13.7109375" customWidth="1"/>
    <col min="9203" max="9203" width="27.5703125" customWidth="1"/>
    <col min="9204" max="9204" width="6.7109375" customWidth="1"/>
    <col min="9205" max="9205" width="14.140625" customWidth="1"/>
    <col min="9206" max="9206" width="14.7109375" customWidth="1"/>
    <col min="9207" max="9208" width="16.85546875" customWidth="1"/>
    <col min="9209" max="9209" width="9.140625" customWidth="1"/>
    <col min="9210" max="9210" width="15.28515625" customWidth="1"/>
    <col min="9211" max="9211" width="7.7109375" customWidth="1"/>
    <col min="9212" max="9212" width="14.140625" customWidth="1"/>
    <col min="9213" max="9213" width="28.140625" customWidth="1"/>
    <col min="9214" max="9214" width="12.140625" customWidth="1"/>
    <col min="9215" max="9215" width="14.28515625" customWidth="1"/>
    <col min="9216" max="9216" width="28.140625" customWidth="1"/>
    <col min="9217" max="9217" width="35.140625" customWidth="1"/>
    <col min="9457" max="9457" width="9.28515625" customWidth="1"/>
    <col min="9458" max="9458" width="13.7109375" customWidth="1"/>
    <col min="9459" max="9459" width="27.5703125" customWidth="1"/>
    <col min="9460" max="9460" width="6.7109375" customWidth="1"/>
    <col min="9461" max="9461" width="14.140625" customWidth="1"/>
    <col min="9462" max="9462" width="14.7109375" customWidth="1"/>
    <col min="9463" max="9464" width="16.85546875" customWidth="1"/>
    <col min="9465" max="9465" width="9.140625" customWidth="1"/>
    <col min="9466" max="9466" width="15.28515625" customWidth="1"/>
    <col min="9467" max="9467" width="7.7109375" customWidth="1"/>
    <col min="9468" max="9468" width="14.140625" customWidth="1"/>
    <col min="9469" max="9469" width="28.140625" customWidth="1"/>
    <col min="9470" max="9470" width="12.140625" customWidth="1"/>
    <col min="9471" max="9471" width="14.28515625" customWidth="1"/>
    <col min="9472" max="9472" width="28.140625" customWidth="1"/>
    <col min="9473" max="9473" width="35.140625" customWidth="1"/>
    <col min="9713" max="9713" width="9.28515625" customWidth="1"/>
    <col min="9714" max="9714" width="13.7109375" customWidth="1"/>
    <col min="9715" max="9715" width="27.5703125" customWidth="1"/>
    <col min="9716" max="9716" width="6.7109375" customWidth="1"/>
    <col min="9717" max="9717" width="14.140625" customWidth="1"/>
    <col min="9718" max="9718" width="14.7109375" customWidth="1"/>
    <col min="9719" max="9720" width="16.85546875" customWidth="1"/>
    <col min="9721" max="9721" width="9.140625" customWidth="1"/>
    <col min="9722" max="9722" width="15.28515625" customWidth="1"/>
    <col min="9723" max="9723" width="7.7109375" customWidth="1"/>
    <col min="9724" max="9724" width="14.140625" customWidth="1"/>
    <col min="9725" max="9725" width="28.140625" customWidth="1"/>
    <col min="9726" max="9726" width="12.140625" customWidth="1"/>
    <col min="9727" max="9727" width="14.28515625" customWidth="1"/>
    <col min="9728" max="9728" width="28.140625" customWidth="1"/>
    <col min="9729" max="9729" width="35.140625" customWidth="1"/>
    <col min="9969" max="9969" width="9.28515625" customWidth="1"/>
    <col min="9970" max="9970" width="13.7109375" customWidth="1"/>
    <col min="9971" max="9971" width="27.5703125" customWidth="1"/>
    <col min="9972" max="9972" width="6.7109375" customWidth="1"/>
    <col min="9973" max="9973" width="14.140625" customWidth="1"/>
    <col min="9974" max="9974" width="14.7109375" customWidth="1"/>
    <col min="9975" max="9976" width="16.85546875" customWidth="1"/>
    <col min="9977" max="9977" width="9.140625" customWidth="1"/>
    <col min="9978" max="9978" width="15.28515625" customWidth="1"/>
    <col min="9979" max="9979" width="7.7109375" customWidth="1"/>
    <col min="9980" max="9980" width="14.140625" customWidth="1"/>
    <col min="9981" max="9981" width="28.140625" customWidth="1"/>
    <col min="9982" max="9982" width="12.140625" customWidth="1"/>
    <col min="9983" max="9983" width="14.28515625" customWidth="1"/>
    <col min="9984" max="9984" width="28.140625" customWidth="1"/>
    <col min="9985" max="9985" width="35.140625" customWidth="1"/>
    <col min="10225" max="10225" width="9.28515625" customWidth="1"/>
    <col min="10226" max="10226" width="13.7109375" customWidth="1"/>
    <col min="10227" max="10227" width="27.5703125" customWidth="1"/>
    <col min="10228" max="10228" width="6.7109375" customWidth="1"/>
    <col min="10229" max="10229" width="14.140625" customWidth="1"/>
    <col min="10230" max="10230" width="14.7109375" customWidth="1"/>
    <col min="10231" max="10232" width="16.85546875" customWidth="1"/>
    <col min="10233" max="10233" width="9.140625" customWidth="1"/>
    <col min="10234" max="10234" width="15.28515625" customWidth="1"/>
    <col min="10235" max="10235" width="7.7109375" customWidth="1"/>
    <col min="10236" max="10236" width="14.140625" customWidth="1"/>
    <col min="10237" max="10237" width="28.140625" customWidth="1"/>
    <col min="10238" max="10238" width="12.140625" customWidth="1"/>
    <col min="10239" max="10239" width="14.28515625" customWidth="1"/>
    <col min="10240" max="10240" width="28.140625" customWidth="1"/>
    <col min="10241" max="10241" width="35.140625" customWidth="1"/>
    <col min="10481" max="10481" width="9.28515625" customWidth="1"/>
    <col min="10482" max="10482" width="13.7109375" customWidth="1"/>
    <col min="10483" max="10483" width="27.5703125" customWidth="1"/>
    <col min="10484" max="10484" width="6.7109375" customWidth="1"/>
    <col min="10485" max="10485" width="14.140625" customWidth="1"/>
    <col min="10486" max="10486" width="14.7109375" customWidth="1"/>
    <col min="10487" max="10488" width="16.85546875" customWidth="1"/>
    <col min="10489" max="10489" width="9.140625" customWidth="1"/>
    <col min="10490" max="10490" width="15.28515625" customWidth="1"/>
    <col min="10491" max="10491" width="7.7109375" customWidth="1"/>
    <col min="10492" max="10492" width="14.140625" customWidth="1"/>
    <col min="10493" max="10493" width="28.140625" customWidth="1"/>
    <col min="10494" max="10494" width="12.140625" customWidth="1"/>
    <col min="10495" max="10495" width="14.28515625" customWidth="1"/>
    <col min="10496" max="10496" width="28.140625" customWidth="1"/>
    <col min="10497" max="10497" width="35.140625" customWidth="1"/>
    <col min="10737" max="10737" width="9.28515625" customWidth="1"/>
    <col min="10738" max="10738" width="13.7109375" customWidth="1"/>
    <col min="10739" max="10739" width="27.5703125" customWidth="1"/>
    <col min="10740" max="10740" width="6.7109375" customWidth="1"/>
    <col min="10741" max="10741" width="14.140625" customWidth="1"/>
    <col min="10742" max="10742" width="14.7109375" customWidth="1"/>
    <col min="10743" max="10744" width="16.85546875" customWidth="1"/>
    <col min="10745" max="10745" width="9.140625" customWidth="1"/>
    <col min="10746" max="10746" width="15.28515625" customWidth="1"/>
    <col min="10747" max="10747" width="7.7109375" customWidth="1"/>
    <col min="10748" max="10748" width="14.140625" customWidth="1"/>
    <col min="10749" max="10749" width="28.140625" customWidth="1"/>
    <col min="10750" max="10750" width="12.140625" customWidth="1"/>
    <col min="10751" max="10751" width="14.28515625" customWidth="1"/>
    <col min="10752" max="10752" width="28.140625" customWidth="1"/>
    <col min="10753" max="10753" width="35.140625" customWidth="1"/>
    <col min="10993" max="10993" width="9.28515625" customWidth="1"/>
    <col min="10994" max="10994" width="13.7109375" customWidth="1"/>
    <col min="10995" max="10995" width="27.5703125" customWidth="1"/>
    <col min="10996" max="10996" width="6.7109375" customWidth="1"/>
    <col min="10997" max="10997" width="14.140625" customWidth="1"/>
    <col min="10998" max="10998" width="14.7109375" customWidth="1"/>
    <col min="10999" max="11000" width="16.85546875" customWidth="1"/>
    <col min="11001" max="11001" width="9.140625" customWidth="1"/>
    <col min="11002" max="11002" width="15.28515625" customWidth="1"/>
    <col min="11003" max="11003" width="7.7109375" customWidth="1"/>
    <col min="11004" max="11004" width="14.140625" customWidth="1"/>
    <col min="11005" max="11005" width="28.140625" customWidth="1"/>
    <col min="11006" max="11006" width="12.140625" customWidth="1"/>
    <col min="11007" max="11007" width="14.28515625" customWidth="1"/>
    <col min="11008" max="11008" width="28.140625" customWidth="1"/>
    <col min="11009" max="11009" width="35.140625" customWidth="1"/>
    <col min="11249" max="11249" width="9.28515625" customWidth="1"/>
    <col min="11250" max="11250" width="13.7109375" customWidth="1"/>
    <col min="11251" max="11251" width="27.5703125" customWidth="1"/>
    <col min="11252" max="11252" width="6.7109375" customWidth="1"/>
    <col min="11253" max="11253" width="14.140625" customWidth="1"/>
    <col min="11254" max="11254" width="14.7109375" customWidth="1"/>
    <col min="11255" max="11256" width="16.85546875" customWidth="1"/>
    <col min="11257" max="11257" width="9.140625" customWidth="1"/>
    <col min="11258" max="11258" width="15.28515625" customWidth="1"/>
    <col min="11259" max="11259" width="7.7109375" customWidth="1"/>
    <col min="11260" max="11260" width="14.140625" customWidth="1"/>
    <col min="11261" max="11261" width="28.140625" customWidth="1"/>
    <col min="11262" max="11262" width="12.140625" customWidth="1"/>
    <col min="11263" max="11263" width="14.28515625" customWidth="1"/>
    <col min="11264" max="11264" width="28.140625" customWidth="1"/>
    <col min="11265" max="11265" width="35.140625" customWidth="1"/>
    <col min="11505" max="11505" width="9.28515625" customWidth="1"/>
    <col min="11506" max="11506" width="13.7109375" customWidth="1"/>
    <col min="11507" max="11507" width="27.5703125" customWidth="1"/>
    <col min="11508" max="11508" width="6.7109375" customWidth="1"/>
    <col min="11509" max="11509" width="14.140625" customWidth="1"/>
    <col min="11510" max="11510" width="14.7109375" customWidth="1"/>
    <col min="11511" max="11512" width="16.85546875" customWidth="1"/>
    <col min="11513" max="11513" width="9.140625" customWidth="1"/>
    <col min="11514" max="11514" width="15.28515625" customWidth="1"/>
    <col min="11515" max="11515" width="7.7109375" customWidth="1"/>
    <col min="11516" max="11516" width="14.140625" customWidth="1"/>
    <col min="11517" max="11517" width="28.140625" customWidth="1"/>
    <col min="11518" max="11518" width="12.140625" customWidth="1"/>
    <col min="11519" max="11519" width="14.28515625" customWidth="1"/>
    <col min="11520" max="11520" width="28.140625" customWidth="1"/>
    <col min="11521" max="11521" width="35.140625" customWidth="1"/>
    <col min="11761" max="11761" width="9.28515625" customWidth="1"/>
    <col min="11762" max="11762" width="13.7109375" customWidth="1"/>
    <col min="11763" max="11763" width="27.5703125" customWidth="1"/>
    <col min="11764" max="11764" width="6.7109375" customWidth="1"/>
    <col min="11765" max="11765" width="14.140625" customWidth="1"/>
    <col min="11766" max="11766" width="14.7109375" customWidth="1"/>
    <col min="11767" max="11768" width="16.85546875" customWidth="1"/>
    <col min="11769" max="11769" width="9.140625" customWidth="1"/>
    <col min="11770" max="11770" width="15.28515625" customWidth="1"/>
    <col min="11771" max="11771" width="7.7109375" customWidth="1"/>
    <col min="11772" max="11772" width="14.140625" customWidth="1"/>
    <col min="11773" max="11773" width="28.140625" customWidth="1"/>
    <col min="11774" max="11774" width="12.140625" customWidth="1"/>
    <col min="11775" max="11775" width="14.28515625" customWidth="1"/>
    <col min="11776" max="11776" width="28.140625" customWidth="1"/>
    <col min="11777" max="11777" width="35.140625" customWidth="1"/>
    <col min="12017" max="12017" width="9.28515625" customWidth="1"/>
    <col min="12018" max="12018" width="13.7109375" customWidth="1"/>
    <col min="12019" max="12019" width="27.5703125" customWidth="1"/>
    <col min="12020" max="12020" width="6.7109375" customWidth="1"/>
    <col min="12021" max="12021" width="14.140625" customWidth="1"/>
    <col min="12022" max="12022" width="14.7109375" customWidth="1"/>
    <col min="12023" max="12024" width="16.85546875" customWidth="1"/>
    <col min="12025" max="12025" width="9.140625" customWidth="1"/>
    <col min="12026" max="12026" width="15.28515625" customWidth="1"/>
    <col min="12027" max="12027" width="7.7109375" customWidth="1"/>
    <col min="12028" max="12028" width="14.140625" customWidth="1"/>
    <col min="12029" max="12029" width="28.140625" customWidth="1"/>
    <col min="12030" max="12030" width="12.140625" customWidth="1"/>
    <col min="12031" max="12031" width="14.28515625" customWidth="1"/>
    <col min="12032" max="12032" width="28.140625" customWidth="1"/>
    <col min="12033" max="12033" width="35.140625" customWidth="1"/>
    <col min="12273" max="12273" width="9.28515625" customWidth="1"/>
    <col min="12274" max="12274" width="13.7109375" customWidth="1"/>
    <col min="12275" max="12275" width="27.5703125" customWidth="1"/>
    <col min="12276" max="12276" width="6.7109375" customWidth="1"/>
    <col min="12277" max="12277" width="14.140625" customWidth="1"/>
    <col min="12278" max="12278" width="14.7109375" customWidth="1"/>
    <col min="12279" max="12280" width="16.85546875" customWidth="1"/>
    <col min="12281" max="12281" width="9.140625" customWidth="1"/>
    <col min="12282" max="12282" width="15.28515625" customWidth="1"/>
    <col min="12283" max="12283" width="7.7109375" customWidth="1"/>
    <col min="12284" max="12284" width="14.140625" customWidth="1"/>
    <col min="12285" max="12285" width="28.140625" customWidth="1"/>
    <col min="12286" max="12286" width="12.140625" customWidth="1"/>
    <col min="12287" max="12287" width="14.28515625" customWidth="1"/>
    <col min="12288" max="12288" width="28.140625" customWidth="1"/>
    <col min="12289" max="12289" width="35.140625" customWidth="1"/>
    <col min="12529" max="12529" width="9.28515625" customWidth="1"/>
    <col min="12530" max="12530" width="13.7109375" customWidth="1"/>
    <col min="12531" max="12531" width="27.5703125" customWidth="1"/>
    <col min="12532" max="12532" width="6.7109375" customWidth="1"/>
    <col min="12533" max="12533" width="14.140625" customWidth="1"/>
    <col min="12534" max="12534" width="14.7109375" customWidth="1"/>
    <col min="12535" max="12536" width="16.85546875" customWidth="1"/>
    <col min="12537" max="12537" width="9.140625" customWidth="1"/>
    <col min="12538" max="12538" width="15.28515625" customWidth="1"/>
    <col min="12539" max="12539" width="7.7109375" customWidth="1"/>
    <col min="12540" max="12540" width="14.140625" customWidth="1"/>
    <col min="12541" max="12541" width="28.140625" customWidth="1"/>
    <col min="12542" max="12542" width="12.140625" customWidth="1"/>
    <col min="12543" max="12543" width="14.28515625" customWidth="1"/>
    <col min="12544" max="12544" width="28.140625" customWidth="1"/>
    <col min="12545" max="12545" width="35.140625" customWidth="1"/>
    <col min="12785" max="12785" width="9.28515625" customWidth="1"/>
    <col min="12786" max="12786" width="13.7109375" customWidth="1"/>
    <col min="12787" max="12787" width="27.5703125" customWidth="1"/>
    <col min="12788" max="12788" width="6.7109375" customWidth="1"/>
    <col min="12789" max="12789" width="14.140625" customWidth="1"/>
    <col min="12790" max="12790" width="14.7109375" customWidth="1"/>
    <col min="12791" max="12792" width="16.85546875" customWidth="1"/>
    <col min="12793" max="12793" width="9.140625" customWidth="1"/>
    <col min="12794" max="12794" width="15.28515625" customWidth="1"/>
    <col min="12795" max="12795" width="7.7109375" customWidth="1"/>
    <col min="12796" max="12796" width="14.140625" customWidth="1"/>
    <col min="12797" max="12797" width="28.140625" customWidth="1"/>
    <col min="12798" max="12798" width="12.140625" customWidth="1"/>
    <col min="12799" max="12799" width="14.28515625" customWidth="1"/>
    <col min="12800" max="12800" width="28.140625" customWidth="1"/>
    <col min="12801" max="12801" width="35.140625" customWidth="1"/>
    <col min="13041" max="13041" width="9.28515625" customWidth="1"/>
    <col min="13042" max="13042" width="13.7109375" customWidth="1"/>
    <col min="13043" max="13043" width="27.5703125" customWidth="1"/>
    <col min="13044" max="13044" width="6.7109375" customWidth="1"/>
    <col min="13045" max="13045" width="14.140625" customWidth="1"/>
    <col min="13046" max="13046" width="14.7109375" customWidth="1"/>
    <col min="13047" max="13048" width="16.85546875" customWidth="1"/>
    <col min="13049" max="13049" width="9.140625" customWidth="1"/>
    <col min="13050" max="13050" width="15.28515625" customWidth="1"/>
    <col min="13051" max="13051" width="7.7109375" customWidth="1"/>
    <col min="13052" max="13052" width="14.140625" customWidth="1"/>
    <col min="13053" max="13053" width="28.140625" customWidth="1"/>
    <col min="13054" max="13054" width="12.140625" customWidth="1"/>
    <col min="13055" max="13055" width="14.28515625" customWidth="1"/>
    <col min="13056" max="13056" width="28.140625" customWidth="1"/>
    <col min="13057" max="13057" width="35.140625" customWidth="1"/>
    <col min="13297" max="13297" width="9.28515625" customWidth="1"/>
    <col min="13298" max="13298" width="13.7109375" customWidth="1"/>
    <col min="13299" max="13299" width="27.5703125" customWidth="1"/>
    <col min="13300" max="13300" width="6.7109375" customWidth="1"/>
    <col min="13301" max="13301" width="14.140625" customWidth="1"/>
    <col min="13302" max="13302" width="14.7109375" customWidth="1"/>
    <col min="13303" max="13304" width="16.85546875" customWidth="1"/>
    <col min="13305" max="13305" width="9.140625" customWidth="1"/>
    <col min="13306" max="13306" width="15.28515625" customWidth="1"/>
    <col min="13307" max="13307" width="7.7109375" customWidth="1"/>
    <col min="13308" max="13308" width="14.140625" customWidth="1"/>
    <col min="13309" max="13309" width="28.140625" customWidth="1"/>
    <col min="13310" max="13310" width="12.140625" customWidth="1"/>
    <col min="13311" max="13311" width="14.28515625" customWidth="1"/>
    <col min="13312" max="13312" width="28.140625" customWidth="1"/>
    <col min="13313" max="13313" width="35.140625" customWidth="1"/>
    <col min="13553" max="13553" width="9.28515625" customWidth="1"/>
    <col min="13554" max="13554" width="13.7109375" customWidth="1"/>
    <col min="13555" max="13555" width="27.5703125" customWidth="1"/>
    <col min="13556" max="13556" width="6.7109375" customWidth="1"/>
    <col min="13557" max="13557" width="14.140625" customWidth="1"/>
    <col min="13558" max="13558" width="14.7109375" customWidth="1"/>
    <col min="13559" max="13560" width="16.85546875" customWidth="1"/>
    <col min="13561" max="13561" width="9.140625" customWidth="1"/>
    <col min="13562" max="13562" width="15.28515625" customWidth="1"/>
    <col min="13563" max="13563" width="7.7109375" customWidth="1"/>
    <col min="13564" max="13564" width="14.140625" customWidth="1"/>
    <col min="13565" max="13565" width="28.140625" customWidth="1"/>
    <col min="13566" max="13566" width="12.140625" customWidth="1"/>
    <col min="13567" max="13567" width="14.28515625" customWidth="1"/>
    <col min="13568" max="13568" width="28.140625" customWidth="1"/>
    <col min="13569" max="13569" width="35.140625" customWidth="1"/>
    <col min="13809" max="13809" width="9.28515625" customWidth="1"/>
    <col min="13810" max="13810" width="13.7109375" customWidth="1"/>
    <col min="13811" max="13811" width="27.5703125" customWidth="1"/>
    <col min="13812" max="13812" width="6.7109375" customWidth="1"/>
    <col min="13813" max="13813" width="14.140625" customWidth="1"/>
    <col min="13814" max="13814" width="14.7109375" customWidth="1"/>
    <col min="13815" max="13816" width="16.85546875" customWidth="1"/>
    <col min="13817" max="13817" width="9.140625" customWidth="1"/>
    <col min="13818" max="13818" width="15.28515625" customWidth="1"/>
    <col min="13819" max="13819" width="7.7109375" customWidth="1"/>
    <col min="13820" max="13820" width="14.140625" customWidth="1"/>
    <col min="13821" max="13821" width="28.140625" customWidth="1"/>
    <col min="13822" max="13822" width="12.140625" customWidth="1"/>
    <col min="13823" max="13823" width="14.28515625" customWidth="1"/>
    <col min="13824" max="13824" width="28.140625" customWidth="1"/>
    <col min="13825" max="13825" width="35.140625" customWidth="1"/>
    <col min="14065" max="14065" width="9.28515625" customWidth="1"/>
    <col min="14066" max="14066" width="13.7109375" customWidth="1"/>
    <col min="14067" max="14067" width="27.5703125" customWidth="1"/>
    <col min="14068" max="14068" width="6.7109375" customWidth="1"/>
    <col min="14069" max="14069" width="14.140625" customWidth="1"/>
    <col min="14070" max="14070" width="14.7109375" customWidth="1"/>
    <col min="14071" max="14072" width="16.85546875" customWidth="1"/>
    <col min="14073" max="14073" width="9.140625" customWidth="1"/>
    <col min="14074" max="14074" width="15.28515625" customWidth="1"/>
    <col min="14075" max="14075" width="7.7109375" customWidth="1"/>
    <col min="14076" max="14076" width="14.140625" customWidth="1"/>
    <col min="14077" max="14077" width="28.140625" customWidth="1"/>
    <col min="14078" max="14078" width="12.140625" customWidth="1"/>
    <col min="14079" max="14079" width="14.28515625" customWidth="1"/>
    <col min="14080" max="14080" width="28.140625" customWidth="1"/>
    <col min="14081" max="14081" width="35.140625" customWidth="1"/>
    <col min="14321" max="14321" width="9.28515625" customWidth="1"/>
    <col min="14322" max="14322" width="13.7109375" customWidth="1"/>
    <col min="14323" max="14323" width="27.5703125" customWidth="1"/>
    <col min="14324" max="14324" width="6.7109375" customWidth="1"/>
    <col min="14325" max="14325" width="14.140625" customWidth="1"/>
    <col min="14326" max="14326" width="14.7109375" customWidth="1"/>
    <col min="14327" max="14328" width="16.85546875" customWidth="1"/>
    <col min="14329" max="14329" width="9.140625" customWidth="1"/>
    <col min="14330" max="14330" width="15.28515625" customWidth="1"/>
    <col min="14331" max="14331" width="7.7109375" customWidth="1"/>
    <col min="14332" max="14332" width="14.140625" customWidth="1"/>
    <col min="14333" max="14333" width="28.140625" customWidth="1"/>
    <col min="14334" max="14334" width="12.140625" customWidth="1"/>
    <col min="14335" max="14335" width="14.28515625" customWidth="1"/>
    <col min="14336" max="14336" width="28.140625" customWidth="1"/>
    <col min="14337" max="14337" width="35.140625" customWidth="1"/>
    <col min="14577" max="14577" width="9.28515625" customWidth="1"/>
    <col min="14578" max="14578" width="13.7109375" customWidth="1"/>
    <col min="14579" max="14579" width="27.5703125" customWidth="1"/>
    <col min="14580" max="14580" width="6.7109375" customWidth="1"/>
    <col min="14581" max="14581" width="14.140625" customWidth="1"/>
    <col min="14582" max="14582" width="14.7109375" customWidth="1"/>
    <col min="14583" max="14584" width="16.85546875" customWidth="1"/>
    <col min="14585" max="14585" width="9.140625" customWidth="1"/>
    <col min="14586" max="14586" width="15.28515625" customWidth="1"/>
    <col min="14587" max="14587" width="7.7109375" customWidth="1"/>
    <col min="14588" max="14588" width="14.140625" customWidth="1"/>
    <col min="14589" max="14589" width="28.140625" customWidth="1"/>
    <col min="14590" max="14590" width="12.140625" customWidth="1"/>
    <col min="14591" max="14591" width="14.28515625" customWidth="1"/>
    <col min="14592" max="14592" width="28.140625" customWidth="1"/>
    <col min="14593" max="14593" width="35.140625" customWidth="1"/>
    <col min="14833" max="14833" width="9.28515625" customWidth="1"/>
    <col min="14834" max="14834" width="13.7109375" customWidth="1"/>
    <col min="14835" max="14835" width="27.5703125" customWidth="1"/>
    <col min="14836" max="14836" width="6.7109375" customWidth="1"/>
    <col min="14837" max="14837" width="14.140625" customWidth="1"/>
    <col min="14838" max="14838" width="14.7109375" customWidth="1"/>
    <col min="14839" max="14840" width="16.85546875" customWidth="1"/>
    <col min="14841" max="14841" width="9.140625" customWidth="1"/>
    <col min="14842" max="14842" width="15.28515625" customWidth="1"/>
    <col min="14843" max="14843" width="7.7109375" customWidth="1"/>
    <col min="14844" max="14844" width="14.140625" customWidth="1"/>
    <col min="14845" max="14845" width="28.140625" customWidth="1"/>
    <col min="14846" max="14846" width="12.140625" customWidth="1"/>
    <col min="14847" max="14847" width="14.28515625" customWidth="1"/>
    <col min="14848" max="14848" width="28.140625" customWidth="1"/>
    <col min="14849" max="14849" width="35.140625" customWidth="1"/>
    <col min="15089" max="15089" width="9.28515625" customWidth="1"/>
    <col min="15090" max="15090" width="13.7109375" customWidth="1"/>
    <col min="15091" max="15091" width="27.5703125" customWidth="1"/>
    <col min="15092" max="15092" width="6.7109375" customWidth="1"/>
    <col min="15093" max="15093" width="14.140625" customWidth="1"/>
    <col min="15094" max="15094" width="14.7109375" customWidth="1"/>
    <col min="15095" max="15096" width="16.85546875" customWidth="1"/>
    <col min="15097" max="15097" width="9.140625" customWidth="1"/>
    <col min="15098" max="15098" width="15.28515625" customWidth="1"/>
    <col min="15099" max="15099" width="7.7109375" customWidth="1"/>
    <col min="15100" max="15100" width="14.140625" customWidth="1"/>
    <col min="15101" max="15101" width="28.140625" customWidth="1"/>
    <col min="15102" max="15102" width="12.140625" customWidth="1"/>
    <col min="15103" max="15103" width="14.28515625" customWidth="1"/>
    <col min="15104" max="15104" width="28.140625" customWidth="1"/>
    <col min="15105" max="15105" width="35.140625" customWidth="1"/>
    <col min="15345" max="15345" width="9.28515625" customWidth="1"/>
    <col min="15346" max="15346" width="13.7109375" customWidth="1"/>
    <col min="15347" max="15347" width="27.5703125" customWidth="1"/>
    <col min="15348" max="15348" width="6.7109375" customWidth="1"/>
    <col min="15349" max="15349" width="14.140625" customWidth="1"/>
    <col min="15350" max="15350" width="14.7109375" customWidth="1"/>
    <col min="15351" max="15352" width="16.85546875" customWidth="1"/>
    <col min="15353" max="15353" width="9.140625" customWidth="1"/>
    <col min="15354" max="15354" width="15.28515625" customWidth="1"/>
    <col min="15355" max="15355" width="7.7109375" customWidth="1"/>
    <col min="15356" max="15356" width="14.140625" customWidth="1"/>
    <col min="15357" max="15357" width="28.140625" customWidth="1"/>
    <col min="15358" max="15358" width="12.140625" customWidth="1"/>
    <col min="15359" max="15359" width="14.28515625" customWidth="1"/>
    <col min="15360" max="15360" width="28.140625" customWidth="1"/>
    <col min="15361" max="15361" width="35.140625" customWidth="1"/>
    <col min="15601" max="15601" width="9.28515625" customWidth="1"/>
    <col min="15602" max="15602" width="13.7109375" customWidth="1"/>
    <col min="15603" max="15603" width="27.5703125" customWidth="1"/>
    <col min="15604" max="15604" width="6.7109375" customWidth="1"/>
    <col min="15605" max="15605" width="14.140625" customWidth="1"/>
    <col min="15606" max="15606" width="14.7109375" customWidth="1"/>
    <col min="15607" max="15608" width="16.85546875" customWidth="1"/>
    <col min="15609" max="15609" width="9.140625" customWidth="1"/>
    <col min="15610" max="15610" width="15.28515625" customWidth="1"/>
    <col min="15611" max="15611" width="7.7109375" customWidth="1"/>
    <col min="15612" max="15612" width="14.140625" customWidth="1"/>
    <col min="15613" max="15613" width="28.140625" customWidth="1"/>
    <col min="15614" max="15614" width="12.140625" customWidth="1"/>
    <col min="15615" max="15615" width="14.28515625" customWidth="1"/>
    <col min="15616" max="15616" width="28.140625" customWidth="1"/>
    <col min="15617" max="15617" width="35.140625" customWidth="1"/>
    <col min="15857" max="15857" width="9.28515625" customWidth="1"/>
    <col min="15858" max="15858" width="13.7109375" customWidth="1"/>
    <col min="15859" max="15859" width="27.5703125" customWidth="1"/>
    <col min="15860" max="15860" width="6.7109375" customWidth="1"/>
    <col min="15861" max="15861" width="14.140625" customWidth="1"/>
    <col min="15862" max="15862" width="14.7109375" customWidth="1"/>
    <col min="15863" max="15864" width="16.85546875" customWidth="1"/>
    <col min="15865" max="15865" width="9.140625" customWidth="1"/>
    <col min="15866" max="15866" width="15.28515625" customWidth="1"/>
    <col min="15867" max="15867" width="7.7109375" customWidth="1"/>
    <col min="15868" max="15868" width="14.140625" customWidth="1"/>
    <col min="15869" max="15869" width="28.140625" customWidth="1"/>
    <col min="15870" max="15870" width="12.140625" customWidth="1"/>
    <col min="15871" max="15871" width="14.28515625" customWidth="1"/>
    <col min="15872" max="15872" width="28.140625" customWidth="1"/>
    <col min="15873" max="15873" width="35.140625" customWidth="1"/>
    <col min="16113" max="16113" width="9.28515625" customWidth="1"/>
    <col min="16114" max="16114" width="13.7109375" customWidth="1"/>
    <col min="16115" max="16115" width="27.5703125" customWidth="1"/>
    <col min="16116" max="16116" width="6.7109375" customWidth="1"/>
    <col min="16117" max="16117" width="14.140625" customWidth="1"/>
    <col min="16118" max="16118" width="14.7109375" customWidth="1"/>
    <col min="16119" max="16120" width="16.85546875" customWidth="1"/>
    <col min="16121" max="16121" width="9.140625" customWidth="1"/>
    <col min="16122" max="16122" width="15.28515625" customWidth="1"/>
    <col min="16123" max="16123" width="7.7109375" customWidth="1"/>
    <col min="16124" max="16124" width="14.140625" customWidth="1"/>
    <col min="16125" max="16125" width="28.140625" customWidth="1"/>
    <col min="16126" max="16126" width="12.140625" customWidth="1"/>
    <col min="16127" max="16127" width="14.28515625" customWidth="1"/>
    <col min="16128" max="16128" width="28.140625" customWidth="1"/>
    <col min="16129" max="16129" width="35.140625" customWidth="1"/>
  </cols>
  <sheetData>
    <row r="1" spans="1:5" x14ac:dyDescent="0.2">
      <c r="A1" s="248" t="s">
        <v>7</v>
      </c>
      <c r="B1" s="248" t="s">
        <v>555</v>
      </c>
      <c r="C1" s="248" t="s">
        <v>556</v>
      </c>
    </row>
    <row r="2" spans="1:5" x14ac:dyDescent="0.2">
      <c r="A2" s="245" t="str" cm="1">
        <f t="array" ref="A2:A337">_xlfn._xlws.SORT(_xlfn.UNIQUE(Orçamento!P11:P4618),1,1)</f>
        <v/>
      </c>
      <c r="B2" s="246" t="str">
        <f>IF(A2="","",SUMIF(Orçamento!P:P,'ABC Insumos Apoio'!A2,Orçamento!Z:Z))</f>
        <v/>
      </c>
      <c r="C2" s="246" t="str">
        <f>IF(A2="","",CONCATENATE(B2, " - ",A2))</f>
        <v/>
      </c>
      <c r="E2" t="str" cm="1">
        <f t="array" aca="1" ref="E2:E338" ca="1">_xlfn._xlws.SORT(_xlfn.UNIQUE(C2:C2000),1,-1)</f>
        <v>9947,98 - ARAME RECOZIDO 18 BWG, 1,25MM (0,010 KG/M)</v>
      </c>
    </row>
    <row r="3" spans="1:5" x14ac:dyDescent="0.2">
      <c r="A3" s="245" t="str">
        <v>Abraçadeira para linha de vida em aço galvanizado para poste de 3" de cabo 1/2"</v>
      </c>
      <c r="B3" s="246">
        <f ca="1">ROUNDUP(IF(A3="","",SUMIF(Orçamento!P:P,'ABC Insumos Apoio'!A3,Orçamento!Z:Z)),2)</f>
        <v>178.79</v>
      </c>
      <c r="C3" s="246" t="str">
        <f ca="1">IF(A3="","",CONCATENATE(B3, " - ",A3))</f>
        <v>178,79 - Abraçadeira para linha de vida em aço galvanizado para poste de 3" de cabo 1/2"</v>
      </c>
      <c r="E3" t="str">
        <f ca="1"/>
        <v>9936 - CONCRETO MAGRO 150 KG CIM/M3</v>
      </c>
    </row>
    <row r="4" spans="1:5" x14ac:dyDescent="0.2">
      <c r="A4" s="245" t="str">
        <v>ACABAMENTO REGISTRO LATAO CROMADO 3/4" NBR 15705</v>
      </c>
      <c r="B4" s="246">
        <f ca="1">ROUNDUP(IF(A4="","",SUMIF(Orçamento!P:P,'ABC Insumos Apoio'!A4,Orçamento!Z:Z)),2)</f>
        <v>198</v>
      </c>
      <c r="C4" s="246" t="str">
        <f t="shared" ref="C4:C66" ca="1" si="0">IF(A4="","",CONCATENATE(B4, " - ",A4))</f>
        <v>198 - ACABAMENTO REGISTRO LATAO CROMADO 3/4" NBR 15705</v>
      </c>
      <c r="E4" t="str">
        <f ca="1"/>
        <v>9756 - Mobilização e desmobilização de Mini-grua</v>
      </c>
    </row>
    <row r="5" spans="1:5" x14ac:dyDescent="0.2">
      <c r="A5" s="245" t="str">
        <v>ACO CA-50A 10,00 MM (3/8)</v>
      </c>
      <c r="B5" s="246">
        <f ca="1">ROUNDUP(IF(A5="","",SUMIF(Orçamento!P:P,'ABC Insumos Apoio'!A5,Orçamento!Z:Z)),2)</f>
        <v>34392.870000000003</v>
      </c>
      <c r="C5" s="246" t="str">
        <f t="shared" ca="1" si="0"/>
        <v>34392,87 - ACO CA-50A 10,00 MM (3/8)</v>
      </c>
      <c r="E5" t="str">
        <f ca="1"/>
        <v>9716,15 - INSTALACOES DE PROTECAO E ATERRAMENTO - SPDA</v>
      </c>
    </row>
    <row r="6" spans="1:5" x14ac:dyDescent="0.2">
      <c r="A6" s="245" t="str">
        <v>ACO CA-50A 12,50 MM (1/2)</v>
      </c>
      <c r="B6" s="246">
        <f ca="1">ROUNDUP(IF(A6="","",SUMIF(Orçamento!P:P,'ABC Insumos Apoio'!A6,Orçamento!Z:Z)),2)</f>
        <v>23362.09</v>
      </c>
      <c r="C6" s="246" t="str">
        <f t="shared" ca="1" si="0"/>
        <v>23362,09 - ACO CA-50A 12,50 MM (1/2)</v>
      </c>
      <c r="E6" t="str">
        <f ca="1"/>
        <v>9716,15 - DESMOBILIZACAO PESSOAL/EQUIPAMENTOS</v>
      </c>
    </row>
    <row r="7" spans="1:5" x14ac:dyDescent="0.2">
      <c r="A7" s="245" t="str">
        <v>ACO CA-50A 16,00 MM (5/8)</v>
      </c>
      <c r="B7" s="246">
        <f ca="1">ROUNDUP(IF(A7="","",SUMIF(Orçamento!P:P,'ABC Insumos Apoio'!A7,Orçamento!Z:Z)),2)</f>
        <v>25474.51</v>
      </c>
      <c r="C7" s="246" t="str">
        <f t="shared" ca="1" si="0"/>
        <v>25474,51 - ACO CA-50A 16,00 MM (5/8)</v>
      </c>
      <c r="E7" t="str">
        <f ca="1"/>
        <v>962,12 - IMPERMEABILIZANTE FLEXÍVEL E ELÁSTICO BICOMPONENTE COM FIBRAS</v>
      </c>
    </row>
    <row r="8" spans="1:5" x14ac:dyDescent="0.2">
      <c r="A8" s="245" t="str">
        <v>ACO CA-50A 20,00 MM (3/4)</v>
      </c>
      <c r="B8" s="246">
        <f ca="1">ROUNDUP(IF(A8="","",SUMIF(Orçamento!P:P,'ABC Insumos Apoio'!A8,Orçamento!Z:Z)),2)</f>
        <v>17706.099999999999</v>
      </c>
      <c r="C8" s="246" t="str">
        <f t="shared" ca="1" si="0"/>
        <v>17706,1 - ACO CA-50A 20,00 MM (3/4)</v>
      </c>
      <c r="E8" t="str">
        <f ca="1"/>
        <v>9560,94 - REVESTIMENTO - PASTILHA CERAMICA 5 X 5CM</v>
      </c>
    </row>
    <row r="9" spans="1:5" x14ac:dyDescent="0.2">
      <c r="A9" s="245" t="str">
        <v>Aco CA-50A 25,00 mm (1)</v>
      </c>
      <c r="B9" s="246">
        <f ca="1">ROUNDUP(IF(A9="","",SUMIF(Orçamento!P:P,'ABC Insumos Apoio'!A9,Orçamento!Z:Z)),2)</f>
        <v>6709.52</v>
      </c>
      <c r="C9" s="246" t="str">
        <f t="shared" ca="1" si="0"/>
        <v>6709,52 - Aco CA-50A 25,00 mm (1)</v>
      </c>
      <c r="E9" t="str">
        <f ca="1"/>
        <v>9500 - Projeto PCI (Prevenção e combate a Incêndios)</v>
      </c>
    </row>
    <row r="10" spans="1:5" x14ac:dyDescent="0.2">
      <c r="A10" s="245" t="str">
        <v>ACO CA-50A 6,30 MM (1/4)</v>
      </c>
      <c r="B10" s="246">
        <f ca="1">ROUNDUP(IF(A10="","",SUMIF(Orçamento!P:P,'ABC Insumos Apoio'!A10,Orçamento!Z:Z)),2)</f>
        <v>19864.519999999997</v>
      </c>
      <c r="C10" s="246" t="str">
        <f t="shared" ca="1" si="0"/>
        <v>19864,52 - ACO CA-50A 6,30 MM (1/4)</v>
      </c>
      <c r="E10" t="str">
        <f ca="1"/>
        <v>9500 - PROJETO HIDROSSANITARIO</v>
      </c>
    </row>
    <row r="11" spans="1:5" x14ac:dyDescent="0.2">
      <c r="A11" s="245" t="str">
        <v>ACO CA-50A 8,00 MM (5/16)</v>
      </c>
      <c r="B11" s="246">
        <f ca="1">ROUNDUP(IF(A11="","",SUMIF(Orçamento!P:P,'ABC Insumos Apoio'!A11,Orçamento!Z:Z)),2)</f>
        <v>23839.289999999997</v>
      </c>
      <c r="C11" s="246" t="str">
        <f t="shared" ca="1" si="0"/>
        <v>23839,29 - ACO CA-50A 8,00 MM (5/16)</v>
      </c>
      <c r="E11" t="str">
        <f ca="1"/>
        <v>9450,46 - INSTALAÇÕES AGUA PLUVIAIS - TIPO (X5)</v>
      </c>
    </row>
    <row r="12" spans="1:5" x14ac:dyDescent="0.2">
      <c r="A12" s="245" t="str">
        <v>ACO CA-60 5,00 MM</v>
      </c>
      <c r="B12" s="246">
        <f ca="1">ROUNDUP(IF(A12="","",SUMIF(Orçamento!P:P,'ABC Insumos Apoio'!A12,Orçamento!Z:Z)),2)</f>
        <v>1680.15</v>
      </c>
      <c r="C12" s="246" t="str">
        <f t="shared" ca="1" si="0"/>
        <v>1680,15 - ACO CA-60 5,00 MM</v>
      </c>
      <c r="E12" t="str">
        <f ca="1"/>
        <v>9430 - MAO DE OBRA PARA COLOCACAO DE RODAPE CERAMICO E PORCELANATO</v>
      </c>
    </row>
    <row r="13" spans="1:5" x14ac:dyDescent="0.2">
      <c r="A13" s="245" t="str">
        <v>Acompanhamento e fiscalização na montagem da Protensão, locação de macacohidráulico e maçarico</v>
      </c>
      <c r="B13" s="246">
        <f ca="1">ROUNDUP(IF(A13="","",SUMIF(Orçamento!P:P,'ABC Insumos Apoio'!A13,Orçamento!Z:Z)),2)</f>
        <v>3409.92</v>
      </c>
      <c r="C13" s="246" t="str">
        <f t="shared" ca="1" si="0"/>
        <v>3409,92 - Acompanhamento e fiscalização na montagem da Protensão, locação de macacohidráulico e maçarico</v>
      </c>
      <c r="E13" t="str">
        <f ca="1"/>
        <v>939,8 - COLA PARA RODAPE DE POLIESTIRENO</v>
      </c>
    </row>
    <row r="14" spans="1:5" x14ac:dyDescent="0.2">
      <c r="A14" s="245" t="str">
        <v>Adaptador Ancor. (AP2)B Chupeta-EHX 0027</v>
      </c>
      <c r="B14" s="246">
        <f ca="1">ROUNDUP(IF(A14="","",SUMIF(Orçamento!P:P,'ABC Insumos Apoio'!A14,Orçamento!Z:Z)),2)</f>
        <v>366.08</v>
      </c>
      <c r="C14" s="246" t="str">
        <f t="shared" ca="1" si="0"/>
        <v>366,08 - Adaptador Ancor. (AP2)B Chupeta-EHX 0027</v>
      </c>
      <c r="E14" t="str">
        <f ca="1"/>
        <v>9300,06 - CHAPISCO COLANTE 20KG</v>
      </c>
    </row>
    <row r="15" spans="1:5" x14ac:dyDescent="0.2">
      <c r="A15" s="245" t="str">
        <v>ADESIVO DE BASE ACRILICA COMPATIVEL COM CIMENTO</v>
      </c>
      <c r="B15" s="246">
        <f ca="1">ROUNDUP(IF(A15="","",SUMIF(Orçamento!P:P,'ABC Insumos Apoio'!A15,Orçamento!Z:Z)),2)</f>
        <v>1687.27</v>
      </c>
      <c r="C15" s="246" t="str">
        <f t="shared" ca="1" si="0"/>
        <v>1687,27 - ADESIVO DE BASE ACRILICA COMPATIVEL COM CIMENTO</v>
      </c>
      <c r="E15" t="str">
        <f ca="1"/>
        <v>926,52 - PINO LISO P/FIXACAO DIRETA C/ARRUELA 23MM CONICA 1/4"X28MM</v>
      </c>
    </row>
    <row r="16" spans="1:5" x14ac:dyDescent="0.2">
      <c r="A16" s="245" t="str">
        <v>ALC01 - Alçapão 70X70</v>
      </c>
      <c r="B16" s="246">
        <f ca="1">ROUNDUP(IF(A16="","",SUMIF(Orçamento!P:P,'ABC Insumos Apoio'!A16,Orçamento!Z:Z)),2)</f>
        <v>3067.98</v>
      </c>
      <c r="C16" s="246" t="str">
        <f t="shared" ca="1" si="0"/>
        <v>3067,98 - ALC01 - Alçapão 70X70</v>
      </c>
      <c r="E16" t="str">
        <f ca="1"/>
        <v>9097,44 - ESPACADOR CIRCULAR 40MM</v>
      </c>
    </row>
    <row r="17" spans="1:5" x14ac:dyDescent="0.2">
      <c r="A17" s="245" t="str">
        <v>Ancoragem base 1/2" - EHX 0063</v>
      </c>
      <c r="B17" s="246">
        <f ca="1">ROUNDUP(IF(A17="","",SUMIF(Orçamento!P:P,'ABC Insumos Apoio'!A17,Orçamento!Z:Z)),2)</f>
        <v>6435.84</v>
      </c>
      <c r="C17" s="246" t="str">
        <f t="shared" ca="1" si="0"/>
        <v>6435,84 - Ancoragem base 1/2" - EHX 0063</v>
      </c>
      <c r="E17" t="str">
        <f ca="1"/>
        <v>905,81 - Taxa Aprovação Ambiental (Lap/Lai/Auc)/Compensatória)</v>
      </c>
    </row>
    <row r="18" spans="1:5" x14ac:dyDescent="0.2">
      <c r="A18" s="245" t="str">
        <v>ANEL VEDACAO C/GUIA P/VASO SANITARIO 4"</v>
      </c>
      <c r="B18" s="246">
        <f ca="1">ROUNDUP(IF(A18="","",SUMIF(Orçamento!P:P,'ABC Insumos Apoio'!A18,Orçamento!Z:Z)),2)</f>
        <v>651.9</v>
      </c>
      <c r="C18" s="246" t="str">
        <f t="shared" ca="1" si="0"/>
        <v>651,9 - ANEL VEDACAO C/GUIA P/VASO SANITARIO 4"</v>
      </c>
      <c r="E18" t="str">
        <f ca="1"/>
        <v>9000 - Locação Andaime Suspenso Manual</v>
      </c>
    </row>
    <row r="19" spans="1:5" x14ac:dyDescent="0.2">
      <c r="A19" s="245" t="str">
        <v>ARAME ACO CARBONO GALVANIZADO LISO BWG 16 FIO 1,65MM NBR 6207</v>
      </c>
      <c r="B19" s="246">
        <f ca="1">ROUNDUP(IF(A19="","",SUMIF(Orçamento!P:P,'ABC Insumos Apoio'!A19,Orçamento!Z:Z)),2)</f>
        <v>208.78</v>
      </c>
      <c r="C19" s="246" t="str">
        <f t="shared" ca="1" si="0"/>
        <v>208,78 - ARAME ACO CARBONO GALVANIZADO LISO BWG 16 FIO 1,65MM NBR 6207</v>
      </c>
      <c r="E19" t="str">
        <f ca="1"/>
        <v>90 - Dispositivo de Aspiração / 1.1/2"</v>
      </c>
    </row>
    <row r="20" spans="1:5" x14ac:dyDescent="0.2">
      <c r="A20" s="245" t="str">
        <v>Arame recozido 12 BWG</v>
      </c>
      <c r="B20" s="246">
        <f ca="1">ROUNDUP(IF(A20="","",SUMIF(Orçamento!P:P,'ABC Insumos Apoio'!A20,Orçamento!Z:Z)),2)</f>
        <v>1147.76</v>
      </c>
      <c r="C20" s="246" t="str">
        <f t="shared" ca="1" si="0"/>
        <v>1147,76 - Arame recozido 12 BWG</v>
      </c>
      <c r="E20" t="str">
        <f ca="1"/>
        <v>8949,98 - MASSA CORRIDA PVA</v>
      </c>
    </row>
    <row r="21" spans="1:5" x14ac:dyDescent="0.2">
      <c r="A21" s="245" t="str">
        <v>ARAME RECOZIDO 18 BWG, 1,25MM (0,010 KG/M)</v>
      </c>
      <c r="B21" s="246">
        <f ca="1">ROUNDUP(IF(A21="","",SUMIF(Orçamento!P:P,'ABC Insumos Apoio'!A21,Orçamento!Z:Z)),2)</f>
        <v>9947.98</v>
      </c>
      <c r="C21" s="246" t="str">
        <f t="shared" ca="1" si="0"/>
        <v>9947,98 - ARAME RECOZIDO 18 BWG, 1,25MM (0,010 KG/M)</v>
      </c>
      <c r="E21" t="str">
        <f ca="1"/>
        <v>8900 - SONDAGEM</v>
      </c>
    </row>
    <row r="22" spans="1:5" x14ac:dyDescent="0.2">
      <c r="A22" s="245" t="str">
        <v>AREIA MEDIA</v>
      </c>
      <c r="B22" s="246">
        <f ca="1">ROUNDUP(IF(A22="","",SUMIF(Orçamento!P:P,'ABC Insumos Apoio'!A22,Orçamento!Z:Z)),2)</f>
        <v>2719.92</v>
      </c>
      <c r="C22" s="246" t="str">
        <f t="shared" ca="1" si="0"/>
        <v>2719,92 - AREIA MEDIA</v>
      </c>
      <c r="E22" t="str">
        <f ca="1"/>
        <v>889 - Skimmer - 50 mm</v>
      </c>
    </row>
    <row r="23" spans="1:5" x14ac:dyDescent="0.2">
      <c r="A23" s="245" t="str">
        <v>ARGAMASSA COLANTE AC II</v>
      </c>
      <c r="B23" s="246">
        <f ca="1">ROUNDUP(IF(A23="","",SUMIF(Orçamento!P:P,'ABC Insumos Apoio'!A23,Orçamento!Z:Z)),2)</f>
        <v>13777.93</v>
      </c>
      <c r="C23" s="246" t="str">
        <f t="shared" ca="1" si="0"/>
        <v>13777,93 - ARGAMASSA COLANTE AC II</v>
      </c>
      <c r="E23" t="str">
        <f ca="1"/>
        <v>88550 - Mão de Obra para Instalação Hidrossanitárias</v>
      </c>
    </row>
    <row r="24" spans="1:5" x14ac:dyDescent="0.2">
      <c r="A24" s="245" t="str">
        <v>ARGAMASSA COLANTE AC III</v>
      </c>
      <c r="B24" s="246">
        <f ca="1">ROUNDUP(IF(A24="","",SUMIF(Orçamento!P:P,'ABC Insumos Apoio'!A24,Orçamento!Z:Z)),2)</f>
        <v>11927.24</v>
      </c>
      <c r="C24" s="246" t="str">
        <f t="shared" ca="1" si="0"/>
        <v>11927,24 - ARGAMASSA COLANTE AC III</v>
      </c>
      <c r="E24" t="str">
        <f ca="1"/>
        <v>88550 - Mão de obra de instalações eletricas</v>
      </c>
    </row>
    <row r="25" spans="1:5" x14ac:dyDescent="0.2">
      <c r="A25" s="245" t="str">
        <v>ARGAMASSA ESTABILIZADA P/ ASSENTAMENTO</v>
      </c>
      <c r="B25" s="246">
        <f ca="1">ROUNDUP(IF(A25="","",SUMIF(Orçamento!P:P,'ABC Insumos Apoio'!A25,Orçamento!Z:Z)),2)</f>
        <v>19008.609999999997</v>
      </c>
      <c r="C25" s="246" t="str">
        <f t="shared" ca="1" si="0"/>
        <v>19008,61 - ARGAMASSA ESTABILIZADA P/ ASSENTAMENTO</v>
      </c>
      <c r="E25" t="str">
        <f ca="1"/>
        <v>88008,19 - MAO DE OBRA PARA COLOCACAO E REJUNTAMENTO DE PORCELANATO</v>
      </c>
    </row>
    <row r="26" spans="1:5" x14ac:dyDescent="0.2">
      <c r="A26" s="245" t="str">
        <v>ARGAMASSA ESTABILIZADA P/ CONTRAPISO</v>
      </c>
      <c r="B26" s="246">
        <f ca="1">ROUNDUP(IF(A26="","",SUMIF(Orçamento!P:P,'ABC Insumos Apoio'!A26,Orçamento!Z:Z)),2)</f>
        <v>81011.09</v>
      </c>
      <c r="C26" s="246" t="str">
        <f t="shared" ca="1" si="0"/>
        <v>81011,09 - ARGAMASSA ESTABILIZADA P/ CONTRAPISO</v>
      </c>
      <c r="E26" t="str">
        <f ca="1"/>
        <v>8800 - DESPESAS DE CONSUMO - ENERGIA</v>
      </c>
    </row>
    <row r="27" spans="1:5" x14ac:dyDescent="0.2">
      <c r="A27" s="245" t="str">
        <v>ARGAMASSA ESTABILIZADA PARA CHAPISCO</v>
      </c>
      <c r="B27" s="246">
        <f ca="1">ROUNDUP(IF(A27="","",SUMIF(Orçamento!P:P,'ABC Insumos Apoio'!A27,Orçamento!Z:Z)),2)</f>
        <v>34809.4</v>
      </c>
      <c r="C27" s="246" t="str">
        <f t="shared" ca="1" si="0"/>
        <v>34809,4 - ARGAMASSA ESTABILIZADA PARA CHAPISCO</v>
      </c>
      <c r="E27" t="str">
        <f ca="1"/>
        <v>8757,31 - P3 - PORTA MADEIRA ACABAMENTO MELAMÍNICO BRANCO - ABRIR (E. VERTIVAL) - 60X210</v>
      </c>
    </row>
    <row r="28" spans="1:5" x14ac:dyDescent="0.2">
      <c r="A28" s="245" t="str">
        <v>ARGAMASSA ESTABILIZADA PARA REBOCO</v>
      </c>
      <c r="B28" s="246">
        <f ca="1">ROUNDUP(IF(A28="","",SUMIF(Orçamento!P:P,'ABC Insumos Apoio'!A28,Orçamento!Z:Z)),2)</f>
        <v>111075.73999999999</v>
      </c>
      <c r="C28" s="246" t="str">
        <f t="shared" ca="1" si="0"/>
        <v>111075,74 - ARGAMASSA ESTABILIZADA PARA REBOCO</v>
      </c>
      <c r="E28" t="str">
        <f ca="1"/>
        <v>86974,03 - TINTA ACRILICO PREMIUM FOSCO</v>
      </c>
    </row>
    <row r="29" spans="1:5" x14ac:dyDescent="0.2">
      <c r="A29" s="245" t="str">
        <v>ARGAMASSA PARA ENCUNHAMENTO</v>
      </c>
      <c r="B29" s="246">
        <f ca="1">ROUNDUP(IF(A29="","",SUMIF(Orçamento!P:P,'ABC Insumos Apoio'!A29,Orçamento!Z:Z)),2)</f>
        <v>6000.17</v>
      </c>
      <c r="C29" s="246" t="str">
        <f t="shared" ca="1" si="0"/>
        <v>6000,17 - ARGAMASSA PARA ENCUNHAMENTO</v>
      </c>
      <c r="E29" t="str">
        <f ca="1"/>
        <v>850 - FORNECIMENTO DE M.O. PARA INSTALACAO DE EXAUSTAO DE CHURRASQUEIRAS</v>
      </c>
    </row>
    <row r="30" spans="1:5" x14ac:dyDescent="0.2">
      <c r="A30" s="245" t="str">
        <v>Argamassa Polimerica Impermeabilizante</v>
      </c>
      <c r="B30" s="246">
        <f ca="1">ROUNDUP(IF(A30="","",SUMIF(Orçamento!P:P,'ABC Insumos Apoio'!A30,Orçamento!Z:Z)),2)</f>
        <v>28947.879999999997</v>
      </c>
      <c r="C30" s="246" t="str">
        <f t="shared" ca="1" si="0"/>
        <v>28947,88 - Argamassa Polimerica Impermeabilizante</v>
      </c>
      <c r="E30" t="str">
        <f ca="1"/>
        <v>8400 - MÃO DE OBRA PARA TRATAMENTO DE RALO</v>
      </c>
    </row>
    <row r="31" spans="1:5" x14ac:dyDescent="0.2">
      <c r="A31" s="245" t="str">
        <v>ARMAÇÃO MÉDIA PARA CONTENÇÃO</v>
      </c>
      <c r="B31" s="246">
        <f ca="1">ROUNDUP(IF(A31="","",SUMIF(Orçamento!P:P,'ABC Insumos Apoio'!A31,Orçamento!Z:Z)),2)</f>
        <v>13855.800000000001</v>
      </c>
      <c r="C31" s="246" t="str">
        <f t="shared" ca="1" si="0"/>
        <v>13855,8 - ARMAÇÃO MÉDIA PARA CONTENÇÃO</v>
      </c>
      <c r="E31" t="str">
        <f ca="1"/>
        <v>840 - FORNECIMENTO DE M.O. PARA EQUIPAMENTO DE AR CONDICIONADO</v>
      </c>
    </row>
    <row r="32" spans="1:5" x14ac:dyDescent="0.2">
      <c r="A32" s="245" t="str">
        <v>ARMAÇÃO MÉDIA PARA FUNDAÇÃO</v>
      </c>
      <c r="B32" s="246">
        <f ca="1">ROUNDUP(IF(A32="","",SUMIF(Orçamento!P:P,'ABC Insumos Apoio'!A32,Orçamento!Z:Z)),2)</f>
        <v>46260.68</v>
      </c>
      <c r="C32" s="246" t="str">
        <f t="shared" ca="1" si="0"/>
        <v>46260,68 - ARMAÇÃO MÉDIA PARA FUNDAÇÃO</v>
      </c>
      <c r="E32" t="str">
        <f ca="1"/>
        <v>84,2 - CHAPA COMPENSADO RESINADA 14 MM (2,20 X 1,10)</v>
      </c>
    </row>
    <row r="33" spans="1:5" x14ac:dyDescent="0.2">
      <c r="A33" s="245" t="str">
        <v>BACIA SANITARIA LOUCA P/CAIXA ACOPLADA</v>
      </c>
      <c r="B33" s="246">
        <f ca="1">ROUNDUP(IF(A33="","",SUMIF(Orçamento!P:P,'ABC Insumos Apoio'!A33,Orçamento!Z:Z)),2)</f>
        <v>11685</v>
      </c>
      <c r="C33" s="246" t="str">
        <f t="shared" ca="1" si="0"/>
        <v>11685 - BACIA SANITARIA LOUCA P/CAIXA ACOPLADA</v>
      </c>
      <c r="E33" t="str">
        <f ca="1"/>
        <v>82800 - MAO DE OBRA PARA PINTURA LATEX ACRILICA EM TETO - 3 DEMAOS</v>
      </c>
    </row>
    <row r="34" spans="1:5" x14ac:dyDescent="0.2">
      <c r="A34" s="245" t="str">
        <v>Barra de apoio PNE</v>
      </c>
      <c r="B34" s="246">
        <f ca="1">ROUNDUP(IF(A34="","",SUMIF(Orçamento!P:P,'ABC Insumos Apoio'!A34,Orçamento!Z:Z)),2)</f>
        <v>12471.84</v>
      </c>
      <c r="C34" s="246" t="str">
        <f t="shared" ca="1" si="0"/>
        <v>12471,84 - Barra de apoio PNE</v>
      </c>
      <c r="E34" t="str">
        <f ca="1"/>
        <v>8265,1 - G1 - JANELA METAL - GRADE VENTILAÇÃO PERMANENTE - 120X70</v>
      </c>
    </row>
    <row r="35" spans="1:5" x14ac:dyDescent="0.2">
      <c r="A35" s="245" t="str">
        <v>BLOCO CERAMICO VEDACAO 11,5 X 19 X 29 CM - FUROS NA HORIZONTAL</v>
      </c>
      <c r="B35" s="246">
        <f ca="1">ROUNDUP(IF(A35="","",SUMIF(Orçamento!P:P,'ABC Insumos Apoio'!A35,Orçamento!Z:Z)),2)</f>
        <v>10353.14</v>
      </c>
      <c r="C35" s="246" t="str">
        <f t="shared" ca="1" si="0"/>
        <v>10353,14 - BLOCO CERAMICO VEDACAO 11,5 X 19 X 29 CM - FUROS NA HORIZONTAL</v>
      </c>
      <c r="E35" t="str">
        <f ca="1"/>
        <v>819 - Dreno de Fundo 1.1/2"</v>
      </c>
    </row>
    <row r="36" spans="1:5" x14ac:dyDescent="0.2">
      <c r="A36" s="245" t="str">
        <v>BLOCO CERAMICO VEDACAO 14 X 19 X 29 CM - FUROS NA HORIZONTAL</v>
      </c>
      <c r="B36" s="246">
        <f ca="1">ROUNDUP(IF(A36="","",SUMIF(Orçamento!P:P,'ABC Insumos Apoio'!A36,Orçamento!Z:Z)),2)</f>
        <v>59725.04</v>
      </c>
      <c r="C36" s="246" t="str">
        <f t="shared" ca="1" si="0"/>
        <v>59725,04 - BLOCO CERAMICO VEDACAO 14 X 19 X 29 CM - FUROS NA HORIZONTAL</v>
      </c>
      <c r="E36" t="str">
        <f ca="1"/>
        <v>8129,21 - Demolicao com retirada de entulho ate nivel do piso</v>
      </c>
    </row>
    <row r="37" spans="1:5" x14ac:dyDescent="0.2">
      <c r="A37" s="245" t="str">
        <v>BLOCO CERAMICO VEDACAO 9 X 19 X 29 CM - FUROS NA HORIZONTAL</v>
      </c>
      <c r="B37" s="246">
        <f ca="1">ROUNDUP(IF(A37="","",SUMIF(Orçamento!P:P,'ABC Insumos Apoio'!A37,Orçamento!Z:Z)),2)</f>
        <v>403.21999999999997</v>
      </c>
      <c r="C37" s="246" t="str">
        <f t="shared" ca="1" si="0"/>
        <v>403,22 - BLOCO CERAMICO VEDACAO 9 X 19 X 29 CM - FUROS NA HORIZONTAL</v>
      </c>
      <c r="E37" t="str">
        <f ca="1"/>
        <v>81011,09 - ARGAMASSA ESTABILIZADA P/ CONTRAPISO</v>
      </c>
    </row>
    <row r="38" spans="1:5" x14ac:dyDescent="0.2">
      <c r="A38" s="245" t="str">
        <v>BLOCO CONCRETO TIPO PISOGRAMA 35MPA 08CM NBR 6136</v>
      </c>
      <c r="B38" s="246">
        <f ca="1">ROUNDUP(IF(A38="","",SUMIF(Orçamento!P:P,'ABC Insumos Apoio'!A38,Orçamento!Z:Z)),2)</f>
        <v>1304.47</v>
      </c>
      <c r="C38" s="246" t="str">
        <f t="shared" ca="1" si="0"/>
        <v>1304,47 - BLOCO CONCRETO TIPO PISOGRAMA 35MPA 08CM NBR 6136</v>
      </c>
      <c r="E38" t="str">
        <f ca="1"/>
        <v>80,66 - TINTA ACRILICA PARA PISO</v>
      </c>
    </row>
    <row r="39" spans="1:5" x14ac:dyDescent="0.2">
      <c r="A39" s="245" t="str">
        <v>BLOCO CONCRETO VEDACAO 14 X 19 X 29 CM</v>
      </c>
      <c r="B39" s="246">
        <f ca="1">ROUNDUP(IF(A39="","",SUMIF(Orçamento!P:P,'ABC Insumos Apoio'!A39,Orçamento!Z:Z)),2)</f>
        <v>795.36</v>
      </c>
      <c r="C39" s="246" t="str">
        <f t="shared" ca="1" si="0"/>
        <v>795,36 - BLOCO CONCRETO VEDACAO 14 X 19 X 29 CM</v>
      </c>
      <c r="E39" t="str">
        <f ca="1"/>
        <v>8,43 - GANCHO CHATO ACO CARBONO P/TELHA TIPO "L" 1/2"X1/8"X140MM</v>
      </c>
    </row>
    <row r="40" spans="1:5" x14ac:dyDescent="0.2">
      <c r="A40" s="245" t="str">
        <v>BOMBEAMENTO DE CONCRETO USINADO</v>
      </c>
      <c r="B40" s="246">
        <f ca="1">ROUNDUP(IF(A40="","",SUMIF(Orçamento!P:P,'ABC Insumos Apoio'!A40,Orçamento!Z:Z)),2)</f>
        <v>18235.609999999997</v>
      </c>
      <c r="C40" s="246" t="str">
        <f t="shared" ca="1" si="0"/>
        <v>18235,61 - BOMBEAMENTO DE CONCRETO USINADO</v>
      </c>
      <c r="E40" t="str">
        <f ca="1"/>
        <v>795,71 - Clip Para Cabo de Aço 1/2</v>
      </c>
    </row>
    <row r="41" spans="1:5" x14ac:dyDescent="0.2">
      <c r="A41" s="245" t="str">
        <v>BUCHA FIXACAO NYLON FU 08</v>
      </c>
      <c r="B41" s="246">
        <f ca="1">ROUNDUP(IF(A41="","",SUMIF(Orçamento!P:P,'ABC Insumos Apoio'!A41,Orçamento!Z:Z)),2)</f>
        <v>34.28</v>
      </c>
      <c r="C41" s="246" t="str">
        <f t="shared" ca="1" si="0"/>
        <v>34,28 - BUCHA FIXACAO NYLON FU 08</v>
      </c>
      <c r="E41" t="str">
        <f ca="1"/>
        <v>795,36 - BLOCO CONCRETO VEDACAO 14 X 19 X 29 CM</v>
      </c>
    </row>
    <row r="42" spans="1:5" x14ac:dyDescent="0.2">
      <c r="A42" s="245" t="str">
        <v>BUCHA T PARA RODAPE</v>
      </c>
      <c r="B42" s="246">
        <f ca="1">ROUNDUP(IF(A42="","",SUMIF(Orçamento!P:P,'ABC Insumos Apoio'!A42,Orçamento!Z:Z)),2)</f>
        <v>250.54</v>
      </c>
      <c r="C42" s="246" t="str">
        <f t="shared" ca="1" si="0"/>
        <v>250,54 - BUCHA T PARA RODAPE</v>
      </c>
      <c r="E42" t="str">
        <f ca="1"/>
        <v>79,8 - TORNEIRA LATAO CROMADO PAREDE P/TANQUE 1/2" C33 C/SAIDA P/MAQUINA</v>
      </c>
    </row>
    <row r="43" spans="1:5" x14ac:dyDescent="0.2">
      <c r="A43" s="245" t="str">
        <v>Cabo de aço SAE 1020 1/2" - 6/25 Alma de aço</v>
      </c>
      <c r="B43" s="246">
        <f ca="1">ROUNDUP(IF(A43="","",SUMIF(Orçamento!P:P,'ABC Insumos Apoio'!A43,Orçamento!Z:Z)),2)</f>
        <v>1029.77</v>
      </c>
      <c r="C43" s="246" t="str">
        <f t="shared" ca="1" si="0"/>
        <v>1029,77 - Cabo de aço SAE 1020 1/2" - 6/25 Alma de aço</v>
      </c>
      <c r="E43" t="str">
        <f ca="1"/>
        <v>7800,34 - PONTOS DE TOMADA E INTERRUPTORES - TIPO (x5)</v>
      </c>
    </row>
    <row r="44" spans="1:5" x14ac:dyDescent="0.2">
      <c r="A44" s="245" t="str">
        <v>Caibro madeira pinus 5x10x300cm</v>
      </c>
      <c r="B44" s="246">
        <f ca="1">ROUNDUP(IF(A44="","",SUMIF(Orçamento!P:P,'ABC Insumos Apoio'!A44,Orçamento!Z:Z)),2)</f>
        <v>406.48</v>
      </c>
      <c r="C44" s="246" t="str">
        <f t="shared" ca="1" si="0"/>
        <v>406,48 - Caibro madeira pinus 5x10x300cm</v>
      </c>
      <c r="E44" t="str">
        <f ca="1"/>
        <v>7800 - SERVICO ELEVADOR SOCIAL - MANUTENCAO CORRETIVA (AVULSA)</v>
      </c>
    </row>
    <row r="45" spans="1:5" x14ac:dyDescent="0.2">
      <c r="A45" s="245" t="str">
        <v>CAIBRO MADEIRA PINUS 8CM X 8 CM</v>
      </c>
      <c r="B45" s="246">
        <f ca="1">ROUNDUP(IF(A45="","",SUMIF(Orçamento!P:P,'ABC Insumos Apoio'!A45,Orçamento!Z:Z)),2)</f>
        <v>728.95</v>
      </c>
      <c r="C45" s="246" t="str">
        <f t="shared" ca="1" si="0"/>
        <v>728,95 - CAIBRO MADEIRA PINUS 8CM X 8 CM</v>
      </c>
      <c r="E45" t="str">
        <f ca="1"/>
        <v>7800 - LEVANTAMENTO TOPOGRAFICO</v>
      </c>
    </row>
    <row r="46" spans="1:5" x14ac:dyDescent="0.2">
      <c r="A46" s="245" t="str">
        <v>CAIXA ACOPLADA LOUCA P/DESCARGA</v>
      </c>
      <c r="B46" s="246">
        <f ca="1">ROUNDUP(IF(A46="","",SUMIF(Orçamento!P:P,'ABC Insumos Apoio'!A46,Orçamento!Z:Z)),2)</f>
        <v>5350.09</v>
      </c>
      <c r="C46" s="246" t="str">
        <f t="shared" ca="1" si="0"/>
        <v>5350,09 - CAIXA ACOPLADA LOUCA P/DESCARGA</v>
      </c>
      <c r="E46" t="str">
        <f ca="1"/>
        <v>7798,73 - INSTALAÇÕES AGUA FRIA - SUBSOLO</v>
      </c>
    </row>
    <row r="47" spans="1:5" x14ac:dyDescent="0.2">
      <c r="A47" s="245" t="str">
        <v>CALHA ACO CARBONO GALVANIZADO CHAPA 24 DESENVOLVIMENTO 400MM</v>
      </c>
      <c r="B47" s="246">
        <f ca="1">ROUNDUP(IF(A47="","",SUMIF(Orçamento!P:P,'ABC Insumos Apoio'!A47,Orçamento!Z:Z)),2)</f>
        <v>1007.27</v>
      </c>
      <c r="C47" s="246" t="str">
        <f t="shared" ca="1" si="0"/>
        <v>1007,27 - CALHA ACO CARBONO GALVANIZADO CHAPA 24 DESENVOLVIMENTO 400MM</v>
      </c>
      <c r="E47" t="str">
        <f ca="1"/>
        <v>779,88 - LUMINÁRIAS - SUBSOLO</v>
      </c>
    </row>
    <row r="48" spans="1:5" x14ac:dyDescent="0.2">
      <c r="A48" s="245" t="str">
        <v>CANTONEIRA ACO CARBONO ABAS IGUAIS 2"X1/8" (2,46KG/M) NBR 8261</v>
      </c>
      <c r="B48" s="246">
        <f ca="1">ROUNDUP(IF(A48="","",SUMIF(Orçamento!P:P,'ABC Insumos Apoio'!A48,Orçamento!Z:Z)),2)</f>
        <v>692.83</v>
      </c>
      <c r="C48" s="246" t="str">
        <f t="shared" ca="1" si="0"/>
        <v>692,83 - CANTONEIRA ACO CARBONO ABAS IGUAIS 2"X1/8" (2,46KG/M) NBR 8261</v>
      </c>
      <c r="E48" t="str">
        <f ca="1"/>
        <v>7785,93 - P2 - PORTA MADEIRA ACABAMENTO MELAMÍNICO BRANCO - ABRIR (E. VERTIVAL) - 70X210</v>
      </c>
    </row>
    <row r="49" spans="1:5" x14ac:dyDescent="0.2">
      <c r="A49" s="245" t="str">
        <v>CARTUCHO 22 - CARGA LEVE PARA FINCA PINO A POLVORA</v>
      </c>
      <c r="B49" s="246">
        <f ca="1">ROUNDUP(IF(A49="","",SUMIF(Orçamento!P:P,'ABC Insumos Apoio'!A49,Orçamento!Z:Z)),2)</f>
        <v>735.3</v>
      </c>
      <c r="C49" s="246" t="str">
        <f t="shared" ca="1" si="0"/>
        <v>735,3 - CARTUCHO 22 - CARGA LEVE PARA FINCA PINO A POLVORA</v>
      </c>
      <c r="E49" t="str">
        <f ca="1"/>
        <v>778,31 - MAO DE OBRA PARA PINTURA ACRILICA EM PISO</v>
      </c>
    </row>
    <row r="50" spans="1:5" x14ac:dyDescent="0.2">
      <c r="A50" s="245" t="str">
        <v>Certidão INSS</v>
      </c>
      <c r="B50" s="246">
        <f ca="1">ROUNDUP(IF(A50="","",SUMIF(Orçamento!P:P,'ABC Insumos Apoio'!A50,Orçamento!Z:Z)),2)</f>
        <v>2111.2800000000002</v>
      </c>
      <c r="C50" s="246" t="str">
        <f t="shared" ca="1" si="0"/>
        <v>2111,28 - Certidão INSS</v>
      </c>
      <c r="E50" t="str">
        <f ca="1"/>
        <v>7700 - DESPESAS DE CONSUMO - AGUA</v>
      </c>
    </row>
    <row r="51" spans="1:5" x14ac:dyDescent="0.2">
      <c r="A51" s="245" t="str">
        <v>CHAPA COMPENSADO RESINADA 14 MM (2,20 X 1,10)</v>
      </c>
      <c r="B51" s="246">
        <f ca="1">ROUNDUP(IF(A51="","",SUMIF(Orçamento!P:P,'ABC Insumos Apoio'!A51,Orçamento!Z:Z)),2)</f>
        <v>84.2</v>
      </c>
      <c r="C51" s="246" t="str">
        <f t="shared" ca="1" si="0"/>
        <v>84,2 - CHAPA COMPENSADO RESINADA 14 MM (2,20 X 1,10)</v>
      </c>
      <c r="E51" t="str">
        <f ca="1"/>
        <v>7688,73 - PREGO 17 x 21 COM CABECA</v>
      </c>
    </row>
    <row r="52" spans="1:5" x14ac:dyDescent="0.2">
      <c r="A52" s="245" t="str">
        <v>CHAPISCO COLANTE 20KG</v>
      </c>
      <c r="B52" s="246">
        <f ca="1">ROUNDUP(IF(A52="","",SUMIF(Orçamento!P:P,'ABC Insumos Apoio'!A52,Orçamento!Z:Z)),2)</f>
        <v>9300.06</v>
      </c>
      <c r="C52" s="246" t="str">
        <f t="shared" ca="1" si="0"/>
        <v>9300,06 - CHAPISCO COLANTE 20KG</v>
      </c>
      <c r="E52" t="str">
        <f ca="1"/>
        <v>762,43 - ESPUMA EXPANSIVA DE POLIURETANO 500G</v>
      </c>
    </row>
    <row r="53" spans="1:5" x14ac:dyDescent="0.2">
      <c r="A53" s="245" t="str">
        <v>CIMENTO BRANCO</v>
      </c>
      <c r="B53" s="246">
        <f ca="1">ROUNDUP(IF(A53="","",SUMIF(Orçamento!P:P,'ABC Insumos Apoio'!A53,Orçamento!Z:Z)),2)</f>
        <v>495.21</v>
      </c>
      <c r="C53" s="246" t="str">
        <f t="shared" ca="1" si="0"/>
        <v>495,21 - CIMENTO BRANCO</v>
      </c>
      <c r="E53" t="str">
        <f ca="1"/>
        <v>7600 - Taxas de As Built</v>
      </c>
    </row>
    <row r="54" spans="1:5" x14ac:dyDescent="0.2">
      <c r="A54" s="245" t="str">
        <v>Cimento Portland CP II - E</v>
      </c>
      <c r="B54" s="246">
        <f ca="1">ROUNDUP(IF(A54="","",SUMIF(Orçamento!P:P,'ABC Insumos Apoio'!A54,Orçamento!Z:Z)),2)</f>
        <v>471.82</v>
      </c>
      <c r="C54" s="246" t="str">
        <f t="shared" ca="1" si="0"/>
        <v>471,82 - Cimento Portland CP II - E</v>
      </c>
      <c r="E54" t="str">
        <f ca="1"/>
        <v>75566,57 - CONCRETO USINADO PARA FUNDAÇÃO</v>
      </c>
    </row>
    <row r="55" spans="1:5" x14ac:dyDescent="0.2">
      <c r="A55" s="245" t="str">
        <v>CIMENTO PORTLAND CP II 32 - Z</v>
      </c>
      <c r="B55" s="246">
        <f ca="1">ROUNDUP(IF(A55="","",SUMIF(Orçamento!P:P,'ABC Insumos Apoio'!A55,Orçamento!Z:Z)),2)</f>
        <v>6358.83</v>
      </c>
      <c r="C55" s="246" t="str">
        <f t="shared" ca="1" si="0"/>
        <v>6358,83 - CIMENTO PORTLAND CP II 32 - Z</v>
      </c>
      <c r="E55" t="str">
        <f ca="1"/>
        <v>75 - Torneira de Jardins</v>
      </c>
    </row>
    <row r="56" spans="1:5" x14ac:dyDescent="0.2">
      <c r="A56" s="245" t="str">
        <v>Clip Para Cabo de Aço 1/2</v>
      </c>
      <c r="B56" s="246">
        <f ca="1">ROUNDUP(IF(A56="","",SUMIF(Orçamento!P:P,'ABC Insumos Apoio'!A56,Orçamento!Z:Z)),2)</f>
        <v>795.71</v>
      </c>
      <c r="C56" s="246" t="str">
        <f t="shared" ca="1" si="0"/>
        <v>795,71 - Clip Para Cabo de Aço 1/2</v>
      </c>
      <c r="E56" t="str">
        <f ca="1"/>
        <v>7363 - INSTALAÇÕES DE INTERFONIA E CONTROLE DE ACESSOS</v>
      </c>
    </row>
    <row r="57" spans="1:5" x14ac:dyDescent="0.2">
      <c r="A57" s="245" t="str">
        <v>COLA PARA RODAPE DE POLIESTIRENO</v>
      </c>
      <c r="B57" s="246">
        <f ca="1">ROUNDUP(IF(A57="","",SUMIF(Orçamento!P:P,'ABC Insumos Apoio'!A57,Orçamento!Z:Z)),2)</f>
        <v>939.8</v>
      </c>
      <c r="C57" s="246" t="str">
        <f t="shared" ca="1" si="0"/>
        <v>939,8 - COLA PARA RODAPE DE POLIESTIRENO</v>
      </c>
      <c r="E57" t="str">
        <f ca="1"/>
        <v>735,3 - PINO LISO EM ACO GALVANIZADO 1/2 X 22MM COM ARRUELA</v>
      </c>
    </row>
    <row r="58" spans="1:5" x14ac:dyDescent="0.2">
      <c r="A58" s="245" t="str">
        <v>COMPENSADO MADEIRA TIPO PLASTIFICADO 2200X1100X14MM NBR 1096</v>
      </c>
      <c r="B58" s="246">
        <f ca="1">ROUNDUP(IF(A58="","",SUMIF(Orçamento!P:P,'ABC Insumos Apoio'!A58,Orçamento!Z:Z)),2)</f>
        <v>138594.91</v>
      </c>
      <c r="C58" s="246" t="str">
        <f t="shared" ca="1" si="0"/>
        <v>138594,91 - COMPENSADO MADEIRA TIPO PLASTIFICADO 2200X1100X14MM NBR 1096</v>
      </c>
      <c r="E58" t="str">
        <f ca="1"/>
        <v>735,3 - CARTUCHO 22 - CARGA LEVE PARA FINCA PINO A POLVORA</v>
      </c>
    </row>
    <row r="59" spans="1:5" x14ac:dyDescent="0.2">
      <c r="A59" s="245" t="str">
        <v>COMUNICACAO VISUAL INTERNA / EXTERNA</v>
      </c>
      <c r="B59" s="246">
        <f ca="1">ROUNDUP(IF(A59="","",SUMIF(Orçamento!P:P,'ABC Insumos Apoio'!A59,Orçamento!Z:Z)),2)</f>
        <v>19432.3</v>
      </c>
      <c r="C59" s="246" t="str">
        <f t="shared" ca="1" si="0"/>
        <v>19432,3 - COMUNICACAO VISUAL INTERNA / EXTERNA</v>
      </c>
      <c r="E59" t="str">
        <f ca="1"/>
        <v>732,16 - Pocket Former 1/2 - EHX 0009</v>
      </c>
    </row>
    <row r="60" spans="1:5" x14ac:dyDescent="0.2">
      <c r="A60" s="245" t="str">
        <v>Concreto 35 MPA, brita 1, slump 12+-2</v>
      </c>
      <c r="B60" s="246">
        <f ca="1">ROUNDUP(IF(A60="","",SUMIF(Orçamento!P:P,'ABC Insumos Apoio'!A60,Orçamento!Z:Z)),2)</f>
        <v>234457.84</v>
      </c>
      <c r="C60" s="246" t="str">
        <f t="shared" ca="1" si="0"/>
        <v>234457,84 - Concreto 35 MPA, brita 1, slump 12+-2</v>
      </c>
      <c r="E60" t="str">
        <f ca="1"/>
        <v>72883,05 - FIAÇÃO - TIPO (x5)</v>
      </c>
    </row>
    <row r="61" spans="1:5" x14ac:dyDescent="0.2">
      <c r="A61" s="245" t="str">
        <v>CONCRETO MAGRO 150 KG CIM/M3</v>
      </c>
      <c r="B61" s="246">
        <f ca="1">ROUNDUP(IF(A61="","",SUMIF(Orçamento!P:P,'ABC Insumos Apoio'!A61,Orçamento!Z:Z)),2)</f>
        <v>9936</v>
      </c>
      <c r="C61" s="246" t="str">
        <f t="shared" ca="1" si="0"/>
        <v>9936 - CONCRETO MAGRO 150 KG CIM/M3</v>
      </c>
      <c r="E61" t="str">
        <f ca="1"/>
        <v>728,95 - CAIBRO MADEIRA PINUS 8CM X 8 CM</v>
      </c>
    </row>
    <row r="62" spans="1:5" x14ac:dyDescent="0.2">
      <c r="A62" s="245" t="str">
        <v>CONCRETO USINADO BOMBEAVEL FCK 20 MPA BRITA 0+1 SLUMP 14+/-2</v>
      </c>
      <c r="B62" s="246">
        <f ca="1">ROUNDUP(IF(A62="","",SUMIF(Orçamento!P:P,'ABC Insumos Apoio'!A62,Orçamento!Z:Z)),2)</f>
        <v>6734.28</v>
      </c>
      <c r="C62" s="246" t="str">
        <f t="shared" ca="1" si="0"/>
        <v>6734,28 - CONCRETO USINADO BOMBEAVEL FCK 20 MPA BRITA 0+1 SLUMP 14+/-2</v>
      </c>
      <c r="E62" t="str">
        <f ca="1"/>
        <v>723,84 - IMPERMEABILIZANTE MANTA LIQUIDA BRANCA</v>
      </c>
    </row>
    <row r="63" spans="1:5" x14ac:dyDescent="0.2">
      <c r="A63" s="245" t="str">
        <v>CONCRETO USINADO PARA CONTENÇÃO</v>
      </c>
      <c r="B63" s="246">
        <f ca="1">ROUNDUP(IF(A63="","",SUMIF(Orçamento!P:P,'ABC Insumos Apoio'!A63,Orçamento!Z:Z)),2)</f>
        <v>22633.379999999997</v>
      </c>
      <c r="C63" s="246" t="str">
        <f t="shared" ca="1" si="0"/>
        <v>22633,38 - CONCRETO USINADO PARA CONTENÇÃO</v>
      </c>
      <c r="E63" t="str">
        <f ca="1"/>
        <v>720,02 - Elaboracao do Programa de Prevencao dos Riscos Ambientais (PPRA)</v>
      </c>
    </row>
    <row r="64" spans="1:5" x14ac:dyDescent="0.2">
      <c r="A64" s="245" t="str">
        <v>CONCRETO USINADO PARA FUNDAÇÃO</v>
      </c>
      <c r="B64" s="246">
        <f ca="1">ROUNDUP(IF(A64="","",SUMIF(Orçamento!P:P,'ABC Insumos Apoio'!A64,Orçamento!Z:Z)),2)</f>
        <v>75566.569999999992</v>
      </c>
      <c r="C64" s="246" t="str">
        <f t="shared" ca="1" si="0"/>
        <v>75566,57 - CONCRETO USINADO PARA FUNDAÇÃO</v>
      </c>
      <c r="E64" t="str">
        <f ca="1"/>
        <v>7000 - Montagem e Desmontagem de Mini-grua</v>
      </c>
    </row>
    <row r="65" spans="1:5" x14ac:dyDescent="0.2">
      <c r="A65" s="245" t="str">
        <v>Contador</v>
      </c>
      <c r="B65" s="246">
        <f ca="1">ROUNDUP(IF(A65="","",SUMIF(Orçamento!P:P,'ABC Insumos Apoio'!A65,Orçamento!Z:Z)),2)</f>
        <v>46200</v>
      </c>
      <c r="C65" s="246" t="str">
        <f t="shared" ca="1" si="0"/>
        <v>46200 - Contador</v>
      </c>
      <c r="E65" t="str">
        <f ca="1"/>
        <v>7000 - IPTU - IMPOSTO PREDIAL E TERRITORIAL URBANO</v>
      </c>
    </row>
    <row r="66" spans="1:5" x14ac:dyDescent="0.2">
      <c r="A66" s="245" t="str">
        <v>Controle tecnológico da Protensão</v>
      </c>
      <c r="B66" s="246">
        <f ca="1">ROUNDUP(IF(A66="","",SUMIF(Orçamento!P:P,'ABC Insumos Apoio'!A66,Orçamento!Z:Z)),2)</f>
        <v>25710.799999999999</v>
      </c>
      <c r="C66" s="246" t="str">
        <f t="shared" ca="1" si="0"/>
        <v>25710,8 - Controle tecnológico da Protensão</v>
      </c>
      <c r="E66" t="str">
        <f ca="1"/>
        <v>692,83 - CANTONEIRA ACO CARBONO ABAS IGUAIS 2"X1/8" (2,46KG/M) NBR 8261</v>
      </c>
    </row>
    <row r="67" spans="1:5" x14ac:dyDescent="0.2">
      <c r="A67" s="245" t="str">
        <v>CONTROLE TECNOLOGICO DO CONCRETO</v>
      </c>
      <c r="B67" s="246">
        <f ca="1">ROUNDUP(IF(A67="","",SUMIF(Orçamento!P:P,'ABC Insumos Apoio'!A67,Orçamento!Z:Z)),2)</f>
        <v>13057.62</v>
      </c>
      <c r="C67" s="246" t="str">
        <f t="shared" ref="C67:C130" ca="1" si="1">IF(A67="","",CONCATENATE(B67, " - ",A67))</f>
        <v>13057,62 - CONTROLE TECNOLOGICO DO CONCRETO</v>
      </c>
      <c r="E67" t="str">
        <f ca="1"/>
        <v>6916,85 - Despesas de cartório, licenças, certidões e jurídicas</v>
      </c>
    </row>
    <row r="68" spans="1:5" x14ac:dyDescent="0.2">
      <c r="A68" s="245" t="str">
        <v>CONTROLE TECNOLOGICO DO CONCRETO - FUNDAÇÃO</v>
      </c>
      <c r="B68" s="246">
        <f ca="1">ROUNDUP(IF(A68="","",SUMIF(Orçamento!P:P,'ABC Insumos Apoio'!A68,Orçamento!Z:Z)),2)</f>
        <v>3772</v>
      </c>
      <c r="C68" s="246" t="str">
        <f t="shared" ca="1" si="1"/>
        <v>3772 - CONTROLE TECNOLOGICO DO CONCRETO - FUNDAÇÃO</v>
      </c>
      <c r="E68" t="str">
        <f ca="1"/>
        <v>69000 - MAO DE OBRA PARA EXECUCAO DE CONTENÇÃO</v>
      </c>
    </row>
    <row r="69" spans="1:5" x14ac:dyDescent="0.2">
      <c r="A69" s="245" t="str">
        <v>CÓPIAS E PLOTAGENS</v>
      </c>
      <c r="B69" s="246">
        <f ca="1">ROUNDUP(IF(A69="","",SUMIF(Orçamento!P:P,'ABC Insumos Apoio'!A69,Orçamento!Z:Z)),2)</f>
        <v>1848</v>
      </c>
      <c r="C69" s="246" t="str">
        <f t="shared" ca="1" si="1"/>
        <v>1848 - CÓPIAS E PLOTAGENS</v>
      </c>
      <c r="E69" t="str">
        <f ca="1"/>
        <v>69,5 - SIFAO PVC FLEXIVEL MULTIUSO BRANCO 63CM</v>
      </c>
    </row>
    <row r="70" spans="1:5" x14ac:dyDescent="0.2">
      <c r="A70" s="245" t="str">
        <v>CORDOALHA DE AÇO CP190 RB 12,7mm ENGRAXADA</v>
      </c>
      <c r="B70" s="246">
        <f ca="1">ROUNDUP(IF(A70="","",SUMIF(Orçamento!P:P,'ABC Insumos Apoio'!A70,Orçamento!Z:Z)),2)</f>
        <v>40603.29</v>
      </c>
      <c r="C70" s="246" t="str">
        <f t="shared" ca="1" si="1"/>
        <v>40603,29 - CORDOALHA DE AÇO CP190 RB 12,7mm ENGRAXADA</v>
      </c>
      <c r="E70" t="str">
        <f ca="1"/>
        <v>6825,2 - PONTALETE DE PINUS 2,5 X 10 CM</v>
      </c>
    </row>
    <row r="71" spans="1:5" x14ac:dyDescent="0.2">
      <c r="A71" s="245" t="str">
        <v>Corrimao parede de madeira</v>
      </c>
      <c r="B71" s="246">
        <f ca="1">ROUNDUP(IF(A71="","",SUMIF(Orçamento!P:P,'ABC Insumos Apoio'!A71,Orçamento!Z:Z)),2)</f>
        <v>1443</v>
      </c>
      <c r="C71" s="246" t="str">
        <f t="shared" ca="1" si="1"/>
        <v>1443 - Corrimao parede de madeira</v>
      </c>
      <c r="E71" t="str">
        <f ca="1"/>
        <v>6774,77 - ELETRODUTOS, CAIXAS E ELETROCALHAS - TERREO</v>
      </c>
    </row>
    <row r="72" spans="1:5" x14ac:dyDescent="0.2">
      <c r="A72" s="245" t="str">
        <v>CUBA ACO INOX 304 P/PIA COZINHA EMBUTIR SIMPLES Nº0 400X340X140MM</v>
      </c>
      <c r="B72" s="246">
        <f ca="1">ROUNDUP(IF(A72="","",SUMIF(Orçamento!P:P,'ABC Insumos Apoio'!A72,Orçamento!Z:Z)),2)</f>
        <v>652</v>
      </c>
      <c r="C72" s="246" t="str">
        <f t="shared" ca="1" si="1"/>
        <v>652 - CUBA ACO INOX 304 P/PIA COZINHA EMBUTIR SIMPLES Nº0 400X340X140MM</v>
      </c>
      <c r="E72" t="str">
        <f ca="1"/>
        <v>6734,28 - CONCRETO USINADO BOMBEAVEL FCK 20 MPA BRITA 0+1 SLUMP 14+/-2</v>
      </c>
    </row>
    <row r="73" spans="1:5" x14ac:dyDescent="0.2">
      <c r="A73" s="245" t="str">
        <v>CUBA LOUCA P/LAVATORIO REDONDA EMBUTIR</v>
      </c>
      <c r="B73" s="246">
        <f ca="1">ROUNDUP(IF(A73="","",SUMIF(Orçamento!P:P,'ABC Insumos Apoio'!A73,Orçamento!Z:Z)),2)</f>
        <v>531.79999999999995</v>
      </c>
      <c r="C73" s="246" t="str">
        <f t="shared" ca="1" si="1"/>
        <v>531,8 - CUBA LOUCA P/LAVATORIO REDONDA EMBUTIR</v>
      </c>
      <c r="E73" t="str">
        <f ca="1"/>
        <v>6709,52 - Aco CA-50A 25,00 mm (1)</v>
      </c>
    </row>
    <row r="74" spans="1:5" x14ac:dyDescent="0.2">
      <c r="A74" s="245" t="str">
        <v>Cunha 1/2" BI Partida - EHX 0036</v>
      </c>
      <c r="B74" s="246">
        <f ca="1">ROUNDUP(IF(A74="","",SUMIF(Orçamento!P:P,'ABC Insumos Apoio'!A74,Orçamento!Z:Z)),2)</f>
        <v>4700.16</v>
      </c>
      <c r="C74" s="246" t="str">
        <f t="shared" ca="1" si="1"/>
        <v>4700,16 - Cunha 1/2" BI Partida - EHX 0036</v>
      </c>
      <c r="E74" t="str">
        <f ca="1"/>
        <v>667000 - MAO DE OBRA PARA EXECUCAO DE SUPRAESTRUTURA EM CONCRETO ARMADO</v>
      </c>
    </row>
    <row r="75" spans="1:5" x14ac:dyDescent="0.2">
      <c r="A75" s="245" t="str">
        <v>CUNHA PVC P/NIVELAMENTO PISO NBR 6118</v>
      </c>
      <c r="B75" s="246">
        <f ca="1">ROUNDUP(IF(A75="","",SUMIF(Orçamento!P:P,'ABC Insumos Apoio'!A75,Orçamento!Z:Z)),2)</f>
        <v>615.98</v>
      </c>
      <c r="C75" s="246" t="str">
        <f t="shared" ca="1" si="1"/>
        <v>615,98 - CUNHA PVC P/NIVELAMENTO PISO NBR 6118</v>
      </c>
      <c r="E75" t="str">
        <f ca="1"/>
        <v>665,66 - REJUNTE FLEXIVEL EPOXI BICOMPONENTE NBR 14992</v>
      </c>
    </row>
    <row r="76" spans="1:5" x14ac:dyDescent="0.2">
      <c r="A76" s="245" t="str">
        <v>Demolicao com retirada de entulho ate nivel do piso</v>
      </c>
      <c r="B76" s="246">
        <f ca="1">ROUNDUP(IF(A76="","",SUMIF(Orçamento!P:P,'ABC Insumos Apoio'!A76,Orçamento!Z:Z)),2)</f>
        <v>8129.21</v>
      </c>
      <c r="C76" s="246" t="str">
        <f t="shared" ca="1" si="1"/>
        <v>8129,21 - Demolicao com retirada de entulho ate nivel do piso</v>
      </c>
      <c r="E76" t="str">
        <f ca="1"/>
        <v>664,55 - MAO DE OBRA PARA EXECUCAO DE PISO CIMENTADO</v>
      </c>
    </row>
    <row r="77" spans="1:5" x14ac:dyDescent="0.2">
      <c r="A77" s="245" t="str">
        <v>DESMOBILIZACAO PESSOAL/EQUIPAMENTOS</v>
      </c>
      <c r="B77" s="246">
        <f ca="1">ROUNDUP(IF(A77="","",SUMIF(Orçamento!P:P,'ABC Insumos Apoio'!A77,Orçamento!Z:Z)),2)</f>
        <v>9716.15</v>
      </c>
      <c r="C77" s="246" t="str">
        <f t="shared" ca="1" si="1"/>
        <v>9716,15 - DESMOBILIZACAO PESSOAL/EQUIPAMENTOS</v>
      </c>
      <c r="E77" t="str">
        <f ca="1"/>
        <v>66000 - ENGENHEIRO CIVIL</v>
      </c>
    </row>
    <row r="78" spans="1:5" x14ac:dyDescent="0.2">
      <c r="A78" s="245" t="str">
        <v>DESMOLDANTE</v>
      </c>
      <c r="B78" s="246">
        <f ca="1">ROUNDUP(IF(A78="","",SUMIF(Orçamento!P:P,'ABC Insumos Apoio'!A78,Orçamento!Z:Z)),2)</f>
        <v>1182.1199999999999</v>
      </c>
      <c r="C78" s="246" t="str">
        <f t="shared" ca="1" si="1"/>
        <v>1182,12 - DESMOLDANTE</v>
      </c>
      <c r="E78" t="str">
        <f ca="1"/>
        <v>6537,29 - TELA ARAME GALVANIZADO FIO 24 BWG MALHA 1/2"</v>
      </c>
    </row>
    <row r="79" spans="1:5" x14ac:dyDescent="0.2">
      <c r="A79" s="245" t="str">
        <v>Despesas de cartório, licenças, certidões e jurídicas</v>
      </c>
      <c r="B79" s="246">
        <f ca="1">ROUNDUP(IF(A79="","",SUMIF(Orçamento!P:P,'ABC Insumos Apoio'!A79,Orçamento!Z:Z)),2)</f>
        <v>6916.85</v>
      </c>
      <c r="C79" s="246" t="str">
        <f t="shared" ca="1" si="1"/>
        <v>6916,85 - Despesas de cartório, licenças, certidões e jurídicas</v>
      </c>
      <c r="E79" t="str">
        <f ca="1"/>
        <v>652 - CUBA ACO INOX 304 P/PIA COZINHA EMBUTIR SIMPLES Nº0 400X340X140MM</v>
      </c>
    </row>
    <row r="80" spans="1:5" x14ac:dyDescent="0.2">
      <c r="A80" s="245" t="str">
        <v>DESPESAS DE CONSUMO - AGUA</v>
      </c>
      <c r="B80" s="246">
        <f ca="1">ROUNDUP(IF(A80="","",SUMIF(Orçamento!P:P,'ABC Insumos Apoio'!A80,Orçamento!Z:Z)),2)</f>
        <v>7700</v>
      </c>
      <c r="C80" s="246" t="str">
        <f t="shared" ca="1" si="1"/>
        <v>7700 - DESPESAS DE CONSUMO - AGUA</v>
      </c>
      <c r="E80" t="str">
        <f ca="1"/>
        <v>651,9 - ANEL VEDACAO C/GUIA P/VASO SANITARIO 4"</v>
      </c>
    </row>
    <row r="81" spans="1:5" x14ac:dyDescent="0.2">
      <c r="A81" s="245" t="str">
        <v>DESPESAS DE CONSUMO - ENERGIA</v>
      </c>
      <c r="B81" s="246">
        <f ca="1">ROUNDUP(IF(A81="","",SUMIF(Orçamento!P:P,'ABC Insumos Apoio'!A81,Orçamento!Z:Z)),2)</f>
        <v>8800</v>
      </c>
      <c r="C81" s="246" t="str">
        <f t="shared" ca="1" si="1"/>
        <v>8800 - DESPESAS DE CONSUMO - ENERGIA</v>
      </c>
      <c r="E81" t="str">
        <f ca="1"/>
        <v>649 - ENGATE FLEXIVEL PVC 1/2"X30CM NBR 14878</v>
      </c>
    </row>
    <row r="82" spans="1:5" x14ac:dyDescent="0.2">
      <c r="A82" s="245" t="str">
        <v>DESPESAS DE CONSUMO - INTERNET</v>
      </c>
      <c r="B82" s="246">
        <f ca="1">ROUNDUP(IF(A82="","",SUMIF(Orçamento!P:P,'ABC Insumos Apoio'!A82,Orçamento!Z:Z)),2)</f>
        <v>3300</v>
      </c>
      <c r="C82" s="246" t="str">
        <f t="shared" ca="1" si="1"/>
        <v>3300 - DESPESAS DE CONSUMO - INTERNET</v>
      </c>
      <c r="E82" t="str">
        <f ca="1"/>
        <v>6489,66 - QUADROS E DISJUNTORES - SUBSOLO</v>
      </c>
    </row>
    <row r="83" spans="1:5" x14ac:dyDescent="0.2">
      <c r="A83" s="245" t="str">
        <v>Dispositivo de Aspiração / 1.1/2"</v>
      </c>
      <c r="B83" s="246">
        <f ca="1">ROUNDUP(IF(A83="","",SUMIF(Orçamento!P:P,'ABC Insumos Apoio'!A83,Orçamento!Z:Z)),2)</f>
        <v>90</v>
      </c>
      <c r="C83" s="246" t="str">
        <f t="shared" ca="1" si="1"/>
        <v>90 - Dispositivo de Aspiração / 1.1/2"</v>
      </c>
      <c r="E83" t="str">
        <f ca="1"/>
        <v>6435,84 - Ancoragem base 1/2" - EHX 0063</v>
      </c>
    </row>
    <row r="84" spans="1:5" x14ac:dyDescent="0.2">
      <c r="A84" s="245" t="str">
        <v>Dispositivo de Retorno / 1.1/2"</v>
      </c>
      <c r="B84" s="246">
        <f ca="1">ROUNDUP(IF(A84="","",SUMIF(Orçamento!P:P,'ABC Insumos Apoio'!A84,Orçamento!Z:Z)),2)</f>
        <v>140</v>
      </c>
      <c r="C84" s="246" t="str">
        <f t="shared" ca="1" si="1"/>
        <v>140 - Dispositivo de Retorno / 1.1/2"</v>
      </c>
      <c r="E84" t="str">
        <f ca="1"/>
        <v>6358,83 - CIMENTO PORTLAND CP II 32 - Z</v>
      </c>
    </row>
    <row r="85" spans="1:5" x14ac:dyDescent="0.2">
      <c r="A85" s="245" t="str">
        <v>Dobradiça aço inox - portas de madeira</v>
      </c>
      <c r="B85" s="246">
        <f ca="1">ROUNDUP(IF(A85="","",SUMIF(Orçamento!P:P,'ABC Insumos Apoio'!A85,Orçamento!Z:Z)),2)</f>
        <v>3600</v>
      </c>
      <c r="C85" s="246" t="str">
        <f t="shared" ca="1" si="1"/>
        <v>3600 - Dobradiça aço inox - portas de madeira</v>
      </c>
      <c r="E85" t="str">
        <f ca="1"/>
        <v>63029,47 - REVESTIMENTO - HANGAR CHICAGO 60X60 NAT BOLD</v>
      </c>
    </row>
    <row r="86" spans="1:5" x14ac:dyDescent="0.2">
      <c r="A86" s="245" t="str">
        <v>Dreno de Fundo 1.1/2"</v>
      </c>
      <c r="B86" s="246">
        <f ca="1">ROUNDUP(IF(A86="","",SUMIF(Orçamento!P:P,'ABC Insumos Apoio'!A86,Orçamento!Z:Z)),2)</f>
        <v>819</v>
      </c>
      <c r="C86" s="246" t="str">
        <f t="shared" ca="1" si="1"/>
        <v>819 - Dreno de Fundo 1.1/2"</v>
      </c>
      <c r="E86" t="str">
        <f ca="1"/>
        <v>6300 - LOCACAO DE BANHEIRO QUIMICO</v>
      </c>
    </row>
    <row r="87" spans="1:5" x14ac:dyDescent="0.2">
      <c r="A87" s="245" t="str">
        <v>Elaboração do Programa de Condições e Meio Ambiente de Trabalho na indústria da construção (PCMAT)</v>
      </c>
      <c r="B87" s="246">
        <f ca="1">ROUNDUP(IF(A87="","",SUMIF(Orçamento!P:P,'ABC Insumos Apoio'!A87,Orçamento!Z:Z)),2)</f>
        <v>4500</v>
      </c>
      <c r="C87" s="246" t="str">
        <f t="shared" ca="1" si="1"/>
        <v>4500 - Elaboração do Programa de Condições e Meio Ambiente de Trabalho na indústria da construção (PCMAT)</v>
      </c>
      <c r="E87" t="str">
        <f ca="1"/>
        <v>627,48 - PRODUTO QUIMICO - VEDA CALHA 280G - CINZA</v>
      </c>
    </row>
    <row r="88" spans="1:5" x14ac:dyDescent="0.2">
      <c r="A88" s="245" t="str">
        <v>Elaboracao do Programa de Prevencao dos Riscos Ambientais (PPRA)</v>
      </c>
      <c r="B88" s="246">
        <f ca="1">ROUNDUP(IF(A88="","",SUMIF(Orçamento!P:P,'ABC Insumos Apoio'!A88,Orçamento!Z:Z)),2)</f>
        <v>720.02</v>
      </c>
      <c r="C88" s="246" t="str">
        <f t="shared" ca="1" si="1"/>
        <v>720,02 - Elaboracao do Programa de Prevencao dos Riscos Ambientais (PPRA)</v>
      </c>
      <c r="E88" t="str">
        <f ca="1"/>
        <v>62669,62 - REVESTIMENTO - HIT GRIS 80X80 NAT RET</v>
      </c>
    </row>
    <row r="89" spans="1:5" x14ac:dyDescent="0.2">
      <c r="A89" s="245" t="str">
        <v>ELETRODUTOS, CAIXAS E ELETROCALHAS - COBERTURA</v>
      </c>
      <c r="B89" s="246">
        <f ca="1">ROUNDUP(IF(A89="","",SUMIF(Orçamento!P:P,'ABC Insumos Apoio'!A89,Orçamento!Z:Z)),2)</f>
        <v>4852.9800000000005</v>
      </c>
      <c r="C89" s="246" t="str">
        <f t="shared" ca="1" si="1"/>
        <v>4852,98 - ELETRODUTOS, CAIXAS E ELETROCALHAS - COBERTURA</v>
      </c>
      <c r="E89" t="str">
        <f ca="1"/>
        <v>615,98 - CUNHA PVC P/NIVELAMENTO PISO NBR 6118</v>
      </c>
    </row>
    <row r="90" spans="1:5" x14ac:dyDescent="0.2">
      <c r="A90" s="245" t="str">
        <v>ELETRODUTOS, CAIXAS E ELETROCALHAS - PAVIMENTO TECNICO</v>
      </c>
      <c r="B90" s="246">
        <f ca="1">ROUNDUP(IF(A90="","",SUMIF(Orçamento!P:P,'ABC Insumos Apoio'!A90,Orçamento!Z:Z)),2)</f>
        <v>3985.78</v>
      </c>
      <c r="C90" s="246" t="str">
        <f t="shared" ca="1" si="1"/>
        <v>3985,78 - ELETRODUTOS, CAIXAS E ELETROCALHAS - PAVIMENTO TECNICO</v>
      </c>
      <c r="E90" t="str">
        <f ca="1"/>
        <v>61,44 - SELANTE PU40 BASE POLIURETANO BRANCO 280ML</v>
      </c>
    </row>
    <row r="91" spans="1:5" x14ac:dyDescent="0.2">
      <c r="A91" s="245" t="str">
        <v>ELETRODUTOS, CAIXAS E ELETROCALHAS - SUBSOLO</v>
      </c>
      <c r="B91" s="246">
        <f ca="1">ROUNDUP(IF(A91="","",SUMIF(Orçamento!P:P,'ABC Insumos Apoio'!A91,Orçamento!Z:Z)),2)</f>
        <v>10009.52</v>
      </c>
      <c r="C91" s="246" t="str">
        <f t="shared" ca="1" si="1"/>
        <v>10009,52 - ELETRODUTOS, CAIXAS E ELETROCALHAS - SUBSOLO</v>
      </c>
      <c r="E91" t="str">
        <f ca="1"/>
        <v>61,11 - PREGO COM CABEÇA 15 X 18</v>
      </c>
    </row>
    <row r="92" spans="1:5" x14ac:dyDescent="0.2">
      <c r="A92" s="245" t="str">
        <v>ELETRODUTOS, CAIXAS E ELETROCALHAS - TERREO</v>
      </c>
      <c r="B92" s="246">
        <f ca="1">ROUNDUP(IF(A92="","",SUMIF(Orçamento!P:P,'ABC Insumos Apoio'!A92,Orçamento!Z:Z)),2)</f>
        <v>6774.77</v>
      </c>
      <c r="C92" s="246" t="str">
        <f t="shared" ca="1" si="1"/>
        <v>6774,77 - ELETRODUTOS, CAIXAS E ELETROCALHAS - TERREO</v>
      </c>
      <c r="E92" t="str">
        <f ca="1"/>
        <v>60720 - MAO DE OBRA PARA PINTURA ACRILICA EM PAREDES EXTERNAS - 2 DEMAOS</v>
      </c>
    </row>
    <row r="93" spans="1:5" x14ac:dyDescent="0.2">
      <c r="A93" s="245" t="str">
        <v>ELETRODUTOS, CAIXAS E ELETROCALHAS - TIPO (x5)</v>
      </c>
      <c r="B93" s="246">
        <f ca="1">ROUNDUP(IF(A93="","",SUMIF(Orçamento!P:P,'ABC Insumos Apoio'!A93,Orçamento!Z:Z)),2)</f>
        <v>24258.959999999999</v>
      </c>
      <c r="C93" s="246" t="str">
        <f t="shared" ca="1" si="1"/>
        <v>24258,96 - ELETRODUTOS, CAIXAS E ELETROCALHAS - TIPO (x5)</v>
      </c>
      <c r="E93" t="str">
        <f ca="1"/>
        <v>6000,17 - ARGAMASSA PARA ENCUNHAMENTO</v>
      </c>
    </row>
    <row r="94" spans="1:5" x14ac:dyDescent="0.2">
      <c r="A94" s="245" t="str">
        <v>ELEVADOR SOCIAL 8 PARADAS</v>
      </c>
      <c r="B94" s="246">
        <f ca="1">ROUNDUP(IF(A94="","",SUMIF(Orçamento!P:P,'ABC Insumos Apoio'!A94,Orçamento!Z:Z)),2)</f>
        <v>180000</v>
      </c>
      <c r="C94" s="246" t="str">
        <f t="shared" ca="1" si="1"/>
        <v>180000 - ELEVADOR SOCIAL 8 PARADAS</v>
      </c>
      <c r="E94" t="str">
        <f ca="1"/>
        <v>599,68 - MAO DE OBRA PARA IMPERMEABILIZACAO COM MANTA LIQUIDA</v>
      </c>
    </row>
    <row r="95" spans="1:5" x14ac:dyDescent="0.2">
      <c r="A95" s="245" t="str">
        <v>ENGATE FLEXIVEL PVC 1/2"X30CM NBR 14878</v>
      </c>
      <c r="B95" s="246">
        <f ca="1">ROUNDUP(IF(A95="","",SUMIF(Orçamento!P:P,'ABC Insumos Apoio'!A95,Orçamento!Z:Z)),2)</f>
        <v>649</v>
      </c>
      <c r="C95" s="246" t="str">
        <f t="shared" ca="1" si="1"/>
        <v>649 - ENGATE FLEXIVEL PVC 1/2"X30CM NBR 14878</v>
      </c>
      <c r="E95" t="str">
        <f ca="1"/>
        <v>59725,04 - BLOCO CERAMICO VEDACAO 14 X 19 X 29 CM - FUROS NA HORIZONTAL</v>
      </c>
    </row>
    <row r="96" spans="1:5" x14ac:dyDescent="0.2">
      <c r="A96" s="245" t="str">
        <v>ENGENHEIRO CIVIL</v>
      </c>
      <c r="B96" s="246">
        <f ca="1">ROUNDUP(IF(A96="","",SUMIF(Orçamento!P:P,'ABC Insumos Apoio'!A96,Orçamento!Z:Z)),2)</f>
        <v>66000</v>
      </c>
      <c r="C96" s="246" t="str">
        <f t="shared" ca="1" si="1"/>
        <v>66000 - ENGENHEIRO CIVIL</v>
      </c>
      <c r="E96" t="str">
        <f ca="1"/>
        <v>5936 - PROJETO ELETRICO</v>
      </c>
    </row>
    <row r="97" spans="1:5" x14ac:dyDescent="0.2">
      <c r="A97" s="245" t="str">
        <v>Equipamento de ar-condicionado</v>
      </c>
      <c r="B97" s="246">
        <f ca="1">ROUNDUP(IF(A97="","",SUMIF(Orçamento!P:P,'ABC Insumos Apoio'!A97,Orçamento!Z:Z)),2)</f>
        <v>17000</v>
      </c>
      <c r="C97" s="246" t="str">
        <f t="shared" ca="1" si="1"/>
        <v>17000 - Equipamento de ar-condicionado</v>
      </c>
      <c r="E97" t="str">
        <f ca="1"/>
        <v>5923,64 - Taxas de Aprovação de Projetos e Alvarás (Prefeituras/Bombeiro)</v>
      </c>
    </row>
    <row r="98" spans="1:5" x14ac:dyDescent="0.2">
      <c r="A98" s="245" t="str">
        <v>EQUIPAMENTOS DE ESCRITÓRIO</v>
      </c>
      <c r="B98" s="246">
        <f ca="1">ROUNDUP(IF(A98="","",SUMIF(Orçamento!P:P,'ABC Insumos Apoio'!A98,Orçamento!Z:Z)),2)</f>
        <v>27000</v>
      </c>
      <c r="C98" s="246" t="str">
        <f t="shared" ca="1" si="1"/>
        <v>27000 - EQUIPAMENTOS DE ESCRITÓRIO</v>
      </c>
      <c r="E98" t="str">
        <f ca="1"/>
        <v>592,48 - MASSA PLASTICA BRANCA BI-COMPONENTE POLIESTER 400G</v>
      </c>
    </row>
    <row r="99" spans="1:5" x14ac:dyDescent="0.2">
      <c r="A99" s="245" t="str">
        <v>ESC01 - Escada Marinheiro</v>
      </c>
      <c r="B99" s="246">
        <f ca="1">ROUNDUP(IF(A99="","",SUMIF(Orçamento!P:P,'ABC Insumos Apoio'!A99,Orçamento!Z:Z)),2)</f>
        <v>10891.64</v>
      </c>
      <c r="C99" s="246" t="str">
        <f t="shared" ca="1" si="1"/>
        <v>10891,64 - ESC01 - Escada Marinheiro</v>
      </c>
      <c r="E99" t="str">
        <f ca="1"/>
        <v>591,36 - Tirante Plast - EHX 0621</v>
      </c>
    </row>
    <row r="100" spans="1:5" x14ac:dyDescent="0.2">
      <c r="A100" s="245" t="str">
        <v>ESPACADOR CIRCULAR 40MM</v>
      </c>
      <c r="B100" s="246">
        <f ca="1">ROUNDUP(IF(A100="","",SUMIF(Orçamento!P:P,'ABC Insumos Apoio'!A100,Orçamento!Z:Z)),2)</f>
        <v>9097.44</v>
      </c>
      <c r="C100" s="246" t="str">
        <f t="shared" ca="1" si="1"/>
        <v>9097,44 - ESPACADOR CIRCULAR 40MM</v>
      </c>
      <c r="E100" t="str">
        <f ca="1"/>
        <v>5849,05 - INSTALAÇÕES PREVENTIVAS - SUBSOLO</v>
      </c>
    </row>
    <row r="101" spans="1:5" x14ac:dyDescent="0.2">
      <c r="A101" s="245" t="str">
        <v>ESPACADOR PVC CADEIRINHA HORIZONTAL ETP 25/30 NBR 6118</v>
      </c>
      <c r="B101" s="246">
        <f ca="1">ROUNDUP(IF(A101="","",SUMIF(Orçamento!P:P,'ABC Insumos Apoio'!A101,Orçamento!Z:Z)),2)</f>
        <v>465.3</v>
      </c>
      <c r="C101" s="246" t="str">
        <f t="shared" ca="1" si="1"/>
        <v>465,3 - ESPACADOR PVC CADEIRINHA HORIZONTAL ETP 25/30 NBR 6118</v>
      </c>
      <c r="E101" t="str">
        <f ca="1"/>
        <v>5849,05 - INSTALAÇÕES ESGOTO - SUBSOLO</v>
      </c>
    </row>
    <row r="102" spans="1:5" x14ac:dyDescent="0.2">
      <c r="A102" s="245" t="str">
        <v>ESPACADOR PVC JUNTA PISO 3,0MM NBR 6118</v>
      </c>
      <c r="B102" s="246">
        <f ca="1">ROUNDUP(IF(A102="","",SUMIF(Orçamento!P:P,'ABC Insumos Apoio'!A102,Orçamento!Z:Z)),2)</f>
        <v>1132.0999999999999</v>
      </c>
      <c r="C102" s="246" t="str">
        <f t="shared" ca="1" si="1"/>
        <v>1132,1 - ESPACADOR PVC JUNTA PISO 3,0MM NBR 6118</v>
      </c>
      <c r="E102" t="str">
        <f ca="1"/>
        <v>5829,69 - INSTLAÇÃOES DE LOGICA/INTERNET/TELEFONIA</v>
      </c>
    </row>
    <row r="103" spans="1:5" x14ac:dyDescent="0.2">
      <c r="A103" s="245" t="str">
        <v>ESPACADOR PVC NIVELAMENTO REVESTIMENTO 1,0MM NBR 6118</v>
      </c>
      <c r="B103" s="246">
        <f ca="1">ROUNDUP(IF(A103="","",SUMIF(Orçamento!P:P,'ABC Insumos Apoio'!A103,Orçamento!Z:Z)),2)</f>
        <v>1415.85</v>
      </c>
      <c r="C103" s="246" t="str">
        <f t="shared" ca="1" si="1"/>
        <v>1415,85 - ESPACADOR PVC NIVELAMENTO REVESTIMENTO 1,0MM NBR 6118</v>
      </c>
      <c r="E103" t="str">
        <f ca="1"/>
        <v>5700 - Manuais Técnicos condomínio/proprietários</v>
      </c>
    </row>
    <row r="104" spans="1:5" x14ac:dyDescent="0.2">
      <c r="A104" s="245" t="str">
        <v>ESPUMA EXPANSIVA DE POLIURETANO 500G</v>
      </c>
      <c r="B104" s="246">
        <f ca="1">ROUNDUP(IF(A104="","",SUMIF(Orçamento!P:P,'ABC Insumos Apoio'!A104,Orçamento!Z:Z)),2)</f>
        <v>762.43</v>
      </c>
      <c r="C104" s="246" t="str">
        <f t="shared" ca="1" si="1"/>
        <v>762,43 - ESPUMA EXPANSIVA DE POLIURETANO 500G</v>
      </c>
      <c r="E104" t="str">
        <f ca="1"/>
        <v>57,02 - VALVULA P/TANQUE ACO CARBONO CROMADO 1"</v>
      </c>
    </row>
    <row r="105" spans="1:5" x14ac:dyDescent="0.2">
      <c r="A105" s="245" t="str">
        <v>ESQUADRIAS DE ALUMINIO</v>
      </c>
      <c r="B105" s="246">
        <f ca="1">ROUNDUP(IF(A105="","",SUMIF(Orçamento!P:P,'ABC Insumos Apoio'!A105,Orçamento!Z:Z)),2)</f>
        <v>220019.48</v>
      </c>
      <c r="C105" s="246" t="str">
        <f t="shared" ca="1" si="1"/>
        <v>220019,48 - ESQUADRIAS DE ALUMINIO</v>
      </c>
      <c r="E105" t="str">
        <f ca="1"/>
        <v>56000 - Mini Grua 500kg</v>
      </c>
    </row>
    <row r="106" spans="1:5" x14ac:dyDescent="0.2">
      <c r="A106" s="245" t="str">
        <v xml:space="preserve">Esticador gancho-olhal para cabo de aço 1/2" em aço forjado DIN 1480 </v>
      </c>
      <c r="B106" s="246">
        <f ca="1">ROUNDUP(IF(A106="","",SUMIF(Orçamento!P:P,'ABC Insumos Apoio'!A106,Orçamento!Z:Z)),2)</f>
        <v>559.99</v>
      </c>
      <c r="C106" s="246" t="str">
        <f t="shared" ca="1" si="1"/>
        <v xml:space="preserve">559,99 - Esticador gancho-olhal para cabo de aço 1/2" em aço forjado DIN 1480 </v>
      </c>
      <c r="E106" t="str">
        <f ca="1"/>
        <v xml:space="preserve">559,99 - Esticador gancho-olhal para cabo de aço 1/2" em aço forjado DIN 1480 </v>
      </c>
    </row>
    <row r="107" spans="1:5" x14ac:dyDescent="0.2">
      <c r="A107" s="245" t="str">
        <v>Fechadura Externa Com Maçaneta</v>
      </c>
      <c r="B107" s="246">
        <f ca="1">ROUNDUP(IF(A107="","",SUMIF(Orçamento!P:P,'ABC Insumos Apoio'!A107,Orçamento!Z:Z)),2)</f>
        <v>4085</v>
      </c>
      <c r="C107" s="246" t="str">
        <f t="shared" ca="1" si="1"/>
        <v>4085 - Fechadura Externa Com Maçaneta</v>
      </c>
      <c r="E107" t="str">
        <f ca="1"/>
        <v>55188,44 - MAO DE OBRA PARA COLOCACAO E REJUNTAMENTO DE AZULEJO</v>
      </c>
    </row>
    <row r="108" spans="1:5" x14ac:dyDescent="0.2">
      <c r="A108" s="245" t="str">
        <v>Fechadura Padrão Obra (c/ chave)</v>
      </c>
      <c r="B108" s="246">
        <f ca="1">ROUNDUP(IF(A108="","",SUMIF(Orçamento!P:P,'ABC Insumos Apoio'!A108,Orçamento!Z:Z)),2)</f>
        <v>3145</v>
      </c>
      <c r="C108" s="246" t="str">
        <f t="shared" ca="1" si="1"/>
        <v>3145 - Fechadura Padrão Obra (c/ chave)</v>
      </c>
      <c r="E108" t="str">
        <f ca="1"/>
        <v>5417,1 - MADEIRA LEI - PONTALETE ANGELIM PEDRA (M3) NBR 11700</v>
      </c>
    </row>
    <row r="109" spans="1:5" x14ac:dyDescent="0.2">
      <c r="A109" s="245" t="str">
        <v>FERRAMENTAS E EQUIPAMENTOS APOIO</v>
      </c>
      <c r="B109" s="246">
        <f ca="1">ROUNDUP(IF(A109="","",SUMIF(Orçamento!P:P,'ABC Insumos Apoio'!A109,Orçamento!Z:Z)),2)</f>
        <v>21600</v>
      </c>
      <c r="C109" s="246" t="str">
        <f t="shared" ca="1" si="1"/>
        <v>21600 - FERRAMENTAS E EQUIPAMENTOS APOIO</v>
      </c>
      <c r="E109" t="str">
        <f ca="1"/>
        <v>54,25 - VALVULA COMUM P/PIA COZINHA ACO CARBONO CROMADO 1"</v>
      </c>
    </row>
    <row r="110" spans="1:5" x14ac:dyDescent="0.2">
      <c r="A110" s="245" t="str">
        <v>FIAÇÃO - COBERTURA</v>
      </c>
      <c r="B110" s="246">
        <f ca="1">ROUNDUP(IF(A110="","",SUMIF(Orçamento!P:P,'ABC Insumos Apoio'!A110,Orçamento!Z:Z)),2)</f>
        <v>14580.19</v>
      </c>
      <c r="C110" s="246" t="str">
        <f t="shared" ca="1" si="1"/>
        <v>14580,19 - FIAÇÃO - COBERTURA</v>
      </c>
      <c r="E110" t="str">
        <f ca="1"/>
        <v>5350,09 - CAIXA ACOPLADA LOUCA P/DESCARGA</v>
      </c>
    </row>
    <row r="111" spans="1:5" x14ac:dyDescent="0.2">
      <c r="A111" s="245" t="str">
        <v>FIAÇÃO - PAVIMENTO TECNICO</v>
      </c>
      <c r="B111" s="246">
        <f ca="1">ROUNDUP(IF(A111="","",SUMIF(Orçamento!P:P,'ABC Insumos Apoio'!A111,Orçamento!Z:Z)),2)</f>
        <v>11974.76</v>
      </c>
      <c r="C111" s="246" t="str">
        <f t="shared" ca="1" si="1"/>
        <v>11974,76 - FIAÇÃO - PAVIMENTO TECNICO</v>
      </c>
      <c r="E111" t="str">
        <f ca="1"/>
        <v>531,8 - CUBA LOUCA P/LAVATORIO REDONDA EMBUTIR</v>
      </c>
    </row>
    <row r="112" spans="1:5" x14ac:dyDescent="0.2">
      <c r="A112" s="245" t="str">
        <v>FIAÇÃO - SUBSOLO</v>
      </c>
      <c r="B112" s="246">
        <f ca="1">ROUNDUP(IF(A112="","",SUMIF(Orçamento!P:P,'ABC Insumos Apoio'!A112,Orçamento!Z:Z)),2)</f>
        <v>30072.359999999997</v>
      </c>
      <c r="C112" s="246" t="str">
        <f t="shared" ca="1" si="1"/>
        <v>30072,36 - FIAÇÃO - SUBSOLO</v>
      </c>
      <c r="E112" t="str">
        <f ca="1"/>
        <v>5297,19 - RODAPÉ EM POLIESTIRENO PU 15CM</v>
      </c>
    </row>
    <row r="113" spans="1:5" x14ac:dyDescent="0.2">
      <c r="A113" s="245" t="str">
        <v>FIAÇÃO - TERREO</v>
      </c>
      <c r="B113" s="246">
        <f ca="1">ROUNDUP(IF(A113="","",SUMIF(Orçamento!P:P,'ABC Insumos Apoio'!A113,Orçamento!Z:Z)),2)</f>
        <v>20353.969999999998</v>
      </c>
      <c r="C113" s="246" t="str">
        <f t="shared" ca="1" si="1"/>
        <v>20353,97 - FIAÇÃO - TERREO</v>
      </c>
      <c r="E113" t="str">
        <f ca="1"/>
        <v>5278,44 - INSTALAÇÕES AGUA FRIA - TERREO</v>
      </c>
    </row>
    <row r="114" spans="1:5" x14ac:dyDescent="0.2">
      <c r="A114" s="245" t="str">
        <v>FIAÇÃO - TIPO (x5)</v>
      </c>
      <c r="B114" s="246">
        <f ca="1">ROUNDUP(IF(A114="","",SUMIF(Orçamento!P:P,'ABC Insumos Apoio'!A114,Orçamento!Z:Z)),2)</f>
        <v>72883.049999999988</v>
      </c>
      <c r="C114" s="246" t="str">
        <f t="shared" ca="1" si="1"/>
        <v>72883,05 - FIAÇÃO - TIPO (x5)</v>
      </c>
      <c r="E114" t="str">
        <f ca="1"/>
        <v>527,85 - LUMINÁRIAS - TERREO</v>
      </c>
    </row>
    <row r="115" spans="1:5" x14ac:dyDescent="0.2">
      <c r="A115" s="245" t="str">
        <v>Filtro mod. FM 50 125kg areia - bomba BM de 3/4 cv - Sodramar</v>
      </c>
      <c r="B115" s="246">
        <f ca="1">ROUNDUP(IF(A115="","",SUMIF(Orçamento!P:P,'ABC Insumos Apoio'!A115,Orçamento!Z:Z)),2)</f>
        <v>2187</v>
      </c>
      <c r="C115" s="246" t="str">
        <f t="shared" ca="1" si="1"/>
        <v>2187 - Filtro mod. FM 50 125kg areia - bomba BM de 3/4 cv - Sodramar</v>
      </c>
      <c r="E115" t="str">
        <f ca="1"/>
        <v>519,76 - MAO DE OBRA PARA COLOCACAO DE PISO CONCREGRAMA</v>
      </c>
    </row>
    <row r="116" spans="1:5" x14ac:dyDescent="0.2">
      <c r="A116" s="245" t="str">
        <v>FITA CREPE 25MMX50M</v>
      </c>
      <c r="B116" s="246">
        <f ca="1">ROUNDUP(IF(A116="","",SUMIF(Orçamento!P:P,'ABC Insumos Apoio'!A116,Orçamento!Z:Z)),2)</f>
        <v>0.52</v>
      </c>
      <c r="C116" s="246" t="str">
        <f t="shared" ca="1" si="1"/>
        <v>0,52 - FITA CREPE 25MMX50M</v>
      </c>
      <c r="E116" t="str">
        <f ca="1"/>
        <v>50600 - LOUÇAS E METAIS</v>
      </c>
    </row>
    <row r="117" spans="1:5" x14ac:dyDescent="0.2">
      <c r="A117" s="245" t="str">
        <v>FITA VEDA ROSCA 18MMX50M NBR 13124</v>
      </c>
      <c r="B117" s="246">
        <f ca="1">ROUNDUP(IF(A117="","",SUMIF(Orçamento!P:P,'ABC Insumos Apoio'!A117,Orçamento!Z:Z)),2)</f>
        <v>253.48</v>
      </c>
      <c r="C117" s="246" t="str">
        <f t="shared" ca="1" si="1"/>
        <v>253,48 - FITA VEDA ROSCA 18MMX50M NBR 13124</v>
      </c>
      <c r="E117" t="str">
        <f ca="1"/>
        <v>495,21 - CIMENTO BRANCO</v>
      </c>
    </row>
    <row r="118" spans="1:5" x14ac:dyDescent="0.2">
      <c r="A118" s="245" t="str">
        <v>FORNECIMENTO DE M.O. PARA EQUIPAMENTO DE AR CONDICIONADO</v>
      </c>
      <c r="B118" s="246">
        <f ca="1">ROUNDUP(IF(A118="","",SUMIF(Orçamento!P:P,'ABC Insumos Apoio'!A118,Orçamento!Z:Z)),2)</f>
        <v>840</v>
      </c>
      <c r="C118" s="246" t="str">
        <f t="shared" ca="1" si="1"/>
        <v>840 - FORNECIMENTO DE M.O. PARA EQUIPAMENTO DE AR CONDICIONADO</v>
      </c>
      <c r="E118" t="str">
        <f ca="1"/>
        <v>49 - VALVULA P/LAVATORIO ACO CARBONO CROMADO 1"</v>
      </c>
    </row>
    <row r="119" spans="1:5" x14ac:dyDescent="0.2">
      <c r="A119" s="245" t="str">
        <v>FORNECIMENTO DE M.O. PARA INFRAESTRUTURA DE AR CONDICIONADO</v>
      </c>
      <c r="B119" s="246">
        <f ca="1">ROUNDUP(IF(A119="","",SUMIF(Orçamento!P:P,'ABC Insumos Apoio'!A119,Orçamento!Z:Z)),2)</f>
        <v>35600</v>
      </c>
      <c r="C119" s="246" t="str">
        <f t="shared" ca="1" si="1"/>
        <v>35600 - FORNECIMENTO DE M.O. PARA INFRAESTRUTURA DE AR CONDICIONADO</v>
      </c>
      <c r="E119" t="str">
        <f ca="1"/>
        <v>4882,2 - GUARDA CORPO DE VAOS</v>
      </c>
    </row>
    <row r="120" spans="1:5" x14ac:dyDescent="0.2">
      <c r="A120" s="245" t="str">
        <v>FORNECIMENTO DE M.O. PARA INSTALACAO DE EXAUSTAO DE CHURRASQUEIRAS</v>
      </c>
      <c r="B120" s="246">
        <f ca="1">ROUNDUP(IF(A120="","",SUMIF(Orçamento!P:P,'ABC Insumos Apoio'!A120,Orçamento!Z:Z)),2)</f>
        <v>850</v>
      </c>
      <c r="C120" s="246" t="str">
        <f t="shared" ca="1" si="1"/>
        <v>850 - FORNECIMENTO DE M.O. PARA INSTALACAO DE EXAUSTAO DE CHURRASQUEIRAS</v>
      </c>
      <c r="E120" t="str">
        <f ca="1"/>
        <v>4852,98 - ELETRODUTOS, CAIXAS E ELETROCALHAS - COBERTURA</v>
      </c>
    </row>
    <row r="121" spans="1:5" x14ac:dyDescent="0.2">
      <c r="A121" s="245" t="str">
        <v>FORNECIMENTO DE MATERIAL PARA INSTALACAO DE EXAUSTAO DE CHURRASQUEIRAS</v>
      </c>
      <c r="B121" s="246">
        <f ca="1">ROUNDUP(IF(A121="","",SUMIF(Orçamento!P:P,'ABC Insumos Apoio'!A121,Orçamento!Z:Z)),2)</f>
        <v>1200</v>
      </c>
      <c r="C121" s="246" t="str">
        <f t="shared" ca="1" si="1"/>
        <v>1200 - FORNECIMENTO DE MATERIAL PARA INSTALACAO DE EXAUSTAO DE CHURRASQUEIRAS</v>
      </c>
      <c r="E121" t="str">
        <f ca="1"/>
        <v>471,82 - Cimento Portland CP II - E</v>
      </c>
    </row>
    <row r="122" spans="1:5" x14ac:dyDescent="0.2">
      <c r="A122" s="245" t="str">
        <v>G1 - JANELA METAL - GRADE VENTILAÇÃO PERMANENTE - 120X70</v>
      </c>
      <c r="B122" s="246">
        <f ca="1">ROUNDUP(IF(A122="","",SUMIF(Orçamento!P:P,'ABC Insumos Apoio'!A122,Orçamento!Z:Z)),2)</f>
        <v>8265.1</v>
      </c>
      <c r="C122" s="246" t="str">
        <f t="shared" ca="1" si="1"/>
        <v>8265,1 - G1 - JANELA METAL - GRADE VENTILAÇÃO PERMANENTE - 120X70</v>
      </c>
      <c r="E122" t="str">
        <f ca="1"/>
        <v>4700,16 - Cunha 1/2" BI Partida - EHX 0036</v>
      </c>
    </row>
    <row r="123" spans="1:5" x14ac:dyDescent="0.2">
      <c r="A123" s="245" t="str">
        <v>GANCHO CHATO ACO CARBONO P/TELHA TIPO "L" 1/2"X1/8"X140MM</v>
      </c>
      <c r="B123" s="246">
        <f ca="1">ROUNDUP(IF(A123="","",SUMIF(Orçamento!P:P,'ABC Insumos Apoio'!A123,Orçamento!Z:Z)),2)</f>
        <v>8.43</v>
      </c>
      <c r="C123" s="246" t="str">
        <f t="shared" ca="1" si="1"/>
        <v>8,43 - GANCHO CHATO ACO CARBONO P/TELHA TIPO "L" 1/2"X1/8"X140MM</v>
      </c>
      <c r="E123" t="str">
        <f ca="1"/>
        <v>465,3 - ESPACADOR PVC CADEIRINHA HORIZONTAL ETP 25/30 NBR 6118</v>
      </c>
    </row>
    <row r="124" spans="1:5" x14ac:dyDescent="0.2">
      <c r="A124" s="245" t="str">
        <v>GERENCIAMENTO ELETRÔNICO</v>
      </c>
      <c r="B124" s="246">
        <f ca="1">ROUNDUP(IF(A124="","",SUMIF(Orçamento!P:P,'ABC Insumos Apoio'!A124,Orçamento!Z:Z)),2)</f>
        <v>2860</v>
      </c>
      <c r="C124" s="246" t="str">
        <f t="shared" ca="1" si="1"/>
        <v>2860 - GERENCIAMENTO ELETRÔNICO</v>
      </c>
      <c r="E124" t="str">
        <f ca="1"/>
        <v>46260,68 - ARMAÇÃO MÉDIA PARA FUNDAÇÃO</v>
      </c>
    </row>
    <row r="125" spans="1:5" x14ac:dyDescent="0.2">
      <c r="A125" s="245" t="str">
        <v>GESSO PLACA 600X600X12MM NBR 13207/13867</v>
      </c>
      <c r="B125" s="246">
        <f ca="1">ROUNDUP(IF(A125="","",SUMIF(Orçamento!P:P,'ABC Insumos Apoio'!A125,Orçamento!Z:Z)),2)</f>
        <v>23963.739999999998</v>
      </c>
      <c r="C125" s="246" t="str">
        <f t="shared" ca="1" si="1"/>
        <v>23963,74 - GESSO PLACA 600X600X12MM NBR 13207/13867</v>
      </c>
      <c r="E125" t="str">
        <f ca="1"/>
        <v>46200 - Contador</v>
      </c>
    </row>
    <row r="126" spans="1:5" x14ac:dyDescent="0.2">
      <c r="A126" s="245" t="str">
        <v>GESSO PO SECAGEM LENTA KG NBR 13207/13867</v>
      </c>
      <c r="B126" s="246">
        <f ca="1">ROUNDUP(IF(A126="","",SUMIF(Orçamento!P:P,'ABC Insumos Apoio'!A126,Orçamento!Z:Z)),2)</f>
        <v>2770.28</v>
      </c>
      <c r="C126" s="246" t="str">
        <f t="shared" ca="1" si="1"/>
        <v>2770,28 - GESSO PO SECAGEM LENTA KG NBR 13207/13867</v>
      </c>
      <c r="E126" t="str">
        <f ca="1"/>
        <v>459,8 - TORNEIRA LATAO CROMADO MESA P/LAVATORIO 1/2" NOVA PERTUTTI BICA BAIXA</v>
      </c>
    </row>
    <row r="127" spans="1:5" x14ac:dyDescent="0.2">
      <c r="A127" s="245" t="str">
        <v>GR1 - Gradil - 4,14X1,50</v>
      </c>
      <c r="B127" s="246">
        <f ca="1">ROUNDUP(IF(A127="","",SUMIF(Orçamento!P:P,'ABC Insumos Apoio'!A127,Orçamento!Z:Z)),2)</f>
        <v>2643.17</v>
      </c>
      <c r="C127" s="246" t="str">
        <f t="shared" ca="1" si="1"/>
        <v>2643,17 - GR1 - Gradil - 4,14X1,50</v>
      </c>
      <c r="E127" t="str">
        <f ca="1"/>
        <v>4500 - Elaboração do Programa de Condições e Meio Ambiente de Trabalho na indústria da construção (PCMAT)</v>
      </c>
    </row>
    <row r="128" spans="1:5" x14ac:dyDescent="0.2">
      <c r="A128" s="245" t="str">
        <v>GR3 - Gaiola Metálica - 14,51X0,8</v>
      </c>
      <c r="B128" s="246">
        <f ca="1">ROUNDUP(IF(A128="","",SUMIF(Orçamento!P:P,'ABC Insumos Apoio'!A128,Orçamento!Z:Z)),2)</f>
        <v>32997.75</v>
      </c>
      <c r="C128" s="246" t="str">
        <f t="shared" ca="1" si="1"/>
        <v>32997,75 - GR3 - Gaiola Metálica - 14,51X0,8</v>
      </c>
      <c r="E128" t="str">
        <f ca="1"/>
        <v>44 - SUPORTE APOIO ACO CARBONO P/PIA 40CM TUBO 50X30X0,90MM BRANCO</v>
      </c>
    </row>
    <row r="129" spans="1:5" x14ac:dyDescent="0.2">
      <c r="A129" s="245" t="str">
        <v>GRANITO POLIDO</v>
      </c>
      <c r="B129" s="246">
        <f ca="1">ROUNDUP(IF(A129="","",SUMIF(Orçamento!P:P,'ABC Insumos Apoio'!A129,Orçamento!Z:Z)),2)</f>
        <v>24303.98</v>
      </c>
      <c r="C129" s="246" t="str">
        <f t="shared" ca="1" si="1"/>
        <v>24303,98 - GRANITO POLIDO</v>
      </c>
      <c r="E129" t="str">
        <f ca="1"/>
        <v>4392,42 - QUADROS E DISJUNTORES - TERREO</v>
      </c>
    </row>
    <row r="130" spans="1:5" x14ac:dyDescent="0.2">
      <c r="A130" s="245" t="str">
        <v>GUARDA CORPO ALUMINIO COM VIDRO</v>
      </c>
      <c r="B130" s="246">
        <f ca="1">ROUNDUP(IF(A130="","",SUMIF(Orçamento!P:P,'ABC Insumos Apoio'!A130,Orçamento!Z:Z)),2)</f>
        <v>207474.35</v>
      </c>
      <c r="C130" s="246" t="str">
        <f t="shared" ca="1" si="1"/>
        <v>207474,35 - GUARDA CORPO ALUMINIO COM VIDRO</v>
      </c>
      <c r="E130" t="str">
        <f ca="1"/>
        <v>43781,86 - MADEIRA DE FORMA PARA FUNDAÇÃO</v>
      </c>
    </row>
    <row r="131" spans="1:5" x14ac:dyDescent="0.2">
      <c r="A131" s="245" t="str">
        <v>GUARDA CORPO DE VAOS</v>
      </c>
      <c r="B131" s="246">
        <f ca="1">ROUNDUP(IF(A131="","",SUMIF(Orçamento!P:P,'ABC Insumos Apoio'!A131,Orçamento!Z:Z)),2)</f>
        <v>4882.2</v>
      </c>
      <c r="C131" s="246" t="str">
        <f t="shared" ref="C131:C194" ca="1" si="2">IF(A131="","",CONCATENATE(B131, " - ",A131))</f>
        <v>4882,2 - GUARDA CORPO DE VAOS</v>
      </c>
      <c r="E131" t="str">
        <f ca="1"/>
        <v>4373,69 - TELA FACHADEIRA MOSQUITEIRA</v>
      </c>
    </row>
    <row r="132" spans="1:5" x14ac:dyDescent="0.2">
      <c r="A132" s="245" t="str">
        <v>IMPERMEABILIZANTE FLEXÍVEL E ELÁSTICO BICOMPONENTE COM FIBRAS</v>
      </c>
      <c r="B132" s="246">
        <f ca="1">ROUNDUP(IF(A132="","",SUMIF(Orçamento!P:P,'ABC Insumos Apoio'!A132,Orçamento!Z:Z)),2)</f>
        <v>962.12</v>
      </c>
      <c r="C132" s="246" t="str">
        <f t="shared" ca="1" si="2"/>
        <v>962,12 - IMPERMEABILIZANTE FLEXÍVEL E ELÁSTICO BICOMPONENTE COM FIBRAS</v>
      </c>
      <c r="E132" t="str">
        <f ca="1"/>
        <v>41400 - INSTALACOES DE CANTEIRO</v>
      </c>
    </row>
    <row r="133" spans="1:5" x14ac:dyDescent="0.2">
      <c r="A133" s="245" t="str">
        <v>IMPERMEABILIZANTE MANTA LIQUIDA BRANCA</v>
      </c>
      <c r="B133" s="246">
        <f ca="1">ROUNDUP(IF(A133="","",SUMIF(Orçamento!P:P,'ABC Insumos Apoio'!A133,Orçamento!Z:Z)),2)</f>
        <v>723.84</v>
      </c>
      <c r="C133" s="246" t="str">
        <f t="shared" ca="1" si="2"/>
        <v>723,84 - IMPERMEABILIZANTE MANTA LIQUIDA BRANCA</v>
      </c>
      <c r="E133" t="str">
        <f ca="1"/>
        <v>4085 - Fechadura Externa Com Maçaneta</v>
      </c>
    </row>
    <row r="134" spans="1:5" x14ac:dyDescent="0.2">
      <c r="A134" s="245" t="str">
        <v>Instalação equipamentos para piscina</v>
      </c>
      <c r="B134" s="246">
        <f ca="1">ROUNDUP(IF(A134="","",SUMIF(Orçamento!P:P,'ABC Insumos Apoio'!A134,Orçamento!Z:Z)),2)</f>
        <v>35800</v>
      </c>
      <c r="C134" s="246" t="str">
        <f t="shared" ca="1" si="2"/>
        <v>35800 - Instalação equipamentos para piscina</v>
      </c>
      <c r="E134" t="str">
        <f ca="1"/>
        <v>40816 - PROJETO ARQUITETONICO</v>
      </c>
    </row>
    <row r="135" spans="1:5" x14ac:dyDescent="0.2">
      <c r="A135" s="245" t="str">
        <v>INSTALAÇÕES AGUA FRIA - COBERTURA</v>
      </c>
      <c r="B135" s="246">
        <f ca="1">ROUNDUP(IF(A135="","",SUMIF(Orçamento!P:P,'ABC Insumos Apoio'!A135,Orçamento!Z:Z)),2)</f>
        <v>3781.11</v>
      </c>
      <c r="C135" s="246" t="str">
        <f t="shared" ca="1" si="2"/>
        <v>3781,11 - INSTALAÇÕES AGUA FRIA - COBERTURA</v>
      </c>
      <c r="E135" t="str">
        <f ca="1"/>
        <v>40603,29 - CORDOALHA DE AÇO CP190 RB 12,7mm ENGRAXADA</v>
      </c>
    </row>
    <row r="136" spans="1:5" x14ac:dyDescent="0.2">
      <c r="A136" s="245" t="str">
        <v>INSTALAÇÕES AGUA FRIA - PAVIMENTO TECNICO</v>
      </c>
      <c r="B136" s="246">
        <f ca="1">ROUNDUP(IF(A136="","",SUMIF(Orçamento!P:P,'ABC Insumos Apoio'!A136,Orçamento!Z:Z)),2)</f>
        <v>3105.44</v>
      </c>
      <c r="C136" s="246" t="str">
        <f t="shared" ca="1" si="2"/>
        <v>3105,44 - INSTALAÇÕES AGUA FRIA - PAVIMENTO TECNICO</v>
      </c>
      <c r="E136" t="str">
        <f ca="1"/>
        <v>406,48 - Caibro madeira pinus 5x10x300cm</v>
      </c>
    </row>
    <row r="137" spans="1:5" x14ac:dyDescent="0.2">
      <c r="A137" s="245" t="str">
        <v>INSTALAÇÕES AGUA FRIA - SUBSOLO</v>
      </c>
      <c r="B137" s="246">
        <f ca="1">ROUNDUP(IF(A137="","",SUMIF(Orçamento!P:P,'ABC Insumos Apoio'!A137,Orçamento!Z:Z)),2)</f>
        <v>7798.7300000000005</v>
      </c>
      <c r="C137" s="246" t="str">
        <f t="shared" ca="1" si="2"/>
        <v>7798,73 - INSTALAÇÕES AGUA FRIA - SUBSOLO</v>
      </c>
      <c r="E137" t="str">
        <f ca="1"/>
        <v>403,22 - BLOCO CERAMICO VEDACAO 9 X 19 X 29 CM - FUROS NA HORIZONTAL</v>
      </c>
    </row>
    <row r="138" spans="1:5" x14ac:dyDescent="0.2">
      <c r="A138" s="245" t="str">
        <v>INSTALAÇÕES AGUA FRIA - TERREO</v>
      </c>
      <c r="B138" s="246">
        <f ca="1">ROUNDUP(IF(A138="","",SUMIF(Orçamento!P:P,'ABC Insumos Apoio'!A138,Orçamento!Z:Z)),2)</f>
        <v>5278.4400000000005</v>
      </c>
      <c r="C138" s="246" t="str">
        <f t="shared" ca="1" si="2"/>
        <v>5278,44 - INSTALAÇÕES AGUA FRIA - TERREO</v>
      </c>
      <c r="E138" t="str">
        <f ca="1"/>
        <v>402,91 - RUFO ACO CARBONO GALVANIZADO CHAPA 26 DESENVOLVIMENTO 350MM</v>
      </c>
    </row>
    <row r="139" spans="1:5" x14ac:dyDescent="0.2">
      <c r="A139" s="245" t="str">
        <v>INSTALAÇÕES AGUA FRIA - TIPO (X5)</v>
      </c>
      <c r="B139" s="246">
        <f ca="1">ROUNDUP(IF(A139="","",SUMIF(Orçamento!P:P,'ABC Insumos Apoio'!A139,Orçamento!Z:Z)),2)</f>
        <v>18900.91</v>
      </c>
      <c r="C139" s="246" t="str">
        <f t="shared" ca="1" si="2"/>
        <v>18900,91 - INSTALAÇÕES AGUA FRIA - TIPO (X5)</v>
      </c>
      <c r="E139" t="str">
        <f ca="1"/>
        <v>3985,78 - ELETRODUTOS, CAIXAS E ELETROCALHAS - PAVIMENTO TECNICO</v>
      </c>
    </row>
    <row r="140" spans="1:5" x14ac:dyDescent="0.2">
      <c r="A140" s="245" t="str">
        <v>INSTALAÇÕES AGUA PLUVIAIS - COBERTURA</v>
      </c>
      <c r="B140" s="246">
        <f ca="1">ROUNDUP(IF(A140="","",SUMIF(Orçamento!P:P,'ABC Insumos Apoio'!A140,Orçamento!Z:Z)),2)</f>
        <v>1890.56</v>
      </c>
      <c r="C140" s="246" t="str">
        <f t="shared" ca="1" si="2"/>
        <v>1890,56 - INSTALAÇÕES AGUA PLUVIAIS - COBERTURA</v>
      </c>
      <c r="E140" t="str">
        <f ca="1"/>
        <v>39600 - MANUTENÇÃO PROVISÓRIA DE CANTEIRO - ELÉTRICA/ HIDROSSANITÁRIA/VIGILÂNCIA/DETETICAÇÃO</v>
      </c>
    </row>
    <row r="141" spans="1:5" x14ac:dyDescent="0.2">
      <c r="A141" s="245" t="str">
        <v>INSTALAÇÕES AGUA PLUVIAIS - PAVIMENTO TECNICO</v>
      </c>
      <c r="B141" s="246">
        <f ca="1">ROUNDUP(IF(A141="","",SUMIF(Orçamento!P:P,'ABC Insumos Apoio'!A141,Orçamento!Z:Z)),2)</f>
        <v>1552.72</v>
      </c>
      <c r="C141" s="246" t="str">
        <f t="shared" ca="1" si="2"/>
        <v>1552,72 - INSTALAÇÕES AGUA PLUVIAIS - PAVIMENTO TECNICO</v>
      </c>
      <c r="E141" t="str">
        <f ca="1"/>
        <v>3958,83 - INSTALAÇÕES PREVENTIVAS - TERREO</v>
      </c>
    </row>
    <row r="142" spans="1:5" x14ac:dyDescent="0.2">
      <c r="A142" s="245" t="str">
        <v>INSTALAÇÕES AGUA PLUVIAIS - SUBSOLO</v>
      </c>
      <c r="B142" s="246">
        <f ca="1">ROUNDUP(IF(A142="","",SUMIF(Orçamento!P:P,'ABC Insumos Apoio'!A142,Orçamento!Z:Z)),2)</f>
        <v>3899.3700000000003</v>
      </c>
      <c r="C142" s="246" t="str">
        <f t="shared" ca="1" si="2"/>
        <v>3899,37 - INSTALAÇÕES AGUA PLUVIAIS - SUBSOLO</v>
      </c>
      <c r="E142" t="str">
        <f ca="1"/>
        <v>3958,83 - INSTALAÇÕES ESGOTO - TERREO</v>
      </c>
    </row>
    <row r="143" spans="1:5" x14ac:dyDescent="0.2">
      <c r="A143" s="245" t="str">
        <v>INSTALAÇÕES AGUA PLUVIAIS - TERREO</v>
      </c>
      <c r="B143" s="246">
        <f ca="1">ROUNDUP(IF(A143="","",SUMIF(Orçamento!P:P,'ABC Insumos Apoio'!A143,Orçamento!Z:Z)),2)</f>
        <v>2639.2200000000003</v>
      </c>
      <c r="C143" s="246" t="str">
        <f t="shared" ca="1" si="2"/>
        <v>2639,22 - INSTALAÇÕES AGUA PLUVIAIS - TERREO</v>
      </c>
      <c r="E143" t="str">
        <f ca="1"/>
        <v>39010,46 - MAO DE OBRA EXECUCAO CONTRAPISO COMUM</v>
      </c>
    </row>
    <row r="144" spans="1:5" x14ac:dyDescent="0.2">
      <c r="A144" s="245" t="str">
        <v>INSTALAÇÕES AGUA PLUVIAIS - TIPO (X5)</v>
      </c>
      <c r="B144" s="246">
        <f ca="1">ROUNDUP(IF(A144="","",SUMIF(Orçamento!P:P,'ABC Insumos Apoio'!A144,Orçamento!Z:Z)),2)</f>
        <v>9450.4600000000009</v>
      </c>
      <c r="C144" s="246" t="str">
        <f t="shared" ca="1" si="2"/>
        <v>9450,46 - INSTALAÇÕES AGUA PLUVIAIS - TIPO (X5)</v>
      </c>
      <c r="E144" t="str">
        <f ca="1"/>
        <v>3899,37 - INSTALAÇÕES AGUA PLUVIAIS - SUBSOLO</v>
      </c>
    </row>
    <row r="145" spans="1:5" x14ac:dyDescent="0.2">
      <c r="A145" s="245" t="str">
        <v>INSTALACOES DE CANTEIRO</v>
      </c>
      <c r="B145" s="246">
        <f ca="1">ROUNDUP(IF(A145="","",SUMIF(Orçamento!P:P,'ABC Insumos Apoio'!A145,Orçamento!Z:Z)),2)</f>
        <v>41400</v>
      </c>
      <c r="C145" s="246" t="str">
        <f t="shared" ca="1" si="2"/>
        <v>41400 - INSTALACOES DE CANTEIRO</v>
      </c>
      <c r="E145" t="str">
        <f ca="1"/>
        <v>3886,46 - INSTLAÇÃOES DE SISTEMA DE CFTV</v>
      </c>
    </row>
    <row r="146" spans="1:5" x14ac:dyDescent="0.2">
      <c r="A146" s="245" t="str">
        <v>INSTALAÇÕES DE INTERFONIA E CONTROLE DE ACESSOS</v>
      </c>
      <c r="B146" s="246">
        <f ca="1">ROUNDUP(IF(A146="","",SUMIF(Orçamento!P:P,'ABC Insumos Apoio'!A146,Orçamento!Z:Z)),2)</f>
        <v>7363</v>
      </c>
      <c r="C146" s="246" t="str">
        <f t="shared" ca="1" si="2"/>
        <v>7363 - INSTALAÇÕES DE INTERFONIA E CONTROLE DE ACESSOS</v>
      </c>
      <c r="E146" t="str">
        <f ca="1"/>
        <v>3871,2 - SUPORTE PARA BANDEJA 250CM + 80CM A 90° PERFIL 3" X 2,65 CARGA 250KG N</v>
      </c>
    </row>
    <row r="147" spans="1:5" x14ac:dyDescent="0.2">
      <c r="A147" s="245" t="str">
        <v>INSTALACOES DE PROTECAO E ATERRAMENTO - SPDA</v>
      </c>
      <c r="B147" s="246">
        <f ca="1">ROUNDUP(IF(A147="","",SUMIF(Orçamento!P:P,'ABC Insumos Apoio'!A147,Orçamento!Z:Z)),2)</f>
        <v>9716.15</v>
      </c>
      <c r="C147" s="246" t="str">
        <f t="shared" ca="1" si="2"/>
        <v>9716,15 - INSTALACOES DE PROTECAO E ATERRAMENTO - SPDA</v>
      </c>
      <c r="E147" t="str">
        <f ca="1"/>
        <v>3840,83 - Pergolado de madeira</v>
      </c>
    </row>
    <row r="148" spans="1:5" x14ac:dyDescent="0.2">
      <c r="A148" s="245" t="str">
        <v>INSTALAÇÕES ESGOTO - COBERTURA</v>
      </c>
      <c r="B148" s="246">
        <f ca="1">ROUNDUP(IF(A148="","",SUMIF(Orçamento!P:P,'ABC Insumos Apoio'!A148,Orçamento!Z:Z)),2)</f>
        <v>2835.8300000000004</v>
      </c>
      <c r="C148" s="246" t="str">
        <f t="shared" ca="1" si="2"/>
        <v>2835,83 - INSTALAÇÕES ESGOTO - COBERTURA</v>
      </c>
      <c r="E148" t="str">
        <f ca="1"/>
        <v>3781,11 - INSTALAÇÕES AGUA FRIA - COBERTURA</v>
      </c>
    </row>
    <row r="149" spans="1:5" x14ac:dyDescent="0.2">
      <c r="A149" s="245" t="str">
        <v>INSTALAÇÕES ESGOTO - PAVIMENTO TECNICO</v>
      </c>
      <c r="B149" s="246">
        <f ca="1">ROUNDUP(IF(A149="","",SUMIF(Orçamento!P:P,'ABC Insumos Apoio'!A149,Orçamento!Z:Z)),2)</f>
        <v>2329.0800000000004</v>
      </c>
      <c r="C149" s="246" t="str">
        <f t="shared" ca="1" si="2"/>
        <v>2329,08 - INSTALAÇÕES ESGOTO - PAVIMENTO TECNICO</v>
      </c>
      <c r="E149" t="str">
        <f ca="1"/>
        <v>378,12 - LUMINÁRIAS - COBERTURA</v>
      </c>
    </row>
    <row r="150" spans="1:5" x14ac:dyDescent="0.2">
      <c r="A150" s="245" t="str">
        <v>INSTALAÇÕES ESGOTO - SUBSOLO</v>
      </c>
      <c r="B150" s="246">
        <f ca="1">ROUNDUP(IF(A150="","",SUMIF(Orçamento!P:P,'ABC Insumos Apoio'!A150,Orçamento!Z:Z)),2)</f>
        <v>5849.05</v>
      </c>
      <c r="C150" s="246" t="str">
        <f t="shared" ca="1" si="2"/>
        <v>5849,05 - INSTALAÇÕES ESGOTO - SUBSOLO</v>
      </c>
      <c r="E150" t="str">
        <f ca="1"/>
        <v>3772 - CONTROLE TECNOLOGICO DO CONCRETO - FUNDAÇÃO</v>
      </c>
    </row>
    <row r="151" spans="1:5" x14ac:dyDescent="0.2">
      <c r="A151" s="245" t="str">
        <v>INSTALAÇÕES ESGOTO - TERREO</v>
      </c>
      <c r="B151" s="246">
        <f ca="1">ROUNDUP(IF(A151="","",SUMIF(Orçamento!P:P,'ABC Insumos Apoio'!A151,Orçamento!Z:Z)),2)</f>
        <v>3958.8300000000004</v>
      </c>
      <c r="C151" s="246" t="str">
        <f t="shared" ca="1" si="2"/>
        <v>3958,83 - INSTALAÇÕES ESGOTO - TERREO</v>
      </c>
      <c r="E151" t="str">
        <f ca="1"/>
        <v>372,66 - RETROESCAVADEIRA SOBRE RODAS COM CARREGADEIRA</v>
      </c>
    </row>
    <row r="152" spans="1:5" x14ac:dyDescent="0.2">
      <c r="A152" s="245" t="str">
        <v>INSTALAÇÕES ESGOTO - TIPO (X5)</v>
      </c>
      <c r="B152" s="246">
        <f ca="1">ROUNDUP(IF(A152="","",SUMIF(Orçamento!P:P,'ABC Insumos Apoio'!A152,Orçamento!Z:Z)),2)</f>
        <v>14175.68</v>
      </c>
      <c r="C152" s="246" t="str">
        <f t="shared" ca="1" si="2"/>
        <v>14175,68 - INSTALAÇÕES ESGOTO - TIPO (X5)</v>
      </c>
      <c r="E152" t="str">
        <f ca="1"/>
        <v>37030 - MAO DE OBRA PARA EMASSAMENTO EM TETO</v>
      </c>
    </row>
    <row r="153" spans="1:5" x14ac:dyDescent="0.2">
      <c r="A153" s="245" t="str">
        <v>INSTALAÇÕES PREVENTIVAS - COBERTURA</v>
      </c>
      <c r="B153" s="246">
        <f ca="1">ROUNDUP(IF(A153="","",SUMIF(Orçamento!P:P,'ABC Insumos Apoio'!A153,Orçamento!Z:Z)),2)</f>
        <v>2835.8300000000004</v>
      </c>
      <c r="C153" s="246" t="str">
        <f t="shared" ca="1" si="2"/>
        <v>2835,83 - INSTALAÇÕES PREVENTIVAS - COBERTURA</v>
      </c>
      <c r="E153" t="str">
        <f ca="1"/>
        <v>366,08 - Adaptador Ancor. (AP2)B Chupeta-EHX 0027</v>
      </c>
    </row>
    <row r="154" spans="1:5" x14ac:dyDescent="0.2">
      <c r="A154" s="245" t="str">
        <v>INSTALAÇÕES PREVENTIVAS - PAVIMENTO TECNICO</v>
      </c>
      <c r="B154" s="246">
        <f ca="1">ROUNDUP(IF(A154="","",SUMIF(Orçamento!P:P,'ABC Insumos Apoio'!A154,Orçamento!Z:Z)),2)</f>
        <v>2329.0800000000004</v>
      </c>
      <c r="C154" s="246" t="str">
        <f t="shared" ca="1" si="2"/>
        <v>2329,08 - INSTALAÇÕES PREVENTIVAS - PAVIMENTO TECNICO</v>
      </c>
      <c r="E154" t="str">
        <f ca="1"/>
        <v>36540,21 - REVESTIMENTO -  PORCELANATO 20X120 EXT RET</v>
      </c>
    </row>
    <row r="155" spans="1:5" x14ac:dyDescent="0.2">
      <c r="A155" s="245" t="str">
        <v>INSTALAÇÕES PREVENTIVAS - SUBSOLO</v>
      </c>
      <c r="B155" s="246">
        <f ca="1">ROUNDUP(IF(A155="","",SUMIF(Orçamento!P:P,'ABC Insumos Apoio'!A155,Orçamento!Z:Z)),2)</f>
        <v>5849.05</v>
      </c>
      <c r="C155" s="246" t="str">
        <f t="shared" ca="1" si="2"/>
        <v>5849,05 - INSTALAÇÕES PREVENTIVAS - SUBSOLO</v>
      </c>
      <c r="E155" t="str">
        <f ca="1"/>
        <v>3600 - Dobradiça aço inox - portas de madeira</v>
      </c>
    </row>
    <row r="156" spans="1:5" x14ac:dyDescent="0.2">
      <c r="A156" s="245" t="str">
        <v>INSTALAÇÕES PREVENTIVAS - TERREO</v>
      </c>
      <c r="B156" s="246">
        <f ca="1">ROUNDUP(IF(A156="","",SUMIF(Orçamento!P:P,'ABC Insumos Apoio'!A156,Orçamento!Z:Z)),2)</f>
        <v>3958.8300000000004</v>
      </c>
      <c r="C156" s="246" t="str">
        <f t="shared" ca="1" si="2"/>
        <v>3958,83 - INSTALAÇÕES PREVENTIVAS - TERREO</v>
      </c>
      <c r="E156" t="str">
        <f ca="1"/>
        <v>35973,38 - MAO DE OBRA PARA COLOCACAO E REJUNTAMENTO DE PISO CERAMICO</v>
      </c>
    </row>
    <row r="157" spans="1:5" x14ac:dyDescent="0.2">
      <c r="A157" s="245" t="str">
        <v>INSTALAÇÕES PREVENTIVAS - TIPO (X5)</v>
      </c>
      <c r="B157" s="246">
        <f ca="1">ROUNDUP(IF(A157="","",SUMIF(Orçamento!P:P,'ABC Insumos Apoio'!A157,Orçamento!Z:Z)),2)</f>
        <v>14175.68</v>
      </c>
      <c r="C157" s="246" t="str">
        <f t="shared" ca="1" si="2"/>
        <v>14175,68 - INSTALAÇÕES PREVENTIVAS - TIPO (X5)</v>
      </c>
      <c r="E157" t="str">
        <f ca="1"/>
        <v>35800 - Instalação equipamentos para piscina</v>
      </c>
    </row>
    <row r="158" spans="1:5" x14ac:dyDescent="0.2">
      <c r="A158" s="245" t="str">
        <v>INSTALACOES PROVISORIAS DE CANTEIRO</v>
      </c>
      <c r="B158" s="246">
        <f ca="1">ROUNDUP(IF(A158="","",SUMIF(Orçamento!P:P,'ABC Insumos Apoio'!A158,Orçamento!Z:Z)),2)</f>
        <v>26970</v>
      </c>
      <c r="C158" s="246" t="str">
        <f t="shared" ca="1" si="2"/>
        <v>26970 - INSTALACOES PROVISORIAS DE CANTEIRO</v>
      </c>
      <c r="E158" t="str">
        <f ca="1"/>
        <v>356636,13 - MOBILIARIO E DECORACOES PARA AREAS COMUNS</v>
      </c>
    </row>
    <row r="159" spans="1:5" x14ac:dyDescent="0.2">
      <c r="A159" s="245" t="str">
        <v>INSTALACOES PROVISORIAS REDE DE AGUA</v>
      </c>
      <c r="B159" s="246">
        <f ca="1">ROUNDUP(IF(A159="","",SUMIF(Orçamento!P:P,'ABC Insumos Apoio'!A159,Orçamento!Z:Z)),2)</f>
        <v>2332.5700000000002</v>
      </c>
      <c r="C159" s="246" t="str">
        <f t="shared" ca="1" si="2"/>
        <v>2332,57 - INSTALACOES PROVISORIAS REDE DE AGUA</v>
      </c>
      <c r="E159" t="str">
        <f ca="1"/>
        <v>35600 - FORNECIMENTO DE M.O. PARA INFRAESTRUTURA DE AR CONDICIONADO</v>
      </c>
    </row>
    <row r="160" spans="1:5" x14ac:dyDescent="0.2">
      <c r="A160" s="245" t="str">
        <v>INSTALACOES PROVISORIAS REDE ELETRICA</v>
      </c>
      <c r="B160" s="246">
        <f ca="1">ROUNDUP(IF(A160="","",SUMIF(Orçamento!P:P,'ABC Insumos Apoio'!A160,Orçamento!Z:Z)),2)</f>
        <v>2043.15</v>
      </c>
      <c r="C160" s="246" t="str">
        <f t="shared" ca="1" si="2"/>
        <v>2043,15 - INSTALACOES PROVISORIAS REDE ELETRICA</v>
      </c>
      <c r="E160" t="str">
        <f ca="1"/>
        <v>3500 - PROJETO DE SEGURANCA DO TRABALHO</v>
      </c>
    </row>
    <row r="161" spans="1:5" x14ac:dyDescent="0.2">
      <c r="A161" s="245" t="str">
        <v>INSTLAÇÃOES DE LOGICA/INTERNET/TELEFONIA</v>
      </c>
      <c r="B161" s="246">
        <f ca="1">ROUNDUP(IF(A161="","",SUMIF(Orçamento!P:P,'ABC Insumos Apoio'!A161,Orçamento!Z:Z)),2)</f>
        <v>5829.69</v>
      </c>
      <c r="C161" s="246" t="str">
        <f t="shared" ca="1" si="2"/>
        <v>5829,69 - INSTLAÇÃOES DE LOGICA/INTERNET/TELEFONIA</v>
      </c>
      <c r="E161" t="str">
        <f ca="1"/>
        <v>34809,4 - ARGAMASSA ESTABILIZADA PARA CHAPISCO</v>
      </c>
    </row>
    <row r="162" spans="1:5" x14ac:dyDescent="0.2">
      <c r="A162" s="245" t="str">
        <v>INSTLAÇÃOES DE SISTEMA DE CFTV</v>
      </c>
      <c r="B162" s="246">
        <f ca="1">ROUNDUP(IF(A162="","",SUMIF(Orçamento!P:P,'ABC Insumos Apoio'!A162,Orçamento!Z:Z)),2)</f>
        <v>3886.46</v>
      </c>
      <c r="C162" s="246" t="str">
        <f t="shared" ca="1" si="2"/>
        <v>3886,46 - INSTLAÇÃOES DE SISTEMA DE CFTV</v>
      </c>
      <c r="E162" t="str">
        <f ca="1"/>
        <v>3465 - SERVICO LOCACAO/TRANSPORTE/DESCARTE CACAMBA 5M3 - RESIDUOS CLASSE B</v>
      </c>
    </row>
    <row r="163" spans="1:5" x14ac:dyDescent="0.2">
      <c r="A163" s="245" t="str">
        <v>IPTU - IMPOSTO PREDIAL E TERRITORIAL URBANO</v>
      </c>
      <c r="B163" s="246">
        <f ca="1">ROUNDUP(IF(A163="","",SUMIF(Orçamento!P:P,'ABC Insumos Apoio'!A163,Orçamento!Z:Z)),2)</f>
        <v>7000</v>
      </c>
      <c r="C163" s="246" t="str">
        <f t="shared" ca="1" si="2"/>
        <v>7000 - IPTU - IMPOSTO PREDIAL E TERRITORIAL URBANO</v>
      </c>
      <c r="E163" t="str">
        <f ca="1"/>
        <v>3462,12 - PRIMER A BASE DE ASFALTO MODIFICADO DILUIDO EM SOLVENTE APLIC. A FRIO</v>
      </c>
    </row>
    <row r="164" spans="1:5" x14ac:dyDescent="0.2">
      <c r="A164" s="245" t="str">
        <v>ITENS EVENTUAIS E NAO ORCADOS</v>
      </c>
      <c r="B164" s="246">
        <f ca="1">ROUNDUP(IF(A164="","",SUMIF(Orçamento!P:P,'ABC Insumos Apoio'!A164,Orçamento!Z:Z)),2)</f>
        <v>139412.55000000002</v>
      </c>
      <c r="C164" s="246" t="str">
        <f t="shared" ca="1" si="2"/>
        <v>139412,55 - ITENS EVENTUAIS E NAO ORCADOS</v>
      </c>
      <c r="E164" t="str">
        <f ca="1"/>
        <v>34392,87 - ACO CA-50A 10,00 MM (3/8)</v>
      </c>
    </row>
    <row r="165" spans="1:5" x14ac:dyDescent="0.2">
      <c r="A165" s="245" t="str">
        <v>LEVANTAMENTO TOPOGRAFICO</v>
      </c>
      <c r="B165" s="246">
        <f ca="1">ROUNDUP(IF(A165="","",SUMIF(Orçamento!P:P,'ABC Insumos Apoio'!A165,Orçamento!Z:Z)),2)</f>
        <v>7800</v>
      </c>
      <c r="C165" s="246" t="str">
        <f t="shared" ca="1" si="2"/>
        <v>7800 - LEVANTAMENTO TOPOGRAFICO</v>
      </c>
      <c r="E165" t="str">
        <f ca="1"/>
        <v>3420,3 - PAISAGISMO</v>
      </c>
    </row>
    <row r="166" spans="1:5" x14ac:dyDescent="0.2">
      <c r="A166" s="245" t="str">
        <v>LIMPEZA FINAL DA OBRA</v>
      </c>
      <c r="B166" s="246">
        <f ca="1">ROUNDUP(IF(A166="","",SUMIF(Orçamento!P:P,'ABC Insumos Apoio'!A166,Orçamento!Z:Z)),2)</f>
        <v>29148.45</v>
      </c>
      <c r="C166" s="246" t="str">
        <f t="shared" ca="1" si="2"/>
        <v>29148,45 - LIMPEZA FINAL DA OBRA</v>
      </c>
      <c r="E166" t="str">
        <f ca="1"/>
        <v>3409,92 - Acompanhamento e fiscalização na montagem da Protensão, locação de macacohidráulico e maçarico</v>
      </c>
    </row>
    <row r="167" spans="1:5" x14ac:dyDescent="0.2">
      <c r="A167" s="245" t="str">
        <v>LIXA EM FOLHA PARA PAREDE OU MADEIRA N° 120</v>
      </c>
      <c r="B167" s="246">
        <f ca="1">ROUNDUP(IF(A167="","",SUMIF(Orçamento!P:P,'ABC Insumos Apoio'!A167,Orçamento!Z:Z)),2)</f>
        <v>1200.31</v>
      </c>
      <c r="C167" s="246" t="str">
        <f t="shared" ca="1" si="2"/>
        <v>1200,31 - LIXA EM FOLHA PARA PAREDE OU MADEIRA N° 120</v>
      </c>
      <c r="E167" t="str">
        <f ca="1"/>
        <v>34,28 - BUCHA FIXACAO NYLON FU 08</v>
      </c>
    </row>
    <row r="168" spans="1:5" x14ac:dyDescent="0.2">
      <c r="A168" s="245" t="str">
        <v>Locação Andaime Suspenso Manual</v>
      </c>
      <c r="B168" s="246">
        <f ca="1">ROUNDUP(IF(A168="","",SUMIF(Orçamento!P:P,'ABC Insumos Apoio'!A168,Orçamento!Z:Z)),2)</f>
        <v>9000</v>
      </c>
      <c r="C168" s="246" t="str">
        <f t="shared" ca="1" si="2"/>
        <v>9000 - Locação Andaime Suspenso Manual</v>
      </c>
      <c r="E168" t="str">
        <f ca="1"/>
        <v>3300 - DESPESAS DE CONSUMO - INTERNET</v>
      </c>
    </row>
    <row r="169" spans="1:5" x14ac:dyDescent="0.2">
      <c r="A169" s="245" t="str">
        <v>Locação Balancim manual</v>
      </c>
      <c r="B169" s="246">
        <f ca="1">ROUNDUP(IF(A169="","",SUMIF(Orçamento!P:P,'ABC Insumos Apoio'!A169,Orçamento!Z:Z)),2)</f>
        <v>30000</v>
      </c>
      <c r="C169" s="246" t="str">
        <f t="shared" ca="1" si="2"/>
        <v>30000 - Locação Balancim manual</v>
      </c>
      <c r="E169" t="str">
        <f ca="1"/>
        <v>32997,75 - GR3 - Gaiola Metálica - 14,51X0,8</v>
      </c>
    </row>
    <row r="170" spans="1:5" x14ac:dyDescent="0.2">
      <c r="A170" s="245" t="str">
        <v>LOCACAO DE BANHEIRO QUIMICO</v>
      </c>
      <c r="B170" s="246">
        <f ca="1">ROUNDUP(IF(A170="","",SUMIF(Orçamento!P:P,'ABC Insumos Apoio'!A170,Orçamento!Z:Z)),2)</f>
        <v>6300</v>
      </c>
      <c r="C170" s="246" t="str">
        <f t="shared" ca="1" si="2"/>
        <v>6300 - LOCACAO DE BANHEIRO QUIMICO</v>
      </c>
      <c r="E170" t="str">
        <f ca="1"/>
        <v>3218,51 - PONTOS DE TOMADA E INTERRUPTORES - SUBSOLO</v>
      </c>
    </row>
    <row r="171" spans="1:5" x14ac:dyDescent="0.2">
      <c r="A171" s="245" t="str">
        <v>LOCACAO DIARIA FORMA P/LAJE NERVURADA - CUBETA 800x200MM (AVULSO)</v>
      </c>
      <c r="B171" s="246">
        <f ca="1">ROUNDUP(IF(A171="","",SUMIF(Orçamento!P:P,'ABC Insumos Apoio'!A171,Orçamento!Z:Z)),2)</f>
        <v>2341.4100000000003</v>
      </c>
      <c r="C171" s="246" t="str">
        <f t="shared" ca="1" si="2"/>
        <v>2341,41 - LOCACAO DIARIA FORMA P/LAJE NERVURADA - CUBETA 800x200MM (AVULSO)</v>
      </c>
      <c r="E171" t="str">
        <f ca="1"/>
        <v>31609,98 - MAO DE OBRA DE IMPERMEABILIZACAO</v>
      </c>
    </row>
    <row r="172" spans="1:5" x14ac:dyDescent="0.2">
      <c r="A172" s="245" t="str">
        <v>LOUÇAS E METAIS</v>
      </c>
      <c r="B172" s="246">
        <f ca="1">ROUNDUP(IF(A172="","",SUMIF(Orçamento!P:P,'ABC Insumos Apoio'!A172,Orçamento!Z:Z)),2)</f>
        <v>50600</v>
      </c>
      <c r="C172" s="246" t="str">
        <f t="shared" ca="1" si="2"/>
        <v>50600 - LOUÇAS E METAIS</v>
      </c>
      <c r="E172" t="str">
        <f ca="1"/>
        <v>3155,03 - Sistema de linha de vida tipo varal de segurança com tubo h=7,5 e acessórios incluindo sapata de fixação e pino de travamento</v>
      </c>
    </row>
    <row r="173" spans="1:5" x14ac:dyDescent="0.2">
      <c r="A173" s="245" t="str">
        <v>LUMINÁRIAS - COBERTURA</v>
      </c>
      <c r="B173" s="246">
        <f ca="1">ROUNDUP(IF(A173="","",SUMIF(Orçamento!P:P,'ABC Insumos Apoio'!A173,Orçamento!Z:Z)),2)</f>
        <v>378.12</v>
      </c>
      <c r="C173" s="246" t="str">
        <f t="shared" ca="1" si="2"/>
        <v>378,12 - LUMINÁRIAS - COBERTURA</v>
      </c>
      <c r="E173" t="str">
        <f ca="1"/>
        <v>3146,43 - QUADROS E DISJUNTORES - COBERTURA</v>
      </c>
    </row>
    <row r="174" spans="1:5" x14ac:dyDescent="0.2">
      <c r="A174" s="245" t="str">
        <v>LUMINÁRIAS - PAVIMENTO TECNICO</v>
      </c>
      <c r="B174" s="246">
        <f ca="1">ROUNDUP(IF(A174="","",SUMIF(Orçamento!P:P,'ABC Insumos Apoio'!A174,Orçamento!Z:Z)),2)</f>
        <v>310.55</v>
      </c>
      <c r="C174" s="246" t="str">
        <f t="shared" ca="1" si="2"/>
        <v>310,55 - LUMINÁRIAS - PAVIMENTO TECNICO</v>
      </c>
      <c r="E174" t="str">
        <f ca="1"/>
        <v>3145 - Fechadura Padrão Obra (c/ chave)</v>
      </c>
    </row>
    <row r="175" spans="1:5" x14ac:dyDescent="0.2">
      <c r="A175" s="245" t="str">
        <v>LUMINÁRIAS - SUBSOLO</v>
      </c>
      <c r="B175" s="246">
        <f ca="1">ROUNDUP(IF(A175="","",SUMIF(Orçamento!P:P,'ABC Insumos Apoio'!A175,Orçamento!Z:Z)),2)</f>
        <v>779.88</v>
      </c>
      <c r="C175" s="246" t="str">
        <f t="shared" ca="1" si="2"/>
        <v>779,88 - LUMINÁRIAS - SUBSOLO</v>
      </c>
      <c r="E175" t="str">
        <f ca="1"/>
        <v>3105,44 - INSTALAÇÕES AGUA FRIA - PAVIMENTO TECNICO</v>
      </c>
    </row>
    <row r="176" spans="1:5" x14ac:dyDescent="0.2">
      <c r="A176" s="245" t="str">
        <v>LUMINÁRIAS - TERREO</v>
      </c>
      <c r="B176" s="246">
        <f ca="1">ROUNDUP(IF(A176="","",SUMIF(Orçamento!P:P,'ABC Insumos Apoio'!A176,Orçamento!Z:Z)),2)</f>
        <v>527.85</v>
      </c>
      <c r="C176" s="246" t="str">
        <f t="shared" ca="1" si="2"/>
        <v>527,85 - LUMINÁRIAS - TERREO</v>
      </c>
      <c r="E176" t="str">
        <f ca="1"/>
        <v>310,55 - LUMINÁRIAS - PAVIMENTO TECNICO</v>
      </c>
    </row>
    <row r="177" spans="1:5" x14ac:dyDescent="0.2">
      <c r="A177" s="245" t="str">
        <v>LUMINÁRIAS - TIPO (x5)</v>
      </c>
      <c r="B177" s="246">
        <f ca="1">ROUNDUP(IF(A177="","",SUMIF(Orçamento!P:P,'ABC Insumos Apoio'!A177,Orçamento!Z:Z)),2)</f>
        <v>1890.1</v>
      </c>
      <c r="C177" s="246" t="str">
        <f t="shared" ca="1" si="2"/>
        <v>1890,1 - LUMINÁRIAS - TIPO (x5)</v>
      </c>
      <c r="E177" t="str">
        <f ca="1"/>
        <v>3067,98 - ALC01 - Alçapão 70X70</v>
      </c>
    </row>
    <row r="178" spans="1:5" x14ac:dyDescent="0.2">
      <c r="A178" s="245" t="str">
        <v>M.O. INSTALAÇÃO DE PORTAS DE MADEIRA</v>
      </c>
      <c r="B178" s="246">
        <f ca="1">ROUNDUP(IF(A178="","",SUMIF(Orçamento!P:P,'ABC Insumos Apoio'!A178,Orçamento!Z:Z)),2)</f>
        <v>10400</v>
      </c>
      <c r="C178" s="246" t="str">
        <f t="shared" ca="1" si="2"/>
        <v>10400 - M.O. INSTALAÇÃO DE PORTAS DE MADEIRA</v>
      </c>
      <c r="E178" t="str">
        <f ca="1"/>
        <v>304 - TANQUE LOUCA SUSPENSO</v>
      </c>
    </row>
    <row r="179" spans="1:5" x14ac:dyDescent="0.2">
      <c r="A179" s="245" t="str">
        <v>M.O. PARA EXECUCAO DE PROTECAO MECANICA EM SUPERFICIE IMPERMEABILIZADA</v>
      </c>
      <c r="B179" s="246">
        <f ca="1">ROUNDUP(IF(A179="","",SUMIF(Orçamento!P:P,'ABC Insumos Apoio'!A179,Orçamento!Z:Z)),2)</f>
        <v>2182.0100000000002</v>
      </c>
      <c r="C179" s="246" t="str">
        <f t="shared" ca="1" si="2"/>
        <v>2182,01 - M.O. PARA EXECUCAO DE PROTECAO MECANICA EM SUPERFICIE IMPERMEABILIZADA</v>
      </c>
      <c r="E179" t="str">
        <f ca="1"/>
        <v>30072,36 - FIAÇÃO - SUBSOLO</v>
      </c>
    </row>
    <row r="180" spans="1:5" x14ac:dyDescent="0.2">
      <c r="A180" s="245" t="str">
        <v>MADEIRA DE FORMA PARA CONTENÇÃO</v>
      </c>
      <c r="B180" s="246">
        <f ca="1">ROUNDUP(IF(A180="","",SUMIF(Orçamento!P:P,'ABC Insumos Apoio'!A180,Orçamento!Z:Z)),2)</f>
        <v>13113.36</v>
      </c>
      <c r="C180" s="246" t="str">
        <f t="shared" ca="1" si="2"/>
        <v>13113,36 - MADEIRA DE FORMA PARA CONTENÇÃO</v>
      </c>
      <c r="E180" t="str">
        <f ca="1"/>
        <v>30000 - Locação Balancim manual</v>
      </c>
    </row>
    <row r="181" spans="1:5" x14ac:dyDescent="0.2">
      <c r="A181" s="245" t="str">
        <v>MADEIRA DE FORMA PARA FUNDAÇÃO</v>
      </c>
      <c r="B181" s="246">
        <f ca="1">ROUNDUP(IF(A181="","",SUMIF(Orçamento!P:P,'ABC Insumos Apoio'!A181,Orçamento!Z:Z)),2)</f>
        <v>43781.86</v>
      </c>
      <c r="C181" s="246" t="str">
        <f t="shared" ca="1" si="2"/>
        <v>43781,86 - MADEIRA DE FORMA PARA FUNDAÇÃO</v>
      </c>
      <c r="E181" t="str">
        <f ca="1"/>
        <v>29900 - PROJETO ESTRUTURAL</v>
      </c>
    </row>
    <row r="182" spans="1:5" x14ac:dyDescent="0.2">
      <c r="A182" s="245" t="str">
        <v>MADEIRA LEI - PONTALETE ANGELIM PEDRA (M3) NBR 11700</v>
      </c>
      <c r="B182" s="246">
        <f ca="1">ROUNDUP(IF(A182="","",SUMIF(Orçamento!P:P,'ABC Insumos Apoio'!A182,Orçamento!Z:Z)),2)</f>
        <v>5417.1</v>
      </c>
      <c r="C182" s="246" t="str">
        <f t="shared" ca="1" si="2"/>
        <v>5417,1 - MADEIRA LEI - PONTALETE ANGELIM PEDRA (M3) NBR 11700</v>
      </c>
      <c r="E182" t="str">
        <f ca="1"/>
        <v>29824,11 - PCF - PORTA ESPECIAL  - ABRIR (E. VERTIVAL) - 80X210</v>
      </c>
    </row>
    <row r="183" spans="1:5" x14ac:dyDescent="0.2">
      <c r="A183" s="245" t="str">
        <v>MADEIRA PINUS/SIMILAR - PONTALETE 75X75MM NBR 11700/15696</v>
      </c>
      <c r="B183" s="246">
        <f ca="1">ROUNDUP(IF(A183="","",SUMIF(Orçamento!P:P,'ABC Insumos Apoio'!A183,Orçamento!Z:Z)),2)</f>
        <v>26854.789999999997</v>
      </c>
      <c r="C183" s="246" t="str">
        <f t="shared" ca="1" si="2"/>
        <v>26854,79 - MADEIRA PINUS/SIMILAR - PONTALETE 75X75MM NBR 11700/15696</v>
      </c>
      <c r="E183" t="str">
        <f ca="1"/>
        <v>2967 - Projeto Telefonia</v>
      </c>
    </row>
    <row r="184" spans="1:5" x14ac:dyDescent="0.2">
      <c r="A184" s="245" t="str">
        <v>MADEIRA PINUS/SIMILAR - SARRAFO PINUS 50X10MM NBR 11700</v>
      </c>
      <c r="B184" s="246">
        <f ca="1">ROUNDUP(IF(A184="","",SUMIF(Orçamento!P:P,'ABC Insumos Apoio'!A184,Orçamento!Z:Z)),2)</f>
        <v>21658.239999999998</v>
      </c>
      <c r="C184" s="246" t="str">
        <f t="shared" ca="1" si="2"/>
        <v>21658,24 - MADEIRA PINUS/SIMILAR - SARRAFO PINUS 50X10MM NBR 11700</v>
      </c>
      <c r="E184" t="str">
        <f ca="1"/>
        <v>2967 - Projeto Comunicação e Dados</v>
      </c>
    </row>
    <row r="185" spans="1:5" x14ac:dyDescent="0.2">
      <c r="A185" s="245" t="str">
        <v xml:space="preserve">Manilha reta padrão "D", corpo forjado em aço carbono 1045 c/ pino reforçado alloy, roscado 1/2". </v>
      </c>
      <c r="B185" s="246">
        <f ca="1">ROUNDUP(IF(A185="","",SUMIF(Orçamento!P:P,'ABC Insumos Apoio'!A185,Orçamento!Z:Z)),2)</f>
        <v>1915.31</v>
      </c>
      <c r="C185" s="246" t="str">
        <f t="shared" ca="1" si="2"/>
        <v xml:space="preserve">1915,31 - Manilha reta padrão "D", corpo forjado em aço carbono 1045 c/ pino reforçado alloy, roscado 1/2". </v>
      </c>
      <c r="E185" t="str">
        <f ca="1"/>
        <v>293,89 - Taxa Aprovação e legalização água e esgoto</v>
      </c>
    </row>
    <row r="186" spans="1:5" x14ac:dyDescent="0.2">
      <c r="A186" s="245" t="str">
        <v>MANTA ACÚSTICA DE POLIETILENO</v>
      </c>
      <c r="B186" s="246">
        <f ca="1">ROUNDUP(IF(A186="","",SUMIF(Orçamento!P:P,'ABC Insumos Apoio'!A186,Orçamento!Z:Z)),2)</f>
        <v>17289.009999999998</v>
      </c>
      <c r="C186" s="246" t="str">
        <f t="shared" ca="1" si="2"/>
        <v>17289,01 - MANTA ACÚSTICA DE POLIETILENO</v>
      </c>
      <c r="E186" t="str">
        <f ca="1"/>
        <v>2928 - Moto bomba 3/4 cv mono auxiliar - Sodramar</v>
      </c>
    </row>
    <row r="187" spans="1:5" x14ac:dyDescent="0.2">
      <c r="A187" s="245" t="str">
        <v>MANTA ASFALTICA ELASTOMERICA EM POLIESTER 3MM, TIPO III, CLASSE B, ACA</v>
      </c>
      <c r="B187" s="246">
        <f ca="1">ROUNDUP(IF(A187="","",SUMIF(Orçamento!P:P,'ABC Insumos Apoio'!A187,Orçamento!Z:Z)),2)</f>
        <v>20119.059999999998</v>
      </c>
      <c r="C187" s="246" t="str">
        <f t="shared" ca="1" si="2"/>
        <v>20119,06 - MANTA ASFALTICA ELASTOMERICA EM POLIESTER 3MM, TIPO III, CLASSE B, ACA</v>
      </c>
      <c r="E187" t="str">
        <f ca="1"/>
        <v>29148,45 - LIMPEZA FINAL DA OBRA</v>
      </c>
    </row>
    <row r="188" spans="1:5" x14ac:dyDescent="0.2">
      <c r="A188" s="245" t="str">
        <v>MANTA VEU POLIESTER BRANCA, L=1,05 M X 100 M</v>
      </c>
      <c r="B188" s="246">
        <f ca="1">ROUNDUP(IF(A188="","",SUMIF(Orçamento!P:P,'ABC Insumos Apoio'!A188,Orçamento!Z:Z)),2)</f>
        <v>219.56</v>
      </c>
      <c r="C188" s="246" t="str">
        <f t="shared" ca="1" si="2"/>
        <v>219,56 - MANTA VEU POLIESTER BRANCA, L=1,05 M X 100 M</v>
      </c>
      <c r="E188" t="str">
        <f ca="1"/>
        <v>28947,88 - Argamassa Polimerica Impermeabilizante</v>
      </c>
    </row>
    <row r="189" spans="1:5" x14ac:dyDescent="0.2">
      <c r="A189" s="245" t="str">
        <v>Manuais Técnicos condomínio/proprietários</v>
      </c>
      <c r="B189" s="246">
        <f ca="1">ROUNDUP(IF(A189="","",SUMIF(Orçamento!P:P,'ABC Insumos Apoio'!A189,Orçamento!Z:Z)),2)</f>
        <v>5700</v>
      </c>
      <c r="C189" s="246" t="str">
        <f t="shared" ca="1" si="2"/>
        <v>5700 - Manuais Técnicos condomínio/proprietários</v>
      </c>
      <c r="E189" t="str">
        <f ca="1"/>
        <v>2860 - GERENCIAMENTO ELETRÔNICO</v>
      </c>
    </row>
    <row r="190" spans="1:5" x14ac:dyDescent="0.2">
      <c r="A190" s="245" t="str">
        <v>MANUTENCAO PARA VEICULOS PROPRIOS</v>
      </c>
      <c r="B190" s="246">
        <f ca="1">ROUNDUP(IF(A190="","",SUMIF(Orçamento!P:P,'ABC Insumos Apoio'!A190,Orçamento!Z:Z)),2)</f>
        <v>1716</v>
      </c>
      <c r="C190" s="246" t="str">
        <f t="shared" ca="1" si="2"/>
        <v>1716 - MANUTENCAO PARA VEICULOS PROPRIOS</v>
      </c>
      <c r="E190" t="str">
        <f ca="1"/>
        <v>2835,83 - INSTALAÇÕES PREVENTIVAS - COBERTURA</v>
      </c>
    </row>
    <row r="191" spans="1:5" x14ac:dyDescent="0.2">
      <c r="A191" s="245" t="str">
        <v>Manutenção periódica Mini Grua</v>
      </c>
      <c r="B191" s="246">
        <f ca="1">ROUNDUP(IF(A191="","",SUMIF(Orçamento!P:P,'ABC Insumos Apoio'!A191,Orçamento!Z:Z)),2)</f>
        <v>2415.5400000000004</v>
      </c>
      <c r="C191" s="246" t="str">
        <f t="shared" ca="1" si="2"/>
        <v>2415,54 - Manutenção periódica Mini Grua</v>
      </c>
      <c r="E191" t="str">
        <f ca="1"/>
        <v>2835,83 - INSTALAÇÕES ESGOTO - COBERTURA</v>
      </c>
    </row>
    <row r="192" spans="1:5" x14ac:dyDescent="0.2">
      <c r="A192" s="245" t="str">
        <v>MANUTENÇÃO PROVISÓRIA DE CANTEIRO - ELÉTRICA/ HIDROSSANITÁRIA/VIGILÂNCIA/DETETICAÇÃO</v>
      </c>
      <c r="B192" s="246">
        <f ca="1">ROUNDUP(IF(A192="","",SUMIF(Orçamento!P:P,'ABC Insumos Apoio'!A192,Orçamento!Z:Z)),2)</f>
        <v>39600</v>
      </c>
      <c r="C192" s="246" t="str">
        <f t="shared" ca="1" si="2"/>
        <v>39600 - MANUTENÇÃO PROVISÓRIA DE CANTEIRO - ELÉTRICA/ HIDROSSANITÁRIA/VIGILÂNCIA/DETETICAÇÃO</v>
      </c>
      <c r="E192" t="str">
        <f ca="1"/>
        <v>2826,9 - P5 - PORTA MADEIRA ACABAMENTO MELAMÍNICO BRANCO - PIVOTANTE - 90X210</v>
      </c>
    </row>
    <row r="193" spans="1:5" x14ac:dyDescent="0.2">
      <c r="A193" s="245" t="str">
        <v>MAO DE OBRA APLICACAO DE PINTURA EM PAREDES - 3 DEMAO</v>
      </c>
      <c r="B193" s="246">
        <f ca="1">ROUNDUP(IF(A193="","",SUMIF(Orçamento!P:P,'ABC Insumos Apoio'!A193,Orçamento!Z:Z)),2)</f>
        <v>129720</v>
      </c>
      <c r="C193" s="246" t="str">
        <f t="shared" ca="1" si="2"/>
        <v>129720 - MAO DE OBRA APLICACAO DE PINTURA EM PAREDES - 3 DEMAO</v>
      </c>
      <c r="E193" t="str">
        <f ca="1"/>
        <v>2770,28 - GESSO PO SECAGEM LENTA KG NBR 13207/13867</v>
      </c>
    </row>
    <row r="194" spans="1:5" x14ac:dyDescent="0.2">
      <c r="A194" s="245" t="str">
        <v>MAO DE OBRA ASSENTAMENTO DE BLOCOS</v>
      </c>
      <c r="B194" s="246">
        <f ca="1">ROUNDUP(IF(A194="","",SUMIF(Orçamento!P:P,'ABC Insumos Apoio'!A194,Orçamento!Z:Z)),2)</f>
        <v>138000</v>
      </c>
      <c r="C194" s="246" t="str">
        <f t="shared" ca="1" si="2"/>
        <v>138000 - MAO DE OBRA ASSENTAMENTO DE BLOCOS</v>
      </c>
      <c r="E194" t="str">
        <f ca="1"/>
        <v>2719,92 - AREIA MEDIA</v>
      </c>
    </row>
    <row r="195" spans="1:5" x14ac:dyDescent="0.2">
      <c r="A195" s="245" t="str">
        <v>MAO DE OBRA DE IMPERMEABILIZACAO</v>
      </c>
      <c r="B195" s="246">
        <f ca="1">ROUNDUP(IF(A195="","",SUMIF(Orçamento!P:P,'ABC Insumos Apoio'!A195,Orçamento!Z:Z)),2)</f>
        <v>31609.98</v>
      </c>
      <c r="C195" s="246" t="str">
        <f t="shared" ref="C195:C258" ca="1" si="3">IF(A195="","",CONCATENATE(B195, " - ",A195))</f>
        <v>31609,98 - MAO DE OBRA DE IMPERMEABILIZACAO</v>
      </c>
      <c r="E195" t="str">
        <f ca="1"/>
        <v>27000 - EQUIPAMENTOS DE ESCRITÓRIO</v>
      </c>
    </row>
    <row r="196" spans="1:5" x14ac:dyDescent="0.2">
      <c r="A196" s="245" t="str">
        <v>Mão de obra de instalações eletricas</v>
      </c>
      <c r="B196" s="246">
        <f ca="1">ROUNDUP(IF(A196="","",SUMIF(Orçamento!P:P,'ABC Insumos Apoio'!A196,Orçamento!Z:Z)),2)</f>
        <v>88550</v>
      </c>
      <c r="C196" s="246" t="str">
        <f t="shared" ca="1" si="3"/>
        <v>88550 - Mão de obra de instalações eletricas</v>
      </c>
      <c r="E196" t="str">
        <f ca="1"/>
        <v>26970 - INSTALACOES PROVISORIAS DE CANTEIRO</v>
      </c>
    </row>
    <row r="197" spans="1:5" x14ac:dyDescent="0.2">
      <c r="A197" s="245" t="str">
        <v>MAO DE OBRA EXECUCAO CONTRAPISO COMUM</v>
      </c>
      <c r="B197" s="246">
        <f ca="1">ROUNDUP(IF(A197="","",SUMIF(Orçamento!P:P,'ABC Insumos Apoio'!A197,Orçamento!Z:Z)),2)</f>
        <v>39010.46</v>
      </c>
      <c r="C197" s="246" t="str">
        <f t="shared" ca="1" si="3"/>
        <v>39010,46 - MAO DE OBRA EXECUCAO CONTRAPISO COMUM</v>
      </c>
      <c r="E197" t="str">
        <f ca="1"/>
        <v>2696,1 - TELA AMARRAÇÃO MALHA 15 X 15MM - 7,5 X 50CM D= 1,24MM</v>
      </c>
    </row>
    <row r="198" spans="1:5" x14ac:dyDescent="0.2">
      <c r="A198" s="245" t="str">
        <v>MAO DE OBRA PARA CHAPISCO E REBOCO EXTERNOS</v>
      </c>
      <c r="B198" s="246">
        <f ca="1">ROUNDUP(IF(A198="","",SUMIF(Orçamento!P:P,'ABC Insumos Apoio'!A198,Orçamento!Z:Z)),2)</f>
        <v>186300</v>
      </c>
      <c r="C198" s="246" t="str">
        <f t="shared" ca="1" si="3"/>
        <v>186300 - MAO DE OBRA PARA CHAPISCO E REBOCO EXTERNOS</v>
      </c>
      <c r="E198" t="str">
        <f ca="1"/>
        <v>26939,03 - MAO DE OBRA PARA IMPERMEABILIZACAO COM ARGAMASSA POLIMERICA</v>
      </c>
    </row>
    <row r="199" spans="1:5" x14ac:dyDescent="0.2">
      <c r="A199" s="245" t="str">
        <v>MAO DE OBRA PARA CHAPISCO E REBOCO INTERNOS</v>
      </c>
      <c r="B199" s="246">
        <f ca="1">ROUNDUP(IF(A199="","",SUMIF(Orçamento!P:P,'ABC Insumos Apoio'!A199,Orçamento!Z:Z)),2)</f>
        <v>156055</v>
      </c>
      <c r="C199" s="246" t="str">
        <f t="shared" ca="1" si="3"/>
        <v>156055 - MAO DE OBRA PARA CHAPISCO E REBOCO INTERNOS</v>
      </c>
      <c r="E199" t="str">
        <f ca="1"/>
        <v>26854,79 - MADEIRA PINUS/SIMILAR - PONTALETE 75X75MM NBR 11700/15696</v>
      </c>
    </row>
    <row r="200" spans="1:5" x14ac:dyDescent="0.2">
      <c r="A200" s="245" t="str">
        <v>MAO DE OBRA PARA COLOCACAO DE PEITORIL</v>
      </c>
      <c r="B200" s="246">
        <f ca="1">ROUNDUP(IF(A200="","",SUMIF(Orçamento!P:P,'ABC Insumos Apoio'!A200,Orçamento!Z:Z)),2)</f>
        <v>1427.58</v>
      </c>
      <c r="C200" s="246" t="str">
        <f t="shared" ca="1" si="3"/>
        <v>1427,58 - MAO DE OBRA PARA COLOCACAO DE PEITORIL</v>
      </c>
      <c r="E200" t="str">
        <f ca="1"/>
        <v>268,49 - PARAFUSO ACO CARBONO CAB. SEXTAVADA ROSCA BROCANTE 1/4"X3/4"</v>
      </c>
    </row>
    <row r="201" spans="1:5" x14ac:dyDescent="0.2">
      <c r="A201" s="245" t="str">
        <v>MAO DE OBRA PARA COLOCACAO DE PISO CONCREGRAMA</v>
      </c>
      <c r="B201" s="246">
        <f ca="1">ROUNDUP(IF(A201="","",SUMIF(Orçamento!P:P,'ABC Insumos Apoio'!A201,Orçamento!Z:Z)),2)</f>
        <v>519.76</v>
      </c>
      <c r="C201" s="246" t="str">
        <f t="shared" ca="1" si="3"/>
        <v>519,76 - MAO DE OBRA PARA COLOCACAO DE PISO CONCREGRAMA</v>
      </c>
      <c r="E201" t="str">
        <f ca="1"/>
        <v>2643,17 - GR1 - Gradil - 4,14X1,50</v>
      </c>
    </row>
    <row r="202" spans="1:5" x14ac:dyDescent="0.2">
      <c r="A202" s="245" t="str">
        <v>MAO DE OBRA PARA COLOCACAO DE RODAPE CERAMICO E PORCELANATO</v>
      </c>
      <c r="B202" s="246">
        <f ca="1">ROUNDUP(IF(A202="","",SUMIF(Orçamento!P:P,'ABC Insumos Apoio'!A202,Orçamento!Z:Z)),2)</f>
        <v>9430</v>
      </c>
      <c r="C202" s="246" t="str">
        <f t="shared" ca="1" si="3"/>
        <v>9430 - MAO DE OBRA PARA COLOCACAO DE RODAPE CERAMICO E PORCELANATO</v>
      </c>
      <c r="E202" t="str">
        <f ca="1"/>
        <v>2640 - SERVICO LOCACAO/TRANSPORTE/DESCARTE CACAMBA 5M3 - RESIDUOS CLASSE C</v>
      </c>
    </row>
    <row r="203" spans="1:5" x14ac:dyDescent="0.2">
      <c r="A203" s="245" t="str">
        <v>MAO DE OBRA PARA COLOCACAO DE RODAPE DE POLIESTIRENO</v>
      </c>
      <c r="B203" s="246">
        <f ca="1">ROUNDUP(IF(A203="","",SUMIF(Orçamento!P:P,'ABC Insumos Apoio'!A203,Orçamento!Z:Z)),2)</f>
        <v>14042.6</v>
      </c>
      <c r="C203" s="246" t="str">
        <f t="shared" ca="1" si="3"/>
        <v>14042,6 - MAO DE OBRA PARA COLOCACAO DE RODAPE DE POLIESTIRENO</v>
      </c>
      <c r="E203" t="str">
        <f ca="1"/>
        <v>2639,22 - INSTALAÇÕES AGUA PLUVIAIS - TERREO</v>
      </c>
    </row>
    <row r="204" spans="1:5" x14ac:dyDescent="0.2">
      <c r="A204" s="245" t="str">
        <v>MAO DE OBRA PARA COLOCACAO DE SOLEIRAS EM GRANITO - m²</v>
      </c>
      <c r="B204" s="246">
        <f ca="1">ROUNDUP(IF(A204="","",SUMIF(Orçamento!P:P,'ABC Insumos Apoio'!A204,Orçamento!Z:Z)),2)</f>
        <v>176.6</v>
      </c>
      <c r="C204" s="246" t="str">
        <f t="shared" ca="1" si="3"/>
        <v>176,6 - MAO DE OBRA PARA COLOCACAO DE SOLEIRAS EM GRANITO - m²</v>
      </c>
      <c r="E204" t="str">
        <f ca="1"/>
        <v>2588,58 - Taxa Aprovação e legalização elétrico</v>
      </c>
    </row>
    <row r="205" spans="1:5" x14ac:dyDescent="0.2">
      <c r="A205" s="245" t="str">
        <v>MAO DE OBRA PARA COLOCACAO E REJUNTAMENTO DE AZULEJO</v>
      </c>
      <c r="B205" s="246">
        <f ca="1">ROUNDUP(IF(A205="","",SUMIF(Orçamento!P:P,'ABC Insumos Apoio'!A205,Orçamento!Z:Z)),2)</f>
        <v>55188.44</v>
      </c>
      <c r="C205" s="246" t="str">
        <f t="shared" ca="1" si="3"/>
        <v>55188,44 - MAO DE OBRA PARA COLOCACAO E REJUNTAMENTO DE AZULEJO</v>
      </c>
      <c r="E205" t="str">
        <f ca="1"/>
        <v>2584,17 - QUADROS E DISJUNTORES - PAVIMENTO TECNICO</v>
      </c>
    </row>
    <row r="206" spans="1:5" x14ac:dyDescent="0.2">
      <c r="A206" s="245" t="str">
        <v>MAO DE OBRA PARA COLOCACAO E REJUNTAMENTO DE PISO CERAMICO</v>
      </c>
      <c r="B206" s="246">
        <f ca="1">ROUNDUP(IF(A206="","",SUMIF(Orçamento!P:P,'ABC Insumos Apoio'!A206,Orçamento!Z:Z)),2)</f>
        <v>35973.380000000005</v>
      </c>
      <c r="C206" s="246" t="str">
        <f t="shared" ca="1" si="3"/>
        <v>35973,38 - MAO DE OBRA PARA COLOCACAO E REJUNTAMENTO DE PISO CERAMICO</v>
      </c>
      <c r="E206" t="str">
        <f ca="1"/>
        <v>25710,8 - Controle tecnológico da Protensão</v>
      </c>
    </row>
    <row r="207" spans="1:5" x14ac:dyDescent="0.2">
      <c r="A207" s="245" t="str">
        <v>MAO DE OBRA PARA COLOCACAO E REJUNTAMENTO DE PORCELANATO</v>
      </c>
      <c r="B207" s="246">
        <f ca="1">ROUNDUP(IF(A207="","",SUMIF(Orçamento!P:P,'ABC Insumos Apoio'!A207,Orçamento!Z:Z)),2)</f>
        <v>88008.189999999988</v>
      </c>
      <c r="C207" s="246" t="str">
        <f t="shared" ca="1" si="3"/>
        <v>88008,19 - MAO DE OBRA PARA COLOCACAO E REJUNTAMENTO DE PORCELANATO</v>
      </c>
      <c r="E207" t="str">
        <f ca="1"/>
        <v>25474,51 - ACO CA-50A 16,00 MM (5/8)</v>
      </c>
    </row>
    <row r="208" spans="1:5" x14ac:dyDescent="0.2">
      <c r="A208" s="245" t="str">
        <v>MAO DE OBRA PARA COLOCACAO E REJUNTAMENTO DE PORCELANATO EXTERNO</v>
      </c>
      <c r="B208" s="246">
        <f ca="1">ROUNDUP(IF(A208="","",SUMIF(Orçamento!P:P,'ABC Insumos Apoio'!A208,Orçamento!Z:Z)),2)</f>
        <v>11500</v>
      </c>
      <c r="C208" s="246" t="str">
        <f t="shared" ca="1" si="3"/>
        <v>11500 - MAO DE OBRA PARA COLOCACAO E REJUNTAMENTO DE PORCELANATO EXTERNO</v>
      </c>
      <c r="E208" t="str">
        <f ca="1"/>
        <v>253,48 - FITA VEDA ROSCA 18MMX50M NBR 13124</v>
      </c>
    </row>
    <row r="209" spans="1:5" x14ac:dyDescent="0.2">
      <c r="A209" s="245" t="str">
        <v>MAO DE OBRA PARA EMASSAMENTO EM TETO</v>
      </c>
      <c r="B209" s="246">
        <f ca="1">ROUNDUP(IF(A209="","",SUMIF(Orçamento!P:P,'ABC Insumos Apoio'!A209,Orçamento!Z:Z)),2)</f>
        <v>37030</v>
      </c>
      <c r="C209" s="246" t="str">
        <f t="shared" ca="1" si="3"/>
        <v>37030 - MAO DE OBRA PARA EMASSAMENTO EM TETO</v>
      </c>
      <c r="E209" t="str">
        <f ca="1"/>
        <v>2528,24 - Taxas de Habite-se</v>
      </c>
    </row>
    <row r="210" spans="1:5" x14ac:dyDescent="0.2">
      <c r="A210" s="245" t="str">
        <v>MAO DE OBRA PARA ESTUCAMENTO DE ESTRUTURA DE CONCRETO</v>
      </c>
      <c r="B210" s="246">
        <f ca="1">ROUNDUP(IF(A210="","",SUMIF(Orçamento!P:P,'ABC Insumos Apoio'!A210,Orçamento!Z:Z)),2)</f>
        <v>15870</v>
      </c>
      <c r="C210" s="246" t="str">
        <f t="shared" ca="1" si="3"/>
        <v>15870 - MAO DE OBRA PARA ESTUCAMENTO DE ESTRUTURA DE CONCRETO</v>
      </c>
      <c r="E210" t="str">
        <f ca="1"/>
        <v>2510,73 - REJUNTE FLEXIVEL CIMENTICIO TIPO II NBR 14992</v>
      </c>
    </row>
    <row r="211" spans="1:5" x14ac:dyDescent="0.2">
      <c r="A211" s="245" t="str">
        <v>MAO DE OBRA PARA ESTUCAMENTO DE ESTRUTURA DE CONCRETO EM TETO</v>
      </c>
      <c r="B211" s="246">
        <f ca="1">ROUNDUP(IF(A211="","",SUMIF(Orçamento!P:P,'ABC Insumos Apoio'!A211,Orçamento!Z:Z)),2)</f>
        <v>15870</v>
      </c>
      <c r="C211" s="246" t="str">
        <f t="shared" ca="1" si="3"/>
        <v>15870 - MAO DE OBRA PARA ESTUCAMENTO DE ESTRUTURA DE CONCRETO EM TETO</v>
      </c>
      <c r="E211" t="str">
        <f ca="1"/>
        <v>25045,24 - RODAPÉ EM POLIESTIRENO PU 10CM</v>
      </c>
    </row>
    <row r="212" spans="1:5" x14ac:dyDescent="0.2">
      <c r="A212" s="245" t="str">
        <v>MAO DE OBRA PARA EXECUCAO DE CONTENÇÃO</v>
      </c>
      <c r="B212" s="246">
        <f ca="1">ROUNDUP(IF(A212="","",SUMIF(Orçamento!P:P,'ABC Insumos Apoio'!A212,Orçamento!Z:Z)),2)</f>
        <v>69000</v>
      </c>
      <c r="C212" s="246" t="str">
        <f t="shared" ca="1" si="3"/>
        <v>69000 - MAO DE OBRA PARA EXECUCAO DE CONTENÇÃO</v>
      </c>
      <c r="E212" t="str">
        <f ca="1"/>
        <v>250,54 - BUCHA T PARA RODAPE</v>
      </c>
    </row>
    <row r="213" spans="1:5" x14ac:dyDescent="0.2">
      <c r="A213" s="245" t="str">
        <v>MAO DE OBRA PARA EXECUCAO DE INFRAESTRUTURA</v>
      </c>
      <c r="B213" s="246">
        <f ca="1">ROUNDUP(IF(A213="","",SUMIF(Orçamento!P:P,'ABC Insumos Apoio'!A213,Orçamento!Z:Z)),2)</f>
        <v>182850</v>
      </c>
      <c r="C213" s="246" t="str">
        <f t="shared" ca="1" si="3"/>
        <v>182850 - MAO DE OBRA PARA EXECUCAO DE INFRAESTRUTURA</v>
      </c>
      <c r="E213" t="str">
        <f ca="1"/>
        <v>24303,98 - GRANITO POLIDO</v>
      </c>
    </row>
    <row r="214" spans="1:5" x14ac:dyDescent="0.2">
      <c r="A214" s="245" t="str">
        <v>MAO DE OBRA PARA EXECUCAO DE PISO CIMENTADO</v>
      </c>
      <c r="B214" s="246">
        <f ca="1">ROUNDUP(IF(A214="","",SUMIF(Orçamento!P:P,'ABC Insumos Apoio'!A214,Orçamento!Z:Z)),2)</f>
        <v>664.55</v>
      </c>
      <c r="C214" s="246" t="str">
        <f t="shared" ca="1" si="3"/>
        <v>664,55 - MAO DE OBRA PARA EXECUCAO DE PISO CIMENTADO</v>
      </c>
      <c r="E214" t="str">
        <f ca="1"/>
        <v>24258,96 - ELETRODUTOS, CAIXAS E ELETROCALHAS - TIPO (x5)</v>
      </c>
    </row>
    <row r="215" spans="1:5" x14ac:dyDescent="0.2">
      <c r="A215" s="245" t="str">
        <v>MAO DE OBRA PARA EXECUCAO DE SUPRAESTRUTURA EM CONCRETO ARMADO</v>
      </c>
      <c r="B215" s="246">
        <f ca="1">ROUNDUP(IF(A215="","",SUMIF(Orçamento!P:P,'ABC Insumos Apoio'!A215,Orçamento!Z:Z)),2)</f>
        <v>667000</v>
      </c>
      <c r="C215" s="246" t="str">
        <f t="shared" ca="1" si="3"/>
        <v>667000 - MAO DE OBRA PARA EXECUCAO DE SUPRAESTRUTURA EM CONCRETO ARMADO</v>
      </c>
      <c r="E215" t="str">
        <f ca="1"/>
        <v>24150 - MAO DE OBRA PARA INSTALAÇÃO DE COBERTURA/CALHAS E RUFOS</v>
      </c>
    </row>
    <row r="216" spans="1:5" x14ac:dyDescent="0.2">
      <c r="A216" s="245" t="str">
        <v>MAO DE OBRA PARA IMPERMEABILIZACAO COM ARGAMASSA POLIMERICA</v>
      </c>
      <c r="B216" s="246">
        <f ca="1">ROUNDUP(IF(A216="","",SUMIF(Orçamento!P:P,'ABC Insumos Apoio'!A216,Orçamento!Z:Z)),2)</f>
        <v>26939.03</v>
      </c>
      <c r="C216" s="246" t="str">
        <f t="shared" ca="1" si="3"/>
        <v>26939,03 - MAO DE OBRA PARA IMPERMEABILIZACAO COM ARGAMASSA POLIMERICA</v>
      </c>
      <c r="E216" t="str">
        <f ca="1"/>
        <v>2415,54 - Manutenção periódica Mini Grua</v>
      </c>
    </row>
    <row r="217" spans="1:5" x14ac:dyDescent="0.2">
      <c r="A217" s="245" t="str">
        <v>MAO DE OBRA PARA IMPERMEABILIZACAO COM MANTA LIQUIDA</v>
      </c>
      <c r="B217" s="246">
        <f ca="1">ROUNDUP(IF(A217="","",SUMIF(Orçamento!P:P,'ABC Insumos Apoio'!A217,Orçamento!Z:Z)),2)</f>
        <v>599.67999999999995</v>
      </c>
      <c r="C217" s="246" t="str">
        <f t="shared" ca="1" si="3"/>
        <v>599,68 - MAO DE OBRA PARA IMPERMEABILIZACAO COM MANTA LIQUIDA</v>
      </c>
      <c r="E217" t="str">
        <f ca="1"/>
        <v>240,98 - SISAL P/ESTUQUE GESSO NBR 13207/13867</v>
      </c>
    </row>
    <row r="218" spans="1:5" x14ac:dyDescent="0.2">
      <c r="A218" s="245" t="str">
        <v>MAO DE OBRA PARA IMPERMEABILIZACAO COM TINTA ASFALTICA</v>
      </c>
      <c r="B218" s="246">
        <f ca="1">ROUNDUP(IF(A218="","",SUMIF(Orçamento!P:P,'ABC Insumos Apoio'!A218,Orçamento!Z:Z)),2)</f>
        <v>15</v>
      </c>
      <c r="C218" s="246" t="str">
        <f t="shared" ca="1" si="3"/>
        <v>15 - MAO DE OBRA PARA IMPERMEABILIZACAO COM TINTA ASFALTICA</v>
      </c>
      <c r="E218" t="str">
        <f ca="1"/>
        <v>240,8 - PARAFUSO ACO CARBONO CAB. CASTELO ARRUELA E BUCHA S08</v>
      </c>
    </row>
    <row r="219" spans="1:5" x14ac:dyDescent="0.2">
      <c r="A219" s="245" t="str">
        <v>MAO DE OBRA PARA INSTALAÇÃO DE COBERTURA/CALHAS E RUFOS</v>
      </c>
      <c r="B219" s="246">
        <f ca="1">ROUNDUP(IF(A219="","",SUMIF(Orçamento!P:P,'ABC Insumos Apoio'!A219,Orçamento!Z:Z)),2)</f>
        <v>24150</v>
      </c>
      <c r="C219" s="246" t="str">
        <f t="shared" ca="1" si="3"/>
        <v>24150 - MAO DE OBRA PARA INSTALAÇÃO DE COBERTURA/CALHAS E RUFOS</v>
      </c>
      <c r="E219" t="str">
        <f ca="1"/>
        <v>23963,74 - GESSO PLACA 600X600X12MM NBR 13207/13867</v>
      </c>
    </row>
    <row r="220" spans="1:5" x14ac:dyDescent="0.2">
      <c r="A220" s="245" t="str">
        <v>Mão de Obra para Instalação Hidrossanitárias</v>
      </c>
      <c r="B220" s="246">
        <f ca="1">ROUNDUP(IF(A220="","",SUMIF(Orçamento!P:P,'ABC Insumos Apoio'!A220,Orçamento!Z:Z)),2)</f>
        <v>88550</v>
      </c>
      <c r="C220" s="246" t="str">
        <f t="shared" ca="1" si="3"/>
        <v>88550 - Mão de Obra para Instalação Hidrossanitárias</v>
      </c>
      <c r="E220" t="str">
        <f ca="1"/>
        <v>23839,29 - ACO CA-50A 8,00 MM (5/16)</v>
      </c>
    </row>
    <row r="221" spans="1:5" x14ac:dyDescent="0.2">
      <c r="A221" s="245" t="str">
        <v>MAO DE OBRA PARA PINTURA ACRILICA EM PAREDES EXTERNAS - 2 DEMAOS</v>
      </c>
      <c r="B221" s="246">
        <f ca="1">ROUNDUP(IF(A221="","",SUMIF(Orçamento!P:P,'ABC Insumos Apoio'!A221,Orçamento!Z:Z)),2)</f>
        <v>60720</v>
      </c>
      <c r="C221" s="246" t="str">
        <f t="shared" ca="1" si="3"/>
        <v>60720 - MAO DE OBRA PARA PINTURA ACRILICA EM PAREDES EXTERNAS - 2 DEMAOS</v>
      </c>
      <c r="E221" t="str">
        <f ca="1"/>
        <v>23677,58 - SERVICO EMP. - INST. FORRO GESSO</v>
      </c>
    </row>
    <row r="222" spans="1:5" x14ac:dyDescent="0.2">
      <c r="A222" s="245" t="str">
        <v>MAO DE OBRA PARA PINTURA ACRILICA EM PISO</v>
      </c>
      <c r="B222" s="246">
        <f ca="1">ROUNDUP(IF(A222="","",SUMIF(Orçamento!P:P,'ABC Insumos Apoio'!A222,Orçamento!Z:Z)),2)</f>
        <v>778.31</v>
      </c>
      <c r="C222" s="246" t="str">
        <f t="shared" ca="1" si="3"/>
        <v>778,31 - MAO DE OBRA PARA PINTURA ACRILICA EM PISO</v>
      </c>
      <c r="E222" t="str">
        <f ca="1"/>
        <v>234457,84 - Concreto 35 MPA, brita 1, slump 12+-2</v>
      </c>
    </row>
    <row r="223" spans="1:5" x14ac:dyDescent="0.2">
      <c r="A223" s="245" t="str">
        <v>MAO DE OBRA PARA PINTURA EPOXI EM PISO</v>
      </c>
      <c r="B223" s="246">
        <f ca="1">ROUNDUP(IF(A223="","",SUMIF(Orçamento!P:P,'ABC Insumos Apoio'!A223,Orçamento!Z:Z)),2)</f>
        <v>1981.7</v>
      </c>
      <c r="C223" s="246" t="str">
        <f t="shared" ca="1" si="3"/>
        <v>1981,7 - MAO DE OBRA PARA PINTURA EPOXI EM PISO</v>
      </c>
      <c r="E223" t="str">
        <f ca="1"/>
        <v>2341,41 - LOCACAO DIARIA FORMA P/LAJE NERVURADA - CUBETA 800x200MM (AVULSO)</v>
      </c>
    </row>
    <row r="224" spans="1:5" x14ac:dyDescent="0.2">
      <c r="A224" s="245" t="str">
        <v>MAO DE OBRA PARA PINTURA LATEX ACRILICA EM TETO - 3 DEMAOS</v>
      </c>
      <c r="B224" s="246">
        <f ca="1">ROUNDUP(IF(A224="","",SUMIF(Orçamento!P:P,'ABC Insumos Apoio'!A224,Orçamento!Z:Z)),2)</f>
        <v>82800</v>
      </c>
      <c r="C224" s="246" t="str">
        <f t="shared" ca="1" si="3"/>
        <v>82800 - MAO DE OBRA PARA PINTURA LATEX ACRILICA EM TETO - 3 DEMAOS</v>
      </c>
      <c r="E224" t="str">
        <f ca="1"/>
        <v>23362,09 - ACO CA-50A 12,50 MM (1/2)</v>
      </c>
    </row>
    <row r="225" spans="1:5" x14ac:dyDescent="0.2">
      <c r="A225" s="245" t="str">
        <v>MAO DE OBRA PARA REGULARIZACAO DE SUPERFICIE</v>
      </c>
      <c r="B225" s="246">
        <f ca="1">ROUNDUP(IF(A225="","",SUMIF(Orçamento!P:P,'ABC Insumos Apoio'!A225,Orçamento!Z:Z)),2)</f>
        <v>23006.52</v>
      </c>
      <c r="C225" s="246" t="str">
        <f t="shared" ca="1" si="3"/>
        <v>23006,52 - MAO DE OBRA PARA REGULARIZACAO DE SUPERFICIE</v>
      </c>
      <c r="E225" t="str">
        <f ca="1"/>
        <v>2332,57 - INSTALACOES PROVISORIAS REDE DE AGUA</v>
      </c>
    </row>
    <row r="226" spans="1:5" x14ac:dyDescent="0.2">
      <c r="A226" s="245" t="str">
        <v>MAO DE OBRA PARA SERVIÇOS COMPLMENTARES E FINAIS DE OBRA</v>
      </c>
      <c r="B226" s="246">
        <f ca="1">ROUNDUP(IF(A226="","",SUMIF(Orçamento!P:P,'ABC Insumos Apoio'!A226,Orçamento!Z:Z)),2)</f>
        <v>23000</v>
      </c>
      <c r="C226" s="246" t="str">
        <f t="shared" ca="1" si="3"/>
        <v>23000 - MAO DE OBRA PARA SERVIÇOS COMPLMENTARES E FINAIS DE OBRA</v>
      </c>
      <c r="E226" t="str">
        <f ca="1"/>
        <v>2329,24 - TELHA FIBROCIMENTO NATURAL S/AMIANTO 08X1100X2130MM NBR 7581/15210</v>
      </c>
    </row>
    <row r="227" spans="1:5" x14ac:dyDescent="0.2">
      <c r="A227" s="245" t="str">
        <v>MÃO DE OBRA PARA TRATAMENTO DE RALO</v>
      </c>
      <c r="B227" s="246">
        <f ca="1">ROUNDUP(IF(A227="","",SUMIF(Orçamento!P:P,'ABC Insumos Apoio'!A227,Orçamento!Z:Z)),2)</f>
        <v>8400</v>
      </c>
      <c r="C227" s="246" t="str">
        <f t="shared" ca="1" si="3"/>
        <v>8400 - MÃO DE OBRA PARA TRATAMENTO DE RALO</v>
      </c>
      <c r="E227" t="str">
        <f ca="1"/>
        <v>2329,08 - INSTALAÇÕES PREVENTIVAS - PAVIMENTO TECNICO</v>
      </c>
    </row>
    <row r="228" spans="1:5" x14ac:dyDescent="0.2">
      <c r="A228" s="245" t="str">
        <v>MASSA CORRIDA PVA</v>
      </c>
      <c r="B228" s="246">
        <f ca="1">ROUNDUP(IF(A228="","",SUMIF(Orçamento!P:P,'ABC Insumos Apoio'!A228,Orçamento!Z:Z)),2)</f>
        <v>8949.98</v>
      </c>
      <c r="C228" s="246" t="str">
        <f t="shared" ca="1" si="3"/>
        <v>8949,98 - MASSA CORRIDA PVA</v>
      </c>
      <c r="E228" t="str">
        <f ca="1"/>
        <v>2329,08 - INSTALAÇÕES ESGOTO - PAVIMENTO TECNICO</v>
      </c>
    </row>
    <row r="229" spans="1:5" x14ac:dyDescent="0.2">
      <c r="A229" s="245" t="str">
        <v>MASSA PLASTICA BRANCA BI-COMPONENTE POLIESTER 400G</v>
      </c>
      <c r="B229" s="246">
        <f ca="1">ROUNDUP(IF(A229="","",SUMIF(Orçamento!P:P,'ABC Insumos Apoio'!A229,Orçamento!Z:Z)),2)</f>
        <v>592.48</v>
      </c>
      <c r="C229" s="246" t="str">
        <f t="shared" ca="1" si="3"/>
        <v>592,48 - MASSA PLASTICA BRANCA BI-COMPONENTE POLIESTER 400G</v>
      </c>
      <c r="E229" t="str">
        <f ca="1"/>
        <v>23006,52 - MAO DE OBRA PARA REGULARIZACAO DE SUPERFICIE</v>
      </c>
    </row>
    <row r="230" spans="1:5" x14ac:dyDescent="0.2">
      <c r="A230" s="245" t="str">
        <v>Mini Grua 500kg</v>
      </c>
      <c r="B230" s="246">
        <f ca="1">ROUNDUP(IF(A230="","",SUMIF(Orçamento!P:P,'ABC Insumos Apoio'!A230,Orçamento!Z:Z)),2)</f>
        <v>56000</v>
      </c>
      <c r="C230" s="246" t="str">
        <f t="shared" ca="1" si="3"/>
        <v>56000 - Mini Grua 500kg</v>
      </c>
      <c r="E230" t="str">
        <f ca="1"/>
        <v>23000 - MAO DE OBRA PARA SERVIÇOS COMPLMENTARES E FINAIS DE OBRA</v>
      </c>
    </row>
    <row r="231" spans="1:5" x14ac:dyDescent="0.2">
      <c r="A231" s="245" t="str">
        <v>MOBILIARIO DE APOIO A OBRA</v>
      </c>
      <c r="B231" s="246">
        <f ca="1">ROUNDUP(IF(A231="","",SUMIF(Orçamento!P:P,'ABC Insumos Apoio'!A231,Orçamento!Z:Z)),2)</f>
        <v>12200</v>
      </c>
      <c r="C231" s="246" t="str">
        <f t="shared" ca="1" si="3"/>
        <v>12200 - MOBILIARIO DE APOIO A OBRA</v>
      </c>
      <c r="E231" t="str">
        <f ca="1"/>
        <v>2300,82 - SELADOR ACRILICO</v>
      </c>
    </row>
    <row r="232" spans="1:5" x14ac:dyDescent="0.2">
      <c r="A232" s="245" t="str">
        <v>MOBILIARIO E DECORACOES PARA AREAS COMUNS</v>
      </c>
      <c r="B232" s="246">
        <f ca="1">ROUNDUP(IF(A232="","",SUMIF(Orçamento!P:P,'ABC Insumos Apoio'!A232,Orçamento!Z:Z)),2)</f>
        <v>356636.13</v>
      </c>
      <c r="C232" s="246" t="str">
        <f t="shared" ca="1" si="3"/>
        <v>356636,13 - MOBILIARIO E DECORACOES PARA AREAS COMUNS</v>
      </c>
      <c r="E232" t="str">
        <f ca="1"/>
        <v>22633,38 - CONCRETO USINADO PARA CONTENÇÃO</v>
      </c>
    </row>
    <row r="233" spans="1:5" x14ac:dyDescent="0.2">
      <c r="A233" s="245" t="str">
        <v>Mobilização e desmobilização de Mini-grua</v>
      </c>
      <c r="B233" s="246">
        <f ca="1">ROUNDUP(IF(A233="","",SUMIF(Orçamento!P:P,'ABC Insumos Apoio'!A233,Orçamento!Z:Z)),2)</f>
        <v>9756</v>
      </c>
      <c r="C233" s="246" t="str">
        <f t="shared" ca="1" si="3"/>
        <v>9756 - Mobilização e desmobilização de Mini-grua</v>
      </c>
      <c r="E233" t="str">
        <f ca="1"/>
        <v>2250 - Taxas de ART e RRT</v>
      </c>
    </row>
    <row r="234" spans="1:5" x14ac:dyDescent="0.2">
      <c r="A234" s="245" t="str">
        <v>Montagem e desmontagem de Balancim</v>
      </c>
      <c r="B234" s="246">
        <f ca="1">ROUNDUP(IF(A234="","",SUMIF(Orçamento!P:P,'ABC Insumos Apoio'!A234,Orçamento!Z:Z)),2)</f>
        <v>10800</v>
      </c>
      <c r="C234" s="246" t="str">
        <f t="shared" ca="1" si="3"/>
        <v>10800 - Montagem e desmontagem de Balancim</v>
      </c>
      <c r="E234" t="str">
        <f ca="1"/>
        <v>220019,48 - ESQUADRIAS DE ALUMINIO</v>
      </c>
    </row>
    <row r="235" spans="1:5" x14ac:dyDescent="0.2">
      <c r="A235" s="245" t="str">
        <v>Montagem e Desmontagem de Mini-grua</v>
      </c>
      <c r="B235" s="246">
        <f ca="1">ROUNDUP(IF(A235="","",SUMIF(Orçamento!P:P,'ABC Insumos Apoio'!A235,Orçamento!Z:Z)),2)</f>
        <v>7000</v>
      </c>
      <c r="C235" s="246" t="str">
        <f t="shared" ca="1" si="3"/>
        <v>7000 - Montagem e Desmontagem de Mini-grua</v>
      </c>
      <c r="E235" t="str">
        <f ca="1"/>
        <v>22,34 - Neutrol Base Agua Baldrame Emulsão Asfaltica</v>
      </c>
    </row>
    <row r="236" spans="1:5" x14ac:dyDescent="0.2">
      <c r="A236" s="245" t="str">
        <v>Moto bomba 3/4 cv mono auxiliar - Sodramar</v>
      </c>
      <c r="B236" s="246">
        <f ca="1">ROUNDUP(IF(A236="","",SUMIF(Orçamento!P:P,'ABC Insumos Apoio'!A236,Orçamento!Z:Z)),2)</f>
        <v>2928</v>
      </c>
      <c r="C236" s="246" t="str">
        <f t="shared" ca="1" si="3"/>
        <v>2928 - Moto bomba 3/4 cv mono auxiliar - Sodramar</v>
      </c>
      <c r="E236" t="str">
        <f ca="1"/>
        <v>219,56 - MANTA VEU POLIESTER BRANCA, L=1,05 M X 100 M</v>
      </c>
    </row>
    <row r="237" spans="1:5" x14ac:dyDescent="0.2">
      <c r="A237" s="245" t="str">
        <v>Neutrol Base Agua Baldrame Emulsão Asfaltica</v>
      </c>
      <c r="B237" s="246">
        <f ca="1">ROUNDUP(IF(A237="","",SUMIF(Orçamento!P:P,'ABC Insumos Apoio'!A237,Orçamento!Z:Z)),2)</f>
        <v>22.34</v>
      </c>
      <c r="C237" s="246" t="str">
        <f t="shared" ca="1" si="3"/>
        <v>22,34 - Neutrol Base Agua Baldrame Emulsão Asfaltica</v>
      </c>
      <c r="E237" t="str">
        <f ca="1"/>
        <v>2187 - Filtro mod. FM 50 125kg areia - bomba BM de 3/4 cv - Sodramar</v>
      </c>
    </row>
    <row r="238" spans="1:5" x14ac:dyDescent="0.2">
      <c r="A238" s="245" t="str">
        <v>ORCAMENTO E PLANEJAMENTO</v>
      </c>
      <c r="B238" s="246">
        <f ca="1">ROUNDUP(IF(A238="","",SUMIF(Orçamento!P:P,'ABC Insumos Apoio'!A238,Orçamento!Z:Z)),2)</f>
        <v>21000</v>
      </c>
      <c r="C238" s="246" t="str">
        <f t="shared" ca="1" si="3"/>
        <v>21000 - ORCAMENTO E PLANEJAMENTO</v>
      </c>
      <c r="E238" t="str">
        <f ca="1"/>
        <v>2182,01 - M.O. PARA EXECUCAO DE PROTECAO MECANICA EM SUPERFICIE IMPERMEABILIZADA</v>
      </c>
    </row>
    <row r="239" spans="1:5" x14ac:dyDescent="0.2">
      <c r="A239" s="245" t="str">
        <v>P1 - PORTA MADEIRA ACABAMENTO MELAMÍNICO BRANCO - ABRIR (E. VERTIVAL) - 80X210</v>
      </c>
      <c r="B239" s="246">
        <f ca="1">ROUNDUP(IF(A239="","",SUMIF(Orçamento!P:P,'ABC Insumos Apoio'!A239,Orçamento!Z:Z)),2)</f>
        <v>19887.239999999998</v>
      </c>
      <c r="C239" s="246" t="str">
        <f t="shared" ca="1" si="3"/>
        <v>19887,24 - P1 - PORTA MADEIRA ACABAMENTO MELAMÍNICO BRANCO - ABRIR (E. VERTIVAL) - 80X210</v>
      </c>
      <c r="E239" t="str">
        <f ca="1"/>
        <v>2178,39 - PONTOS DE TOMADA E INTERRUPTORES - TERREO</v>
      </c>
    </row>
    <row r="240" spans="1:5" x14ac:dyDescent="0.2">
      <c r="A240" s="245" t="str">
        <v>P2 - PORTA MADEIRA ACABAMENTO MELAMÍNICO BRANCO - ABRIR (E. VERTIVAL) - 70X210</v>
      </c>
      <c r="B240" s="246">
        <f ca="1">ROUNDUP(IF(A240="","",SUMIF(Orçamento!P:P,'ABC Insumos Apoio'!A240,Orçamento!Z:Z)),2)</f>
        <v>7785.93</v>
      </c>
      <c r="C240" s="246" t="str">
        <f t="shared" ca="1" si="3"/>
        <v>7785,93 - P2 - PORTA MADEIRA ACABAMENTO MELAMÍNICO BRANCO - ABRIR (E. VERTIVAL) - 70X210</v>
      </c>
      <c r="E240" t="str">
        <f ca="1"/>
        <v>2169,95 - TINTA EPOXI PARA PISO</v>
      </c>
    </row>
    <row r="241" spans="1:5" x14ac:dyDescent="0.2">
      <c r="A241" s="245" t="str">
        <v>P3 - PORTA MADEIRA ACABAMENTO MELAMÍNICO BRANCO - ABRIR (E. VERTIVAL) - 60X210</v>
      </c>
      <c r="B241" s="246">
        <f ca="1">ROUNDUP(IF(A241="","",SUMIF(Orçamento!P:P,'ABC Insumos Apoio'!A241,Orçamento!Z:Z)),2)</f>
        <v>8757.31</v>
      </c>
      <c r="C241" s="246" t="str">
        <f t="shared" ca="1" si="3"/>
        <v>8757,31 - P3 - PORTA MADEIRA ACABAMENTO MELAMÍNICO BRANCO - ABRIR (E. VERTIVAL) - 60X210</v>
      </c>
      <c r="E241" t="str">
        <f ca="1"/>
        <v>21658,24 - MADEIRA PINUS/SIMILAR - SARRAFO PINUS 50X10MM NBR 11700</v>
      </c>
    </row>
    <row r="242" spans="1:5" x14ac:dyDescent="0.2">
      <c r="A242" s="245" t="str">
        <v>P5 - PORTA MADEIRA ACABAMENTO MELAMÍNICO BRANCO - PIVOTANTE - 90X210</v>
      </c>
      <c r="B242" s="246">
        <f ca="1">ROUNDUP(IF(A242="","",SUMIF(Orçamento!P:P,'ABC Insumos Apoio'!A242,Orçamento!Z:Z)),2)</f>
        <v>2826.9</v>
      </c>
      <c r="C242" s="246" t="str">
        <f t="shared" ca="1" si="3"/>
        <v>2826,9 - P5 - PORTA MADEIRA ACABAMENTO MELAMÍNICO BRANCO - PIVOTANTE - 90X210</v>
      </c>
      <c r="E242" t="str">
        <f ca="1"/>
        <v>21600 - FERRAMENTAS E EQUIPAMENTOS APOIO</v>
      </c>
    </row>
    <row r="243" spans="1:5" x14ac:dyDescent="0.2">
      <c r="A243" s="245" t="str">
        <v>PAISAGISMO</v>
      </c>
      <c r="B243" s="246">
        <f ca="1">ROUNDUP(IF(A243="","",SUMIF(Orçamento!P:P,'ABC Insumos Apoio'!A243,Orçamento!Z:Z)),2)</f>
        <v>3420.3</v>
      </c>
      <c r="C243" s="246" t="str">
        <f t="shared" ca="1" si="3"/>
        <v>3420,3 - PAISAGISMO</v>
      </c>
      <c r="E243" t="str">
        <f ca="1"/>
        <v>2111,28 - Certidão INSS</v>
      </c>
    </row>
    <row r="244" spans="1:5" x14ac:dyDescent="0.2">
      <c r="A244" s="245" t="str">
        <v>PARAFUSO ACO CARBONO CAB. CASTELO ARRUELA E BUCHA S08</v>
      </c>
      <c r="B244" s="246">
        <f ca="1">ROUNDUP(IF(A244="","",SUMIF(Orçamento!P:P,'ABC Insumos Apoio'!A244,Orçamento!Z:Z)),2)</f>
        <v>240.8</v>
      </c>
      <c r="C244" s="246" t="str">
        <f t="shared" ca="1" si="3"/>
        <v>240,8 - PARAFUSO ACO CARBONO CAB. CASTELO ARRUELA E BUCHA S08</v>
      </c>
      <c r="E244" t="str">
        <f ca="1"/>
        <v>21000 - ORCAMENTO E PLANEJAMENTO</v>
      </c>
    </row>
    <row r="245" spans="1:5" x14ac:dyDescent="0.2">
      <c r="A245" s="245" t="str">
        <v>PARAFUSO ACO CARBONO CAB. SEXTAVADA ROSCA BROCANTE 1/4"X3/4"</v>
      </c>
      <c r="B245" s="246">
        <f ca="1">ROUNDUP(IF(A245="","",SUMIF(Orçamento!P:P,'ABC Insumos Apoio'!A245,Orçamento!Z:Z)),2)</f>
        <v>268.49</v>
      </c>
      <c r="C245" s="246" t="str">
        <f t="shared" ca="1" si="3"/>
        <v>268,49 - PARAFUSO ACO CARBONO CAB. SEXTAVADA ROSCA BROCANTE 1/4"X3/4"</v>
      </c>
      <c r="E245" t="str">
        <f ca="1"/>
        <v>208,78 - ARAME ACO CARBONO GALVANIZADO LISO BWG 16 FIO 1,65MM NBR 6207</v>
      </c>
    </row>
    <row r="246" spans="1:5" x14ac:dyDescent="0.2">
      <c r="A246" s="245" t="str">
        <v>PCF - PORTA ESPECIAL  - ABRIR (E. VERTIVAL) - 80X210</v>
      </c>
      <c r="B246" s="246">
        <f ca="1">ROUNDUP(IF(A246="","",SUMIF(Orçamento!P:P,'ABC Insumos Apoio'!A246,Orçamento!Z:Z)),2)</f>
        <v>29824.11</v>
      </c>
      <c r="C246" s="246" t="str">
        <f t="shared" ca="1" si="3"/>
        <v>29824,11 - PCF - PORTA ESPECIAL  - ABRIR (E. VERTIVAL) - 80X210</v>
      </c>
      <c r="E246" t="str">
        <f ca="1"/>
        <v>207474,35 - GUARDA CORPO ALUMINIO COM VIDRO</v>
      </c>
    </row>
    <row r="247" spans="1:5" x14ac:dyDescent="0.2">
      <c r="A247" s="245" t="str">
        <v>Pergolado de madeira</v>
      </c>
      <c r="B247" s="246">
        <f ca="1">ROUNDUP(IF(A247="","",SUMIF(Orçamento!P:P,'ABC Insumos Apoio'!A247,Orçamento!Z:Z)),2)</f>
        <v>3840.8300000000004</v>
      </c>
      <c r="C247" s="246" t="str">
        <f t="shared" ca="1" si="3"/>
        <v>3840,83 - Pergolado de madeira</v>
      </c>
      <c r="E247" t="str">
        <f ca="1"/>
        <v>20527,73 - REVESTIMENTO - HIT GRIS 80X80 EXT RET</v>
      </c>
    </row>
    <row r="248" spans="1:5" x14ac:dyDescent="0.2">
      <c r="A248" s="245" t="str">
        <v>PINO LISO EM ACO GALVANIZADO 1/2 X 22MM COM ARRUELA</v>
      </c>
      <c r="B248" s="246">
        <f ca="1">ROUNDUP(IF(A248="","",SUMIF(Orçamento!P:P,'ABC Insumos Apoio'!A248,Orçamento!Z:Z)),2)</f>
        <v>735.3</v>
      </c>
      <c r="C248" s="246" t="str">
        <f t="shared" ca="1" si="3"/>
        <v>735,3 - PINO LISO EM ACO GALVANIZADO 1/2 X 22MM COM ARRUELA</v>
      </c>
      <c r="E248" t="str">
        <f ca="1"/>
        <v>2043,15 - INSTALACOES PROVISORIAS REDE ELETRICA</v>
      </c>
    </row>
    <row r="249" spans="1:5" x14ac:dyDescent="0.2">
      <c r="A249" s="245" t="str">
        <v>PINO LISO P/FIXACAO DIRETA C/ARRUELA 23MM CONICA 1/4"X28MM</v>
      </c>
      <c r="B249" s="246">
        <f ca="1">ROUNDUP(IF(A249="","",SUMIF(Orçamento!P:P,'ABC Insumos Apoio'!A249,Orçamento!Z:Z)),2)</f>
        <v>926.52</v>
      </c>
      <c r="C249" s="246" t="str">
        <f t="shared" ca="1" si="3"/>
        <v>926,52 - PINO LISO P/FIXACAO DIRETA C/ARRUELA 23MM CONICA 1/4"X28MM</v>
      </c>
      <c r="E249" t="str">
        <f ca="1"/>
        <v>20392 - Trocador de calor integrado</v>
      </c>
    </row>
    <row r="250" spans="1:5" x14ac:dyDescent="0.2">
      <c r="A250" s="245" t="str">
        <v>PO PEDRA A GRANEL (M3) - GRANULOMETRIA 1,2 A 4,75MM NBR 7211</v>
      </c>
      <c r="B250" s="246">
        <f ca="1">ROUNDUP(IF(A250="","",SUMIF(Orçamento!P:P,'ABC Insumos Apoio'!A250,Orçamento!Z:Z)),2)</f>
        <v>1.82</v>
      </c>
      <c r="C250" s="246" t="str">
        <f t="shared" ca="1" si="3"/>
        <v>1,82 - PO PEDRA A GRANEL (M3) - GRANULOMETRIA 1,2 A 4,75MM NBR 7211</v>
      </c>
      <c r="E250" t="str">
        <f ca="1"/>
        <v>20353,97 - FIAÇÃO - TERREO</v>
      </c>
    </row>
    <row r="251" spans="1:5" x14ac:dyDescent="0.2">
      <c r="A251" s="245" t="str">
        <v>Pocket Former 1/2 - EHX 0009</v>
      </c>
      <c r="B251" s="246">
        <f ca="1">ROUNDUP(IF(A251="","",SUMIF(Orçamento!P:P,'ABC Insumos Apoio'!A251,Orçamento!Z:Z)),2)</f>
        <v>732.16</v>
      </c>
      <c r="C251" s="246" t="str">
        <f t="shared" ca="1" si="3"/>
        <v>732,16 - Pocket Former 1/2 - EHX 0009</v>
      </c>
      <c r="E251" t="str">
        <f ca="1"/>
        <v>20119,06 - MANTA ASFALTICA ELASTOMERICA EM POLIESTER 3MM, TIPO III, CLASSE B, ACA</v>
      </c>
    </row>
    <row r="252" spans="1:5" x14ac:dyDescent="0.2">
      <c r="A252" s="245" t="str">
        <v>PONTALETE DE PINUS 2,5 X 10 CM</v>
      </c>
      <c r="B252" s="246">
        <f ca="1">ROUNDUP(IF(A252="","",SUMIF(Orçamento!P:P,'ABC Insumos Apoio'!A252,Orçamento!Z:Z)),2)</f>
        <v>6825.2</v>
      </c>
      <c r="C252" s="246" t="str">
        <f t="shared" ca="1" si="3"/>
        <v>6825,2 - PONTALETE DE PINUS 2,5 X 10 CM</v>
      </c>
      <c r="E252" t="str">
        <f ca="1"/>
        <v>2000 - TAXAS DE APROVACAO E ALVARAS</v>
      </c>
    </row>
    <row r="253" spans="1:5" x14ac:dyDescent="0.2">
      <c r="A253" s="245" t="str">
        <v>PONTOS DE TOMADA E INTERRUPTORES - COBERTURA</v>
      </c>
      <c r="B253" s="246">
        <f ca="1">ROUNDUP(IF(A253="","",SUMIF(Orçamento!P:P,'ABC Insumos Apoio'!A253,Orçamento!Z:Z)),2)</f>
        <v>1560.45</v>
      </c>
      <c r="C253" s="246" t="str">
        <f t="shared" ca="1" si="3"/>
        <v>1560,45 - PONTOS DE TOMADA E INTERRUPTORES - COBERTURA</v>
      </c>
      <c r="E253" t="str">
        <f ca="1"/>
        <v>19887,24 - P1 - PORTA MADEIRA ACABAMENTO MELAMÍNICO BRANCO - ABRIR (E. VERTIVAL) - 80X210</v>
      </c>
    </row>
    <row r="254" spans="1:5" x14ac:dyDescent="0.2">
      <c r="A254" s="245" t="str">
        <v>PONTOS DE TOMADA E INTERRUPTORES - PAVIMENTO TECNICO</v>
      </c>
      <c r="B254" s="246">
        <f ca="1">ROUNDUP(IF(A254="","",SUMIF(Orçamento!P:P,'ABC Insumos Apoio'!A254,Orçamento!Z:Z)),2)</f>
        <v>1281.6099999999999</v>
      </c>
      <c r="C254" s="246" t="str">
        <f t="shared" ca="1" si="3"/>
        <v>1281,61 - PONTOS DE TOMADA E INTERRUPTORES - PAVIMENTO TECNICO</v>
      </c>
      <c r="E254" t="str">
        <f ca="1"/>
        <v>19864,52 - ACO CA-50A 6,30 MM (1/4)</v>
      </c>
    </row>
    <row r="255" spans="1:5" x14ac:dyDescent="0.2">
      <c r="A255" s="245" t="str">
        <v>PONTOS DE TOMADA E INTERRUPTORES - SUBSOLO</v>
      </c>
      <c r="B255" s="246">
        <f ca="1">ROUNDUP(IF(A255="","",SUMIF(Orçamento!P:P,'ABC Insumos Apoio'!A255,Orçamento!Z:Z)),2)</f>
        <v>3218.51</v>
      </c>
      <c r="C255" s="246" t="str">
        <f t="shared" ca="1" si="3"/>
        <v>3218,51 - PONTOS DE TOMADA E INTERRUPTORES - SUBSOLO</v>
      </c>
      <c r="E255" t="str">
        <f ca="1"/>
        <v>1981,7 - MAO DE OBRA PARA PINTURA EPOXI EM PISO</v>
      </c>
    </row>
    <row r="256" spans="1:5" x14ac:dyDescent="0.2">
      <c r="A256" s="245" t="str">
        <v>PONTOS DE TOMADA E INTERRUPTORES - TERREO</v>
      </c>
      <c r="B256" s="246">
        <f ca="1">ROUNDUP(IF(A256="","",SUMIF(Orçamento!P:P,'ABC Insumos Apoio'!A256,Orçamento!Z:Z)),2)</f>
        <v>2178.3900000000003</v>
      </c>
      <c r="C256" s="246" t="str">
        <f t="shared" ca="1" si="3"/>
        <v>2178,39 - PONTOS DE TOMADA E INTERRUPTORES - TERREO</v>
      </c>
      <c r="E256" t="str">
        <f ca="1"/>
        <v>198 - ACABAMENTO REGISTRO LATAO CROMADO 3/4" NBR 15705</v>
      </c>
    </row>
    <row r="257" spans="1:5" x14ac:dyDescent="0.2">
      <c r="A257" s="245" t="str">
        <v>PONTOS DE TOMADA E INTERRUPTORES - TIPO (x5)</v>
      </c>
      <c r="B257" s="246">
        <f ca="1">ROUNDUP(IF(A257="","",SUMIF(Orçamento!P:P,'ABC Insumos Apoio'!A257,Orçamento!Z:Z)),2)</f>
        <v>7800.34</v>
      </c>
      <c r="C257" s="246" t="str">
        <f t="shared" ca="1" si="3"/>
        <v>7800,34 - PONTOS DE TOMADA E INTERRUPTORES - TIPO (x5)</v>
      </c>
      <c r="E257" t="str">
        <f ca="1"/>
        <v>19765,64 - SERVICO EMP. - INST. FORRO GESSO NEGATIVO</v>
      </c>
    </row>
    <row r="258" spans="1:5" x14ac:dyDescent="0.2">
      <c r="A258" s="245" t="str">
        <v>PREGO 17 x 21 COM CABECA</v>
      </c>
      <c r="B258" s="246">
        <f ca="1">ROUNDUP(IF(A258="","",SUMIF(Orçamento!P:P,'ABC Insumos Apoio'!A258,Orçamento!Z:Z)),2)</f>
        <v>7688.7300000000005</v>
      </c>
      <c r="C258" s="246" t="str">
        <f t="shared" ca="1" si="3"/>
        <v>7688,73 - PREGO 17 x 21 COM CABECA</v>
      </c>
      <c r="E258" t="str">
        <f ca="1"/>
        <v>19432,3 - COMUNICACAO VISUAL INTERNA / EXTERNA</v>
      </c>
    </row>
    <row r="259" spans="1:5" x14ac:dyDescent="0.2">
      <c r="A259" s="245" t="str">
        <v>PREGO COM CABEÇA 15 X 18</v>
      </c>
      <c r="B259" s="246">
        <f ca="1">ROUNDUP(IF(A259="","",SUMIF(Orçamento!P:P,'ABC Insumos Apoio'!A259,Orçamento!Z:Z)),2)</f>
        <v>61.11</v>
      </c>
      <c r="C259" s="246" t="str">
        <f t="shared" ref="C259:C322" ca="1" si="4">IF(A259="","",CONCATENATE(B259, " - ",A259))</f>
        <v>61,11 - PREGO COM CABEÇA 15 X 18</v>
      </c>
      <c r="E259" t="str">
        <f ca="1"/>
        <v xml:space="preserve">1915,31 - Manilha reta padrão "D", corpo forjado em aço carbono 1045 c/ pino reforçado alloy, roscado 1/2". </v>
      </c>
    </row>
    <row r="260" spans="1:5" x14ac:dyDescent="0.2">
      <c r="A260" s="245" t="str">
        <v>PREGO DE ACO 18 X 27 COM CABECA</v>
      </c>
      <c r="B260" s="246">
        <f ca="1">ROUNDUP(IF(A260="","",SUMIF(Orçamento!P:P,'ABC Insumos Apoio'!A260,Orçamento!Z:Z)),2)</f>
        <v>167.79</v>
      </c>
      <c r="C260" s="246" t="str">
        <f t="shared" ca="1" si="4"/>
        <v>167,79 - PREGO DE ACO 18 X 27 COM CABECA</v>
      </c>
      <c r="E260" t="str">
        <f ca="1"/>
        <v>19008,61 - ARGAMASSA ESTABILIZADA P/ ASSENTAMENTO</v>
      </c>
    </row>
    <row r="261" spans="1:5" x14ac:dyDescent="0.2">
      <c r="A261" s="245" t="str">
        <v>PRIMER A BASE DE ASFALTO MODIFICADO DILUIDO EM SOLVENTE APLIC. A FRIO</v>
      </c>
      <c r="B261" s="246">
        <f ca="1">ROUNDUP(IF(A261="","",SUMIF(Orçamento!P:P,'ABC Insumos Apoio'!A261,Orçamento!Z:Z)),2)</f>
        <v>3462.1200000000003</v>
      </c>
      <c r="C261" s="246" t="str">
        <f t="shared" ca="1" si="4"/>
        <v>3462,12 - PRIMER A BASE DE ASFALTO MODIFICADO DILUIDO EM SOLVENTE APLIC. A FRIO</v>
      </c>
      <c r="E261" t="str">
        <f ca="1"/>
        <v>18900,91 - INSTALAÇÕES AGUA FRIA - TIPO (X5)</v>
      </c>
    </row>
    <row r="262" spans="1:5" x14ac:dyDescent="0.2">
      <c r="A262" s="245" t="str">
        <v>PRODUTO QUIMICO - VEDA CALHA 280G - CINZA</v>
      </c>
      <c r="B262" s="246">
        <f ca="1">ROUNDUP(IF(A262="","",SUMIF(Orçamento!P:P,'ABC Insumos Apoio'!A262,Orçamento!Z:Z)),2)</f>
        <v>627.48</v>
      </c>
      <c r="C262" s="246" t="str">
        <f t="shared" ca="1" si="4"/>
        <v>627,48 - PRODUTO QUIMICO - VEDA CALHA 280G - CINZA</v>
      </c>
      <c r="E262" t="str">
        <f ca="1"/>
        <v>1890,56 - INSTALAÇÕES AGUA PLUVIAIS - COBERTURA</v>
      </c>
    </row>
    <row r="263" spans="1:5" x14ac:dyDescent="0.2">
      <c r="A263" s="245" t="str">
        <v>PROJETO ARQUITETONICO</v>
      </c>
      <c r="B263" s="246">
        <f ca="1">ROUNDUP(IF(A263="","",SUMIF(Orçamento!P:P,'ABC Insumos Apoio'!A263,Orçamento!Z:Z)),2)</f>
        <v>40816</v>
      </c>
      <c r="C263" s="246" t="str">
        <f t="shared" ca="1" si="4"/>
        <v>40816 - PROJETO ARQUITETONICO</v>
      </c>
      <c r="E263" t="str">
        <f ca="1"/>
        <v>1890,1 - LUMINÁRIAS - TIPO (x5)</v>
      </c>
    </row>
    <row r="264" spans="1:5" x14ac:dyDescent="0.2">
      <c r="A264" s="245" t="str">
        <v>Projeto Comunicação e Dados</v>
      </c>
      <c r="B264" s="246">
        <f ca="1">ROUNDUP(IF(A264="","",SUMIF(Orçamento!P:P,'ABC Insumos Apoio'!A264,Orçamento!Z:Z)),2)</f>
        <v>2967</v>
      </c>
      <c r="C264" s="246" t="str">
        <f t="shared" ca="1" si="4"/>
        <v>2967 - Projeto Comunicação e Dados</v>
      </c>
      <c r="E264" t="str">
        <f ca="1"/>
        <v>18786,82 - Tabua de pinus 20x2,5x300cm</v>
      </c>
    </row>
    <row r="265" spans="1:5" x14ac:dyDescent="0.2">
      <c r="A265" s="245" t="str">
        <v>Projeto De Climatização</v>
      </c>
      <c r="B265" s="246">
        <f ca="1">ROUNDUP(IF(A265="","",SUMIF(Orçamento!P:P,'ABC Insumos Apoio'!A265,Orçamento!Z:Z)),2)</f>
        <v>1400</v>
      </c>
      <c r="C265" s="246" t="str">
        <f t="shared" ca="1" si="4"/>
        <v>1400 - Projeto De Climatização</v>
      </c>
      <c r="E265" t="str">
        <f ca="1"/>
        <v>186300 - MAO DE OBRA PARA CHAPISCO E REBOCO EXTERNOS</v>
      </c>
    </row>
    <row r="266" spans="1:5" x14ac:dyDescent="0.2">
      <c r="A266" s="245" t="str">
        <v>PROJETO DE SEGURANCA DO TRABALHO</v>
      </c>
      <c r="B266" s="246">
        <f ca="1">ROUNDUP(IF(A266="","",SUMIF(Orçamento!P:P,'ABC Insumos Apoio'!A266,Orçamento!Z:Z)),2)</f>
        <v>3500</v>
      </c>
      <c r="C266" s="246" t="str">
        <f t="shared" ca="1" si="4"/>
        <v>3500 - PROJETO DE SEGURANCA DO TRABALHO</v>
      </c>
      <c r="E266" t="str">
        <f ca="1"/>
        <v>186,64 - TELA ACO CARBONO CA60 M.100X100MM F.05,6MM 245X600CM Q246 (57,5KG/UN)</v>
      </c>
    </row>
    <row r="267" spans="1:5" x14ac:dyDescent="0.2">
      <c r="A267" s="245" t="str">
        <v>PROJETO ELETRICO</v>
      </c>
      <c r="B267" s="246">
        <f ca="1">ROUNDUP(IF(A267="","",SUMIF(Orçamento!P:P,'ABC Insumos Apoio'!A267,Orçamento!Z:Z)),2)</f>
        <v>5936</v>
      </c>
      <c r="C267" s="246" t="str">
        <f t="shared" ca="1" si="4"/>
        <v>5936 - PROJETO ELETRICO</v>
      </c>
      <c r="E267" t="str">
        <f ca="1"/>
        <v>1848 - CÓPIAS E PLOTAGENS</v>
      </c>
    </row>
    <row r="268" spans="1:5" x14ac:dyDescent="0.2">
      <c r="A268" s="245" t="str">
        <v>PROJETO ESTRUTURAL</v>
      </c>
      <c r="B268" s="246">
        <f ca="1">ROUNDUP(IF(A268="","",SUMIF(Orçamento!P:P,'ABC Insumos Apoio'!A268,Orçamento!Z:Z)),2)</f>
        <v>29900</v>
      </c>
      <c r="C268" s="246" t="str">
        <f t="shared" ca="1" si="4"/>
        <v>29900 - PROJETO ESTRUTURAL</v>
      </c>
      <c r="E268" t="str">
        <f ca="1"/>
        <v>182850 - MAO DE OBRA PARA EXECUCAO DE INFRAESTRUTURA</v>
      </c>
    </row>
    <row r="269" spans="1:5" x14ac:dyDescent="0.2">
      <c r="A269" s="245" t="str">
        <v>PROJETO HIDROSSANITARIO</v>
      </c>
      <c r="B269" s="246">
        <f ca="1">ROUNDUP(IF(A269="","",SUMIF(Orçamento!P:P,'ABC Insumos Apoio'!A269,Orçamento!Z:Z)),2)</f>
        <v>9500</v>
      </c>
      <c r="C269" s="246" t="str">
        <f t="shared" ca="1" si="4"/>
        <v>9500 - PROJETO HIDROSSANITARIO</v>
      </c>
      <c r="E269" t="str">
        <f ca="1"/>
        <v>18235,61 - BOMBEAMENTO DE CONCRETO USINADO</v>
      </c>
    </row>
    <row r="270" spans="1:5" x14ac:dyDescent="0.2">
      <c r="A270" s="245" t="str">
        <v>Projeto PCI (Prevenção e combate a Incêndios)</v>
      </c>
      <c r="B270" s="246">
        <f ca="1">ROUNDUP(IF(A270="","",SUMIF(Orçamento!P:P,'ABC Insumos Apoio'!A270,Orçamento!Z:Z)),2)</f>
        <v>9500</v>
      </c>
      <c r="C270" s="246" t="str">
        <f t="shared" ca="1" si="4"/>
        <v>9500 - Projeto PCI (Prevenção e combate a Incêndios)</v>
      </c>
      <c r="E270" t="str">
        <f ca="1"/>
        <v>1815 - SERVICO LOCACAO/TRANSPORTE/DESCARTE CACAMBA 5M3 - RESIDUOS CLASSE D</v>
      </c>
    </row>
    <row r="271" spans="1:5" x14ac:dyDescent="0.2">
      <c r="A271" s="245" t="str">
        <v>Projeto Telefonia</v>
      </c>
      <c r="B271" s="246">
        <f ca="1">ROUNDUP(IF(A271="","",SUMIF(Orçamento!P:P,'ABC Insumos Apoio'!A271,Orçamento!Z:Z)),2)</f>
        <v>2967</v>
      </c>
      <c r="C271" s="246" t="str">
        <f t="shared" ca="1" si="4"/>
        <v>2967 - Projeto Telefonia</v>
      </c>
      <c r="E271" t="str">
        <f ca="1"/>
        <v>180000 - ELEVADOR SOCIAL 8 PARADAS</v>
      </c>
    </row>
    <row r="272" spans="1:5" x14ac:dyDescent="0.2">
      <c r="A272" s="245" t="str">
        <v>Pt-Plug Ø12,7 - 3,8cm</v>
      </c>
      <c r="B272" s="246">
        <f ca="1">ROUNDUP(IF(A272="","",SUMIF(Orçamento!P:P,'ABC Insumos Apoio'!A272,Orçamento!Z:Z)),2)</f>
        <v>1323.52</v>
      </c>
      <c r="C272" s="246" t="str">
        <f t="shared" ca="1" si="4"/>
        <v>1323,52 - Pt-Plug Ø12,7 - 3,8cm</v>
      </c>
      <c r="E272" t="str">
        <f ca="1"/>
        <v>178,79 - Abraçadeira para linha de vida em aço galvanizado para poste de 3" de cabo 1/2"</v>
      </c>
    </row>
    <row r="273" spans="1:5" x14ac:dyDescent="0.2">
      <c r="A273" s="245" t="str">
        <v>QUADROS E DISJUNTORES - COBERTURA</v>
      </c>
      <c r="B273" s="246">
        <f ca="1">ROUNDUP(IF(A273="","",SUMIF(Orçamento!P:P,'ABC Insumos Apoio'!A273,Orçamento!Z:Z)),2)</f>
        <v>3146.4300000000003</v>
      </c>
      <c r="C273" s="246" t="str">
        <f t="shared" ca="1" si="4"/>
        <v>3146,43 - QUADROS E DISJUNTORES - COBERTURA</v>
      </c>
      <c r="E273" t="str">
        <f ca="1"/>
        <v>17706,1 - ACO CA-50A 20,00 MM (3/4)</v>
      </c>
    </row>
    <row r="274" spans="1:5" x14ac:dyDescent="0.2">
      <c r="A274" s="245" t="str">
        <v>QUADROS E DISJUNTORES - PAVIMENTO TECNICO</v>
      </c>
      <c r="B274" s="246">
        <f ca="1">ROUNDUP(IF(A274="","",SUMIF(Orçamento!P:P,'ABC Insumos Apoio'!A274,Orçamento!Z:Z)),2)</f>
        <v>2584.17</v>
      </c>
      <c r="C274" s="246" t="str">
        <f t="shared" ca="1" si="4"/>
        <v>2584,17 - QUADROS E DISJUNTORES - PAVIMENTO TECNICO</v>
      </c>
      <c r="E274" t="str">
        <f ca="1"/>
        <v>176,6 - MAO DE OBRA PARA COLOCACAO DE SOLEIRAS EM GRANITO - m²</v>
      </c>
    </row>
    <row r="275" spans="1:5" x14ac:dyDescent="0.2">
      <c r="A275" s="245" t="str">
        <v>QUADROS E DISJUNTORES - SUBSOLO</v>
      </c>
      <c r="B275" s="246">
        <f ca="1">ROUNDUP(IF(A275="","",SUMIF(Orçamento!P:P,'ABC Insumos Apoio'!A275,Orçamento!Z:Z)),2)</f>
        <v>6489.66</v>
      </c>
      <c r="C275" s="246" t="str">
        <f t="shared" ca="1" si="4"/>
        <v>6489,66 - QUADROS E DISJUNTORES - SUBSOLO</v>
      </c>
      <c r="E275" t="str">
        <f ca="1"/>
        <v>17289,01 - MANTA ACÚSTICA DE POLIETILENO</v>
      </c>
    </row>
    <row r="276" spans="1:5" x14ac:dyDescent="0.2">
      <c r="A276" s="245" t="str">
        <v>QUADROS E DISJUNTORES - TERREO</v>
      </c>
      <c r="B276" s="246">
        <f ca="1">ROUNDUP(IF(A276="","",SUMIF(Orçamento!P:P,'ABC Insumos Apoio'!A276,Orçamento!Z:Z)),2)</f>
        <v>4392.42</v>
      </c>
      <c r="C276" s="246" t="str">
        <f t="shared" ca="1" si="4"/>
        <v>4392,42 - QUADROS E DISJUNTORES - TERREO</v>
      </c>
      <c r="E276" t="str">
        <f ca="1"/>
        <v>1716 - MANUTENCAO PARA VEICULOS PROPRIOS</v>
      </c>
    </row>
    <row r="277" spans="1:5" x14ac:dyDescent="0.2">
      <c r="A277" s="245" t="str">
        <v>QUADROS E DISJUNTORES - TIPO (x5)</v>
      </c>
      <c r="B277" s="246">
        <f ca="1">ROUNDUP(IF(A277="","",SUMIF(Orçamento!P:P,'ABC Insumos Apoio'!A277,Orçamento!Z:Z)),2)</f>
        <v>15728.26</v>
      </c>
      <c r="C277" s="246" t="str">
        <f t="shared" ca="1" si="4"/>
        <v>15728,26 - QUADROS E DISJUNTORES - TIPO (x5)</v>
      </c>
      <c r="E277" t="str">
        <f ca="1"/>
        <v>17000 - Equipamento de ar-condicionado</v>
      </c>
    </row>
    <row r="278" spans="1:5" x14ac:dyDescent="0.2">
      <c r="A278" s="245" t="str">
        <v>REJUNTE FLEXIVEL CIMENTICIO TIPO II NBR 14992</v>
      </c>
      <c r="B278" s="246">
        <f ca="1">ROUNDUP(IF(A278="","",SUMIF(Orçamento!P:P,'ABC Insumos Apoio'!A278,Orçamento!Z:Z)),2)</f>
        <v>2510.73</v>
      </c>
      <c r="C278" s="246" t="str">
        <f t="shared" ca="1" si="4"/>
        <v>2510,73 - REJUNTE FLEXIVEL CIMENTICIO TIPO II NBR 14992</v>
      </c>
      <c r="E278" t="str">
        <f ca="1"/>
        <v>1687,27 - ADESIVO DE BASE ACRILICA COMPATIVEL COM CIMENTO</v>
      </c>
    </row>
    <row r="279" spans="1:5" x14ac:dyDescent="0.2">
      <c r="A279" s="245" t="str">
        <v>REJUNTE FLEXIVEL EPOXI BICOMPONENTE NBR 14992</v>
      </c>
      <c r="B279" s="246">
        <f ca="1">ROUNDUP(IF(A279="","",SUMIF(Orçamento!P:P,'ABC Insumos Apoio'!A279,Orçamento!Z:Z)),2)</f>
        <v>665.66</v>
      </c>
      <c r="C279" s="246" t="str">
        <f t="shared" ca="1" si="4"/>
        <v>665,66 - REJUNTE FLEXIVEL EPOXI BICOMPONENTE NBR 14992</v>
      </c>
      <c r="E279" t="str">
        <f ca="1"/>
        <v>1680,15 - ACO CA-60 5,00 MM</v>
      </c>
    </row>
    <row r="280" spans="1:5" x14ac:dyDescent="0.2">
      <c r="A280" s="245" t="str">
        <v>RETROESCAVADEIRA SOBRE RODAS COM CARREGADEIRA</v>
      </c>
      <c r="B280" s="246">
        <f ca="1">ROUNDUP(IF(A280="","",SUMIF(Orçamento!P:P,'ABC Insumos Apoio'!A280,Orçamento!Z:Z)),2)</f>
        <v>372.65999999999997</v>
      </c>
      <c r="C280" s="246" t="str">
        <f t="shared" ca="1" si="4"/>
        <v>372,66 - RETROESCAVADEIRA SOBRE RODAS COM CARREGADEIRA</v>
      </c>
      <c r="E280" t="str">
        <f ca="1"/>
        <v>167,79 - PREGO DE ACO 18 X 27 COM CABECA</v>
      </c>
    </row>
    <row r="281" spans="1:5" x14ac:dyDescent="0.2">
      <c r="A281" s="245" t="str">
        <v>REVESTIMENTO -  PORCELANATO 20X120 EXT RET</v>
      </c>
      <c r="B281" s="246">
        <f ca="1">ROUNDUP(IF(A281="","",SUMIF(Orçamento!P:P,'ABC Insumos Apoio'!A281,Orçamento!Z:Z)),2)</f>
        <v>36540.21</v>
      </c>
      <c r="C281" s="246" t="str">
        <f t="shared" ca="1" si="4"/>
        <v>36540,21 - REVESTIMENTO -  PORCELANATO 20X120 EXT RET</v>
      </c>
      <c r="E281" t="str">
        <f ca="1"/>
        <v>165 - TORNEIRA LATAO CROMADO PAREDE P/PIA 1/2" C33 BICA ALTA</v>
      </c>
    </row>
    <row r="282" spans="1:5" x14ac:dyDescent="0.2">
      <c r="A282" s="245" t="str">
        <v>REVESTIMENTO - HANGAR CHICAGO 60X60 NAT BOLD</v>
      </c>
      <c r="B282" s="246">
        <f ca="1">ROUNDUP(IF(A282="","",SUMIF(Orçamento!P:P,'ABC Insumos Apoio'!A282,Orçamento!Z:Z)),2)</f>
        <v>63029.47</v>
      </c>
      <c r="C282" s="246" t="str">
        <f t="shared" ca="1" si="4"/>
        <v>63029,47 - REVESTIMENTO - HANGAR CHICAGO 60X60 NAT BOLD</v>
      </c>
      <c r="E282" t="str">
        <f ca="1"/>
        <v>1615 - VERBA PARA TAPUME</v>
      </c>
    </row>
    <row r="283" spans="1:5" x14ac:dyDescent="0.2">
      <c r="A283" s="245" t="str">
        <v>REVESTIMENTO - HIT GRIS 80X80 EXT RET</v>
      </c>
      <c r="B283" s="246">
        <f ca="1">ROUNDUP(IF(A283="","",SUMIF(Orçamento!P:P,'ABC Insumos Apoio'!A283,Orçamento!Z:Z)),2)</f>
        <v>20527.73</v>
      </c>
      <c r="C283" s="246" t="str">
        <f t="shared" ca="1" si="4"/>
        <v>20527,73 - REVESTIMENTO - HIT GRIS 80X80 EXT RET</v>
      </c>
      <c r="E283" t="str">
        <f ca="1"/>
        <v>15870 - MAO DE OBRA PARA ESTUCAMENTO DE ESTRUTURA DE CONCRETO EM TETO</v>
      </c>
    </row>
    <row r="284" spans="1:5" x14ac:dyDescent="0.2">
      <c r="A284" s="245" t="str">
        <v>REVESTIMENTO - HIT GRIS 80X80 NAT RET</v>
      </c>
      <c r="B284" s="246">
        <f ca="1">ROUNDUP(IF(A284="","",SUMIF(Orçamento!P:P,'ABC Insumos Apoio'!A284,Orçamento!Z:Z)),2)</f>
        <v>62669.62</v>
      </c>
      <c r="C284" s="246" t="str">
        <f t="shared" ca="1" si="4"/>
        <v>62669,62 - REVESTIMENTO - HIT GRIS 80X80 NAT RET</v>
      </c>
      <c r="E284" t="str">
        <f ca="1"/>
        <v>15870 - MAO DE OBRA PARA ESTUCAMENTO DE ESTRUTURA DE CONCRETO</v>
      </c>
    </row>
    <row r="285" spans="1:5" x14ac:dyDescent="0.2">
      <c r="A285" s="245" t="str">
        <v>REVESTIMENTO - PASTILHA CERAMICA 5 X 5CM</v>
      </c>
      <c r="B285" s="246">
        <f ca="1">ROUNDUP(IF(A285="","",SUMIF(Orçamento!P:P,'ABC Insumos Apoio'!A285,Orçamento!Z:Z)),2)</f>
        <v>9560.94</v>
      </c>
      <c r="C285" s="246" t="str">
        <f t="shared" ca="1" si="4"/>
        <v>9560,94 - REVESTIMENTO - PASTILHA CERAMICA 5 X 5CM</v>
      </c>
      <c r="E285" t="str">
        <f ca="1"/>
        <v>15728,26 - QUADROS E DISJUNTORES - TIPO (x5)</v>
      </c>
    </row>
    <row r="286" spans="1:5" x14ac:dyDescent="0.2">
      <c r="A286" s="245" t="str">
        <v>RODAPÉ EM POLIESTIRENO PU 10CM</v>
      </c>
      <c r="B286" s="246">
        <f ca="1">ROUNDUP(IF(A286="","",SUMIF(Orçamento!P:P,'ABC Insumos Apoio'!A286,Orçamento!Z:Z)),2)</f>
        <v>25045.239999999998</v>
      </c>
      <c r="C286" s="246" t="str">
        <f t="shared" ca="1" si="4"/>
        <v>25045,24 - RODAPÉ EM POLIESTIRENO PU 10CM</v>
      </c>
      <c r="E286" t="str">
        <f ca="1"/>
        <v>156055 - MAO DE OBRA PARA CHAPISCO E REBOCO INTERNOS</v>
      </c>
    </row>
    <row r="287" spans="1:5" x14ac:dyDescent="0.2">
      <c r="A287" s="245" t="str">
        <v>RODAPÉ EM POLIESTIRENO PU 15CM</v>
      </c>
      <c r="B287" s="246">
        <f ca="1">ROUNDUP(IF(A287="","",SUMIF(Orçamento!P:P,'ABC Insumos Apoio'!A287,Orçamento!Z:Z)),2)</f>
        <v>5297.1900000000005</v>
      </c>
      <c r="C287" s="246" t="str">
        <f t="shared" ca="1" si="4"/>
        <v>5297,19 - RODAPÉ EM POLIESTIRENO PU 15CM</v>
      </c>
      <c r="E287" t="str">
        <f ca="1"/>
        <v>1560,45 - PONTOS DE TOMADA E INTERRUPTORES - COBERTURA</v>
      </c>
    </row>
    <row r="288" spans="1:5" x14ac:dyDescent="0.2">
      <c r="A288" s="245" t="str">
        <v>RUFO ACO CARBONO GALVANIZADO CHAPA 26 DESENVOLVIMENTO 350MM</v>
      </c>
      <c r="B288" s="246">
        <f ca="1">ROUNDUP(IF(A288="","",SUMIF(Orçamento!P:P,'ABC Insumos Apoio'!A288,Orçamento!Z:Z)),2)</f>
        <v>402.90999999999997</v>
      </c>
      <c r="C288" s="246" t="str">
        <f t="shared" ca="1" si="4"/>
        <v>402,91 - RUFO ACO CARBONO GALVANIZADO CHAPA 26 DESENVOLVIMENTO 350MM</v>
      </c>
      <c r="E288" t="str">
        <f ca="1"/>
        <v>1552,72 - INSTALAÇÕES AGUA PLUVIAIS - PAVIMENTO TECNICO</v>
      </c>
    </row>
    <row r="289" spans="1:5" x14ac:dyDescent="0.2">
      <c r="A289" s="245" t="str">
        <v>SARRAFO DE MADEIRA 7,0 x 3 M</v>
      </c>
      <c r="B289" s="246">
        <f ca="1">ROUNDUP(IF(A289="","",SUMIF(Orçamento!P:P,'ABC Insumos Apoio'!A289,Orçamento!Z:Z)),2)</f>
        <v>10528.460000000001</v>
      </c>
      <c r="C289" s="246" t="str">
        <f t="shared" ca="1" si="4"/>
        <v>10528,46 - SARRAFO DE MADEIRA 7,0 x 3 M</v>
      </c>
      <c r="E289" t="str">
        <f ca="1"/>
        <v>1536,59 - TELA ACO CARBONO CA60 M.100X100MM F.05,0MM 245X600CM Q196 (45,72KG/UN)</v>
      </c>
    </row>
    <row r="290" spans="1:5" x14ac:dyDescent="0.2">
      <c r="A290" s="245" t="str">
        <v>SELADOR ACRILICO</v>
      </c>
      <c r="B290" s="246">
        <f ca="1">ROUNDUP(IF(A290="","",SUMIF(Orçamento!P:P,'ABC Insumos Apoio'!A290,Orçamento!Z:Z)),2)</f>
        <v>2300.8200000000002</v>
      </c>
      <c r="C290" s="246" t="str">
        <f t="shared" ca="1" si="4"/>
        <v>2300,82 - SELADOR ACRILICO</v>
      </c>
      <c r="E290" t="str">
        <f ca="1"/>
        <v>15 - MAO DE OBRA PARA IMPERMEABILIZACAO COM TINTA ASFALTICA</v>
      </c>
    </row>
    <row r="291" spans="1:5" x14ac:dyDescent="0.2">
      <c r="A291" s="245" t="str">
        <v>SELANTE PU40 BASE POLIURETANO BRANCO 280ML</v>
      </c>
      <c r="B291" s="246">
        <f ca="1">ROUNDUP(IF(A291="","",SUMIF(Orçamento!P:P,'ABC Insumos Apoio'!A291,Orçamento!Z:Z)),2)</f>
        <v>61.44</v>
      </c>
      <c r="C291" s="246" t="str">
        <f t="shared" ca="1" si="4"/>
        <v>61,44 - SELANTE PU40 BASE POLIURETANO BRANCO 280ML</v>
      </c>
      <c r="E291" t="str">
        <f ca="1"/>
        <v>14580,19 - FIAÇÃO - COBERTURA</v>
      </c>
    </row>
    <row r="292" spans="1:5" x14ac:dyDescent="0.2">
      <c r="A292" s="245" t="str">
        <v>SERVICO ELEVADOR SOCIAL - MANUTENCAO CORRETIVA (AVULSA)</v>
      </c>
      <c r="B292" s="246">
        <f ca="1">ROUNDUP(IF(A292="","",SUMIF(Orçamento!P:P,'ABC Insumos Apoio'!A292,Orçamento!Z:Z)),2)</f>
        <v>7800</v>
      </c>
      <c r="C292" s="246" t="str">
        <f t="shared" ca="1" si="4"/>
        <v>7800 - SERVICO ELEVADOR SOCIAL - MANUTENCAO CORRETIVA (AVULSA)</v>
      </c>
      <c r="E292" t="str">
        <f ca="1"/>
        <v>1443 - Corrimao parede de madeira</v>
      </c>
    </row>
    <row r="293" spans="1:5" x14ac:dyDescent="0.2">
      <c r="A293" s="245" t="str">
        <v>SERVICO EMP. - INST. FORRO GESSO</v>
      </c>
      <c r="B293" s="246">
        <f ca="1">ROUNDUP(IF(A293="","",SUMIF(Orçamento!P:P,'ABC Insumos Apoio'!A293,Orçamento!Z:Z)),2)</f>
        <v>23677.58</v>
      </c>
      <c r="C293" s="246" t="str">
        <f t="shared" ca="1" si="4"/>
        <v>23677,58 - SERVICO EMP. - INST. FORRO GESSO</v>
      </c>
      <c r="E293" t="str">
        <f ca="1"/>
        <v>1427,58 - MAO DE OBRA PARA COLOCACAO DE PEITORIL</v>
      </c>
    </row>
    <row r="294" spans="1:5" x14ac:dyDescent="0.2">
      <c r="A294" s="245" t="str">
        <v>SERVICO EMP. - INST. FORRO GESSO NEGATIVO</v>
      </c>
      <c r="B294" s="246">
        <f ca="1">ROUNDUP(IF(A294="","",SUMIF(Orçamento!P:P,'ABC Insumos Apoio'!A294,Orçamento!Z:Z)),2)</f>
        <v>19765.64</v>
      </c>
      <c r="C294" s="246" t="str">
        <f t="shared" ca="1" si="4"/>
        <v>19765,64 - SERVICO EMP. - INST. FORRO GESSO NEGATIVO</v>
      </c>
      <c r="E294" t="str">
        <f ca="1"/>
        <v>14175,68 - INSTALAÇÕES PREVENTIVAS - TIPO (X5)</v>
      </c>
    </row>
    <row r="295" spans="1:5" x14ac:dyDescent="0.2">
      <c r="A295" s="245" t="str">
        <v xml:space="preserve">SERVICO LIMPEZA ESCAVAÇÃO E BOTA FORA </v>
      </c>
      <c r="B295" s="246">
        <f ca="1">ROUNDUP(IF(A295="","",SUMIF(Orçamento!P:P,'ABC Insumos Apoio'!A295,Orçamento!Z:Z)),2)</f>
        <v>135260</v>
      </c>
      <c r="C295" s="246" t="str">
        <f t="shared" ca="1" si="4"/>
        <v xml:space="preserve">135260 - SERVICO LIMPEZA ESCAVAÇÃO E BOTA FORA </v>
      </c>
      <c r="E295" t="str">
        <f ca="1"/>
        <v>14175,68 - INSTALAÇÕES ESGOTO - TIPO (X5)</v>
      </c>
    </row>
    <row r="296" spans="1:5" x14ac:dyDescent="0.2">
      <c r="A296" s="245" t="str">
        <v>SERVICO LOCACAO/TRANSPORTE/DESCARTE CACAMBA 5M3 - RESIDUOS CLASSE A</v>
      </c>
      <c r="B296" s="246">
        <f ca="1">ROUNDUP(IF(A296="","",SUMIF(Orçamento!P:P,'ABC Insumos Apoio'!A296,Orçamento!Z:Z)),2)</f>
        <v>13860</v>
      </c>
      <c r="C296" s="246" t="str">
        <f t="shared" ca="1" si="4"/>
        <v>13860 - SERVICO LOCACAO/TRANSPORTE/DESCARTE CACAMBA 5M3 - RESIDUOS CLASSE A</v>
      </c>
      <c r="E296" t="str">
        <f ca="1"/>
        <v>1415,85 - ESPACADOR PVC NIVELAMENTO REVESTIMENTO 1,0MM NBR 6118</v>
      </c>
    </row>
    <row r="297" spans="1:5" x14ac:dyDescent="0.2">
      <c r="A297" s="245" t="str">
        <v>SERVICO LOCACAO/TRANSPORTE/DESCARTE CACAMBA 5M3 - RESIDUOS CLASSE B</v>
      </c>
      <c r="B297" s="246">
        <f ca="1">ROUNDUP(IF(A297="","",SUMIF(Orçamento!P:P,'ABC Insumos Apoio'!A297,Orçamento!Z:Z)),2)</f>
        <v>3465</v>
      </c>
      <c r="C297" s="246" t="str">
        <f t="shared" ca="1" si="4"/>
        <v>3465 - SERVICO LOCACAO/TRANSPORTE/DESCARTE CACAMBA 5M3 - RESIDUOS CLASSE B</v>
      </c>
      <c r="E297" t="str">
        <f ca="1"/>
        <v>14042,6 - MAO DE OBRA PARA COLOCACAO DE RODAPE DE POLIESTIRENO</v>
      </c>
    </row>
    <row r="298" spans="1:5" x14ac:dyDescent="0.2">
      <c r="A298" s="245" t="str">
        <v>SERVICO LOCACAO/TRANSPORTE/DESCARTE CACAMBA 5M3 - RESIDUOS CLASSE C</v>
      </c>
      <c r="B298" s="246">
        <f ca="1">ROUNDUP(IF(A298="","",SUMIF(Orçamento!P:P,'ABC Insumos Apoio'!A298,Orçamento!Z:Z)),2)</f>
        <v>2640</v>
      </c>
      <c r="C298" s="246" t="str">
        <f t="shared" ca="1" si="4"/>
        <v>2640 - SERVICO LOCACAO/TRANSPORTE/DESCARTE CACAMBA 5M3 - RESIDUOS CLASSE C</v>
      </c>
      <c r="E298" t="str">
        <f ca="1"/>
        <v>1400 - Projeto De Climatização</v>
      </c>
    </row>
    <row r="299" spans="1:5" x14ac:dyDescent="0.2">
      <c r="A299" s="245" t="str">
        <v>SERVICO LOCACAO/TRANSPORTE/DESCARTE CACAMBA 5M3 - RESIDUOS CLASSE D</v>
      </c>
      <c r="B299" s="246">
        <f ca="1">ROUNDUP(IF(A299="","",SUMIF(Orçamento!P:P,'ABC Insumos Apoio'!A299,Orçamento!Z:Z)),2)</f>
        <v>1815</v>
      </c>
      <c r="C299" s="246" t="str">
        <f t="shared" ca="1" si="4"/>
        <v>1815 - SERVICO LOCACAO/TRANSPORTE/DESCARTE CACAMBA 5M3 - RESIDUOS CLASSE D</v>
      </c>
      <c r="E299" t="str">
        <f ca="1"/>
        <v>140 - Dispositivo de Retorno / 1.1/2"</v>
      </c>
    </row>
    <row r="300" spans="1:5" x14ac:dyDescent="0.2">
      <c r="A300" s="245" t="str">
        <v>SIFAO PVC FLEXIVEL MULTIUSO BRANCO 63CM</v>
      </c>
      <c r="B300" s="246">
        <f ca="1">ROUNDUP(IF(A300="","",SUMIF(Orçamento!P:P,'ABC Insumos Apoio'!A300,Orçamento!Z:Z)),2)</f>
        <v>69.5</v>
      </c>
      <c r="C300" s="246" t="str">
        <f t="shared" ca="1" si="4"/>
        <v>69,5 - SIFAO PVC FLEXIVEL MULTIUSO BRANCO 63CM</v>
      </c>
      <c r="E300" t="str">
        <f ca="1"/>
        <v>139412,55 - ITENS EVENTUAIS E NAO ORCADOS</v>
      </c>
    </row>
    <row r="301" spans="1:5" x14ac:dyDescent="0.2">
      <c r="A301" s="245" t="str">
        <v>SISAL P/ESTUQUE GESSO NBR 13207/13867</v>
      </c>
      <c r="B301" s="246">
        <f ca="1">ROUNDUP(IF(A301="","",SUMIF(Orçamento!P:P,'ABC Insumos Apoio'!A301,Orçamento!Z:Z)),2)</f>
        <v>240.98</v>
      </c>
      <c r="C301" s="246" t="str">
        <f t="shared" ca="1" si="4"/>
        <v>240,98 - SISAL P/ESTUQUE GESSO NBR 13207/13867</v>
      </c>
      <c r="E301" t="str">
        <f ca="1"/>
        <v>13860 - SERVICO LOCACAO/TRANSPORTE/DESCARTE CACAMBA 5M3 - RESIDUOS CLASSE A</v>
      </c>
    </row>
    <row r="302" spans="1:5" x14ac:dyDescent="0.2">
      <c r="A302" s="245" t="str">
        <v>Sistema de linha de vida tipo varal de segurança com tubo h=7,5 e acessórios incluindo sapata de fixação e pino de travamento</v>
      </c>
      <c r="B302" s="246">
        <f ca="1">ROUNDUP(IF(A302="","",SUMIF(Orçamento!P:P,'ABC Insumos Apoio'!A302,Orçamento!Z:Z)),2)</f>
        <v>3155.03</v>
      </c>
      <c r="C302" s="246" t="str">
        <f t="shared" ca="1" si="4"/>
        <v>3155,03 - Sistema de linha de vida tipo varal de segurança com tubo h=7,5 e acessórios incluindo sapata de fixação e pino de travamento</v>
      </c>
      <c r="E302" t="str">
        <f ca="1"/>
        <v>138594,91 - COMPENSADO MADEIRA TIPO PLASTIFICADO 2200X1100X14MM NBR 1096</v>
      </c>
    </row>
    <row r="303" spans="1:5" x14ac:dyDescent="0.2">
      <c r="A303" s="245" t="str">
        <v>Skimmer - 50 mm</v>
      </c>
      <c r="B303" s="246">
        <f ca="1">ROUNDUP(IF(A303="","",SUMIF(Orçamento!P:P,'ABC Insumos Apoio'!A303,Orçamento!Z:Z)),2)</f>
        <v>889</v>
      </c>
      <c r="C303" s="246" t="str">
        <f t="shared" ca="1" si="4"/>
        <v>889 - Skimmer - 50 mm</v>
      </c>
      <c r="E303" t="str">
        <f ca="1"/>
        <v>13855,8 - ARMAÇÃO MÉDIA PARA CONTENÇÃO</v>
      </c>
    </row>
    <row r="304" spans="1:5" x14ac:dyDescent="0.2">
      <c r="A304" s="245" t="str">
        <v>SONDAGEM</v>
      </c>
      <c r="B304" s="246">
        <f ca="1">ROUNDUP(IF(A304="","",SUMIF(Orçamento!P:P,'ABC Insumos Apoio'!A304,Orçamento!Z:Z)),2)</f>
        <v>8900</v>
      </c>
      <c r="C304" s="246" t="str">
        <f t="shared" ca="1" si="4"/>
        <v>8900 - SONDAGEM</v>
      </c>
      <c r="E304" t="str">
        <f ca="1"/>
        <v>138000 - MAO DE OBRA ASSENTAMENTO DE BLOCOS</v>
      </c>
    </row>
    <row r="305" spans="1:5" x14ac:dyDescent="0.2">
      <c r="A305" s="245" t="str">
        <v>SUPORTE APOIO ACO CARBONO P/PIA 40CM TUBO 50X30X0,90MM BRANCO</v>
      </c>
      <c r="B305" s="246">
        <f ca="1">ROUNDUP(IF(A305="","",SUMIF(Orçamento!P:P,'ABC Insumos Apoio'!A305,Orçamento!Z:Z)),2)</f>
        <v>44</v>
      </c>
      <c r="C305" s="246" t="str">
        <f t="shared" ca="1" si="4"/>
        <v>44 - SUPORTE APOIO ACO CARBONO P/PIA 40CM TUBO 50X30X0,90MM BRANCO</v>
      </c>
      <c r="E305" t="str">
        <f ca="1"/>
        <v>13777,93 - ARGAMASSA COLANTE AC II</v>
      </c>
    </row>
    <row r="306" spans="1:5" x14ac:dyDescent="0.2">
      <c r="A306" s="245" t="str">
        <v>SUPORTE PARA BANDEJA 250CM + 80CM A 90° PERFIL 3" X 2,65 CARGA 250KG N</v>
      </c>
      <c r="B306" s="246">
        <f ca="1">ROUNDUP(IF(A306="","",SUMIF(Orçamento!P:P,'ABC Insumos Apoio'!A306,Orçamento!Z:Z)),2)</f>
        <v>3871.2</v>
      </c>
      <c r="C306" s="246" t="str">
        <f t="shared" ca="1" si="4"/>
        <v>3871,2 - SUPORTE PARA BANDEJA 250CM + 80CM A 90° PERFIL 3" X 2,65 CARGA 250KG N</v>
      </c>
      <c r="E306" t="str">
        <f ca="1"/>
        <v xml:space="preserve">135260 - SERVICO LIMPEZA ESCAVAÇÃO E BOTA FORA </v>
      </c>
    </row>
    <row r="307" spans="1:5" x14ac:dyDescent="0.2">
      <c r="A307" s="245" t="str">
        <v>Tabua de pinus 20x2,5x300cm</v>
      </c>
      <c r="B307" s="246">
        <f ca="1">ROUNDUP(IF(A307="","",SUMIF(Orçamento!P:P,'ABC Insumos Apoio'!A307,Orçamento!Z:Z)),2)</f>
        <v>18786.82</v>
      </c>
      <c r="C307" s="246" t="str">
        <f t="shared" ca="1" si="4"/>
        <v>18786,82 - Tabua de pinus 20x2,5x300cm</v>
      </c>
      <c r="E307" t="str">
        <f ca="1"/>
        <v>1323,52 - Pt-Plug Ø12,7 - 3,8cm</v>
      </c>
    </row>
    <row r="308" spans="1:5" x14ac:dyDescent="0.2">
      <c r="A308" s="245" t="str">
        <v>TANQUE LOUCA SUSPENSO</v>
      </c>
      <c r="B308" s="246">
        <f ca="1">ROUNDUP(IF(A308="","",SUMIF(Orçamento!P:P,'ABC Insumos Apoio'!A308,Orçamento!Z:Z)),2)</f>
        <v>304</v>
      </c>
      <c r="C308" s="246" t="str">
        <f t="shared" ca="1" si="4"/>
        <v>304 - TANQUE LOUCA SUSPENSO</v>
      </c>
      <c r="E308" t="str">
        <f ca="1"/>
        <v>13113,36 - MADEIRA DE FORMA PARA CONTENÇÃO</v>
      </c>
    </row>
    <row r="309" spans="1:5" x14ac:dyDescent="0.2">
      <c r="A309" s="245" t="str">
        <v>Taxa Aprovação Ambiental (Lap/Lai/Auc)/Compensatória)</v>
      </c>
      <c r="B309" s="246">
        <f ca="1">ROUNDUP(IF(A309="","",SUMIF(Orçamento!P:P,'ABC Insumos Apoio'!A309,Orçamento!Z:Z)),2)</f>
        <v>905.81</v>
      </c>
      <c r="C309" s="246" t="str">
        <f t="shared" ca="1" si="4"/>
        <v>905,81 - Taxa Aprovação Ambiental (Lap/Lai/Auc)/Compensatória)</v>
      </c>
      <c r="E309" t="str">
        <f ca="1"/>
        <v>13057,62 - CONTROLE TECNOLOGICO DO CONCRETO</v>
      </c>
    </row>
    <row r="310" spans="1:5" x14ac:dyDescent="0.2">
      <c r="A310" s="245" t="str">
        <v>Taxa Aprovação e legalização água e esgoto</v>
      </c>
      <c r="B310" s="246">
        <f ca="1">ROUNDUP(IF(A310="","",SUMIF(Orçamento!P:P,'ABC Insumos Apoio'!A310,Orçamento!Z:Z)),2)</f>
        <v>293.89</v>
      </c>
      <c r="C310" s="246" t="str">
        <f t="shared" ca="1" si="4"/>
        <v>293,89 - Taxa Aprovação e legalização água e esgoto</v>
      </c>
      <c r="E310" t="str">
        <f ca="1"/>
        <v>1304,47 - BLOCO CONCRETO TIPO PISOGRAMA 35MPA 08CM NBR 6136</v>
      </c>
    </row>
    <row r="311" spans="1:5" x14ac:dyDescent="0.2">
      <c r="A311" s="245" t="str">
        <v>Taxa Aprovação e legalização elétrico</v>
      </c>
      <c r="B311" s="246">
        <f ca="1">ROUNDUP(IF(A311="","",SUMIF(Orçamento!P:P,'ABC Insumos Apoio'!A311,Orçamento!Z:Z)),2)</f>
        <v>2588.5800000000004</v>
      </c>
      <c r="C311" s="246" t="str">
        <f t="shared" ca="1" si="4"/>
        <v>2588,58 - Taxa Aprovação e legalização elétrico</v>
      </c>
      <c r="E311" t="str">
        <f ca="1"/>
        <v>129720 - MAO DE OBRA APLICACAO DE PINTURA EM PAREDES - 3 DEMAO</v>
      </c>
    </row>
    <row r="312" spans="1:5" x14ac:dyDescent="0.2">
      <c r="A312" s="245" t="str">
        <v>Taxas de Aprovação de Projetos e Alvarás (Prefeituras/Bombeiro)</v>
      </c>
      <c r="B312" s="246">
        <f ca="1">ROUNDUP(IF(A312="","",SUMIF(Orçamento!P:P,'ABC Insumos Apoio'!A312,Orçamento!Z:Z)),2)</f>
        <v>5923.64</v>
      </c>
      <c r="C312" s="246" t="str">
        <f t="shared" ca="1" si="4"/>
        <v>5923,64 - Taxas de Aprovação de Projetos e Alvarás (Prefeituras/Bombeiro)</v>
      </c>
      <c r="E312" t="str">
        <f ca="1"/>
        <v>1281,61 - PONTOS DE TOMADA E INTERRUPTORES - PAVIMENTO TECNICO</v>
      </c>
    </row>
    <row r="313" spans="1:5" x14ac:dyDescent="0.2">
      <c r="A313" s="245" t="str">
        <v>TAXAS DE APROVACAO E ALVARAS</v>
      </c>
      <c r="B313" s="246">
        <f ca="1">ROUNDUP(IF(A313="","",SUMIF(Orçamento!P:P,'ABC Insumos Apoio'!A313,Orçamento!Z:Z)),2)</f>
        <v>2000</v>
      </c>
      <c r="C313" s="246" t="str">
        <f t="shared" ca="1" si="4"/>
        <v>2000 - TAXAS DE APROVACAO E ALVARAS</v>
      </c>
      <c r="E313" t="str">
        <f ca="1"/>
        <v>12471,84 - Barra de apoio PNE</v>
      </c>
    </row>
    <row r="314" spans="1:5" x14ac:dyDescent="0.2">
      <c r="A314" s="245" t="str">
        <v>Taxas de ART e RRT</v>
      </c>
      <c r="B314" s="246">
        <f ca="1">ROUNDUP(IF(A314="","",SUMIF(Orçamento!P:P,'ABC Insumos Apoio'!A314,Orçamento!Z:Z)),2)</f>
        <v>2250</v>
      </c>
      <c r="C314" s="246" t="str">
        <f t="shared" ca="1" si="4"/>
        <v>2250 - Taxas de ART e RRT</v>
      </c>
      <c r="E314" t="str">
        <f ca="1"/>
        <v>12212,2 - TELA ACO CARBONO CA60 M.150X150MM F.03,4MM 245X600CM Q61 (14,26KG/UN)</v>
      </c>
    </row>
    <row r="315" spans="1:5" x14ac:dyDescent="0.2">
      <c r="A315" s="245" t="str">
        <v>Taxas de As Built</v>
      </c>
      <c r="B315" s="246">
        <f ca="1">ROUNDUP(IF(A315="","",SUMIF(Orçamento!P:P,'ABC Insumos Apoio'!A315,Orçamento!Z:Z)),2)</f>
        <v>7600</v>
      </c>
      <c r="C315" s="246" t="str">
        <f t="shared" ca="1" si="4"/>
        <v>7600 - Taxas de As Built</v>
      </c>
      <c r="E315" t="str">
        <f ca="1"/>
        <v>12200 - MOBILIARIO DE APOIO A OBRA</v>
      </c>
    </row>
    <row r="316" spans="1:5" x14ac:dyDescent="0.2">
      <c r="A316" s="245" t="str">
        <v>Taxas de Habite-se</v>
      </c>
      <c r="B316" s="246">
        <f ca="1">ROUNDUP(IF(A316="","",SUMIF(Orçamento!P:P,'ABC Insumos Apoio'!A316,Orçamento!Z:Z)),2)</f>
        <v>2528.2400000000002</v>
      </c>
      <c r="C316" s="246" t="str">
        <f t="shared" ca="1" si="4"/>
        <v>2528,24 - Taxas de Habite-se</v>
      </c>
      <c r="E316" t="str">
        <f ca="1"/>
        <v>1200,31 - LIXA EM FOLHA PARA PAREDE OU MADEIRA N° 120</v>
      </c>
    </row>
    <row r="317" spans="1:5" x14ac:dyDescent="0.2">
      <c r="A317" s="245" t="str">
        <v>TELA ACO CARBONO CA60 M.100X100MM F.05,0MM 245X600CM Q196 (45,72KG/UN)</v>
      </c>
      <c r="B317" s="246">
        <f ca="1">ROUNDUP(IF(A317="","",SUMIF(Orçamento!P:P,'ABC Insumos Apoio'!A317,Orçamento!Z:Z)),2)</f>
        <v>1536.59</v>
      </c>
      <c r="C317" s="246" t="str">
        <f t="shared" ca="1" si="4"/>
        <v>1536,59 - TELA ACO CARBONO CA60 M.100X100MM F.05,0MM 245X600CM Q196 (45,72KG/UN)</v>
      </c>
      <c r="E317" t="str">
        <f ca="1"/>
        <v>1200 - FORNECIMENTO DE MATERIAL PARA INSTALACAO DE EXAUSTAO DE CHURRASQUEIRAS</v>
      </c>
    </row>
    <row r="318" spans="1:5" x14ac:dyDescent="0.2">
      <c r="A318" s="245" t="str">
        <v>TELA ACO CARBONO CA60 M.100X100MM F.05,6MM 245X600CM Q246 (57,5KG/UN)</v>
      </c>
      <c r="B318" s="246">
        <f ca="1">ROUNDUP(IF(A318="","",SUMIF(Orçamento!P:P,'ABC Insumos Apoio'!A318,Orçamento!Z:Z)),2)</f>
        <v>186.64</v>
      </c>
      <c r="C318" s="246" t="str">
        <f t="shared" ca="1" si="4"/>
        <v>186,64 - TELA ACO CARBONO CA60 M.100X100MM F.05,6MM 245X600CM Q246 (57,5KG/UN)</v>
      </c>
      <c r="E318" t="str">
        <f ca="1"/>
        <v>11974,76 - FIAÇÃO - PAVIMENTO TECNICO</v>
      </c>
    </row>
    <row r="319" spans="1:5" x14ac:dyDescent="0.2">
      <c r="A319" s="245" t="str">
        <v>TELA ACO CARBONO CA60 M.150X150MM F.03,4MM 245X600CM Q61 (14,26KG/UN)</v>
      </c>
      <c r="B319" s="246">
        <f ca="1">ROUNDUP(IF(A319="","",SUMIF(Orçamento!P:P,'ABC Insumos Apoio'!A319,Orçamento!Z:Z)),2)</f>
        <v>12212.2</v>
      </c>
      <c r="C319" s="246" t="str">
        <f t="shared" ca="1" si="4"/>
        <v>12212,2 - TELA ACO CARBONO CA60 M.150X150MM F.03,4MM 245X600CM Q61 (14,26KG/UN)</v>
      </c>
      <c r="E319" t="str">
        <f ca="1"/>
        <v>11927,24 - ARGAMASSA COLANTE AC III</v>
      </c>
    </row>
    <row r="320" spans="1:5" x14ac:dyDescent="0.2">
      <c r="A320" s="245" t="str">
        <v>TELA AMARRAÇÃO MALHA 15 X 15MM - 7,5 X 50CM D= 1,24MM</v>
      </c>
      <c r="B320" s="246">
        <f ca="1">ROUNDUP(IF(A320="","",SUMIF(Orçamento!P:P,'ABC Insumos Apoio'!A320,Orçamento!Z:Z)),2)</f>
        <v>2696.1</v>
      </c>
      <c r="C320" s="246" t="str">
        <f t="shared" ca="1" si="4"/>
        <v>2696,1 - TELA AMARRAÇÃO MALHA 15 X 15MM - 7,5 X 50CM D= 1,24MM</v>
      </c>
      <c r="E320" t="str">
        <f ca="1"/>
        <v>1182,12 - DESMOLDANTE</v>
      </c>
    </row>
    <row r="321" spans="1:5" x14ac:dyDescent="0.2">
      <c r="A321" s="245" t="str">
        <v>TELA ARAME GALVANIZADO FIO 24 BWG MALHA 1/2"</v>
      </c>
      <c r="B321" s="246">
        <f ca="1">ROUNDUP(IF(A321="","",SUMIF(Orçamento!P:P,'ABC Insumos Apoio'!A321,Orçamento!Z:Z)),2)</f>
        <v>6537.29</v>
      </c>
      <c r="C321" s="246" t="str">
        <f t="shared" ca="1" si="4"/>
        <v>6537,29 - TELA ARAME GALVANIZADO FIO 24 BWG MALHA 1/2"</v>
      </c>
      <c r="E321" t="str">
        <f ca="1"/>
        <v>11685 - BACIA SANITARIA LOUCA P/CAIXA ACOPLADA</v>
      </c>
    </row>
    <row r="322" spans="1:5" x14ac:dyDescent="0.2">
      <c r="A322" s="245" t="str">
        <v>TELA FACHADEIRA MOSQUITEIRA</v>
      </c>
      <c r="B322" s="246">
        <f ca="1">ROUNDUP(IF(A322="","",SUMIF(Orçamento!P:P,'ABC Insumos Apoio'!A322,Orçamento!Z:Z)),2)</f>
        <v>4373.6900000000005</v>
      </c>
      <c r="C322" s="246" t="str">
        <f t="shared" ca="1" si="4"/>
        <v>4373,69 - TELA FACHADEIRA MOSQUITEIRA</v>
      </c>
      <c r="E322" t="str">
        <f ca="1"/>
        <v>11500 - MAO DE OBRA PARA COLOCACAO E REJUNTAMENTO DE PORCELANATO EXTERNO</v>
      </c>
    </row>
    <row r="323" spans="1:5" x14ac:dyDescent="0.2">
      <c r="A323" s="245" t="str">
        <v>TELHA FIBROCIMENTO NATURAL S/AMIANTO 08X1100X2130MM NBR 7581/15210</v>
      </c>
      <c r="B323" s="246">
        <f ca="1">ROUNDUP(IF(A323="","",SUMIF(Orçamento!P:P,'ABC Insumos Apoio'!A323,Orçamento!Z:Z)),2)</f>
        <v>2329.2400000000002</v>
      </c>
      <c r="C323" s="246" t="str">
        <f t="shared" ref="C323:C370" ca="1" si="5">IF(A323="","",CONCATENATE(B323, " - ",A323))</f>
        <v>2329,24 - TELHA FIBROCIMENTO NATURAL S/AMIANTO 08X1100X2130MM NBR 7581/15210</v>
      </c>
      <c r="E323" t="str">
        <f ca="1"/>
        <v>1147,76 - Arame recozido 12 BWG</v>
      </c>
    </row>
    <row r="324" spans="1:5" x14ac:dyDescent="0.2">
      <c r="A324" s="245" t="str">
        <v>TINTA ACRILICA PARA PISO</v>
      </c>
      <c r="B324" s="246">
        <f ca="1">ROUNDUP(IF(A324="","",SUMIF(Orçamento!P:P,'ABC Insumos Apoio'!A324,Orçamento!Z:Z)),2)</f>
        <v>80.660000000000011</v>
      </c>
      <c r="C324" s="246" t="str">
        <f t="shared" ca="1" si="5"/>
        <v>80,66 - TINTA ACRILICA PARA PISO</v>
      </c>
      <c r="E324" t="str">
        <f ca="1"/>
        <v>1132,1 - ESPACADOR PVC JUNTA PISO 3,0MM NBR 6118</v>
      </c>
    </row>
    <row r="325" spans="1:5" x14ac:dyDescent="0.2">
      <c r="A325" s="245" t="str">
        <v>TINTA ACRILICO PREMIUM FOSCO</v>
      </c>
      <c r="B325" s="246">
        <f ca="1">ROUNDUP(IF(A325="","",SUMIF(Orçamento!P:P,'ABC Insumos Apoio'!A325,Orçamento!Z:Z)),2)</f>
        <v>86974.03</v>
      </c>
      <c r="C325" s="246" t="str">
        <f t="shared" ca="1" si="5"/>
        <v>86974,03 - TINTA ACRILICO PREMIUM FOSCO</v>
      </c>
      <c r="E325" t="str">
        <f ca="1"/>
        <v>111075,74 - ARGAMASSA ESTABILIZADA PARA REBOCO</v>
      </c>
    </row>
    <row r="326" spans="1:5" x14ac:dyDescent="0.2">
      <c r="A326" s="245" t="str">
        <v>TINTA EPOXI PARA PISO</v>
      </c>
      <c r="B326" s="246">
        <f ca="1">ROUNDUP(IF(A326="","",SUMIF(Orçamento!P:P,'ABC Insumos Apoio'!A326,Orçamento!Z:Z)),2)</f>
        <v>2169.9500000000003</v>
      </c>
      <c r="C326" s="246" t="str">
        <f t="shared" ca="1" si="5"/>
        <v>2169,95 - TINTA EPOXI PARA PISO</v>
      </c>
      <c r="E326" t="str">
        <f ca="1"/>
        <v>10891,64 - ESC01 - Escada Marinheiro</v>
      </c>
    </row>
    <row r="327" spans="1:5" x14ac:dyDescent="0.2">
      <c r="A327" s="245" t="str">
        <v>Tirante Plast - EHX 0621</v>
      </c>
      <c r="B327" s="246">
        <f ca="1">ROUNDUP(IF(A327="","",SUMIF(Orçamento!P:P,'ABC Insumos Apoio'!A327,Orçamento!Z:Z)),2)</f>
        <v>591.36</v>
      </c>
      <c r="C327" s="246" t="str">
        <f t="shared" ca="1" si="5"/>
        <v>591,36 - Tirante Plast - EHX 0621</v>
      </c>
      <c r="E327" t="str">
        <f ca="1"/>
        <v>10800 - Montagem e desmontagem de Balancim</v>
      </c>
    </row>
    <row r="328" spans="1:5" x14ac:dyDescent="0.2">
      <c r="A328" s="245" t="str">
        <v>Torneira de Jardins</v>
      </c>
      <c r="B328" s="246">
        <f ca="1">ROUNDUP(IF(A328="","",SUMIF(Orçamento!P:P,'ABC Insumos Apoio'!A328,Orçamento!Z:Z)),2)</f>
        <v>75</v>
      </c>
      <c r="C328" s="246" t="str">
        <f t="shared" ca="1" si="5"/>
        <v>75 - Torneira de Jardins</v>
      </c>
      <c r="E328" t="str">
        <f ca="1"/>
        <v>10528,46 - SARRAFO DE MADEIRA 7,0 x 3 M</v>
      </c>
    </row>
    <row r="329" spans="1:5" x14ac:dyDescent="0.2">
      <c r="A329" s="245" t="str">
        <v>TORNEIRA LATAO CROMADO MESA P/LAVATORIO 1/2" NOVA PERTUTTI BICA BAIXA</v>
      </c>
      <c r="B329" s="246">
        <f ca="1">ROUNDUP(IF(A329="","",SUMIF(Orçamento!P:P,'ABC Insumos Apoio'!A329,Orçamento!Z:Z)),2)</f>
        <v>459.8</v>
      </c>
      <c r="C329" s="246" t="str">
        <f t="shared" ca="1" si="5"/>
        <v>459,8 - TORNEIRA LATAO CROMADO MESA P/LAVATORIO 1/2" NOVA PERTUTTI BICA BAIXA</v>
      </c>
      <c r="E329" t="str">
        <f ca="1"/>
        <v>10400 - M.O. INSTALAÇÃO DE PORTAS DE MADEIRA</v>
      </c>
    </row>
    <row r="330" spans="1:5" x14ac:dyDescent="0.2">
      <c r="A330" s="245" t="str">
        <v>TORNEIRA LATAO CROMADO PAREDE P/PIA 1/2" C33 BICA ALTA</v>
      </c>
      <c r="B330" s="246">
        <f ca="1">ROUNDUP(IF(A330="","",SUMIF(Orçamento!P:P,'ABC Insumos Apoio'!A330,Orçamento!Z:Z)),2)</f>
        <v>165</v>
      </c>
      <c r="C330" s="246" t="str">
        <f t="shared" ca="1" si="5"/>
        <v>165 - TORNEIRA LATAO CROMADO PAREDE P/PIA 1/2" C33 BICA ALTA</v>
      </c>
      <c r="E330" t="str">
        <f ca="1"/>
        <v>10353,14 - BLOCO CERAMICO VEDACAO 11,5 X 19 X 29 CM - FUROS NA HORIZONTAL</v>
      </c>
    </row>
    <row r="331" spans="1:5" x14ac:dyDescent="0.2">
      <c r="A331" s="245" t="str">
        <v>TORNEIRA LATAO CROMADO PAREDE P/TANQUE 1/2" C33 C/SAIDA P/MAQUINA</v>
      </c>
      <c r="B331" s="246">
        <f ca="1">ROUNDUP(IF(A331="","",SUMIF(Orçamento!P:P,'ABC Insumos Apoio'!A331,Orçamento!Z:Z)),2)</f>
        <v>79.8</v>
      </c>
      <c r="C331" s="246" t="str">
        <f t="shared" ca="1" si="5"/>
        <v>79,8 - TORNEIRA LATAO CROMADO PAREDE P/TANQUE 1/2" C33 C/SAIDA P/MAQUINA</v>
      </c>
      <c r="E331" t="str">
        <f ca="1"/>
        <v>1029,77 - Cabo de aço SAE 1020 1/2" - 6/25 Alma de aço</v>
      </c>
    </row>
    <row r="332" spans="1:5" x14ac:dyDescent="0.2">
      <c r="A332" s="245" t="str">
        <v>Trocador de calor integrado</v>
      </c>
      <c r="B332" s="246">
        <f ca="1">ROUNDUP(IF(A332="","",SUMIF(Orçamento!P:P,'ABC Insumos Apoio'!A332,Orçamento!Z:Z)),2)</f>
        <v>20392</v>
      </c>
      <c r="C332" s="246" t="str">
        <f t="shared" ca="1" si="5"/>
        <v>20392 - Trocador de calor integrado</v>
      </c>
      <c r="E332" t="str">
        <f ca="1"/>
        <v>1007,27 - CALHA ACO CARBONO GALVANIZADO CHAPA 24 DESENVOLVIMENTO 400MM</v>
      </c>
    </row>
    <row r="333" spans="1:5" x14ac:dyDescent="0.2">
      <c r="A333" s="245" t="str">
        <v>VALVULA COMUM P/PIA COZINHA ACO CARBONO CROMADO 1"</v>
      </c>
      <c r="B333" s="246">
        <f ca="1">ROUNDUP(IF(A333="","",SUMIF(Orçamento!P:P,'ABC Insumos Apoio'!A333,Orçamento!Z:Z)),2)</f>
        <v>54.25</v>
      </c>
      <c r="C333" s="246" t="str">
        <f t="shared" ca="1" si="5"/>
        <v>54,25 - VALVULA COMUM P/PIA COZINHA ACO CARBONO CROMADO 1"</v>
      </c>
      <c r="E333" t="str">
        <f ca="1"/>
        <v>10009,52 - ELETRODUTOS, CAIXAS E ELETROCALHAS - SUBSOLO</v>
      </c>
    </row>
    <row r="334" spans="1:5" x14ac:dyDescent="0.2">
      <c r="A334" s="245" t="str">
        <v>VALVULA P/LAVATORIO ACO CARBONO CROMADO 1"</v>
      </c>
      <c r="B334" s="246">
        <f ca="1">ROUNDUP(IF(A334="","",SUMIF(Orçamento!P:P,'ABC Insumos Apoio'!A334,Orçamento!Z:Z)),2)</f>
        <v>49</v>
      </c>
      <c r="C334" s="246" t="str">
        <f t="shared" ca="1" si="5"/>
        <v>49 - VALVULA P/LAVATORIO ACO CARBONO CROMADO 1"</v>
      </c>
      <c r="E334" t="str">
        <f ca="1"/>
        <v>1,82 - PO PEDRA A GRANEL (M3) - GRANULOMETRIA 1,2 A 4,75MM NBR 7211</v>
      </c>
    </row>
    <row r="335" spans="1:5" x14ac:dyDescent="0.2">
      <c r="A335" s="245" t="str">
        <v>VALVULA P/TANQUE ACO CARBONO CROMADO 1"</v>
      </c>
      <c r="B335" s="246">
        <f ca="1">ROUNDUP(IF(A335="","",SUMIF(Orçamento!P:P,'ABC Insumos Apoio'!A335,Orçamento!Z:Z)),2)</f>
        <v>57.02</v>
      </c>
      <c r="C335" s="246" t="str">
        <f t="shared" ca="1" si="5"/>
        <v>57,02 - VALVULA P/TANQUE ACO CARBONO CROMADO 1"</v>
      </c>
      <c r="E335" t="str">
        <f ca="1"/>
        <v>0,52 - FITA CREPE 25MMX50M</v>
      </c>
    </row>
    <row r="336" spans="1:5" x14ac:dyDescent="0.2">
      <c r="A336" s="245" t="str">
        <v>VERBA PARA TAPUME</v>
      </c>
      <c r="B336" s="246">
        <f ca="1">ROUNDUP(IF(A336="","",SUMIF(Orçamento!P:P,'ABC Insumos Apoio'!A336,Orçamento!Z:Z)),2)</f>
        <v>1615</v>
      </c>
      <c r="C336" s="246" t="str">
        <f t="shared" ca="1" si="5"/>
        <v>1615 - VERBA PARA TAPUME</v>
      </c>
      <c r="E336" t="str">
        <f ca="1"/>
        <v>0 - 0</v>
      </c>
    </row>
    <row r="337" spans="1:5" x14ac:dyDescent="0.2">
      <c r="A337" s="245">
        <v>0</v>
      </c>
      <c r="B337" s="246">
        <f>ROUNDUP(IF(A337="","",SUMIF(Orçamento!P:P,'ABC Insumos Apoio'!A337,Orçamento!Z:Z)),2)</f>
        <v>0</v>
      </c>
      <c r="C337" s="246" t="str">
        <f t="shared" si="5"/>
        <v>0 - 0</v>
      </c>
      <c r="E337" t="str">
        <f ca="1"/>
        <v/>
      </c>
    </row>
    <row r="338" spans="1:5" x14ac:dyDescent="0.2">
      <c r="A338" s="245"/>
      <c r="B338" s="246" t="e">
        <f>ROUNDUP(IF(A338="","",SUMIF(Orçamento!P:P,'ABC Insumos Apoio'!A338,Orçamento!Z:Z)),2)</f>
        <v>#VALUE!</v>
      </c>
      <c r="C338" s="246" t="str">
        <f t="shared" si="5"/>
        <v/>
      </c>
      <c r="E338">
        <f ca="1"/>
        <v>0</v>
      </c>
    </row>
    <row r="339" spans="1:5" x14ac:dyDescent="0.2">
      <c r="A339" s="245"/>
      <c r="B339" s="246" t="e">
        <f>ROUNDUP(IF(A339="","",SUMIF(Orçamento!P:P,'ABC Insumos Apoio'!A339,Orçamento!Z:Z)),2)</f>
        <v>#VALUE!</v>
      </c>
      <c r="C339" s="246" t="str">
        <f t="shared" si="5"/>
        <v/>
      </c>
    </row>
    <row r="340" spans="1:5" x14ac:dyDescent="0.2">
      <c r="A340" s="245"/>
      <c r="B340" s="246" t="e">
        <f>ROUNDUP(IF(A340="","",SUMIF(Orçamento!P:P,'ABC Insumos Apoio'!A340,Orçamento!Z:Z)),2)</f>
        <v>#VALUE!</v>
      </c>
      <c r="C340" s="246" t="str">
        <f t="shared" si="5"/>
        <v/>
      </c>
    </row>
    <row r="341" spans="1:5" x14ac:dyDescent="0.2">
      <c r="A341" s="245"/>
      <c r="B341" s="246" t="e">
        <f>ROUNDUP(IF(A341="","",SUMIF(Orçamento!P:P,'ABC Insumos Apoio'!A341,Orçamento!Z:Z)),2)</f>
        <v>#VALUE!</v>
      </c>
      <c r="C341" s="246" t="str">
        <f t="shared" si="5"/>
        <v/>
      </c>
    </row>
    <row r="342" spans="1:5" x14ac:dyDescent="0.2">
      <c r="A342" s="245"/>
      <c r="B342" s="246" t="e">
        <f>ROUNDUP(IF(A342="","",SUMIF(Orçamento!P:P,'ABC Insumos Apoio'!A342,Orçamento!Z:Z)),2)</f>
        <v>#VALUE!</v>
      </c>
      <c r="C342" s="246" t="str">
        <f t="shared" si="5"/>
        <v/>
      </c>
    </row>
    <row r="343" spans="1:5" x14ac:dyDescent="0.2">
      <c r="A343" s="245"/>
      <c r="B343" s="246" t="e">
        <f>ROUNDUP(IF(A343="","",SUMIF(Orçamento!P:P,'ABC Insumos Apoio'!A343,Orçamento!Z:Z)),2)</f>
        <v>#VALUE!</v>
      </c>
      <c r="C343" s="246" t="str">
        <f t="shared" si="5"/>
        <v/>
      </c>
    </row>
    <row r="344" spans="1:5" x14ac:dyDescent="0.2">
      <c r="A344" s="245"/>
      <c r="B344" s="246" t="e">
        <f>ROUNDUP(IF(A344="","",SUMIF(Orçamento!P:P,'ABC Insumos Apoio'!A344,Orçamento!Z:Z)),2)</f>
        <v>#VALUE!</v>
      </c>
      <c r="C344" s="246" t="str">
        <f t="shared" si="5"/>
        <v/>
      </c>
    </row>
    <row r="345" spans="1:5" x14ac:dyDescent="0.2">
      <c r="A345" s="245"/>
      <c r="B345" s="246" t="e">
        <f>ROUNDUP(IF(A345="","",SUMIF(Orçamento!P:P,'ABC Insumos Apoio'!A345,Orçamento!Z:Z)),2)</f>
        <v>#VALUE!</v>
      </c>
      <c r="C345" s="246" t="str">
        <f t="shared" si="5"/>
        <v/>
      </c>
    </row>
    <row r="346" spans="1:5" x14ac:dyDescent="0.2">
      <c r="A346" s="245"/>
      <c r="B346" s="246" t="e">
        <f>ROUNDUP(IF(A346="","",SUMIF(Orçamento!P:P,'ABC Insumos Apoio'!A346,Orçamento!Z:Z)),2)</f>
        <v>#VALUE!</v>
      </c>
      <c r="C346" s="246" t="str">
        <f t="shared" si="5"/>
        <v/>
      </c>
    </row>
    <row r="347" spans="1:5" x14ac:dyDescent="0.2">
      <c r="A347" s="245"/>
      <c r="B347" s="246" t="e">
        <f>ROUNDUP(IF(A347="","",SUMIF(Orçamento!P:P,'ABC Insumos Apoio'!A347,Orçamento!Z:Z)),2)</f>
        <v>#VALUE!</v>
      </c>
      <c r="C347" s="246" t="str">
        <f t="shared" si="5"/>
        <v/>
      </c>
    </row>
    <row r="348" spans="1:5" x14ac:dyDescent="0.2">
      <c r="A348" s="245"/>
      <c r="B348" s="246" t="e">
        <f>ROUNDUP(IF(A348="","",SUMIF(Orçamento!P:P,'ABC Insumos Apoio'!A348,Orçamento!Z:Z)),2)</f>
        <v>#VALUE!</v>
      </c>
      <c r="C348" s="246" t="str">
        <f t="shared" si="5"/>
        <v/>
      </c>
    </row>
    <row r="349" spans="1:5" x14ac:dyDescent="0.2">
      <c r="A349" s="245"/>
      <c r="B349" s="246" t="e">
        <f>ROUNDUP(IF(A349="","",SUMIF(Orçamento!P:P,'ABC Insumos Apoio'!A349,Orçamento!Z:Z)),2)</f>
        <v>#VALUE!</v>
      </c>
      <c r="C349" s="246" t="str">
        <f t="shared" si="5"/>
        <v/>
      </c>
    </row>
    <row r="350" spans="1:5" x14ac:dyDescent="0.2">
      <c r="A350" s="245"/>
      <c r="B350" s="246" t="e">
        <f>ROUNDUP(IF(A350="","",SUMIF(Orçamento!P:P,'ABC Insumos Apoio'!A350,Orçamento!Z:Z)),2)</f>
        <v>#VALUE!</v>
      </c>
      <c r="C350" s="246" t="str">
        <f t="shared" si="5"/>
        <v/>
      </c>
    </row>
    <row r="351" spans="1:5" x14ac:dyDescent="0.2">
      <c r="A351" s="245"/>
      <c r="B351" s="246" t="e">
        <f>ROUNDUP(IF(A351="","",SUMIF(Orçamento!P:P,'ABC Insumos Apoio'!A351,Orçamento!Z:Z)),2)</f>
        <v>#VALUE!</v>
      </c>
      <c r="C351" s="246" t="str">
        <f t="shared" si="5"/>
        <v/>
      </c>
    </row>
    <row r="352" spans="1:5" x14ac:dyDescent="0.2">
      <c r="A352" s="245"/>
      <c r="B352" s="246" t="e">
        <f>ROUNDUP(IF(A352="","",SUMIF(Orçamento!P:P,'ABC Insumos Apoio'!A352,Orçamento!Z:Z)),2)</f>
        <v>#VALUE!</v>
      </c>
      <c r="C352" s="246" t="str">
        <f t="shared" si="5"/>
        <v/>
      </c>
    </row>
    <row r="353" spans="1:3" x14ac:dyDescent="0.2">
      <c r="A353" s="245"/>
      <c r="B353" s="246" t="e">
        <f>ROUNDUP(IF(A353="","",SUMIF(Orçamento!P:P,'ABC Insumos Apoio'!A353,Orçamento!Z:Z)),2)</f>
        <v>#VALUE!</v>
      </c>
      <c r="C353" s="246" t="str">
        <f t="shared" si="5"/>
        <v/>
      </c>
    </row>
    <row r="354" spans="1:3" x14ac:dyDescent="0.2">
      <c r="A354" s="245"/>
      <c r="B354" s="246" t="e">
        <f>ROUNDUP(IF(A354="","",SUMIF(Orçamento!P:P,'ABC Insumos Apoio'!A354,Orçamento!Z:Z)),2)</f>
        <v>#VALUE!</v>
      </c>
      <c r="C354" s="246" t="str">
        <f t="shared" si="5"/>
        <v/>
      </c>
    </row>
    <row r="355" spans="1:3" x14ac:dyDescent="0.2">
      <c r="A355" s="245"/>
      <c r="B355" s="246" t="e">
        <f>ROUNDUP(IF(A355="","",SUMIF(Orçamento!P:P,'ABC Insumos Apoio'!A355,Orçamento!Z:Z)),2)</f>
        <v>#VALUE!</v>
      </c>
      <c r="C355" s="246" t="str">
        <f t="shared" si="5"/>
        <v/>
      </c>
    </row>
    <row r="356" spans="1:3" x14ac:dyDescent="0.2">
      <c r="A356" s="245"/>
      <c r="B356" s="246" t="e">
        <f>ROUNDUP(IF(A356="","",SUMIF(Orçamento!P:P,'ABC Insumos Apoio'!A356,Orçamento!Z:Z)),2)</f>
        <v>#VALUE!</v>
      </c>
      <c r="C356" s="246" t="str">
        <f t="shared" si="5"/>
        <v/>
      </c>
    </row>
    <row r="357" spans="1:3" x14ac:dyDescent="0.2">
      <c r="A357" s="245"/>
      <c r="B357" s="246" t="e">
        <f>ROUNDUP(IF(A357="","",SUMIF(Orçamento!P:P,'ABC Insumos Apoio'!A357,Orçamento!Z:Z)),2)</f>
        <v>#VALUE!</v>
      </c>
      <c r="C357" s="246" t="str">
        <f t="shared" si="5"/>
        <v/>
      </c>
    </row>
    <row r="358" spans="1:3" x14ac:dyDescent="0.2">
      <c r="A358" s="245"/>
      <c r="B358" s="246" t="e">
        <f>ROUNDUP(IF(A358="","",SUMIF(Orçamento!P:P,'ABC Insumos Apoio'!A358,Orçamento!Z:Z)),2)</f>
        <v>#VALUE!</v>
      </c>
      <c r="C358" s="246" t="str">
        <f t="shared" si="5"/>
        <v/>
      </c>
    </row>
    <row r="359" spans="1:3" x14ac:dyDescent="0.2">
      <c r="A359" s="245"/>
      <c r="B359" s="246" t="e">
        <f>ROUNDUP(IF(A359="","",SUMIF(Orçamento!P:P,'ABC Insumos Apoio'!A359,Orçamento!Z:Z)),2)</f>
        <v>#VALUE!</v>
      </c>
      <c r="C359" s="246" t="str">
        <f t="shared" si="5"/>
        <v/>
      </c>
    </row>
    <row r="360" spans="1:3" x14ac:dyDescent="0.2">
      <c r="A360" s="245"/>
      <c r="B360" s="246" t="e">
        <f>ROUNDUP(IF(A360="","",SUMIF(Orçamento!P:P,'ABC Insumos Apoio'!A360,Orçamento!Z:Z)),2)</f>
        <v>#VALUE!</v>
      </c>
      <c r="C360" s="246" t="str">
        <f t="shared" si="5"/>
        <v/>
      </c>
    </row>
    <row r="361" spans="1:3" x14ac:dyDescent="0.2">
      <c r="A361" s="245"/>
      <c r="B361" s="246" t="e">
        <f>ROUNDUP(IF(A361="","",SUMIF(Orçamento!P:P,'ABC Insumos Apoio'!A361,Orçamento!Z:Z)),2)</f>
        <v>#VALUE!</v>
      </c>
      <c r="C361" s="246" t="str">
        <f t="shared" si="5"/>
        <v/>
      </c>
    </row>
    <row r="362" spans="1:3" x14ac:dyDescent="0.2">
      <c r="A362" s="245"/>
      <c r="B362" s="246" t="e">
        <f>ROUNDUP(IF(A362="","",SUMIF(Orçamento!P:P,'ABC Insumos Apoio'!A362,Orçamento!Z:Z)),2)</f>
        <v>#VALUE!</v>
      </c>
      <c r="C362" s="246" t="str">
        <f t="shared" si="5"/>
        <v/>
      </c>
    </row>
    <row r="363" spans="1:3" x14ac:dyDescent="0.2">
      <c r="A363" s="245"/>
      <c r="B363" s="246" t="e">
        <f>ROUNDUP(IF(A363="","",SUMIF(Orçamento!P:P,'ABC Insumos Apoio'!A363,Orçamento!Z:Z)),2)</f>
        <v>#VALUE!</v>
      </c>
      <c r="C363" s="246" t="str">
        <f t="shared" si="5"/>
        <v/>
      </c>
    </row>
    <row r="364" spans="1:3" x14ac:dyDescent="0.2">
      <c r="A364" s="245"/>
      <c r="B364" s="246" t="e">
        <f>ROUNDUP(IF(A364="","",SUMIF(Orçamento!P:P,'ABC Insumos Apoio'!A364,Orçamento!Z:Z)),2)</f>
        <v>#VALUE!</v>
      </c>
      <c r="C364" s="246" t="str">
        <f t="shared" si="5"/>
        <v/>
      </c>
    </row>
    <row r="365" spans="1:3" x14ac:dyDescent="0.2">
      <c r="A365" s="245"/>
      <c r="B365" s="246" t="e">
        <f>ROUNDUP(IF(A365="","",SUMIF(Orçamento!P:P,'ABC Insumos Apoio'!A365,Orçamento!Z:Z)),2)</f>
        <v>#VALUE!</v>
      </c>
      <c r="C365" s="246" t="str">
        <f t="shared" si="5"/>
        <v/>
      </c>
    </row>
    <row r="366" spans="1:3" x14ac:dyDescent="0.2">
      <c r="A366" s="245"/>
      <c r="B366" s="246" t="e">
        <f>ROUNDUP(IF(A366="","",SUMIF(Orçamento!P:P,'ABC Insumos Apoio'!A366,Orçamento!Z:Z)),2)</f>
        <v>#VALUE!</v>
      </c>
      <c r="C366" s="246" t="str">
        <f t="shared" si="5"/>
        <v/>
      </c>
    </row>
    <row r="367" spans="1:3" x14ac:dyDescent="0.2">
      <c r="A367" s="245"/>
      <c r="B367" s="246" t="e">
        <f>ROUNDUP(IF(A367="","",SUMIF(Orçamento!P:P,'ABC Insumos Apoio'!A367,Orçamento!Z:Z)),2)</f>
        <v>#VALUE!</v>
      </c>
      <c r="C367" s="246" t="str">
        <f t="shared" si="5"/>
        <v/>
      </c>
    </row>
    <row r="368" spans="1:3" x14ac:dyDescent="0.2">
      <c r="A368" s="245"/>
      <c r="B368" s="246" t="e">
        <f>ROUNDUP(IF(A368="","",SUMIF(Orçamento!P:P,'ABC Insumos Apoio'!A368,Orçamento!Z:Z)),2)</f>
        <v>#VALUE!</v>
      </c>
      <c r="C368" s="246" t="str">
        <f t="shared" si="5"/>
        <v/>
      </c>
    </row>
    <row r="369" spans="1:3" x14ac:dyDescent="0.2">
      <c r="A369" s="245"/>
      <c r="B369" s="246" t="e">
        <f>ROUNDUP(IF(A369="","",SUMIF(Orçamento!P:P,'ABC Insumos Apoio'!A369,Orçamento!Z:Z)),2)</f>
        <v>#VALUE!</v>
      </c>
      <c r="C369" s="246" t="str">
        <f t="shared" si="5"/>
        <v/>
      </c>
    </row>
    <row r="370" spans="1:3" x14ac:dyDescent="0.2">
      <c r="A370" s="245"/>
      <c r="B370" s="246" t="e">
        <f>ROUNDUP(IF(A370="","",SUMIF(Orçamento!P:P,'ABC Insumos Apoio'!A370,Orçamento!Z:Z)),2)</f>
        <v>#VALUE!</v>
      </c>
      <c r="C370" s="246" t="str">
        <f t="shared" si="5"/>
        <v/>
      </c>
    </row>
    <row r="371" spans="1:3" x14ac:dyDescent="0.2">
      <c r="A371" s="245"/>
      <c r="B371" s="246" t="e">
        <f>ROUNDUP(IF(A371="","",SUMIF(Orçamento!P:P,'ABC Insumos Apoio'!A371,Orçamento!Z:Z)),2)</f>
        <v>#VALUE!</v>
      </c>
      <c r="C371" s="246" t="str">
        <f>IF(A371="","",CONCATENATE(B371, " - ",A371))</f>
        <v/>
      </c>
    </row>
    <row r="372" spans="1:3" x14ac:dyDescent="0.2">
      <c r="A372" s="245"/>
      <c r="B372" s="246" t="e">
        <f>ROUNDUP(IF(A372="","",SUMIF(Orçamento!P:P,'ABC Insumos Apoio'!A372,Orçamento!Z:Z)),2)</f>
        <v>#VALUE!</v>
      </c>
      <c r="C372" s="246" t="str">
        <f>IF(A372="","",CONCATENATE(B372, " - ",A372))</f>
        <v/>
      </c>
    </row>
    <row r="373" spans="1:3" x14ac:dyDescent="0.2">
      <c r="A373" s="245"/>
      <c r="B373" s="246" t="e">
        <f>ROUNDUP(IF(A373="","",SUMIF(Orçamento!P:P,'ABC Insumos Apoio'!A373,Orçamento!Z:Z)),2)</f>
        <v>#VALUE!</v>
      </c>
      <c r="C373" s="246" t="str">
        <f>IF(A373="","",CONCATENATE(B373, " - ",A373))</f>
        <v/>
      </c>
    </row>
    <row r="374" spans="1:3" x14ac:dyDescent="0.2">
      <c r="A374" s="245"/>
      <c r="B374" s="246" t="e">
        <f>ROUNDUP(IF(A374="","",SUMIF(Orçamento!P:P,'ABC Insumos Apoio'!A374,Orçamento!Z:Z)),2)</f>
        <v>#VALUE!</v>
      </c>
      <c r="C374" s="246" t="str">
        <f t="shared" ref="C374:C390" si="6">IF(A374="","",CONCATENATE(B374, " - ",A374))</f>
        <v/>
      </c>
    </row>
    <row r="375" spans="1:3" x14ac:dyDescent="0.2">
      <c r="A375" s="245"/>
      <c r="B375" s="246" t="e">
        <f>ROUNDUP(IF(A375="","",SUMIF(Orçamento!P:P,'ABC Insumos Apoio'!A375,Orçamento!Z:Z)),2)</f>
        <v>#VALUE!</v>
      </c>
      <c r="C375" s="246" t="str">
        <f t="shared" si="6"/>
        <v/>
      </c>
    </row>
    <row r="376" spans="1:3" x14ac:dyDescent="0.2">
      <c r="A376" s="245"/>
      <c r="B376" s="246" t="e">
        <f>ROUNDUP(IF(A376="","",SUMIF(Orçamento!P:P,'ABC Insumos Apoio'!A376,Orçamento!Z:Z)),2)</f>
        <v>#VALUE!</v>
      </c>
      <c r="C376" s="246" t="str">
        <f t="shared" si="6"/>
        <v/>
      </c>
    </row>
    <row r="377" spans="1:3" x14ac:dyDescent="0.2">
      <c r="A377" s="245"/>
      <c r="B377" s="246" t="e">
        <f>ROUNDUP(IF(A377="","",SUMIF(Orçamento!P:P,'ABC Insumos Apoio'!A377,Orçamento!Z:Z)),2)</f>
        <v>#VALUE!</v>
      </c>
      <c r="C377" s="246" t="str">
        <f t="shared" si="6"/>
        <v/>
      </c>
    </row>
    <row r="378" spans="1:3" x14ac:dyDescent="0.2">
      <c r="A378" s="245"/>
      <c r="B378" s="246" t="e">
        <f>ROUNDUP(IF(A378="","",SUMIF(Orçamento!P:P,'ABC Insumos Apoio'!A378,Orçamento!Z:Z)),2)</f>
        <v>#VALUE!</v>
      </c>
      <c r="C378" s="246" t="str">
        <f t="shared" si="6"/>
        <v/>
      </c>
    </row>
    <row r="379" spans="1:3" x14ac:dyDescent="0.2">
      <c r="A379" s="245"/>
      <c r="B379" s="246" t="e">
        <f>ROUNDUP(IF(A379="","",SUMIF(Orçamento!P:P,'ABC Insumos Apoio'!A379,Orçamento!Z:Z)),2)</f>
        <v>#VALUE!</v>
      </c>
      <c r="C379" s="246" t="str">
        <f t="shared" si="6"/>
        <v/>
      </c>
    </row>
    <row r="380" spans="1:3" x14ac:dyDescent="0.2">
      <c r="A380" s="245"/>
      <c r="B380" s="246" t="e">
        <f>ROUNDUP(IF(A380="","",SUMIF(Orçamento!P:P,'ABC Insumos Apoio'!A380,Orçamento!Z:Z)),2)</f>
        <v>#VALUE!</v>
      </c>
      <c r="C380" s="246" t="str">
        <f t="shared" si="6"/>
        <v/>
      </c>
    </row>
    <row r="381" spans="1:3" x14ac:dyDescent="0.2">
      <c r="A381" s="245"/>
      <c r="B381" s="246" t="e">
        <f>ROUNDUP(IF(A381="","",SUMIF(Orçamento!P:P,'ABC Insumos Apoio'!A381,Orçamento!Z:Z)),2)</f>
        <v>#VALUE!</v>
      </c>
      <c r="C381" s="246" t="str">
        <f t="shared" si="6"/>
        <v/>
      </c>
    </row>
    <row r="382" spans="1:3" x14ac:dyDescent="0.2">
      <c r="A382" s="245"/>
      <c r="B382" s="246" t="e">
        <f>ROUNDUP(IF(A382="","",SUMIF(Orçamento!P:P,'ABC Insumos Apoio'!A382,Orçamento!Z:Z)),2)</f>
        <v>#VALUE!</v>
      </c>
      <c r="C382" s="246" t="str">
        <f t="shared" si="6"/>
        <v/>
      </c>
    </row>
    <row r="383" spans="1:3" x14ac:dyDescent="0.2">
      <c r="A383" s="245"/>
      <c r="B383" s="246" t="e">
        <f>ROUNDUP(IF(A383="","",SUMIF(Orçamento!P:P,'ABC Insumos Apoio'!A383,Orçamento!Z:Z)),2)</f>
        <v>#VALUE!</v>
      </c>
      <c r="C383" s="246" t="str">
        <f t="shared" si="6"/>
        <v/>
      </c>
    </row>
    <row r="384" spans="1:3" x14ac:dyDescent="0.2">
      <c r="A384" s="245"/>
      <c r="B384" s="246" t="e">
        <f>ROUNDUP(IF(A384="","",SUMIF(Orçamento!P:P,'ABC Insumos Apoio'!A384,Orçamento!Z:Z)),2)</f>
        <v>#VALUE!</v>
      </c>
      <c r="C384" s="246" t="str">
        <f t="shared" si="6"/>
        <v/>
      </c>
    </row>
    <row r="385" spans="1:3" x14ac:dyDescent="0.2">
      <c r="A385" s="245"/>
      <c r="B385" s="246" t="e">
        <f>ROUNDUP(IF(A385="","",SUMIF(Orçamento!P:P,'ABC Insumos Apoio'!A385,Orçamento!Z:Z)),2)</f>
        <v>#VALUE!</v>
      </c>
      <c r="C385" s="246" t="str">
        <f t="shared" si="6"/>
        <v/>
      </c>
    </row>
    <row r="386" spans="1:3" x14ac:dyDescent="0.2">
      <c r="A386" s="245"/>
      <c r="B386" s="246" t="e">
        <f>ROUNDUP(IF(A386="","",SUMIF(Orçamento!P:P,'ABC Insumos Apoio'!A386,Orçamento!Z:Z)),2)</f>
        <v>#VALUE!</v>
      </c>
      <c r="C386" s="246" t="str">
        <f t="shared" si="6"/>
        <v/>
      </c>
    </row>
    <row r="387" spans="1:3" x14ac:dyDescent="0.2">
      <c r="A387" s="245"/>
      <c r="B387" s="246" t="e">
        <f>ROUNDUP(IF(A387="","",SUMIF(Orçamento!P:P,'ABC Insumos Apoio'!A387,Orçamento!Z:Z)),2)</f>
        <v>#VALUE!</v>
      </c>
      <c r="C387" s="246" t="str">
        <f t="shared" si="6"/>
        <v/>
      </c>
    </row>
    <row r="388" spans="1:3" x14ac:dyDescent="0.2">
      <c r="A388" s="245"/>
      <c r="B388" s="246" t="e">
        <f>ROUNDUP(IF(A388="","",SUMIF(Orçamento!P:P,'ABC Insumos Apoio'!A388,Orçamento!Z:Z)),2)</f>
        <v>#VALUE!</v>
      </c>
      <c r="C388" s="246" t="str">
        <f t="shared" si="6"/>
        <v/>
      </c>
    </row>
    <row r="389" spans="1:3" x14ac:dyDescent="0.2">
      <c r="A389" s="245"/>
      <c r="B389" s="246" t="e">
        <f>ROUNDUP(IF(A389="","",SUMIF(Orçamento!P:P,'ABC Insumos Apoio'!A389,Orçamento!Z:Z)),2)</f>
        <v>#VALUE!</v>
      </c>
      <c r="C389" s="246" t="str">
        <f t="shared" si="6"/>
        <v/>
      </c>
    </row>
    <row r="390" spans="1:3" x14ac:dyDescent="0.2">
      <c r="A390" s="245"/>
      <c r="B390" s="246" t="e">
        <f>ROUNDUP(IF(A390="","",SUMIF(Orçamento!P:P,'ABC Insumos Apoio'!A390,Orçamento!Z:Z)),2)</f>
        <v>#VALUE!</v>
      </c>
      <c r="C390" s="246" t="str">
        <f t="shared" si="6"/>
        <v/>
      </c>
    </row>
  </sheetData>
  <autoFilter ref="A1:B370" xr:uid="{558069C8-5174-4BF2-B2DF-6D1CE244C4BF}"/>
  <conditionalFormatting sqref="A1:A1048576">
    <cfRule type="duplicateValues" dxfId="36" priority="1"/>
  </conditionalFormatting>
  <pageMargins left="0.78740157499999996" right="0.78740157499999996" top="0.984251969" bottom="0.984251969" header="0.4921259845" footer="0.492125984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A10-BD0E-4ABE-BC4F-6C84439B32CB}">
  <sheetPr codeName="Planilha8"/>
  <dimension ref="A1:E370"/>
  <sheetViews>
    <sheetView showGridLines="0" workbookViewId="0">
      <pane ySplit="1" topLeftCell="A68" activePane="bottomLeft" state="frozen"/>
      <selection activeCell="C3" sqref="C3:C294"/>
      <selection pane="bottomLeft" activeCell="C3" sqref="C3:C294"/>
    </sheetView>
  </sheetViews>
  <sheetFormatPr defaultRowHeight="12.75" x14ac:dyDescent="0.2"/>
  <cols>
    <col min="1" max="1" width="37.28515625" customWidth="1"/>
    <col min="2" max="2" width="17.7109375" customWidth="1"/>
    <col min="3" max="3" width="62.42578125" customWidth="1"/>
    <col min="5" max="5" width="12.28515625" bestFit="1" customWidth="1"/>
    <col min="241" max="241" width="9.28515625" customWidth="1"/>
    <col min="242" max="242" width="13.7109375" customWidth="1"/>
    <col min="243" max="243" width="27.5703125" customWidth="1"/>
    <col min="244" max="244" width="6.7109375" customWidth="1"/>
    <col min="245" max="245" width="14.140625" customWidth="1"/>
    <col min="246" max="246" width="14.7109375" customWidth="1"/>
    <col min="247" max="248" width="16.85546875" customWidth="1"/>
    <col min="249" max="249" width="9.140625" customWidth="1"/>
    <col min="250" max="250" width="15.28515625" customWidth="1"/>
    <col min="251" max="251" width="7.7109375" customWidth="1"/>
    <col min="252" max="252" width="14.140625" customWidth="1"/>
    <col min="253" max="253" width="28.140625" customWidth="1"/>
    <col min="254" max="254" width="12.140625" customWidth="1"/>
    <col min="255" max="255" width="14.28515625" customWidth="1"/>
    <col min="256" max="256" width="28.140625" customWidth="1"/>
    <col min="257" max="257" width="35.140625" customWidth="1"/>
    <col min="497" max="497" width="9.28515625" customWidth="1"/>
    <col min="498" max="498" width="13.7109375" customWidth="1"/>
    <col min="499" max="499" width="27.5703125" customWidth="1"/>
    <col min="500" max="500" width="6.7109375" customWidth="1"/>
    <col min="501" max="501" width="14.140625" customWidth="1"/>
    <col min="502" max="502" width="14.7109375" customWidth="1"/>
    <col min="503" max="504" width="16.85546875" customWidth="1"/>
    <col min="505" max="505" width="9.140625" customWidth="1"/>
    <col min="506" max="506" width="15.28515625" customWidth="1"/>
    <col min="507" max="507" width="7.7109375" customWidth="1"/>
    <col min="508" max="508" width="14.140625" customWidth="1"/>
    <col min="509" max="509" width="28.140625" customWidth="1"/>
    <col min="510" max="510" width="12.140625" customWidth="1"/>
    <col min="511" max="511" width="14.28515625" customWidth="1"/>
    <col min="512" max="512" width="28.140625" customWidth="1"/>
    <col min="513" max="513" width="35.140625" customWidth="1"/>
    <col min="753" max="753" width="9.28515625" customWidth="1"/>
    <col min="754" max="754" width="13.7109375" customWidth="1"/>
    <col min="755" max="755" width="27.5703125" customWidth="1"/>
    <col min="756" max="756" width="6.7109375" customWidth="1"/>
    <col min="757" max="757" width="14.140625" customWidth="1"/>
    <col min="758" max="758" width="14.7109375" customWidth="1"/>
    <col min="759" max="760" width="16.85546875" customWidth="1"/>
    <col min="761" max="761" width="9.140625" customWidth="1"/>
    <col min="762" max="762" width="15.28515625" customWidth="1"/>
    <col min="763" max="763" width="7.7109375" customWidth="1"/>
    <col min="764" max="764" width="14.140625" customWidth="1"/>
    <col min="765" max="765" width="28.140625" customWidth="1"/>
    <col min="766" max="766" width="12.140625" customWidth="1"/>
    <col min="767" max="767" width="14.28515625" customWidth="1"/>
    <col min="768" max="768" width="28.140625" customWidth="1"/>
    <col min="769" max="769" width="35.140625" customWidth="1"/>
    <col min="1009" max="1009" width="9.28515625" customWidth="1"/>
    <col min="1010" max="1010" width="13.7109375" customWidth="1"/>
    <col min="1011" max="1011" width="27.5703125" customWidth="1"/>
    <col min="1012" max="1012" width="6.7109375" customWidth="1"/>
    <col min="1013" max="1013" width="14.140625" customWidth="1"/>
    <col min="1014" max="1014" width="14.7109375" customWidth="1"/>
    <col min="1015" max="1016" width="16.85546875" customWidth="1"/>
    <col min="1017" max="1017" width="9.140625" customWidth="1"/>
    <col min="1018" max="1018" width="15.28515625" customWidth="1"/>
    <col min="1019" max="1019" width="7.7109375" customWidth="1"/>
    <col min="1020" max="1020" width="14.140625" customWidth="1"/>
    <col min="1021" max="1021" width="28.140625" customWidth="1"/>
    <col min="1022" max="1022" width="12.140625" customWidth="1"/>
    <col min="1023" max="1023" width="14.28515625" customWidth="1"/>
    <col min="1024" max="1024" width="28.140625" customWidth="1"/>
    <col min="1025" max="1025" width="35.140625" customWidth="1"/>
    <col min="1265" max="1265" width="9.28515625" customWidth="1"/>
    <col min="1266" max="1266" width="13.7109375" customWidth="1"/>
    <col min="1267" max="1267" width="27.5703125" customWidth="1"/>
    <col min="1268" max="1268" width="6.7109375" customWidth="1"/>
    <col min="1269" max="1269" width="14.140625" customWidth="1"/>
    <col min="1270" max="1270" width="14.7109375" customWidth="1"/>
    <col min="1271" max="1272" width="16.85546875" customWidth="1"/>
    <col min="1273" max="1273" width="9.140625" customWidth="1"/>
    <col min="1274" max="1274" width="15.28515625" customWidth="1"/>
    <col min="1275" max="1275" width="7.7109375" customWidth="1"/>
    <col min="1276" max="1276" width="14.140625" customWidth="1"/>
    <col min="1277" max="1277" width="28.140625" customWidth="1"/>
    <col min="1278" max="1278" width="12.140625" customWidth="1"/>
    <col min="1279" max="1279" width="14.28515625" customWidth="1"/>
    <col min="1280" max="1280" width="28.140625" customWidth="1"/>
    <col min="1281" max="1281" width="35.140625" customWidth="1"/>
    <col min="1521" max="1521" width="9.28515625" customWidth="1"/>
    <col min="1522" max="1522" width="13.7109375" customWidth="1"/>
    <col min="1523" max="1523" width="27.5703125" customWidth="1"/>
    <col min="1524" max="1524" width="6.7109375" customWidth="1"/>
    <col min="1525" max="1525" width="14.140625" customWidth="1"/>
    <col min="1526" max="1526" width="14.7109375" customWidth="1"/>
    <col min="1527" max="1528" width="16.85546875" customWidth="1"/>
    <col min="1529" max="1529" width="9.140625" customWidth="1"/>
    <col min="1530" max="1530" width="15.28515625" customWidth="1"/>
    <col min="1531" max="1531" width="7.7109375" customWidth="1"/>
    <col min="1532" max="1532" width="14.140625" customWidth="1"/>
    <col min="1533" max="1533" width="28.140625" customWidth="1"/>
    <col min="1534" max="1534" width="12.140625" customWidth="1"/>
    <col min="1535" max="1535" width="14.28515625" customWidth="1"/>
    <col min="1536" max="1536" width="28.140625" customWidth="1"/>
    <col min="1537" max="1537" width="35.140625" customWidth="1"/>
    <col min="1777" max="1777" width="9.28515625" customWidth="1"/>
    <col min="1778" max="1778" width="13.7109375" customWidth="1"/>
    <col min="1779" max="1779" width="27.5703125" customWidth="1"/>
    <col min="1780" max="1780" width="6.7109375" customWidth="1"/>
    <col min="1781" max="1781" width="14.140625" customWidth="1"/>
    <col min="1782" max="1782" width="14.7109375" customWidth="1"/>
    <col min="1783" max="1784" width="16.85546875" customWidth="1"/>
    <col min="1785" max="1785" width="9.140625" customWidth="1"/>
    <col min="1786" max="1786" width="15.28515625" customWidth="1"/>
    <col min="1787" max="1787" width="7.7109375" customWidth="1"/>
    <col min="1788" max="1788" width="14.140625" customWidth="1"/>
    <col min="1789" max="1789" width="28.140625" customWidth="1"/>
    <col min="1790" max="1790" width="12.140625" customWidth="1"/>
    <col min="1791" max="1791" width="14.28515625" customWidth="1"/>
    <col min="1792" max="1792" width="28.140625" customWidth="1"/>
    <col min="1793" max="1793" width="35.140625" customWidth="1"/>
    <col min="2033" max="2033" width="9.28515625" customWidth="1"/>
    <col min="2034" max="2034" width="13.7109375" customWidth="1"/>
    <col min="2035" max="2035" width="27.5703125" customWidth="1"/>
    <col min="2036" max="2036" width="6.7109375" customWidth="1"/>
    <col min="2037" max="2037" width="14.140625" customWidth="1"/>
    <col min="2038" max="2038" width="14.7109375" customWidth="1"/>
    <col min="2039" max="2040" width="16.85546875" customWidth="1"/>
    <col min="2041" max="2041" width="9.140625" customWidth="1"/>
    <col min="2042" max="2042" width="15.28515625" customWidth="1"/>
    <col min="2043" max="2043" width="7.7109375" customWidth="1"/>
    <col min="2044" max="2044" width="14.140625" customWidth="1"/>
    <col min="2045" max="2045" width="28.140625" customWidth="1"/>
    <col min="2046" max="2046" width="12.140625" customWidth="1"/>
    <col min="2047" max="2047" width="14.28515625" customWidth="1"/>
    <col min="2048" max="2048" width="28.140625" customWidth="1"/>
    <col min="2049" max="2049" width="35.140625" customWidth="1"/>
    <col min="2289" max="2289" width="9.28515625" customWidth="1"/>
    <col min="2290" max="2290" width="13.7109375" customWidth="1"/>
    <col min="2291" max="2291" width="27.5703125" customWidth="1"/>
    <col min="2292" max="2292" width="6.7109375" customWidth="1"/>
    <col min="2293" max="2293" width="14.140625" customWidth="1"/>
    <col min="2294" max="2294" width="14.7109375" customWidth="1"/>
    <col min="2295" max="2296" width="16.85546875" customWidth="1"/>
    <col min="2297" max="2297" width="9.140625" customWidth="1"/>
    <col min="2298" max="2298" width="15.28515625" customWidth="1"/>
    <col min="2299" max="2299" width="7.7109375" customWidth="1"/>
    <col min="2300" max="2300" width="14.140625" customWidth="1"/>
    <col min="2301" max="2301" width="28.140625" customWidth="1"/>
    <col min="2302" max="2302" width="12.140625" customWidth="1"/>
    <col min="2303" max="2303" width="14.28515625" customWidth="1"/>
    <col min="2304" max="2304" width="28.140625" customWidth="1"/>
    <col min="2305" max="2305" width="35.140625" customWidth="1"/>
    <col min="2545" max="2545" width="9.28515625" customWidth="1"/>
    <col min="2546" max="2546" width="13.7109375" customWidth="1"/>
    <col min="2547" max="2547" width="27.5703125" customWidth="1"/>
    <col min="2548" max="2548" width="6.7109375" customWidth="1"/>
    <col min="2549" max="2549" width="14.140625" customWidth="1"/>
    <col min="2550" max="2550" width="14.7109375" customWidth="1"/>
    <col min="2551" max="2552" width="16.85546875" customWidth="1"/>
    <col min="2553" max="2553" width="9.140625" customWidth="1"/>
    <col min="2554" max="2554" width="15.28515625" customWidth="1"/>
    <col min="2555" max="2555" width="7.7109375" customWidth="1"/>
    <col min="2556" max="2556" width="14.140625" customWidth="1"/>
    <col min="2557" max="2557" width="28.140625" customWidth="1"/>
    <col min="2558" max="2558" width="12.140625" customWidth="1"/>
    <col min="2559" max="2559" width="14.28515625" customWidth="1"/>
    <col min="2560" max="2560" width="28.140625" customWidth="1"/>
    <col min="2561" max="2561" width="35.140625" customWidth="1"/>
    <col min="2801" max="2801" width="9.28515625" customWidth="1"/>
    <col min="2802" max="2802" width="13.7109375" customWidth="1"/>
    <col min="2803" max="2803" width="27.5703125" customWidth="1"/>
    <col min="2804" max="2804" width="6.7109375" customWidth="1"/>
    <col min="2805" max="2805" width="14.140625" customWidth="1"/>
    <col min="2806" max="2806" width="14.7109375" customWidth="1"/>
    <col min="2807" max="2808" width="16.85546875" customWidth="1"/>
    <col min="2809" max="2809" width="9.140625" customWidth="1"/>
    <col min="2810" max="2810" width="15.28515625" customWidth="1"/>
    <col min="2811" max="2811" width="7.7109375" customWidth="1"/>
    <col min="2812" max="2812" width="14.140625" customWidth="1"/>
    <col min="2813" max="2813" width="28.140625" customWidth="1"/>
    <col min="2814" max="2814" width="12.140625" customWidth="1"/>
    <col min="2815" max="2815" width="14.28515625" customWidth="1"/>
    <col min="2816" max="2816" width="28.140625" customWidth="1"/>
    <col min="2817" max="2817" width="35.140625" customWidth="1"/>
    <col min="3057" max="3057" width="9.28515625" customWidth="1"/>
    <col min="3058" max="3058" width="13.7109375" customWidth="1"/>
    <col min="3059" max="3059" width="27.5703125" customWidth="1"/>
    <col min="3060" max="3060" width="6.7109375" customWidth="1"/>
    <col min="3061" max="3061" width="14.140625" customWidth="1"/>
    <col min="3062" max="3062" width="14.7109375" customWidth="1"/>
    <col min="3063" max="3064" width="16.85546875" customWidth="1"/>
    <col min="3065" max="3065" width="9.140625" customWidth="1"/>
    <col min="3066" max="3066" width="15.28515625" customWidth="1"/>
    <col min="3067" max="3067" width="7.7109375" customWidth="1"/>
    <col min="3068" max="3068" width="14.140625" customWidth="1"/>
    <col min="3069" max="3069" width="28.140625" customWidth="1"/>
    <col min="3070" max="3070" width="12.140625" customWidth="1"/>
    <col min="3071" max="3071" width="14.28515625" customWidth="1"/>
    <col min="3072" max="3072" width="28.140625" customWidth="1"/>
    <col min="3073" max="3073" width="35.140625" customWidth="1"/>
    <col min="3313" max="3313" width="9.28515625" customWidth="1"/>
    <col min="3314" max="3314" width="13.7109375" customWidth="1"/>
    <col min="3315" max="3315" width="27.5703125" customWidth="1"/>
    <col min="3316" max="3316" width="6.7109375" customWidth="1"/>
    <col min="3317" max="3317" width="14.140625" customWidth="1"/>
    <col min="3318" max="3318" width="14.7109375" customWidth="1"/>
    <col min="3319" max="3320" width="16.85546875" customWidth="1"/>
    <col min="3321" max="3321" width="9.140625" customWidth="1"/>
    <col min="3322" max="3322" width="15.28515625" customWidth="1"/>
    <col min="3323" max="3323" width="7.7109375" customWidth="1"/>
    <col min="3324" max="3324" width="14.140625" customWidth="1"/>
    <col min="3325" max="3325" width="28.140625" customWidth="1"/>
    <col min="3326" max="3326" width="12.140625" customWidth="1"/>
    <col min="3327" max="3327" width="14.28515625" customWidth="1"/>
    <col min="3328" max="3328" width="28.140625" customWidth="1"/>
    <col min="3329" max="3329" width="35.140625" customWidth="1"/>
    <col min="3569" max="3569" width="9.28515625" customWidth="1"/>
    <col min="3570" max="3570" width="13.7109375" customWidth="1"/>
    <col min="3571" max="3571" width="27.5703125" customWidth="1"/>
    <col min="3572" max="3572" width="6.7109375" customWidth="1"/>
    <col min="3573" max="3573" width="14.140625" customWidth="1"/>
    <col min="3574" max="3574" width="14.7109375" customWidth="1"/>
    <col min="3575" max="3576" width="16.85546875" customWidth="1"/>
    <col min="3577" max="3577" width="9.140625" customWidth="1"/>
    <col min="3578" max="3578" width="15.28515625" customWidth="1"/>
    <col min="3579" max="3579" width="7.7109375" customWidth="1"/>
    <col min="3580" max="3580" width="14.140625" customWidth="1"/>
    <col min="3581" max="3581" width="28.140625" customWidth="1"/>
    <col min="3582" max="3582" width="12.140625" customWidth="1"/>
    <col min="3583" max="3583" width="14.28515625" customWidth="1"/>
    <col min="3584" max="3584" width="28.140625" customWidth="1"/>
    <col min="3585" max="3585" width="35.140625" customWidth="1"/>
    <col min="3825" max="3825" width="9.28515625" customWidth="1"/>
    <col min="3826" max="3826" width="13.7109375" customWidth="1"/>
    <col min="3827" max="3827" width="27.5703125" customWidth="1"/>
    <col min="3828" max="3828" width="6.7109375" customWidth="1"/>
    <col min="3829" max="3829" width="14.140625" customWidth="1"/>
    <col min="3830" max="3830" width="14.7109375" customWidth="1"/>
    <col min="3831" max="3832" width="16.85546875" customWidth="1"/>
    <col min="3833" max="3833" width="9.140625" customWidth="1"/>
    <col min="3834" max="3834" width="15.28515625" customWidth="1"/>
    <col min="3835" max="3835" width="7.7109375" customWidth="1"/>
    <col min="3836" max="3836" width="14.140625" customWidth="1"/>
    <col min="3837" max="3837" width="28.140625" customWidth="1"/>
    <col min="3838" max="3838" width="12.140625" customWidth="1"/>
    <col min="3839" max="3839" width="14.28515625" customWidth="1"/>
    <col min="3840" max="3840" width="28.140625" customWidth="1"/>
    <col min="3841" max="3841" width="35.140625" customWidth="1"/>
    <col min="4081" max="4081" width="9.28515625" customWidth="1"/>
    <col min="4082" max="4082" width="13.7109375" customWidth="1"/>
    <col min="4083" max="4083" width="27.5703125" customWidth="1"/>
    <col min="4084" max="4084" width="6.7109375" customWidth="1"/>
    <col min="4085" max="4085" width="14.140625" customWidth="1"/>
    <col min="4086" max="4086" width="14.7109375" customWidth="1"/>
    <col min="4087" max="4088" width="16.85546875" customWidth="1"/>
    <col min="4089" max="4089" width="9.140625" customWidth="1"/>
    <col min="4090" max="4090" width="15.28515625" customWidth="1"/>
    <col min="4091" max="4091" width="7.7109375" customWidth="1"/>
    <col min="4092" max="4092" width="14.140625" customWidth="1"/>
    <col min="4093" max="4093" width="28.140625" customWidth="1"/>
    <col min="4094" max="4094" width="12.140625" customWidth="1"/>
    <col min="4095" max="4095" width="14.28515625" customWidth="1"/>
    <col min="4096" max="4096" width="28.140625" customWidth="1"/>
    <col min="4097" max="4097" width="35.140625" customWidth="1"/>
    <col min="4337" max="4337" width="9.28515625" customWidth="1"/>
    <col min="4338" max="4338" width="13.7109375" customWidth="1"/>
    <col min="4339" max="4339" width="27.5703125" customWidth="1"/>
    <col min="4340" max="4340" width="6.7109375" customWidth="1"/>
    <col min="4341" max="4341" width="14.140625" customWidth="1"/>
    <col min="4342" max="4342" width="14.7109375" customWidth="1"/>
    <col min="4343" max="4344" width="16.85546875" customWidth="1"/>
    <col min="4345" max="4345" width="9.140625" customWidth="1"/>
    <col min="4346" max="4346" width="15.28515625" customWidth="1"/>
    <col min="4347" max="4347" width="7.7109375" customWidth="1"/>
    <col min="4348" max="4348" width="14.140625" customWidth="1"/>
    <col min="4349" max="4349" width="28.140625" customWidth="1"/>
    <col min="4350" max="4350" width="12.140625" customWidth="1"/>
    <col min="4351" max="4351" width="14.28515625" customWidth="1"/>
    <col min="4352" max="4352" width="28.140625" customWidth="1"/>
    <col min="4353" max="4353" width="35.140625" customWidth="1"/>
    <col min="4593" max="4593" width="9.28515625" customWidth="1"/>
    <col min="4594" max="4594" width="13.7109375" customWidth="1"/>
    <col min="4595" max="4595" width="27.5703125" customWidth="1"/>
    <col min="4596" max="4596" width="6.7109375" customWidth="1"/>
    <col min="4597" max="4597" width="14.140625" customWidth="1"/>
    <col min="4598" max="4598" width="14.7109375" customWidth="1"/>
    <col min="4599" max="4600" width="16.85546875" customWidth="1"/>
    <col min="4601" max="4601" width="9.140625" customWidth="1"/>
    <col min="4602" max="4602" width="15.28515625" customWidth="1"/>
    <col min="4603" max="4603" width="7.7109375" customWidth="1"/>
    <col min="4604" max="4604" width="14.140625" customWidth="1"/>
    <col min="4605" max="4605" width="28.140625" customWidth="1"/>
    <col min="4606" max="4606" width="12.140625" customWidth="1"/>
    <col min="4607" max="4607" width="14.28515625" customWidth="1"/>
    <col min="4608" max="4608" width="28.140625" customWidth="1"/>
    <col min="4609" max="4609" width="35.140625" customWidth="1"/>
    <col min="4849" max="4849" width="9.28515625" customWidth="1"/>
    <col min="4850" max="4850" width="13.7109375" customWidth="1"/>
    <col min="4851" max="4851" width="27.5703125" customWidth="1"/>
    <col min="4852" max="4852" width="6.7109375" customWidth="1"/>
    <col min="4853" max="4853" width="14.140625" customWidth="1"/>
    <col min="4854" max="4854" width="14.7109375" customWidth="1"/>
    <col min="4855" max="4856" width="16.85546875" customWidth="1"/>
    <col min="4857" max="4857" width="9.140625" customWidth="1"/>
    <col min="4858" max="4858" width="15.28515625" customWidth="1"/>
    <col min="4859" max="4859" width="7.7109375" customWidth="1"/>
    <col min="4860" max="4860" width="14.140625" customWidth="1"/>
    <col min="4861" max="4861" width="28.140625" customWidth="1"/>
    <col min="4862" max="4862" width="12.140625" customWidth="1"/>
    <col min="4863" max="4863" width="14.28515625" customWidth="1"/>
    <col min="4864" max="4864" width="28.140625" customWidth="1"/>
    <col min="4865" max="4865" width="35.140625" customWidth="1"/>
    <col min="5105" max="5105" width="9.28515625" customWidth="1"/>
    <col min="5106" max="5106" width="13.7109375" customWidth="1"/>
    <col min="5107" max="5107" width="27.5703125" customWidth="1"/>
    <col min="5108" max="5108" width="6.7109375" customWidth="1"/>
    <col min="5109" max="5109" width="14.140625" customWidth="1"/>
    <col min="5110" max="5110" width="14.7109375" customWidth="1"/>
    <col min="5111" max="5112" width="16.85546875" customWidth="1"/>
    <col min="5113" max="5113" width="9.140625" customWidth="1"/>
    <col min="5114" max="5114" width="15.28515625" customWidth="1"/>
    <col min="5115" max="5115" width="7.7109375" customWidth="1"/>
    <col min="5116" max="5116" width="14.140625" customWidth="1"/>
    <col min="5117" max="5117" width="28.140625" customWidth="1"/>
    <col min="5118" max="5118" width="12.140625" customWidth="1"/>
    <col min="5119" max="5119" width="14.28515625" customWidth="1"/>
    <col min="5120" max="5120" width="28.140625" customWidth="1"/>
    <col min="5121" max="5121" width="35.140625" customWidth="1"/>
    <col min="5361" max="5361" width="9.28515625" customWidth="1"/>
    <col min="5362" max="5362" width="13.7109375" customWidth="1"/>
    <col min="5363" max="5363" width="27.5703125" customWidth="1"/>
    <col min="5364" max="5364" width="6.7109375" customWidth="1"/>
    <col min="5365" max="5365" width="14.140625" customWidth="1"/>
    <col min="5366" max="5366" width="14.7109375" customWidth="1"/>
    <col min="5367" max="5368" width="16.85546875" customWidth="1"/>
    <col min="5369" max="5369" width="9.140625" customWidth="1"/>
    <col min="5370" max="5370" width="15.28515625" customWidth="1"/>
    <col min="5371" max="5371" width="7.7109375" customWidth="1"/>
    <col min="5372" max="5372" width="14.140625" customWidth="1"/>
    <col min="5373" max="5373" width="28.140625" customWidth="1"/>
    <col min="5374" max="5374" width="12.140625" customWidth="1"/>
    <col min="5375" max="5375" width="14.28515625" customWidth="1"/>
    <col min="5376" max="5376" width="28.140625" customWidth="1"/>
    <col min="5377" max="5377" width="35.140625" customWidth="1"/>
    <col min="5617" max="5617" width="9.28515625" customWidth="1"/>
    <col min="5618" max="5618" width="13.7109375" customWidth="1"/>
    <col min="5619" max="5619" width="27.5703125" customWidth="1"/>
    <col min="5620" max="5620" width="6.7109375" customWidth="1"/>
    <col min="5621" max="5621" width="14.140625" customWidth="1"/>
    <col min="5622" max="5622" width="14.7109375" customWidth="1"/>
    <col min="5623" max="5624" width="16.85546875" customWidth="1"/>
    <col min="5625" max="5625" width="9.140625" customWidth="1"/>
    <col min="5626" max="5626" width="15.28515625" customWidth="1"/>
    <col min="5627" max="5627" width="7.7109375" customWidth="1"/>
    <col min="5628" max="5628" width="14.140625" customWidth="1"/>
    <col min="5629" max="5629" width="28.140625" customWidth="1"/>
    <col min="5630" max="5630" width="12.140625" customWidth="1"/>
    <col min="5631" max="5631" width="14.28515625" customWidth="1"/>
    <col min="5632" max="5632" width="28.140625" customWidth="1"/>
    <col min="5633" max="5633" width="35.140625" customWidth="1"/>
    <col min="5873" max="5873" width="9.28515625" customWidth="1"/>
    <col min="5874" max="5874" width="13.7109375" customWidth="1"/>
    <col min="5875" max="5875" width="27.5703125" customWidth="1"/>
    <col min="5876" max="5876" width="6.7109375" customWidth="1"/>
    <col min="5877" max="5877" width="14.140625" customWidth="1"/>
    <col min="5878" max="5878" width="14.7109375" customWidth="1"/>
    <col min="5879" max="5880" width="16.85546875" customWidth="1"/>
    <col min="5881" max="5881" width="9.140625" customWidth="1"/>
    <col min="5882" max="5882" width="15.28515625" customWidth="1"/>
    <col min="5883" max="5883" width="7.7109375" customWidth="1"/>
    <col min="5884" max="5884" width="14.140625" customWidth="1"/>
    <col min="5885" max="5885" width="28.140625" customWidth="1"/>
    <col min="5886" max="5886" width="12.140625" customWidth="1"/>
    <col min="5887" max="5887" width="14.28515625" customWidth="1"/>
    <col min="5888" max="5888" width="28.140625" customWidth="1"/>
    <col min="5889" max="5889" width="35.140625" customWidth="1"/>
    <col min="6129" max="6129" width="9.28515625" customWidth="1"/>
    <col min="6130" max="6130" width="13.7109375" customWidth="1"/>
    <col min="6131" max="6131" width="27.5703125" customWidth="1"/>
    <col min="6132" max="6132" width="6.7109375" customWidth="1"/>
    <col min="6133" max="6133" width="14.140625" customWidth="1"/>
    <col min="6134" max="6134" width="14.7109375" customWidth="1"/>
    <col min="6135" max="6136" width="16.85546875" customWidth="1"/>
    <col min="6137" max="6137" width="9.140625" customWidth="1"/>
    <col min="6138" max="6138" width="15.28515625" customWidth="1"/>
    <col min="6139" max="6139" width="7.7109375" customWidth="1"/>
    <col min="6140" max="6140" width="14.140625" customWidth="1"/>
    <col min="6141" max="6141" width="28.140625" customWidth="1"/>
    <col min="6142" max="6142" width="12.140625" customWidth="1"/>
    <col min="6143" max="6143" width="14.28515625" customWidth="1"/>
    <col min="6144" max="6144" width="28.140625" customWidth="1"/>
    <col min="6145" max="6145" width="35.140625" customWidth="1"/>
    <col min="6385" max="6385" width="9.28515625" customWidth="1"/>
    <col min="6386" max="6386" width="13.7109375" customWidth="1"/>
    <col min="6387" max="6387" width="27.5703125" customWidth="1"/>
    <col min="6388" max="6388" width="6.7109375" customWidth="1"/>
    <col min="6389" max="6389" width="14.140625" customWidth="1"/>
    <col min="6390" max="6390" width="14.7109375" customWidth="1"/>
    <col min="6391" max="6392" width="16.85546875" customWidth="1"/>
    <col min="6393" max="6393" width="9.140625" customWidth="1"/>
    <col min="6394" max="6394" width="15.28515625" customWidth="1"/>
    <col min="6395" max="6395" width="7.7109375" customWidth="1"/>
    <col min="6396" max="6396" width="14.140625" customWidth="1"/>
    <col min="6397" max="6397" width="28.140625" customWidth="1"/>
    <col min="6398" max="6398" width="12.140625" customWidth="1"/>
    <col min="6399" max="6399" width="14.28515625" customWidth="1"/>
    <col min="6400" max="6400" width="28.140625" customWidth="1"/>
    <col min="6401" max="6401" width="35.140625" customWidth="1"/>
    <col min="6641" max="6641" width="9.28515625" customWidth="1"/>
    <col min="6642" max="6642" width="13.7109375" customWidth="1"/>
    <col min="6643" max="6643" width="27.5703125" customWidth="1"/>
    <col min="6644" max="6644" width="6.7109375" customWidth="1"/>
    <col min="6645" max="6645" width="14.140625" customWidth="1"/>
    <col min="6646" max="6646" width="14.7109375" customWidth="1"/>
    <col min="6647" max="6648" width="16.85546875" customWidth="1"/>
    <col min="6649" max="6649" width="9.140625" customWidth="1"/>
    <col min="6650" max="6650" width="15.28515625" customWidth="1"/>
    <col min="6651" max="6651" width="7.7109375" customWidth="1"/>
    <col min="6652" max="6652" width="14.140625" customWidth="1"/>
    <col min="6653" max="6653" width="28.140625" customWidth="1"/>
    <col min="6654" max="6654" width="12.140625" customWidth="1"/>
    <col min="6655" max="6655" width="14.28515625" customWidth="1"/>
    <col min="6656" max="6656" width="28.140625" customWidth="1"/>
    <col min="6657" max="6657" width="35.140625" customWidth="1"/>
    <col min="6897" max="6897" width="9.28515625" customWidth="1"/>
    <col min="6898" max="6898" width="13.7109375" customWidth="1"/>
    <col min="6899" max="6899" width="27.5703125" customWidth="1"/>
    <col min="6900" max="6900" width="6.7109375" customWidth="1"/>
    <col min="6901" max="6901" width="14.140625" customWidth="1"/>
    <col min="6902" max="6902" width="14.7109375" customWidth="1"/>
    <col min="6903" max="6904" width="16.85546875" customWidth="1"/>
    <col min="6905" max="6905" width="9.140625" customWidth="1"/>
    <col min="6906" max="6906" width="15.28515625" customWidth="1"/>
    <col min="6907" max="6907" width="7.7109375" customWidth="1"/>
    <col min="6908" max="6908" width="14.140625" customWidth="1"/>
    <col min="6909" max="6909" width="28.140625" customWidth="1"/>
    <col min="6910" max="6910" width="12.140625" customWidth="1"/>
    <col min="6911" max="6911" width="14.28515625" customWidth="1"/>
    <col min="6912" max="6912" width="28.140625" customWidth="1"/>
    <col min="6913" max="6913" width="35.140625" customWidth="1"/>
    <col min="7153" max="7153" width="9.28515625" customWidth="1"/>
    <col min="7154" max="7154" width="13.7109375" customWidth="1"/>
    <col min="7155" max="7155" width="27.5703125" customWidth="1"/>
    <col min="7156" max="7156" width="6.7109375" customWidth="1"/>
    <col min="7157" max="7157" width="14.140625" customWidth="1"/>
    <col min="7158" max="7158" width="14.7109375" customWidth="1"/>
    <col min="7159" max="7160" width="16.85546875" customWidth="1"/>
    <col min="7161" max="7161" width="9.140625" customWidth="1"/>
    <col min="7162" max="7162" width="15.28515625" customWidth="1"/>
    <col min="7163" max="7163" width="7.7109375" customWidth="1"/>
    <col min="7164" max="7164" width="14.140625" customWidth="1"/>
    <col min="7165" max="7165" width="28.140625" customWidth="1"/>
    <col min="7166" max="7166" width="12.140625" customWidth="1"/>
    <col min="7167" max="7167" width="14.28515625" customWidth="1"/>
    <col min="7168" max="7168" width="28.140625" customWidth="1"/>
    <col min="7169" max="7169" width="35.140625" customWidth="1"/>
    <col min="7409" max="7409" width="9.28515625" customWidth="1"/>
    <col min="7410" max="7410" width="13.7109375" customWidth="1"/>
    <col min="7411" max="7411" width="27.5703125" customWidth="1"/>
    <col min="7412" max="7412" width="6.7109375" customWidth="1"/>
    <col min="7413" max="7413" width="14.140625" customWidth="1"/>
    <col min="7414" max="7414" width="14.7109375" customWidth="1"/>
    <col min="7415" max="7416" width="16.85546875" customWidth="1"/>
    <col min="7417" max="7417" width="9.140625" customWidth="1"/>
    <col min="7418" max="7418" width="15.28515625" customWidth="1"/>
    <col min="7419" max="7419" width="7.7109375" customWidth="1"/>
    <col min="7420" max="7420" width="14.140625" customWidth="1"/>
    <col min="7421" max="7421" width="28.140625" customWidth="1"/>
    <col min="7422" max="7422" width="12.140625" customWidth="1"/>
    <col min="7423" max="7423" width="14.28515625" customWidth="1"/>
    <col min="7424" max="7424" width="28.140625" customWidth="1"/>
    <col min="7425" max="7425" width="35.140625" customWidth="1"/>
    <col min="7665" max="7665" width="9.28515625" customWidth="1"/>
    <col min="7666" max="7666" width="13.7109375" customWidth="1"/>
    <col min="7667" max="7667" width="27.5703125" customWidth="1"/>
    <col min="7668" max="7668" width="6.7109375" customWidth="1"/>
    <col min="7669" max="7669" width="14.140625" customWidth="1"/>
    <col min="7670" max="7670" width="14.7109375" customWidth="1"/>
    <col min="7671" max="7672" width="16.85546875" customWidth="1"/>
    <col min="7673" max="7673" width="9.140625" customWidth="1"/>
    <col min="7674" max="7674" width="15.28515625" customWidth="1"/>
    <col min="7675" max="7675" width="7.7109375" customWidth="1"/>
    <col min="7676" max="7676" width="14.140625" customWidth="1"/>
    <col min="7677" max="7677" width="28.140625" customWidth="1"/>
    <col min="7678" max="7678" width="12.140625" customWidth="1"/>
    <col min="7679" max="7679" width="14.28515625" customWidth="1"/>
    <col min="7680" max="7680" width="28.140625" customWidth="1"/>
    <col min="7681" max="7681" width="35.140625" customWidth="1"/>
    <col min="7921" max="7921" width="9.28515625" customWidth="1"/>
    <col min="7922" max="7922" width="13.7109375" customWidth="1"/>
    <col min="7923" max="7923" width="27.5703125" customWidth="1"/>
    <col min="7924" max="7924" width="6.7109375" customWidth="1"/>
    <col min="7925" max="7925" width="14.140625" customWidth="1"/>
    <col min="7926" max="7926" width="14.7109375" customWidth="1"/>
    <col min="7927" max="7928" width="16.85546875" customWidth="1"/>
    <col min="7929" max="7929" width="9.140625" customWidth="1"/>
    <col min="7930" max="7930" width="15.28515625" customWidth="1"/>
    <col min="7931" max="7931" width="7.7109375" customWidth="1"/>
    <col min="7932" max="7932" width="14.140625" customWidth="1"/>
    <col min="7933" max="7933" width="28.140625" customWidth="1"/>
    <col min="7934" max="7934" width="12.140625" customWidth="1"/>
    <col min="7935" max="7935" width="14.28515625" customWidth="1"/>
    <col min="7936" max="7936" width="28.140625" customWidth="1"/>
    <col min="7937" max="7937" width="35.140625" customWidth="1"/>
    <col min="8177" max="8177" width="9.28515625" customWidth="1"/>
    <col min="8178" max="8178" width="13.7109375" customWidth="1"/>
    <col min="8179" max="8179" width="27.5703125" customWidth="1"/>
    <col min="8180" max="8180" width="6.7109375" customWidth="1"/>
    <col min="8181" max="8181" width="14.140625" customWidth="1"/>
    <col min="8182" max="8182" width="14.7109375" customWidth="1"/>
    <col min="8183" max="8184" width="16.85546875" customWidth="1"/>
    <col min="8185" max="8185" width="9.140625" customWidth="1"/>
    <col min="8186" max="8186" width="15.28515625" customWidth="1"/>
    <col min="8187" max="8187" width="7.7109375" customWidth="1"/>
    <col min="8188" max="8188" width="14.140625" customWidth="1"/>
    <col min="8189" max="8189" width="28.140625" customWidth="1"/>
    <col min="8190" max="8190" width="12.140625" customWidth="1"/>
    <col min="8191" max="8191" width="14.28515625" customWidth="1"/>
    <col min="8192" max="8192" width="28.140625" customWidth="1"/>
    <col min="8193" max="8193" width="35.140625" customWidth="1"/>
    <col min="8433" max="8433" width="9.28515625" customWidth="1"/>
    <col min="8434" max="8434" width="13.7109375" customWidth="1"/>
    <col min="8435" max="8435" width="27.5703125" customWidth="1"/>
    <col min="8436" max="8436" width="6.7109375" customWidth="1"/>
    <col min="8437" max="8437" width="14.140625" customWidth="1"/>
    <col min="8438" max="8438" width="14.7109375" customWidth="1"/>
    <col min="8439" max="8440" width="16.85546875" customWidth="1"/>
    <col min="8441" max="8441" width="9.140625" customWidth="1"/>
    <col min="8442" max="8442" width="15.28515625" customWidth="1"/>
    <col min="8443" max="8443" width="7.7109375" customWidth="1"/>
    <col min="8444" max="8444" width="14.140625" customWidth="1"/>
    <col min="8445" max="8445" width="28.140625" customWidth="1"/>
    <col min="8446" max="8446" width="12.140625" customWidth="1"/>
    <col min="8447" max="8447" width="14.28515625" customWidth="1"/>
    <col min="8448" max="8448" width="28.140625" customWidth="1"/>
    <col min="8449" max="8449" width="35.140625" customWidth="1"/>
    <col min="8689" max="8689" width="9.28515625" customWidth="1"/>
    <col min="8690" max="8690" width="13.7109375" customWidth="1"/>
    <col min="8691" max="8691" width="27.5703125" customWidth="1"/>
    <col min="8692" max="8692" width="6.7109375" customWidth="1"/>
    <col min="8693" max="8693" width="14.140625" customWidth="1"/>
    <col min="8694" max="8694" width="14.7109375" customWidth="1"/>
    <col min="8695" max="8696" width="16.85546875" customWidth="1"/>
    <col min="8697" max="8697" width="9.140625" customWidth="1"/>
    <col min="8698" max="8698" width="15.28515625" customWidth="1"/>
    <col min="8699" max="8699" width="7.7109375" customWidth="1"/>
    <col min="8700" max="8700" width="14.140625" customWidth="1"/>
    <col min="8701" max="8701" width="28.140625" customWidth="1"/>
    <col min="8702" max="8702" width="12.140625" customWidth="1"/>
    <col min="8703" max="8703" width="14.28515625" customWidth="1"/>
    <col min="8704" max="8704" width="28.140625" customWidth="1"/>
    <col min="8705" max="8705" width="35.140625" customWidth="1"/>
    <col min="8945" max="8945" width="9.28515625" customWidth="1"/>
    <col min="8946" max="8946" width="13.7109375" customWidth="1"/>
    <col min="8947" max="8947" width="27.5703125" customWidth="1"/>
    <col min="8948" max="8948" width="6.7109375" customWidth="1"/>
    <col min="8949" max="8949" width="14.140625" customWidth="1"/>
    <col min="8950" max="8950" width="14.7109375" customWidth="1"/>
    <col min="8951" max="8952" width="16.85546875" customWidth="1"/>
    <col min="8953" max="8953" width="9.140625" customWidth="1"/>
    <col min="8954" max="8954" width="15.28515625" customWidth="1"/>
    <col min="8955" max="8955" width="7.7109375" customWidth="1"/>
    <col min="8956" max="8956" width="14.140625" customWidth="1"/>
    <col min="8957" max="8957" width="28.140625" customWidth="1"/>
    <col min="8958" max="8958" width="12.140625" customWidth="1"/>
    <col min="8959" max="8959" width="14.28515625" customWidth="1"/>
    <col min="8960" max="8960" width="28.140625" customWidth="1"/>
    <col min="8961" max="8961" width="35.140625" customWidth="1"/>
    <col min="9201" max="9201" width="9.28515625" customWidth="1"/>
    <col min="9202" max="9202" width="13.7109375" customWidth="1"/>
    <col min="9203" max="9203" width="27.5703125" customWidth="1"/>
    <col min="9204" max="9204" width="6.7109375" customWidth="1"/>
    <col min="9205" max="9205" width="14.140625" customWidth="1"/>
    <col min="9206" max="9206" width="14.7109375" customWidth="1"/>
    <col min="9207" max="9208" width="16.85546875" customWidth="1"/>
    <col min="9209" max="9209" width="9.140625" customWidth="1"/>
    <col min="9210" max="9210" width="15.28515625" customWidth="1"/>
    <col min="9211" max="9211" width="7.7109375" customWidth="1"/>
    <col min="9212" max="9212" width="14.140625" customWidth="1"/>
    <col min="9213" max="9213" width="28.140625" customWidth="1"/>
    <col min="9214" max="9214" width="12.140625" customWidth="1"/>
    <col min="9215" max="9215" width="14.28515625" customWidth="1"/>
    <col min="9216" max="9216" width="28.140625" customWidth="1"/>
    <col min="9217" max="9217" width="35.140625" customWidth="1"/>
    <col min="9457" max="9457" width="9.28515625" customWidth="1"/>
    <col min="9458" max="9458" width="13.7109375" customWidth="1"/>
    <col min="9459" max="9459" width="27.5703125" customWidth="1"/>
    <col min="9460" max="9460" width="6.7109375" customWidth="1"/>
    <col min="9461" max="9461" width="14.140625" customWidth="1"/>
    <col min="9462" max="9462" width="14.7109375" customWidth="1"/>
    <col min="9463" max="9464" width="16.85546875" customWidth="1"/>
    <col min="9465" max="9465" width="9.140625" customWidth="1"/>
    <col min="9466" max="9466" width="15.28515625" customWidth="1"/>
    <col min="9467" max="9467" width="7.7109375" customWidth="1"/>
    <col min="9468" max="9468" width="14.140625" customWidth="1"/>
    <col min="9469" max="9469" width="28.140625" customWidth="1"/>
    <col min="9470" max="9470" width="12.140625" customWidth="1"/>
    <col min="9471" max="9471" width="14.28515625" customWidth="1"/>
    <col min="9472" max="9472" width="28.140625" customWidth="1"/>
    <col min="9473" max="9473" width="35.140625" customWidth="1"/>
    <col min="9713" max="9713" width="9.28515625" customWidth="1"/>
    <col min="9714" max="9714" width="13.7109375" customWidth="1"/>
    <col min="9715" max="9715" width="27.5703125" customWidth="1"/>
    <col min="9716" max="9716" width="6.7109375" customWidth="1"/>
    <col min="9717" max="9717" width="14.140625" customWidth="1"/>
    <col min="9718" max="9718" width="14.7109375" customWidth="1"/>
    <col min="9719" max="9720" width="16.85546875" customWidth="1"/>
    <col min="9721" max="9721" width="9.140625" customWidth="1"/>
    <col min="9722" max="9722" width="15.28515625" customWidth="1"/>
    <col min="9723" max="9723" width="7.7109375" customWidth="1"/>
    <col min="9724" max="9724" width="14.140625" customWidth="1"/>
    <col min="9725" max="9725" width="28.140625" customWidth="1"/>
    <col min="9726" max="9726" width="12.140625" customWidth="1"/>
    <col min="9727" max="9727" width="14.28515625" customWidth="1"/>
    <col min="9728" max="9728" width="28.140625" customWidth="1"/>
    <col min="9729" max="9729" width="35.140625" customWidth="1"/>
    <col min="9969" max="9969" width="9.28515625" customWidth="1"/>
    <col min="9970" max="9970" width="13.7109375" customWidth="1"/>
    <col min="9971" max="9971" width="27.5703125" customWidth="1"/>
    <col min="9972" max="9972" width="6.7109375" customWidth="1"/>
    <col min="9973" max="9973" width="14.140625" customWidth="1"/>
    <col min="9974" max="9974" width="14.7109375" customWidth="1"/>
    <col min="9975" max="9976" width="16.85546875" customWidth="1"/>
    <col min="9977" max="9977" width="9.140625" customWidth="1"/>
    <col min="9978" max="9978" width="15.28515625" customWidth="1"/>
    <col min="9979" max="9979" width="7.7109375" customWidth="1"/>
    <col min="9980" max="9980" width="14.140625" customWidth="1"/>
    <col min="9981" max="9981" width="28.140625" customWidth="1"/>
    <col min="9982" max="9982" width="12.140625" customWidth="1"/>
    <col min="9983" max="9983" width="14.28515625" customWidth="1"/>
    <col min="9984" max="9984" width="28.140625" customWidth="1"/>
    <col min="9985" max="9985" width="35.140625" customWidth="1"/>
    <col min="10225" max="10225" width="9.28515625" customWidth="1"/>
    <col min="10226" max="10226" width="13.7109375" customWidth="1"/>
    <col min="10227" max="10227" width="27.5703125" customWidth="1"/>
    <col min="10228" max="10228" width="6.7109375" customWidth="1"/>
    <col min="10229" max="10229" width="14.140625" customWidth="1"/>
    <col min="10230" max="10230" width="14.7109375" customWidth="1"/>
    <col min="10231" max="10232" width="16.85546875" customWidth="1"/>
    <col min="10233" max="10233" width="9.140625" customWidth="1"/>
    <col min="10234" max="10234" width="15.28515625" customWidth="1"/>
    <col min="10235" max="10235" width="7.7109375" customWidth="1"/>
    <col min="10236" max="10236" width="14.140625" customWidth="1"/>
    <col min="10237" max="10237" width="28.140625" customWidth="1"/>
    <col min="10238" max="10238" width="12.140625" customWidth="1"/>
    <col min="10239" max="10239" width="14.28515625" customWidth="1"/>
    <col min="10240" max="10240" width="28.140625" customWidth="1"/>
    <col min="10241" max="10241" width="35.140625" customWidth="1"/>
    <col min="10481" max="10481" width="9.28515625" customWidth="1"/>
    <col min="10482" max="10482" width="13.7109375" customWidth="1"/>
    <col min="10483" max="10483" width="27.5703125" customWidth="1"/>
    <col min="10484" max="10484" width="6.7109375" customWidth="1"/>
    <col min="10485" max="10485" width="14.140625" customWidth="1"/>
    <col min="10486" max="10486" width="14.7109375" customWidth="1"/>
    <col min="10487" max="10488" width="16.85546875" customWidth="1"/>
    <col min="10489" max="10489" width="9.140625" customWidth="1"/>
    <col min="10490" max="10490" width="15.28515625" customWidth="1"/>
    <col min="10491" max="10491" width="7.7109375" customWidth="1"/>
    <col min="10492" max="10492" width="14.140625" customWidth="1"/>
    <col min="10493" max="10493" width="28.140625" customWidth="1"/>
    <col min="10494" max="10494" width="12.140625" customWidth="1"/>
    <col min="10495" max="10495" width="14.28515625" customWidth="1"/>
    <col min="10496" max="10496" width="28.140625" customWidth="1"/>
    <col min="10497" max="10497" width="35.140625" customWidth="1"/>
    <col min="10737" max="10737" width="9.28515625" customWidth="1"/>
    <col min="10738" max="10738" width="13.7109375" customWidth="1"/>
    <col min="10739" max="10739" width="27.5703125" customWidth="1"/>
    <col min="10740" max="10740" width="6.7109375" customWidth="1"/>
    <col min="10741" max="10741" width="14.140625" customWidth="1"/>
    <col min="10742" max="10742" width="14.7109375" customWidth="1"/>
    <col min="10743" max="10744" width="16.85546875" customWidth="1"/>
    <col min="10745" max="10745" width="9.140625" customWidth="1"/>
    <col min="10746" max="10746" width="15.28515625" customWidth="1"/>
    <col min="10747" max="10747" width="7.7109375" customWidth="1"/>
    <col min="10748" max="10748" width="14.140625" customWidth="1"/>
    <col min="10749" max="10749" width="28.140625" customWidth="1"/>
    <col min="10750" max="10750" width="12.140625" customWidth="1"/>
    <col min="10751" max="10751" width="14.28515625" customWidth="1"/>
    <col min="10752" max="10752" width="28.140625" customWidth="1"/>
    <col min="10753" max="10753" width="35.140625" customWidth="1"/>
    <col min="10993" max="10993" width="9.28515625" customWidth="1"/>
    <col min="10994" max="10994" width="13.7109375" customWidth="1"/>
    <col min="10995" max="10995" width="27.5703125" customWidth="1"/>
    <col min="10996" max="10996" width="6.7109375" customWidth="1"/>
    <col min="10997" max="10997" width="14.140625" customWidth="1"/>
    <col min="10998" max="10998" width="14.7109375" customWidth="1"/>
    <col min="10999" max="11000" width="16.85546875" customWidth="1"/>
    <col min="11001" max="11001" width="9.140625" customWidth="1"/>
    <col min="11002" max="11002" width="15.28515625" customWidth="1"/>
    <col min="11003" max="11003" width="7.7109375" customWidth="1"/>
    <col min="11004" max="11004" width="14.140625" customWidth="1"/>
    <col min="11005" max="11005" width="28.140625" customWidth="1"/>
    <col min="11006" max="11006" width="12.140625" customWidth="1"/>
    <col min="11007" max="11007" width="14.28515625" customWidth="1"/>
    <col min="11008" max="11008" width="28.140625" customWidth="1"/>
    <col min="11009" max="11009" width="35.140625" customWidth="1"/>
    <col min="11249" max="11249" width="9.28515625" customWidth="1"/>
    <col min="11250" max="11250" width="13.7109375" customWidth="1"/>
    <col min="11251" max="11251" width="27.5703125" customWidth="1"/>
    <col min="11252" max="11252" width="6.7109375" customWidth="1"/>
    <col min="11253" max="11253" width="14.140625" customWidth="1"/>
    <col min="11254" max="11254" width="14.7109375" customWidth="1"/>
    <col min="11255" max="11256" width="16.85546875" customWidth="1"/>
    <col min="11257" max="11257" width="9.140625" customWidth="1"/>
    <col min="11258" max="11258" width="15.28515625" customWidth="1"/>
    <col min="11259" max="11259" width="7.7109375" customWidth="1"/>
    <col min="11260" max="11260" width="14.140625" customWidth="1"/>
    <col min="11261" max="11261" width="28.140625" customWidth="1"/>
    <col min="11262" max="11262" width="12.140625" customWidth="1"/>
    <col min="11263" max="11263" width="14.28515625" customWidth="1"/>
    <col min="11264" max="11264" width="28.140625" customWidth="1"/>
    <col min="11265" max="11265" width="35.140625" customWidth="1"/>
    <col min="11505" max="11505" width="9.28515625" customWidth="1"/>
    <col min="11506" max="11506" width="13.7109375" customWidth="1"/>
    <col min="11507" max="11507" width="27.5703125" customWidth="1"/>
    <col min="11508" max="11508" width="6.7109375" customWidth="1"/>
    <col min="11509" max="11509" width="14.140625" customWidth="1"/>
    <col min="11510" max="11510" width="14.7109375" customWidth="1"/>
    <col min="11511" max="11512" width="16.85546875" customWidth="1"/>
    <col min="11513" max="11513" width="9.140625" customWidth="1"/>
    <col min="11514" max="11514" width="15.28515625" customWidth="1"/>
    <col min="11515" max="11515" width="7.7109375" customWidth="1"/>
    <col min="11516" max="11516" width="14.140625" customWidth="1"/>
    <col min="11517" max="11517" width="28.140625" customWidth="1"/>
    <col min="11518" max="11518" width="12.140625" customWidth="1"/>
    <col min="11519" max="11519" width="14.28515625" customWidth="1"/>
    <col min="11520" max="11520" width="28.140625" customWidth="1"/>
    <col min="11521" max="11521" width="35.140625" customWidth="1"/>
    <col min="11761" max="11761" width="9.28515625" customWidth="1"/>
    <col min="11762" max="11762" width="13.7109375" customWidth="1"/>
    <col min="11763" max="11763" width="27.5703125" customWidth="1"/>
    <col min="11764" max="11764" width="6.7109375" customWidth="1"/>
    <col min="11765" max="11765" width="14.140625" customWidth="1"/>
    <col min="11766" max="11766" width="14.7109375" customWidth="1"/>
    <col min="11767" max="11768" width="16.85546875" customWidth="1"/>
    <col min="11769" max="11769" width="9.140625" customWidth="1"/>
    <col min="11770" max="11770" width="15.28515625" customWidth="1"/>
    <col min="11771" max="11771" width="7.7109375" customWidth="1"/>
    <col min="11772" max="11772" width="14.140625" customWidth="1"/>
    <col min="11773" max="11773" width="28.140625" customWidth="1"/>
    <col min="11774" max="11774" width="12.140625" customWidth="1"/>
    <col min="11775" max="11775" width="14.28515625" customWidth="1"/>
    <col min="11776" max="11776" width="28.140625" customWidth="1"/>
    <col min="11777" max="11777" width="35.140625" customWidth="1"/>
    <col min="12017" max="12017" width="9.28515625" customWidth="1"/>
    <col min="12018" max="12018" width="13.7109375" customWidth="1"/>
    <col min="12019" max="12019" width="27.5703125" customWidth="1"/>
    <col min="12020" max="12020" width="6.7109375" customWidth="1"/>
    <col min="12021" max="12021" width="14.140625" customWidth="1"/>
    <col min="12022" max="12022" width="14.7109375" customWidth="1"/>
    <col min="12023" max="12024" width="16.85546875" customWidth="1"/>
    <col min="12025" max="12025" width="9.140625" customWidth="1"/>
    <col min="12026" max="12026" width="15.28515625" customWidth="1"/>
    <col min="12027" max="12027" width="7.7109375" customWidth="1"/>
    <col min="12028" max="12028" width="14.140625" customWidth="1"/>
    <col min="12029" max="12029" width="28.140625" customWidth="1"/>
    <col min="12030" max="12030" width="12.140625" customWidth="1"/>
    <col min="12031" max="12031" width="14.28515625" customWidth="1"/>
    <col min="12032" max="12032" width="28.140625" customWidth="1"/>
    <col min="12033" max="12033" width="35.140625" customWidth="1"/>
    <col min="12273" max="12273" width="9.28515625" customWidth="1"/>
    <col min="12274" max="12274" width="13.7109375" customWidth="1"/>
    <col min="12275" max="12275" width="27.5703125" customWidth="1"/>
    <col min="12276" max="12276" width="6.7109375" customWidth="1"/>
    <col min="12277" max="12277" width="14.140625" customWidth="1"/>
    <col min="12278" max="12278" width="14.7109375" customWidth="1"/>
    <col min="12279" max="12280" width="16.85546875" customWidth="1"/>
    <col min="12281" max="12281" width="9.140625" customWidth="1"/>
    <col min="12282" max="12282" width="15.28515625" customWidth="1"/>
    <col min="12283" max="12283" width="7.7109375" customWidth="1"/>
    <col min="12284" max="12284" width="14.140625" customWidth="1"/>
    <col min="12285" max="12285" width="28.140625" customWidth="1"/>
    <col min="12286" max="12286" width="12.140625" customWidth="1"/>
    <col min="12287" max="12287" width="14.28515625" customWidth="1"/>
    <col min="12288" max="12288" width="28.140625" customWidth="1"/>
    <col min="12289" max="12289" width="35.140625" customWidth="1"/>
    <col min="12529" max="12529" width="9.28515625" customWidth="1"/>
    <col min="12530" max="12530" width="13.7109375" customWidth="1"/>
    <col min="12531" max="12531" width="27.5703125" customWidth="1"/>
    <col min="12532" max="12532" width="6.7109375" customWidth="1"/>
    <col min="12533" max="12533" width="14.140625" customWidth="1"/>
    <col min="12534" max="12534" width="14.7109375" customWidth="1"/>
    <col min="12535" max="12536" width="16.85546875" customWidth="1"/>
    <col min="12537" max="12537" width="9.140625" customWidth="1"/>
    <col min="12538" max="12538" width="15.28515625" customWidth="1"/>
    <col min="12539" max="12539" width="7.7109375" customWidth="1"/>
    <col min="12540" max="12540" width="14.140625" customWidth="1"/>
    <col min="12541" max="12541" width="28.140625" customWidth="1"/>
    <col min="12542" max="12542" width="12.140625" customWidth="1"/>
    <col min="12543" max="12543" width="14.28515625" customWidth="1"/>
    <col min="12544" max="12544" width="28.140625" customWidth="1"/>
    <col min="12545" max="12545" width="35.140625" customWidth="1"/>
    <col min="12785" max="12785" width="9.28515625" customWidth="1"/>
    <col min="12786" max="12786" width="13.7109375" customWidth="1"/>
    <col min="12787" max="12787" width="27.5703125" customWidth="1"/>
    <col min="12788" max="12788" width="6.7109375" customWidth="1"/>
    <col min="12789" max="12789" width="14.140625" customWidth="1"/>
    <col min="12790" max="12790" width="14.7109375" customWidth="1"/>
    <col min="12791" max="12792" width="16.85546875" customWidth="1"/>
    <col min="12793" max="12793" width="9.140625" customWidth="1"/>
    <col min="12794" max="12794" width="15.28515625" customWidth="1"/>
    <col min="12795" max="12795" width="7.7109375" customWidth="1"/>
    <col min="12796" max="12796" width="14.140625" customWidth="1"/>
    <col min="12797" max="12797" width="28.140625" customWidth="1"/>
    <col min="12798" max="12798" width="12.140625" customWidth="1"/>
    <col min="12799" max="12799" width="14.28515625" customWidth="1"/>
    <col min="12800" max="12800" width="28.140625" customWidth="1"/>
    <col min="12801" max="12801" width="35.140625" customWidth="1"/>
    <col min="13041" max="13041" width="9.28515625" customWidth="1"/>
    <col min="13042" max="13042" width="13.7109375" customWidth="1"/>
    <col min="13043" max="13043" width="27.5703125" customWidth="1"/>
    <col min="13044" max="13044" width="6.7109375" customWidth="1"/>
    <col min="13045" max="13045" width="14.140625" customWidth="1"/>
    <col min="13046" max="13046" width="14.7109375" customWidth="1"/>
    <col min="13047" max="13048" width="16.85546875" customWidth="1"/>
    <col min="13049" max="13049" width="9.140625" customWidth="1"/>
    <col min="13050" max="13050" width="15.28515625" customWidth="1"/>
    <col min="13051" max="13051" width="7.7109375" customWidth="1"/>
    <col min="13052" max="13052" width="14.140625" customWidth="1"/>
    <col min="13053" max="13053" width="28.140625" customWidth="1"/>
    <col min="13054" max="13054" width="12.140625" customWidth="1"/>
    <col min="13055" max="13055" width="14.28515625" customWidth="1"/>
    <col min="13056" max="13056" width="28.140625" customWidth="1"/>
    <col min="13057" max="13057" width="35.140625" customWidth="1"/>
    <col min="13297" max="13297" width="9.28515625" customWidth="1"/>
    <col min="13298" max="13298" width="13.7109375" customWidth="1"/>
    <col min="13299" max="13299" width="27.5703125" customWidth="1"/>
    <col min="13300" max="13300" width="6.7109375" customWidth="1"/>
    <col min="13301" max="13301" width="14.140625" customWidth="1"/>
    <col min="13302" max="13302" width="14.7109375" customWidth="1"/>
    <col min="13303" max="13304" width="16.85546875" customWidth="1"/>
    <col min="13305" max="13305" width="9.140625" customWidth="1"/>
    <col min="13306" max="13306" width="15.28515625" customWidth="1"/>
    <col min="13307" max="13307" width="7.7109375" customWidth="1"/>
    <col min="13308" max="13308" width="14.140625" customWidth="1"/>
    <col min="13309" max="13309" width="28.140625" customWidth="1"/>
    <col min="13310" max="13310" width="12.140625" customWidth="1"/>
    <col min="13311" max="13311" width="14.28515625" customWidth="1"/>
    <col min="13312" max="13312" width="28.140625" customWidth="1"/>
    <col min="13313" max="13313" width="35.140625" customWidth="1"/>
    <col min="13553" max="13553" width="9.28515625" customWidth="1"/>
    <col min="13554" max="13554" width="13.7109375" customWidth="1"/>
    <col min="13555" max="13555" width="27.5703125" customWidth="1"/>
    <col min="13556" max="13556" width="6.7109375" customWidth="1"/>
    <col min="13557" max="13557" width="14.140625" customWidth="1"/>
    <col min="13558" max="13558" width="14.7109375" customWidth="1"/>
    <col min="13559" max="13560" width="16.85546875" customWidth="1"/>
    <col min="13561" max="13561" width="9.140625" customWidth="1"/>
    <col min="13562" max="13562" width="15.28515625" customWidth="1"/>
    <col min="13563" max="13563" width="7.7109375" customWidth="1"/>
    <col min="13564" max="13564" width="14.140625" customWidth="1"/>
    <col min="13565" max="13565" width="28.140625" customWidth="1"/>
    <col min="13566" max="13566" width="12.140625" customWidth="1"/>
    <col min="13567" max="13567" width="14.28515625" customWidth="1"/>
    <col min="13568" max="13568" width="28.140625" customWidth="1"/>
    <col min="13569" max="13569" width="35.140625" customWidth="1"/>
    <col min="13809" max="13809" width="9.28515625" customWidth="1"/>
    <col min="13810" max="13810" width="13.7109375" customWidth="1"/>
    <col min="13811" max="13811" width="27.5703125" customWidth="1"/>
    <col min="13812" max="13812" width="6.7109375" customWidth="1"/>
    <col min="13813" max="13813" width="14.140625" customWidth="1"/>
    <col min="13814" max="13814" width="14.7109375" customWidth="1"/>
    <col min="13815" max="13816" width="16.85546875" customWidth="1"/>
    <col min="13817" max="13817" width="9.140625" customWidth="1"/>
    <col min="13818" max="13818" width="15.28515625" customWidth="1"/>
    <col min="13819" max="13819" width="7.7109375" customWidth="1"/>
    <col min="13820" max="13820" width="14.140625" customWidth="1"/>
    <col min="13821" max="13821" width="28.140625" customWidth="1"/>
    <col min="13822" max="13822" width="12.140625" customWidth="1"/>
    <col min="13823" max="13823" width="14.28515625" customWidth="1"/>
    <col min="13824" max="13824" width="28.140625" customWidth="1"/>
    <col min="13825" max="13825" width="35.140625" customWidth="1"/>
    <col min="14065" max="14065" width="9.28515625" customWidth="1"/>
    <col min="14066" max="14066" width="13.7109375" customWidth="1"/>
    <col min="14067" max="14067" width="27.5703125" customWidth="1"/>
    <col min="14068" max="14068" width="6.7109375" customWidth="1"/>
    <col min="14069" max="14069" width="14.140625" customWidth="1"/>
    <col min="14070" max="14070" width="14.7109375" customWidth="1"/>
    <col min="14071" max="14072" width="16.85546875" customWidth="1"/>
    <col min="14073" max="14073" width="9.140625" customWidth="1"/>
    <col min="14074" max="14074" width="15.28515625" customWidth="1"/>
    <col min="14075" max="14075" width="7.7109375" customWidth="1"/>
    <col min="14076" max="14076" width="14.140625" customWidth="1"/>
    <col min="14077" max="14077" width="28.140625" customWidth="1"/>
    <col min="14078" max="14078" width="12.140625" customWidth="1"/>
    <col min="14079" max="14079" width="14.28515625" customWidth="1"/>
    <col min="14080" max="14080" width="28.140625" customWidth="1"/>
    <col min="14081" max="14081" width="35.140625" customWidth="1"/>
    <col min="14321" max="14321" width="9.28515625" customWidth="1"/>
    <col min="14322" max="14322" width="13.7109375" customWidth="1"/>
    <col min="14323" max="14323" width="27.5703125" customWidth="1"/>
    <col min="14324" max="14324" width="6.7109375" customWidth="1"/>
    <col min="14325" max="14325" width="14.140625" customWidth="1"/>
    <col min="14326" max="14326" width="14.7109375" customWidth="1"/>
    <col min="14327" max="14328" width="16.85546875" customWidth="1"/>
    <col min="14329" max="14329" width="9.140625" customWidth="1"/>
    <col min="14330" max="14330" width="15.28515625" customWidth="1"/>
    <col min="14331" max="14331" width="7.7109375" customWidth="1"/>
    <col min="14332" max="14332" width="14.140625" customWidth="1"/>
    <col min="14333" max="14333" width="28.140625" customWidth="1"/>
    <col min="14334" max="14334" width="12.140625" customWidth="1"/>
    <col min="14335" max="14335" width="14.28515625" customWidth="1"/>
    <col min="14336" max="14336" width="28.140625" customWidth="1"/>
    <col min="14337" max="14337" width="35.140625" customWidth="1"/>
    <col min="14577" max="14577" width="9.28515625" customWidth="1"/>
    <col min="14578" max="14578" width="13.7109375" customWidth="1"/>
    <col min="14579" max="14579" width="27.5703125" customWidth="1"/>
    <col min="14580" max="14580" width="6.7109375" customWidth="1"/>
    <col min="14581" max="14581" width="14.140625" customWidth="1"/>
    <col min="14582" max="14582" width="14.7109375" customWidth="1"/>
    <col min="14583" max="14584" width="16.85546875" customWidth="1"/>
    <col min="14585" max="14585" width="9.140625" customWidth="1"/>
    <col min="14586" max="14586" width="15.28515625" customWidth="1"/>
    <col min="14587" max="14587" width="7.7109375" customWidth="1"/>
    <col min="14588" max="14588" width="14.140625" customWidth="1"/>
    <col min="14589" max="14589" width="28.140625" customWidth="1"/>
    <col min="14590" max="14590" width="12.140625" customWidth="1"/>
    <col min="14591" max="14591" width="14.28515625" customWidth="1"/>
    <col min="14592" max="14592" width="28.140625" customWidth="1"/>
    <col min="14593" max="14593" width="35.140625" customWidth="1"/>
    <col min="14833" max="14833" width="9.28515625" customWidth="1"/>
    <col min="14834" max="14834" width="13.7109375" customWidth="1"/>
    <col min="14835" max="14835" width="27.5703125" customWidth="1"/>
    <col min="14836" max="14836" width="6.7109375" customWidth="1"/>
    <col min="14837" max="14837" width="14.140625" customWidth="1"/>
    <col min="14838" max="14838" width="14.7109375" customWidth="1"/>
    <col min="14839" max="14840" width="16.85546875" customWidth="1"/>
    <col min="14841" max="14841" width="9.140625" customWidth="1"/>
    <col min="14842" max="14842" width="15.28515625" customWidth="1"/>
    <col min="14843" max="14843" width="7.7109375" customWidth="1"/>
    <col min="14844" max="14844" width="14.140625" customWidth="1"/>
    <col min="14845" max="14845" width="28.140625" customWidth="1"/>
    <col min="14846" max="14846" width="12.140625" customWidth="1"/>
    <col min="14847" max="14847" width="14.28515625" customWidth="1"/>
    <col min="14848" max="14848" width="28.140625" customWidth="1"/>
    <col min="14849" max="14849" width="35.140625" customWidth="1"/>
    <col min="15089" max="15089" width="9.28515625" customWidth="1"/>
    <col min="15090" max="15090" width="13.7109375" customWidth="1"/>
    <col min="15091" max="15091" width="27.5703125" customWidth="1"/>
    <col min="15092" max="15092" width="6.7109375" customWidth="1"/>
    <col min="15093" max="15093" width="14.140625" customWidth="1"/>
    <col min="15094" max="15094" width="14.7109375" customWidth="1"/>
    <col min="15095" max="15096" width="16.85546875" customWidth="1"/>
    <col min="15097" max="15097" width="9.140625" customWidth="1"/>
    <col min="15098" max="15098" width="15.28515625" customWidth="1"/>
    <col min="15099" max="15099" width="7.7109375" customWidth="1"/>
    <col min="15100" max="15100" width="14.140625" customWidth="1"/>
    <col min="15101" max="15101" width="28.140625" customWidth="1"/>
    <col min="15102" max="15102" width="12.140625" customWidth="1"/>
    <col min="15103" max="15103" width="14.28515625" customWidth="1"/>
    <col min="15104" max="15104" width="28.140625" customWidth="1"/>
    <col min="15105" max="15105" width="35.140625" customWidth="1"/>
    <col min="15345" max="15345" width="9.28515625" customWidth="1"/>
    <col min="15346" max="15346" width="13.7109375" customWidth="1"/>
    <col min="15347" max="15347" width="27.5703125" customWidth="1"/>
    <col min="15348" max="15348" width="6.7109375" customWidth="1"/>
    <col min="15349" max="15349" width="14.140625" customWidth="1"/>
    <col min="15350" max="15350" width="14.7109375" customWidth="1"/>
    <col min="15351" max="15352" width="16.85546875" customWidth="1"/>
    <col min="15353" max="15353" width="9.140625" customWidth="1"/>
    <col min="15354" max="15354" width="15.28515625" customWidth="1"/>
    <col min="15355" max="15355" width="7.7109375" customWidth="1"/>
    <col min="15356" max="15356" width="14.140625" customWidth="1"/>
    <col min="15357" max="15357" width="28.140625" customWidth="1"/>
    <col min="15358" max="15358" width="12.140625" customWidth="1"/>
    <col min="15359" max="15359" width="14.28515625" customWidth="1"/>
    <col min="15360" max="15360" width="28.140625" customWidth="1"/>
    <col min="15361" max="15361" width="35.140625" customWidth="1"/>
    <col min="15601" max="15601" width="9.28515625" customWidth="1"/>
    <col min="15602" max="15602" width="13.7109375" customWidth="1"/>
    <col min="15603" max="15603" width="27.5703125" customWidth="1"/>
    <col min="15604" max="15604" width="6.7109375" customWidth="1"/>
    <col min="15605" max="15605" width="14.140625" customWidth="1"/>
    <col min="15606" max="15606" width="14.7109375" customWidth="1"/>
    <col min="15607" max="15608" width="16.85546875" customWidth="1"/>
    <col min="15609" max="15609" width="9.140625" customWidth="1"/>
    <col min="15610" max="15610" width="15.28515625" customWidth="1"/>
    <col min="15611" max="15611" width="7.7109375" customWidth="1"/>
    <col min="15612" max="15612" width="14.140625" customWidth="1"/>
    <col min="15613" max="15613" width="28.140625" customWidth="1"/>
    <col min="15614" max="15614" width="12.140625" customWidth="1"/>
    <col min="15615" max="15615" width="14.28515625" customWidth="1"/>
    <col min="15616" max="15616" width="28.140625" customWidth="1"/>
    <col min="15617" max="15617" width="35.140625" customWidth="1"/>
    <col min="15857" max="15857" width="9.28515625" customWidth="1"/>
    <col min="15858" max="15858" width="13.7109375" customWidth="1"/>
    <col min="15859" max="15859" width="27.5703125" customWidth="1"/>
    <col min="15860" max="15860" width="6.7109375" customWidth="1"/>
    <col min="15861" max="15861" width="14.140625" customWidth="1"/>
    <col min="15862" max="15862" width="14.7109375" customWidth="1"/>
    <col min="15863" max="15864" width="16.85546875" customWidth="1"/>
    <col min="15865" max="15865" width="9.140625" customWidth="1"/>
    <col min="15866" max="15866" width="15.28515625" customWidth="1"/>
    <col min="15867" max="15867" width="7.7109375" customWidth="1"/>
    <col min="15868" max="15868" width="14.140625" customWidth="1"/>
    <col min="15869" max="15869" width="28.140625" customWidth="1"/>
    <col min="15870" max="15870" width="12.140625" customWidth="1"/>
    <col min="15871" max="15871" width="14.28515625" customWidth="1"/>
    <col min="15872" max="15872" width="28.140625" customWidth="1"/>
    <col min="15873" max="15873" width="35.140625" customWidth="1"/>
    <col min="16113" max="16113" width="9.28515625" customWidth="1"/>
    <col min="16114" max="16114" width="13.7109375" customWidth="1"/>
    <col min="16115" max="16115" width="27.5703125" customWidth="1"/>
    <col min="16116" max="16116" width="6.7109375" customWidth="1"/>
    <col min="16117" max="16117" width="14.140625" customWidth="1"/>
    <col min="16118" max="16118" width="14.7109375" customWidth="1"/>
    <col min="16119" max="16120" width="16.85546875" customWidth="1"/>
    <col min="16121" max="16121" width="9.140625" customWidth="1"/>
    <col min="16122" max="16122" width="15.28515625" customWidth="1"/>
    <col min="16123" max="16123" width="7.7109375" customWidth="1"/>
    <col min="16124" max="16124" width="14.140625" customWidth="1"/>
    <col min="16125" max="16125" width="28.140625" customWidth="1"/>
    <col min="16126" max="16126" width="12.140625" customWidth="1"/>
    <col min="16127" max="16127" width="14.28515625" customWidth="1"/>
    <col min="16128" max="16128" width="28.140625" customWidth="1"/>
    <col min="16129" max="16129" width="35.140625" customWidth="1"/>
  </cols>
  <sheetData>
    <row r="1" spans="1:5" x14ac:dyDescent="0.2">
      <c r="A1" s="248" t="s">
        <v>7</v>
      </c>
      <c r="B1" s="248" t="s">
        <v>555</v>
      </c>
      <c r="C1" s="248" t="s">
        <v>556</v>
      </c>
    </row>
    <row r="2" spans="1:5" x14ac:dyDescent="0.2">
      <c r="A2" s="245" t="str" cm="1">
        <f t="array" ref="A2:A281">_xlfn._xlws.SORT(_xlfn.UNIQUE(Orçamento!Q11:Q4618),1,1)</f>
        <v/>
      </c>
      <c r="B2" s="246" t="str">
        <f>IF(A2="","",SUMIF(Orçamento!Q:Q,'ABC Serviços Apoio'!A2,Orçamento!Z:Z))</f>
        <v/>
      </c>
      <c r="C2" s="246" t="str">
        <f>IF(A2="","",CONCATENATE(B2, " - ",A2))</f>
        <v/>
      </c>
      <c r="E2" t="str" cm="1">
        <f t="array" aca="1" ref="E2:E282" ca="1">_xlfn._xlws.SORT(_xlfn.UNIQUE(C2:C2000),1,-1)</f>
        <v>9935,99376 - Lastro de concreto magro-aplicado em blocos-espessura 5cm</v>
      </c>
    </row>
    <row r="3" spans="1:5" x14ac:dyDescent="0.2">
      <c r="A3" s="245" t="str">
        <v>Acabamento de Registro</v>
      </c>
      <c r="B3" s="246">
        <f ca="1">IF(A3="","",SUMIF(Orçamento!Q:Q,'ABC Serviços Apoio'!A3,Orçamento!Z:Z))</f>
        <v>198</v>
      </c>
      <c r="C3" s="246" t="str">
        <f ca="1">IF(A3="","",CONCATENATE(B3, " - ",A3))</f>
        <v>198 - Acabamento de Registro</v>
      </c>
      <c r="E3" t="str">
        <f ca="1"/>
        <v>9756 - Mobilização e desmobilização - Mini-grua</v>
      </c>
    </row>
    <row r="4" spans="1:5" x14ac:dyDescent="0.2">
      <c r="A4" s="245" t="str">
        <v>Acessórios - Instalação de Bancada Pia Cozinha</v>
      </c>
      <c r="B4" s="246">
        <f ca="1">IF(A4="","",SUMIF(Orçamento!Q:Q,'ABC Serviços Apoio'!A4,Orçamento!Z:Z))</f>
        <v>46.82</v>
      </c>
      <c r="C4" s="246" t="str">
        <f t="shared" ref="C4:C66" ca="1" si="0">IF(A4="","",CONCATENATE(B4, " - ",A4))</f>
        <v>46,82 - Acessórios - Instalação de Bancada Pia Cozinha</v>
      </c>
      <c r="E4" t="str">
        <f ca="1"/>
        <v>9716,15 - Instalacoes de Protecao e Aterramento - SPDA</v>
      </c>
    </row>
    <row r="5" spans="1:5" x14ac:dyDescent="0.2">
      <c r="A5" s="245" t="str">
        <v>Alvenaria de vedacao de blocos ceramicos furados na horizontal de  9 X 19 X 29 cm (espessura 9cm) com argamassa industrializada de assentamento</v>
      </c>
      <c r="B5" s="246">
        <f ca="1">IF(A5="","",SUMIF(Orçamento!Q:Q,'ABC Serviços Apoio'!A5,Orçamento!Z:Z))</f>
        <v>554.09130000000005</v>
      </c>
      <c r="C5" s="246" t="str">
        <f t="shared" ca="1" si="0"/>
        <v>554,0913 - Alvenaria de vedacao de blocos ceramicos furados na horizontal de  9 X 19 X 29 cm (espessura 9cm) com argamassa industrializada de assentamento</v>
      </c>
      <c r="E5" t="str">
        <f ca="1"/>
        <v>9716,15 - Desmobilizacao de pessoal, maquinas e equipamentos</v>
      </c>
    </row>
    <row r="6" spans="1:5" x14ac:dyDescent="0.2">
      <c r="A6" s="245" t="str">
        <v>Alvenaria de vedacao de blocos ceramicos furados na horizontal de 11.5x19x29cm (espessura 11.5cm) com argamassa industrializada de assentamento</v>
      </c>
      <c r="B6" s="246">
        <f ca="1">IF(A6="","",SUMIF(Orçamento!Q:Q,'ABC Serviços Apoio'!A6,Orçamento!Z:Z))</f>
        <v>12364.717252500001</v>
      </c>
      <c r="C6" s="246" t="str">
        <f t="shared" ca="1" si="0"/>
        <v>12364,7172525 - Alvenaria de vedacao de blocos ceramicos furados na horizontal de 11.5x19x29cm (espessura 11.5cm) com argamassa industrializada de assentamento</v>
      </c>
      <c r="E6" t="str">
        <f ca="1"/>
        <v>9500 - Projeto hidrossanitário</v>
      </c>
    </row>
    <row r="7" spans="1:5" x14ac:dyDescent="0.2">
      <c r="A7" s="245" t="str">
        <v>Alvenaria de vedacao de blocos ceramicos furados na horizontal de 14x19x29cm (espessura 14cm) com argamassa industrializada de assentamento</v>
      </c>
      <c r="B7" s="246">
        <f ca="1">IF(A7="","",SUMIF(Orçamento!Q:Q,'ABC Serviços Apoio'!A7,Orçamento!Z:Z))</f>
        <v>75943.994066999992</v>
      </c>
      <c r="C7" s="246" t="str">
        <f t="shared" ca="1" si="0"/>
        <v>75943,994067 - Alvenaria de vedacao de blocos ceramicos furados na horizontal de 14x19x29cm (espessura 14cm) com argamassa industrializada de assentamento</v>
      </c>
      <c r="E7" t="str">
        <f ca="1"/>
        <v>9500 - Projeto de Prevenção Combate a Incêndio</v>
      </c>
    </row>
    <row r="8" spans="1:5" x14ac:dyDescent="0.2">
      <c r="A8" s="245" t="str">
        <v>Alvenaria de vedacao de blocos Concreto de 14x19x29cm (espessura 14cm) com argamassa industrializada de assentamento</v>
      </c>
      <c r="B8" s="246">
        <f ca="1">IF(A8="","",SUMIF(Orçamento!Q:Q,'ABC Serviços Apoio'!A8,Orçamento!Z:Z))</f>
        <v>1024.0869599999999</v>
      </c>
      <c r="C8" s="246" t="str">
        <f t="shared" ca="1" si="0"/>
        <v>1024,08696 - Alvenaria de vedacao de blocos Concreto de 14x19x29cm (espessura 14cm) com argamassa industrializada de assentamento</v>
      </c>
      <c r="E8" t="str">
        <f ca="1"/>
        <v>9450,45062620585 - Instalacoes de Aguas Pluviais - Tipo (5X)</v>
      </c>
    </row>
    <row r="9" spans="1:5" x14ac:dyDescent="0.2">
      <c r="A9" s="245" t="str">
        <v xml:space="preserve">Ancoragem Para Cordoalha </v>
      </c>
      <c r="B9" s="246">
        <f ca="1">IF(A9="","",SUMIF(Orçamento!Q:Q,'ABC Serviços Apoio'!A9,Orçamento!Z:Z))</f>
        <v>43269.836800000005</v>
      </c>
      <c r="C9" s="246" t="str">
        <f t="shared" ca="1" si="0"/>
        <v xml:space="preserve">43269,8368 - Ancoragem Para Cordoalha </v>
      </c>
      <c r="E9" t="str">
        <f ca="1"/>
        <v>9430 - Mao de obra para colocacao de rodape cerâmico e porcelanato</v>
      </c>
    </row>
    <row r="10" spans="1:5" x14ac:dyDescent="0.2">
      <c r="A10" s="245" t="str">
        <v>Aquisição Equipamentos - Mini Grua 500g</v>
      </c>
      <c r="B10" s="246">
        <f ca="1">IF(A10="","",SUMIF(Orçamento!Q:Q,'ABC Serviços Apoio'!A10,Orçamento!Z:Z))</f>
        <v>56000</v>
      </c>
      <c r="C10" s="246" t="str">
        <f t="shared" ca="1" si="0"/>
        <v>56000 - Aquisição Equipamentos - Mini Grua 500g</v>
      </c>
      <c r="E10" t="str">
        <f ca="1"/>
        <v>927,14418042 - Montagem e desmontagem de fôrma para pilares em chapa de madeira compensada plastificada</v>
      </c>
    </row>
    <row r="11" spans="1:5" x14ac:dyDescent="0.2">
      <c r="A11" s="245" t="str">
        <v>Armacao aco CA-50 ø 10.0mm para Contenções- cortado e dobrado em industria</v>
      </c>
      <c r="B11" s="246">
        <f ca="1">IF(A11="","",SUMIF(Orçamento!Q:Q,'ABC Serviços Apoio'!A11,Orçamento!Z:Z))</f>
        <v>5244.6190680000009</v>
      </c>
      <c r="C11" s="246" t="str">
        <f t="shared" ca="1" si="0"/>
        <v>5244,619068 - Armacao aco CA-50 ø 10.0mm para Contenções- cortado e dobrado em industria</v>
      </c>
      <c r="E11" t="str">
        <f ca="1"/>
        <v>919,626 - Cuba simples em Inox / Metais</v>
      </c>
    </row>
    <row r="12" spans="1:5" x14ac:dyDescent="0.2">
      <c r="A12" s="245" t="str">
        <v>Armacao aco CA-50 ø 10.0mm para supraestrutura corte e dobra em indústria</v>
      </c>
      <c r="B12" s="246">
        <f ca="1">IF(A12="","",SUMIF(Orçamento!Q:Q,'ABC Serviços Apoio'!A12,Orçamento!Z:Z))</f>
        <v>33208.366824982404</v>
      </c>
      <c r="C12" s="246" t="str">
        <f t="shared" ca="1" si="0"/>
        <v>33208,3668249824 - Armacao aco CA-50 ø 10.0mm para supraestrutura corte e dobra em indústria</v>
      </c>
      <c r="E12" t="str">
        <f ca="1"/>
        <v>905,81 - Taxa de Aprovação Ambiental</v>
      </c>
    </row>
    <row r="13" spans="1:5" x14ac:dyDescent="0.2">
      <c r="A13" s="245" t="str">
        <v>Armacao aco CA-50 ø 12.5mm para supraestrutura corte e dobra em indústria</v>
      </c>
      <c r="B13" s="246">
        <f ca="1">IF(A13="","",SUMIF(Orçamento!Q:Q,'ABC Serviços Apoio'!A13,Orçamento!Z:Z))</f>
        <v>25899.113807600002</v>
      </c>
      <c r="C13" s="246" t="str">
        <f t="shared" ca="1" si="0"/>
        <v>25899,1138076 - Armacao aco CA-50 ø 12.5mm para supraestrutura corte e dobra em indústria</v>
      </c>
      <c r="E13" t="str">
        <f ca="1"/>
        <v>9000 - Locacao Equipamentos - Andaime</v>
      </c>
    </row>
    <row r="14" spans="1:5" x14ac:dyDescent="0.2">
      <c r="A14" s="245" t="str">
        <v>Armacao aco CA-50 ø 16.0mm para supraestrutura corte e dobra em indústria</v>
      </c>
      <c r="B14" s="246">
        <f ca="1">IF(A14="","",SUMIF(Orçamento!Q:Q,'ABC Serviços Apoio'!A14,Orçamento!Z:Z))</f>
        <v>27815.802116195104</v>
      </c>
      <c r="C14" s="246" t="str">
        <f t="shared" ca="1" si="0"/>
        <v>27815,8021161951 - Armacao aco CA-50 ø 16.0mm para supraestrutura corte e dobra em indústria</v>
      </c>
      <c r="E14" t="str">
        <f ca="1"/>
        <v>8947,9168 - Porta de madeira- folha leve/média - 60x210cm- fixacao com espuma expansiva</v>
      </c>
    </row>
    <row r="15" spans="1:5" x14ac:dyDescent="0.2">
      <c r="A15" s="245" t="str">
        <v>Armacao aco CA-50 ø 20.0mm para supraestrutura corte e dobra em indústria</v>
      </c>
      <c r="B15" s="246">
        <f ca="1">IF(A15="","",SUMIF(Orçamento!Q:Q,'ABC Serviços Apoio'!A15,Orçamento!Z:Z))</f>
        <v>19031.354430352007</v>
      </c>
      <c r="C15" s="246" t="str">
        <f t="shared" ca="1" si="0"/>
        <v>19031,354430352 - Armacao aco CA-50 ø 20.0mm para supraestrutura corte e dobra em indústria</v>
      </c>
      <c r="E15" t="str">
        <f ca="1"/>
        <v>8900 - Sondagem do terreno</v>
      </c>
    </row>
    <row r="16" spans="1:5" x14ac:dyDescent="0.2">
      <c r="A16" s="245" t="str">
        <v>Armacao aco CA-50 ø 25.0mm para supraestrutura corte e dobra em indústria</v>
      </c>
      <c r="B16" s="246">
        <f ca="1">IF(A16="","",SUMIF(Orçamento!Q:Q,'ABC Serviços Apoio'!A16,Orçamento!Z:Z))</f>
        <v>7118.1838292481007</v>
      </c>
      <c r="C16" s="246" t="str">
        <f t="shared" ca="1" si="0"/>
        <v>7118,1838292481 - Armacao aco CA-50 ø 25.0mm para supraestrutura corte e dobra em indústria</v>
      </c>
      <c r="E16" t="str">
        <f ca="1"/>
        <v>88550 - Mao de obra de instalacoes hidrossanitárias</v>
      </c>
    </row>
    <row r="17" spans="1:5" x14ac:dyDescent="0.2">
      <c r="A17" s="245" t="str">
        <v>Armacao aco CA-50 ø 6.3mm para Contenções- cortado e dobrado em industria</v>
      </c>
      <c r="B17" s="246">
        <f ca="1">IF(A17="","",SUMIF(Orçamento!Q:Q,'ABC Serviços Apoio'!A17,Orçamento!Z:Z))</f>
        <v>2284.4902079999997</v>
      </c>
      <c r="C17" s="246" t="str">
        <f t="shared" ca="1" si="0"/>
        <v>2284,490208 - Armacao aco CA-50 ø 6.3mm para Contenções- cortado e dobrado em industria</v>
      </c>
      <c r="E17" t="str">
        <f ca="1"/>
        <v>88550 - Mao de obra de instalacoes eletricas</v>
      </c>
    </row>
    <row r="18" spans="1:5" x14ac:dyDescent="0.2">
      <c r="A18" s="245" t="str">
        <v>Armacao aco CA-50 ø 6.3mm para supraestrutura corte e dobra em indústria</v>
      </c>
      <c r="B18" s="246">
        <f ca="1">IF(A18="","",SUMIF(Orçamento!Q:Q,'ABC Serviços Apoio'!A18,Orçamento!Z:Z))</f>
        <v>21713.756440650002</v>
      </c>
      <c r="C18" s="246" t="str">
        <f t="shared" ca="1" si="0"/>
        <v>21713,75644065 - Armacao aco CA-50 ø 6.3mm para supraestrutura corte e dobra em indústria</v>
      </c>
      <c r="E18" t="str">
        <f ca="1"/>
        <v>88008,1875584659 - Mao de obra para colocacao e rejuntamento de piso porcelanato</v>
      </c>
    </row>
    <row r="19" spans="1:5" x14ac:dyDescent="0.2">
      <c r="A19" s="245" t="str">
        <v>Armacao aco CA-50 ø 8.0mm para supraestrutura corte e dobra em indústria</v>
      </c>
      <c r="B19" s="246">
        <f ca="1">IF(A19="","",SUMIF(Orçamento!Q:Q,'ABC Serviços Apoio'!A19,Orçamento!Z:Z))</f>
        <v>27336.631018845997</v>
      </c>
      <c r="C19" s="246" t="str">
        <f t="shared" ca="1" si="0"/>
        <v>27336,631018846 - Armacao aco CA-50 ø 8.0mm para supraestrutura corte e dobra em indústria</v>
      </c>
      <c r="E19" t="str">
        <f ca="1"/>
        <v>8800 - Despesas de consumo - Energia</v>
      </c>
    </row>
    <row r="20" spans="1:5" x14ac:dyDescent="0.2">
      <c r="A20" s="245" t="str">
        <v>Armacao Média para Contenção</v>
      </c>
      <c r="B20" s="246">
        <f ca="1">IF(A20="","",SUMIF(Orçamento!Q:Q,'ABC Serviços Apoio'!A20,Orçamento!Z:Z))</f>
        <v>13855.798914774519</v>
      </c>
      <c r="C20" s="246" t="str">
        <f t="shared" ca="1" si="0"/>
        <v>13855,7989147745 - Armacao Média para Contenção</v>
      </c>
      <c r="E20" t="str">
        <f ca="1"/>
        <v>8514,32961 - Regularizacao de superficie para impermeabilizacao</v>
      </c>
    </row>
    <row r="21" spans="1:5" x14ac:dyDescent="0.2">
      <c r="A21" s="245" t="str">
        <v>Armacao Média para Infraestrutura</v>
      </c>
      <c r="B21" s="246">
        <f ca="1">IF(A21="","",SUMIF(Orçamento!Q:Q,'ABC Serviços Apoio'!A21,Orçamento!Z:Z))</f>
        <v>46260.671085225476</v>
      </c>
      <c r="C21" s="246" t="str">
        <f t="shared" ca="1" si="0"/>
        <v>46260,6710852255 - Armacao Média para Infraestrutura</v>
      </c>
      <c r="E21" t="str">
        <f ca="1"/>
        <v>8400 - Mão de obra para tratamento de ralos</v>
      </c>
    </row>
    <row r="22" spans="1:5" x14ac:dyDescent="0.2">
      <c r="A22" s="245" t="str">
        <v>Armacao Tela Q196 para supraestrutura</v>
      </c>
      <c r="B22" s="246">
        <f ca="1">IF(A22="","",SUMIF(Orçamento!Q:Q,'ABC Serviços Apoio'!A22,Orçamento!Z:Z))</f>
        <v>1619.4650999999999</v>
      </c>
      <c r="C22" s="246" t="str">
        <f t="shared" ca="1" si="0"/>
        <v>1619,4651 - Armacao Tela Q196 para supraestrutura</v>
      </c>
      <c r="E22" t="str">
        <f ca="1"/>
        <v>82800 - Mao de obra para pintura acrílica em teto</v>
      </c>
    </row>
    <row r="23" spans="1:5" x14ac:dyDescent="0.2">
      <c r="A23" s="245" t="str">
        <v>Armacao Tela Q246 para supraestrutura</v>
      </c>
      <c r="B23" s="246">
        <f ca="1">IF(A23="","",SUMIF(Orçamento!Q:Q,'ABC Serviços Apoio'!A23,Orçamento!Z:Z))</f>
        <v>193.51310000000001</v>
      </c>
      <c r="C23" s="246" t="str">
        <f t="shared" ca="1" si="0"/>
        <v>193,5131 - Armacao Tela Q246 para supraestrutura</v>
      </c>
      <c r="E23" t="str">
        <f ca="1"/>
        <v>8265,1 - Esquadrias Metálicas - Janela Fixa - fornecimento e instalacao</v>
      </c>
    </row>
    <row r="24" spans="1:5" x14ac:dyDescent="0.2">
      <c r="A24" s="245" t="str">
        <v>Armacao Tela Q61 para supraestrutura</v>
      </c>
      <c r="B24" s="246">
        <f ca="1">IF(A24="","",SUMIF(Orçamento!Q:Q,'ABC Serviços Apoio'!A24,Orçamento!Z:Z))</f>
        <v>12870.857999999998</v>
      </c>
      <c r="C24" s="246" t="str">
        <f t="shared" ca="1" si="0"/>
        <v>12870,858 - Armacao Tela Q61 para supraestrutura</v>
      </c>
      <c r="E24" t="str">
        <f ca="1"/>
        <v>8129,21 - Demolições</v>
      </c>
    </row>
    <row r="25" spans="1:5" x14ac:dyDescent="0.2">
      <c r="A25" s="245" t="str">
        <v>Bacia com Caixa Acoplada</v>
      </c>
      <c r="B25" s="246">
        <f ca="1">IF(A25="","",SUMIF(Orçamento!Q:Q,'ABC Serviços Apoio'!A25,Orçamento!Z:Z))</f>
        <v>19330.106</v>
      </c>
      <c r="C25" s="246" t="str">
        <f t="shared" ca="1" si="0"/>
        <v>19330,106 - Bacia com Caixa Acoplada</v>
      </c>
      <c r="E25" t="str">
        <f ca="1"/>
        <v>8104,91367 - Chapisco aplicado em estruturas de concreto, com desempenadeira dentada, de argamassa industrializada</v>
      </c>
    </row>
    <row r="26" spans="1:5" x14ac:dyDescent="0.2">
      <c r="A26" s="245" t="str">
        <v>Bancada Pia Cozinha - Granito Comercial</v>
      </c>
      <c r="B26" s="246">
        <f ca="1">IF(A26="","",SUMIF(Orçamento!Q:Q,'ABC Serviços Apoio'!A26,Orçamento!Z:Z))</f>
        <v>459.35999999999996</v>
      </c>
      <c r="C26" s="246" t="str">
        <f t="shared" ca="1" si="0"/>
        <v>459,36 - Bancada Pia Cozinha - Granito Comercial</v>
      </c>
      <c r="E26" t="str">
        <f ca="1"/>
        <v>81,170399268 - Pintura acrilica em piso e rodapé de 7cm, 2 demaos, aplicacao em antecamara e escadaria</v>
      </c>
    </row>
    <row r="27" spans="1:5" x14ac:dyDescent="0.2">
      <c r="A27" s="245" t="str">
        <v>Bandeja de protecao primaria</v>
      </c>
      <c r="B27" s="246">
        <f ca="1">IF(A27="","",SUMIF(Orçamento!Q:Q,'ABC Serviços Apoio'!A27,Orçamento!Z:Z))</f>
        <v>17198.949294400005</v>
      </c>
      <c r="C27" s="246" t="str">
        <f t="shared" ca="1" si="0"/>
        <v>17198,9492944 - Bandeja de protecao primaria</v>
      </c>
      <c r="E27" t="str">
        <f ca="1"/>
        <v>80994,2925 - Contrapiso comum em argamassa estabilizada, nao aderido, espessura 8cm</v>
      </c>
    </row>
    <row r="28" spans="1:5" x14ac:dyDescent="0.2">
      <c r="A28" s="245" t="str">
        <v>Barras de Apoio PCD</v>
      </c>
      <c r="B28" s="246">
        <f ca="1">IF(A28="","",SUMIF(Orçamento!Q:Q,'ABC Serviços Apoio'!A28,Orçamento!Z:Z))</f>
        <v>12562.079999999998</v>
      </c>
      <c r="C28" s="246" t="str">
        <f t="shared" ca="1" si="0"/>
        <v>12562,08 - Barras de Apoio PCD</v>
      </c>
      <c r="E28" t="str">
        <f ca="1"/>
        <v>7947,93928 - Porta de madeira- folha leve/média - 70x210cm- fixacao com espuma expansiva</v>
      </c>
    </row>
    <row r="29" spans="1:5" x14ac:dyDescent="0.2">
      <c r="A29" s="245" t="str">
        <v>Cabos e Fiacoes - Cobertura</v>
      </c>
      <c r="B29" s="246">
        <f ca="1">IF(A29="","",SUMIF(Orçamento!Q:Q,'ABC Serviços Apoio'!A29,Orçamento!Z:Z))</f>
        <v>14580.181767983799</v>
      </c>
      <c r="C29" s="246" t="str">
        <f t="shared" ca="1" si="0"/>
        <v>14580,1817679838 - Cabos e Fiacoes - Cobertura</v>
      </c>
      <c r="E29" t="str">
        <f ca="1"/>
        <v>7800,33112794408 - Pontos de Tomadas e Interruptores - Tipo (x5)</v>
      </c>
    </row>
    <row r="30" spans="1:5" x14ac:dyDescent="0.2">
      <c r="A30" s="245" t="str">
        <v>Cabos e Fiacoes - Pavimento Técnico</v>
      </c>
      <c r="B30" s="246">
        <f ca="1">IF(A30="","",SUMIF(Orçamento!Q:Q,'ABC Serviços Apoio'!A30,Orçamento!Z:Z))</f>
        <v>11974.759762230022</v>
      </c>
      <c r="C30" s="246" t="str">
        <f t="shared" ca="1" si="0"/>
        <v>11974,75976223 - Cabos e Fiacoes - Pavimento Técnico</v>
      </c>
      <c r="E30" t="str">
        <f ca="1"/>
        <v>7800 - Serviço Levantamento Topografico</v>
      </c>
    </row>
    <row r="31" spans="1:5" x14ac:dyDescent="0.2">
      <c r="A31" s="245" t="str">
        <v>Cabos e Fiacoes - Subsolo</v>
      </c>
      <c r="B31" s="246">
        <f ca="1">IF(A31="","",SUMIF(Orçamento!Q:Q,'ABC Serviços Apoio'!A31,Orçamento!Z:Z))</f>
        <v>30072.356023839933</v>
      </c>
      <c r="C31" s="246" t="str">
        <f t="shared" ca="1" si="0"/>
        <v>30072,3560238399 - Cabos e Fiacoes - Subsolo</v>
      </c>
      <c r="E31" t="str">
        <f ca="1"/>
        <v>7798,72208992091 - Instalacoes de Agua Fria - Sub Solo</v>
      </c>
    </row>
    <row r="32" spans="1:5" x14ac:dyDescent="0.2">
      <c r="A32" s="245" t="str">
        <v>Cabos e Fiacoes - Térreo</v>
      </c>
      <c r="B32" s="246">
        <f ca="1">IF(A32="","",SUMIF(Orçamento!Q:Q,'ABC Serviços Apoio'!A32,Orçamento!Z:Z))</f>
        <v>20353.962884251054</v>
      </c>
      <c r="C32" s="246" t="str">
        <f t="shared" ca="1" si="0"/>
        <v>20353,9628842511 - Cabos e Fiacoes - Térreo</v>
      </c>
      <c r="E32" t="str">
        <f ca="1"/>
        <v>779,872208992091 - Luminárias e Acessorios - Subsolo</v>
      </c>
    </row>
    <row r="33" spans="1:5" x14ac:dyDescent="0.2">
      <c r="A33" s="245" t="str">
        <v>Cabos e Fiacoes - Tipo (x5)</v>
      </c>
      <c r="B33" s="246">
        <f ca="1">IF(A33="","",SUMIF(Orçamento!Q:Q,'ABC Serviços Apoio'!A33,Orçamento!Z:Z))</f>
        <v>72883.04738651494</v>
      </c>
      <c r="C33" s="246" t="str">
        <f t="shared" ca="1" si="0"/>
        <v>72883,0473865149 - Cabos e Fiacoes - Tipo (x5)</v>
      </c>
      <c r="E33" t="str">
        <f ca="1"/>
        <v>778,308455118223 - Mao de obra - para pintura acrilica em piso</v>
      </c>
    </row>
    <row r="34" spans="1:5" x14ac:dyDescent="0.2">
      <c r="A34" s="245" t="str">
        <v>Calha em chapa galvanizada</v>
      </c>
      <c r="B34" s="246">
        <f ca="1">IF(A34="","",SUMIF(Orçamento!Q:Q,'ABC Serviços Apoio'!A34,Orçamento!Z:Z))</f>
        <v>1024.2336347999999</v>
      </c>
      <c r="C34" s="246" t="str">
        <f t="shared" ca="1" si="0"/>
        <v>1024,2336348 - Calha em chapa galvanizada</v>
      </c>
      <c r="E34" t="str">
        <f ca="1"/>
        <v>7700 - Despesas de consumo - Água</v>
      </c>
    </row>
    <row r="35" spans="1:5" x14ac:dyDescent="0.2">
      <c r="A35" s="245" t="str">
        <v>Chapisco aplicado em alvenarias externas, com colher de pedreiro, de argamassa estabilizada</v>
      </c>
      <c r="B35" s="246">
        <f ca="1">IF(A35="","",SUMIF(Orçamento!Q:Q,'ABC Serviços Apoio'!A35,Orçamento!Z:Z))</f>
        <v>11345.795999999998</v>
      </c>
      <c r="C35" s="246" t="str">
        <f t="shared" ca="1" si="0"/>
        <v>11345,796 - Chapisco aplicado em alvenarias externas, com colher de pedreiro, de argamassa estabilizada</v>
      </c>
      <c r="E35" t="str">
        <f ca="1"/>
        <v>7634,5715952 - Varal de seguranca com cabo de aco</v>
      </c>
    </row>
    <row r="36" spans="1:5" x14ac:dyDescent="0.2">
      <c r="A36" s="245" t="str">
        <v>Chapisco aplicado em alvenarias internas, com colher de pedreiro, de argamassa estabilizada</v>
      </c>
      <c r="B36" s="246">
        <f ca="1">IF(A36="","",SUMIF(Orçamento!Q:Q,'ABC Serviços Apoio'!A36,Orçamento!Z:Z))</f>
        <v>23463.601199999997</v>
      </c>
      <c r="C36" s="246" t="str">
        <f t="shared" ca="1" si="0"/>
        <v>23463,6012 - Chapisco aplicado em alvenarias internas, com colher de pedreiro, de argamassa estabilizada</v>
      </c>
      <c r="E36" t="str">
        <f ca="1"/>
        <v>7600 - Taxa de As Built</v>
      </c>
    </row>
    <row r="37" spans="1:5" x14ac:dyDescent="0.2">
      <c r="A37" s="245" t="str">
        <v>Chapisco aplicado em estruturas de concreto, com desempenadeira dentada, de argamassa industrializada</v>
      </c>
      <c r="B37" s="246">
        <f ca="1">IF(A37="","",SUMIF(Orçamento!Q:Q,'ABC Serviços Apoio'!A37,Orçamento!Z:Z))</f>
        <v>8104.9136700000026</v>
      </c>
      <c r="C37" s="246" t="str">
        <f t="shared" ca="1" si="0"/>
        <v>8104,91367 - Chapisco aplicado em estruturas de concreto, com desempenadeira dentada, de argamassa industrializada</v>
      </c>
      <c r="E37" t="str">
        <f ca="1"/>
        <v>75943,994067 - Alvenaria de vedacao de blocos ceramicos furados na horizontal de 14x19x29cm (espessura 14cm) com argamassa industrializada de assentamento</v>
      </c>
    </row>
    <row r="38" spans="1:5" x14ac:dyDescent="0.2">
      <c r="A38" s="245" t="str">
        <v>Chapisco de estrutura de concreto em teto</v>
      </c>
      <c r="B38" s="246">
        <f ca="1">IF(A38="","",SUMIF(Orçamento!Q:Q,'ABC Serviços Apoio'!A38,Orçamento!Z:Z))</f>
        <v>1195.14444</v>
      </c>
      <c r="C38" s="246" t="str">
        <f t="shared" ca="1" si="0"/>
        <v>1195,14444 - Chapisco de estrutura de concreto em teto</v>
      </c>
      <c r="E38" t="str">
        <f ca="1"/>
        <v>75566,5647854719 - Concreto usinado Para Infraestrututera</v>
      </c>
    </row>
    <row r="39" spans="1:5" x14ac:dyDescent="0.2">
      <c r="A39" s="245" t="str">
        <v>Cobertura Telha Fibrocimento</v>
      </c>
      <c r="B39" s="246">
        <f ca="1">IF(A39="","",SUMIF(Orçamento!Q:Q,'ABC Serviços Apoio'!A39,Orçamento!Z:Z))</f>
        <v>3128.2548699999998</v>
      </c>
      <c r="C39" s="246" t="str">
        <f t="shared" ca="1" si="0"/>
        <v>3128,25487 - Cobertura Telha Fibrocimento</v>
      </c>
      <c r="E39" t="str">
        <f ca="1"/>
        <v>75 - Torneira de Jardim</v>
      </c>
    </row>
    <row r="40" spans="1:5" x14ac:dyDescent="0.2">
      <c r="A40" s="245" t="str">
        <v>Comunicacao visual</v>
      </c>
      <c r="B40" s="246">
        <f ca="1">IF(A40="","",SUMIF(Orçamento!Q:Q,'ABC Serviços Apoio'!A40,Orçamento!Z:Z))</f>
        <v>19432.3</v>
      </c>
      <c r="C40" s="246" t="str">
        <f t="shared" ca="1" si="0"/>
        <v>19432,3 - Comunicacao visual</v>
      </c>
      <c r="E40" t="str">
        <f ca="1"/>
        <v>74515,2305715775 - Fabricação de fôrma para vigas em chapa de madeira compensada plastificada e=14 mm - 2 jogos</v>
      </c>
    </row>
    <row r="41" spans="1:5" x14ac:dyDescent="0.2">
      <c r="A41" s="245" t="str">
        <v>Concreto usinado bombeavel para Contenções Fck 35MPa com brita 0 e 1 SLUMP = 12 +/- 2 incluindo servico de bombeamento</v>
      </c>
      <c r="B41" s="246">
        <f ca="1">IF(A41="","",SUMIF(Orçamento!Q:Q,'ABC Serviços Apoio'!A41,Orçamento!Z:Z))</f>
        <v>12902.07571254</v>
      </c>
      <c r="C41" s="246" t="str">
        <f t="shared" ca="1" si="0"/>
        <v>12902,07571254 - Concreto usinado bombeavel para Contenções Fck 35MPa com brita 0 e 1 SLUMP = 12 +/- 2 incluindo servico de bombeamento</v>
      </c>
      <c r="E41" t="str">
        <f ca="1"/>
        <v>7363 - Sistema de interfone / controle de acesso</v>
      </c>
    </row>
    <row r="42" spans="1:5" x14ac:dyDescent="0.2">
      <c r="A42" s="245" t="str">
        <v>Concreto usinado bombeavel para supraestrutura Fck 35MPa com Brita 0 SLUMP = 12 +/- 2 incluindo servico de bombeamento</v>
      </c>
      <c r="B42" s="246">
        <f ca="1">IF(A42="","",SUMIF(Orçamento!Q:Q,'ABC Serviços Apoio'!A42,Orçamento!Z:Z))</f>
        <v>240263.18342964552</v>
      </c>
      <c r="C42" s="246" t="str">
        <f t="shared" ca="1" si="0"/>
        <v>240263,183429646 - Concreto usinado bombeavel para supraestrutura Fck 35MPa com Brita 0 SLUMP = 12 +/- 2 incluindo servico de bombeamento</v>
      </c>
      <c r="E42" t="str">
        <f ca="1"/>
        <v>72994,42656 - Massa unica para reboco interno em argamassa estabilizada, espessura de 20mm, com execucao de taliscas</v>
      </c>
    </row>
    <row r="43" spans="1:5" x14ac:dyDescent="0.2">
      <c r="A43" s="245" t="str">
        <v>Concreto usinado Para Contenção</v>
      </c>
      <c r="B43" s="246">
        <f ca="1">IF(A43="","",SUMIF(Orçamento!Q:Q,'ABC Serviços Apoio'!A43,Orçamento!Z:Z))</f>
        <v>22633.375214528114</v>
      </c>
      <c r="C43" s="246" t="str">
        <f t="shared" ca="1" si="0"/>
        <v>22633,3752145281 - Concreto usinado Para Contenção</v>
      </c>
      <c r="E43" t="str">
        <f ca="1"/>
        <v>72883,0473865149 - Cabos e Fiacoes - Tipo (x5)</v>
      </c>
    </row>
    <row r="44" spans="1:5" x14ac:dyDescent="0.2">
      <c r="A44" s="245" t="str">
        <v>Concreto usinado Para Infraestrututera</v>
      </c>
      <c r="B44" s="246">
        <f ca="1">IF(A44="","",SUMIF(Orçamento!Q:Q,'ABC Serviços Apoio'!A44,Orçamento!Z:Z))</f>
        <v>75566.564785471885</v>
      </c>
      <c r="C44" s="246" t="str">
        <f t="shared" ca="1" si="0"/>
        <v>75566,5647854719 - Concreto usinado Para Infraestrututera</v>
      </c>
      <c r="E44" t="str">
        <f ca="1"/>
        <v>723,8325 - Impermeabilizacao com manta liquida em peitoris</v>
      </c>
    </row>
    <row r="45" spans="1:5" x14ac:dyDescent="0.2">
      <c r="A45" s="245" t="str">
        <v>Consultoria de Orçamento e Planejamento</v>
      </c>
      <c r="B45" s="246">
        <f ca="1">IF(A45="","",SUMIF(Orçamento!Q:Q,'ABC Serviços Apoio'!A45,Orçamento!Z:Z))</f>
        <v>21000</v>
      </c>
      <c r="C45" s="246" t="str">
        <f t="shared" ca="1" si="0"/>
        <v>21000 - Consultoria de Orçamento e Planejamento</v>
      </c>
      <c r="E45" t="str">
        <f ca="1"/>
        <v>71553,48616424 - Forro de Gesso em Placa - material e mao de obra</v>
      </c>
    </row>
    <row r="46" spans="1:5" x14ac:dyDescent="0.2">
      <c r="A46" s="245" t="str">
        <v>Contrapiso comum em argamassa estabilizada, nao aderido, espessura 14cm</v>
      </c>
      <c r="B46" s="246">
        <f ca="1">IF(A46="","",SUMIF(Orçamento!Q:Q,'ABC Serviços Apoio'!A46,Orçamento!Z:Z))</f>
        <v>4425.9074999999993</v>
      </c>
      <c r="C46" s="246" t="str">
        <f t="shared" ca="1" si="0"/>
        <v>4425,9075 - Contrapiso comum em argamassa estabilizada, nao aderido, espessura 14cm</v>
      </c>
      <c r="E46" t="str">
        <f ca="1"/>
        <v>7118,1838292481 - Armacao aco CA-50 ø 25.0mm para supraestrutura corte e dobra em indústria</v>
      </c>
    </row>
    <row r="47" spans="1:5" x14ac:dyDescent="0.2">
      <c r="A47" s="245" t="str">
        <v>Contrapiso comum em argamassa estabilizada, nao aderido, espessura 8cm</v>
      </c>
      <c r="B47" s="246">
        <f ca="1">IF(A47="","",SUMIF(Orçamento!Q:Q,'ABC Serviços Apoio'!A47,Orçamento!Z:Z))</f>
        <v>80994.292499999996</v>
      </c>
      <c r="C47" s="246" t="str">
        <f t="shared" ca="1" si="0"/>
        <v>80994,2925 - Contrapiso comum em argamassa estabilizada, nao aderido, espessura 8cm</v>
      </c>
      <c r="E47" t="str">
        <f ca="1"/>
        <v>7000 - Montagem e Desmontagem - Mini Grua</v>
      </c>
    </row>
    <row r="48" spans="1:5" x14ac:dyDescent="0.2">
      <c r="A48" s="245" t="str">
        <v>Controle Tecnológico de Concreto - Infraestrura e Contenção</v>
      </c>
      <c r="B48" s="246">
        <f ca="1">IF(A48="","",SUMIF(Orçamento!Q:Q,'ABC Serviços Apoio'!A48,Orçamento!Z:Z))</f>
        <v>3772</v>
      </c>
      <c r="C48" s="246" t="str">
        <f t="shared" ca="1" si="0"/>
        <v>3772 - Controle Tecnológico de Concreto - Infraestrura e Contenção</v>
      </c>
      <c r="E48" t="str">
        <f ca="1"/>
        <v>7000 - IPTU</v>
      </c>
    </row>
    <row r="49" spans="1:5" x14ac:dyDescent="0.2">
      <c r="A49" s="245" t="str">
        <v>Controle Tecnológico de Concreto - Supraestrutura</v>
      </c>
      <c r="B49" s="246">
        <f ca="1">IF(A49="","",SUMIF(Orçamento!Q:Q,'ABC Serviços Apoio'!A49,Orçamento!Z:Z))</f>
        <v>13057.62</v>
      </c>
      <c r="C49" s="246" t="str">
        <f t="shared" ca="1" si="0"/>
        <v>13057,62 - Controle Tecnológico de Concreto - Supraestrutura</v>
      </c>
      <c r="E49" t="str">
        <f ca="1"/>
        <v>6916,85 - Despesas cartorio e juridicas</v>
      </c>
    </row>
    <row r="50" spans="1:5" x14ac:dyDescent="0.2">
      <c r="A50" s="245" t="str">
        <v>Cordoalha CP-190 RB 12,7</v>
      </c>
      <c r="B50" s="246">
        <f ca="1">IF(A50="","",SUMIF(Orçamento!Q:Q,'ABC Serviços Apoio'!A50,Orçamento!Z:Z))</f>
        <v>40603.282804320203</v>
      </c>
      <c r="C50" s="246" t="str">
        <f t="shared" ca="1" si="0"/>
        <v>40603,2828043202 - Cordoalha CP-190 RB 12,7</v>
      </c>
      <c r="E50" t="str">
        <f ca="1"/>
        <v>69000 - Mao de obra - para execucao de Contenção</v>
      </c>
    </row>
    <row r="51" spans="1:5" x14ac:dyDescent="0.2">
      <c r="A51" s="245" t="str">
        <v>Corrimão de madeira</v>
      </c>
      <c r="B51" s="246">
        <f ca="1">IF(A51="","",SUMIF(Orçamento!Q:Q,'ABC Serviços Apoio'!A51,Orçamento!Z:Z))</f>
        <v>1443</v>
      </c>
      <c r="C51" s="246" t="str">
        <f t="shared" ca="1" si="0"/>
        <v>1443 - Corrimão de madeira</v>
      </c>
      <c r="E51" t="str">
        <f ca="1"/>
        <v>68217,7755 - Revestimento interno de piso porcelanato placa 80x80cm - áreas internas</v>
      </c>
    </row>
    <row r="52" spans="1:5" x14ac:dyDescent="0.2">
      <c r="A52" s="245" t="str">
        <v>Cuba simples em Inox / Metais</v>
      </c>
      <c r="B52" s="246">
        <f ca="1">IF(A52="","",SUMIF(Orçamento!Q:Q,'ABC Serviços Apoio'!A52,Orçamento!Z:Z))</f>
        <v>919.62599999999998</v>
      </c>
      <c r="C52" s="246" t="str">
        <f t="shared" ca="1" si="0"/>
        <v>919,626 - Cuba simples em Inox / Metais</v>
      </c>
      <c r="E52" t="str">
        <f ca="1"/>
        <v xml:space="preserve">678,3530208 - Pintura epoxi em piso 2 demaos - aplicacao em faixas demarcatorias de garagens </v>
      </c>
    </row>
    <row r="53" spans="1:5" x14ac:dyDescent="0.2">
      <c r="A53" s="245" t="str">
        <v>Demolições</v>
      </c>
      <c r="B53" s="246">
        <f ca="1">IF(A53="","",SUMIF(Orçamento!Q:Q,'ABC Serviços Apoio'!A53,Orçamento!Z:Z))</f>
        <v>8129.21</v>
      </c>
      <c r="C53" s="246" t="str">
        <f t="shared" ca="1" si="0"/>
        <v>8129,21 - Demolições</v>
      </c>
      <c r="E53" t="str">
        <f ca="1"/>
        <v>6774,76913582347 - Eletrodutos e Eletrocalhas - Térreo</v>
      </c>
    </row>
    <row r="54" spans="1:5" x14ac:dyDescent="0.2">
      <c r="A54" s="245" t="str">
        <v>Desmobilizacao de pessoal, maquinas e equipamentos</v>
      </c>
      <c r="B54" s="246">
        <f ca="1">IF(A54="","",SUMIF(Orçamento!Q:Q,'ABC Serviços Apoio'!A54,Orçamento!Z:Z))</f>
        <v>9716.15</v>
      </c>
      <c r="C54" s="246" t="str">
        <f t="shared" ca="1" si="0"/>
        <v>9716,15 - Desmobilizacao de pessoal, maquinas e equipamentos</v>
      </c>
      <c r="E54" t="str">
        <f ca="1"/>
        <v>667000 - Mao de obra  - para execucacao de estrutura de concreto armado em supraestrutura</v>
      </c>
    </row>
    <row r="55" spans="1:5" x14ac:dyDescent="0.2">
      <c r="A55" s="245" t="str">
        <v>Despesas cartorio e juridicas</v>
      </c>
      <c r="B55" s="246">
        <f ca="1">IF(A55="","",SUMIF(Orçamento!Q:Q,'ABC Serviços Apoio'!A55,Orçamento!Z:Z))</f>
        <v>6916.85</v>
      </c>
      <c r="C55" s="246" t="str">
        <f t="shared" ca="1" si="0"/>
        <v>6916,85 - Despesas cartorio e juridicas</v>
      </c>
      <c r="E55" t="str">
        <f ca="1"/>
        <v>664,542680056054 - Mao de obra para execucao em piso cimentado</v>
      </c>
    </row>
    <row r="56" spans="1:5" x14ac:dyDescent="0.2">
      <c r="A56" s="245" t="str">
        <v>Despesas certidão INSS</v>
      </c>
      <c r="B56" s="246">
        <f ca="1">IF(A56="","",SUMIF(Orçamento!Q:Q,'ABC Serviços Apoio'!A56,Orçamento!Z:Z))</f>
        <v>2111.2724197693183</v>
      </c>
      <c r="C56" s="246" t="str">
        <f t="shared" ca="1" si="0"/>
        <v>2111,27241976932 - Despesas certidão INSS</v>
      </c>
      <c r="E56" t="str">
        <f ca="1"/>
        <v>649,6186515 - Revestimento interno de Rodapé Cerâmico h=0,07cm</v>
      </c>
    </row>
    <row r="57" spans="1:5" x14ac:dyDescent="0.2">
      <c r="A57" s="245" t="str">
        <v>Despesas de consumo - Água</v>
      </c>
      <c r="B57" s="246">
        <f ca="1">IF(A57="","",SUMIF(Orçamento!Q:Q,'ABC Serviços Apoio'!A57,Orçamento!Z:Z))</f>
        <v>7700</v>
      </c>
      <c r="C57" s="246" t="str">
        <f t="shared" ca="1" si="0"/>
        <v>7700 - Despesas de consumo - Água</v>
      </c>
      <c r="E57" t="str">
        <f ca="1"/>
        <v xml:space="preserve">6489,65465731779 - Quadros e Disjuntores - Subsolo </v>
      </c>
    </row>
    <row r="58" spans="1:5" x14ac:dyDescent="0.2">
      <c r="A58" s="245" t="str">
        <v>Despesas de consumo - Cópias</v>
      </c>
      <c r="B58" s="246">
        <f ca="1">IF(A58="","",SUMIF(Orçamento!Q:Q,'ABC Serviços Apoio'!A58,Orçamento!Z:Z))</f>
        <v>1848</v>
      </c>
      <c r="C58" s="246" t="str">
        <f t="shared" ca="1" si="0"/>
        <v>1848 - Despesas de consumo - Cópias</v>
      </c>
      <c r="E58" t="str">
        <f ca="1"/>
        <v>63245 - Instalação de Equipamentos de Piscina</v>
      </c>
    </row>
    <row r="59" spans="1:5" x14ac:dyDescent="0.2">
      <c r="A59" s="245" t="str">
        <v>Despesas de consumo - Energia</v>
      </c>
      <c r="B59" s="246">
        <f ca="1">IF(A59="","",SUMIF(Orçamento!Q:Q,'ABC Serviços Apoio'!A59,Orçamento!Z:Z))</f>
        <v>8800</v>
      </c>
      <c r="C59" s="246" t="str">
        <f t="shared" ca="1" si="0"/>
        <v>8800 - Despesas de consumo - Energia</v>
      </c>
      <c r="E59" t="str">
        <f ca="1"/>
        <v xml:space="preserve">6300 - Locacao de banheiro quimico </v>
      </c>
    </row>
    <row r="60" spans="1:5" x14ac:dyDescent="0.2">
      <c r="A60" s="245" t="str">
        <v>Despesas de consumo - Equipamentos de Escritório</v>
      </c>
      <c r="B60" s="246">
        <f ca="1">IF(A60="","",SUMIF(Orçamento!Q:Q,'ABC Serviços Apoio'!A60,Orçamento!Z:Z))</f>
        <v>27000</v>
      </c>
      <c r="C60" s="246" t="str">
        <f t="shared" ca="1" si="0"/>
        <v>27000 - Despesas de consumo - Equipamentos de Escritório</v>
      </c>
      <c r="E60" t="str">
        <f ca="1"/>
        <v>6277,714677 - Estrutura de Madeira Apoiada em Parede</v>
      </c>
    </row>
    <row r="61" spans="1:5" x14ac:dyDescent="0.2">
      <c r="A61" s="245" t="str">
        <v>Despesas de consumo - Gerenciamento Eletronico</v>
      </c>
      <c r="B61" s="246">
        <f ca="1">IF(A61="","",SUMIF(Orçamento!Q:Q,'ABC Serviços Apoio'!A61,Orçamento!Z:Z))</f>
        <v>2860</v>
      </c>
      <c r="C61" s="246" t="str">
        <f t="shared" ca="1" si="0"/>
        <v>2860 - Despesas de consumo - Gerenciamento Eletronico</v>
      </c>
      <c r="E61" t="str">
        <f ca="1"/>
        <v>6169,443525 - Revestimento em Pastilhas para Piscina</v>
      </c>
    </row>
    <row r="62" spans="1:5" x14ac:dyDescent="0.2">
      <c r="A62" s="245" t="str">
        <v>Despesas de consumo - Internet</v>
      </c>
      <c r="B62" s="246">
        <f ca="1">IF(A62="","",SUMIF(Orçamento!Q:Q,'ABC Serviços Apoio'!A62,Orçamento!Z:Z))</f>
        <v>3300</v>
      </c>
      <c r="C62" s="246" t="str">
        <f t="shared" ca="1" si="0"/>
        <v>3300 - Despesas de consumo - Internet</v>
      </c>
      <c r="E62" t="str">
        <f ca="1"/>
        <v>60720 - Mao de obra para pintura acrilica em paredes externas, 2 demaos</v>
      </c>
    </row>
    <row r="63" spans="1:5" x14ac:dyDescent="0.2">
      <c r="A63" s="245" t="str">
        <v>Despesas de consumo - Mobiliário de Obra</v>
      </c>
      <c r="B63" s="246">
        <f ca="1">IF(A63="","",SUMIF(Orçamento!Q:Q,'ABC Serviços Apoio'!A63,Orçamento!Z:Z))</f>
        <v>12200</v>
      </c>
      <c r="C63" s="246" t="str">
        <f t="shared" ca="1" si="0"/>
        <v>12200 - Despesas de consumo - Mobiliário de Obra</v>
      </c>
      <c r="E63" t="str">
        <f ca="1"/>
        <v>6020 - Fechadura (c/ chave) + Dobradiça / Portas Maciças</v>
      </c>
    </row>
    <row r="64" spans="1:5" x14ac:dyDescent="0.2">
      <c r="A64" s="245" t="str">
        <v>Elaboracao do Programa PPRA e PCMAT</v>
      </c>
      <c r="B64" s="246">
        <f ca="1">IF(A64="","",SUMIF(Orçamento!Q:Q,'ABC Serviços Apoio'!A64,Orçamento!Z:Z))</f>
        <v>5220.0200000000004</v>
      </c>
      <c r="C64" s="246" t="str">
        <f t="shared" ca="1" si="0"/>
        <v>5220,02 - Elaboracao do Programa PPRA e PCMAT</v>
      </c>
      <c r="E64" t="str">
        <f ca="1"/>
        <v>6000,1644 - Encunhamento de alvenaria de vedacao com argamassa expansiva</v>
      </c>
    </row>
    <row r="65" spans="1:5" x14ac:dyDescent="0.2">
      <c r="A65" s="245" t="str">
        <v>Eletrodutos e Eletrocalhas - Cobertura</v>
      </c>
      <c r="B65" s="246">
        <f ca="1">IF(A65="","",SUMIF(Orçamento!Q:Q,'ABC Serviços Apoio'!A65,Orçamento!Z:Z))</f>
        <v>4852.9795400610647</v>
      </c>
      <c r="C65" s="246" t="str">
        <f t="shared" ca="1" si="0"/>
        <v>4852,97954006106 - Eletrodutos e Eletrocalhas - Cobertura</v>
      </c>
      <c r="E65" t="str">
        <f ca="1"/>
        <v>599,68 - Mao de obra para impermeabilizacao de peitoris</v>
      </c>
    </row>
    <row r="66" spans="1:5" x14ac:dyDescent="0.2">
      <c r="A66" s="245" t="str">
        <v>Eletrodutos e Eletrocalhas - Pavimento Técnico</v>
      </c>
      <c r="B66" s="246">
        <f ca="1">IF(A66="","",SUMIF(Orçamento!Q:Q,'ABC Serviços Apoio'!A66,Orçamento!Z:Z))</f>
        <v>3985.7708942187569</v>
      </c>
      <c r="C66" s="246" t="str">
        <f t="shared" ca="1" si="0"/>
        <v>3985,77089421876 - Eletrodutos e Eletrocalhas - Pavimento Técnico</v>
      </c>
      <c r="E66" t="str">
        <f ca="1"/>
        <v xml:space="preserve">5936 - Projeto eletrico </v>
      </c>
    </row>
    <row r="67" spans="1:5" x14ac:dyDescent="0.2">
      <c r="A67" s="245" t="str">
        <v>Eletrodutos e Eletrocalhas - Subsolo</v>
      </c>
      <c r="B67" s="246">
        <f ca="1">IF(A67="","",SUMIF(Orçamento!Q:Q,'ABC Serviços Apoio'!A67,Orçamento!Z:Z))</f>
        <v>10009.513655419161</v>
      </c>
      <c r="C67" s="246" t="str">
        <f t="shared" ref="C67:C130" ca="1" si="1">IF(A67="","",CONCATENATE(B67, " - ",A67))</f>
        <v>10009,5136554192 - Eletrodutos e Eletrocalhas - Subsolo</v>
      </c>
      <c r="E67" t="str">
        <f ca="1"/>
        <v xml:space="preserve">5923,64 - Taxas de Aprovação de Projetos e Alvarás (Prefeituras/Bombeiro) </v>
      </c>
    </row>
    <row r="68" spans="1:5" x14ac:dyDescent="0.2">
      <c r="A68" s="245" t="str">
        <v>Eletrodutos e Eletrocalhas - Térreo</v>
      </c>
      <c r="B68" s="246">
        <f ca="1">IF(A68="","",SUMIF(Orçamento!Q:Q,'ABC Serviços Apoio'!A68,Orçamento!Z:Z))</f>
        <v>6774.769135823467</v>
      </c>
      <c r="C68" s="246" t="str">
        <f t="shared" ca="1" si="1"/>
        <v>6774,76913582347 - Eletrodutos e Eletrocalhas - Térreo</v>
      </c>
      <c r="E68" t="str">
        <f ca="1"/>
        <v>5849,04156744068 - Instalacos do Sistema Preventivo de Incendio - Sub Solo</v>
      </c>
    </row>
    <row r="69" spans="1:5" x14ac:dyDescent="0.2">
      <c r="A69" s="245" t="str">
        <v>Eletrodutos e Eletrocalhas - Tipo (x5)</v>
      </c>
      <c r="B69" s="246">
        <f ca="1">IF(A69="","",SUMIF(Orçamento!Q:Q,'ABC Serviços Apoio'!A69,Orçamento!Z:Z))</f>
        <v>24258.952557144221</v>
      </c>
      <c r="C69" s="246" t="str">
        <f t="shared" ca="1" si="1"/>
        <v>24258,9525571442 - Eletrodutos e Eletrocalhas - Tipo (x5)</v>
      </c>
      <c r="E69" t="str">
        <f ca="1"/>
        <v>5849,04156744068 - Instalacoes de Esgoto - Sub Solo</v>
      </c>
    </row>
    <row r="70" spans="1:5" x14ac:dyDescent="0.2">
      <c r="A70" s="245" t="str">
        <v>Elevador social</v>
      </c>
      <c r="B70" s="246">
        <f ca="1">IF(A70="","",SUMIF(Orçamento!Q:Q,'ABC Serviços Apoio'!A70,Orçamento!Z:Z))</f>
        <v>187800</v>
      </c>
      <c r="C70" s="246" t="str">
        <f t="shared" ca="1" si="1"/>
        <v>187800 - Elevador social</v>
      </c>
      <c r="E70" t="str">
        <f ca="1"/>
        <v>5829,69 - Instalação de Equipamentos de Telefonia/lógica/internet</v>
      </c>
    </row>
    <row r="71" spans="1:5" x14ac:dyDescent="0.2">
      <c r="A71" s="245" t="str">
        <v>Empreiteiro de Terraplenagem / Escavação e Carga Mecanizada em Corte - Desaterro</v>
      </c>
      <c r="B71" s="246">
        <f ca="1">IF(A71="","",SUMIF(Orçamento!Q:Q,'ABC Serviços Apoio'!A71,Orçamento!Z:Z))</f>
        <v>135260</v>
      </c>
      <c r="C71" s="246" t="str">
        <f t="shared" ca="1" si="1"/>
        <v>135260 - Empreiteiro de Terraplenagem / Escavação e Carga Mecanizada em Corte - Desaterro</v>
      </c>
      <c r="E71" t="str">
        <f ca="1"/>
        <v>57962,94944968 - Fabricação de fôrma para Pilares em chapa de madeira compensada plastificada e=14 mm - 2 jogos</v>
      </c>
    </row>
    <row r="72" spans="1:5" x14ac:dyDescent="0.2">
      <c r="A72" s="245" t="str">
        <v>Encunhamento de alvenaria de vedacao com argamassa expansiva</v>
      </c>
      <c r="B72" s="246">
        <f ca="1">IF(A72="","",SUMIF(Orçamento!Q:Q,'ABC Serviços Apoio'!A72,Orçamento!Z:Z))</f>
        <v>6000.1644000000006</v>
      </c>
      <c r="C72" s="246" t="str">
        <f t="shared" ca="1" si="1"/>
        <v>6000,1644 - Encunhamento de alvenaria de vedacao com argamassa expansiva</v>
      </c>
      <c r="E72" t="str">
        <f ca="1"/>
        <v>5700 - Manuais Técnicos</v>
      </c>
    </row>
    <row r="73" spans="1:5" x14ac:dyDescent="0.2">
      <c r="A73" s="245" t="str">
        <v>Equipamento de ar-condicionado</v>
      </c>
      <c r="B73" s="246">
        <f ca="1">IF(A73="","",SUMIF(Orçamento!Q:Q,'ABC Serviços Apoio'!A73,Orçamento!Z:Z))</f>
        <v>17840</v>
      </c>
      <c r="C73" s="246" t="str">
        <f t="shared" ca="1" si="1"/>
        <v>17840 - Equipamento de ar-condicionado</v>
      </c>
      <c r="E73" t="str">
        <f ca="1"/>
        <v>56000 - Aquisição Equipamentos - Mini Grua 500g</v>
      </c>
    </row>
    <row r="74" spans="1:5" x14ac:dyDescent="0.2">
      <c r="A74" s="245" t="str">
        <v>Equipamentos, Ferramentas e acessorios de Apoio ao Canteiro de Obra</v>
      </c>
      <c r="B74" s="246">
        <f ca="1">IF(A74="","",SUMIF(Orçamento!Q:Q,'ABC Serviços Apoio'!A74,Orçamento!Z:Z))</f>
        <v>21600</v>
      </c>
      <c r="C74" s="246" t="str">
        <f t="shared" ca="1" si="1"/>
        <v>21600 - Equipamentos, Ferramentas e acessorios de Apoio ao Canteiro de Obra</v>
      </c>
      <c r="E74" t="str">
        <f ca="1"/>
        <v>554,0913 - Alvenaria de vedacao de blocos ceramicos furados na horizontal de  9 X 19 X 29 cm (espessura 9cm) com argamassa industrializada de assentamento</v>
      </c>
    </row>
    <row r="75" spans="1:5" x14ac:dyDescent="0.2">
      <c r="A75" s="245" t="str">
        <v>Equipe de Canteiro</v>
      </c>
      <c r="B75" s="246">
        <f ca="1">IF(A75="","",SUMIF(Orçamento!Q:Q,'ABC Serviços Apoio'!A75,Orçamento!Z:Z))</f>
        <v>112200</v>
      </c>
      <c r="C75" s="246" t="str">
        <f t="shared" ca="1" si="1"/>
        <v>112200 - Equipe de Canteiro</v>
      </c>
      <c r="E75" t="str">
        <f ca="1"/>
        <v>5444,2849792 - Rodape de poliestireno 15cm</v>
      </c>
    </row>
    <row r="76" spans="1:5" x14ac:dyDescent="0.2">
      <c r="A76" s="245" t="str">
        <v>Escavacao mecanizada para Sapatas, com previsao de forma</v>
      </c>
      <c r="B76" s="246">
        <f ca="1">IF(A76="","",SUMIF(Orçamento!Q:Q,'ABC Serviços Apoio'!A76,Orçamento!Z:Z))</f>
        <v>228.93083999999996</v>
      </c>
      <c r="C76" s="246" t="str">
        <f t="shared" ca="1" si="1"/>
        <v>228,93084 - Escavacao mecanizada para Sapatas, com previsao de forma</v>
      </c>
      <c r="E76" t="str">
        <f ca="1"/>
        <v>5278,43245261534 - Instalacoes de Agua Fria - Térreo</v>
      </c>
    </row>
    <row r="77" spans="1:5" x14ac:dyDescent="0.2">
      <c r="A77" s="245" t="str">
        <v>Esquadrias de Aluminio - Fornecimento e instalacao incluindo vidros</v>
      </c>
      <c r="B77" s="246">
        <f ca="1">IF(A77="","",SUMIF(Orçamento!Q:Q,'ABC Serviços Apoio'!A77,Orçamento!Z:Z))</f>
        <v>220019.47667518639</v>
      </c>
      <c r="C77" s="246" t="str">
        <f t="shared" ca="1" si="1"/>
        <v>220019,476675186 - Esquadrias de Aluminio - Fornecimento e instalacao incluindo vidros</v>
      </c>
      <c r="E77" t="str">
        <f ca="1"/>
        <v>527,843245261534 - Luminárias e Acessorios - Térreo</v>
      </c>
    </row>
    <row r="78" spans="1:5" x14ac:dyDescent="0.2">
      <c r="A78" s="245" t="str">
        <v>Esquadrias Metálicas - Alçapão 70x70 - fornecimento e instalacao</v>
      </c>
      <c r="B78" s="246">
        <f ca="1">IF(A78="","",SUMIF(Orçamento!Q:Q,'ABC Serviços Apoio'!A78,Orçamento!Z:Z))</f>
        <v>3067.98</v>
      </c>
      <c r="C78" s="246" t="str">
        <f t="shared" ca="1" si="1"/>
        <v>3067,98 - Esquadrias Metálicas - Alçapão 70x70 - fornecimento e instalacao</v>
      </c>
      <c r="E78" t="str">
        <f ca="1"/>
        <v>5244,619068 - Armacao aco CA-50 ø 10.0mm para Contenções- cortado e dobrado em industria</v>
      </c>
    </row>
    <row r="79" spans="1:5" x14ac:dyDescent="0.2">
      <c r="A79" s="245" t="str">
        <v>Esquadrias Metálicas - Escada Marinheiro - fornecimento e instalacao</v>
      </c>
      <c r="B79" s="246">
        <f ca="1">IF(A79="","",SUMIF(Orçamento!Q:Q,'ABC Serviços Apoio'!A79,Orçamento!Z:Z))</f>
        <v>10891.64</v>
      </c>
      <c r="C79" s="246" t="str">
        <f t="shared" ca="1" si="1"/>
        <v>10891,64 - Esquadrias Metálicas - Escada Marinheiro - fornecimento e instalacao</v>
      </c>
      <c r="E79" t="str">
        <f ca="1"/>
        <v>5220,02 - Elaboracao do Programa PPRA e PCMAT</v>
      </c>
    </row>
    <row r="80" spans="1:5" x14ac:dyDescent="0.2">
      <c r="A80" s="245" t="str">
        <v>Esquadrias Metálicas - Gaiola Fachadas - fornecimento e instalacao</v>
      </c>
      <c r="B80" s="246">
        <f ca="1">IF(A80="","",SUMIF(Orçamento!Q:Q,'ABC Serviços Apoio'!A80,Orçamento!Z:Z))</f>
        <v>32997.750000000007</v>
      </c>
      <c r="C80" s="246" t="str">
        <f t="shared" ca="1" si="1"/>
        <v>32997,75 - Esquadrias Metálicas - Gaiola Fachadas - fornecimento e instalacao</v>
      </c>
      <c r="E80" t="str">
        <f ca="1"/>
        <v>519,757 - Mao de obra para execucao de piso de concretograma</v>
      </c>
    </row>
    <row r="81" spans="1:5" x14ac:dyDescent="0.2">
      <c r="A81" s="245" t="str">
        <v>Esquadrias Metálicas - Gradil Entrada - fornecimento e instalacao</v>
      </c>
      <c r="B81" s="246">
        <f ca="1">IF(A81="","",SUMIF(Orçamento!Q:Q,'ABC Serviços Apoio'!A81,Orçamento!Z:Z))</f>
        <v>2643.17</v>
      </c>
      <c r="C81" s="246" t="str">
        <f t="shared" ca="1" si="1"/>
        <v>2643,17 - Esquadrias Metálicas - Gradil Entrada - fornecimento e instalacao</v>
      </c>
      <c r="E81" t="str">
        <f ca="1"/>
        <v>519,272 - Tanque de Louça</v>
      </c>
    </row>
    <row r="82" spans="1:5" x14ac:dyDescent="0.2">
      <c r="A82" s="245" t="str">
        <v>Esquadrias Metálicas - Janela Fixa - fornecimento e instalacao</v>
      </c>
      <c r="B82" s="246">
        <f ca="1">IF(A82="","",SUMIF(Orçamento!Q:Q,'ABC Serviços Apoio'!A82,Orçamento!Z:Z))</f>
        <v>8265.1</v>
      </c>
      <c r="C82" s="246" t="str">
        <f t="shared" ca="1" si="1"/>
        <v>8265,1 - Esquadrias Metálicas - Janela Fixa - fornecimento e instalacao</v>
      </c>
      <c r="E82" t="str">
        <f ca="1"/>
        <v>50841,7259120674 - Mao de obra para colocacao e rejuntamento de Azulejo Cerâmico</v>
      </c>
    </row>
    <row r="83" spans="1:5" x14ac:dyDescent="0.2">
      <c r="A83" s="245" t="str">
        <v>Esquadrias Metálicas - Porta Corta Fogo - fornecimento e instalacao</v>
      </c>
      <c r="B83" s="246">
        <f ca="1">IF(A83="","",SUMIF(Orçamento!Q:Q,'ABC Serviços Apoio'!A83,Orçamento!Z:Z))</f>
        <v>29824.11</v>
      </c>
      <c r="C83" s="246" t="str">
        <f t="shared" ca="1" si="1"/>
        <v>29824,11 - Esquadrias Metálicas - Porta Corta Fogo - fornecimento e instalacao</v>
      </c>
      <c r="E83" t="str">
        <f ca="1"/>
        <v>50600 - Loucas e metais</v>
      </c>
    </row>
    <row r="84" spans="1:5" x14ac:dyDescent="0.2">
      <c r="A84" s="245" t="str">
        <v>Estrutura de Madeira Apoiada em Parede</v>
      </c>
      <c r="B84" s="246">
        <f ca="1">IF(A84="","",SUMIF(Orçamento!Q:Q,'ABC Serviços Apoio'!A84,Orçamento!Z:Z))</f>
        <v>6277.7146769999999</v>
      </c>
      <c r="C84" s="246" t="str">
        <f t="shared" ca="1" si="1"/>
        <v>6277,714677 - Estrutura de Madeira Apoiada em Parede</v>
      </c>
      <c r="E84" t="str">
        <f ca="1"/>
        <v>4852,97954006106 - Eletrodutos e Eletrocalhas - Cobertura</v>
      </c>
    </row>
    <row r="85" spans="1:5" x14ac:dyDescent="0.2">
      <c r="A85" s="245" t="str">
        <v>Estucamento de estrutura de concreto em pilares e vigas</v>
      </c>
      <c r="B85" s="246">
        <f ca="1">IF(A85="","",SUMIF(Orçamento!Q:Q,'ABC Serviços Apoio'!A85,Orçamento!Z:Z))</f>
        <v>1262.7150900000001</v>
      </c>
      <c r="C85" s="246" t="str">
        <f t="shared" ca="1" si="1"/>
        <v>1262,71509 - Estucamento de estrutura de concreto em pilares e vigas</v>
      </c>
      <c r="E85" t="str">
        <f ca="1"/>
        <v>4810 - Fechadura (c/ chave) + Dobradiça / Portas Internas</v>
      </c>
    </row>
    <row r="86" spans="1:5" x14ac:dyDescent="0.2">
      <c r="A86" s="245" t="str">
        <v>Estucamento de estrutura de concreto em teto</v>
      </c>
      <c r="B86" s="246">
        <f ca="1">IF(A86="","",SUMIF(Orçamento!Q:Q,'ABC Serviços Apoio'!A86,Orçamento!Z:Z))</f>
        <v>1269.2752800000001</v>
      </c>
      <c r="C86" s="246" t="str">
        <f t="shared" ca="1" si="1"/>
        <v>1269,27528 - Estucamento de estrutura de concreto em teto</v>
      </c>
      <c r="E86" t="str">
        <f ca="1"/>
        <v>46260,6710852255 - Armacao Média para Infraestrutura</v>
      </c>
    </row>
    <row r="87" spans="1:5" x14ac:dyDescent="0.2">
      <c r="A87" s="245" t="str">
        <v>Exaustao das churrasqueiras</v>
      </c>
      <c r="B87" s="246">
        <f ca="1">IF(A87="","",SUMIF(Orçamento!Q:Q,'ABC Serviços Apoio'!A87,Orçamento!Z:Z))</f>
        <v>2050</v>
      </c>
      <c r="C87" s="246" t="str">
        <f t="shared" ca="1" si="1"/>
        <v>2050 - Exaustao das churrasqueiras</v>
      </c>
      <c r="E87" t="str">
        <f ca="1"/>
        <v>46000,33782 - Revestimento em Cerâmica 60x60cm interno</v>
      </c>
    </row>
    <row r="88" spans="1:5" x14ac:dyDescent="0.2">
      <c r="A88" s="245" t="str">
        <v>Fabricação de fôrma para Escadas em chapa de madeira compensada plastificada e=14 mm - 2 jogos</v>
      </c>
      <c r="B88" s="246">
        <f ca="1">IF(A88="","",SUMIF(Orçamento!Q:Q,'ABC Serviços Apoio'!A88,Orçamento!Z:Z))</f>
        <v>24478.422296151999</v>
      </c>
      <c r="C88" s="246" t="str">
        <f t="shared" ca="1" si="1"/>
        <v>24478,422296152 - Fabricação de fôrma para Escadas em chapa de madeira compensada plastificada e=14 mm - 2 jogos</v>
      </c>
      <c r="E88" t="str">
        <f ca="1"/>
        <v>46,82 - Acessórios - Instalação de Bancada Pia Cozinha</v>
      </c>
    </row>
    <row r="89" spans="1:5" x14ac:dyDescent="0.2">
      <c r="A89" s="245" t="str">
        <v>Fabricação de fôrma para laje em chapa de madeira compensada plastificada e=14 mm - 2 jogos</v>
      </c>
      <c r="B89" s="246">
        <f ca="1">IF(A89="","",SUMIF(Orçamento!Q:Q,'ABC Serviços Apoio'!A89,Orçamento!Z:Z))</f>
        <v>19934.975714640001</v>
      </c>
      <c r="C89" s="246" t="str">
        <f t="shared" ca="1" si="1"/>
        <v>19934,97571464 - Fabricação de fôrma para laje em chapa de madeira compensada plastificada e=14 mm - 2 jogos</v>
      </c>
      <c r="E89" t="str">
        <f ca="1"/>
        <v>459,36 - Bancada Pia Cozinha - Granito Comercial</v>
      </c>
    </row>
    <row r="90" spans="1:5" x14ac:dyDescent="0.2">
      <c r="A90" s="245" t="str">
        <v>Fabricação de fôrma para Pilares em chapa de madeira compensada plastificada e=14 mm - 2 jogos</v>
      </c>
      <c r="B90" s="246">
        <f ca="1">IF(A90="","",SUMIF(Orçamento!Q:Q,'ABC Serviços Apoio'!A90,Orçamento!Z:Z))</f>
        <v>57962.949449679974</v>
      </c>
      <c r="C90" s="246" t="str">
        <f t="shared" ca="1" si="1"/>
        <v>57962,94944968 - Fabricação de fôrma para Pilares em chapa de madeira compensada plastificada e=14 mm - 2 jogos</v>
      </c>
      <c r="E90" t="str">
        <f ca="1"/>
        <v>4475,8368 - Revestimento interno de piso Ladrilho Piscina - áreas Externas</v>
      </c>
    </row>
    <row r="91" spans="1:5" x14ac:dyDescent="0.2">
      <c r="A91" s="245" t="str">
        <v>Fabricação de fôrma para vigas em chapa de madeira compensada plastificada e=14 mm - 2 jogos</v>
      </c>
      <c r="B91" s="246">
        <f ca="1">IF(A91="","",SUMIF(Orçamento!Q:Q,'ABC Serviços Apoio'!A91,Orçamento!Z:Z))</f>
        <v>74515.2305715775</v>
      </c>
      <c r="C91" s="246" t="str">
        <f t="shared" ca="1" si="1"/>
        <v>74515,2305715775 - Fabricação de fôrma para vigas em chapa de madeira compensada plastificada e=14 mm - 2 jogos</v>
      </c>
      <c r="E91" t="str">
        <f ca="1"/>
        <v>4425,9075 - Contrapiso comum em argamassa estabilizada, nao aderido, espessura 14cm</v>
      </c>
    </row>
    <row r="92" spans="1:5" x14ac:dyDescent="0.2">
      <c r="A92" s="245" t="str">
        <v>Fabricacao, montagem e desmontagem de forma para fundacao rasa, em madeira serrada</v>
      </c>
      <c r="B92" s="246">
        <f ca="1">IF(A92="","",SUMIF(Orçamento!Q:Q,'ABC Serviços Apoio'!A92,Orçamento!Z:Z))</f>
        <v>14700.517367765189</v>
      </c>
      <c r="C92" s="246" t="str">
        <f t="shared" ca="1" si="1"/>
        <v>14700,5173677652 - Fabricacao, montagem e desmontagem de forma para fundacao rasa, em madeira serrada</v>
      </c>
      <c r="E92" t="str">
        <f ca="1"/>
        <v>4392,41241763494 - Quadros e Disjuntores - Térreo</v>
      </c>
    </row>
    <row r="93" spans="1:5" x14ac:dyDescent="0.2">
      <c r="A93" s="245" t="str">
        <v>Fechadura (c/ chave) + Dobradiça / Portas Internas</v>
      </c>
      <c r="B93" s="246">
        <f ca="1">IF(A93="","",SUMIF(Orçamento!Q:Q,'ABC Serviços Apoio'!A93,Orçamento!Z:Z))</f>
        <v>4810</v>
      </c>
      <c r="C93" s="246" t="str">
        <f t="shared" ca="1" si="1"/>
        <v>4810 - Fechadura (c/ chave) + Dobradiça / Portas Internas</v>
      </c>
      <c r="E93" t="str">
        <f ca="1"/>
        <v>43781,8553906248 - Forma para Infraestrutura</v>
      </c>
    </row>
    <row r="94" spans="1:5" x14ac:dyDescent="0.2">
      <c r="A94" s="245" t="str">
        <v>Fechadura (c/ chave) + Dobradiça / Portas Maciças</v>
      </c>
      <c r="B94" s="246">
        <f ca="1">IF(A94="","",SUMIF(Orçamento!Q:Q,'ABC Serviços Apoio'!A94,Orçamento!Z:Z))</f>
        <v>6020</v>
      </c>
      <c r="C94" s="246" t="str">
        <f t="shared" ca="1" si="1"/>
        <v>6020 - Fechadura (c/ chave) + Dobradiça / Portas Maciças</v>
      </c>
      <c r="E94" t="str">
        <f ca="1"/>
        <v>4346,70954162769 - Mao de obra para colocacao e rejuntamento de Azulejo Cerâmico e Porcelanato</v>
      </c>
    </row>
    <row r="95" spans="1:5" x14ac:dyDescent="0.2">
      <c r="A95" s="245" t="str">
        <v>Fechamento removivel de vaos de porta de elevador em madeira</v>
      </c>
      <c r="B95" s="246">
        <f ca="1">IF(A95="","",SUMIF(Orçamento!Q:Q,'ABC Serviços Apoio'!A95,Orçamento!Z:Z))</f>
        <v>113.83176000000002</v>
      </c>
      <c r="C95" s="246" t="str">
        <f t="shared" ca="1" si="1"/>
        <v>113,83176 - Fechamento removivel de vaos de porta de elevador em madeira</v>
      </c>
      <c r="E95" t="str">
        <f ca="1"/>
        <v xml:space="preserve">43269,8368 - Ancoragem Para Cordoalha </v>
      </c>
    </row>
    <row r="96" spans="1:5" x14ac:dyDescent="0.2">
      <c r="A96" s="245" t="str">
        <v>Fixacao de de contramarcos com argamassa</v>
      </c>
      <c r="B96" s="246">
        <f ca="1">IF(A96="","",SUMIF(Orçamento!Q:Q,'ABC Serviços Apoio'!A96,Orçamento!Z:Z))</f>
        <v>398.46299999999997</v>
      </c>
      <c r="C96" s="246" t="str">
        <f t="shared" ca="1" si="1"/>
        <v>398,463 - Fixacao de de contramarcos com argamassa</v>
      </c>
      <c r="E96" t="str">
        <f ca="1"/>
        <v>432,5153832 - Rufo de Manta Aluminizada larg 30 cm</v>
      </c>
    </row>
    <row r="97" spans="1:5" x14ac:dyDescent="0.2">
      <c r="A97" s="245" t="str">
        <v>Forma para Contenção</v>
      </c>
      <c r="B97" s="246">
        <f ca="1">IF(A97="","",SUMIF(Orçamento!Q:Q,'ABC Serviços Apoio'!A97,Orçamento!Z:Z))</f>
        <v>13113.354609375243</v>
      </c>
      <c r="C97" s="246" t="str">
        <f t="shared" ca="1" si="1"/>
        <v>13113,3546093752 - Forma para Contenção</v>
      </c>
      <c r="E97" t="str">
        <f ca="1"/>
        <v>41400 - Mão de Obra Operações de Canteiro</v>
      </c>
    </row>
    <row r="98" spans="1:5" x14ac:dyDescent="0.2">
      <c r="A98" s="245" t="str">
        <v>Forma para Infraestrutura</v>
      </c>
      <c r="B98" s="246">
        <f ca="1">IF(A98="","",SUMIF(Orçamento!Q:Q,'ABC Serviços Apoio'!A98,Orçamento!Z:Z))</f>
        <v>43781.855390624762</v>
      </c>
      <c r="C98" s="246" t="str">
        <f t="shared" ca="1" si="1"/>
        <v>43781,8553906248 - Forma para Infraestrutura</v>
      </c>
      <c r="E98" t="str">
        <f ca="1"/>
        <v>40816 - Projeto Arquitetônico</v>
      </c>
    </row>
    <row r="99" spans="1:5" x14ac:dyDescent="0.2">
      <c r="A99" s="245" t="str">
        <v>Forro de Gesso em Placa - material e mao de obra</v>
      </c>
      <c r="B99" s="246">
        <f ca="1">IF(A99="","",SUMIF(Orçamento!Q:Q,'ABC Serviços Apoio'!A99,Orçamento!Z:Z))</f>
        <v>71553.486164239992</v>
      </c>
      <c r="C99" s="246" t="str">
        <f t="shared" ca="1" si="1"/>
        <v>71553,48616424 - Forro de Gesso em Placa - material e mao de obra</v>
      </c>
      <c r="E99" t="str">
        <f ca="1"/>
        <v>40800 - Locacao Equipamentos - Balancim</v>
      </c>
    </row>
    <row r="100" spans="1:5" x14ac:dyDescent="0.2">
      <c r="A100" s="245" t="str">
        <v>Fundo selador latex acrilico em paredes externas, 1 demao</v>
      </c>
      <c r="B100" s="246">
        <f ca="1">IF(A100="","",SUMIF(Orçamento!Q:Q,'ABC Serviços Apoio'!A100,Orçamento!Z:Z))</f>
        <v>2300.81592</v>
      </c>
      <c r="C100" s="246" t="str">
        <f t="shared" ca="1" si="1"/>
        <v>2300,81592 - Fundo selador latex acrilico em paredes externas, 1 demao</v>
      </c>
      <c r="E100" t="str">
        <f ca="1"/>
        <v>40603,2828043202 - Cordoalha CP-190 RB 12,7</v>
      </c>
    </row>
    <row r="101" spans="1:5" x14ac:dyDescent="0.2">
      <c r="A101" s="245" t="str">
        <v>Guarda-corpo de laje apos desforma</v>
      </c>
      <c r="B101" s="246">
        <f ca="1">IF(A101="","",SUMIF(Orçamento!Q:Q,'ABC Serviços Apoio'!A101,Orçamento!Z:Z))</f>
        <v>3530.5343999999996</v>
      </c>
      <c r="C101" s="246" t="str">
        <f t="shared" ca="1" si="1"/>
        <v>3530,5344 - Guarda-corpo de laje apos desforma</v>
      </c>
      <c r="E101" t="str">
        <f ca="1"/>
        <v>40354,9931499999 - Revestimento Porcelanato - aplicacao em paredes externas</v>
      </c>
    </row>
    <row r="102" spans="1:5" x14ac:dyDescent="0.2">
      <c r="A102" s="245" t="str">
        <v>Guarda-corpo de vaos, fixado em forma de madeira, em trama de madeira com tela de polipropileno</v>
      </c>
      <c r="B102" s="246">
        <f ca="1">IF(A102="","",SUMIF(Orçamento!Q:Q,'ABC Serviços Apoio'!A102,Orçamento!Z:Z))</f>
        <v>1351.65924</v>
      </c>
      <c r="C102" s="246" t="str">
        <f t="shared" ca="1" si="1"/>
        <v>1351,65924 - Guarda-corpo de vaos, fixado em forma de madeira, em trama de madeira com tela de polipropileno</v>
      </c>
      <c r="E102" t="str">
        <f ca="1"/>
        <v>3985,77089421876 - Eletrodutos e Eletrocalhas - Pavimento Técnico</v>
      </c>
    </row>
    <row r="103" spans="1:5" x14ac:dyDescent="0.2">
      <c r="A103" s="245" t="str">
        <v>Guarda-corpos de aluminio e vidro</v>
      </c>
      <c r="B103" s="246">
        <f ca="1">IF(A103="","",SUMIF(Orçamento!Q:Q,'ABC Serviços Apoio'!A103,Orçamento!Z:Z))</f>
        <v>207474.34771547181</v>
      </c>
      <c r="C103" s="246" t="str">
        <f t="shared" ca="1" si="1"/>
        <v>207474,347715472 - Guarda-corpos de aluminio e vidro</v>
      </c>
      <c r="E103" t="str">
        <f ca="1"/>
        <v>398,463 - Fixacao de de contramarcos com argamassa</v>
      </c>
    </row>
    <row r="104" spans="1:5" x14ac:dyDescent="0.2">
      <c r="A104" s="245" t="str">
        <v>Impermeabilizacao com argamassa polimerica impermeabilizante</v>
      </c>
      <c r="B104" s="246">
        <f ca="1">IF(A104="","",SUMIF(Orçamento!Q:Q,'ABC Serviços Apoio'!A104,Orçamento!Z:Z))</f>
        <v>28947.878079999999</v>
      </c>
      <c r="C104" s="246" t="str">
        <f t="shared" ca="1" si="1"/>
        <v>28947,87808 - Impermeabilizacao com argamassa polimerica impermeabilizante</v>
      </c>
      <c r="E104" t="str">
        <f ca="1"/>
        <v>39600 - Manutenção de Canteiro provisório</v>
      </c>
    </row>
    <row r="105" spans="1:5" x14ac:dyDescent="0.2">
      <c r="A105" s="245" t="str">
        <v>Impermeabilizacao com manta asfaltica espessura 4mm, uma camada, aplicacao com primer asfaltico</v>
      </c>
      <c r="B105" s="246">
        <f ca="1">IF(A105="","",SUMIF(Orçamento!Q:Q,'ABC Serviços Apoio'!A105,Orçamento!Z:Z))</f>
        <v>23581.170480000001</v>
      </c>
      <c r="C105" s="246" t="str">
        <f t="shared" ca="1" si="1"/>
        <v>23581,17048 - Impermeabilizacao com manta asfaltica espessura 4mm, uma camada, aplicacao com primer asfaltico</v>
      </c>
      <c r="E105" t="str">
        <f ca="1"/>
        <v>3958,8243394615 - Instalacos do Sistema Preventivo de Incendio - Térreo</v>
      </c>
    </row>
    <row r="106" spans="1:5" x14ac:dyDescent="0.2">
      <c r="A106" s="245" t="str">
        <v>Impermeabilizacao com manta liquida em peitoris</v>
      </c>
      <c r="B106" s="246">
        <f ca="1">IF(A106="","",SUMIF(Orçamento!Q:Q,'ABC Serviços Apoio'!A106,Orçamento!Z:Z))</f>
        <v>723.8325000000001</v>
      </c>
      <c r="C106" s="246" t="str">
        <f t="shared" ca="1" si="1"/>
        <v>723,8325 - Impermeabilizacao com manta liquida em peitoris</v>
      </c>
      <c r="E106" t="str">
        <f ca="1"/>
        <v>3958,8243394615 - Instalacoes de Esgoto - Térreo</v>
      </c>
    </row>
    <row r="107" spans="1:5" x14ac:dyDescent="0.2">
      <c r="A107" s="245" t="str">
        <v>Impermeabilizacao com tinta asfaltica em Fundação Rasa</v>
      </c>
      <c r="B107" s="246">
        <f ca="1">IF(A107="","",SUMIF(Orçamento!Q:Q,'ABC Serviços Apoio'!A107,Orçamento!Z:Z))</f>
        <v>22.34</v>
      </c>
      <c r="C107" s="246" t="str">
        <f t="shared" ca="1" si="1"/>
        <v>22,34 - Impermeabilizacao com tinta asfaltica em Fundação Rasa</v>
      </c>
      <c r="E107" t="str">
        <f ca="1"/>
        <v>39010,4573199439 - Mao de obra para execucao de contrapiso comum e acústico</v>
      </c>
    </row>
    <row r="108" spans="1:5" x14ac:dyDescent="0.2">
      <c r="A108" s="245" t="str">
        <v>Infraestrutura para instalacao de ar condicionado</v>
      </c>
      <c r="B108" s="246">
        <f ca="1">IF(A108="","",SUMIF(Orçamento!Q:Q,'ABC Serviços Apoio'!A108,Orçamento!Z:Z))</f>
        <v>35600</v>
      </c>
      <c r="C108" s="246" t="str">
        <f t="shared" ca="1" si="1"/>
        <v>35600 - Infraestrutura para instalacao de ar condicionado</v>
      </c>
      <c r="E108" t="str">
        <f ca="1"/>
        <v>3899,36104496046 - Instalacoes de Aguas Pluviais - Sub Solo</v>
      </c>
    </row>
    <row r="109" spans="1:5" x14ac:dyDescent="0.2">
      <c r="A109" s="245" t="str">
        <v>Instalação de Equipamentos de Piscina</v>
      </c>
      <c r="B109" s="246">
        <f ca="1">IF(A109="","",SUMIF(Orçamento!Q:Q,'ABC Serviços Apoio'!A109,Orçamento!Z:Z))</f>
        <v>63245</v>
      </c>
      <c r="C109" s="246" t="str">
        <f t="shared" ca="1" si="1"/>
        <v>63245 - Instalação de Equipamentos de Piscina</v>
      </c>
      <c r="E109" t="str">
        <f ca="1"/>
        <v>3886,46 - Sistema de CFTV</v>
      </c>
    </row>
    <row r="110" spans="1:5" x14ac:dyDescent="0.2">
      <c r="A110" s="245" t="str">
        <v>Instalação de Equipamentos de Telefonia/lógica/internet</v>
      </c>
      <c r="B110" s="246">
        <f ca="1">IF(A110="","",SUMIF(Orçamento!Q:Q,'ABC Serviços Apoio'!A110,Orçamento!Z:Z))</f>
        <v>5829.6900000000005</v>
      </c>
      <c r="C110" s="246" t="str">
        <f t="shared" ca="1" si="1"/>
        <v>5829,69 - Instalação de Equipamentos de Telefonia/lógica/internet</v>
      </c>
      <c r="E110" t="str">
        <f ca="1"/>
        <v xml:space="preserve">3840,8224 - Pergolado de madeira </v>
      </c>
    </row>
    <row r="111" spans="1:5" x14ac:dyDescent="0.2">
      <c r="A111" s="245" t="str">
        <v>Instalacoes de Agua Fria - Cobertura</v>
      </c>
      <c r="B111" s="246">
        <f ca="1">IF(A111="","",SUMIF(Orçamento!Q:Q,'ABC Serviços Apoio'!A111,Orçamento!Z:Z))</f>
        <v>3781.1066595146744</v>
      </c>
      <c r="C111" s="246" t="str">
        <f t="shared" ca="1" si="1"/>
        <v>3781,10665951467 - Instalacoes de Agua Fria - Cobertura</v>
      </c>
      <c r="E111" t="str">
        <f ca="1"/>
        <v>3781,10665951467 - Instalacoes de Agua Fria - Cobertura</v>
      </c>
    </row>
    <row r="112" spans="1:5" x14ac:dyDescent="0.2">
      <c r="A112" s="245" t="str">
        <v>Instalacoes de Agua Fria - Pavimento Técnico</v>
      </c>
      <c r="B112" s="246">
        <f ca="1">IF(A112="","",SUMIF(Orçamento!Q:Q,'ABC Serviços Apoio'!A112,Orçamento!Z:Z))</f>
        <v>3105.4375455373684</v>
      </c>
      <c r="C112" s="246" t="str">
        <f t="shared" ca="1" si="1"/>
        <v>3105,43754553737 - Instalacoes de Agua Fria - Pavimento Técnico</v>
      </c>
      <c r="E112" t="str">
        <f ca="1"/>
        <v>378,110665951467 - Luminárias e Acessorios - Cobertura</v>
      </c>
    </row>
    <row r="113" spans="1:5" x14ac:dyDescent="0.2">
      <c r="A113" s="245" t="str">
        <v>Instalacoes de Agua Fria - Sub Solo</v>
      </c>
      <c r="B113" s="246">
        <f ca="1">IF(A113="","",SUMIF(Orçamento!Q:Q,'ABC Serviços Apoio'!A113,Orçamento!Z:Z))</f>
        <v>7798.7220899209133</v>
      </c>
      <c r="C113" s="246" t="str">
        <f t="shared" ca="1" si="1"/>
        <v>7798,72208992091 - Instalacoes de Agua Fria - Sub Solo</v>
      </c>
      <c r="E113" t="str">
        <f ca="1"/>
        <v>3772 - Controle Tecnológico de Concreto - Infraestrura e Contenção</v>
      </c>
    </row>
    <row r="114" spans="1:5" x14ac:dyDescent="0.2">
      <c r="A114" s="245" t="str">
        <v>Instalacoes de Agua Fria - Térreo</v>
      </c>
      <c r="B114" s="246">
        <f ca="1">IF(A114="","",SUMIF(Orçamento!Q:Q,'ABC Serviços Apoio'!A114,Orçamento!Z:Z))</f>
        <v>5278.4324526153387</v>
      </c>
      <c r="C114" s="246" t="str">
        <f t="shared" ca="1" si="1"/>
        <v>5278,43245261534 - Instalacoes de Agua Fria - Térreo</v>
      </c>
      <c r="E114" t="str">
        <f ca="1"/>
        <v>3729,0940530177 - Montagem e desmontagem de fôrma para vigas em chapa de madeira compensada plastificada</v>
      </c>
    </row>
    <row r="115" spans="1:5" x14ac:dyDescent="0.2">
      <c r="A115" s="245" t="str">
        <v>Instalacoes de Agua Fria - Tipo (5X)</v>
      </c>
      <c r="B115" s="246">
        <f ca="1">IF(A115="","",SUMIF(Orçamento!Q:Q,'ABC Serviços Apoio'!A115,Orçamento!Z:Z))</f>
        <v>18900.901252411702</v>
      </c>
      <c r="C115" s="246" t="str">
        <f t="shared" ca="1" si="1"/>
        <v>18900,9012524117 - Instalacoes de Agua Fria - Tipo (5X)</v>
      </c>
      <c r="E115" t="str">
        <f ca="1"/>
        <v>37030 - Mao De Obra Acabamento Em Massa Teto</v>
      </c>
    </row>
    <row r="116" spans="1:5" x14ac:dyDescent="0.2">
      <c r="A116" s="245" t="str">
        <v>Instalacoes de Aguas Pluviais - Cobertura</v>
      </c>
      <c r="B116" s="246">
        <f ca="1">IF(A116="","",SUMIF(Orçamento!Q:Q,'ABC Serviços Apoio'!A116,Orçamento!Z:Z))</f>
        <v>1890.5533297573372</v>
      </c>
      <c r="C116" s="246" t="str">
        <f t="shared" ca="1" si="1"/>
        <v>1890,55332975734 - Instalacoes de Aguas Pluviais - Cobertura</v>
      </c>
      <c r="E116" t="str">
        <f ca="1"/>
        <v>369,354619743 - Montagem e desmontagem de fôrma para laje em chapa de madeira compensada plastificada</v>
      </c>
    </row>
    <row r="117" spans="1:5" x14ac:dyDescent="0.2">
      <c r="A117" s="245" t="str">
        <v>Instalacoes de Aguas Pluviais - Pavimento Técnico</v>
      </c>
      <c r="B117" s="246">
        <f ca="1">IF(A117="","",SUMIF(Orçamento!Q:Q,'ABC Serviços Apoio'!A117,Orçamento!Z:Z))</f>
        <v>1552.7187727686842</v>
      </c>
      <c r="C117" s="246" t="str">
        <f t="shared" ca="1" si="1"/>
        <v>1552,71877276868 - Instalacoes de Aguas Pluviais - Pavimento Técnico</v>
      </c>
      <c r="E117" t="str">
        <f ca="1"/>
        <v>36058,56 - Massa unica para reboco externo em argamassa estabilizada, espessura de 35mm</v>
      </c>
    </row>
    <row r="118" spans="1:5" x14ac:dyDescent="0.2">
      <c r="A118" s="245" t="str">
        <v>Instalacoes de Aguas Pluviais - Sub Solo</v>
      </c>
      <c r="B118" s="246">
        <f ca="1">IF(A118="","",SUMIF(Orçamento!Q:Q,'ABC Serviços Apoio'!A118,Orçamento!Z:Z))</f>
        <v>3899.3610449604566</v>
      </c>
      <c r="C118" s="246" t="str">
        <f t="shared" ca="1" si="1"/>
        <v>3899,36104496046 - Instalacoes de Aguas Pluviais - Sub Solo</v>
      </c>
      <c r="E118" t="str">
        <f ca="1"/>
        <v>35973,3769878391 - Mao de obra para colocacao e rejuntamento de piso Cerâmico</v>
      </c>
    </row>
    <row r="119" spans="1:5" x14ac:dyDescent="0.2">
      <c r="A119" s="245" t="str">
        <v>Instalacoes de Aguas Pluviais - Térreo</v>
      </c>
      <c r="B119" s="246">
        <f ca="1">IF(A119="","",SUMIF(Orçamento!Q:Q,'ABC Serviços Apoio'!A119,Orçamento!Z:Z))</f>
        <v>2639.2162263076693</v>
      </c>
      <c r="C119" s="246" t="str">
        <f t="shared" ca="1" si="1"/>
        <v>2639,21622630767 - Instalacoes de Aguas Pluviais - Térreo</v>
      </c>
      <c r="E119" t="str">
        <f ca="1"/>
        <v xml:space="preserve">356636,125 - Mobiliario e decoracoes para areas comuns </v>
      </c>
    </row>
    <row r="120" spans="1:5" x14ac:dyDescent="0.2">
      <c r="A120" s="245" t="str">
        <v>Instalacoes de Aguas Pluviais - Tipo (5X)</v>
      </c>
      <c r="B120" s="246">
        <f ca="1">IF(A120="","",SUMIF(Orçamento!Q:Q,'ABC Serviços Apoio'!A120,Orçamento!Z:Z))</f>
        <v>9450.4506262058512</v>
      </c>
      <c r="C120" s="246" t="str">
        <f t="shared" ca="1" si="1"/>
        <v>9450,45062620585 - Instalacoes de Aguas Pluviais - Tipo (5X)</v>
      </c>
      <c r="E120" t="str">
        <f ca="1"/>
        <v>35600 - Infraestrutura para instalacao de ar condicionado</v>
      </c>
    </row>
    <row r="121" spans="1:5" x14ac:dyDescent="0.2">
      <c r="A121" s="245" t="str">
        <v>Instalacoes de Esgoto - Cobertura</v>
      </c>
      <c r="B121" s="246">
        <f ca="1">IF(A121="","",SUMIF(Orçamento!Q:Q,'ABC Serviços Apoio'!A121,Orçamento!Z:Z))</f>
        <v>2835.8299946360062</v>
      </c>
      <c r="C121" s="246" t="str">
        <f t="shared" ca="1" si="1"/>
        <v>2835,82999463601 - Instalacoes de Esgoto - Cobertura</v>
      </c>
      <c r="E121" t="str">
        <f ca="1"/>
        <v>3530,5344 - Guarda-corpo de laje apos desforma</v>
      </c>
    </row>
    <row r="122" spans="1:5" x14ac:dyDescent="0.2">
      <c r="A122" s="245" t="str">
        <v>Instalacoes de Esgoto - Pavimento Técnico</v>
      </c>
      <c r="B122" s="246">
        <f ca="1">IF(A122="","",SUMIF(Orçamento!Q:Q,'ABC Serviços Apoio'!A122,Orçamento!Z:Z))</f>
        <v>2329.0781591530267</v>
      </c>
      <c r="C122" s="246" t="str">
        <f t="shared" ca="1" si="1"/>
        <v>2329,07815915303 - Instalacoes de Esgoto - Pavimento Técnico</v>
      </c>
      <c r="E122" t="str">
        <f ca="1"/>
        <v>3500 - Projeto de Segurança do Trabalho</v>
      </c>
    </row>
    <row r="123" spans="1:5" x14ac:dyDescent="0.2">
      <c r="A123" s="245" t="str">
        <v>Instalacoes de Esgoto - Sub Solo</v>
      </c>
      <c r="B123" s="246">
        <f ca="1">IF(A123="","",SUMIF(Orçamento!Q:Q,'ABC Serviços Apoio'!A123,Orçamento!Z:Z))</f>
        <v>5849.041567440685</v>
      </c>
      <c r="C123" s="246" t="str">
        <f t="shared" ca="1" si="1"/>
        <v>5849,04156744068 - Instalacoes de Esgoto - Sub Solo</v>
      </c>
      <c r="E123" t="str">
        <f ca="1"/>
        <v>3420,3 - Paisagismo</v>
      </c>
    </row>
    <row r="124" spans="1:5" x14ac:dyDescent="0.2">
      <c r="A124" s="245" t="str">
        <v>Instalacoes de Esgoto - Térreo</v>
      </c>
      <c r="B124" s="246">
        <f ca="1">IF(A124="","",SUMIF(Orçamento!Q:Q,'ABC Serviços Apoio'!A124,Orçamento!Z:Z))</f>
        <v>3958.8243394615042</v>
      </c>
      <c r="C124" s="246" t="str">
        <f t="shared" ca="1" si="1"/>
        <v>3958,8243394615 - Instalacoes de Esgoto - Térreo</v>
      </c>
      <c r="E124" t="str">
        <f ca="1"/>
        <v>340,5589425 - Revestimento interno de Rodapé Porcelanato h=0,15cm</v>
      </c>
    </row>
    <row r="125" spans="1:5" x14ac:dyDescent="0.2">
      <c r="A125" s="245" t="str">
        <v>Instalacoes de Esgoto - Tipo (5X)</v>
      </c>
      <c r="B125" s="246">
        <f ca="1">IF(A125="","",SUMIF(Orçamento!Q:Q,'ABC Serviços Apoio'!A125,Orçamento!Z:Z))</f>
        <v>14175.675939308778</v>
      </c>
      <c r="C125" s="246" t="str">
        <f t="shared" ca="1" si="1"/>
        <v>14175,6759393088 - Instalacoes de Esgoto - Tipo (5X)</v>
      </c>
      <c r="E125" t="str">
        <f ca="1"/>
        <v>33478,29975798 - Pintura com tinta latex acrilica, acabamento fosco em paredes internas, 3 demaos Áreas Comuns</v>
      </c>
    </row>
    <row r="126" spans="1:5" x14ac:dyDescent="0.2">
      <c r="A126" s="245" t="str">
        <v>Instalacoes de Protecao e Aterramento - SPDA</v>
      </c>
      <c r="B126" s="246">
        <f ca="1">IF(A126="","",SUMIF(Orçamento!Q:Q,'ABC Serviços Apoio'!A126,Orçamento!Z:Z))</f>
        <v>9716.15</v>
      </c>
      <c r="C126" s="246" t="str">
        <f t="shared" ca="1" si="1"/>
        <v>9716,15 - Instalacoes de Protecao e Aterramento - SPDA</v>
      </c>
      <c r="E126" t="str">
        <f ca="1"/>
        <v>33208,3668249824 - Armacao aco CA-50 ø 10.0mm para supraestrutura corte e dobra em indústria</v>
      </c>
    </row>
    <row r="127" spans="1:5" x14ac:dyDescent="0.2">
      <c r="A127" s="245" t="str">
        <v>Instalacoes provisorias de canteiro - Baias, Almoxarifado e Escritório</v>
      </c>
      <c r="B127" s="246">
        <f ca="1">IF(A127="","",SUMIF(Orçamento!Q:Q,'ABC Serviços Apoio'!A127,Orçamento!Z:Z))</f>
        <v>26970</v>
      </c>
      <c r="C127" s="246" t="str">
        <f t="shared" ca="1" si="1"/>
        <v>26970 - Instalacoes provisorias de canteiro - Baias, Almoxarifado e Escritório</v>
      </c>
      <c r="E127" t="str">
        <f ca="1"/>
        <v>3300 - Despesas de consumo - Internet</v>
      </c>
    </row>
    <row r="128" spans="1:5" x14ac:dyDescent="0.2">
      <c r="A128" s="245" t="str">
        <v>Instalacoes provisorias de rede de água</v>
      </c>
      <c r="B128" s="246">
        <f ca="1">IF(A128="","",SUMIF(Orçamento!Q:Q,'ABC Serviços Apoio'!A128,Orçamento!Z:Z))</f>
        <v>2332.5602176638477</v>
      </c>
      <c r="C128" s="246" t="str">
        <f t="shared" ca="1" si="1"/>
        <v>2332,56021766385 - Instalacoes provisorias de rede de água</v>
      </c>
      <c r="E128" t="str">
        <f ca="1"/>
        <v>32997,75 - Esquadrias Metálicas - Gaiola Fachadas - fornecimento e instalacao</v>
      </c>
    </row>
    <row r="129" spans="1:5" x14ac:dyDescent="0.2">
      <c r="A129" s="245" t="str">
        <v>Instalacoes provisorias de rede elétrica</v>
      </c>
      <c r="B129" s="246">
        <f ca="1">IF(A129="","",SUMIF(Orçamento!Q:Q,'ABC Serviços Apoio'!A129,Orçamento!Z:Z))</f>
        <v>2043.1499684351852</v>
      </c>
      <c r="C129" s="246" t="str">
        <f t="shared" ca="1" si="1"/>
        <v>2043,14996843519 - Instalacoes provisorias de rede elétrica</v>
      </c>
      <c r="E129" t="str">
        <f ca="1"/>
        <v>3218,50338583369 - Pontos de Tomadas e Interruptores - Subsolo</v>
      </c>
    </row>
    <row r="130" spans="1:5" x14ac:dyDescent="0.2">
      <c r="A130" s="245" t="str">
        <v>Instalacos do Sistema Preventivo de Incendio - Cobertura</v>
      </c>
      <c r="B130" s="246">
        <f ca="1">IF(A130="","",SUMIF(Orçamento!Q:Q,'ABC Serviços Apoio'!A130,Orçamento!Z:Z))</f>
        <v>2835.8299946360062</v>
      </c>
      <c r="C130" s="246" t="str">
        <f t="shared" ca="1" si="1"/>
        <v>2835,82999463601 - Instalacos do Sistema Preventivo de Incendio - Cobertura</v>
      </c>
      <c r="E130" t="str">
        <f ca="1"/>
        <v>31609,9791 - Mao de obra para impermeabilizacao de manta asfaltica</v>
      </c>
    </row>
    <row r="131" spans="1:5" x14ac:dyDescent="0.2">
      <c r="A131" s="245" t="str">
        <v>Instalacos do Sistema Preventivo de Incendio - Pavimento Técnico</v>
      </c>
      <c r="B131" s="246">
        <f ca="1">IF(A131="","",SUMIF(Orçamento!Q:Q,'ABC Serviços Apoio'!A131,Orçamento!Z:Z))</f>
        <v>2329.0781591530267</v>
      </c>
      <c r="C131" s="246" t="str">
        <f t="shared" ref="C131:C194" ca="1" si="2">IF(A131="","",CONCATENATE(B131, " - ",A131))</f>
        <v>2329,07815915303 - Instalacos do Sistema Preventivo de Incendio - Pavimento Técnico</v>
      </c>
      <c r="E131" t="str">
        <f ca="1"/>
        <v>315,121237611 - Montagem de fôrma para escadarias em chapa de madeira compensada plastificada e=14 mm - 2 jogos</v>
      </c>
    </row>
    <row r="132" spans="1:5" x14ac:dyDescent="0.2">
      <c r="A132" s="245" t="str">
        <v>Instalacos do Sistema Preventivo de Incendio - Sub Solo</v>
      </c>
      <c r="B132" s="246">
        <f ca="1">IF(A132="","",SUMIF(Orçamento!Q:Q,'ABC Serviços Apoio'!A132,Orçamento!Z:Z))</f>
        <v>5849.041567440685</v>
      </c>
      <c r="C132" s="246" t="str">
        <f t="shared" ca="1" si="2"/>
        <v>5849,04156744068 - Instalacos do Sistema Preventivo de Incendio - Sub Solo</v>
      </c>
      <c r="E132" t="str">
        <f ca="1"/>
        <v>3146,42272923763 - Quadros e Disjuntores - Cobertura</v>
      </c>
    </row>
    <row r="133" spans="1:5" x14ac:dyDescent="0.2">
      <c r="A133" s="245" t="str">
        <v>Instalacos do Sistema Preventivo de Incendio - Térreo</v>
      </c>
      <c r="B133" s="246">
        <f ca="1">IF(A133="","",SUMIF(Orçamento!Q:Q,'ABC Serviços Apoio'!A133,Orçamento!Z:Z))</f>
        <v>3958.8243394615042</v>
      </c>
      <c r="C133" s="246" t="str">
        <f t="shared" ca="1" si="2"/>
        <v>3958,8243394615 - Instalacos do Sistema Preventivo de Incendio - Térreo</v>
      </c>
      <c r="E133" t="str">
        <f ca="1"/>
        <v>3128,25487 - Cobertura Telha Fibrocimento</v>
      </c>
    </row>
    <row r="134" spans="1:5" x14ac:dyDescent="0.2">
      <c r="A134" s="245" t="str">
        <v>Instalacos do Sistema Preventivo de Incendio - Tipo (5X)</v>
      </c>
      <c r="B134" s="246">
        <f ca="1">IF(A134="","",SUMIF(Orçamento!Q:Q,'ABC Serviços Apoio'!A134,Orçamento!Z:Z))</f>
        <v>14175.675939308778</v>
      </c>
      <c r="C134" s="246" t="str">
        <f t="shared" ca="1" si="2"/>
        <v>14175,6759393088 - Instalacos do Sistema Preventivo de Incendio - Tipo (5X)</v>
      </c>
      <c r="E134" t="str">
        <f ca="1"/>
        <v>3105,43754553737 - Instalacoes de Agua Fria - Pavimento Técnico</v>
      </c>
    </row>
    <row r="135" spans="1:5" x14ac:dyDescent="0.2">
      <c r="A135" s="245" t="str">
        <v>IPTU</v>
      </c>
      <c r="B135" s="246">
        <f ca="1">IF(A135="","",SUMIF(Orçamento!Q:Q,'ABC Serviços Apoio'!A135,Orçamento!Z:Z))</f>
        <v>7000</v>
      </c>
      <c r="C135" s="246" t="str">
        <f t="shared" ca="1" si="2"/>
        <v>7000 - IPTU</v>
      </c>
      <c r="E135" t="str">
        <f ca="1"/>
        <v>310,543754553737 - Luminárias e Acessorios - Pavimento Técnico</v>
      </c>
    </row>
    <row r="136" spans="1:5" x14ac:dyDescent="0.2">
      <c r="A136" s="245" t="str">
        <v>Itens eventuais e nao orcados</v>
      </c>
      <c r="B136" s="246">
        <f ca="1">IF(A136="","",SUMIF(Orçamento!Q:Q,'ABC Serviços Apoio'!A136,Orçamento!Z:Z))</f>
        <v>139412.54058804107</v>
      </c>
      <c r="C136" s="246" t="str">
        <f t="shared" ca="1" si="2"/>
        <v>139412,540588041 - Itens eventuais e nao orcados</v>
      </c>
      <c r="E136" t="str">
        <f ca="1"/>
        <v>3067,98 - Esquadrias Metálicas - Alçapão 70x70 - fornecimento e instalacao</v>
      </c>
    </row>
    <row r="137" spans="1:5" x14ac:dyDescent="0.2">
      <c r="A137" s="245" t="str">
        <v>Lastro de concreto magro-aplicado em blocos-espessura 5cm</v>
      </c>
      <c r="B137" s="246">
        <f ca="1">IF(A137="","",SUMIF(Orçamento!Q:Q,'ABC Serviços Apoio'!A137,Orçamento!Z:Z))</f>
        <v>9935.993760000003</v>
      </c>
      <c r="C137" s="246" t="str">
        <f t="shared" ca="1" si="2"/>
        <v>9935,99376 - Lastro de concreto magro-aplicado em blocos-espessura 5cm</v>
      </c>
      <c r="E137" t="str">
        <f ca="1"/>
        <v>30072,3560238399 - Cabos e Fiacoes - Subsolo</v>
      </c>
    </row>
    <row r="138" spans="1:5" x14ac:dyDescent="0.2">
      <c r="A138" s="245" t="str">
        <v>Lavatório  / Metais</v>
      </c>
      <c r="B138" s="246">
        <f ca="1">IF(A138="","",SUMIF(Orçamento!Q:Q,'ABC Serviços Apoio'!A138,Orçamento!Z:Z))</f>
        <v>1137.3519999999999</v>
      </c>
      <c r="C138" s="246" t="str">
        <f t="shared" ca="1" si="2"/>
        <v>1137,352 - Lavatório  / Metais</v>
      </c>
      <c r="E138" t="str">
        <f ca="1"/>
        <v>29900 - Projeto Estrutural</v>
      </c>
    </row>
    <row r="139" spans="1:5" x14ac:dyDescent="0.2">
      <c r="A139" s="245" t="str">
        <v>Limpeza final da obra</v>
      </c>
      <c r="B139" s="246">
        <f ca="1">IF(A139="","",SUMIF(Orçamento!Q:Q,'ABC Serviços Apoio'!A139,Orçamento!Z:Z))</f>
        <v>29148.45</v>
      </c>
      <c r="C139" s="246" t="str">
        <f t="shared" ca="1" si="2"/>
        <v>29148,45 - Limpeza final da obra</v>
      </c>
      <c r="E139" t="str">
        <f ca="1"/>
        <v>29824,11 - Esquadrias Metálicas - Porta Corta Fogo - fornecimento e instalacao</v>
      </c>
    </row>
    <row r="140" spans="1:5" x14ac:dyDescent="0.2">
      <c r="A140" s="245" t="str">
        <v xml:space="preserve">Locacao de banheiro quimico </v>
      </c>
      <c r="B140" s="246">
        <f ca="1">IF(A140="","",SUMIF(Orçamento!Q:Q,'ABC Serviços Apoio'!A140,Orçamento!Z:Z))</f>
        <v>6300</v>
      </c>
      <c r="C140" s="246" t="str">
        <f t="shared" ca="1" si="2"/>
        <v xml:space="preserve">6300 - Locacao de banheiro quimico </v>
      </c>
      <c r="E140" t="str">
        <f ca="1"/>
        <v>2967 - Projeto de Telefonia</v>
      </c>
    </row>
    <row r="141" spans="1:5" x14ac:dyDescent="0.2">
      <c r="A141" s="245" t="str">
        <v>Locação de caçambas para retirada de entulho</v>
      </c>
      <c r="B141" s="246">
        <f ca="1">IF(A141="","",SUMIF(Orçamento!Q:Q,'ABC Serviços Apoio'!A141,Orçamento!Z:Z))</f>
        <v>21779.999999999996</v>
      </c>
      <c r="C141" s="246" t="str">
        <f t="shared" ca="1" si="2"/>
        <v>21780 - Locação de caçambas para retirada de entulho</v>
      </c>
      <c r="E141" t="str">
        <f ca="1"/>
        <v>2967 - Projeto Comunicação e Dados</v>
      </c>
    </row>
    <row r="142" spans="1:5" x14ac:dyDescent="0.2">
      <c r="A142" s="245" t="str">
        <v>Locacao Equipamentos - Andaime</v>
      </c>
      <c r="B142" s="246">
        <f ca="1">IF(A142="","",SUMIF(Orçamento!Q:Q,'ABC Serviços Apoio'!A142,Orçamento!Z:Z))</f>
        <v>9000</v>
      </c>
      <c r="C142" s="246" t="str">
        <f t="shared" ca="1" si="2"/>
        <v>9000 - Locacao Equipamentos - Andaime</v>
      </c>
      <c r="E142" t="str">
        <f ca="1"/>
        <v>293,89 - Taxas de Aprovação de Projetos (Hidrossanitário)</v>
      </c>
    </row>
    <row r="143" spans="1:5" x14ac:dyDescent="0.2">
      <c r="A143" s="245" t="str">
        <v>Locacao Equipamentos - Balancim</v>
      </c>
      <c r="B143" s="246">
        <f ca="1">IF(A143="","",SUMIF(Orçamento!Q:Q,'ABC Serviços Apoio'!A143,Orçamento!Z:Z))</f>
        <v>40800</v>
      </c>
      <c r="C143" s="246" t="str">
        <f t="shared" ca="1" si="2"/>
        <v>40800 - Locacao Equipamentos - Balancim</v>
      </c>
      <c r="E143" t="str">
        <f ca="1"/>
        <v>29148,45 - Limpeza final da obra</v>
      </c>
    </row>
    <row r="144" spans="1:5" x14ac:dyDescent="0.2">
      <c r="A144" s="245" t="str">
        <v>Loucas e metais</v>
      </c>
      <c r="B144" s="246">
        <f ca="1">IF(A144="","",SUMIF(Orçamento!Q:Q,'ABC Serviços Apoio'!A144,Orçamento!Z:Z))</f>
        <v>50600.000000000007</v>
      </c>
      <c r="C144" s="246" t="str">
        <f t="shared" ca="1" si="2"/>
        <v>50600 - Loucas e metais</v>
      </c>
      <c r="E144" t="str">
        <f ca="1"/>
        <v>28947,87808 - Impermeabilizacao com argamassa polimerica impermeabilizante</v>
      </c>
    </row>
    <row r="145" spans="1:5" x14ac:dyDescent="0.2">
      <c r="A145" s="245" t="str">
        <v>Luminárias e Acessorios - Cobertura</v>
      </c>
      <c r="B145" s="246">
        <f ca="1">IF(A145="","",SUMIF(Orçamento!Q:Q,'ABC Serviços Apoio'!A145,Orçamento!Z:Z))</f>
        <v>378.11066595146747</v>
      </c>
      <c r="C145" s="246" t="str">
        <f t="shared" ca="1" si="2"/>
        <v>378,110665951467 - Luminárias e Acessorios - Cobertura</v>
      </c>
      <c r="E145" t="str">
        <f ca="1"/>
        <v>2860 - Despesas de consumo - Gerenciamento Eletronico</v>
      </c>
    </row>
    <row r="146" spans="1:5" x14ac:dyDescent="0.2">
      <c r="A146" s="245" t="str">
        <v>Luminárias e Acessorios - Pavimento Técnico</v>
      </c>
      <c r="B146" s="246">
        <f ca="1">IF(A146="","",SUMIF(Orçamento!Q:Q,'ABC Serviços Apoio'!A146,Orçamento!Z:Z))</f>
        <v>310.54375455373685</v>
      </c>
      <c r="C146" s="246" t="str">
        <f t="shared" ca="1" si="2"/>
        <v>310,543754553737 - Luminárias e Acessorios - Pavimento Técnico</v>
      </c>
      <c r="E146" t="str">
        <f ca="1"/>
        <v>2836,43034 - Porta de madeira, folha leve/média, 90x210cm, fixacao com espuma expansiva - fornecimento e instalacao</v>
      </c>
    </row>
    <row r="147" spans="1:5" x14ac:dyDescent="0.2">
      <c r="A147" s="245" t="str">
        <v>Luminárias e Acessorios - Subsolo</v>
      </c>
      <c r="B147" s="246">
        <f ca="1">IF(A147="","",SUMIF(Orçamento!Q:Q,'ABC Serviços Apoio'!A147,Orçamento!Z:Z))</f>
        <v>779.87220899209137</v>
      </c>
      <c r="C147" s="246" t="str">
        <f t="shared" ca="1" si="2"/>
        <v>779,872208992091 - Luminárias e Acessorios - Subsolo</v>
      </c>
      <c r="E147" t="str">
        <f ca="1"/>
        <v>2835,82999463601 - Instalacos do Sistema Preventivo de Incendio - Cobertura</v>
      </c>
    </row>
    <row r="148" spans="1:5" x14ac:dyDescent="0.2">
      <c r="A148" s="245" t="str">
        <v>Luminárias e Acessorios - Térreo</v>
      </c>
      <c r="B148" s="246">
        <f ca="1">IF(A148="","",SUMIF(Orçamento!Q:Q,'ABC Serviços Apoio'!A148,Orçamento!Z:Z))</f>
        <v>527.84324526153387</v>
      </c>
      <c r="C148" s="246" t="str">
        <f t="shared" ca="1" si="2"/>
        <v>527,843245261534 - Luminárias e Acessorios - Térreo</v>
      </c>
      <c r="E148" t="str">
        <f ca="1"/>
        <v>2835,82999463601 - Instalacoes de Esgoto - Cobertura</v>
      </c>
    </row>
    <row r="149" spans="1:5" x14ac:dyDescent="0.2">
      <c r="A149" s="245" t="str">
        <v>Luminárias e Acessorios - Tipo (x5)</v>
      </c>
      <c r="B149" s="246">
        <f ca="1">IF(A149="","",SUMIF(Orçamento!Q:Q,'ABC Serviços Apoio'!A149,Orçamento!Z:Z))</f>
        <v>1890.0901252411704</v>
      </c>
      <c r="C149" s="246" t="str">
        <f t="shared" ca="1" si="2"/>
        <v>1890,09012524117 - Luminárias e Acessorios - Tipo (x5)</v>
      </c>
      <c r="E149" t="str">
        <f ca="1"/>
        <v>27815,8021161951 - Armacao aco CA-50 ø 16.0mm para supraestrutura corte e dobra em indústria</v>
      </c>
    </row>
    <row r="150" spans="1:5" x14ac:dyDescent="0.2">
      <c r="A150" s="245" t="str">
        <v>Manuais Técnicos</v>
      </c>
      <c r="B150" s="246">
        <f ca="1">IF(A150="","",SUMIF(Orçamento!Q:Q,'ABC Serviços Apoio'!A150,Orçamento!Z:Z))</f>
        <v>5700</v>
      </c>
      <c r="C150" s="246" t="str">
        <f t="shared" ca="1" si="2"/>
        <v>5700 - Manuais Técnicos</v>
      </c>
      <c r="E150" t="str">
        <f ca="1"/>
        <v>27582,6660039 - Pintura com tinta latex acrilica, acabamento fosco em paredes internas, 3 demaos Áreas Privativas</v>
      </c>
    </row>
    <row r="151" spans="1:5" x14ac:dyDescent="0.2">
      <c r="A151" s="245" t="str">
        <v>Manutenção de Canteiro provisório</v>
      </c>
      <c r="B151" s="246">
        <f ca="1">IF(A151="","",SUMIF(Orçamento!Q:Q,'ABC Serviços Apoio'!A151,Orçamento!Z:Z))</f>
        <v>39600</v>
      </c>
      <c r="C151" s="246" t="str">
        <f t="shared" ca="1" si="2"/>
        <v>39600 - Manutenção de Canteiro provisório</v>
      </c>
      <c r="E151" t="str">
        <f ca="1"/>
        <v>27336,631018846 - Armacao aco CA-50 ø 8.0mm para supraestrutura corte e dobra em indústria</v>
      </c>
    </row>
    <row r="152" spans="1:5" x14ac:dyDescent="0.2">
      <c r="A152" s="245" t="str">
        <v>Manutencao para Equipamentos proprios - Mini Grua</v>
      </c>
      <c r="B152" s="246">
        <f ca="1">IF(A152="","",SUMIF(Orçamento!Q:Q,'ABC Serviços Apoio'!A152,Orçamento!Z:Z))</f>
        <v>2415.5372019362935</v>
      </c>
      <c r="C152" s="246" t="str">
        <f t="shared" ca="1" si="2"/>
        <v>2415,53720193629 - Manutencao para Equipamentos proprios - Mini Grua</v>
      </c>
      <c r="E152" t="str">
        <f ca="1"/>
        <v>27000 - Despesas de consumo - Equipamentos de Escritório</v>
      </c>
    </row>
    <row r="153" spans="1:5" x14ac:dyDescent="0.2">
      <c r="A153" s="245" t="str">
        <v>Manutencao para Veículos proprios</v>
      </c>
      <c r="B153" s="246">
        <f ca="1">IF(A153="","",SUMIF(Orçamento!Q:Q,'ABC Serviços Apoio'!A153,Orçamento!Z:Z))</f>
        <v>1716</v>
      </c>
      <c r="C153" s="246" t="str">
        <f t="shared" ca="1" si="2"/>
        <v>1716 - Manutencao para Veículos proprios</v>
      </c>
      <c r="E153" t="str">
        <f ca="1"/>
        <v>26970 - Instalacoes provisorias de canteiro - Baias, Almoxarifado e Escritório</v>
      </c>
    </row>
    <row r="154" spans="1:5" x14ac:dyDescent="0.2">
      <c r="A154" s="245" t="str">
        <v>Mao de obra  - para execucacao de estrutura de concreto armado em supraestrutura</v>
      </c>
      <c r="B154" s="246">
        <f ca="1">IF(A154="","",SUMIF(Orçamento!Q:Q,'ABC Serviços Apoio'!A154,Orçamento!Z:Z))</f>
        <v>667000.00000000012</v>
      </c>
      <c r="C154" s="246" t="str">
        <f t="shared" ca="1" si="2"/>
        <v>667000 - Mao de obra  - para execucacao de estrutura de concreto armado em supraestrutura</v>
      </c>
      <c r="E154" t="str">
        <f ca="1"/>
        <v>26939,0282 - Mao de obra para impermeabilizacao com argamassa polimerica</v>
      </c>
    </row>
    <row r="155" spans="1:5" x14ac:dyDescent="0.2">
      <c r="A155" s="245" t="str">
        <v>Mao de obra - para execucao de Contenção</v>
      </c>
      <c r="B155" s="246">
        <f ca="1">IF(A155="","",SUMIF(Orçamento!Q:Q,'ABC Serviços Apoio'!A155,Orçamento!Z:Z))</f>
        <v>69000</v>
      </c>
      <c r="C155" s="246" t="str">
        <f t="shared" ca="1" si="2"/>
        <v>69000 - Mao de obra - para execucao de Contenção</v>
      </c>
      <c r="E155" t="str">
        <f ca="1"/>
        <v>2643,17 - Esquadrias Metálicas - Gradil Entrada - fornecimento e instalacao</v>
      </c>
    </row>
    <row r="156" spans="1:5" x14ac:dyDescent="0.2">
      <c r="A156" s="245" t="str">
        <v>Mao de obra - para execucao de infraestrutura</v>
      </c>
      <c r="B156" s="246">
        <f ca="1">IF(A156="","",SUMIF(Orçamento!Q:Q,'ABC Serviços Apoio'!A156,Orçamento!Z:Z))</f>
        <v>182850</v>
      </c>
      <c r="C156" s="246" t="str">
        <f t="shared" ca="1" si="2"/>
        <v>182850 - Mao de obra - para execucao de infraestrutura</v>
      </c>
      <c r="E156" t="str">
        <f ca="1"/>
        <v>2639,21622630767 - Instalacoes de Aguas Pluviais - Térreo</v>
      </c>
    </row>
    <row r="157" spans="1:5" x14ac:dyDescent="0.2">
      <c r="A157" s="245" t="str">
        <v>Mao de obra - para pintura acrilica em piso</v>
      </c>
      <c r="B157" s="246">
        <f ca="1">IF(A157="","",SUMIF(Orçamento!Q:Q,'ABC Serviços Apoio'!A157,Orçamento!Z:Z))</f>
        <v>778.30845511822326</v>
      </c>
      <c r="C157" s="246" t="str">
        <f t="shared" ca="1" si="2"/>
        <v>778,308455118223 - Mao de obra - para pintura acrilica em piso</v>
      </c>
      <c r="E157" t="str">
        <f ca="1"/>
        <v>2610,98838 - Revestimento interno de Rodapé Cerâmico h=0,30cm</v>
      </c>
    </row>
    <row r="158" spans="1:5" x14ac:dyDescent="0.2">
      <c r="A158" s="245" t="str">
        <v>Mao De Obra Acabamento Em Massa Teto</v>
      </c>
      <c r="B158" s="246">
        <f ca="1">IF(A158="","",SUMIF(Orçamento!Q:Q,'ABC Serviços Apoio'!A158,Orçamento!Z:Z))</f>
        <v>37030.000000000007</v>
      </c>
      <c r="C158" s="246" t="str">
        <f t="shared" ca="1" si="2"/>
        <v>37030 - Mao De Obra Acabamento Em Massa Teto</v>
      </c>
      <c r="E158" t="str">
        <f ca="1"/>
        <v>26088,4621928 - Rodape de poliestireno 10cm</v>
      </c>
    </row>
    <row r="159" spans="1:5" x14ac:dyDescent="0.2">
      <c r="A159" s="245" t="str">
        <v>Mao de obra de instalacoes eletricas</v>
      </c>
      <c r="B159" s="246">
        <f ca="1">IF(A159="","",SUMIF(Orçamento!Q:Q,'ABC Serviços Apoio'!A159,Orçamento!Z:Z))</f>
        <v>88550</v>
      </c>
      <c r="C159" s="246" t="str">
        <f t="shared" ca="1" si="2"/>
        <v>88550 - Mao de obra de instalacoes eletricas</v>
      </c>
      <c r="E159" t="str">
        <f ca="1"/>
        <v>25899,1138076 - Armacao aco CA-50 ø 12.5mm para supraestrutura corte e dobra em indústria</v>
      </c>
    </row>
    <row r="160" spans="1:5" x14ac:dyDescent="0.2">
      <c r="A160" s="245" t="str">
        <v>Mao de obra de instalacoes hidrossanitárias</v>
      </c>
      <c r="B160" s="246">
        <f ca="1">IF(A160="","",SUMIF(Orçamento!Q:Q,'ABC Serviços Apoio'!A160,Orçamento!Z:Z))</f>
        <v>88550</v>
      </c>
      <c r="C160" s="246" t="str">
        <f t="shared" ca="1" si="2"/>
        <v>88550 - Mao de obra de instalacoes hidrossanitárias</v>
      </c>
      <c r="E160" t="str">
        <f ca="1"/>
        <v>2588,57328034423 - Taxa de Aprovação de Projetos (Elétrico)</v>
      </c>
    </row>
    <row r="161" spans="1:5" x14ac:dyDescent="0.2">
      <c r="A161" s="245" t="str">
        <v>Mao de obra empreitada vedacoes internas e externas - assentamento blocos ceramicos</v>
      </c>
      <c r="B161" s="246">
        <f ca="1">IF(A161="","",SUMIF(Orçamento!Q:Q,'ABC Serviços Apoio'!A161,Orçamento!Z:Z))</f>
        <v>138000</v>
      </c>
      <c r="C161" s="246" t="str">
        <f t="shared" ca="1" si="2"/>
        <v>138000 - Mao de obra empreitada vedacoes internas e externas - assentamento blocos ceramicos</v>
      </c>
      <c r="E161" t="str">
        <f ca="1"/>
        <v>2584,16917515912 - Quadros e Disjuntores - Pavimento Técnico</v>
      </c>
    </row>
    <row r="162" spans="1:5" x14ac:dyDescent="0.2">
      <c r="A162" s="245" t="str">
        <v>Mao De Obra Estucamento Em Massa Teto</v>
      </c>
      <c r="B162" s="246">
        <f ca="1">IF(A162="","",SUMIF(Orçamento!Q:Q,'ABC Serviços Apoio'!A162,Orçamento!Z:Z))</f>
        <v>15869.999999999996</v>
      </c>
      <c r="C162" s="246" t="str">
        <f t="shared" ca="1" si="2"/>
        <v>15870 - Mao De Obra Estucamento Em Massa Teto</v>
      </c>
      <c r="E162" t="str">
        <f ca="1"/>
        <v>2528,23362556625 - Taxa de Habite-se</v>
      </c>
    </row>
    <row r="163" spans="1:5" x14ac:dyDescent="0.2">
      <c r="A163" s="245" t="str">
        <v>Mão de Obra Operações de Canteiro</v>
      </c>
      <c r="B163" s="246">
        <f ca="1">IF(A163="","",SUMIF(Orçamento!Q:Q,'ABC Serviços Apoio'!A163,Orçamento!Z:Z))</f>
        <v>41400</v>
      </c>
      <c r="C163" s="246" t="str">
        <f t="shared" ca="1" si="2"/>
        <v>41400 - Mão de Obra Operações de Canteiro</v>
      </c>
      <c r="E163" t="str">
        <f ca="1"/>
        <v>25192,9078086 - Verga/contraverga de concreto, moldada in loco</v>
      </c>
    </row>
    <row r="164" spans="1:5" x14ac:dyDescent="0.2">
      <c r="A164" s="245" t="str">
        <v>Mão de obra para aplicação de Porcelanato em paredes externas</v>
      </c>
      <c r="B164" s="246">
        <f ca="1">IF(A164="","",SUMIF(Orçamento!Q:Q,'ABC Serviços Apoio'!A164,Orçamento!Z:Z))</f>
        <v>11500</v>
      </c>
      <c r="C164" s="246" t="str">
        <f t="shared" ca="1" si="2"/>
        <v>11500 - Mão de obra para aplicação de Porcelanato em paredes externas</v>
      </c>
      <c r="E164" t="str">
        <f ca="1"/>
        <v>24616,04628626 - Pintura com tinta latex acrilica, acabamento fosco em teto, 3 demaos</v>
      </c>
    </row>
    <row r="165" spans="1:5" x14ac:dyDescent="0.2">
      <c r="A165" s="245" t="str">
        <v>Mao de obra para colocacao de peitoril</v>
      </c>
      <c r="B165" s="246">
        <f ca="1">IF(A165="","",SUMIF(Orçamento!Q:Q,'ABC Serviços Apoio'!A165,Orçamento!Z:Z))</f>
        <v>1427.58</v>
      </c>
      <c r="C165" s="246" t="str">
        <f t="shared" ca="1" si="2"/>
        <v>1427,58 - Mao de obra para colocacao de peitoril</v>
      </c>
      <c r="E165" t="str">
        <f ca="1"/>
        <v>24478,422296152 - Fabricação de fôrma para Escadas em chapa de madeira compensada plastificada e=14 mm - 2 jogos</v>
      </c>
    </row>
    <row r="166" spans="1:5" x14ac:dyDescent="0.2">
      <c r="A166" s="245" t="str">
        <v>Mao de obra para colocacao de rodape cerâmico e porcelanato</v>
      </c>
      <c r="B166" s="246">
        <f ca="1">IF(A166="","",SUMIF(Orçamento!Q:Q,'ABC Serviços Apoio'!A166,Orçamento!Z:Z))</f>
        <v>9430.0000000000036</v>
      </c>
      <c r="C166" s="246" t="str">
        <f t="shared" ca="1" si="2"/>
        <v>9430 - Mao de obra para colocacao de rodape cerâmico e porcelanato</v>
      </c>
      <c r="E166" t="str">
        <f ca="1"/>
        <v>24258,9525571442 - Eletrodutos e Eletrocalhas - Tipo (x5)</v>
      </c>
    </row>
    <row r="167" spans="1:5" x14ac:dyDescent="0.2">
      <c r="A167" s="245" t="str">
        <v>Mao de obra para colocacao de rodape de poliestireno</v>
      </c>
      <c r="B167" s="246">
        <f ca="1">IF(A167="","",SUMIF(Orçamento!Q:Q,'ABC Serviços Apoio'!A167,Orçamento!Z:Z))</f>
        <v>14042.6</v>
      </c>
      <c r="C167" s="246" t="str">
        <f t="shared" ca="1" si="2"/>
        <v>14042,6 - Mao de obra para colocacao de rodape de poliestireno</v>
      </c>
      <c r="E167" t="str">
        <f ca="1"/>
        <v>24150 - Mao de obra para fixacao de Telhados</v>
      </c>
    </row>
    <row r="168" spans="1:5" x14ac:dyDescent="0.2">
      <c r="A168" s="245" t="str">
        <v>Mao de obra para colocacao de soleiras em granito</v>
      </c>
      <c r="B168" s="246">
        <f ca="1">IF(A168="","",SUMIF(Orçamento!Q:Q,'ABC Serviços Apoio'!A168,Orçamento!Z:Z))</f>
        <v>176.59199999999998</v>
      </c>
      <c r="C168" s="246" t="str">
        <f t="shared" ca="1" si="2"/>
        <v>176,592 - Mao de obra para colocacao de soleiras em granito</v>
      </c>
      <c r="E168" t="str">
        <f ca="1"/>
        <v>2415,53720193629 - Manutencao para Equipamentos proprios - Mini Grua</v>
      </c>
    </row>
    <row r="169" spans="1:5" x14ac:dyDescent="0.2">
      <c r="A169" s="245" t="str">
        <v>Mao de obra para colocacao e rejuntamento de Azulejo Cerâmico</v>
      </c>
      <c r="B169" s="246">
        <f ca="1">IF(A169="","",SUMIF(Orçamento!Q:Q,'ABC Serviços Apoio'!A169,Orçamento!Z:Z))</f>
        <v>50841.725912067363</v>
      </c>
      <c r="C169" s="246" t="str">
        <f t="shared" ca="1" si="2"/>
        <v>50841,7259120674 - Mao de obra para colocacao e rejuntamento de Azulejo Cerâmico</v>
      </c>
      <c r="E169" t="str">
        <f ca="1"/>
        <v>2415,3132812 - Montagem E Desmontagem De Fôrma De Laje Nervurada Com Cubeta E Assoalho, Pé-Direito Simples, Em Chapa De Madeira Compensada Resinada, 8 Utilizações. Af_09/2020</v>
      </c>
    </row>
    <row r="170" spans="1:5" x14ac:dyDescent="0.2">
      <c r="A170" s="245" t="str">
        <v>Mao de obra para colocacao e rejuntamento de Azulejo Cerâmico e Porcelanato</v>
      </c>
      <c r="B170" s="246">
        <f ca="1">IF(A170="","",SUMIF(Orçamento!Q:Q,'ABC Serviços Apoio'!A170,Orçamento!Z:Z))</f>
        <v>4346.7095416276907</v>
      </c>
      <c r="C170" s="246" t="str">
        <f t="shared" ca="1" si="2"/>
        <v>4346,70954162769 - Mao de obra para colocacao e rejuntamento de Azulejo Cerâmico e Porcelanato</v>
      </c>
      <c r="E170" t="str">
        <f ca="1"/>
        <v>240263,183429646 - Concreto usinado bombeavel para supraestrutura Fck 35MPa com Brita 0 SLUMP = 12 +/- 2 incluindo servico de bombeamento</v>
      </c>
    </row>
    <row r="171" spans="1:5" x14ac:dyDescent="0.2">
      <c r="A171" s="245" t="str">
        <v>Mao de obra para colocacao e rejuntamento de piso Cerâmico</v>
      </c>
      <c r="B171" s="246">
        <f ca="1">IF(A171="","",SUMIF(Orçamento!Q:Q,'ABC Serviços Apoio'!A171,Orçamento!Z:Z))</f>
        <v>35973.376987839096</v>
      </c>
      <c r="C171" s="246" t="str">
        <f t="shared" ca="1" si="2"/>
        <v>35973,3769878391 - Mao de obra para colocacao e rejuntamento de piso Cerâmico</v>
      </c>
      <c r="E171" t="str">
        <f ca="1"/>
        <v>23581,17048 - Impermeabilizacao com manta asfaltica espessura 4mm, uma camada, aplicacao com primer asfaltico</v>
      </c>
    </row>
    <row r="172" spans="1:5" x14ac:dyDescent="0.2">
      <c r="A172" s="245" t="str">
        <v>Mao de obra para colocacao e rejuntamento de piso porcelanato</v>
      </c>
      <c r="B172" s="246">
        <f ca="1">IF(A172="","",SUMIF(Orçamento!Q:Q,'ABC Serviços Apoio'!A172,Orçamento!Z:Z))</f>
        <v>88008.187558465856</v>
      </c>
      <c r="C172" s="246" t="str">
        <f t="shared" ca="1" si="2"/>
        <v>88008,1875584659 - Mao de obra para colocacao e rejuntamento de piso porcelanato</v>
      </c>
      <c r="E172" t="str">
        <f ca="1"/>
        <v>23463,6012 - Chapisco aplicado em alvenarias internas, com colher de pedreiro, de argamassa estabilizada</v>
      </c>
    </row>
    <row r="173" spans="1:5" x14ac:dyDescent="0.2">
      <c r="A173" s="245" t="str">
        <v>Mao de obra para estucamento de estrutura em concreto</v>
      </c>
      <c r="B173" s="246">
        <f ca="1">IF(A173="","",SUMIF(Orçamento!Q:Q,'ABC Serviços Apoio'!A173,Orçamento!Z:Z))</f>
        <v>15870</v>
      </c>
      <c r="C173" s="246" t="str">
        <f t="shared" ca="1" si="2"/>
        <v>15870 - Mao de obra para estucamento de estrutura em concreto</v>
      </c>
      <c r="E173" t="str">
        <f ca="1"/>
        <v>23425,39815 - Revestimento interno de piso porcelanato placa 80x80cm - áreas externas</v>
      </c>
    </row>
    <row r="174" spans="1:5" x14ac:dyDescent="0.2">
      <c r="A174" s="245" t="str">
        <v>Mao de obra para execucao de contrapiso comum e acústico</v>
      </c>
      <c r="B174" s="246">
        <f ca="1">IF(A174="","",SUMIF(Orçamento!Q:Q,'ABC Serviços Apoio'!A174,Orçamento!Z:Z))</f>
        <v>39010.45731994394</v>
      </c>
      <c r="C174" s="246" t="str">
        <f t="shared" ca="1" si="2"/>
        <v>39010,4573199439 - Mao de obra para execucao de contrapiso comum e acústico</v>
      </c>
      <c r="E174" t="str">
        <f ca="1"/>
        <v>2332,56021766385 - Instalacoes provisorias de rede de água</v>
      </c>
    </row>
    <row r="175" spans="1:5" x14ac:dyDescent="0.2">
      <c r="A175" s="245" t="str">
        <v>Mao de obra para execucao de piso de concretograma</v>
      </c>
      <c r="B175" s="246">
        <f ca="1">IF(A175="","",SUMIF(Orçamento!Q:Q,'ABC Serviços Apoio'!A175,Orçamento!Z:Z))</f>
        <v>519.75699999999995</v>
      </c>
      <c r="C175" s="246" t="str">
        <f t="shared" ca="1" si="2"/>
        <v>519,757 - Mao de obra para execucao de piso de concretograma</v>
      </c>
      <c r="E175" t="str">
        <f ca="1"/>
        <v>2329,07815915303 - Instalacos do Sistema Preventivo de Incendio - Pavimento Técnico</v>
      </c>
    </row>
    <row r="176" spans="1:5" x14ac:dyDescent="0.2">
      <c r="A176" s="245" t="str">
        <v>Mao de obra para execucao de protecao mecanica em superficie impermeabilizada</v>
      </c>
      <c r="B176" s="246">
        <f ca="1">IF(A176="","",SUMIF(Orçamento!Q:Q,'ABC Serviços Apoio'!A176,Orçamento!Z:Z))</f>
        <v>2182.0050000000001</v>
      </c>
      <c r="C176" s="246" t="str">
        <f t="shared" ca="1" si="2"/>
        <v>2182,005 - Mao de obra para execucao de protecao mecanica em superficie impermeabilizada</v>
      </c>
      <c r="E176" t="str">
        <f ca="1"/>
        <v>2329,07815915303 - Instalacoes de Esgoto - Pavimento Técnico</v>
      </c>
    </row>
    <row r="177" spans="1:5" x14ac:dyDescent="0.2">
      <c r="A177" s="245" t="str">
        <v>Mao de obra para execucao em piso cimentado</v>
      </c>
      <c r="B177" s="246">
        <f ca="1">IF(A177="","",SUMIF(Orçamento!Q:Q,'ABC Serviços Apoio'!A177,Orçamento!Z:Z))</f>
        <v>664.54268005605365</v>
      </c>
      <c r="C177" s="246" t="str">
        <f t="shared" ca="1" si="2"/>
        <v>664,542680056054 - Mao de obra para execucao em piso cimentado</v>
      </c>
      <c r="E177" t="str">
        <f ca="1"/>
        <v>2313,7 - Tela soldada para ligacao alvenaria/estrutura - para blocos de 9 a 14cm</v>
      </c>
    </row>
    <row r="178" spans="1:5" x14ac:dyDescent="0.2">
      <c r="A178" s="245" t="str">
        <v>Mao de obra para fixacao de Telhados</v>
      </c>
      <c r="B178" s="246">
        <f ca="1">IF(A178="","",SUMIF(Orçamento!Q:Q,'ABC Serviços Apoio'!A178,Orçamento!Z:Z))</f>
        <v>24150</v>
      </c>
      <c r="C178" s="246" t="str">
        <f t="shared" ca="1" si="2"/>
        <v>24150 - Mao de obra para fixacao de Telhados</v>
      </c>
      <c r="E178" t="str">
        <f ca="1"/>
        <v>23006,52 - Mao de obra para regularizacao de superficie</v>
      </c>
    </row>
    <row r="179" spans="1:5" x14ac:dyDescent="0.2">
      <c r="A179" s="245" t="str">
        <v>Mao de obra para impermeabilizacao com argamassa polimerica</v>
      </c>
      <c r="B179" s="246">
        <f ca="1">IF(A179="","",SUMIF(Orçamento!Q:Q,'ABC Serviços Apoio'!A179,Orçamento!Z:Z))</f>
        <v>26939.028200000001</v>
      </c>
      <c r="C179" s="246" t="str">
        <f t="shared" ca="1" si="2"/>
        <v>26939,0282 - Mao de obra para impermeabilizacao com argamassa polimerica</v>
      </c>
      <c r="E179" t="str">
        <f ca="1"/>
        <v xml:space="preserve">23000 - Serviços Complementares e Finais </v>
      </c>
    </row>
    <row r="180" spans="1:5" x14ac:dyDescent="0.2">
      <c r="A180" s="245" t="str">
        <v>Mão de obra para impermeabilização de Fundação Rasa com tinta asfáltica</v>
      </c>
      <c r="B180" s="246">
        <f ca="1">IF(A180="","",SUMIF(Orçamento!Q:Q,'ABC Serviços Apoio'!A180,Orçamento!Z:Z))</f>
        <v>15</v>
      </c>
      <c r="C180" s="246" t="str">
        <f t="shared" ca="1" si="2"/>
        <v>15 - Mão de obra para impermeabilização de Fundação Rasa com tinta asfáltica</v>
      </c>
      <c r="E180" t="str">
        <f ca="1"/>
        <v>2300,81592 - Fundo selador latex acrilico em paredes externas, 1 demao</v>
      </c>
    </row>
    <row r="181" spans="1:5" x14ac:dyDescent="0.2">
      <c r="A181" s="245" t="str">
        <v>Mao de obra para impermeabilizacao de manta asfaltica</v>
      </c>
      <c r="B181" s="246">
        <f ca="1">IF(A181="","",SUMIF(Orçamento!Q:Q,'ABC Serviços Apoio'!A181,Orçamento!Z:Z))</f>
        <v>31609.979099999997</v>
      </c>
      <c r="C181" s="246" t="str">
        <f t="shared" ca="1" si="2"/>
        <v>31609,9791 - Mao de obra para impermeabilizacao de manta asfaltica</v>
      </c>
      <c r="E181" t="str">
        <f ca="1"/>
        <v>2284,490208 - Armacao aco CA-50 ø 6.3mm para Contenções- cortado e dobrado em industria</v>
      </c>
    </row>
    <row r="182" spans="1:5" x14ac:dyDescent="0.2">
      <c r="A182" s="245" t="str">
        <v>Mao de obra para impermeabilizacao de peitoris</v>
      </c>
      <c r="B182" s="246">
        <f ca="1">IF(A182="","",SUMIF(Orçamento!Q:Q,'ABC Serviços Apoio'!A182,Orçamento!Z:Z))</f>
        <v>599.68000000000006</v>
      </c>
      <c r="C182" s="246" t="str">
        <f t="shared" ca="1" si="2"/>
        <v>599,68 - Mao de obra para impermeabilizacao de peitoris</v>
      </c>
      <c r="E182" t="str">
        <f ca="1"/>
        <v>228,93084 - Escavacao mecanizada para Sapatas, com previsao de forma</v>
      </c>
    </row>
    <row r="183" spans="1:5" x14ac:dyDescent="0.2">
      <c r="A183" s="245" t="str">
        <v>Mao de obra para instalação de portas de madeira</v>
      </c>
      <c r="B183" s="246">
        <f ca="1">IF(A183="","",SUMIF(Orçamento!Q:Q,'ABC Serviços Apoio'!A183,Orçamento!Z:Z))</f>
        <v>10400</v>
      </c>
      <c r="C183" s="246" t="str">
        <f t="shared" ca="1" si="2"/>
        <v>10400 - Mao de obra para instalação de portas de madeira</v>
      </c>
      <c r="E183" t="str">
        <f ca="1"/>
        <v>22633,3752145281 - Concreto usinado Para Contenção</v>
      </c>
    </row>
    <row r="184" spans="1:5" x14ac:dyDescent="0.2">
      <c r="A184" s="245" t="str">
        <v>Mao de obra para pintura acrilica em paredes</v>
      </c>
      <c r="B184" s="246">
        <f ca="1">IF(A184="","",SUMIF(Orçamento!Q:Q,'ABC Serviços Apoio'!A184,Orçamento!Z:Z))</f>
        <v>129720</v>
      </c>
      <c r="C184" s="246" t="str">
        <f t="shared" ca="1" si="2"/>
        <v>129720 - Mao de obra para pintura acrilica em paredes</v>
      </c>
      <c r="E184" t="str">
        <f ca="1"/>
        <v>2250 - Taxas de ART e RRT</v>
      </c>
    </row>
    <row r="185" spans="1:5" x14ac:dyDescent="0.2">
      <c r="A185" s="245" t="str">
        <v>Mao de obra para pintura acrilica em paredes externas, 2 demaos</v>
      </c>
      <c r="B185" s="246">
        <f ca="1">IF(A185="","",SUMIF(Orçamento!Q:Q,'ABC Serviços Apoio'!A185,Orçamento!Z:Z))</f>
        <v>60720.000000000007</v>
      </c>
      <c r="C185" s="246" t="str">
        <f t="shared" ca="1" si="2"/>
        <v>60720 - Mao de obra para pintura acrilica em paredes externas, 2 demaos</v>
      </c>
      <c r="E185" t="str">
        <f ca="1"/>
        <v>220019,476675186 - Esquadrias de Aluminio - Fornecimento e instalacao incluindo vidros</v>
      </c>
    </row>
    <row r="186" spans="1:5" x14ac:dyDescent="0.2">
      <c r="A186" s="245" t="str">
        <v>Mao de obra para pintura acrílica em teto</v>
      </c>
      <c r="B186" s="246">
        <f ca="1">IF(A186="","",SUMIF(Orçamento!Q:Q,'ABC Serviços Apoio'!A186,Orçamento!Z:Z))</f>
        <v>82799.999999999985</v>
      </c>
      <c r="C186" s="246" t="str">
        <f t="shared" ca="1" si="2"/>
        <v>82800 - Mao de obra para pintura acrílica em teto</v>
      </c>
      <c r="E186" t="str">
        <f ca="1"/>
        <v>22,34 - Impermeabilizacao com tinta asfaltica em Fundação Rasa</v>
      </c>
    </row>
    <row r="187" spans="1:5" x14ac:dyDescent="0.2">
      <c r="A187" s="245" t="str">
        <v>Mao de obra para pintura Epoxi - Faixa Garagens</v>
      </c>
      <c r="B187" s="246">
        <f ca="1">IF(A187="","",SUMIF(Orçamento!Q:Q,'ABC Serviços Apoio'!A187,Orçamento!Z:Z))</f>
        <v>1981.6915448817772</v>
      </c>
      <c r="C187" s="246" t="str">
        <f t="shared" ca="1" si="2"/>
        <v>1981,69154488178 - Mao de obra para pintura Epoxi - Faixa Garagens</v>
      </c>
      <c r="E187" t="str">
        <f ca="1"/>
        <v>2182,005 - Mao de obra para execucao de protecao mecanica em superficie impermeabilizada</v>
      </c>
    </row>
    <row r="188" spans="1:5" x14ac:dyDescent="0.2">
      <c r="A188" s="245" t="str">
        <v>Mao de obra para reboco externo, inclui chapisco</v>
      </c>
      <c r="B188" s="246">
        <f ca="1">IF(A188="","",SUMIF(Orçamento!Q:Q,'ABC Serviços Apoio'!A188,Orçamento!Z:Z))</f>
        <v>186300</v>
      </c>
      <c r="C188" s="246" t="str">
        <f t="shared" ca="1" si="2"/>
        <v>186300 - Mao de obra para reboco externo, inclui chapisco</v>
      </c>
      <c r="E188" t="str">
        <f ca="1"/>
        <v>218,908199475 - Revestimento interno de Rodapé Porcelanato h=0,07cm</v>
      </c>
    </row>
    <row r="189" spans="1:5" x14ac:dyDescent="0.2">
      <c r="A189" s="245" t="str">
        <v>Mao de obra para reboco interno, incluindo chapisco</v>
      </c>
      <c r="B189" s="246">
        <f ca="1">IF(A189="","",SUMIF(Orçamento!Q:Q,'ABC Serviços Apoio'!A189,Orçamento!Z:Z))</f>
        <v>156055.00000000006</v>
      </c>
      <c r="C189" s="246" t="str">
        <f t="shared" ca="1" si="2"/>
        <v>156055 - Mao de obra para reboco interno, incluindo chapisco</v>
      </c>
      <c r="E189" t="str">
        <f ca="1"/>
        <v>21780 - Locação de caçambas para retirada de entulho</v>
      </c>
    </row>
    <row r="190" spans="1:5" x14ac:dyDescent="0.2">
      <c r="A190" s="245" t="str">
        <v>Mao de obra para regularizacao de superficie</v>
      </c>
      <c r="B190" s="246">
        <f ca="1">IF(A190="","",SUMIF(Orçamento!Q:Q,'ABC Serviços Apoio'!A190,Orçamento!Z:Z))</f>
        <v>23006.520000000004</v>
      </c>
      <c r="C190" s="246" t="str">
        <f t="shared" ca="1" si="2"/>
        <v>23006,52 - Mao de obra para regularizacao de superficie</v>
      </c>
      <c r="E190" t="str">
        <f ca="1"/>
        <v>2178,38929567615 - Pontos de Tomadas e Interruptores - Térreo</v>
      </c>
    </row>
    <row r="191" spans="1:5" x14ac:dyDescent="0.2">
      <c r="A191" s="245" t="str">
        <v>Mão de obra para tratamento de ralos</v>
      </c>
      <c r="B191" s="246">
        <f ca="1">IF(A191="","",SUMIF(Orçamento!Q:Q,'ABC Serviços Apoio'!A191,Orçamento!Z:Z))</f>
        <v>8400</v>
      </c>
      <c r="C191" s="246" t="str">
        <f t="shared" ca="1" si="2"/>
        <v>8400 - Mão de obra para tratamento de ralos</v>
      </c>
      <c r="E191" t="str">
        <f ca="1"/>
        <v>21713,75644065 - Armacao aco CA-50 ø 6.3mm para supraestrutura corte e dobra em indústria</v>
      </c>
    </row>
    <row r="192" spans="1:5" x14ac:dyDescent="0.2">
      <c r="A192" s="245" t="str">
        <v>Massa unica para reboco externo em argamassa estabilizada, espessura de 35mm</v>
      </c>
      <c r="B192" s="246">
        <f ca="1">IF(A192="","",SUMIF(Orçamento!Q:Q,'ABC Serviços Apoio'!A192,Orçamento!Z:Z))</f>
        <v>36058.559999999998</v>
      </c>
      <c r="C192" s="246" t="str">
        <f t="shared" ca="1" si="2"/>
        <v>36058,56 - Massa unica para reboco externo em argamassa estabilizada, espessura de 35mm</v>
      </c>
      <c r="E192" t="str">
        <f ca="1"/>
        <v>21600 - Equipamentos, Ferramentas e acessorios de Apoio ao Canteiro de Obra</v>
      </c>
    </row>
    <row r="193" spans="1:5" x14ac:dyDescent="0.2">
      <c r="A193" s="245" t="str">
        <v>Massa unica para reboco interno em argamassa estabilizada, de estrutura de concreto em teto</v>
      </c>
      <c r="B193" s="246">
        <f ca="1">IF(A193="","",SUMIF(Orçamento!Q:Q,'ABC Serviços Apoio'!A193,Orçamento!Z:Z))</f>
        <v>2022.7526400000004</v>
      </c>
      <c r="C193" s="246" t="str">
        <f t="shared" ca="1" si="2"/>
        <v>2022,75264 - Massa unica para reboco interno em argamassa estabilizada, de estrutura de concreto em teto</v>
      </c>
      <c r="E193" t="str">
        <f ca="1"/>
        <v>2111,27241976932 - Despesas certidão INSS</v>
      </c>
    </row>
    <row r="194" spans="1:5" x14ac:dyDescent="0.2">
      <c r="A194" s="245" t="str">
        <v>Massa unica para reboco interno em argamassa estabilizada, espessura de 20mm, com execucao de taliscas</v>
      </c>
      <c r="B194" s="246">
        <f ca="1">IF(A194="","",SUMIF(Orçamento!Q:Q,'ABC Serviços Apoio'!A194,Orçamento!Z:Z))</f>
        <v>72994.426560000022</v>
      </c>
      <c r="C194" s="246" t="str">
        <f t="shared" ca="1" si="2"/>
        <v>72994,42656 - Massa unica para reboco interno em argamassa estabilizada, espessura de 20mm, com execucao de taliscas</v>
      </c>
      <c r="E194" t="str">
        <f ca="1"/>
        <v>21000 - Consultoria de Orçamento e Planejamento</v>
      </c>
    </row>
    <row r="195" spans="1:5" x14ac:dyDescent="0.2">
      <c r="A195" s="245" t="str">
        <v xml:space="preserve">Mobiliario e decoracoes para areas comuns </v>
      </c>
      <c r="B195" s="246">
        <f ca="1">IF(A195="","",SUMIF(Orçamento!Q:Q,'ABC Serviços Apoio'!A195,Orçamento!Z:Z))</f>
        <v>356636.125</v>
      </c>
      <c r="C195" s="246" t="str">
        <f t="shared" ref="C195:C258" ca="1" si="3">IF(A195="","",CONCATENATE(B195, " - ",A195))</f>
        <v xml:space="preserve">356636,125 - Mobiliario e decoracoes para areas comuns </v>
      </c>
      <c r="E195" t="str">
        <f ca="1"/>
        <v>207474,347715472 - Guarda-corpos de aluminio e vidro</v>
      </c>
    </row>
    <row r="196" spans="1:5" x14ac:dyDescent="0.2">
      <c r="A196" s="245" t="str">
        <v>Mobilização e desmobilização - Mini-grua</v>
      </c>
      <c r="B196" s="246">
        <f ca="1">IF(A196="","",SUMIF(Orçamento!Q:Q,'ABC Serviços Apoio'!A196,Orçamento!Z:Z))</f>
        <v>9756</v>
      </c>
      <c r="C196" s="246" t="str">
        <f t="shared" ca="1" si="3"/>
        <v>9756 - Mobilização e desmobilização - Mini-grua</v>
      </c>
      <c r="E196" t="str">
        <f ca="1"/>
        <v>2050 - Exaustao das churrasqueiras</v>
      </c>
    </row>
    <row r="197" spans="1:5" x14ac:dyDescent="0.2">
      <c r="A197" s="245" t="str">
        <v>Montagem de fôrma para escadarias em chapa de madeira compensada plastificada e=14 mm - 2 jogos</v>
      </c>
      <c r="B197" s="246">
        <f ca="1">IF(A197="","",SUMIF(Orçamento!Q:Q,'ABC Serviços Apoio'!A197,Orçamento!Z:Z))</f>
        <v>315.12123761099997</v>
      </c>
      <c r="C197" s="246" t="str">
        <f t="shared" ca="1" si="3"/>
        <v>315,121237611 - Montagem de fôrma para escadarias em chapa de madeira compensada plastificada e=14 mm - 2 jogos</v>
      </c>
      <c r="E197" t="str">
        <f ca="1"/>
        <v>2043,14996843519 - Instalacoes provisorias de rede elétrica</v>
      </c>
    </row>
    <row r="198" spans="1:5" x14ac:dyDescent="0.2">
      <c r="A198" s="245" t="str">
        <v>Montagem e Desmontagem - Mini Grua</v>
      </c>
      <c r="B198" s="246">
        <f ca="1">IF(A198="","",SUMIF(Orçamento!Q:Q,'ABC Serviços Apoio'!A198,Orçamento!Z:Z))</f>
        <v>7000</v>
      </c>
      <c r="C198" s="246" t="str">
        <f t="shared" ca="1" si="3"/>
        <v>7000 - Montagem e Desmontagem - Mini Grua</v>
      </c>
      <c r="E198" t="str">
        <f ca="1"/>
        <v>20353,9628842511 - Cabos e Fiacoes - Térreo</v>
      </c>
    </row>
    <row r="199" spans="1:5" x14ac:dyDescent="0.2">
      <c r="A199" s="245" t="str">
        <v>Montagem E Desmontagem De Fôrma De Laje Nervurada Com Cubeta E Assoalho, Pé-Direito Simples, Em Chapa De Madeira Compensada Resinada, 8 Utilizações. Af_09/2020</v>
      </c>
      <c r="B199" s="246">
        <f ca="1">IF(A199="","",SUMIF(Orçamento!Q:Q,'ABC Serviços Apoio'!A199,Orçamento!Z:Z))</f>
        <v>2415.3132812000003</v>
      </c>
      <c r="C199" s="246" t="str">
        <f t="shared" ca="1" si="3"/>
        <v>2415,3132812 - Montagem E Desmontagem De Fôrma De Laje Nervurada Com Cubeta E Assoalho, Pé-Direito Simples, Em Chapa De Madeira Compensada Resinada, 8 Utilizações. Af_09/2020</v>
      </c>
      <c r="E199" t="str">
        <f ca="1"/>
        <v>20287,50528 - Porta de madeira- folha leve/média - 80x210cm- fixacao com espuma expansiva</v>
      </c>
    </row>
    <row r="200" spans="1:5" x14ac:dyDescent="0.2">
      <c r="A200" s="245" t="str">
        <v>Montagem e desmontagem de fôrma para laje em chapa de madeira compensada plastificada</v>
      </c>
      <c r="B200" s="246">
        <f ca="1">IF(A200="","",SUMIF(Orçamento!Q:Q,'ABC Serviços Apoio'!A200,Orçamento!Z:Z))</f>
        <v>369.35461974300006</v>
      </c>
      <c r="C200" s="246" t="str">
        <f t="shared" ca="1" si="3"/>
        <v>369,354619743 - Montagem e desmontagem de fôrma para laje em chapa de madeira compensada plastificada</v>
      </c>
      <c r="E200" t="str">
        <f ca="1"/>
        <v>2022,75264 - Massa unica para reboco interno em argamassa estabilizada, de estrutura de concreto em teto</v>
      </c>
    </row>
    <row r="201" spans="1:5" x14ac:dyDescent="0.2">
      <c r="A201" s="245" t="str">
        <v>Montagem e desmontagem de fôrma para pilares em chapa de madeira compensada plastificada</v>
      </c>
      <c r="B201" s="246">
        <f ca="1">IF(A201="","",SUMIF(Orçamento!Q:Q,'ABC Serviços Apoio'!A201,Orçamento!Z:Z))</f>
        <v>927.14418041999977</v>
      </c>
      <c r="C201" s="246" t="str">
        <f t="shared" ca="1" si="3"/>
        <v>927,14418042 - Montagem e desmontagem de fôrma para pilares em chapa de madeira compensada plastificada</v>
      </c>
      <c r="E201" t="str">
        <f ca="1"/>
        <v>2000 - Taxa de Alvará</v>
      </c>
    </row>
    <row r="202" spans="1:5" x14ac:dyDescent="0.2">
      <c r="A202" s="245" t="str">
        <v>Montagem e desmontagem de fôrma para vigas em chapa de madeira compensada plastificada</v>
      </c>
      <c r="B202" s="246">
        <f ca="1">IF(A202="","",SUMIF(Orçamento!Q:Q,'ABC Serviços Apoio'!A202,Orçamento!Z:Z))</f>
        <v>3729.0940530176968</v>
      </c>
      <c r="C202" s="246" t="str">
        <f t="shared" ca="1" si="3"/>
        <v>3729,0940530177 - Montagem e desmontagem de fôrma para vigas em chapa de madeira compensada plastificada</v>
      </c>
      <c r="E202" t="str">
        <f ca="1"/>
        <v>19934,97571464 - Fabricação de fôrma para laje em chapa de madeira compensada plastificada e=14 mm - 2 jogos</v>
      </c>
    </row>
    <row r="203" spans="1:5" x14ac:dyDescent="0.2">
      <c r="A203" s="245" t="str">
        <v>Paisagismo</v>
      </c>
      <c r="B203" s="246">
        <f ca="1">IF(A203="","",SUMIF(Orçamento!Q:Q,'ABC Serviços Apoio'!A203,Orçamento!Z:Z))</f>
        <v>3420.2999999999997</v>
      </c>
      <c r="C203" s="246" t="str">
        <f t="shared" ca="1" si="3"/>
        <v>3420,3 - Paisagismo</v>
      </c>
      <c r="E203" t="str">
        <f ca="1"/>
        <v>1981,69154488178 - Mao de obra para pintura Epoxi - Faixa Garagens</v>
      </c>
    </row>
    <row r="204" spans="1:5" x14ac:dyDescent="0.2">
      <c r="A204" s="245" t="str">
        <v>Pavimentação em  Piso/Grama de Concreto 6 cm Sobre Coxim de Areia</v>
      </c>
      <c r="B204" s="246">
        <f ca="1">IF(A204="","",SUMIF(Orçamento!Q:Q,'ABC Serviços Apoio'!A204,Orçamento!Z:Z))</f>
        <v>1399.1630254000002</v>
      </c>
      <c r="C204" s="246" t="str">
        <f t="shared" ca="1" si="3"/>
        <v>1399,1630254 - Pavimentação em  Piso/Grama de Concreto 6 cm Sobre Coxim de Areia</v>
      </c>
      <c r="E204" t="str">
        <f ca="1"/>
        <v>198 - Acabamento de Registro</v>
      </c>
    </row>
    <row r="205" spans="1:5" x14ac:dyDescent="0.2">
      <c r="A205" s="245" t="str">
        <v>Peitoril em granito, acabamento polido, espessura 2cm</v>
      </c>
      <c r="B205" s="246">
        <f ca="1">IF(A205="","",SUMIF(Orçamento!Q:Q,'ABC Serviços Apoio'!A205,Orçamento!Z:Z))</f>
        <v>13173.60627</v>
      </c>
      <c r="C205" s="246" t="str">
        <f t="shared" ca="1" si="3"/>
        <v>13173,60627 - Peitoril em granito, acabamento polido, espessura 2cm</v>
      </c>
      <c r="E205" t="str">
        <f ca="1"/>
        <v>19432,3 - Comunicacao visual</v>
      </c>
    </row>
    <row r="206" spans="1:5" x14ac:dyDescent="0.2">
      <c r="A206" s="245" t="str">
        <v xml:space="preserve">Pergolado de madeira </v>
      </c>
      <c r="B206" s="246">
        <f ca="1">IF(A206="","",SUMIF(Orçamento!Q:Q,'ABC Serviços Apoio'!A206,Orçamento!Z:Z))</f>
        <v>3840.8224000000005</v>
      </c>
      <c r="C206" s="246" t="str">
        <f t="shared" ca="1" si="3"/>
        <v xml:space="preserve">3840,8224 - Pergolado de madeira </v>
      </c>
      <c r="E206" t="str">
        <f ca="1"/>
        <v>19417,177605 - Protecao mecanica de superficie com argamassa de cimento e areia , traço 1:3, E=5cm</v>
      </c>
    </row>
    <row r="207" spans="1:5" x14ac:dyDescent="0.2">
      <c r="A207" s="245" t="str">
        <v>Pintura acrilica em piso e rodapé de 7cm, 2 demaos, aplicacao em antecamara e escadaria</v>
      </c>
      <c r="B207" s="246">
        <f ca="1">IF(A207="","",SUMIF(Orçamento!Q:Q,'ABC Serviços Apoio'!A207,Orçamento!Z:Z))</f>
        <v>81.170399268000011</v>
      </c>
      <c r="C207" s="246" t="str">
        <f t="shared" ca="1" si="3"/>
        <v>81,170399268 - Pintura acrilica em piso e rodapé de 7cm, 2 demaos, aplicacao em antecamara e escadaria</v>
      </c>
      <c r="E207" t="str">
        <f ca="1"/>
        <v>19330,106 - Bacia com Caixa Acoplada</v>
      </c>
    </row>
    <row r="208" spans="1:5" x14ac:dyDescent="0.2">
      <c r="A208" s="245" t="str">
        <v>Pintura com tinta latex acrilica branca acabamento fosco em paredes externas 2 demaos</v>
      </c>
      <c r="B208" s="246">
        <f ca="1">IF(A208="","",SUMIF(Orçamento!Q:Q,'ABC Serviços Apoio'!A208,Orçamento!Z:Z))</f>
        <v>11375.389896000001</v>
      </c>
      <c r="C208" s="246" t="str">
        <f t="shared" ca="1" si="3"/>
        <v>11375,389896 - Pintura com tinta latex acrilica branca acabamento fosco em paredes externas 2 demaos</v>
      </c>
      <c r="E208" t="str">
        <f ca="1"/>
        <v>193,904928 - Piso cimentado com argamassa de cimento e areia traço 1:3, espessura 1,5cm</v>
      </c>
    </row>
    <row r="209" spans="1:5" x14ac:dyDescent="0.2">
      <c r="A209" s="245" t="str">
        <v>Pintura com tinta latex acrilica, acabamento fosco em paredes internas, 3 demaos Áreas Comuns</v>
      </c>
      <c r="B209" s="246">
        <f ca="1">IF(A209="","",SUMIF(Orçamento!Q:Q,'ABC Serviços Apoio'!A209,Orçamento!Z:Z))</f>
        <v>33478.299757979999</v>
      </c>
      <c r="C209" s="246" t="str">
        <f t="shared" ca="1" si="3"/>
        <v>33478,29975798 - Pintura com tinta latex acrilica, acabamento fosco em paredes internas, 3 demaos Áreas Comuns</v>
      </c>
      <c r="E209" t="str">
        <f ca="1"/>
        <v>193,5131 - Armacao Tela Q246 para supraestrutura</v>
      </c>
    </row>
    <row r="210" spans="1:5" x14ac:dyDescent="0.2">
      <c r="A210" s="245" t="str">
        <v>Pintura com tinta latex acrilica, acabamento fosco em paredes internas, 3 demaos Áreas Privativas</v>
      </c>
      <c r="B210" s="246">
        <f ca="1">IF(A210="","",SUMIF(Orçamento!Q:Q,'ABC Serviços Apoio'!A210,Orçamento!Z:Z))</f>
        <v>27582.666003900002</v>
      </c>
      <c r="C210" s="246" t="str">
        <f t="shared" ca="1" si="3"/>
        <v>27582,6660039 - Pintura com tinta latex acrilica, acabamento fosco em paredes internas, 3 demaos Áreas Privativas</v>
      </c>
      <c r="E210" t="str">
        <f ca="1"/>
        <v>19031,354430352 - Armacao aco CA-50 ø 20.0mm para supraestrutura corte e dobra em indústria</v>
      </c>
    </row>
    <row r="211" spans="1:5" x14ac:dyDescent="0.2">
      <c r="A211" s="245" t="str">
        <v>Pintura com tinta latex acrilica, acabamento fosco em teto, 3 demaos</v>
      </c>
      <c r="B211" s="246">
        <f ca="1">IF(A211="","",SUMIF(Orçamento!Q:Q,'ABC Serviços Apoio'!A211,Orçamento!Z:Z))</f>
        <v>24616.04628626</v>
      </c>
      <c r="C211" s="246" t="str">
        <f t="shared" ca="1" si="3"/>
        <v>24616,04628626 - Pintura com tinta latex acrilica, acabamento fosco em teto, 3 demaos</v>
      </c>
      <c r="E211" t="str">
        <f ca="1"/>
        <v>18900,9012524117 - Instalacoes de Agua Fria - Tipo (5X)</v>
      </c>
    </row>
    <row r="212" spans="1:5" x14ac:dyDescent="0.2">
      <c r="A212" s="245" t="str">
        <v xml:space="preserve">Pintura epoxi  2 demaos - aplicacao em faixas demarcatorias de garagens </v>
      </c>
      <c r="B212" s="246">
        <f ca="1">IF(A212="","",SUMIF(Orçamento!Q:Q,'ABC Serviços Apoio'!A212,Orçamento!Z:Z))</f>
        <v>1491.5890079999999</v>
      </c>
      <c r="C212" s="246" t="str">
        <f t="shared" ca="1" si="3"/>
        <v xml:space="preserve">1491,589008 - Pintura epoxi  2 demaos - aplicacao em faixas demarcatorias de garagens </v>
      </c>
      <c r="E212" t="str">
        <f ca="1"/>
        <v>1890,55332975734 - Instalacoes de Aguas Pluviais - Cobertura</v>
      </c>
    </row>
    <row r="213" spans="1:5" x14ac:dyDescent="0.2">
      <c r="A213" s="245" t="str">
        <v xml:space="preserve">Pintura epoxi em piso 2 demaos - aplicacao em faixas demarcatorias de garagens </v>
      </c>
      <c r="B213" s="246">
        <f ca="1">IF(A213="","",SUMIF(Orçamento!Q:Q,'ABC Serviços Apoio'!A213,Orçamento!Z:Z))</f>
        <v>678.35302079999997</v>
      </c>
      <c r="C213" s="246" t="str">
        <f t="shared" ca="1" si="3"/>
        <v xml:space="preserve">678,3530208 - Pintura epoxi em piso 2 demaos - aplicacao em faixas demarcatorias de garagens </v>
      </c>
      <c r="E213" t="str">
        <f ca="1"/>
        <v>1890,09012524117 - Luminárias e Acessorios - Tipo (x5)</v>
      </c>
    </row>
    <row r="214" spans="1:5" x14ac:dyDescent="0.2">
      <c r="A214" s="245" t="str">
        <v>Piso cimentado com argamassa de cimento e areia traço 1:3, espessura 1,5cm</v>
      </c>
      <c r="B214" s="246">
        <f ca="1">IF(A214="","",SUMIF(Orçamento!Q:Q,'ABC Serviços Apoio'!A214,Orçamento!Z:Z))</f>
        <v>193.90492800000001</v>
      </c>
      <c r="C214" s="246" t="str">
        <f t="shared" ca="1" si="3"/>
        <v>193,904928 - Piso cimentado com argamassa de cimento e areia traço 1:3, espessura 1,5cm</v>
      </c>
      <c r="E214" t="str">
        <f ca="1"/>
        <v>187800 - Elevador social</v>
      </c>
    </row>
    <row r="215" spans="1:5" x14ac:dyDescent="0.2">
      <c r="A215" s="245" t="str">
        <v>Pontos de Tomadas e Interruptores - Cobertura</v>
      </c>
      <c r="B215" s="246">
        <f ca="1">IF(A215="","",SUMIF(Orçamento!Q:Q,'ABC Serviços Apoio'!A215,Orçamento!Z:Z))</f>
        <v>1560.4485511253404</v>
      </c>
      <c r="C215" s="246" t="str">
        <f t="shared" ca="1" si="3"/>
        <v>1560,44855112534 - Pontos de Tomadas e Interruptores - Cobertura</v>
      </c>
      <c r="E215" t="str">
        <f ca="1"/>
        <v>186300 - Mao de obra para reboco externo, inclui chapisco</v>
      </c>
    </row>
    <row r="216" spans="1:5" x14ac:dyDescent="0.2">
      <c r="A216" s="245" t="str">
        <v>Pontos de Tomadas e Interruptores - Pavimento Técnico</v>
      </c>
      <c r="B216" s="246">
        <f ca="1">IF(A216="","",SUMIF(Orçamento!Q:Q,'ABC Serviços Apoio'!A216,Orçamento!Z:Z))</f>
        <v>1281.602439420742</v>
      </c>
      <c r="C216" s="246" t="str">
        <f t="shared" ca="1" si="3"/>
        <v>1281,60243942074 - Pontos de Tomadas e Interruptores - Pavimento Técnico</v>
      </c>
      <c r="E216" t="str">
        <f ca="1"/>
        <v>1853 - Tela Soldada para Ligacao Alvenaria/Estrutura em Chapisco Externo 7,5x50cm</v>
      </c>
    </row>
    <row r="217" spans="1:5" x14ac:dyDescent="0.2">
      <c r="A217" s="245" t="str">
        <v>Pontos de Tomadas e Interruptores - Subsolo</v>
      </c>
      <c r="B217" s="246">
        <f ca="1">IF(A217="","",SUMIF(Orçamento!Q:Q,'ABC Serviços Apoio'!A217,Orçamento!Z:Z))</f>
        <v>3218.5033858336856</v>
      </c>
      <c r="C217" s="246" t="str">
        <f t="shared" ca="1" si="3"/>
        <v>3218,50338583369 - Pontos de Tomadas e Interruptores - Subsolo</v>
      </c>
      <c r="E217" t="str">
        <f ca="1"/>
        <v>1848 - Despesas de consumo - Cópias</v>
      </c>
    </row>
    <row r="218" spans="1:5" x14ac:dyDescent="0.2">
      <c r="A218" s="245" t="str">
        <v>Pontos de Tomadas e Interruptores - Térreo</v>
      </c>
      <c r="B218" s="246">
        <f ca="1">IF(A218="","",SUMIF(Orçamento!Q:Q,'ABC Serviços Apoio'!A218,Orçamento!Z:Z))</f>
        <v>2178.3892956761529</v>
      </c>
      <c r="C218" s="246" t="str">
        <f t="shared" ca="1" si="3"/>
        <v>2178,38929567615 - Pontos de Tomadas e Interruptores - Térreo</v>
      </c>
      <c r="E218" t="str">
        <f ca="1"/>
        <v>182850 - Mao de obra - para execucao de infraestrutura</v>
      </c>
    </row>
    <row r="219" spans="1:5" x14ac:dyDescent="0.2">
      <c r="A219" s="245" t="str">
        <v>Pontos de Tomadas e Interruptores - Tipo (x5)</v>
      </c>
      <c r="B219" s="246">
        <f ca="1">IF(A219="","",SUMIF(Orçamento!Q:Q,'ABC Serviços Apoio'!A219,Orçamento!Z:Z))</f>
        <v>7800.3311279440804</v>
      </c>
      <c r="C219" s="246" t="str">
        <f t="shared" ca="1" si="3"/>
        <v>7800,33112794408 - Pontos de Tomadas e Interruptores - Tipo (x5)</v>
      </c>
      <c r="E219" t="str">
        <f ca="1"/>
        <v>17840 - Equipamento de ar-condicionado</v>
      </c>
    </row>
    <row r="220" spans="1:5" x14ac:dyDescent="0.2">
      <c r="A220" s="245" t="str">
        <v>Porta de madeira- folha leve/média - 60x210cm- fixacao com espuma expansiva</v>
      </c>
      <c r="B220" s="246">
        <f ca="1">IF(A220="","",SUMIF(Orçamento!Q:Q,'ABC Serviços Apoio'!A220,Orçamento!Z:Z))</f>
        <v>8947.9168000000009</v>
      </c>
      <c r="C220" s="246" t="str">
        <f t="shared" ca="1" si="3"/>
        <v>8947,9168 - Porta de madeira- folha leve/média - 60x210cm- fixacao com espuma expansiva</v>
      </c>
      <c r="E220" t="str">
        <f ca="1"/>
        <v>17710,04235 - Revestimento interno de piso Cerâmico placa 60x60cm - áreas Internos</v>
      </c>
    </row>
    <row r="221" spans="1:5" x14ac:dyDescent="0.2">
      <c r="A221" s="245" t="str">
        <v>Porta de madeira- folha leve/média - 70x210cm- fixacao com espuma expansiva</v>
      </c>
      <c r="B221" s="246">
        <f ca="1">IF(A221="","",SUMIF(Orçamento!Q:Q,'ABC Serviços Apoio'!A221,Orçamento!Z:Z))</f>
        <v>7947.9392800000005</v>
      </c>
      <c r="C221" s="246" t="str">
        <f t="shared" ca="1" si="3"/>
        <v>7947,93928 - Porta de madeira- folha leve/média - 70x210cm- fixacao com espuma expansiva</v>
      </c>
      <c r="E221" t="str">
        <f ca="1"/>
        <v>176,592 - Mao de obra para colocacao de soleiras em granito</v>
      </c>
    </row>
    <row r="222" spans="1:5" x14ac:dyDescent="0.2">
      <c r="A222" s="245" t="str">
        <v>Porta de madeira- folha leve/média - 80x210cm- fixacao com espuma expansiva</v>
      </c>
      <c r="B222" s="246">
        <f ca="1">IF(A222="","",SUMIF(Orçamento!Q:Q,'ABC Serviços Apoio'!A222,Orçamento!Z:Z))</f>
        <v>20287.505280000001</v>
      </c>
      <c r="C222" s="246" t="str">
        <f t="shared" ca="1" si="3"/>
        <v>20287,50528 - Porta de madeira- folha leve/média - 80x210cm- fixacao com espuma expansiva</v>
      </c>
      <c r="E222" t="str">
        <f ca="1"/>
        <v>1729,480725 - Revestimento interno de Rodapé Porcelanato h=0,30cm</v>
      </c>
    </row>
    <row r="223" spans="1:5" x14ac:dyDescent="0.2">
      <c r="A223" s="245" t="str">
        <v>Porta de madeira, folha leve/média, 90x210cm, fixacao com espuma expansiva - fornecimento e instalacao</v>
      </c>
      <c r="B223" s="246">
        <f ca="1">IF(A223="","",SUMIF(Orçamento!Q:Q,'ABC Serviços Apoio'!A223,Orçamento!Z:Z))</f>
        <v>2836.4303399999999</v>
      </c>
      <c r="C223" s="246" t="str">
        <f t="shared" ca="1" si="3"/>
        <v>2836,43034 - Porta de madeira, folha leve/média, 90x210cm, fixacao com espuma expansiva - fornecimento e instalacao</v>
      </c>
      <c r="E223" t="str">
        <f ca="1"/>
        <v>17198,9492944 - Bandeja de protecao primaria</v>
      </c>
    </row>
    <row r="224" spans="1:5" x14ac:dyDescent="0.2">
      <c r="A224" s="245" t="str">
        <v>Projeto Arquitetônico</v>
      </c>
      <c r="B224" s="246">
        <f ca="1">IF(A224="","",SUMIF(Orçamento!Q:Q,'ABC Serviços Apoio'!A224,Orçamento!Z:Z))</f>
        <v>40816</v>
      </c>
      <c r="C224" s="246" t="str">
        <f t="shared" ca="1" si="3"/>
        <v>40816 - Projeto Arquitetônico</v>
      </c>
      <c r="E224" t="str">
        <f ca="1"/>
        <v>1716 - Manutencao para Veículos proprios</v>
      </c>
    </row>
    <row r="225" spans="1:5" x14ac:dyDescent="0.2">
      <c r="A225" s="245" t="str">
        <v>Projeto Comunicação e Dados</v>
      </c>
      <c r="B225" s="246">
        <f ca="1">IF(A225="","",SUMIF(Orçamento!Q:Q,'ABC Serviços Apoio'!A225,Orçamento!Z:Z))</f>
        <v>2967</v>
      </c>
      <c r="C225" s="246" t="str">
        <f t="shared" ca="1" si="3"/>
        <v>2967 - Projeto Comunicação e Dados</v>
      </c>
      <c r="E225" t="str">
        <f ca="1"/>
        <v>1619,4651 - Armacao Tela Q196 para supraestrutura</v>
      </c>
    </row>
    <row r="226" spans="1:5" x14ac:dyDescent="0.2">
      <c r="A226" s="245" t="str">
        <v>Projeto de climatização</v>
      </c>
      <c r="B226" s="246">
        <f ca="1">IF(A226="","",SUMIF(Orçamento!Q:Q,'ABC Serviços Apoio'!A226,Orçamento!Z:Z))</f>
        <v>1400</v>
      </c>
      <c r="C226" s="246" t="str">
        <f t="shared" ca="1" si="3"/>
        <v>1400 - Projeto de climatização</v>
      </c>
      <c r="E226" t="str">
        <f ca="1"/>
        <v>1615 - Tapume em telha metalica</v>
      </c>
    </row>
    <row r="227" spans="1:5" x14ac:dyDescent="0.2">
      <c r="A227" s="245" t="str">
        <v>Projeto de Prevenção Combate a Incêndio</v>
      </c>
      <c r="B227" s="246">
        <f ca="1">IF(A227="","",SUMIF(Orçamento!Q:Q,'ABC Serviços Apoio'!A227,Orçamento!Z:Z))</f>
        <v>9500</v>
      </c>
      <c r="C227" s="246" t="str">
        <f t="shared" ca="1" si="3"/>
        <v>9500 - Projeto de Prevenção Combate a Incêndio</v>
      </c>
      <c r="E227" t="str">
        <f ca="1"/>
        <v>15870 - Mao de obra para estucamento de estrutura em concreto</v>
      </c>
    </row>
    <row r="228" spans="1:5" x14ac:dyDescent="0.2">
      <c r="A228" s="245" t="str">
        <v>Projeto de Segurança do Trabalho</v>
      </c>
      <c r="B228" s="246">
        <f ca="1">IF(A228="","",SUMIF(Orçamento!Q:Q,'ABC Serviços Apoio'!A228,Orçamento!Z:Z))</f>
        <v>3500</v>
      </c>
      <c r="C228" s="246" t="str">
        <f t="shared" ca="1" si="3"/>
        <v>3500 - Projeto de Segurança do Trabalho</v>
      </c>
      <c r="E228" t="str">
        <f ca="1"/>
        <v>15870 - Mao De Obra Estucamento Em Massa Teto</v>
      </c>
    </row>
    <row r="229" spans="1:5" x14ac:dyDescent="0.2">
      <c r="A229" s="245" t="str">
        <v>Projeto de Telefonia</v>
      </c>
      <c r="B229" s="246">
        <f ca="1">IF(A229="","",SUMIF(Orçamento!Q:Q,'ABC Serviços Apoio'!A229,Orçamento!Z:Z))</f>
        <v>2967</v>
      </c>
      <c r="C229" s="246" t="str">
        <f t="shared" ca="1" si="3"/>
        <v>2967 - Projeto de Telefonia</v>
      </c>
      <c r="E229" t="str">
        <f ca="1"/>
        <v>15728,2591206505 - Quadros e Disjuntores - Tipo (x5)</v>
      </c>
    </row>
    <row r="230" spans="1:5" x14ac:dyDescent="0.2">
      <c r="A230" s="245" t="str">
        <v xml:space="preserve">Projeto eletrico </v>
      </c>
      <c r="B230" s="246">
        <f ca="1">IF(A230="","",SUMIF(Orçamento!Q:Q,'ABC Serviços Apoio'!A230,Orçamento!Z:Z))</f>
        <v>5936</v>
      </c>
      <c r="C230" s="246" t="str">
        <f t="shared" ca="1" si="3"/>
        <v xml:space="preserve">5936 - Projeto eletrico </v>
      </c>
      <c r="E230" t="str">
        <f ca="1"/>
        <v>156055 - Mao de obra para reboco interno, incluindo chapisco</v>
      </c>
    </row>
    <row r="231" spans="1:5" x14ac:dyDescent="0.2">
      <c r="A231" s="245" t="str">
        <v>Projeto Estrutural</v>
      </c>
      <c r="B231" s="246">
        <f ca="1">IF(A231="","",SUMIF(Orçamento!Q:Q,'ABC Serviços Apoio'!A231,Orçamento!Z:Z))</f>
        <v>29900</v>
      </c>
      <c r="C231" s="246" t="str">
        <f t="shared" ca="1" si="3"/>
        <v>29900 - Projeto Estrutural</v>
      </c>
      <c r="E231" t="str">
        <f ca="1"/>
        <v>1560,44855112534 - Pontos de Tomadas e Interruptores - Cobertura</v>
      </c>
    </row>
    <row r="232" spans="1:5" x14ac:dyDescent="0.2">
      <c r="A232" s="245" t="str">
        <v>Projeto hidrossanitário</v>
      </c>
      <c r="B232" s="246">
        <f ca="1">IF(A232="","",SUMIF(Orçamento!Q:Q,'ABC Serviços Apoio'!A232,Orçamento!Z:Z))</f>
        <v>9500</v>
      </c>
      <c r="C232" s="246" t="str">
        <f t="shared" ca="1" si="3"/>
        <v>9500 - Projeto hidrossanitário</v>
      </c>
      <c r="E232" t="str">
        <f ca="1"/>
        <v>1552,71877276868 - Instalacoes de Aguas Pluviais - Pavimento Técnico</v>
      </c>
    </row>
    <row r="233" spans="1:5" x14ac:dyDescent="0.2">
      <c r="A233" s="245" t="str">
        <v>Protecao mecanica de superficie com argamassa de cimento e areia , traço 1:3, E=5cm</v>
      </c>
      <c r="B233" s="246">
        <f ca="1">IF(A233="","",SUMIF(Orçamento!Q:Q,'ABC Serviços Apoio'!A233,Orçamento!Z:Z))</f>
        <v>19417.177604999997</v>
      </c>
      <c r="C233" s="246" t="str">
        <f t="shared" ca="1" si="3"/>
        <v>19417,177605 - Protecao mecanica de superficie com argamassa de cimento e areia , traço 1:3, E=5cm</v>
      </c>
      <c r="E233" t="str">
        <f ca="1"/>
        <v>15 - Mão de obra para impermeabilização de Fundação Rasa com tinta asfáltica</v>
      </c>
    </row>
    <row r="234" spans="1:5" x14ac:dyDescent="0.2">
      <c r="A234" s="245" t="str">
        <v>Quadros e Disjuntores - Cobertura</v>
      </c>
      <c r="B234" s="246">
        <f ca="1">IF(A234="","",SUMIF(Orçamento!Q:Q,'ABC Serviços Apoio'!A234,Orçamento!Z:Z))</f>
        <v>3146.4227292376281</v>
      </c>
      <c r="C234" s="246" t="str">
        <f t="shared" ca="1" si="3"/>
        <v>3146,42272923763 - Quadros e Disjuntores - Cobertura</v>
      </c>
      <c r="E234" t="str">
        <f ca="1"/>
        <v xml:space="preserve">1491,589008 - Pintura epoxi  2 demaos - aplicacao em faixas demarcatorias de garagens </v>
      </c>
    </row>
    <row r="235" spans="1:5" x14ac:dyDescent="0.2">
      <c r="A235" s="245" t="str">
        <v>Quadros e Disjuntores - Pavimento Técnico</v>
      </c>
      <c r="B235" s="246">
        <f ca="1">IF(A235="","",SUMIF(Orçamento!Q:Q,'ABC Serviços Apoio'!A235,Orçamento!Z:Z))</f>
        <v>2584.1691751591188</v>
      </c>
      <c r="C235" s="246" t="str">
        <f t="shared" ca="1" si="3"/>
        <v>2584,16917515912 - Quadros e Disjuntores - Pavimento Técnico</v>
      </c>
      <c r="E235" t="str">
        <f ca="1"/>
        <v>14700,5173677652 - Fabricacao, montagem e desmontagem de forma para fundacao rasa, em madeira serrada</v>
      </c>
    </row>
    <row r="236" spans="1:5" x14ac:dyDescent="0.2">
      <c r="A236" s="245" t="str">
        <v xml:space="preserve">Quadros e Disjuntores - Subsolo </v>
      </c>
      <c r="B236" s="246">
        <f ca="1">IF(A236="","",SUMIF(Orçamento!Q:Q,'ABC Serviços Apoio'!A236,Orçamento!Z:Z))</f>
        <v>6489.6546573177948</v>
      </c>
      <c r="C236" s="246" t="str">
        <f t="shared" ca="1" si="3"/>
        <v xml:space="preserve">6489,65465731779 - Quadros e Disjuntores - Subsolo </v>
      </c>
      <c r="E236" t="str">
        <f ca="1"/>
        <v>14580,1817679838 - Cabos e Fiacoes - Cobertura</v>
      </c>
    </row>
    <row r="237" spans="1:5" x14ac:dyDescent="0.2">
      <c r="A237" s="245" t="str">
        <v>Quadros e Disjuntores - Térreo</v>
      </c>
      <c r="B237" s="246">
        <f ca="1">IF(A237="","",SUMIF(Orçamento!Q:Q,'ABC Serviços Apoio'!A237,Orçamento!Z:Z))</f>
        <v>4392.4124176349396</v>
      </c>
      <c r="C237" s="246" t="str">
        <f t="shared" ca="1" si="3"/>
        <v>4392,41241763494 - Quadros e Disjuntores - Térreo</v>
      </c>
      <c r="E237" t="str">
        <f ca="1"/>
        <v>1443 - Corrimão de madeira</v>
      </c>
    </row>
    <row r="238" spans="1:5" x14ac:dyDescent="0.2">
      <c r="A238" s="245" t="str">
        <v>Quadros e Disjuntores - Tipo (x5)</v>
      </c>
      <c r="B238" s="246">
        <f ca="1">IF(A238="","",SUMIF(Orçamento!Q:Q,'ABC Serviços Apoio'!A238,Orçamento!Z:Z))</f>
        <v>15728.259120650528</v>
      </c>
      <c r="C238" s="246" t="str">
        <f t="shared" ca="1" si="3"/>
        <v>15728,2591206505 - Quadros e Disjuntores - Tipo (x5)</v>
      </c>
      <c r="E238" t="str">
        <f ca="1"/>
        <v>143,720436947381 - Reaterro mecanizado para Sapatas, com retroescavadeira</v>
      </c>
    </row>
    <row r="239" spans="1:5" x14ac:dyDescent="0.2">
      <c r="A239" s="245" t="str">
        <v>Reaterro mecanizado para Sapatas, com retroescavadeira</v>
      </c>
      <c r="B239" s="246">
        <f ca="1">IF(A239="","",SUMIF(Orçamento!Q:Q,'ABC Serviços Apoio'!A239,Orçamento!Z:Z))</f>
        <v>143.72043694738073</v>
      </c>
      <c r="C239" s="246" t="str">
        <f t="shared" ca="1" si="3"/>
        <v>143,720436947381 - Reaterro mecanizado para Sapatas, com retroescavadeira</v>
      </c>
      <c r="E239" t="str">
        <f ca="1"/>
        <v>1427,58 - Mao de obra para colocacao de peitoril</v>
      </c>
    </row>
    <row r="240" spans="1:5" x14ac:dyDescent="0.2">
      <c r="A240" s="245" t="str">
        <v>Regularizacao de superficie para impermeabilizacao</v>
      </c>
      <c r="B240" s="246">
        <f ca="1">IF(A240="","",SUMIF(Orçamento!Q:Q,'ABC Serviços Apoio'!A240,Orçamento!Z:Z))</f>
        <v>8514.3296100000007</v>
      </c>
      <c r="C240" s="246" t="str">
        <f t="shared" ca="1" si="3"/>
        <v>8514,32961 - Regularizacao de superficie para impermeabilizacao</v>
      </c>
      <c r="E240" t="str">
        <f ca="1"/>
        <v>14175,6759393088 - Instalacos do Sistema Preventivo de Incendio - Tipo (5X)</v>
      </c>
    </row>
    <row r="241" spans="1:5" x14ac:dyDescent="0.2">
      <c r="A241" s="245" t="str">
        <v>Revestimento em Cerâmica 60x60cm interno</v>
      </c>
      <c r="B241" s="246">
        <f ca="1">IF(A241="","",SUMIF(Orçamento!Q:Q,'ABC Serviços Apoio'!A241,Orçamento!Z:Z))</f>
        <v>46000.337819999986</v>
      </c>
      <c r="C241" s="246" t="str">
        <f t="shared" ca="1" si="3"/>
        <v>46000,33782 - Revestimento em Cerâmica 60x60cm interno</v>
      </c>
      <c r="E241" t="str">
        <f ca="1"/>
        <v>14175,6759393088 - Instalacoes de Esgoto - Tipo (5X)</v>
      </c>
    </row>
    <row r="242" spans="1:5" x14ac:dyDescent="0.2">
      <c r="A242" s="245" t="str">
        <v>Revestimento em Pastilhas para Piscina</v>
      </c>
      <c r="B242" s="246">
        <f ca="1">IF(A242="","",SUMIF(Orçamento!Q:Q,'ABC Serviços Apoio'!A242,Orçamento!Z:Z))</f>
        <v>6169.4435249999997</v>
      </c>
      <c r="C242" s="246" t="str">
        <f t="shared" ca="1" si="3"/>
        <v>6169,443525 - Revestimento em Pastilhas para Piscina</v>
      </c>
      <c r="E242" t="str">
        <f ca="1"/>
        <v>14042,6 - Mao de obra para colocacao de rodape de poliestireno</v>
      </c>
    </row>
    <row r="243" spans="1:5" x14ac:dyDescent="0.2">
      <c r="A243" s="245" t="str">
        <v>Revestimento em Porcelanato 80x80cm interno</v>
      </c>
      <c r="B243" s="246">
        <f ca="1">IF(A243="","",SUMIF(Orçamento!Q:Q,'ABC Serviços Apoio'!A243,Orçamento!Z:Z))</f>
        <v>1102.1306399999996</v>
      </c>
      <c r="C243" s="246" t="str">
        <f t="shared" ca="1" si="3"/>
        <v>1102,13064 - Revestimento em Porcelanato 80x80cm interno</v>
      </c>
      <c r="E243" t="str">
        <f ca="1"/>
        <v>1400 - Projeto de climatização</v>
      </c>
    </row>
    <row r="244" spans="1:5" x14ac:dyDescent="0.2">
      <c r="A244" s="245" t="str">
        <v>Revestimento interno de piso Cerâmico placa 60x60cm - áreas Internas</v>
      </c>
      <c r="B244" s="246">
        <f ca="1">IF(A244="","",SUMIF(Orçamento!Q:Q,'ABC Serviços Apoio'!A244,Orçamento!Z:Z))</f>
        <v>11012.942850000003</v>
      </c>
      <c r="C244" s="246" t="str">
        <f t="shared" ca="1" si="3"/>
        <v>11012,94285 - Revestimento interno de piso Cerâmico placa 60x60cm - áreas Internas</v>
      </c>
      <c r="E244" t="str">
        <f ca="1"/>
        <v>1399,1630254 - Pavimentação em  Piso/Grama de Concreto 6 cm Sobre Coxim de Areia</v>
      </c>
    </row>
    <row r="245" spans="1:5" x14ac:dyDescent="0.2">
      <c r="A245" s="245" t="str">
        <v>Revestimento interno de piso Cerâmico placa 60x60cm - áreas Internos</v>
      </c>
      <c r="B245" s="246">
        <f ca="1">IF(A245="","",SUMIF(Orçamento!Q:Q,'ABC Serviços Apoio'!A245,Orçamento!Z:Z))</f>
        <v>17710.04235</v>
      </c>
      <c r="C245" s="246" t="str">
        <f t="shared" ca="1" si="3"/>
        <v>17710,04235 - Revestimento interno de piso Cerâmico placa 60x60cm - áreas Internos</v>
      </c>
      <c r="E245" t="str">
        <f ca="1"/>
        <v>139412,540588041 - Itens eventuais e nao orcados</v>
      </c>
    </row>
    <row r="246" spans="1:5" x14ac:dyDescent="0.2">
      <c r="A246" s="245" t="str">
        <v>Revestimento interno de piso Ladrilho Piscina - áreas Externas</v>
      </c>
      <c r="B246" s="246">
        <f ca="1">IF(A246="","",SUMIF(Orçamento!Q:Q,'ABC Serviços Apoio'!A246,Orçamento!Z:Z))</f>
        <v>4475.8368</v>
      </c>
      <c r="C246" s="246" t="str">
        <f t="shared" ca="1" si="3"/>
        <v>4475,8368 - Revestimento interno de piso Ladrilho Piscina - áreas Externas</v>
      </c>
      <c r="E246" t="str">
        <f ca="1"/>
        <v>13855,7989147745 - Armacao Média para Contenção</v>
      </c>
    </row>
    <row r="247" spans="1:5" x14ac:dyDescent="0.2">
      <c r="A247" s="245" t="str">
        <v>Revestimento interno de piso porcelanato placa 80x80cm - áreas externas</v>
      </c>
      <c r="B247" s="246">
        <f ca="1">IF(A247="","",SUMIF(Orçamento!Q:Q,'ABC Serviços Apoio'!A247,Orçamento!Z:Z))</f>
        <v>23425.398150000001</v>
      </c>
      <c r="C247" s="246" t="str">
        <f t="shared" ca="1" si="3"/>
        <v>23425,39815 - Revestimento interno de piso porcelanato placa 80x80cm - áreas externas</v>
      </c>
      <c r="E247" t="str">
        <f ca="1"/>
        <v>138000 - Mao de obra empreitada vedacoes internas e externas - assentamento blocos ceramicos</v>
      </c>
    </row>
    <row r="248" spans="1:5" x14ac:dyDescent="0.2">
      <c r="A248" s="245" t="str">
        <v>Revestimento interno de piso porcelanato placa 80x80cm - áreas internas</v>
      </c>
      <c r="B248" s="246">
        <f ca="1">IF(A248="","",SUMIF(Orçamento!Q:Q,'ABC Serviços Apoio'!A248,Orçamento!Z:Z))</f>
        <v>68217.775500000003</v>
      </c>
      <c r="C248" s="246" t="str">
        <f t="shared" ca="1" si="3"/>
        <v>68217,7755 - Revestimento interno de piso porcelanato placa 80x80cm - áreas internas</v>
      </c>
      <c r="E248" t="str">
        <f ca="1"/>
        <v>135260 - Empreiteiro de Terraplenagem / Escavação e Carga Mecanizada em Corte - Desaterro</v>
      </c>
    </row>
    <row r="249" spans="1:5" x14ac:dyDescent="0.2">
      <c r="A249" s="245" t="str">
        <v>Revestimento interno de Rodapé Cerâmico h=0,07cm</v>
      </c>
      <c r="B249" s="246">
        <f ca="1">IF(A249="","",SUMIF(Orçamento!Q:Q,'ABC Serviços Apoio'!A249,Orçamento!Z:Z))</f>
        <v>649.61865149999994</v>
      </c>
      <c r="C249" s="246" t="str">
        <f t="shared" ca="1" si="3"/>
        <v>649,6186515 - Revestimento interno de Rodapé Cerâmico h=0,07cm</v>
      </c>
      <c r="E249" t="str">
        <f ca="1"/>
        <v>1351,65924 - Guarda-corpo de vaos, fixado em forma de madeira, em trama de madeira com tela de polipropileno</v>
      </c>
    </row>
    <row r="250" spans="1:5" x14ac:dyDescent="0.2">
      <c r="A250" s="245" t="str">
        <v>Revestimento interno de Rodapé Cerâmico h=0,30cm</v>
      </c>
      <c r="B250" s="246">
        <f ca="1">IF(A250="","",SUMIF(Orçamento!Q:Q,'ABC Serviços Apoio'!A250,Orçamento!Z:Z))</f>
        <v>2610.9883800000002</v>
      </c>
      <c r="C250" s="246" t="str">
        <f t="shared" ca="1" si="3"/>
        <v>2610,98838 - Revestimento interno de Rodapé Cerâmico h=0,30cm</v>
      </c>
      <c r="E250" t="str">
        <f ca="1"/>
        <v>13173,60627 - Peitoril em granito, acabamento polido, espessura 2cm</v>
      </c>
    </row>
    <row r="251" spans="1:5" x14ac:dyDescent="0.2">
      <c r="A251" s="245" t="str">
        <v>Revestimento interno de Rodapé Porcelanato h=0,07cm</v>
      </c>
      <c r="B251" s="246">
        <f ca="1">IF(A251="","",SUMIF(Orçamento!Q:Q,'ABC Serviços Apoio'!A251,Orçamento!Z:Z))</f>
        <v>218.908199475</v>
      </c>
      <c r="C251" s="246" t="str">
        <f t="shared" ca="1" si="3"/>
        <v>218,908199475 - Revestimento interno de Rodapé Porcelanato h=0,07cm</v>
      </c>
      <c r="E251" t="str">
        <f ca="1"/>
        <v>13113,3546093752 - Forma para Contenção</v>
      </c>
    </row>
    <row r="252" spans="1:5" x14ac:dyDescent="0.2">
      <c r="A252" s="245" t="str">
        <v>Revestimento interno de Rodapé Porcelanato h=0,15cm</v>
      </c>
      <c r="B252" s="246">
        <f ca="1">IF(A252="","",SUMIF(Orçamento!Q:Q,'ABC Serviços Apoio'!A252,Orçamento!Z:Z))</f>
        <v>340.5589425</v>
      </c>
      <c r="C252" s="246" t="str">
        <f t="shared" ca="1" si="3"/>
        <v>340,5589425 - Revestimento interno de Rodapé Porcelanato h=0,15cm</v>
      </c>
      <c r="E252" t="str">
        <f ca="1"/>
        <v>13057,62 - Controle Tecnológico de Concreto - Supraestrutura</v>
      </c>
    </row>
    <row r="253" spans="1:5" x14ac:dyDescent="0.2">
      <c r="A253" s="245" t="str">
        <v>Revestimento interno de Rodapé Porcelanato h=0,30cm</v>
      </c>
      <c r="B253" s="246">
        <f ca="1">IF(A253="","",SUMIF(Orçamento!Q:Q,'ABC Serviços Apoio'!A253,Orçamento!Z:Z))</f>
        <v>1729.4807250000001</v>
      </c>
      <c r="C253" s="246" t="str">
        <f t="shared" ca="1" si="3"/>
        <v>1729,480725 - Revestimento interno de Rodapé Porcelanato h=0,30cm</v>
      </c>
      <c r="E253" t="str">
        <f ca="1"/>
        <v>129720 - Mao de obra para pintura acrilica em paredes</v>
      </c>
    </row>
    <row r="254" spans="1:5" x14ac:dyDescent="0.2">
      <c r="A254" s="245" t="str">
        <v>Revestimento Porcelanato - aplicacao em paredes externas</v>
      </c>
      <c r="B254" s="246">
        <f ca="1">IF(A254="","",SUMIF(Orçamento!Q:Q,'ABC Serviços Apoio'!A254,Orçamento!Z:Z))</f>
        <v>40354.993149999995</v>
      </c>
      <c r="C254" s="246" t="str">
        <f t="shared" ca="1" si="3"/>
        <v>40354,99315 - Revestimento Porcelanato - aplicacao em paredes externas</v>
      </c>
      <c r="E254" t="str">
        <f ca="1"/>
        <v>12902,07571254 - Concreto usinado bombeavel para Contenções Fck 35MPa com brita 0 e 1 SLUMP = 12 +/- 2 incluindo servico de bombeamento</v>
      </c>
    </row>
    <row r="255" spans="1:5" x14ac:dyDescent="0.2">
      <c r="A255" s="245" t="str">
        <v>Rodape de poliestireno 10cm</v>
      </c>
      <c r="B255" s="246">
        <f ca="1">IF(A255="","",SUMIF(Orçamento!Q:Q,'ABC Serviços Apoio'!A255,Orçamento!Z:Z))</f>
        <v>26088.462192800009</v>
      </c>
      <c r="C255" s="246" t="str">
        <f t="shared" ca="1" si="3"/>
        <v>26088,4621928 - Rodape de poliestireno 10cm</v>
      </c>
      <c r="E255" t="str">
        <f ca="1"/>
        <v>12870,858 - Armacao Tela Q61 para supraestrutura</v>
      </c>
    </row>
    <row r="256" spans="1:5" x14ac:dyDescent="0.2">
      <c r="A256" s="245" t="str">
        <v>Rodape de poliestireno 15cm</v>
      </c>
      <c r="B256" s="246">
        <f ca="1">IF(A256="","",SUMIF(Orçamento!Q:Q,'ABC Serviços Apoio'!A256,Orçamento!Z:Z))</f>
        <v>5444.2849792000015</v>
      </c>
      <c r="C256" s="246" t="str">
        <f t="shared" ca="1" si="3"/>
        <v>5444,2849792 - Rodape de poliestireno 15cm</v>
      </c>
      <c r="E256" t="str">
        <f ca="1"/>
        <v>1281,60243942074 - Pontos de Tomadas e Interruptores - Pavimento Técnico</v>
      </c>
    </row>
    <row r="257" spans="1:5" x14ac:dyDescent="0.2">
      <c r="A257" s="245" t="str">
        <v>Rufo de Manta Aluminizada larg 30 cm</v>
      </c>
      <c r="B257" s="246">
        <f ca="1">IF(A257="","",SUMIF(Orçamento!Q:Q,'ABC Serviços Apoio'!A257,Orçamento!Z:Z))</f>
        <v>432.51538319999997</v>
      </c>
      <c r="C257" s="246" t="str">
        <f t="shared" ca="1" si="3"/>
        <v>432,5153832 - Rufo de Manta Aluminizada larg 30 cm</v>
      </c>
      <c r="E257" t="str">
        <f ca="1"/>
        <v>1269,27528 - Estucamento de estrutura de concreto em teto</v>
      </c>
    </row>
    <row r="258" spans="1:5" x14ac:dyDescent="0.2">
      <c r="A258" s="245" t="str">
        <v>Serviço Levantamento Topografico</v>
      </c>
      <c r="B258" s="246">
        <f ca="1">IF(A258="","",SUMIF(Orçamento!Q:Q,'ABC Serviços Apoio'!A258,Orçamento!Z:Z))</f>
        <v>7800</v>
      </c>
      <c r="C258" s="246" t="str">
        <f t="shared" ca="1" si="3"/>
        <v>7800 - Serviço Levantamento Topografico</v>
      </c>
      <c r="E258" t="str">
        <f ca="1"/>
        <v>1262,71509 - Estucamento de estrutura de concreto em pilares e vigas</v>
      </c>
    </row>
    <row r="259" spans="1:5" x14ac:dyDescent="0.2">
      <c r="A259" s="245" t="str">
        <v xml:space="preserve">Serviços Complementares e Finais </v>
      </c>
      <c r="B259" s="246">
        <f ca="1">IF(A259="","",SUMIF(Orçamento!Q:Q,'ABC Serviços Apoio'!A259,Orçamento!Z:Z))</f>
        <v>23000</v>
      </c>
      <c r="C259" s="246" t="str">
        <f t="shared" ref="C259:C322" ca="1" si="4">IF(A259="","",CONCATENATE(B259, " - ",A259))</f>
        <v xml:space="preserve">23000 - Serviços Complementares e Finais </v>
      </c>
      <c r="E259" t="str">
        <f ca="1"/>
        <v>12562,08 - Barras de Apoio PCD</v>
      </c>
    </row>
    <row r="260" spans="1:5" x14ac:dyDescent="0.2">
      <c r="A260" s="245" t="str">
        <v>Sistema de CFTV</v>
      </c>
      <c r="B260" s="246">
        <f ca="1">IF(A260="","",SUMIF(Orçamento!Q:Q,'ABC Serviços Apoio'!A260,Orçamento!Z:Z))</f>
        <v>3886.46</v>
      </c>
      <c r="C260" s="246" t="str">
        <f t="shared" ca="1" si="4"/>
        <v>3886,46 - Sistema de CFTV</v>
      </c>
      <c r="E260" t="str">
        <f ca="1"/>
        <v>12364,7172525 - Alvenaria de vedacao de blocos ceramicos furados na horizontal de 11.5x19x29cm (espessura 11.5cm) com argamassa industrializada de assentamento</v>
      </c>
    </row>
    <row r="261" spans="1:5" x14ac:dyDescent="0.2">
      <c r="A261" s="245" t="str">
        <v>Sistema de interfone / controle de acesso</v>
      </c>
      <c r="B261" s="246">
        <f ca="1">IF(A261="","",SUMIF(Orçamento!Q:Q,'ABC Serviços Apoio'!A261,Orçamento!Z:Z))</f>
        <v>7363</v>
      </c>
      <c r="C261" s="246" t="str">
        <f t="shared" ca="1" si="4"/>
        <v>7363 - Sistema de interfone / controle de acesso</v>
      </c>
      <c r="E261" t="str">
        <f ca="1"/>
        <v>12200 - Despesas de consumo - Mobiliário de Obra</v>
      </c>
    </row>
    <row r="262" spans="1:5" x14ac:dyDescent="0.2">
      <c r="A262" s="245" t="str">
        <v>Soleira em granito, acabamento polido, espessura 2cm</v>
      </c>
      <c r="B262" s="246">
        <f ca="1">IF(A262="","",SUMIF(Orçamento!Q:Q,'ABC Serviços Apoio'!A262,Orçamento!Z:Z))</f>
        <v>11025.963</v>
      </c>
      <c r="C262" s="246" t="str">
        <f t="shared" ca="1" si="4"/>
        <v>11025,963 - Soleira em granito, acabamento polido, espessura 2cm</v>
      </c>
      <c r="E262" t="str">
        <f ca="1"/>
        <v>12153,45497 - Tela fachadeira</v>
      </c>
    </row>
    <row r="263" spans="1:5" x14ac:dyDescent="0.2">
      <c r="A263" s="245" t="str">
        <v>Sondagem do terreno</v>
      </c>
      <c r="B263" s="246">
        <f ca="1">IF(A263="","",SUMIF(Orçamento!Q:Q,'ABC Serviços Apoio'!A263,Orçamento!Z:Z))</f>
        <v>8900</v>
      </c>
      <c r="C263" s="246" t="str">
        <f t="shared" ca="1" si="4"/>
        <v>8900 - Sondagem do terreno</v>
      </c>
      <c r="E263" t="str">
        <f ca="1"/>
        <v>11974,75976223 - Cabos e Fiacoes - Pavimento Técnico</v>
      </c>
    </row>
    <row r="264" spans="1:5" x14ac:dyDescent="0.2">
      <c r="A264" s="245" t="str">
        <v>Tanque de Louça</v>
      </c>
      <c r="B264" s="246">
        <f ca="1">IF(A264="","",SUMIF(Orçamento!Q:Q,'ABC Serviços Apoio'!A264,Orçamento!Z:Z))</f>
        <v>519.27200000000005</v>
      </c>
      <c r="C264" s="246" t="str">
        <f t="shared" ca="1" si="4"/>
        <v>519,272 - Tanque de Louça</v>
      </c>
      <c r="E264" t="str">
        <f ca="1"/>
        <v>1195,14444 - Chapisco de estrutura de concreto em teto</v>
      </c>
    </row>
    <row r="265" spans="1:5" x14ac:dyDescent="0.2">
      <c r="A265" s="245" t="str">
        <v>Tapume em telha metalica</v>
      </c>
      <c r="B265" s="246">
        <f ca="1">IF(A265="","",SUMIF(Orçamento!Q:Q,'ABC Serviços Apoio'!A265,Orçamento!Z:Z))</f>
        <v>1615</v>
      </c>
      <c r="C265" s="246" t="str">
        <f t="shared" ca="1" si="4"/>
        <v>1615 - Tapume em telha metalica</v>
      </c>
      <c r="E265" t="str">
        <f ca="1"/>
        <v>1181,67 - Tratamento de ralo com manta de poliester</v>
      </c>
    </row>
    <row r="266" spans="1:5" x14ac:dyDescent="0.2">
      <c r="A266" s="245" t="str">
        <v>Taxa de Alvará</v>
      </c>
      <c r="B266" s="246">
        <f ca="1">IF(A266="","",SUMIF(Orçamento!Q:Q,'ABC Serviços Apoio'!A266,Orçamento!Z:Z))</f>
        <v>2000</v>
      </c>
      <c r="C266" s="246" t="str">
        <f t="shared" ca="1" si="4"/>
        <v>2000 - Taxa de Alvará</v>
      </c>
      <c r="E266" t="str">
        <f ca="1"/>
        <v>11500 - Mão de obra para aplicação de Porcelanato em paredes externas</v>
      </c>
    </row>
    <row r="267" spans="1:5" x14ac:dyDescent="0.2">
      <c r="A267" s="245" t="str">
        <v>Taxa de Aprovação Ambiental</v>
      </c>
      <c r="B267" s="246">
        <f ca="1">IF(A267="","",SUMIF(Orçamento!Q:Q,'ABC Serviços Apoio'!A267,Orçamento!Z:Z))</f>
        <v>905.81</v>
      </c>
      <c r="C267" s="246" t="str">
        <f t="shared" ca="1" si="4"/>
        <v>905,81 - Taxa de Aprovação Ambiental</v>
      </c>
      <c r="E267" t="str">
        <f ca="1"/>
        <v>11375,389896 - Pintura com tinta latex acrilica branca acabamento fosco em paredes externas 2 demaos</v>
      </c>
    </row>
    <row r="268" spans="1:5" x14ac:dyDescent="0.2">
      <c r="A268" s="245" t="str">
        <v>Taxa de Aprovação de Projetos (Elétrico)</v>
      </c>
      <c r="B268" s="246">
        <f ca="1">IF(A268="","",SUMIF(Orçamento!Q:Q,'ABC Serviços Apoio'!A268,Orçamento!Z:Z))</f>
        <v>2588.5732803442297</v>
      </c>
      <c r="C268" s="246" t="str">
        <f t="shared" ca="1" si="4"/>
        <v>2588,57328034423 - Taxa de Aprovação de Projetos (Elétrico)</v>
      </c>
      <c r="E268" t="str">
        <f ca="1"/>
        <v>1137,352 - Lavatório  / Metais</v>
      </c>
    </row>
    <row r="269" spans="1:5" x14ac:dyDescent="0.2">
      <c r="A269" s="245" t="str">
        <v>Taxa de As Built</v>
      </c>
      <c r="B269" s="246">
        <f ca="1">IF(A269="","",SUMIF(Orçamento!Q:Q,'ABC Serviços Apoio'!A269,Orçamento!Z:Z))</f>
        <v>7600</v>
      </c>
      <c r="C269" s="246" t="str">
        <f t="shared" ca="1" si="4"/>
        <v>7600 - Taxa de As Built</v>
      </c>
      <c r="E269" t="str">
        <f ca="1"/>
        <v>11345,796 - Chapisco aplicado em alvenarias externas, com colher de pedreiro, de argamassa estabilizada</v>
      </c>
    </row>
    <row r="270" spans="1:5" x14ac:dyDescent="0.2">
      <c r="A270" s="245" t="str">
        <v>Taxa de Habite-se</v>
      </c>
      <c r="B270" s="246">
        <f ca="1">IF(A270="","",SUMIF(Orçamento!Q:Q,'ABC Serviços Apoio'!A270,Orçamento!Z:Z))</f>
        <v>2528.2336255662462</v>
      </c>
      <c r="C270" s="246" t="str">
        <f t="shared" ca="1" si="4"/>
        <v>2528,23362556625 - Taxa de Habite-se</v>
      </c>
      <c r="E270" t="str">
        <f ca="1"/>
        <v>113,83176 - Fechamento removivel de vaos de porta de elevador em madeira</v>
      </c>
    </row>
    <row r="271" spans="1:5" x14ac:dyDescent="0.2">
      <c r="A271" s="245" t="str">
        <v>Taxas de Aprovação de Projetos (Hidrossanitário)</v>
      </c>
      <c r="B271" s="246">
        <f ca="1">IF(A271="","",SUMIF(Orçamento!Q:Q,'ABC Serviços Apoio'!A271,Orçamento!Z:Z))</f>
        <v>293.89</v>
      </c>
      <c r="C271" s="246" t="str">
        <f t="shared" ca="1" si="4"/>
        <v>293,89 - Taxas de Aprovação de Projetos (Hidrossanitário)</v>
      </c>
      <c r="E271" t="str">
        <f ca="1"/>
        <v>112200 - Equipe de Canteiro</v>
      </c>
    </row>
    <row r="272" spans="1:5" x14ac:dyDescent="0.2">
      <c r="A272" s="245" t="str">
        <v xml:space="preserve">Taxas de Aprovação de Projetos e Alvarás (Prefeituras/Bombeiro) </v>
      </c>
      <c r="B272" s="246">
        <f ca="1">IF(A272="","",SUMIF(Orçamento!Q:Q,'ABC Serviços Apoio'!A272,Orçamento!Z:Z))</f>
        <v>5923.6399999999994</v>
      </c>
      <c r="C272" s="246" t="str">
        <f t="shared" ca="1" si="4"/>
        <v xml:space="preserve">5923,64 - Taxas de Aprovação de Projetos e Alvarás (Prefeituras/Bombeiro) </v>
      </c>
      <c r="E272" t="str">
        <f ca="1"/>
        <v>11025,963 - Soleira em granito, acabamento polido, espessura 2cm</v>
      </c>
    </row>
    <row r="273" spans="1:5" x14ac:dyDescent="0.2">
      <c r="A273" s="245" t="str">
        <v>Taxas de ART e RRT</v>
      </c>
      <c r="B273" s="246">
        <f ca="1">IF(A273="","",SUMIF(Orçamento!Q:Q,'ABC Serviços Apoio'!A273,Orçamento!Z:Z))</f>
        <v>2250</v>
      </c>
      <c r="C273" s="246" t="str">
        <f t="shared" ca="1" si="4"/>
        <v>2250 - Taxas de ART e RRT</v>
      </c>
      <c r="E273" t="str">
        <f ca="1"/>
        <v>1102,13064 - Revestimento em Porcelanato 80x80cm interno</v>
      </c>
    </row>
    <row r="274" spans="1:5" x14ac:dyDescent="0.2">
      <c r="A274" s="245" t="str">
        <v>Tela fachadeira</v>
      </c>
      <c r="B274" s="246">
        <f ca="1">IF(A274="","",SUMIF(Orçamento!Q:Q,'ABC Serviços Apoio'!A274,Orçamento!Z:Z))</f>
        <v>12153.454969999997</v>
      </c>
      <c r="C274" s="246" t="str">
        <f t="shared" ca="1" si="4"/>
        <v>12153,45497 - Tela fachadeira</v>
      </c>
      <c r="E274" t="str">
        <f ca="1"/>
        <v>11012,94285 - Revestimento interno de piso Cerâmico placa 60x60cm - áreas Internas</v>
      </c>
    </row>
    <row r="275" spans="1:5" x14ac:dyDescent="0.2">
      <c r="A275" s="245" t="str">
        <v>Tela soldada para ligacao alvenaria/estrutura - para blocos de 9 a 14cm</v>
      </c>
      <c r="B275" s="246">
        <f ca="1">IF(A275="","",SUMIF(Orçamento!Q:Q,'ABC Serviços Apoio'!A275,Orçamento!Z:Z))</f>
        <v>2313.7000000000003</v>
      </c>
      <c r="C275" s="246" t="str">
        <f t="shared" ca="1" si="4"/>
        <v>2313,7 - Tela soldada para ligacao alvenaria/estrutura - para blocos de 9 a 14cm</v>
      </c>
      <c r="E275" t="str">
        <f ca="1"/>
        <v>10891,64 - Esquadrias Metálicas - Escada Marinheiro - fornecimento e instalacao</v>
      </c>
    </row>
    <row r="276" spans="1:5" x14ac:dyDescent="0.2">
      <c r="A276" s="245" t="str">
        <v>Tela Soldada para Ligacao Alvenaria/Estrutura em Chapisco Externo 7,5x50cm</v>
      </c>
      <c r="B276" s="246">
        <f ca="1">IF(A276="","",SUMIF(Orçamento!Q:Q,'ABC Serviços Apoio'!A276,Orçamento!Z:Z))</f>
        <v>1853.0000000000002</v>
      </c>
      <c r="C276" s="246" t="str">
        <f t="shared" ca="1" si="4"/>
        <v>1853 - Tela Soldada para Ligacao Alvenaria/Estrutura em Chapisco Externo 7,5x50cm</v>
      </c>
      <c r="E276" t="str">
        <f ca="1"/>
        <v>10400 - Mao de obra para instalação de portas de madeira</v>
      </c>
    </row>
    <row r="277" spans="1:5" x14ac:dyDescent="0.2">
      <c r="A277" s="245" t="str">
        <v>Torneira de Jardim</v>
      </c>
      <c r="B277" s="246">
        <f ca="1">IF(A277="","",SUMIF(Orçamento!Q:Q,'ABC Serviços Apoio'!A277,Orçamento!Z:Z))</f>
        <v>75</v>
      </c>
      <c r="C277" s="246" t="str">
        <f t="shared" ca="1" si="4"/>
        <v>75 - Torneira de Jardim</v>
      </c>
      <c r="E277" t="str">
        <f ca="1"/>
        <v>1024,2336348 - Calha em chapa galvanizada</v>
      </c>
    </row>
    <row r="278" spans="1:5" x14ac:dyDescent="0.2">
      <c r="A278" s="245" t="str">
        <v>Tratamento de ralo com manta de poliester</v>
      </c>
      <c r="B278" s="246">
        <f ca="1">IF(A278="","",SUMIF(Orçamento!Q:Q,'ABC Serviços Apoio'!A278,Orçamento!Z:Z))</f>
        <v>1181.6699999999998</v>
      </c>
      <c r="C278" s="246" t="str">
        <f t="shared" ca="1" si="4"/>
        <v>1181,67 - Tratamento de ralo com manta de poliester</v>
      </c>
      <c r="E278" t="str">
        <f ca="1"/>
        <v>1024,08696 - Alvenaria de vedacao de blocos Concreto de 14x19x29cm (espessura 14cm) com argamassa industrializada de assentamento</v>
      </c>
    </row>
    <row r="279" spans="1:5" x14ac:dyDescent="0.2">
      <c r="A279" s="245" t="str">
        <v>Varal de seguranca com cabo de aco</v>
      </c>
      <c r="B279" s="246">
        <f ca="1">IF(A279="","",SUMIF(Orçamento!Q:Q,'ABC Serviços Apoio'!A279,Orçamento!Z:Z))</f>
        <v>7634.5715952</v>
      </c>
      <c r="C279" s="246" t="str">
        <f t="shared" ca="1" si="4"/>
        <v>7634,5715952 - Varal de seguranca com cabo de aco</v>
      </c>
      <c r="E279" t="str">
        <f ca="1"/>
        <v>10009,5136554192 - Eletrodutos e Eletrocalhas - Subsolo</v>
      </c>
    </row>
    <row r="280" spans="1:5" x14ac:dyDescent="0.2">
      <c r="A280" s="245" t="str">
        <v>Verga/contraverga de concreto, moldada in loco</v>
      </c>
      <c r="B280" s="246">
        <f ca="1">IF(A280="","",SUMIF(Orçamento!Q:Q,'ABC Serviços Apoio'!A280,Orçamento!Z:Z))</f>
        <v>25192.907808600001</v>
      </c>
      <c r="C280" s="246" t="str">
        <f t="shared" ca="1" si="4"/>
        <v>25192,9078086 - Verga/contraverga de concreto, moldada in loco</v>
      </c>
      <c r="E280" t="str">
        <f ca="1"/>
        <v>0 - 0</v>
      </c>
    </row>
    <row r="281" spans="1:5" x14ac:dyDescent="0.2">
      <c r="A281" s="245">
        <v>0</v>
      </c>
      <c r="B281" s="246">
        <f>IF(A281="","",SUMIF(Orçamento!Q:Q,'ABC Serviços Apoio'!A281,Orçamento!Z:Z))</f>
        <v>0</v>
      </c>
      <c r="C281" s="246" t="str">
        <f t="shared" si="4"/>
        <v>0 - 0</v>
      </c>
      <c r="E281" t="str">
        <f ca="1"/>
        <v/>
      </c>
    </row>
    <row r="282" spans="1:5" x14ac:dyDescent="0.2">
      <c r="A282" s="245"/>
      <c r="B282" s="246" t="str">
        <f>IF(A282="","",SUMIF(Orçamento!Q:Q,'ABC Serviços Apoio'!A282,Orçamento!Z:Z))</f>
        <v/>
      </c>
      <c r="C282" s="246" t="str">
        <f t="shared" si="4"/>
        <v/>
      </c>
      <c r="E282">
        <f ca="1"/>
        <v>0</v>
      </c>
    </row>
    <row r="283" spans="1:5" x14ac:dyDescent="0.2">
      <c r="A283" s="245"/>
      <c r="B283" s="246" t="str">
        <f>IF(A283="","",SUMIF(Orçamento!Q:Q,'ABC Serviços Apoio'!A283,Orçamento!Z:Z))</f>
        <v/>
      </c>
      <c r="C283" s="246" t="str">
        <f t="shared" si="4"/>
        <v/>
      </c>
    </row>
    <row r="284" spans="1:5" x14ac:dyDescent="0.2">
      <c r="A284" s="245"/>
      <c r="B284" s="246" t="str">
        <f>IF(A284="","",SUMIF(Orçamento!Q:Q,'ABC Serviços Apoio'!A284,Orçamento!Z:Z))</f>
        <v/>
      </c>
      <c r="C284" s="246" t="str">
        <f t="shared" si="4"/>
        <v/>
      </c>
    </row>
    <row r="285" spans="1:5" x14ac:dyDescent="0.2">
      <c r="A285" s="245"/>
      <c r="B285" s="246" t="str">
        <f>IF(A285="","",SUMIF(Orçamento!Q:Q,'ABC Serviços Apoio'!A285,Orçamento!Z:Z))</f>
        <v/>
      </c>
      <c r="C285" s="246" t="str">
        <f t="shared" si="4"/>
        <v/>
      </c>
    </row>
    <row r="286" spans="1:5" x14ac:dyDescent="0.2">
      <c r="A286" s="245"/>
      <c r="B286" s="246" t="str">
        <f>IF(A286="","",SUMIF(Orçamento!Q:Q,'ABC Serviços Apoio'!A286,Orçamento!Z:Z))</f>
        <v/>
      </c>
      <c r="C286" s="246" t="str">
        <f t="shared" si="4"/>
        <v/>
      </c>
    </row>
    <row r="287" spans="1:5" x14ac:dyDescent="0.2">
      <c r="A287" s="245"/>
      <c r="B287" s="246" t="str">
        <f>IF(A287="","",SUMIF(Orçamento!Q:Q,'ABC Serviços Apoio'!A287,Orçamento!Z:Z))</f>
        <v/>
      </c>
      <c r="C287" s="246" t="str">
        <f t="shared" si="4"/>
        <v/>
      </c>
    </row>
    <row r="288" spans="1:5" x14ac:dyDescent="0.2">
      <c r="A288" s="245"/>
      <c r="B288" s="246" t="str">
        <f>IF(A288="","",SUMIF(Orçamento!Q:Q,'ABC Serviços Apoio'!A288,Orçamento!Z:Z))</f>
        <v/>
      </c>
      <c r="C288" s="246" t="str">
        <f t="shared" si="4"/>
        <v/>
      </c>
    </row>
    <row r="289" spans="1:3" x14ac:dyDescent="0.2">
      <c r="A289" s="245"/>
      <c r="B289" s="246" t="str">
        <f>IF(A289="","",SUMIF(Orçamento!Q:Q,'ABC Serviços Apoio'!A289,Orçamento!Z:Z))</f>
        <v/>
      </c>
      <c r="C289" s="246" t="str">
        <f t="shared" si="4"/>
        <v/>
      </c>
    </row>
    <row r="290" spans="1:3" x14ac:dyDescent="0.2">
      <c r="A290" s="245"/>
      <c r="B290" s="246" t="str">
        <f>IF(A290="","",SUMIF(Orçamento!Q:Q,'ABC Serviços Apoio'!A290,Orçamento!Z:Z))</f>
        <v/>
      </c>
      <c r="C290" s="246" t="str">
        <f t="shared" si="4"/>
        <v/>
      </c>
    </row>
    <row r="291" spans="1:3" x14ac:dyDescent="0.2">
      <c r="A291" s="245"/>
      <c r="B291" s="246" t="str">
        <f>IF(A291="","",SUMIF(Orçamento!Q:Q,'ABC Serviços Apoio'!A291,Orçamento!Z:Z))</f>
        <v/>
      </c>
      <c r="C291" s="246" t="str">
        <f t="shared" si="4"/>
        <v/>
      </c>
    </row>
    <row r="292" spans="1:3" x14ac:dyDescent="0.2">
      <c r="A292" s="245"/>
      <c r="B292" s="246" t="str">
        <f>IF(A292="","",SUMIF(Orçamento!Q:Q,'ABC Serviços Apoio'!A292,Orçamento!Z:Z))</f>
        <v/>
      </c>
      <c r="C292" s="246" t="str">
        <f t="shared" si="4"/>
        <v/>
      </c>
    </row>
    <row r="293" spans="1:3" x14ac:dyDescent="0.2">
      <c r="A293" s="245"/>
      <c r="B293" s="246" t="str">
        <f>IF(A293="","",SUMIF(Orçamento!Q:Q,'ABC Serviços Apoio'!A293,Orçamento!Z:Z))</f>
        <v/>
      </c>
      <c r="C293" s="246" t="str">
        <f t="shared" si="4"/>
        <v/>
      </c>
    </row>
    <row r="294" spans="1:3" x14ac:dyDescent="0.2">
      <c r="A294" s="245"/>
      <c r="B294" s="246" t="str">
        <f>IF(A294="","",SUMIF(Orçamento!Q:Q,'ABC Serviços Apoio'!A294,Orçamento!Z:Z))</f>
        <v/>
      </c>
      <c r="C294" s="246" t="str">
        <f t="shared" si="4"/>
        <v/>
      </c>
    </row>
    <row r="295" spans="1:3" x14ac:dyDescent="0.2">
      <c r="A295" s="245"/>
      <c r="B295" s="246" t="str">
        <f>IF(A295="","",SUMIF(Orçamento!Q:Q,'ABC Serviços Apoio'!A295,Orçamento!Z:Z))</f>
        <v/>
      </c>
      <c r="C295" s="246" t="str">
        <f t="shared" si="4"/>
        <v/>
      </c>
    </row>
    <row r="296" spans="1:3" x14ac:dyDescent="0.2">
      <c r="A296" s="245"/>
      <c r="B296" s="246" t="str">
        <f>IF(A296="","",SUMIF(Orçamento!Q:Q,'ABC Serviços Apoio'!A296,Orçamento!Z:Z))</f>
        <v/>
      </c>
      <c r="C296" s="246" t="str">
        <f t="shared" si="4"/>
        <v/>
      </c>
    </row>
    <row r="297" spans="1:3" x14ac:dyDescent="0.2">
      <c r="A297" s="245"/>
      <c r="B297" s="246" t="str">
        <f>IF(A297="","",SUMIF(Orçamento!Q:Q,'ABC Serviços Apoio'!A297,Orçamento!Z:Z))</f>
        <v/>
      </c>
      <c r="C297" s="246" t="str">
        <f t="shared" si="4"/>
        <v/>
      </c>
    </row>
    <row r="298" spans="1:3" x14ac:dyDescent="0.2">
      <c r="A298" s="245"/>
      <c r="B298" s="246" t="str">
        <f>IF(A298="","",SUMIF(Orçamento!Q:Q,'ABC Serviços Apoio'!A298,Orçamento!Z:Z))</f>
        <v/>
      </c>
      <c r="C298" s="246" t="str">
        <f t="shared" si="4"/>
        <v/>
      </c>
    </row>
    <row r="299" spans="1:3" x14ac:dyDescent="0.2">
      <c r="A299" s="245"/>
      <c r="B299" s="246" t="str">
        <f>IF(A299="","",SUMIF(Orçamento!Q:Q,'ABC Serviços Apoio'!A299,Orçamento!Z:Z))</f>
        <v/>
      </c>
      <c r="C299" s="246" t="str">
        <f t="shared" si="4"/>
        <v/>
      </c>
    </row>
    <row r="300" spans="1:3" x14ac:dyDescent="0.2">
      <c r="A300" s="245"/>
      <c r="B300" s="246" t="str">
        <f>IF(A300="","",SUMIF(Orçamento!Q:Q,'ABC Serviços Apoio'!A300,Orçamento!Z:Z))</f>
        <v/>
      </c>
      <c r="C300" s="246" t="str">
        <f t="shared" si="4"/>
        <v/>
      </c>
    </row>
    <row r="301" spans="1:3" x14ac:dyDescent="0.2">
      <c r="A301" s="245"/>
      <c r="B301" s="246" t="str">
        <f>IF(A301="","",SUMIF(Orçamento!Q:Q,'ABC Serviços Apoio'!A301,Orçamento!Z:Z))</f>
        <v/>
      </c>
      <c r="C301" s="246" t="str">
        <f t="shared" si="4"/>
        <v/>
      </c>
    </row>
    <row r="302" spans="1:3" x14ac:dyDescent="0.2">
      <c r="A302" s="245"/>
      <c r="B302" s="246" t="str">
        <f>IF(A302="","",SUMIF(Orçamento!Q:Q,'ABC Serviços Apoio'!A302,Orçamento!Z:Z))</f>
        <v/>
      </c>
      <c r="C302" s="246" t="str">
        <f t="shared" si="4"/>
        <v/>
      </c>
    </row>
    <row r="303" spans="1:3" x14ac:dyDescent="0.2">
      <c r="A303" s="245"/>
      <c r="B303" s="246" t="str">
        <f>IF(A303="","",SUMIF(Orçamento!Q:Q,'ABC Serviços Apoio'!A303,Orçamento!Z:Z))</f>
        <v/>
      </c>
      <c r="C303" s="246" t="str">
        <f t="shared" si="4"/>
        <v/>
      </c>
    </row>
    <row r="304" spans="1:3" x14ac:dyDescent="0.2">
      <c r="A304" s="245"/>
      <c r="B304" s="246" t="str">
        <f>IF(A304="","",SUMIF(Orçamento!Q:Q,'ABC Serviços Apoio'!A304,Orçamento!Z:Z))</f>
        <v/>
      </c>
      <c r="C304" s="246" t="str">
        <f t="shared" si="4"/>
        <v/>
      </c>
    </row>
    <row r="305" spans="1:3" x14ac:dyDescent="0.2">
      <c r="A305" s="245"/>
      <c r="B305" s="246" t="str">
        <f>IF(A305="","",SUMIF(Orçamento!Q:Q,'ABC Serviços Apoio'!A305,Orçamento!Z:Z))</f>
        <v/>
      </c>
      <c r="C305" s="246" t="str">
        <f t="shared" si="4"/>
        <v/>
      </c>
    </row>
    <row r="306" spans="1:3" x14ac:dyDescent="0.2">
      <c r="A306" s="245"/>
      <c r="B306" s="246" t="str">
        <f>IF(A306="","",SUMIF(Orçamento!Q:Q,'ABC Serviços Apoio'!A306,Orçamento!Z:Z))</f>
        <v/>
      </c>
      <c r="C306" s="246" t="str">
        <f t="shared" si="4"/>
        <v/>
      </c>
    </row>
    <row r="307" spans="1:3" x14ac:dyDescent="0.2">
      <c r="A307" s="245"/>
      <c r="B307" s="246" t="str">
        <f>IF(A307="","",SUMIF(Orçamento!Q:Q,'ABC Serviços Apoio'!A307,Orçamento!Z:Z))</f>
        <v/>
      </c>
      <c r="C307" s="246" t="str">
        <f t="shared" si="4"/>
        <v/>
      </c>
    </row>
    <row r="308" spans="1:3" x14ac:dyDescent="0.2">
      <c r="A308" s="245"/>
      <c r="B308" s="246" t="str">
        <f>IF(A308="","",SUMIF(Orçamento!Q:Q,'ABC Serviços Apoio'!A308,Orçamento!Z:Z))</f>
        <v/>
      </c>
      <c r="C308" s="246" t="str">
        <f t="shared" si="4"/>
        <v/>
      </c>
    </row>
    <row r="309" spans="1:3" x14ac:dyDescent="0.2">
      <c r="A309" s="245"/>
      <c r="B309" s="246" t="str">
        <f>IF(A309="","",SUMIF(Orçamento!Q:Q,'ABC Serviços Apoio'!A309,Orçamento!Z:Z))</f>
        <v/>
      </c>
      <c r="C309" s="246" t="str">
        <f t="shared" si="4"/>
        <v/>
      </c>
    </row>
    <row r="310" spans="1:3" x14ac:dyDescent="0.2">
      <c r="A310" s="245"/>
      <c r="B310" s="246" t="str">
        <f>IF(A310="","",SUMIF(Orçamento!Q:Q,'ABC Serviços Apoio'!A310,Orçamento!Z:Z))</f>
        <v/>
      </c>
      <c r="C310" s="246" t="str">
        <f t="shared" si="4"/>
        <v/>
      </c>
    </row>
    <row r="311" spans="1:3" x14ac:dyDescent="0.2">
      <c r="A311" s="245"/>
      <c r="B311" s="246" t="str">
        <f>IF(A311="","",SUMIF(Orçamento!Q:Q,'ABC Serviços Apoio'!A311,Orçamento!Z:Z))</f>
        <v/>
      </c>
      <c r="C311" s="246" t="str">
        <f t="shared" si="4"/>
        <v/>
      </c>
    </row>
    <row r="312" spans="1:3" x14ac:dyDescent="0.2">
      <c r="A312" s="245"/>
      <c r="B312" s="246" t="str">
        <f>IF(A312="","",SUMIF(Orçamento!Q:Q,'ABC Serviços Apoio'!A312,Orçamento!Z:Z))</f>
        <v/>
      </c>
      <c r="C312" s="246" t="str">
        <f t="shared" si="4"/>
        <v/>
      </c>
    </row>
    <row r="313" spans="1:3" x14ac:dyDescent="0.2">
      <c r="A313" s="245"/>
      <c r="B313" s="246" t="str">
        <f>IF(A313="","",SUMIF(Orçamento!Q:Q,'ABC Serviços Apoio'!A313,Orçamento!Z:Z))</f>
        <v/>
      </c>
      <c r="C313" s="246" t="str">
        <f t="shared" si="4"/>
        <v/>
      </c>
    </row>
    <row r="314" spans="1:3" x14ac:dyDescent="0.2">
      <c r="A314" s="245"/>
      <c r="B314" s="246" t="str">
        <f>IF(A314="","",SUMIF(Orçamento!Q:Q,'ABC Serviços Apoio'!A314,Orçamento!Z:Z))</f>
        <v/>
      </c>
      <c r="C314" s="246" t="str">
        <f t="shared" si="4"/>
        <v/>
      </c>
    </row>
    <row r="315" spans="1:3" x14ac:dyDescent="0.2">
      <c r="A315" s="245"/>
      <c r="B315" s="246" t="str">
        <f>IF(A315="","",SUMIF(Orçamento!Q:Q,'ABC Serviços Apoio'!A315,Orçamento!Z:Z))</f>
        <v/>
      </c>
      <c r="C315" s="246" t="str">
        <f t="shared" si="4"/>
        <v/>
      </c>
    </row>
    <row r="316" spans="1:3" x14ac:dyDescent="0.2">
      <c r="A316" s="245"/>
      <c r="B316" s="246" t="str">
        <f>IF(A316="","",SUMIF(Orçamento!Q:Q,'ABC Serviços Apoio'!A316,Orçamento!Z:Z))</f>
        <v/>
      </c>
      <c r="C316" s="246" t="str">
        <f t="shared" si="4"/>
        <v/>
      </c>
    </row>
    <row r="317" spans="1:3" x14ac:dyDescent="0.2">
      <c r="A317" s="245"/>
      <c r="B317" s="246" t="str">
        <f>IF(A317="","",SUMIF(Orçamento!Q:Q,'ABC Serviços Apoio'!A317,Orçamento!Z:Z))</f>
        <v/>
      </c>
      <c r="C317" s="246" t="str">
        <f t="shared" si="4"/>
        <v/>
      </c>
    </row>
    <row r="318" spans="1:3" x14ac:dyDescent="0.2">
      <c r="A318" s="245"/>
      <c r="B318" s="246" t="str">
        <f>IF(A318="","",SUMIF(Orçamento!Q:Q,'ABC Serviços Apoio'!A318,Orçamento!Z:Z))</f>
        <v/>
      </c>
      <c r="C318" s="246" t="str">
        <f t="shared" si="4"/>
        <v/>
      </c>
    </row>
    <row r="319" spans="1:3" x14ac:dyDescent="0.2">
      <c r="A319" s="245"/>
      <c r="B319" s="246" t="str">
        <f>IF(A319="","",SUMIF(Orçamento!Q:Q,'ABC Serviços Apoio'!A319,Orçamento!Z:Z))</f>
        <v/>
      </c>
      <c r="C319" s="246" t="str">
        <f t="shared" si="4"/>
        <v/>
      </c>
    </row>
    <row r="320" spans="1:3" x14ac:dyDescent="0.2">
      <c r="A320" s="245"/>
      <c r="B320" s="246" t="str">
        <f>IF(A320="","",SUMIF(Orçamento!Q:Q,'ABC Serviços Apoio'!A320,Orçamento!Z:Z))</f>
        <v/>
      </c>
      <c r="C320" s="246" t="str">
        <f t="shared" si="4"/>
        <v/>
      </c>
    </row>
    <row r="321" spans="1:3" x14ac:dyDescent="0.2">
      <c r="A321" s="245"/>
      <c r="B321" s="246" t="str">
        <f>IF(A321="","",SUMIF(Orçamento!Q:Q,'ABC Serviços Apoio'!A321,Orçamento!Z:Z))</f>
        <v/>
      </c>
      <c r="C321" s="246" t="str">
        <f t="shared" si="4"/>
        <v/>
      </c>
    </row>
    <row r="322" spans="1:3" x14ac:dyDescent="0.2">
      <c r="A322" s="245"/>
      <c r="B322" s="246" t="str">
        <f>IF(A322="","",SUMIF(Orçamento!Q:Q,'ABC Serviços Apoio'!A322,Orçamento!Z:Z))</f>
        <v/>
      </c>
      <c r="C322" s="246" t="str">
        <f t="shared" si="4"/>
        <v/>
      </c>
    </row>
    <row r="323" spans="1:3" x14ac:dyDescent="0.2">
      <c r="A323" s="245"/>
      <c r="B323" s="246" t="str">
        <f>IF(A323="","",SUMIF(Orçamento!Q:Q,'ABC Serviços Apoio'!A323,Orçamento!Z:Z))</f>
        <v/>
      </c>
      <c r="C323" s="246" t="str">
        <f t="shared" ref="C323:C370" si="5">IF(A323="","",CONCATENATE(B323, " - ",A323))</f>
        <v/>
      </c>
    </row>
    <row r="324" spans="1:3" x14ac:dyDescent="0.2">
      <c r="A324" s="245"/>
      <c r="B324" s="246" t="str">
        <f>IF(A324="","",SUMIF(Orçamento!Q:Q,'ABC Serviços Apoio'!A324,Orçamento!Z:Z))</f>
        <v/>
      </c>
      <c r="C324" s="246" t="str">
        <f t="shared" si="5"/>
        <v/>
      </c>
    </row>
    <row r="325" spans="1:3" x14ac:dyDescent="0.2">
      <c r="A325" s="245"/>
      <c r="B325" s="246" t="str">
        <f>IF(A325="","",SUMIF(Orçamento!Q:Q,'ABC Serviços Apoio'!A325,Orçamento!Z:Z))</f>
        <v/>
      </c>
      <c r="C325" s="246" t="str">
        <f t="shared" si="5"/>
        <v/>
      </c>
    </row>
    <row r="326" spans="1:3" x14ac:dyDescent="0.2">
      <c r="A326" s="245"/>
      <c r="B326" s="246" t="str">
        <f>IF(A326="","",SUMIF(Orçamento!Q:Q,'ABC Serviços Apoio'!A326,Orçamento!Z:Z))</f>
        <v/>
      </c>
      <c r="C326" s="246" t="str">
        <f t="shared" si="5"/>
        <v/>
      </c>
    </row>
    <row r="327" spans="1:3" x14ac:dyDescent="0.2">
      <c r="A327" s="245"/>
      <c r="B327" s="246" t="str">
        <f>IF(A327="","",SUMIF(Orçamento!Q:Q,'ABC Serviços Apoio'!A327,Orçamento!Z:Z))</f>
        <v/>
      </c>
      <c r="C327" s="246" t="str">
        <f t="shared" si="5"/>
        <v/>
      </c>
    </row>
    <row r="328" spans="1:3" x14ac:dyDescent="0.2">
      <c r="A328" s="245"/>
      <c r="B328" s="246" t="str">
        <f>IF(A328="","",SUMIF(Orçamento!Q:Q,'ABC Serviços Apoio'!A328,Orçamento!Z:Z))</f>
        <v/>
      </c>
      <c r="C328" s="246" t="str">
        <f t="shared" si="5"/>
        <v/>
      </c>
    </row>
    <row r="329" spans="1:3" x14ac:dyDescent="0.2">
      <c r="A329" s="245"/>
      <c r="B329" s="246" t="str">
        <f>IF(A329="","",SUMIF(Orçamento!Q:Q,'ABC Serviços Apoio'!A329,Orçamento!Z:Z))</f>
        <v/>
      </c>
      <c r="C329" s="246" t="str">
        <f t="shared" si="5"/>
        <v/>
      </c>
    </row>
    <row r="330" spans="1:3" x14ac:dyDescent="0.2">
      <c r="A330" s="245"/>
      <c r="B330" s="246" t="str">
        <f>IF(A330="","",SUMIF(Orçamento!Q:Q,'ABC Serviços Apoio'!A330,Orçamento!Z:Z))</f>
        <v/>
      </c>
      <c r="C330" s="246" t="str">
        <f t="shared" si="5"/>
        <v/>
      </c>
    </row>
    <row r="331" spans="1:3" x14ac:dyDescent="0.2">
      <c r="A331" s="245"/>
      <c r="B331" s="246" t="str">
        <f>IF(A331="","",SUMIF(Orçamento!Q:Q,'ABC Serviços Apoio'!A331,Orçamento!Z:Z))</f>
        <v/>
      </c>
      <c r="C331" s="246" t="str">
        <f t="shared" si="5"/>
        <v/>
      </c>
    </row>
    <row r="332" spans="1:3" x14ac:dyDescent="0.2">
      <c r="A332" s="245"/>
      <c r="B332" s="246" t="str">
        <f>IF(A332="","",SUMIF(Orçamento!Q:Q,'ABC Serviços Apoio'!A332,Orçamento!Z:Z))</f>
        <v/>
      </c>
      <c r="C332" s="246" t="str">
        <f t="shared" si="5"/>
        <v/>
      </c>
    </row>
    <row r="333" spans="1:3" x14ac:dyDescent="0.2">
      <c r="A333" s="245"/>
      <c r="B333" s="246" t="str">
        <f>IF(A333="","",SUMIF(Orçamento!Q:Q,'ABC Serviços Apoio'!A333,Orçamento!Z:Z))</f>
        <v/>
      </c>
      <c r="C333" s="246" t="str">
        <f t="shared" si="5"/>
        <v/>
      </c>
    </row>
    <row r="334" spans="1:3" x14ac:dyDescent="0.2">
      <c r="A334" s="245"/>
      <c r="B334" s="246" t="str">
        <f>IF(A334="","",SUMIF(Orçamento!Q:Q,'ABC Serviços Apoio'!A334,Orçamento!Z:Z))</f>
        <v/>
      </c>
      <c r="C334" s="246" t="str">
        <f t="shared" si="5"/>
        <v/>
      </c>
    </row>
    <row r="335" spans="1:3" x14ac:dyDescent="0.2">
      <c r="A335" s="245"/>
      <c r="B335" s="246" t="str">
        <f>IF(A335="","",SUMIF(Orçamento!Q:Q,'ABC Serviços Apoio'!A335,Orçamento!Z:Z))</f>
        <v/>
      </c>
      <c r="C335" s="246" t="str">
        <f t="shared" si="5"/>
        <v/>
      </c>
    </row>
    <row r="336" spans="1:3" x14ac:dyDescent="0.2">
      <c r="A336" s="245"/>
      <c r="B336" s="246" t="str">
        <f>IF(A336="","",SUMIF(Orçamento!Q:Q,'ABC Serviços Apoio'!A336,Orçamento!Z:Z))</f>
        <v/>
      </c>
      <c r="C336" s="246" t="str">
        <f t="shared" si="5"/>
        <v/>
      </c>
    </row>
    <row r="337" spans="1:3" x14ac:dyDescent="0.2">
      <c r="A337" s="245"/>
      <c r="B337" s="246" t="str">
        <f>IF(A337="","",SUMIF(Orçamento!Q:Q,'ABC Serviços Apoio'!A337,Orçamento!Z:Z))</f>
        <v/>
      </c>
      <c r="C337" s="246" t="str">
        <f t="shared" si="5"/>
        <v/>
      </c>
    </row>
    <row r="338" spans="1:3" x14ac:dyDescent="0.2">
      <c r="A338" s="245"/>
      <c r="B338" s="246" t="str">
        <f>IF(A338="","",SUMIF(Orçamento!Q:Q,'ABC Serviços Apoio'!A338,Orçamento!Z:Z))</f>
        <v/>
      </c>
      <c r="C338" s="246" t="str">
        <f t="shared" si="5"/>
        <v/>
      </c>
    </row>
    <row r="339" spans="1:3" x14ac:dyDescent="0.2">
      <c r="A339" s="245"/>
      <c r="B339" s="246" t="str">
        <f>IF(A339="","",SUMIF(Orçamento!Q:Q,'ABC Serviços Apoio'!A339,Orçamento!Z:Z))</f>
        <v/>
      </c>
      <c r="C339" s="246" t="str">
        <f t="shared" si="5"/>
        <v/>
      </c>
    </row>
    <row r="340" spans="1:3" x14ac:dyDescent="0.2">
      <c r="A340" s="245"/>
      <c r="B340" s="246" t="str">
        <f>IF(A340="","",SUMIF(Orçamento!Q:Q,'ABC Serviços Apoio'!A340,Orçamento!Z:Z))</f>
        <v/>
      </c>
      <c r="C340" s="246" t="str">
        <f t="shared" si="5"/>
        <v/>
      </c>
    </row>
    <row r="341" spans="1:3" x14ac:dyDescent="0.2">
      <c r="A341" s="245"/>
      <c r="B341" s="246" t="str">
        <f>IF(A341="","",SUMIF(Orçamento!Q:Q,'ABC Serviços Apoio'!A341,Orçamento!Z:Z))</f>
        <v/>
      </c>
      <c r="C341" s="246" t="str">
        <f t="shared" si="5"/>
        <v/>
      </c>
    </row>
    <row r="342" spans="1:3" x14ac:dyDescent="0.2">
      <c r="A342" s="245"/>
      <c r="B342" s="246" t="str">
        <f>IF(A342="","",SUMIF(Orçamento!Q:Q,'ABC Serviços Apoio'!A342,Orçamento!Z:Z))</f>
        <v/>
      </c>
      <c r="C342" s="246" t="str">
        <f t="shared" si="5"/>
        <v/>
      </c>
    </row>
    <row r="343" spans="1:3" x14ac:dyDescent="0.2">
      <c r="A343" s="245"/>
      <c r="B343" s="246" t="str">
        <f>IF(A343="","",SUMIF(Orçamento!Q:Q,'ABC Serviços Apoio'!A343,Orçamento!Z:Z))</f>
        <v/>
      </c>
      <c r="C343" s="246" t="str">
        <f t="shared" si="5"/>
        <v/>
      </c>
    </row>
    <row r="344" spans="1:3" x14ac:dyDescent="0.2">
      <c r="A344" s="245"/>
      <c r="B344" s="246" t="str">
        <f>IF(A344="","",SUMIF(Orçamento!Q:Q,'ABC Serviços Apoio'!A344,Orçamento!Z:Z))</f>
        <v/>
      </c>
      <c r="C344" s="246" t="str">
        <f t="shared" si="5"/>
        <v/>
      </c>
    </row>
    <row r="345" spans="1:3" x14ac:dyDescent="0.2">
      <c r="A345" s="245"/>
      <c r="B345" s="246" t="str">
        <f>IF(A345="","",SUMIF(Orçamento!Q:Q,'ABC Serviços Apoio'!A345,Orçamento!Z:Z))</f>
        <v/>
      </c>
      <c r="C345" s="246" t="str">
        <f t="shared" si="5"/>
        <v/>
      </c>
    </row>
    <row r="346" spans="1:3" x14ac:dyDescent="0.2">
      <c r="A346" s="245"/>
      <c r="B346" s="246" t="str">
        <f>IF(A346="","",SUMIF(Orçamento!Q:Q,'ABC Serviços Apoio'!A346,Orçamento!Z:Z))</f>
        <v/>
      </c>
      <c r="C346" s="246" t="str">
        <f t="shared" si="5"/>
        <v/>
      </c>
    </row>
    <row r="347" spans="1:3" x14ac:dyDescent="0.2">
      <c r="A347" s="245"/>
      <c r="B347" s="246" t="str">
        <f>IF(A347="","",SUMIF(Orçamento!Q:Q,'ABC Serviços Apoio'!A347,Orçamento!Z:Z))</f>
        <v/>
      </c>
      <c r="C347" s="246" t="str">
        <f t="shared" si="5"/>
        <v/>
      </c>
    </row>
    <row r="348" spans="1:3" x14ac:dyDescent="0.2">
      <c r="A348" s="245"/>
      <c r="B348" s="246" t="str">
        <f>IF(A348="","",SUMIF(Orçamento!Q:Q,'ABC Serviços Apoio'!A348,Orçamento!Z:Z))</f>
        <v/>
      </c>
      <c r="C348" s="246" t="str">
        <f t="shared" si="5"/>
        <v/>
      </c>
    </row>
    <row r="349" spans="1:3" x14ac:dyDescent="0.2">
      <c r="A349" s="245"/>
      <c r="B349" s="246" t="str">
        <f>IF(A349="","",SUMIF(Orçamento!Q:Q,'ABC Serviços Apoio'!A349,Orçamento!Z:Z))</f>
        <v/>
      </c>
      <c r="C349" s="246" t="str">
        <f t="shared" si="5"/>
        <v/>
      </c>
    </row>
    <row r="350" spans="1:3" x14ac:dyDescent="0.2">
      <c r="A350" s="245"/>
      <c r="B350" s="246" t="str">
        <f>IF(A350="","",SUMIF(Orçamento!Q:Q,'ABC Serviços Apoio'!A350,Orçamento!Z:Z))</f>
        <v/>
      </c>
      <c r="C350" s="246" t="str">
        <f t="shared" si="5"/>
        <v/>
      </c>
    </row>
    <row r="351" spans="1:3" x14ac:dyDescent="0.2">
      <c r="A351" s="245"/>
      <c r="B351" s="246" t="str">
        <f>IF(A351="","",SUMIF(Orçamento!Q:Q,'ABC Serviços Apoio'!A351,Orçamento!Z:Z))</f>
        <v/>
      </c>
      <c r="C351" s="246" t="str">
        <f t="shared" si="5"/>
        <v/>
      </c>
    </row>
    <row r="352" spans="1:3" x14ac:dyDescent="0.2">
      <c r="A352" s="245"/>
      <c r="B352" s="246" t="str">
        <f>IF(A352="","",SUMIF(Orçamento!Q:Q,'ABC Serviços Apoio'!A352,Orçamento!Z:Z))</f>
        <v/>
      </c>
      <c r="C352" s="246" t="str">
        <f t="shared" si="5"/>
        <v/>
      </c>
    </row>
    <row r="353" spans="1:3" x14ac:dyDescent="0.2">
      <c r="A353" s="245"/>
      <c r="B353" s="246" t="str">
        <f>IF(A353="","",SUMIF(Orçamento!Q:Q,'ABC Serviços Apoio'!A353,Orçamento!Z:Z))</f>
        <v/>
      </c>
      <c r="C353" s="246" t="str">
        <f t="shared" si="5"/>
        <v/>
      </c>
    </row>
    <row r="354" spans="1:3" x14ac:dyDescent="0.2">
      <c r="A354" s="245"/>
      <c r="B354" s="246" t="str">
        <f>IF(A354="","",SUMIF(Orçamento!Q:Q,'ABC Serviços Apoio'!A354,Orçamento!Z:Z))</f>
        <v/>
      </c>
      <c r="C354" s="246" t="str">
        <f t="shared" si="5"/>
        <v/>
      </c>
    </row>
    <row r="355" spans="1:3" x14ac:dyDescent="0.2">
      <c r="A355" s="245"/>
      <c r="B355" s="246" t="str">
        <f>IF(A355="","",SUMIF(Orçamento!Q:Q,'ABC Serviços Apoio'!A355,Orçamento!Z:Z))</f>
        <v/>
      </c>
      <c r="C355" s="246" t="str">
        <f t="shared" si="5"/>
        <v/>
      </c>
    </row>
    <row r="356" spans="1:3" x14ac:dyDescent="0.2">
      <c r="A356" s="245"/>
      <c r="B356" s="246" t="str">
        <f>IF(A356="","",SUMIF(Orçamento!Q:Q,'ABC Serviços Apoio'!A356,Orçamento!Z:Z))</f>
        <v/>
      </c>
      <c r="C356" s="246" t="str">
        <f t="shared" si="5"/>
        <v/>
      </c>
    </row>
    <row r="357" spans="1:3" x14ac:dyDescent="0.2">
      <c r="A357" s="245"/>
      <c r="B357" s="246" t="str">
        <f>IF(A357="","",SUMIF(Orçamento!Q:Q,'ABC Serviços Apoio'!A357,Orçamento!Z:Z))</f>
        <v/>
      </c>
      <c r="C357" s="246" t="str">
        <f t="shared" si="5"/>
        <v/>
      </c>
    </row>
    <row r="358" spans="1:3" x14ac:dyDescent="0.2">
      <c r="A358" s="245"/>
      <c r="B358" s="246" t="str">
        <f>IF(A358="","",SUMIF(Orçamento!Q:Q,'ABC Serviços Apoio'!A358,Orçamento!Z:Z))</f>
        <v/>
      </c>
      <c r="C358" s="246" t="str">
        <f t="shared" si="5"/>
        <v/>
      </c>
    </row>
    <row r="359" spans="1:3" x14ac:dyDescent="0.2">
      <c r="A359" s="245"/>
      <c r="B359" s="246" t="str">
        <f>IF(A359="","",SUMIF(Orçamento!Q:Q,'ABC Serviços Apoio'!A359,Orçamento!Z:Z))</f>
        <v/>
      </c>
      <c r="C359" s="246" t="str">
        <f t="shared" si="5"/>
        <v/>
      </c>
    </row>
    <row r="360" spans="1:3" x14ac:dyDescent="0.2">
      <c r="A360" s="245"/>
      <c r="B360" s="246" t="str">
        <f>IF(A360="","",SUMIF(Orçamento!Q:Q,'ABC Serviços Apoio'!A360,Orçamento!Z:Z))</f>
        <v/>
      </c>
      <c r="C360" s="246" t="str">
        <f t="shared" si="5"/>
        <v/>
      </c>
    </row>
    <row r="361" spans="1:3" x14ac:dyDescent="0.2">
      <c r="A361" s="245"/>
      <c r="B361" s="246" t="str">
        <f>IF(A361="","",SUMIF(Orçamento!Q:Q,'ABC Serviços Apoio'!A361,Orçamento!Z:Z))</f>
        <v/>
      </c>
      <c r="C361" s="246" t="str">
        <f t="shared" si="5"/>
        <v/>
      </c>
    </row>
    <row r="362" spans="1:3" x14ac:dyDescent="0.2">
      <c r="A362" s="245"/>
      <c r="B362" s="246" t="str">
        <f>IF(A362="","",SUMIF(Orçamento!Q:Q,'ABC Serviços Apoio'!A362,Orçamento!Z:Z))</f>
        <v/>
      </c>
      <c r="C362" s="246" t="str">
        <f t="shared" si="5"/>
        <v/>
      </c>
    </row>
    <row r="363" spans="1:3" x14ac:dyDescent="0.2">
      <c r="A363" s="245"/>
      <c r="B363" s="246" t="str">
        <f>IF(A363="","",SUMIF(Orçamento!Q:Q,'ABC Serviços Apoio'!A363,Orçamento!Z:Z))</f>
        <v/>
      </c>
      <c r="C363" s="246" t="str">
        <f t="shared" si="5"/>
        <v/>
      </c>
    </row>
    <row r="364" spans="1:3" x14ac:dyDescent="0.2">
      <c r="A364" s="245"/>
      <c r="B364" s="246" t="str">
        <f>IF(A364="","",SUMIF(Orçamento!Q:Q,'ABC Serviços Apoio'!A364,Orçamento!Z:Z))</f>
        <v/>
      </c>
      <c r="C364" s="246" t="str">
        <f t="shared" si="5"/>
        <v/>
      </c>
    </row>
    <row r="365" spans="1:3" x14ac:dyDescent="0.2">
      <c r="A365" s="245"/>
      <c r="B365" s="246" t="str">
        <f>IF(A365="","",SUMIF(Orçamento!Q:Q,'ABC Serviços Apoio'!A365,Orçamento!Z:Z))</f>
        <v/>
      </c>
      <c r="C365" s="246" t="str">
        <f t="shared" si="5"/>
        <v/>
      </c>
    </row>
    <row r="366" spans="1:3" x14ac:dyDescent="0.2">
      <c r="A366" s="245"/>
      <c r="B366" s="246" t="str">
        <f>IF(A366="","",SUMIF(Orçamento!Q:Q,'ABC Serviços Apoio'!A366,Orçamento!Z:Z))</f>
        <v/>
      </c>
      <c r="C366" s="246" t="str">
        <f t="shared" si="5"/>
        <v/>
      </c>
    </row>
    <row r="367" spans="1:3" x14ac:dyDescent="0.2">
      <c r="A367" s="245"/>
      <c r="B367" s="246" t="str">
        <f>IF(A367="","",SUMIF(Orçamento!Q:Q,'ABC Serviços Apoio'!A367,Orçamento!Z:Z))</f>
        <v/>
      </c>
      <c r="C367" s="246" t="str">
        <f t="shared" si="5"/>
        <v/>
      </c>
    </row>
    <row r="368" spans="1:3" x14ac:dyDescent="0.2">
      <c r="A368" s="245"/>
      <c r="B368" s="246" t="str">
        <f>IF(A368="","",SUMIF(Orçamento!Q:Q,'ABC Serviços Apoio'!A368,Orçamento!Z:Z))</f>
        <v/>
      </c>
      <c r="C368" s="246" t="str">
        <f t="shared" si="5"/>
        <v/>
      </c>
    </row>
    <row r="369" spans="1:3" x14ac:dyDescent="0.2">
      <c r="A369" s="245"/>
      <c r="B369" s="246" t="str">
        <f>IF(A369="","",SUMIF(Orçamento!Q:Q,'ABC Serviços Apoio'!A369,Orçamento!Z:Z))</f>
        <v/>
      </c>
      <c r="C369" s="246" t="str">
        <f t="shared" si="5"/>
        <v/>
      </c>
    </row>
    <row r="370" spans="1:3" x14ac:dyDescent="0.2">
      <c r="A370" s="245"/>
      <c r="B370" s="246" t="str">
        <f>IF(A370="","",SUMIF(Orçamento!Q:Q,'ABC Serviços Apoio'!A370,Orçamento!Z:Z))</f>
        <v/>
      </c>
      <c r="C370" s="246" t="str">
        <f t="shared" si="5"/>
        <v/>
      </c>
    </row>
  </sheetData>
  <autoFilter ref="A1:B370" xr:uid="{558069C8-5174-4BF2-B2DF-6D1CE244C4BF}"/>
  <conditionalFormatting sqref="A1:A1048576">
    <cfRule type="duplicateValues" dxfId="35" priority="1"/>
  </conditionalFormatting>
  <pageMargins left="0.78740157499999996" right="0.78740157499999996" top="0.984251969" bottom="0.984251969" header="0.4921259845" footer="0.492125984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DCDC-28D8-40EB-9190-994B05D0BB9E}">
  <sheetPr codeName="Planilha9">
    <tabColor rgb="FF1851D6"/>
  </sheetPr>
  <dimension ref="A1:J114"/>
  <sheetViews>
    <sheetView workbookViewId="0">
      <selection activeCell="G5" sqref="G5"/>
    </sheetView>
  </sheetViews>
  <sheetFormatPr defaultRowHeight="12.75" x14ac:dyDescent="0.2"/>
  <cols>
    <col min="1" max="1" width="48.140625" bestFit="1" customWidth="1"/>
    <col min="2" max="2" width="10.28515625" bestFit="1" customWidth="1"/>
    <col min="3" max="3" width="12.5703125" bestFit="1" customWidth="1"/>
    <col min="4" max="4" width="14.28515625" bestFit="1" customWidth="1"/>
    <col min="5" max="5" width="13.140625" bestFit="1" customWidth="1"/>
    <col min="6" max="6" width="1.28515625" customWidth="1"/>
    <col min="7" max="7" width="14.7109375" style="291" bestFit="1" customWidth="1"/>
    <col min="8" max="8" width="60.7109375" style="432" bestFit="1" customWidth="1"/>
    <col min="10" max="10" width="11.28515625" bestFit="1" customWidth="1"/>
  </cols>
  <sheetData>
    <row r="1" spans="1:10" x14ac:dyDescent="0.2">
      <c r="A1" s="494" t="s">
        <v>1136</v>
      </c>
      <c r="B1" s="494"/>
      <c r="C1" s="494"/>
      <c r="D1" s="494"/>
      <c r="E1" s="494"/>
      <c r="H1" s="432" t="s">
        <v>1161</v>
      </c>
    </row>
    <row r="2" spans="1:10" s="3" customFormat="1" x14ac:dyDescent="0.2">
      <c r="A2" s="3" t="s">
        <v>7</v>
      </c>
      <c r="B2" s="3" t="s">
        <v>619</v>
      </c>
      <c r="C2" s="3" t="s">
        <v>620</v>
      </c>
      <c r="D2" s="3" t="s">
        <v>632</v>
      </c>
      <c r="E2" s="3" t="s">
        <v>633</v>
      </c>
      <c r="G2" s="344"/>
      <c r="H2" s="346"/>
    </row>
    <row r="3" spans="1:10" ht="15.75" customHeight="1" x14ac:dyDescent="0.2">
      <c r="A3" s="295" t="s">
        <v>621</v>
      </c>
      <c r="B3" s="296">
        <v>1.7999999999999999E-2</v>
      </c>
      <c r="C3" s="297">
        <f>B3</f>
        <v>1.7999999999999999E-2</v>
      </c>
      <c r="D3" s="298">
        <f>B3*$D$110</f>
        <v>41400</v>
      </c>
      <c r="E3" s="298">
        <f>C3*$E$110</f>
        <v>41400</v>
      </c>
      <c r="G3" s="345"/>
      <c r="H3" s="346" t="str">
        <f>Insumos!A193</f>
        <v>INSTALACOES DE CANTEIRO</v>
      </c>
      <c r="I3">
        <f ca="1">SUMIFS(Orçamento!$Z$10:$Z$2148,Orçamento!$S$10:$S$2148,'Custos Serviços'!H3)</f>
        <v>41400</v>
      </c>
      <c r="J3" s="378">
        <f ca="1">I3-D3</f>
        <v>0</v>
      </c>
    </row>
    <row r="4" spans="1:10" ht="15.75" customHeight="1" x14ac:dyDescent="0.2">
      <c r="A4" s="295" t="s">
        <v>622</v>
      </c>
      <c r="B4" s="296">
        <v>0.03</v>
      </c>
      <c r="C4" s="297">
        <f>B4+C3</f>
        <v>4.8000000000000001E-2</v>
      </c>
      <c r="D4" s="298">
        <f>B4*$D$110</f>
        <v>69000</v>
      </c>
      <c r="E4" s="298">
        <f>C4*$E$110</f>
        <v>110400</v>
      </c>
      <c r="G4" s="345"/>
      <c r="H4" s="346" t="str">
        <f>Insumos!A340</f>
        <v>MAO DE OBRA PARA EXECUCAO DE CONTENÇÃO</v>
      </c>
      <c r="I4">
        <f ca="1">SUMIFS(Orçamento!$Z$10:$Z$2148,Orçamento!$S$10:$S$2148,'Custos Serviços'!H4)</f>
        <v>69000</v>
      </c>
      <c r="J4" s="378">
        <f t="shared" ref="J4:J6" ca="1" si="0">I4-D4</f>
        <v>0</v>
      </c>
    </row>
    <row r="5" spans="1:10" ht="15.75" customHeight="1" x14ac:dyDescent="0.2">
      <c r="A5" s="295" t="s">
        <v>623</v>
      </c>
      <c r="B5" s="296">
        <v>7.9500000000000001E-2</v>
      </c>
      <c r="C5" s="297">
        <f>B5+C4</f>
        <v>0.1275</v>
      </c>
      <c r="D5" s="298">
        <f>B5*$D$110</f>
        <v>182850</v>
      </c>
      <c r="E5" s="298">
        <f>C5*$E$110</f>
        <v>293250</v>
      </c>
      <c r="G5" s="345">
        <f ca="1">I5/460</f>
        <v>397.5</v>
      </c>
      <c r="H5" s="346" t="str">
        <f>Insumos!A339</f>
        <v>MAO DE OBRA PARA EXECUCAO DE INFRAESTRUTURA</v>
      </c>
      <c r="I5">
        <f ca="1">SUMIFS(Orçamento!$Z$10:$Z$2148,Orçamento!$S$10:$S$2148,'Custos Serviços'!H5)</f>
        <v>182850</v>
      </c>
      <c r="J5" s="378">
        <f t="shared" ca="1" si="0"/>
        <v>0</v>
      </c>
    </row>
    <row r="6" spans="1:10" x14ac:dyDescent="0.2">
      <c r="A6" s="295" t="s">
        <v>624</v>
      </c>
      <c r="B6" s="296">
        <v>0.28999999999999998</v>
      </c>
      <c r="C6" s="297">
        <f>B6+C5</f>
        <v>0.41749999999999998</v>
      </c>
      <c r="D6" s="298">
        <f>B6*$D$110</f>
        <v>667000</v>
      </c>
      <c r="E6" s="298">
        <f>C6*$E$110</f>
        <v>960250</v>
      </c>
      <c r="G6" s="344">
        <f>D6/SUM(B7:B11)</f>
        <v>328.98247759174944</v>
      </c>
      <c r="H6" s="346" t="str">
        <f>Insumos!A341</f>
        <v>MAO DE OBRA PARA EXECUCAO DE SUPRAESTRUTURA EM CONCRETO ARMADO</v>
      </c>
      <c r="I6">
        <f ca="1">SUMIFS(Orçamento!$Z$10:$Z$2148,Orçamento!$S$10:$S$2148,'Custos Serviços'!H6)</f>
        <v>667000.00000000012</v>
      </c>
      <c r="J6" s="378">
        <f t="shared" ca="1" si="0"/>
        <v>0</v>
      </c>
    </row>
    <row r="7" spans="1:10" x14ac:dyDescent="0.2">
      <c r="A7" s="321" t="s">
        <v>707</v>
      </c>
      <c r="B7" s="301">
        <f>Orçamento!$U$306</f>
        <v>103.30266499999999</v>
      </c>
      <c r="C7" s="302">
        <f>B7/SUM($B$7:$B$11)*$B$6</f>
        <v>1.4775985510230648E-2</v>
      </c>
      <c r="D7" s="303">
        <f>C7*$D$110</f>
        <v>33984.766673530488</v>
      </c>
      <c r="E7" s="304"/>
      <c r="G7" s="346"/>
      <c r="H7" s="346"/>
    </row>
    <row r="8" spans="1:10" x14ac:dyDescent="0.2">
      <c r="A8" s="322" t="s">
        <v>708</v>
      </c>
      <c r="B8" s="305">
        <f>Orçamento!$U$405</f>
        <v>326.93599</v>
      </c>
      <c r="C8" s="306">
        <f>B8/SUM($B$7:$B$11)*$B$6</f>
        <v>4.6763570436570173E-2</v>
      </c>
      <c r="D8" s="307">
        <f>C8*$D$110</f>
        <v>107556.2120041114</v>
      </c>
      <c r="E8" s="308"/>
      <c r="G8" s="346"/>
      <c r="H8" s="346"/>
    </row>
    <row r="9" spans="1:10" x14ac:dyDescent="0.2">
      <c r="A9" s="322" t="s">
        <v>709</v>
      </c>
      <c r="B9" s="305">
        <f>Orçamento!$U$496</f>
        <v>1170.6856</v>
      </c>
      <c r="C9" s="306">
        <f>B9/SUM($B$7:$B$11)*$B$6</f>
        <v>0.167450021377819</v>
      </c>
      <c r="D9" s="307">
        <f>C9*$D$110</f>
        <v>385135.04916898371</v>
      </c>
      <c r="E9" s="308"/>
      <c r="G9" s="346"/>
      <c r="H9" s="346"/>
    </row>
    <row r="10" spans="1:10" x14ac:dyDescent="0.2">
      <c r="A10" s="322" t="s">
        <v>710</v>
      </c>
      <c r="B10" s="305">
        <f>Orçamento!$U$587</f>
        <v>234.19450000000001</v>
      </c>
      <c r="C10" s="306">
        <f>B10/SUM($B$7:$B$11)*$B$6</f>
        <v>3.3498211673200419E-2</v>
      </c>
      <c r="D10" s="307">
        <f>C10*$D$110</f>
        <v>77045.886848360969</v>
      </c>
      <c r="E10" s="308"/>
      <c r="G10" s="346"/>
      <c r="H10" s="346"/>
    </row>
    <row r="11" spans="1:10" x14ac:dyDescent="0.2">
      <c r="A11" s="323" t="s">
        <v>711</v>
      </c>
      <c r="B11" s="309">
        <f>Orçamento!$U$660</f>
        <v>192.34485000000001</v>
      </c>
      <c r="C11" s="310">
        <f>B11/SUM($B$7:$B$11)*$B$6</f>
        <v>2.7512211002179741E-2</v>
      </c>
      <c r="D11" s="311">
        <f>C11*$D$110</f>
        <v>63278.085305013403</v>
      </c>
      <c r="E11" s="312"/>
      <c r="G11" s="346"/>
      <c r="H11" s="346"/>
    </row>
    <row r="12" spans="1:10" x14ac:dyDescent="0.2">
      <c r="A12" s="295" t="s">
        <v>625</v>
      </c>
      <c r="B12" s="296">
        <v>0.06</v>
      </c>
      <c r="C12" s="297">
        <f>B12+C6</f>
        <v>0.47749999999999998</v>
      </c>
      <c r="D12" s="298">
        <f>B12*$D$110</f>
        <v>138000</v>
      </c>
      <c r="E12" s="298">
        <f>C12*$E$110</f>
        <v>1098250</v>
      </c>
      <c r="G12" s="345">
        <f>D12/SUM(B13:B17)</f>
        <v>58.930413003977797</v>
      </c>
      <c r="H12" s="346" t="str">
        <f>Insumos!A270</f>
        <v>MAO DE OBRA ASSENTAMENTO DE BLOCOS</v>
      </c>
      <c r="I12">
        <f ca="1">SUMIFS(Orçamento!$Z$10:$Z$2148,Orçamento!$S$10:$S$2148,'Custos Serviços'!H12)</f>
        <v>138000</v>
      </c>
      <c r="J12" s="378">
        <f ca="1">I12-D12</f>
        <v>0</v>
      </c>
    </row>
    <row r="13" spans="1:10" x14ac:dyDescent="0.2">
      <c r="A13" s="321" t="s">
        <v>707</v>
      </c>
      <c r="B13" s="301">
        <f>Orçamento!$U$690</f>
        <v>115.68</v>
      </c>
      <c r="C13" s="302">
        <f>B13/SUM($B$13:$B$17)*$B$12</f>
        <v>2.9639435549131091E-3</v>
      </c>
      <c r="D13" s="303">
        <f>C13*$D$110</f>
        <v>6817.0701763001507</v>
      </c>
      <c r="E13" s="304"/>
      <c r="G13" s="346"/>
      <c r="H13" s="346"/>
    </row>
    <row r="14" spans="1:10" x14ac:dyDescent="0.2">
      <c r="A14" s="322" t="s">
        <v>708</v>
      </c>
      <c r="B14" s="305">
        <f>Orçamento!$U$723</f>
        <v>417.51400000000001</v>
      </c>
      <c r="C14" s="306">
        <f>B14/SUM($B$13:$B$17)*$B$12</f>
        <v>1.0697509763018602E-2</v>
      </c>
      <c r="D14" s="307">
        <f>C14*$D$110</f>
        <v>24604.272454942784</v>
      </c>
      <c r="E14" s="308"/>
      <c r="G14" s="346"/>
      <c r="H14" s="346"/>
    </row>
    <row r="15" spans="1:10" x14ac:dyDescent="0.2">
      <c r="A15" s="322" t="s">
        <v>709</v>
      </c>
      <c r="B15" s="305">
        <f>Orçamento!$U$752</f>
        <v>1435.45</v>
      </c>
      <c r="C15" s="306">
        <f>B15/SUM($B$13:$B$17)*$B$12</f>
        <v>3.6778983194156491E-2</v>
      </c>
      <c r="D15" s="307">
        <f>C15*$D$110</f>
        <v>84591.661346559922</v>
      </c>
      <c r="E15" s="308"/>
      <c r="G15" s="346"/>
      <c r="H15" s="346"/>
    </row>
    <row r="16" spans="1:10" x14ac:dyDescent="0.2">
      <c r="A16" s="322" t="s">
        <v>710</v>
      </c>
      <c r="B16" s="305">
        <f>Orçamento!$U$781</f>
        <v>202.74100000000001</v>
      </c>
      <c r="C16" s="306">
        <f>B16/SUM($B$13:$B$17)*$B$12</f>
        <v>5.1946134186258534E-3</v>
      </c>
      <c r="D16" s="307">
        <f>C16*$D$110</f>
        <v>11947.610862839463</v>
      </c>
      <c r="E16" s="308"/>
      <c r="G16" s="346"/>
      <c r="H16" s="346"/>
    </row>
    <row r="17" spans="1:10" x14ac:dyDescent="0.2">
      <c r="A17" s="323" t="s">
        <v>711</v>
      </c>
      <c r="B17" s="309">
        <f>Orçamento!$U$804</f>
        <v>170.35999999999999</v>
      </c>
      <c r="C17" s="310">
        <f>B17/SUM($B$13:$B$17)*$B$12</f>
        <v>4.3649500692859366E-3</v>
      </c>
      <c r="D17" s="311">
        <f>C17*$D$110</f>
        <v>10039.385159357655</v>
      </c>
      <c r="E17" s="312"/>
      <c r="G17" s="346"/>
      <c r="H17" s="346"/>
    </row>
    <row r="18" spans="1:10" x14ac:dyDescent="0.2">
      <c r="A18" s="295" t="s">
        <v>626</v>
      </c>
      <c r="B18" s="296">
        <v>3.85E-2</v>
      </c>
      <c r="C18" s="297">
        <f>B18+C12</f>
        <v>0.51600000000000001</v>
      </c>
      <c r="D18" s="298">
        <f>B18*$D$110</f>
        <v>88550</v>
      </c>
      <c r="E18" s="298">
        <f>C18*$E$110</f>
        <v>1186800</v>
      </c>
      <c r="G18" s="345">
        <f ca="1">D18/SUM(B19:B23)</f>
        <v>36.785494629101763</v>
      </c>
      <c r="H18" s="346" t="str">
        <f>Insumos!A94</f>
        <v>Mão de obra de instalações eletricas</v>
      </c>
      <c r="I18">
        <f ca="1">SUMIFS(Orçamento!$Z$10:$Z$2148,Orçamento!$S$10:$S$2148,'Custos Serviços'!H18)</f>
        <v>88550</v>
      </c>
      <c r="J18" s="378">
        <f ca="1">I18-D18</f>
        <v>0</v>
      </c>
    </row>
    <row r="19" spans="1:10" x14ac:dyDescent="0.2">
      <c r="A19" s="321" t="s">
        <v>707</v>
      </c>
      <c r="B19" s="301">
        <f ca="1">Orçamento!$U$991</f>
        <v>483.03789999999998</v>
      </c>
      <c r="C19" s="302">
        <f ca="1">B19/SUM($B$19:$B$23)*$B$18</f>
        <v>7.7255600330880846E-3</v>
      </c>
      <c r="D19" s="303">
        <f ca="1">C19*$D$110</f>
        <v>17768.788076102595</v>
      </c>
      <c r="E19" s="304"/>
      <c r="G19" s="346"/>
      <c r="H19" s="346"/>
    </row>
    <row r="20" spans="1:10" x14ac:dyDescent="0.2">
      <c r="A20" s="322" t="s">
        <v>708</v>
      </c>
      <c r="B20" s="305">
        <f ca="1">Orçamento!$U$1010</f>
        <v>326.93599</v>
      </c>
      <c r="C20" s="306">
        <f ca="1">B20/SUM($B$19:$B$23)*$B$18</f>
        <v>5.2289139583500295E-3</v>
      </c>
      <c r="D20" s="307">
        <f ca="1">C20*$D$110</f>
        <v>12026.502104205068</v>
      </c>
      <c r="E20" s="308"/>
      <c r="G20" s="346"/>
      <c r="H20" s="346"/>
    </row>
    <row r="21" spans="1:10" x14ac:dyDescent="0.2">
      <c r="A21" s="322" t="s">
        <v>709</v>
      </c>
      <c r="B21" s="305">
        <f ca="1">Orçamento!$U$1029</f>
        <v>1170.6856</v>
      </c>
      <c r="C21" s="306">
        <f ca="1">B21/SUM($B$19:$B$23)*$B$18</f>
        <v>1.8723586457029033E-2</v>
      </c>
      <c r="D21" s="307">
        <f ca="1">C21*$D$110</f>
        <v>43064.248851166776</v>
      </c>
      <c r="E21" s="308"/>
      <c r="G21" s="346"/>
      <c r="H21" s="346"/>
    </row>
    <row r="22" spans="1:10" x14ac:dyDescent="0.2">
      <c r="A22" s="322" t="s">
        <v>710</v>
      </c>
      <c r="B22" s="305">
        <f ca="1">Orçamento!$U$1048</f>
        <v>234.19450000000001</v>
      </c>
      <c r="C22" s="306">
        <f ca="1">B22/SUM($B$19:$B$23)*$B$18</f>
        <v>3.7456350095283362E-3</v>
      </c>
      <c r="D22" s="307">
        <f ca="1">C22*$D$110</f>
        <v>8614.9605219151726</v>
      </c>
      <c r="E22" s="308"/>
      <c r="G22" s="346"/>
      <c r="H22" s="346"/>
    </row>
    <row r="23" spans="1:10" x14ac:dyDescent="0.2">
      <c r="A23" s="323" t="s">
        <v>711</v>
      </c>
      <c r="B23" s="309">
        <f ca="1">Orçamento!$U$1067</f>
        <v>192.34485000000001</v>
      </c>
      <c r="C23" s="310">
        <f ca="1">B23/SUM($B$19:$B$23)*$B$18</f>
        <v>3.0763045420045152E-3</v>
      </c>
      <c r="D23" s="311">
        <f ca="1">C23*$D$110</f>
        <v>7075.5004466103846</v>
      </c>
      <c r="E23" s="312"/>
      <c r="G23" s="346"/>
      <c r="H23" s="346"/>
    </row>
    <row r="24" spans="1:10" x14ac:dyDescent="0.2">
      <c r="A24" s="295" t="s">
        <v>627</v>
      </c>
      <c r="B24" s="296">
        <v>3.85E-2</v>
      </c>
      <c r="C24" s="297">
        <f>B24+C18</f>
        <v>0.55449999999999999</v>
      </c>
      <c r="D24" s="298">
        <f>B24*$D$110</f>
        <v>88550</v>
      </c>
      <c r="E24" s="298">
        <f>C24*$E$110</f>
        <v>1275350</v>
      </c>
      <c r="G24" s="345">
        <f ca="1">D24/SUM(B25:B29)</f>
        <v>36.785494629101763</v>
      </c>
      <c r="H24" s="346" t="str">
        <f>Insumos!A95</f>
        <v>Mão de Obra para Instalação Hidrossanitárias</v>
      </c>
      <c r="I24">
        <f ca="1">SUMIFS(Orçamento!$Z$10:$Z$2148,Orçamento!$S$10:$S$2148,'Custos Serviços'!H24)</f>
        <v>88550</v>
      </c>
      <c r="J24" s="378">
        <f ca="1">I24-D24</f>
        <v>0</v>
      </c>
    </row>
    <row r="25" spans="1:10" x14ac:dyDescent="0.2">
      <c r="A25" s="321" t="s">
        <v>707</v>
      </c>
      <c r="B25" s="301">
        <f ca="1">Orçamento!$U$1081</f>
        <v>483.03789999999998</v>
      </c>
      <c r="C25" s="302">
        <f ca="1">B25/SUM($B$25:$B$29)*$B$24</f>
        <v>7.7255600330880846E-3</v>
      </c>
      <c r="D25" s="303">
        <f ca="1">C25*$D$110</f>
        <v>17768.788076102595</v>
      </c>
      <c r="E25" s="304"/>
      <c r="G25" s="346"/>
      <c r="H25" s="346"/>
    </row>
    <row r="26" spans="1:10" x14ac:dyDescent="0.2">
      <c r="A26" s="322" t="s">
        <v>708</v>
      </c>
      <c r="B26" s="305">
        <f ca="1">Orçamento!$U$1094</f>
        <v>326.93599</v>
      </c>
      <c r="C26" s="306">
        <f ca="1">B26/SUM($B$25:$B$29)*$B$24</f>
        <v>5.2289139583500295E-3</v>
      </c>
      <c r="D26" s="307">
        <f ca="1">C26*$D$110</f>
        <v>12026.502104205068</v>
      </c>
      <c r="E26" s="308"/>
      <c r="G26" s="346"/>
      <c r="H26" s="346"/>
    </row>
    <row r="27" spans="1:10" x14ac:dyDescent="0.2">
      <c r="A27" s="322" t="s">
        <v>709</v>
      </c>
      <c r="B27" s="305">
        <f ca="1">Orçamento!$U$1107</f>
        <v>1170.6856</v>
      </c>
      <c r="C27" s="306">
        <f ca="1">B27/SUM($B$25:$B$29)*$B$24</f>
        <v>1.8723586457029033E-2</v>
      </c>
      <c r="D27" s="307">
        <f ca="1">C27*$D$110</f>
        <v>43064.248851166776</v>
      </c>
      <c r="E27" s="308"/>
      <c r="G27" s="346"/>
      <c r="H27" s="346"/>
    </row>
    <row r="28" spans="1:10" x14ac:dyDescent="0.2">
      <c r="A28" s="322" t="s">
        <v>710</v>
      </c>
      <c r="B28" s="305">
        <f ca="1">Orçamento!$U$1120</f>
        <v>234.19450000000001</v>
      </c>
      <c r="C28" s="306">
        <f ca="1">B28/SUM($B$25:$B$29)*$B$24</f>
        <v>3.7456350095283362E-3</v>
      </c>
      <c r="D28" s="307">
        <f ca="1">C28*$D$110</f>
        <v>8614.9605219151726</v>
      </c>
      <c r="E28" s="308"/>
      <c r="G28" s="346"/>
      <c r="H28" s="346"/>
    </row>
    <row r="29" spans="1:10" x14ac:dyDescent="0.2">
      <c r="A29" s="323" t="s">
        <v>711</v>
      </c>
      <c r="B29" s="309">
        <f ca="1">Orçamento!$U$1133</f>
        <v>192.34485000000001</v>
      </c>
      <c r="C29" s="310">
        <f ca="1">B29/SUM($B$25:$B$29)*$B$24</f>
        <v>3.0763045420045152E-3</v>
      </c>
      <c r="D29" s="311">
        <f ca="1">C29*$D$110</f>
        <v>7075.5004466103846</v>
      </c>
      <c r="E29" s="312"/>
      <c r="G29" s="346"/>
      <c r="H29" s="346"/>
    </row>
    <row r="30" spans="1:10" x14ac:dyDescent="0.2">
      <c r="A30" s="295" t="s">
        <v>1032</v>
      </c>
      <c r="B30" s="296">
        <v>0.115</v>
      </c>
      <c r="C30" s="297">
        <f>B30+C24</f>
        <v>0.66949999999999998</v>
      </c>
      <c r="D30" s="298">
        <f>B30*$D$110</f>
        <v>264500</v>
      </c>
      <c r="E30" s="298">
        <f>C30*$E$110</f>
        <v>1539850</v>
      </c>
      <c r="G30" s="345" cm="1">
        <f t="array" ref="G30">SUM(D32:D36/SUM(B32:B36))</f>
        <v>40.637259305842541</v>
      </c>
      <c r="H30" s="346"/>
      <c r="J30" s="378">
        <f ca="1">SUM(I31:I60)-D30</f>
        <v>0</v>
      </c>
    </row>
    <row r="31" spans="1:10" x14ac:dyDescent="0.2">
      <c r="A31" s="379"/>
      <c r="B31" s="384">
        <f>$B$30*0.59</f>
        <v>6.7849999999999994E-2</v>
      </c>
      <c r="C31" s="381"/>
      <c r="D31" s="382"/>
      <c r="E31" s="383"/>
      <c r="G31" s="345"/>
      <c r="H31" s="346"/>
    </row>
    <row r="32" spans="1:10" x14ac:dyDescent="0.2">
      <c r="A32" s="321" t="s">
        <v>772</v>
      </c>
      <c r="B32" s="301">
        <f>Orçamento!$U$1235</f>
        <v>427.3</v>
      </c>
      <c r="C32" s="302">
        <f>B32/SUM($B$32:$B$36)*$B$31</f>
        <v>7.5496960440810954E-3</v>
      </c>
      <c r="D32" s="303">
        <f>C32*$D$110</f>
        <v>17364.300901386519</v>
      </c>
      <c r="E32" s="304"/>
      <c r="G32" s="346"/>
      <c r="H32" s="346" t="str">
        <f>Insumos!A272</f>
        <v>MAO DE OBRA PARA CHAPISCO E REBOCO INTERNOS</v>
      </c>
      <c r="I32">
        <f ca="1">SUMIFS(Orçamento!$Z$10:$Z$2148,Orçamento!$S$10:$S$2148,'Custos Serviços'!H32)</f>
        <v>156055.00000000006</v>
      </c>
      <c r="J32" s="378"/>
    </row>
    <row r="33" spans="1:10" x14ac:dyDescent="0.2">
      <c r="A33" s="322" t="s">
        <v>773</v>
      </c>
      <c r="B33" s="305">
        <f>Orçamento!$U$1267</f>
        <v>401.63400000000001</v>
      </c>
      <c r="C33" s="306">
        <f>B33/SUM($B$32:$B$36)*$B$31</f>
        <v>7.0962195669751144E-3</v>
      </c>
      <c r="D33" s="307">
        <f>C33*$D$110</f>
        <v>16321.305004042762</v>
      </c>
      <c r="E33" s="308"/>
      <c r="G33" s="346"/>
      <c r="H33" s="346"/>
    </row>
    <row r="34" spans="1:10" x14ac:dyDescent="0.2">
      <c r="A34" s="322" t="s">
        <v>774</v>
      </c>
      <c r="B34" s="305">
        <f>Orçamento!$U$1299</f>
        <v>2533.48</v>
      </c>
      <c r="C34" s="306">
        <f>B34/SUM($B$32:$B$36)*$B$31</f>
        <v>4.476247117659389E-2</v>
      </c>
      <c r="D34" s="307">
        <f>C34*$D$110</f>
        <v>102953.68370616595</v>
      </c>
      <c r="E34" s="308"/>
      <c r="G34" s="346"/>
      <c r="H34" s="346"/>
    </row>
    <row r="35" spans="1:10" x14ac:dyDescent="0.2">
      <c r="A35" s="322" t="s">
        <v>775</v>
      </c>
      <c r="B35" s="305">
        <f>Orçamento!$U$1337</f>
        <v>283.59100000000001</v>
      </c>
      <c r="C35" s="306">
        <f>B35/SUM($B$32:$B$36)*$B$31</f>
        <v>5.0105917407839966E-3</v>
      </c>
      <c r="D35" s="307">
        <f>C35*$D$110</f>
        <v>11524.361003803193</v>
      </c>
      <c r="E35" s="308"/>
      <c r="G35" s="346"/>
      <c r="H35" s="346"/>
    </row>
    <row r="36" spans="1:10" x14ac:dyDescent="0.2">
      <c r="A36" s="323" t="s">
        <v>776</v>
      </c>
      <c r="B36" s="309">
        <f>Orçamento!$U$1363</f>
        <v>194.19</v>
      </c>
      <c r="C36" s="310">
        <f>B36/SUM($B$32:$B$36)*$B$31</f>
        <v>3.4310214715658968E-3</v>
      </c>
      <c r="D36" s="311">
        <f>C36*$D$110</f>
        <v>7891.3493846015626</v>
      </c>
      <c r="E36" s="312"/>
      <c r="H36" s="346"/>
    </row>
    <row r="37" spans="1:10" x14ac:dyDescent="0.2">
      <c r="A37" s="379"/>
      <c r="B37" s="384">
        <f>$B$30*0.06</f>
        <v>6.8999999999999999E-3</v>
      </c>
      <c r="C37" s="381"/>
      <c r="D37" s="382"/>
      <c r="E37" s="383"/>
      <c r="G37" s="345"/>
      <c r="H37" s="346"/>
    </row>
    <row r="38" spans="1:10" x14ac:dyDescent="0.2">
      <c r="A38" s="321" t="s">
        <v>1033</v>
      </c>
      <c r="B38" s="301">
        <f>Orçamento!$U$1237</f>
        <v>57.36</v>
      </c>
      <c r="C38" s="302">
        <f>B38/SUM($B$38:$B$42)*$B$37</f>
        <v>1.2692707331152587E-3</v>
      </c>
      <c r="D38" s="303">
        <f>C38*$D$110</f>
        <v>2919.3226861650951</v>
      </c>
      <c r="E38" s="304"/>
      <c r="G38" s="345" cm="1">
        <f t="array" ref="G38">SUM(D38:D42/SUM(B38:B42))</f>
        <v>50.894746969405418</v>
      </c>
      <c r="H38" s="346" t="str">
        <f>Insumos!A273</f>
        <v>MAO DE OBRA PARA ESTUCAMENTO DE ESTRUTURA DE CONCRETO</v>
      </c>
      <c r="I38">
        <f ca="1">SUMIFS(Orçamento!$Z$10:$Z$2148,Orçamento!$S$10:$S$2148,'Custos Serviços'!H38)</f>
        <v>15870</v>
      </c>
      <c r="J38" s="378"/>
    </row>
    <row r="39" spans="1:10" x14ac:dyDescent="0.2">
      <c r="A39" s="322" t="s">
        <v>1034</v>
      </c>
      <c r="B39" s="305">
        <f>Orçamento!$U$1269</f>
        <v>21.02</v>
      </c>
      <c r="C39" s="306">
        <f>B39/SUM($B$38:$B$42)*$B$37</f>
        <v>4.6513373099865305E-4</v>
      </c>
      <c r="D39" s="307">
        <f>C39*$D$110</f>
        <v>1069.8075812969021</v>
      </c>
      <c r="E39" s="308"/>
      <c r="G39" s="346"/>
      <c r="H39" s="346"/>
    </row>
    <row r="40" spans="1:10" x14ac:dyDescent="0.2">
      <c r="A40" s="322" t="s">
        <v>1035</v>
      </c>
      <c r="B40" s="305">
        <f>Orçamento!$U$1301</f>
        <v>158.19999999999999</v>
      </c>
      <c r="C40" s="306">
        <f>B40/SUM($B$38:$B$42)*$B$37</f>
        <v>3.5006734654608423E-3</v>
      </c>
      <c r="D40" s="307">
        <f>C40*$D$110</f>
        <v>8051.5489705599375</v>
      </c>
      <c r="E40" s="308"/>
      <c r="G40" s="346"/>
      <c r="H40" s="346"/>
    </row>
    <row r="41" spans="1:10" x14ac:dyDescent="0.2">
      <c r="A41" s="322" t="s">
        <v>1036</v>
      </c>
      <c r="B41" s="305">
        <f>Orçamento!$U$1339</f>
        <v>35</v>
      </c>
      <c r="C41" s="306">
        <f>B41/SUM($B$38:$B$42)*$B$37</f>
        <v>7.7448527996921306E-4</v>
      </c>
      <c r="D41" s="307">
        <f>C41*$D$110</f>
        <v>1781.31614392919</v>
      </c>
      <c r="E41" s="308"/>
      <c r="G41" s="346"/>
      <c r="H41" s="346"/>
    </row>
    <row r="42" spans="1:10" x14ac:dyDescent="0.2">
      <c r="A42" s="323" t="s">
        <v>1037</v>
      </c>
      <c r="B42" s="309">
        <f>Orçamento!$U$1365</f>
        <v>40.24</v>
      </c>
      <c r="C42" s="310">
        <f>B42/SUM($B$38:$B$42)*$B$37</f>
        <v>8.9043679045603243E-4</v>
      </c>
      <c r="D42" s="311">
        <f>C42*$D$110</f>
        <v>2048.0046180488744</v>
      </c>
      <c r="E42" s="312"/>
      <c r="G42" s="346"/>
      <c r="H42" s="346"/>
    </row>
    <row r="43" spans="1:10" x14ac:dyDescent="0.2">
      <c r="A43" s="379"/>
      <c r="B43" s="384">
        <f>$B$30*0.14</f>
        <v>1.6100000000000003E-2</v>
      </c>
      <c r="C43" s="381"/>
      <c r="D43" s="382"/>
      <c r="E43" s="383"/>
      <c r="G43" s="345"/>
      <c r="H43" s="346"/>
    </row>
    <row r="44" spans="1:10" x14ac:dyDescent="0.2">
      <c r="A44" s="321" t="s">
        <v>1038</v>
      </c>
      <c r="B44" s="301">
        <v>14.53</v>
      </c>
      <c r="C44" s="302">
        <f>B44/SUM($B$44:$B$48)*$B$43</f>
        <v>1.0769404290580981E-3</v>
      </c>
      <c r="D44" s="303">
        <f>C44*$D$110</f>
        <v>2476.9629868336256</v>
      </c>
      <c r="E44" s="304"/>
      <c r="G44" s="345" cm="1">
        <f t="array" ref="G44">SUM(D44:D48/SUM(B44:B48))</f>
        <v>170.47233219777192</v>
      </c>
      <c r="H44" s="346" t="str">
        <f>Insumos!A275</f>
        <v>MAO DE OBRA PARA EMASSAMENTO EM TETO</v>
      </c>
      <c r="I44">
        <f ca="1">SUMIFS(Orçamento!$Z$10:$Z$2148,Orçamento!$S$10:$S$2148,'Custos Serviços'!H44)</f>
        <v>37030.000000000007</v>
      </c>
      <c r="J44" s="378"/>
    </row>
    <row r="45" spans="1:10" x14ac:dyDescent="0.2">
      <c r="A45" s="322" t="s">
        <v>1039</v>
      </c>
      <c r="B45" s="305">
        <v>53.43</v>
      </c>
      <c r="C45" s="306">
        <f>B45/SUM($B$44:$B$48)*$B$43</f>
        <v>3.960146395359544E-3</v>
      </c>
      <c r="D45" s="307">
        <f>C45*$D$110</f>
        <v>9108.3367093269517</v>
      </c>
      <c r="E45" s="308"/>
      <c r="G45" s="346"/>
      <c r="H45" s="346"/>
    </row>
    <row r="46" spans="1:10" x14ac:dyDescent="0.2">
      <c r="A46" s="322" t="s">
        <v>1040</v>
      </c>
      <c r="B46" s="305">
        <v>108.5</v>
      </c>
      <c r="C46" s="306">
        <f>B46/SUM($B$44:$B$48)*$B$43</f>
        <v>8.0418469754166312E-3</v>
      </c>
      <c r="D46" s="307">
        <f>C46*$D$110</f>
        <v>18496.24804345825</v>
      </c>
      <c r="E46" s="308"/>
      <c r="G46" s="346"/>
      <c r="H46" s="346"/>
    </row>
    <row r="47" spans="1:10" x14ac:dyDescent="0.2">
      <c r="A47" s="322" t="s">
        <v>1041</v>
      </c>
      <c r="B47" s="305">
        <v>16.579999999999998</v>
      </c>
      <c r="C47" s="306">
        <f>B47/SUM($B$44:$B$48)*$B$43</f>
        <v>1.2288831599300252E-3</v>
      </c>
      <c r="D47" s="307">
        <f>C47*$D$110</f>
        <v>2826.4312678390579</v>
      </c>
      <c r="E47" s="308"/>
      <c r="G47" s="346"/>
      <c r="H47" s="346"/>
    </row>
    <row r="48" spans="1:10" x14ac:dyDescent="0.2">
      <c r="A48" s="323" t="s">
        <v>1042</v>
      </c>
      <c r="B48" s="309">
        <v>24.18</v>
      </c>
      <c r="C48" s="310">
        <f>B48/SUM($B$44:$B$48)*$B$43</f>
        <v>1.7921830402357064E-3</v>
      </c>
      <c r="D48" s="311">
        <f>C48*$D$110</f>
        <v>4122.020992542125</v>
      </c>
      <c r="E48" s="312"/>
      <c r="G48" s="346"/>
      <c r="H48" s="346"/>
    </row>
    <row r="49" spans="1:10" x14ac:dyDescent="0.2">
      <c r="A49" s="379"/>
      <c r="B49" s="384">
        <f>$B$30*0.06</f>
        <v>6.8999999999999999E-3</v>
      </c>
      <c r="C49" s="381"/>
      <c r="D49" s="382"/>
      <c r="E49" s="383"/>
      <c r="G49" s="345"/>
      <c r="H49" s="346"/>
    </row>
    <row r="50" spans="1:10" x14ac:dyDescent="0.2">
      <c r="A50" s="321" t="s">
        <v>1046</v>
      </c>
      <c r="B50" s="301">
        <v>280.08</v>
      </c>
      <c r="C50" s="302">
        <f>B50/SUM($B$50:$B$54)*$B$49</f>
        <v>6.165620214395099E-3</v>
      </c>
      <c r="D50" s="303">
        <f>C50*$D$110</f>
        <v>14180.926493108727</v>
      </c>
      <c r="E50" s="304"/>
      <c r="G50" s="345" cm="1">
        <f t="array" ref="G50">SUM(D50:D54/SUM(B50:B54))</f>
        <v>50.631699846860634</v>
      </c>
      <c r="H50" s="346" t="str">
        <f>Insumos!A274</f>
        <v>MAO DE OBRA PARA ESTUCAMENTO DE ESTRUTURA DE CONCRETO EM TETO</v>
      </c>
      <c r="I50">
        <f ca="1">SUMIFS(Orçamento!$Z$10:$Z$2148,Orçamento!$S$10:$S$2148,'Custos Serviços'!H50)</f>
        <v>15869.999999999996</v>
      </c>
      <c r="J50" s="378"/>
    </row>
    <row r="51" spans="1:10" x14ac:dyDescent="0.2">
      <c r="A51" s="322" t="s">
        <v>1047</v>
      </c>
      <c r="B51" s="305">
        <v>33.36</v>
      </c>
      <c r="C51" s="306">
        <f>B51/SUM($B$50:$B$54)*$B$49</f>
        <v>7.3437978560490043E-4</v>
      </c>
      <c r="D51" s="307">
        <f>C51*$D$110</f>
        <v>1689.0735068912709</v>
      </c>
      <c r="E51" s="308"/>
      <c r="G51" s="346"/>
      <c r="H51" s="346"/>
    </row>
    <row r="52" spans="1:10" x14ac:dyDescent="0.2">
      <c r="A52" s="322" t="s">
        <v>1048</v>
      </c>
      <c r="B52" s="305">
        <v>0</v>
      </c>
      <c r="C52" s="306">
        <f>B52/SUM($B$50:$B$54)*$B$49</f>
        <v>0</v>
      </c>
      <c r="D52" s="307">
        <f>C52*$D$110</f>
        <v>0</v>
      </c>
      <c r="E52" s="308"/>
      <c r="G52" s="346"/>
      <c r="H52" s="346"/>
    </row>
    <row r="53" spans="1:10" x14ac:dyDescent="0.2">
      <c r="A53" s="322" t="s">
        <v>1049</v>
      </c>
      <c r="B53" s="305">
        <v>0</v>
      </c>
      <c r="C53" s="306">
        <f>B53/SUM($B$50:$B$54)*$B$49</f>
        <v>0</v>
      </c>
      <c r="D53" s="307">
        <f>C53*$D$110</f>
        <v>0</v>
      </c>
      <c r="E53" s="308"/>
      <c r="G53" s="346"/>
      <c r="H53" s="346"/>
    </row>
    <row r="54" spans="1:10" x14ac:dyDescent="0.2">
      <c r="A54" s="323" t="s">
        <v>1050</v>
      </c>
      <c r="B54" s="309">
        <v>0</v>
      </c>
      <c r="C54" s="310">
        <f>B54/SUM($B$50:$B$54)*$B$49</f>
        <v>0</v>
      </c>
      <c r="D54" s="311">
        <f>C54*$D$110</f>
        <v>0</v>
      </c>
      <c r="E54" s="312"/>
      <c r="G54" s="346"/>
      <c r="H54" s="346"/>
    </row>
    <row r="55" spans="1:10" x14ac:dyDescent="0.2">
      <c r="A55" s="379"/>
      <c r="B55" s="384">
        <f>$B$30*0.15</f>
        <v>1.7250000000000001E-2</v>
      </c>
      <c r="C55" s="381"/>
      <c r="D55" s="382"/>
      <c r="E55" s="383"/>
      <c r="G55" s="346"/>
      <c r="H55" s="346"/>
    </row>
    <row r="56" spans="1:10" x14ac:dyDescent="0.2">
      <c r="A56" s="321" t="s">
        <v>783</v>
      </c>
      <c r="B56" s="301">
        <f>Orçamento!$U$1494+Orçamento!U1496</f>
        <v>372.98</v>
      </c>
      <c r="C56" s="302">
        <f>B56/SUM($B$56:$B$60)*$B$55</f>
        <v>3.5636808259619703E-3</v>
      </c>
      <c r="D56" s="303">
        <f>C56*$D$110</f>
        <v>8196.4658997125316</v>
      </c>
      <c r="E56" s="304"/>
      <c r="G56" s="345" cm="1">
        <f t="array" ref="G56">SUM(D56:D60/SUM(B56:B60))</f>
        <v>21.975617726721353</v>
      </c>
      <c r="H56" s="346" t="str">
        <f>Insumos!A276</f>
        <v>MAO DE OBRA EXECUCAO CONTRAPISO COMUM</v>
      </c>
      <c r="I56">
        <f ca="1">SUMIFS(Orçamento!$Z$10:$Z$2148,Orçamento!$S$10:$S$2148,'Custos Serviços'!H56)</f>
        <v>39010.45731994394</v>
      </c>
      <c r="J56" s="378"/>
    </row>
    <row r="57" spans="1:10" x14ac:dyDescent="0.2">
      <c r="A57" s="322" t="s">
        <v>784</v>
      </c>
      <c r="B57" s="305">
        <f>Orçamento!$U$1566</f>
        <v>304.23</v>
      </c>
      <c r="C57" s="306">
        <f>B57/SUM($B$56:$B$60)*$B$55</f>
        <v>2.9068009482610601E-3</v>
      </c>
      <c r="D57" s="307">
        <f>C57*$D$110</f>
        <v>6685.6421810004385</v>
      </c>
      <c r="E57" s="308"/>
      <c r="G57" s="346"/>
      <c r="H57" s="346" t="str">
        <f>+Insumos!A279</f>
        <v>MAO DE OBRA PARA EXECUCAO DE PISO CIMENTADO</v>
      </c>
      <c r="I57">
        <f ca="1">SUMIFS(Orçamento!$Z$10:$Z$2148,Orçamento!$S$10:$S$2148,'Custos Serviços'!H57)</f>
        <v>664.54268005605365</v>
      </c>
    </row>
    <row r="58" spans="1:10" x14ac:dyDescent="0.2">
      <c r="A58" s="322" t="s">
        <v>785</v>
      </c>
      <c r="B58" s="305">
        <f>Orçamento!$U$1629</f>
        <v>951.48</v>
      </c>
      <c r="C58" s="306">
        <f>B58/SUM($B$56:$B$60)*$B$55</f>
        <v>9.0910264150525361E-3</v>
      </c>
      <c r="D58" s="307">
        <f>C58*$D$110</f>
        <v>20909.360754620833</v>
      </c>
      <c r="E58" s="308"/>
      <c r="G58" s="346"/>
      <c r="H58" s="346"/>
    </row>
    <row r="59" spans="1:10" x14ac:dyDescent="0.2">
      <c r="A59" s="322" t="s">
        <v>786</v>
      </c>
      <c r="B59" s="305">
        <f>Orçamento!$U$1697</f>
        <v>88.16</v>
      </c>
      <c r="C59" s="306">
        <f>B59/SUM($B$56:$B$60)*$B$55</f>
        <v>8.4233498208163241E-4</v>
      </c>
      <c r="D59" s="307">
        <f>C59*$D$110</f>
        <v>1937.3704587877546</v>
      </c>
      <c r="E59" s="308"/>
      <c r="G59" s="346"/>
      <c r="H59" s="346"/>
    </row>
    <row r="60" spans="1:10" x14ac:dyDescent="0.2">
      <c r="A60" s="323" t="s">
        <v>787</v>
      </c>
      <c r="B60" s="309">
        <f>Orçamento!$U$1722</f>
        <v>88.559999999999988</v>
      </c>
      <c r="C60" s="310">
        <f>B60/SUM($B$56:$B$60)*$B$55</f>
        <v>8.4615682864280122E-4</v>
      </c>
      <c r="D60" s="311">
        <f>C60*$D$110</f>
        <v>1946.1607058784427</v>
      </c>
      <c r="E60" s="312"/>
      <c r="G60" s="346"/>
      <c r="H60" s="346"/>
    </row>
    <row r="61" spans="1:10" x14ac:dyDescent="0.2">
      <c r="A61" s="295" t="s">
        <v>1031</v>
      </c>
      <c r="B61" s="296">
        <v>8.1000000000000003E-2</v>
      </c>
      <c r="C61" s="297">
        <f>B61+C30</f>
        <v>0.75049999999999994</v>
      </c>
      <c r="D61" s="298">
        <f>B61*$D$110</f>
        <v>186300</v>
      </c>
      <c r="E61" s="298">
        <f>C61*$E$110</f>
        <v>1726149.9999999998</v>
      </c>
      <c r="G61" s="345">
        <f>D62/SUM(B62)</f>
        <v>99.198636884002028</v>
      </c>
      <c r="H61" s="346"/>
    </row>
    <row r="62" spans="1:10" x14ac:dyDescent="0.2">
      <c r="A62" s="321" t="s">
        <v>771</v>
      </c>
      <c r="B62" s="301">
        <v>1878.05</v>
      </c>
      <c r="C62" s="303">
        <f>B61</f>
        <v>8.1000000000000003E-2</v>
      </c>
      <c r="D62" s="303">
        <f>C62*$D$110</f>
        <v>186300</v>
      </c>
      <c r="E62" s="304"/>
      <c r="G62" s="346"/>
      <c r="H62" s="346" t="str">
        <f>Insumos!A271</f>
        <v>MAO DE OBRA PARA CHAPISCO E REBOCO EXTERNOS</v>
      </c>
      <c r="I62">
        <f ca="1">SUMIFS(Orçamento!$Z$10:$Z$2148,Orçamento!$S$10:$S$2148,'Custos Serviços'!H62)</f>
        <v>186300</v>
      </c>
      <c r="J62" s="378">
        <f ca="1">I62-D62</f>
        <v>0</v>
      </c>
    </row>
    <row r="63" spans="1:10" x14ac:dyDescent="0.2">
      <c r="A63" s="295" t="s">
        <v>628</v>
      </c>
      <c r="B63" s="296">
        <v>1.0500000000000001E-2</v>
      </c>
      <c r="C63" s="297">
        <f>B63+C61</f>
        <v>0.7609999999999999</v>
      </c>
      <c r="D63" s="298">
        <f>B63*$D$110</f>
        <v>24150</v>
      </c>
      <c r="E63" s="298">
        <f>C63*$E$110</f>
        <v>1750299.9999999998</v>
      </c>
      <c r="G63" s="345"/>
      <c r="H63" s="346" t="str">
        <f>Insumos!A349</f>
        <v>MAO DE OBRA PARA INSTALAÇÃO DE COBERTURA/CALHAS E RUFOS</v>
      </c>
      <c r="I63">
        <f ca="1">SUMIFS(Orçamento!$Z$10:$Z$2148,Orçamento!$S$10:$S$2148,'Custos Serviços'!H63)</f>
        <v>24150</v>
      </c>
      <c r="J63" s="378">
        <f ca="1">I63-D63</f>
        <v>0</v>
      </c>
    </row>
    <row r="64" spans="1:10" x14ac:dyDescent="0.2">
      <c r="A64" s="295" t="s">
        <v>629</v>
      </c>
      <c r="B64" s="296">
        <v>8.2000000000000003E-2</v>
      </c>
      <c r="C64" s="297">
        <f>B64+C63</f>
        <v>0.84299999999999986</v>
      </c>
      <c r="D64" s="298">
        <f>B64*$D$110</f>
        <v>188600</v>
      </c>
      <c r="E64" s="298">
        <f>C64*$E$110</f>
        <v>1938899.9999999998</v>
      </c>
      <c r="G64" s="346"/>
      <c r="H64" s="346"/>
      <c r="J64" s="378">
        <f ca="1">SUM(I65:I79)-D64</f>
        <v>0</v>
      </c>
    </row>
    <row r="65" spans="1:10" x14ac:dyDescent="0.2">
      <c r="A65" s="321" t="s">
        <v>772</v>
      </c>
      <c r="B65" s="301">
        <f>Orçamento!U$1239</f>
        <v>32.5</v>
      </c>
      <c r="C65" s="302">
        <f t="shared" ref="C65:C74" si="1">B65/SUM($B$65:$B$74)*$B$64*0.95</f>
        <v>1.03874337386966E-3</v>
      </c>
      <c r="D65" s="303">
        <f t="shared" ref="D65:D79" si="2">C65*$D$110</f>
        <v>2389.1097599002183</v>
      </c>
      <c r="E65" s="304"/>
      <c r="G65" s="346">
        <f>SUM(D65:D69)/SUM(B65:B69)</f>
        <v>73.511069535391329</v>
      </c>
      <c r="H65" s="346" t="str">
        <f>Insumos!A281</f>
        <v>MAO DE OBRA PARA COLOCACAO E REJUNTAMENTO DE AZULEJO</v>
      </c>
      <c r="I65">
        <f ca="1">SUMIFS(Orçamento!$Z$10:$Z$2148,Orçamento!$S$10:$S$2148,'Custos Serviços'!H65)</f>
        <v>55188.435453695056</v>
      </c>
    </row>
    <row r="66" spans="1:10" x14ac:dyDescent="0.2">
      <c r="A66" s="322" t="s">
        <v>773</v>
      </c>
      <c r="B66" s="305">
        <f>Orçamento!U$1271</f>
        <v>69.41</v>
      </c>
      <c r="C66" s="306">
        <f t="shared" si="1"/>
        <v>2.2184362332397876E-3</v>
      </c>
      <c r="D66" s="307">
        <f t="shared" si="2"/>
        <v>5102.4033364515117</v>
      </c>
      <c r="E66" s="308"/>
      <c r="G66" s="346"/>
      <c r="H66" s="346"/>
    </row>
    <row r="67" spans="1:10" x14ac:dyDescent="0.2">
      <c r="A67" s="322" t="s">
        <v>774</v>
      </c>
      <c r="B67" s="305">
        <f>Orçamento!U$1303</f>
        <v>589.71</v>
      </c>
      <c r="C67" s="306">
        <f t="shared" si="1"/>
        <v>1.8847918615528533E-2</v>
      </c>
      <c r="D67" s="307">
        <f t="shared" si="2"/>
        <v>43350.212815715626</v>
      </c>
      <c r="E67" s="308"/>
      <c r="G67" s="346"/>
      <c r="H67" s="346"/>
    </row>
    <row r="68" spans="1:10" x14ac:dyDescent="0.2">
      <c r="A68" s="322" t="s">
        <v>775</v>
      </c>
      <c r="B68" s="305">
        <f>Orçamento!U$1341</f>
        <v>59.13</v>
      </c>
      <c r="C68" s="306">
        <f t="shared" si="1"/>
        <v>1.8898737137511693E-3</v>
      </c>
      <c r="D68" s="307">
        <f t="shared" si="2"/>
        <v>4346.7095416276898</v>
      </c>
      <c r="E68" s="308"/>
      <c r="G68" s="346"/>
      <c r="H68" s="346"/>
    </row>
    <row r="69" spans="1:10" x14ac:dyDescent="0.2">
      <c r="A69" s="323" t="s">
        <v>776</v>
      </c>
      <c r="B69" s="309"/>
      <c r="C69" s="310">
        <f t="shared" si="1"/>
        <v>0</v>
      </c>
      <c r="D69" s="311">
        <f t="shared" si="2"/>
        <v>0</v>
      </c>
      <c r="E69" s="312"/>
      <c r="G69" s="346"/>
      <c r="H69" s="346"/>
    </row>
    <row r="70" spans="1:10" x14ac:dyDescent="0.2">
      <c r="A70" s="321" t="s">
        <v>783</v>
      </c>
      <c r="B70" s="301">
        <f>Orçamento!U1498+Orçamento!U1500</f>
        <v>309.02</v>
      </c>
      <c r="C70" s="302">
        <f t="shared" si="1"/>
        <v>9.8766916120985315E-3</v>
      </c>
      <c r="D70" s="303">
        <f t="shared" si="2"/>
        <v>22716.390707826624</v>
      </c>
      <c r="E70" s="304"/>
      <c r="G70" s="346">
        <f>SUM(D70:D74)/SUM(B70:B74)</f>
        <v>73.511069535391314</v>
      </c>
      <c r="H70" s="346" t="str">
        <f>Insumos!A282</f>
        <v>MAO DE OBRA PARA COLOCACAO E REJUNTAMENTO DE PISO CERAMICO</v>
      </c>
      <c r="I70">
        <f ca="1">SUMIFS(Orçamento!$Z$10:$Z$2148,Orçamento!$S$10:$S$2148,'Custos Serviços'!H70)</f>
        <v>35973.376987839096</v>
      </c>
      <c r="J70" s="378"/>
    </row>
    <row r="71" spans="1:10" x14ac:dyDescent="0.2">
      <c r="A71" s="322" t="s">
        <v>784</v>
      </c>
      <c r="B71" s="305">
        <f>Orçamento!U1568+Orçamento!U1570</f>
        <v>321.15000000000003</v>
      </c>
      <c r="C71" s="306">
        <f t="shared" si="1"/>
        <v>1.0264382600561272E-2</v>
      </c>
      <c r="D71" s="307">
        <f t="shared" si="2"/>
        <v>23608.079981290924</v>
      </c>
      <c r="E71" s="308"/>
      <c r="G71" s="346"/>
      <c r="H71" s="346" t="str">
        <f>+Insumos!A283</f>
        <v>MAO DE OBRA PARA COLOCACAO E REJUNTAMENTO DE PORCELANATO</v>
      </c>
      <c r="I71">
        <f ca="1">SUMIFS(Orçamento!$Z$10:$Z$2148,Orçamento!$S$10:$S$2148,'Custos Serviços'!H71)</f>
        <v>88008.187558465856</v>
      </c>
    </row>
    <row r="72" spans="1:10" x14ac:dyDescent="0.2">
      <c r="A72" s="322" t="s">
        <v>785</v>
      </c>
      <c r="B72" s="305">
        <f>Orçamento!U1631+Orçamento!U1633</f>
        <v>908.13</v>
      </c>
      <c r="C72" s="306">
        <f t="shared" si="1"/>
        <v>2.9025046772684748E-2</v>
      </c>
      <c r="D72" s="307">
        <f t="shared" si="2"/>
        <v>66757.607577174917</v>
      </c>
      <c r="E72" s="308"/>
      <c r="G72" s="346"/>
      <c r="H72" s="346"/>
    </row>
    <row r="73" spans="1:10" x14ac:dyDescent="0.2">
      <c r="A73" s="322" t="s">
        <v>786</v>
      </c>
      <c r="B73" s="305">
        <f>Orçamento!U1699+Orçamento!U1701</f>
        <v>148.26999999999998</v>
      </c>
      <c r="C73" s="306">
        <f t="shared" si="1"/>
        <v>4.7389070782662916E-3</v>
      </c>
      <c r="D73" s="307">
        <f t="shared" si="2"/>
        <v>10899.48628001247</v>
      </c>
      <c r="E73" s="308"/>
      <c r="G73" s="346"/>
      <c r="H73" s="346"/>
    </row>
    <row r="74" spans="1:10" x14ac:dyDescent="0.2">
      <c r="A74" s="323" t="s">
        <v>787</v>
      </c>
      <c r="B74" s="309"/>
      <c r="C74" s="310">
        <f t="shared" si="1"/>
        <v>0</v>
      </c>
      <c r="D74" s="311">
        <f t="shared" si="2"/>
        <v>0</v>
      </c>
      <c r="E74" s="312"/>
      <c r="G74" s="346"/>
      <c r="H74" s="346"/>
    </row>
    <row r="75" spans="1:10" x14ac:dyDescent="0.2">
      <c r="A75" s="321" t="s">
        <v>1114</v>
      </c>
      <c r="B75" s="301">
        <f>Orçamento!$U$1502</f>
        <v>116.98</v>
      </c>
      <c r="C75" s="302">
        <f>B75/SUM($B$75:$B$79)*$B$64*0.05</f>
        <v>1.0568032460886419E-3</v>
      </c>
      <c r="D75" s="303">
        <f t="shared" si="2"/>
        <v>2430.6474660038762</v>
      </c>
      <c r="E75" s="304"/>
      <c r="G75" s="346">
        <f>SUM(D75:D79)/SUM(B75:B79)</f>
        <v>20.778316515676838</v>
      </c>
      <c r="H75" s="346" t="str">
        <f>Insumos!A264</f>
        <v>MAO DE OBRA PARA COLOCACAO DE RODAPE CERAMICO E PORCELANATO</v>
      </c>
      <c r="I75">
        <f ca="1">SUMIFS(Orçamento!$Z$10:$Z$2148,Orçamento!$S$10:$S$2148,'Custos Serviços'!H75)</f>
        <v>9430.0000000000036</v>
      </c>
      <c r="J75" s="378"/>
    </row>
    <row r="76" spans="1:10" x14ac:dyDescent="0.2">
      <c r="A76" s="322" t="s">
        <v>1115</v>
      </c>
      <c r="B76" s="305">
        <f>Orçamento!$U$1574</f>
        <v>160.27000000000001</v>
      </c>
      <c r="C76" s="306">
        <f>B76/SUM($B$75:$B$79)*$B$64*0.05</f>
        <v>1.447887299116316E-3</v>
      </c>
      <c r="D76" s="307">
        <f t="shared" si="2"/>
        <v>3330.1407879675271</v>
      </c>
      <c r="E76" s="308"/>
      <c r="G76" s="346"/>
      <c r="H76" s="346"/>
    </row>
    <row r="77" spans="1:10" x14ac:dyDescent="0.2">
      <c r="A77" s="322" t="s">
        <v>1116</v>
      </c>
      <c r="B77" s="305">
        <f>Orçamento!$U$1635</f>
        <v>108.7</v>
      </c>
      <c r="C77" s="306">
        <f>B77/SUM($B$75:$B$79)*$B$64*0.05</f>
        <v>9.8200130663220523E-4</v>
      </c>
      <c r="D77" s="307">
        <f t="shared" si="2"/>
        <v>2258.6030052540718</v>
      </c>
      <c r="E77" s="308"/>
      <c r="G77" s="346"/>
      <c r="H77" s="346"/>
    </row>
    <row r="78" spans="1:10" x14ac:dyDescent="0.2">
      <c r="A78" s="322" t="s">
        <v>1117</v>
      </c>
      <c r="B78" s="305">
        <f>Orçamento!$U$1703</f>
        <v>67.888499999999993</v>
      </c>
      <c r="C78" s="306">
        <f>B78/SUM($B$75:$B$79)*$B$64*0.05</f>
        <v>6.1330814816283781E-4</v>
      </c>
      <c r="D78" s="307">
        <f t="shared" si="2"/>
        <v>1410.608740774527</v>
      </c>
      <c r="E78" s="308"/>
      <c r="G78" s="346"/>
      <c r="H78" s="346"/>
    </row>
    <row r="79" spans="1:10" x14ac:dyDescent="0.2">
      <c r="A79" s="323" t="s">
        <v>1118</v>
      </c>
      <c r="B79" s="309"/>
      <c r="C79" s="310">
        <f>B79/SUM($B$75:$B$79)*$B$64*0.05</f>
        <v>0</v>
      </c>
      <c r="D79" s="311">
        <f t="shared" si="2"/>
        <v>0</v>
      </c>
      <c r="E79" s="312"/>
      <c r="G79" s="346"/>
      <c r="H79" s="346"/>
    </row>
    <row r="80" spans="1:10" x14ac:dyDescent="0.2">
      <c r="A80" s="295" t="s">
        <v>1125</v>
      </c>
      <c r="B80" s="296">
        <v>5.0000000000000001E-3</v>
      </c>
      <c r="C80" s="297">
        <f>B80+C64</f>
        <v>0.84799999999999986</v>
      </c>
      <c r="D80" s="298">
        <f>B80*$D$110</f>
        <v>11500</v>
      </c>
      <c r="E80" s="298">
        <f>C80*$E$110</f>
        <v>1950399.9999999998</v>
      </c>
      <c r="G80" s="345">
        <f>D80/SUM(B81)</f>
        <v>45.422229244016116</v>
      </c>
      <c r="H80" s="346" t="str">
        <f>Orçamento!$S$2120</f>
        <v>MAO DE OBRA PARA COLOCACAO E REJUNTAMENTO DE PORCELANATO EXTERNO</v>
      </c>
      <c r="I80">
        <f ca="1">SUMIFS(Orçamento!$Z$10:$Z$2148,Orçamento!$S$10:$S$2148,'Custos Serviços'!H80)</f>
        <v>11500</v>
      </c>
      <c r="J80" s="378">
        <f ca="1">I80-D80</f>
        <v>0</v>
      </c>
    </row>
    <row r="81" spans="1:10" x14ac:dyDescent="0.2">
      <c r="A81" s="321" t="s">
        <v>771</v>
      </c>
      <c r="B81" s="301">
        <f>Orçamento!U2108</f>
        <v>253.17999999999998</v>
      </c>
      <c r="C81" s="374">
        <f>B80</f>
        <v>5.0000000000000001E-3</v>
      </c>
      <c r="D81" s="303">
        <f>C81*$D$110</f>
        <v>11500</v>
      </c>
      <c r="E81" s="304"/>
      <c r="G81" s="346"/>
      <c r="H81" s="346"/>
    </row>
    <row r="82" spans="1:10" x14ac:dyDescent="0.2">
      <c r="A82" s="295" t="s">
        <v>630</v>
      </c>
      <c r="B82" s="296">
        <v>0.12</v>
      </c>
      <c r="C82" s="297">
        <f>B82+C80</f>
        <v>0.96799999999999986</v>
      </c>
      <c r="D82" s="298">
        <f>B82*$D$110</f>
        <v>276000</v>
      </c>
      <c r="E82" s="298">
        <f>C82*$E$110</f>
        <v>2226399.9999999995</v>
      </c>
      <c r="G82" s="345"/>
      <c r="H82" s="346"/>
      <c r="J82" s="378">
        <f ca="1">SUM(I83:I102)-D82</f>
        <v>0</v>
      </c>
    </row>
    <row r="83" spans="1:10" x14ac:dyDescent="0.2">
      <c r="A83" s="379"/>
      <c r="B83" s="380">
        <f>$B$82*0.47</f>
        <v>5.6399999999999992E-2</v>
      </c>
      <c r="C83" s="381"/>
      <c r="D83" s="382"/>
      <c r="E83" s="383"/>
      <c r="G83" s="346"/>
      <c r="H83" s="346"/>
    </row>
    <row r="84" spans="1:10" x14ac:dyDescent="0.2">
      <c r="A84" s="321" t="s">
        <v>772</v>
      </c>
      <c r="B84" s="301">
        <f>Orçamento!$U$1742</f>
        <v>452.16</v>
      </c>
      <c r="C84" s="302">
        <f>B84/SUM($B$84:$B$88)*$B$83</f>
        <v>7.5073283947477195E-3</v>
      </c>
      <c r="D84" s="303">
        <f>C84*$D$110</f>
        <v>17266.855307919755</v>
      </c>
      <c r="E84" s="304"/>
      <c r="G84" s="345">
        <f>SUM(D84:D88)/SUM(B84:B88)</f>
        <v>38.187489622964783</v>
      </c>
      <c r="H84" s="346" t="str">
        <f>Insumos!A355</f>
        <v>MAO DE OBRA APLICACAO DE PINTURA EM PAREDES - 3 DEMAO</v>
      </c>
      <c r="I84">
        <f ca="1">SUMIFS(Orçamento!$Z$10:$Z$2148,Orçamento!$S$10:$S$2148,'Custos Serviços'!H84)</f>
        <v>129720</v>
      </c>
    </row>
    <row r="85" spans="1:10" x14ac:dyDescent="0.2">
      <c r="A85" s="322" t="s">
        <v>773</v>
      </c>
      <c r="B85" s="305">
        <f>Orçamento!$U$1767</f>
        <v>353.24400000000003</v>
      </c>
      <c r="C85" s="306">
        <f>B85/SUM($B$84:$B$88)*$B$83</f>
        <v>5.8650006888585089E-3</v>
      </c>
      <c r="D85" s="307">
        <f>C85*$D$110</f>
        <v>13489.50158437457</v>
      </c>
      <c r="E85" s="308"/>
      <c r="G85" s="346"/>
      <c r="H85" s="346"/>
    </row>
    <row r="86" spans="1:10" x14ac:dyDescent="0.2">
      <c r="A86" s="322" t="s">
        <v>774</v>
      </c>
      <c r="B86" s="305">
        <f>Orçamento!$U$1789</f>
        <v>2101.9299999999998</v>
      </c>
      <c r="C86" s="306">
        <f>B86/SUM($B$84:$B$88)*$B$83</f>
        <v>3.4898882636173197E-2</v>
      </c>
      <c r="D86" s="307">
        <f>C86*$D$110</f>
        <v>80267.43006319835</v>
      </c>
      <c r="E86" s="308"/>
      <c r="G86" s="346"/>
      <c r="H86" s="346"/>
    </row>
    <row r="87" spans="1:10" x14ac:dyDescent="0.2">
      <c r="A87" s="322" t="s">
        <v>775</v>
      </c>
      <c r="B87" s="305">
        <f>Orçamento!$U$1811</f>
        <v>255.16</v>
      </c>
      <c r="C87" s="306">
        <f>B87/SUM($B$84:$B$88)*$B$83</f>
        <v>4.236486892258997E-3</v>
      </c>
      <c r="D87" s="307">
        <f>C87*$D$110</f>
        <v>9743.9198521956932</v>
      </c>
      <c r="E87" s="308"/>
      <c r="G87" s="346"/>
      <c r="H87" s="346"/>
    </row>
    <row r="88" spans="1:10" x14ac:dyDescent="0.2">
      <c r="A88" s="323" t="s">
        <v>776</v>
      </c>
      <c r="B88" s="309">
        <f>Orçamento!$U$1833</f>
        <v>234.43</v>
      </c>
      <c r="C88" s="310">
        <f>B88/SUM($B$84:$B$88)*$B$83</f>
        <v>3.8923013879615799E-3</v>
      </c>
      <c r="D88" s="311">
        <f>C88*$D$110</f>
        <v>8952.2931923116339</v>
      </c>
      <c r="E88" s="312"/>
      <c r="G88" s="346"/>
      <c r="H88" s="346"/>
    </row>
    <row r="89" spans="1:10" x14ac:dyDescent="0.2">
      <c r="A89" s="379"/>
      <c r="B89" s="380">
        <f>$B$82*0.01</f>
        <v>1.1999999999999999E-3</v>
      </c>
      <c r="C89" s="381"/>
      <c r="D89" s="382"/>
      <c r="E89" s="383"/>
      <c r="G89" s="346"/>
      <c r="H89" s="346"/>
    </row>
    <row r="90" spans="1:10" x14ac:dyDescent="0.2">
      <c r="A90" s="321" t="s">
        <v>1170</v>
      </c>
      <c r="B90" s="301">
        <f>Orçamento!$U$1746</f>
        <v>30.3</v>
      </c>
      <c r="C90" s="302">
        <f>B90/SUM($B$90:$B$94)*$B$89</f>
        <v>5.9225571894892532E-4</v>
      </c>
      <c r="D90" s="303">
        <f>C90*$D$110</f>
        <v>1362.1881535825282</v>
      </c>
      <c r="E90" s="304"/>
      <c r="G90" s="345">
        <f>SUM(D90:D94)/SUM(B90:B94)</f>
        <v>44.956704738697304</v>
      </c>
      <c r="H90" s="346" t="str">
        <f>Insumos!A356</f>
        <v>MAO DE OBRA PARA PINTURA ACRILICA EM PISO</v>
      </c>
      <c r="I90">
        <f ca="1">SUMIFS(Orçamento!$Z$10:$Z$2148,Orçamento!$S$10:$S$2148,'Custos Serviços'!H90)</f>
        <v>778.30845511822326</v>
      </c>
    </row>
    <row r="91" spans="1:10" x14ac:dyDescent="0.2">
      <c r="A91" s="322" t="s">
        <v>784</v>
      </c>
      <c r="B91" s="305">
        <f>Orçamento!U1771</f>
        <v>13.78</v>
      </c>
      <c r="C91" s="306">
        <f>B91/SUM($B$90:$B$94)*$B$89</f>
        <v>2.6934930056489074E-4</v>
      </c>
      <c r="D91" s="307">
        <f>C91*$D$110</f>
        <v>619.50339129924873</v>
      </c>
      <c r="E91" s="308"/>
      <c r="G91" s="346"/>
      <c r="H91" s="346" t="str">
        <f>+Insumos!A363</f>
        <v>MAO DE OBRA PARA PINTURA EPOXI EM PISO</v>
      </c>
      <c r="I91">
        <f ca="1">SUMIFS(Orçamento!$Z$10:$Z$2148,Orçamento!$S$10:$S$2148,'Custos Serviços'!H91)</f>
        <v>1981.6915448817772</v>
      </c>
    </row>
    <row r="92" spans="1:10" x14ac:dyDescent="0.2">
      <c r="A92" s="322" t="s">
        <v>785</v>
      </c>
      <c r="B92" s="305">
        <v>0</v>
      </c>
      <c r="C92" s="306">
        <f>B92/SUM($B$90:$B$94)*$B$89</f>
        <v>0</v>
      </c>
      <c r="D92" s="307">
        <f>C92*$D$110</f>
        <v>0</v>
      </c>
      <c r="E92" s="308"/>
      <c r="G92" s="346"/>
      <c r="H92" s="346"/>
    </row>
    <row r="93" spans="1:10" x14ac:dyDescent="0.2">
      <c r="A93" s="322" t="s">
        <v>786</v>
      </c>
      <c r="B93" s="305">
        <f>Orçamento!$U$1809</f>
        <v>7.6806000000000001</v>
      </c>
      <c r="C93" s="306">
        <f>B93/SUM($B$90:$B$94)*$B$89</f>
        <v>1.5012802887653845E-4</v>
      </c>
      <c r="D93" s="307">
        <f>C93*$D$110</f>
        <v>345.2944664160384</v>
      </c>
      <c r="E93" s="308"/>
      <c r="G93" s="346"/>
      <c r="H93" s="346"/>
    </row>
    <row r="94" spans="1:10" x14ac:dyDescent="0.2">
      <c r="A94" s="323" t="s">
        <v>787</v>
      </c>
      <c r="B94" s="309">
        <f>Orçamento!$U$1831</f>
        <v>9.6318000000000001</v>
      </c>
      <c r="C94" s="310">
        <f>B94/SUM($B$90:$B$94)*$B$89</f>
        <v>1.882669516096455E-4</v>
      </c>
      <c r="D94" s="311">
        <f>C94*$D$110</f>
        <v>433.01398870218463</v>
      </c>
      <c r="E94" s="312"/>
      <c r="G94" s="346"/>
      <c r="H94" s="346"/>
    </row>
    <row r="95" spans="1:10" x14ac:dyDescent="0.2">
      <c r="A95" s="379"/>
      <c r="B95" s="380">
        <f>$B$82*0.3</f>
        <v>3.5999999999999997E-2</v>
      </c>
      <c r="C95" s="381"/>
      <c r="D95" s="382"/>
      <c r="E95" s="383"/>
      <c r="G95" s="346"/>
      <c r="H95" s="346"/>
    </row>
    <row r="96" spans="1:10" x14ac:dyDescent="0.2">
      <c r="A96" s="321" t="s">
        <v>1171</v>
      </c>
      <c r="B96" s="301">
        <f>Orçamento!$U$1744</f>
        <v>294.61</v>
      </c>
      <c r="C96" s="302">
        <f>B96/SUM($B$96:$B$100)*$B$95</f>
        <v>6.798125797209207E-3</v>
      </c>
      <c r="D96" s="303">
        <f>C96*$D$110</f>
        <v>15635.689333581176</v>
      </c>
      <c r="E96" s="304"/>
      <c r="G96" s="345">
        <f>SUM(D96:D100)/SUM(B96:B100)</f>
        <v>53.07250036855902</v>
      </c>
      <c r="H96" s="346" t="str">
        <f>Insumos!A354</f>
        <v>MAO DE OBRA PARA PINTURA LATEX ACRILICA EM TETO - 3 DEMAOS</v>
      </c>
      <c r="I96">
        <f ca="1">SUMIFS(Orçamento!$Z$10:$Z$2148,Orçamento!$S$10:$S$2148,'Custos Serviços'!H96)</f>
        <v>82799.999999999985</v>
      </c>
    </row>
    <row r="97" spans="1:10" x14ac:dyDescent="0.2">
      <c r="A97" s="322" t="s">
        <v>1172</v>
      </c>
      <c r="B97" s="305">
        <f>Orçamento!$U$1769</f>
        <v>196.96</v>
      </c>
      <c r="C97" s="306">
        <f>B97/SUM($B$96:$B$100)*$B$95</f>
        <v>4.5448520315614716E-3</v>
      </c>
      <c r="D97" s="307">
        <f>C97*$D$110</f>
        <v>10453.159672591384</v>
      </c>
      <c r="E97" s="308"/>
      <c r="G97" s="346"/>
      <c r="H97" s="346"/>
    </row>
    <row r="98" spans="1:10" x14ac:dyDescent="0.2">
      <c r="A98" s="322" t="s">
        <v>1173</v>
      </c>
      <c r="B98" s="305">
        <f>Orçamento!$U$1791</f>
        <v>952.09999999999991</v>
      </c>
      <c r="C98" s="306">
        <f>B98/SUM($B$96:$B$100)*$B$95</f>
        <v>2.1969707652567408E-2</v>
      </c>
      <c r="D98" s="307">
        <f>C98*$D$110</f>
        <v>50530.327600905039</v>
      </c>
      <c r="E98" s="308"/>
      <c r="G98" s="346"/>
      <c r="H98" s="346"/>
    </row>
    <row r="99" spans="1:10" x14ac:dyDescent="0.2">
      <c r="A99" s="322" t="s">
        <v>1174</v>
      </c>
      <c r="B99" s="305">
        <f>Orçamento!$U$1813</f>
        <v>92.28</v>
      </c>
      <c r="C99" s="306">
        <f>B99/SUM($B$96:$B$100)*$B$95</f>
        <v>2.1293610147872289E-3</v>
      </c>
      <c r="D99" s="307">
        <f>C99*$D$110</f>
        <v>4897.5303340106266</v>
      </c>
      <c r="E99" s="308"/>
      <c r="G99" s="346"/>
      <c r="H99" s="346"/>
    </row>
    <row r="100" spans="1:10" x14ac:dyDescent="0.2">
      <c r="A100" s="323" t="s">
        <v>1175</v>
      </c>
      <c r="B100" s="309">
        <f>Orçamento!$U$1835</f>
        <v>24.18</v>
      </c>
      <c r="C100" s="310">
        <f>B100/SUM($B$96:$B$100)*$B$95</f>
        <v>5.5795350387467704E-4</v>
      </c>
      <c r="D100" s="311">
        <f>C100*$D$110</f>
        <v>1283.2930589117573</v>
      </c>
      <c r="E100" s="312"/>
      <c r="G100" s="346"/>
      <c r="H100" s="346"/>
    </row>
    <row r="101" spans="1:10" x14ac:dyDescent="0.2">
      <c r="A101" s="379"/>
      <c r="B101" s="380">
        <f>$B$82*0.22</f>
        <v>2.64E-2</v>
      </c>
      <c r="C101" s="381"/>
      <c r="D101" s="382"/>
      <c r="E101" s="383"/>
      <c r="G101" s="346"/>
      <c r="H101" s="346"/>
    </row>
    <row r="102" spans="1:10" x14ac:dyDescent="0.2">
      <c r="A102" s="321" t="s">
        <v>771</v>
      </c>
      <c r="B102" s="301">
        <f>Orçamento!$U$2105</f>
        <v>1624.8700000000001</v>
      </c>
      <c r="C102" s="302">
        <f>B102/SUM($B$102)*$B$101</f>
        <v>2.64E-2</v>
      </c>
      <c r="D102" s="303">
        <f>C102*$D$110</f>
        <v>60720</v>
      </c>
      <c r="E102" s="304"/>
      <c r="G102" s="346">
        <f>D102/B102</f>
        <v>37.369143377624056</v>
      </c>
      <c r="H102" s="346" t="str">
        <f>Insumos!A353</f>
        <v>MAO DE OBRA PARA PINTURA ACRILICA EM PAREDES EXTERNAS - 2 DEMAOS</v>
      </c>
      <c r="I102">
        <f ca="1">SUMIFS(Orçamento!$Z$10:$Z$2148,Orçamento!$S$10:$S$2148,'Custos Serviços'!H102)</f>
        <v>60720.000000000007</v>
      </c>
    </row>
    <row r="103" spans="1:10" x14ac:dyDescent="0.2">
      <c r="A103" s="295" t="s">
        <v>631</v>
      </c>
      <c r="B103" s="296">
        <v>2.1999999999999999E-2</v>
      </c>
      <c r="C103" s="297">
        <f>B103+C82</f>
        <v>0.98999999999999988</v>
      </c>
      <c r="D103" s="298">
        <f>B103*$D$110</f>
        <v>50600</v>
      </c>
      <c r="E103" s="298">
        <f>C103*$E$110</f>
        <v>2276999.9999999995</v>
      </c>
      <c r="G103" s="345">
        <f>D103/SUM(B104:B108)</f>
        <v>0.97364519483968048</v>
      </c>
      <c r="H103" s="346" t="str">
        <f>Insumos!A303</f>
        <v>LOUÇAS E METAIS</v>
      </c>
      <c r="I103">
        <f ca="1">SUMIFS(Orçamento!$Z$10:$Z$2148,Orçamento!$S$10:$S$2148,'Custos Serviços'!H103)</f>
        <v>50600.000000000007</v>
      </c>
      <c r="J103" s="378">
        <f ca="1">I103-D103</f>
        <v>0</v>
      </c>
    </row>
    <row r="104" spans="1:10" x14ac:dyDescent="0.2">
      <c r="A104" s="321" t="s">
        <v>707</v>
      </c>
      <c r="B104" s="301">
        <v>55</v>
      </c>
      <c r="C104" s="302">
        <f>B104/SUM($B$104:$B$107)*$B$103</f>
        <v>2.3282819876601053E-5</v>
      </c>
      <c r="D104" s="303">
        <f>C104*$D$110</f>
        <v>53.550485716182422</v>
      </c>
      <c r="E104" s="304"/>
      <c r="G104" s="346"/>
      <c r="H104" s="346"/>
    </row>
    <row r="105" spans="1:10" x14ac:dyDescent="0.2">
      <c r="A105" s="322" t="s">
        <v>708</v>
      </c>
      <c r="B105" s="305">
        <v>9041.5400000000009</v>
      </c>
      <c r="C105" s="306">
        <f>B105/SUM($B$104:$B$107)*$B$103</f>
        <v>3.8275008586742452E-3</v>
      </c>
      <c r="D105" s="307">
        <f>C105*$D$110</f>
        <v>8803.2519749507646</v>
      </c>
      <c r="E105" s="308"/>
      <c r="G105" s="346"/>
      <c r="H105" s="346"/>
    </row>
    <row r="106" spans="1:10" x14ac:dyDescent="0.2">
      <c r="A106" s="322" t="s">
        <v>709</v>
      </c>
      <c r="B106" s="305">
        <v>34656.65</v>
      </c>
      <c r="C106" s="306">
        <f>B106/SUM($B$104:$B$107)*$B$103</f>
        <v>1.4670991626843745E-2</v>
      </c>
      <c r="D106" s="307">
        <f>C106*$D$110</f>
        <v>33743.280741740615</v>
      </c>
      <c r="E106" s="308"/>
      <c r="G106" s="345"/>
      <c r="H106" s="346"/>
    </row>
    <row r="107" spans="1:10" x14ac:dyDescent="0.2">
      <c r="A107" s="322" t="s">
        <v>710</v>
      </c>
      <c r="B107" s="305">
        <v>8216.4599999999991</v>
      </c>
      <c r="C107" s="306">
        <f>B107/SUM($B$104:$B$107)*$B$103</f>
        <v>3.4782246946054086E-3</v>
      </c>
      <c r="D107" s="307">
        <f>C107*$D$110</f>
        <v>7999.9167975924402</v>
      </c>
      <c r="E107" s="308"/>
      <c r="G107" s="346"/>
      <c r="H107" s="346"/>
    </row>
    <row r="108" spans="1:10" x14ac:dyDescent="0.2">
      <c r="A108" s="323" t="s">
        <v>711</v>
      </c>
      <c r="B108" s="309"/>
      <c r="C108" s="310"/>
      <c r="D108" s="311">
        <f>C108*$D$110</f>
        <v>0</v>
      </c>
      <c r="E108" s="312"/>
      <c r="G108" s="345"/>
      <c r="H108" s="346"/>
    </row>
    <row r="109" spans="1:10" x14ac:dyDescent="0.2">
      <c r="A109" s="295" t="s">
        <v>1028</v>
      </c>
      <c r="B109" s="296">
        <v>0.01</v>
      </c>
      <c r="C109" s="297">
        <f>B109+C103</f>
        <v>0.99999999999999989</v>
      </c>
      <c r="D109" s="298">
        <f>B109*$D$110</f>
        <v>23000</v>
      </c>
      <c r="E109" s="298">
        <f>C109*$E$110</f>
        <v>2299999.9999999995</v>
      </c>
      <c r="G109" s="346"/>
      <c r="H109" s="346" t="str">
        <f>Insumos!A352</f>
        <v>MAO DE OBRA PARA SERVIÇOS COMPLMENTARES E FINAIS DE OBRA</v>
      </c>
      <c r="I109">
        <f ca="1">SUMIFS(Orçamento!$Z$10:$Z$2148,Orçamento!$S$10:$S$2148,'Custos Serviços'!H109)</f>
        <v>23000</v>
      </c>
      <c r="J109" s="378">
        <f ca="1">I109-D109</f>
        <v>0</v>
      </c>
    </row>
    <row r="110" spans="1:10" x14ac:dyDescent="0.2">
      <c r="A110" s="299"/>
      <c r="B110" s="299"/>
      <c r="C110" s="299"/>
      <c r="D110" s="300">
        <v>2300000</v>
      </c>
      <c r="E110" s="300">
        <v>2300000</v>
      </c>
      <c r="G110" s="345"/>
      <c r="H110" s="346"/>
    </row>
    <row r="111" spans="1:10" x14ac:dyDescent="0.2">
      <c r="G111" s="346"/>
      <c r="H111" s="346">
        <f ca="1">SUM(I2:I110)</f>
        <v>2300000</v>
      </c>
    </row>
    <row r="112" spans="1:10" x14ac:dyDescent="0.2">
      <c r="C112" s="337">
        <f>100%-C109</f>
        <v>0</v>
      </c>
      <c r="G112" s="345"/>
      <c r="H112" s="346">
        <f ca="1">H111-D110</f>
        <v>0</v>
      </c>
    </row>
    <row r="113" spans="7:8" x14ac:dyDescent="0.2">
      <c r="G113" s="346"/>
      <c r="H113" s="346"/>
    </row>
    <row r="114" spans="7:8" x14ac:dyDescent="0.2">
      <c r="G114" s="345"/>
      <c r="H114" s="346"/>
    </row>
  </sheetData>
  <autoFilter ref="A2:E110" xr:uid="{196ADCDC-28D8-40EB-9190-994B05D0BB9E}"/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5323-2489-4DF1-BA6B-6F5BE4FC59D5}">
  <sheetPr codeName="Planilha3">
    <tabColor theme="6" tint="-0.249977111117893"/>
  </sheetPr>
  <dimension ref="A1:K398"/>
  <sheetViews>
    <sheetView showGridLines="0" topLeftCell="B1" workbookViewId="0">
      <pane ySplit="7" topLeftCell="A9" activePane="bottomLeft" state="frozen"/>
      <selection activeCell="D7" sqref="D7:K286"/>
      <selection pane="bottomLeft" activeCell="D342" sqref="D9:K342"/>
    </sheetView>
  </sheetViews>
  <sheetFormatPr defaultColWidth="9.140625" defaultRowHeight="9.6" customHeight="1" outlineLevelCol="1" x14ac:dyDescent="0.2"/>
  <cols>
    <col min="1" max="1" width="104.7109375" style="10" customWidth="1" outlineLevel="1"/>
    <col min="2" max="2" width="4.85546875" style="10" customWidth="1" outlineLevel="1"/>
    <col min="3" max="3" width="0.5703125" style="1" customWidth="1" outlineLevel="1" collapsed="1"/>
    <col min="4" max="4" width="6.28515625" style="11" customWidth="1"/>
    <col min="5" max="5" width="81.140625" style="1" bestFit="1" customWidth="1"/>
    <col min="7" max="7" width="13.5703125" style="3" customWidth="1"/>
    <col min="8" max="8" width="20.28515625" style="1" customWidth="1"/>
    <col min="9" max="9" width="18.28515625" style="2" customWidth="1"/>
    <col min="10" max="10" width="12.7109375" bestFit="1" customWidth="1"/>
  </cols>
  <sheetData>
    <row r="1" spans="1:11" ht="15.75" customHeight="1" x14ac:dyDescent="0.2">
      <c r="C1" s="328" t="s">
        <v>557</v>
      </c>
      <c r="D1" s="328"/>
      <c r="E1" s="328"/>
      <c r="F1" s="328"/>
      <c r="G1" s="328"/>
      <c r="H1" s="328"/>
      <c r="I1" s="328"/>
      <c r="J1" s="328"/>
      <c r="K1" s="328"/>
    </row>
    <row r="2" spans="1:11" ht="6" customHeight="1" x14ac:dyDescent="0.2">
      <c r="C2" s="328"/>
      <c r="D2" s="328"/>
      <c r="E2" s="328"/>
      <c r="F2" s="328"/>
      <c r="G2" s="328"/>
      <c r="H2" s="328"/>
      <c r="I2" s="328"/>
      <c r="J2" s="328"/>
      <c r="K2" s="328"/>
    </row>
    <row r="3" spans="1:11" ht="6" customHeight="1" x14ac:dyDescent="0.2">
      <c r="C3" s="328"/>
      <c r="D3" s="328"/>
      <c r="E3" s="328"/>
      <c r="F3" s="328"/>
      <c r="G3" s="328"/>
      <c r="H3" s="328"/>
      <c r="I3" s="328"/>
      <c r="J3" s="328"/>
      <c r="K3" s="328"/>
    </row>
    <row r="4" spans="1:11" ht="6" customHeight="1" x14ac:dyDescent="0.2">
      <c r="C4" s="328"/>
      <c r="D4" s="328"/>
      <c r="E4" s="328"/>
      <c r="F4" s="328"/>
      <c r="G4" s="328"/>
      <c r="H4" s="328"/>
      <c r="I4" s="328"/>
      <c r="J4" s="328"/>
      <c r="K4" s="328"/>
    </row>
    <row r="5" spans="1:11" ht="6" customHeight="1" x14ac:dyDescent="0.2">
      <c r="C5" s="328"/>
      <c r="D5" s="328"/>
      <c r="E5" s="328"/>
      <c r="F5" s="328"/>
      <c r="G5" s="328"/>
      <c r="H5" s="328"/>
      <c r="I5" s="328"/>
      <c r="J5" s="328"/>
      <c r="K5" s="328"/>
    </row>
    <row r="6" spans="1:11" ht="12" customHeight="1" x14ac:dyDescent="0.2">
      <c r="D6" s="261"/>
      <c r="E6" s="262"/>
      <c r="F6" s="263"/>
      <c r="G6" s="264">
        <f ca="1">SUBTOTAL(9,G9:G1013)</f>
        <v>373112.42892448045</v>
      </c>
      <c r="H6" s="265"/>
      <c r="I6" s="266">
        <f ca="1">SUBTOTAL(9,I9:I1013)</f>
        <v>6970627.0294020539</v>
      </c>
      <c r="J6" s="267">
        <f ca="1">I6-SUMIF(Orçamento!B:B,"INSUMO",Orçamento!Z:Z)</f>
        <v>0</v>
      </c>
      <c r="K6" s="268" t="str">
        <f ca="1">IF(J6&lt;&gt;0,"VERIFICAR","OK")</f>
        <v>OK</v>
      </c>
    </row>
    <row r="7" spans="1:11" ht="22.15" customHeight="1" x14ac:dyDescent="0.2">
      <c r="A7" s="249" t="s">
        <v>98</v>
      </c>
      <c r="B7" s="249" t="s">
        <v>13</v>
      </c>
      <c r="C7" s="250" t="s">
        <v>95</v>
      </c>
      <c r="D7" s="269" t="s">
        <v>96</v>
      </c>
      <c r="E7" s="270" t="s">
        <v>19</v>
      </c>
      <c r="F7" s="270" t="s">
        <v>12</v>
      </c>
      <c r="G7" s="270" t="s">
        <v>8</v>
      </c>
      <c r="H7" s="271" t="s">
        <v>559</v>
      </c>
      <c r="I7" s="271" t="s">
        <v>97</v>
      </c>
      <c r="J7" s="272" t="s">
        <v>560</v>
      </c>
      <c r="K7" s="272" t="s">
        <v>561</v>
      </c>
    </row>
    <row r="8" spans="1:11" ht="10.9" customHeight="1" x14ac:dyDescent="0.2">
      <c r="B8" s="10">
        <v>0</v>
      </c>
      <c r="C8" s="12"/>
      <c r="D8" s="273"/>
      <c r="E8" s="274"/>
      <c r="F8" s="274"/>
      <c r="G8" s="275"/>
      <c r="H8" s="276"/>
      <c r="I8" s="277"/>
      <c r="J8" s="278"/>
      <c r="K8" s="278"/>
    </row>
    <row r="9" spans="1:11" ht="9.6" customHeight="1" x14ac:dyDescent="0.2">
      <c r="A9" s="10" t="str" cm="1">
        <f t="array" aca="1" ref="A9:A345" ca="1">_xlfn._xlws.SORT(_xlfn.UNIQUE('ABC Insumos Apoio'!C2:C3000),1,-1)</f>
        <v>9947,98 - ARAME RECOZIDO 18 BWG, 1,25MM (0,010 KG/M)</v>
      </c>
      <c r="B9" s="10">
        <f ca="1">IF(OR(A9="",A9=0),"",LARGE($B$8:B8,1)+1)</f>
        <v>1</v>
      </c>
      <c r="C9" s="7"/>
      <c r="D9" s="279">
        <f ca="1">IF(A9="","",COUNTIF(Orçamento!P:P,A9))</f>
        <v>0</v>
      </c>
      <c r="E9" s="280" t="str">
        <f ca="1">IFERROR(IF(A9="","",_xlfn.XLOOKUP(A9,'ABC Insumos Apoio'!C:C,'ABC Insumos Apoio'!A:A)),"")</f>
        <v>ARAME RECOZIDO 18 BWG, 1,25MM (0,010 KG/M)</v>
      </c>
      <c r="F9" s="281" t="str">
        <f ca="1">IFERROR(IF(A9="","",_xlfn.XLOOKUP(E9,Insumos!A:A,Insumos!B:B)),"")</f>
        <v>KG</v>
      </c>
      <c r="G9" s="282">
        <f ca="1">IFERROR(IF(A9="","",SUMIF(Orçamento!P:P,E9,Orçamento!X:X)),"")</f>
        <v>726.65964080000037</v>
      </c>
      <c r="H9" s="283">
        <f ca="1">IFERROR(IF(A9="","",_xlfn.XLOOKUP(E9,Insumos!A:A,Insumos!C:C)),"")</f>
        <v>13.69</v>
      </c>
      <c r="I9" s="283">
        <f t="shared" ref="I9:I72" ca="1" si="0">IFERROR(IF(E9="","",G9*H9),"")</f>
        <v>9947.9704825520039</v>
      </c>
      <c r="J9" s="284">
        <f t="shared" ref="J9:J72" ca="1" si="1">IFERROR(IF(I9="","",I9/$I$6),0)</f>
        <v>1.4271270634035557E-3</v>
      </c>
      <c r="K9" s="284">
        <f ca="1">IF(I9="","",J9+K8)</f>
        <v>1.4271270634035557E-3</v>
      </c>
    </row>
    <row r="10" spans="1:11" ht="9.6" customHeight="1" x14ac:dyDescent="0.2">
      <c r="A10" s="10" t="str">
        <f ca="1"/>
        <v>9936 - CONCRETO MAGRO 150 KG CIM/M3</v>
      </c>
      <c r="B10" s="10">
        <f ca="1">IF(OR(A10="",A10=0),"",LARGE($B$8:B9,1)+1)</f>
        <v>2</v>
      </c>
      <c r="C10" s="7"/>
      <c r="D10" s="279">
        <f ca="1">IF(A10="","",COUNTIF(Orçamento!P:P,A10))</f>
        <v>0</v>
      </c>
      <c r="E10" s="280" t="str">
        <f ca="1">IFERROR(IF(A10="","",_xlfn.XLOOKUP(A10,'ABC Insumos Apoio'!C:C,'ABC Insumos Apoio'!A:A)),"")</f>
        <v>CONCRETO MAGRO 150 KG CIM/M3</v>
      </c>
      <c r="F10" s="281" t="str">
        <f ca="1">IFERROR(IF(A10="","",_xlfn.XLOOKUP(E10,Insumos!A:A,Insumos!B:B)),"")</f>
        <v>M3</v>
      </c>
      <c r="G10" s="282">
        <f ca="1">IFERROR(IF(A10="","",SUMIF(Orçamento!P:P,E10,Orçamento!X:X)),"")</f>
        <v>28.227255000000007</v>
      </c>
      <c r="H10" s="283">
        <f ca="1">IFERROR(IF(A10="","",_xlfn.XLOOKUP(E10,Insumos!A:A,Insumos!C:C)),"")</f>
        <v>352</v>
      </c>
      <c r="I10" s="283">
        <f t="shared" ca="1" si="0"/>
        <v>9935.993760000003</v>
      </c>
      <c r="J10" s="284">
        <f ca="1">IFERROR(IF(I10="","",I10/$I$6),0)</f>
        <v>1.425408893359242E-3</v>
      </c>
      <c r="K10" s="284">
        <f t="shared" ref="K10:K19" ca="1" si="2">IF(I10="","",J10+K9)</f>
        <v>2.8525359567627977E-3</v>
      </c>
    </row>
    <row r="11" spans="1:11" ht="9.6" customHeight="1" x14ac:dyDescent="0.2">
      <c r="A11" s="10" t="str">
        <f ca="1"/>
        <v>9756 - Mobilização e desmobilização de Mini-grua</v>
      </c>
      <c r="B11" s="10">
        <f ca="1">IF(OR(A11="",A11=0),"",LARGE($B$8:B10,1)+1)</f>
        <v>3</v>
      </c>
      <c r="C11" s="7"/>
      <c r="D11" s="279">
        <f ca="1">IF(A11="","",COUNTIF(Orçamento!P:P,A11))</f>
        <v>0</v>
      </c>
      <c r="E11" s="280" t="str">
        <f ca="1">IFERROR(IF(A11="","",_xlfn.XLOOKUP(A11,'ABC Insumos Apoio'!C:C,'ABC Insumos Apoio'!A:A)),"")</f>
        <v>Mobilização e desmobilização de Mini-grua</v>
      </c>
      <c r="F11" s="281" t="str">
        <f ca="1">IFERROR(IF(A11="","",_xlfn.XLOOKUP(E11,Insumos!A:A,Insumos!B:B)),"")</f>
        <v>VB</v>
      </c>
      <c r="G11" s="282">
        <f ca="1">IFERROR(IF(A11="","",SUMIF(Orçamento!P:P,E11,Orçamento!X:X)),"")</f>
        <v>1</v>
      </c>
      <c r="H11" s="283">
        <f ca="1">IFERROR(IF(A11="","",_xlfn.XLOOKUP(E11,Insumos!A:A,Insumos!C:C)),"")</f>
        <v>9756</v>
      </c>
      <c r="I11" s="283">
        <f t="shared" ca="1" si="0"/>
        <v>9756</v>
      </c>
      <c r="J11" s="284">
        <f t="shared" ca="1" si="1"/>
        <v>1.399587147447319E-3</v>
      </c>
      <c r="K11" s="284">
        <f t="shared" ca="1" si="2"/>
        <v>4.2521231042101162E-3</v>
      </c>
    </row>
    <row r="12" spans="1:11" ht="9.6" customHeight="1" x14ac:dyDescent="0.2">
      <c r="A12" s="10" t="str">
        <f ca="1"/>
        <v>9716,15 - INSTALACOES DE PROTECAO E ATERRAMENTO - SPDA</v>
      </c>
      <c r="B12" s="10">
        <f ca="1">IF(OR(A12="",A12=0),"",LARGE($B$8:B11,1)+1)</f>
        <v>4</v>
      </c>
      <c r="C12" s="7"/>
      <c r="D12" s="279">
        <f ca="1">IF(A12="","",COUNTIF(Orçamento!P:P,A12))</f>
        <v>0</v>
      </c>
      <c r="E12" s="280" t="str">
        <f ca="1">IFERROR(IF(A12="","",_xlfn.XLOOKUP(A12,'ABC Insumos Apoio'!C:C,'ABC Insumos Apoio'!A:A)),"")</f>
        <v>INSTALACOES DE PROTECAO E ATERRAMENTO - SPDA</v>
      </c>
      <c r="F12" s="281" t="str">
        <f ca="1">IFERROR(IF(A12="","",_xlfn.XLOOKUP(E12,Insumos!A:A,Insumos!B:B)),"")</f>
        <v>VB</v>
      </c>
      <c r="G12" s="282">
        <f ca="1">IFERROR(IF(A12="","",SUMIF(Orçamento!P:P,E12,Orçamento!X:X)),"")</f>
        <v>1</v>
      </c>
      <c r="H12" s="283">
        <f ca="1">IFERROR(IF(A12="","",_xlfn.XLOOKUP(E12,Insumos!A:A,Insumos!C:C)),"")</f>
        <v>9716.15</v>
      </c>
      <c r="I12" s="283">
        <f t="shared" ca="1" si="0"/>
        <v>9716.15</v>
      </c>
      <c r="J12" s="284">
        <f t="shared" ca="1" si="1"/>
        <v>1.3938703016267188E-3</v>
      </c>
      <c r="K12" s="284">
        <f t="shared" ca="1" si="2"/>
        <v>5.6459934058368348E-3</v>
      </c>
    </row>
    <row r="13" spans="1:11" ht="9.6" customHeight="1" x14ac:dyDescent="0.2">
      <c r="A13" s="10" t="str">
        <f ca="1"/>
        <v>9716,15 - DESMOBILIZACAO PESSOAL/EQUIPAMENTOS</v>
      </c>
      <c r="B13" s="10">
        <f ca="1">IF(OR(A13="",A13=0),"",LARGE($B$8:B12,1)+1)</f>
        <v>5</v>
      </c>
      <c r="C13" s="7"/>
      <c r="D13" s="279">
        <f ca="1">IF(A13="","",COUNTIF(Orçamento!P:P,A13))</f>
        <v>0</v>
      </c>
      <c r="E13" s="280" t="str">
        <f ca="1">IFERROR(IF(A13="","",_xlfn.XLOOKUP(A13,'ABC Insumos Apoio'!C:C,'ABC Insumos Apoio'!A:A)),"")</f>
        <v>DESMOBILIZACAO PESSOAL/EQUIPAMENTOS</v>
      </c>
      <c r="F13" s="281" t="str">
        <f ca="1">IFERROR(IF(A13="","",_xlfn.XLOOKUP(E13,Insumos!A:A,Insumos!B:B)),"")</f>
        <v>VB</v>
      </c>
      <c r="G13" s="282">
        <f ca="1">IFERROR(IF(A13="","",SUMIF(Orçamento!P:P,E13,Orçamento!X:X)),"")</f>
        <v>1</v>
      </c>
      <c r="H13" s="283">
        <f ca="1">IFERROR(IF(A13="","",_xlfn.XLOOKUP(E13,Insumos!A:A,Insumos!C:C)),"")</f>
        <v>9716.15</v>
      </c>
      <c r="I13" s="283">
        <f t="shared" ca="1" si="0"/>
        <v>9716.15</v>
      </c>
      <c r="J13" s="284">
        <f t="shared" ca="1" si="1"/>
        <v>1.3938703016267188E-3</v>
      </c>
      <c r="K13" s="284">
        <f t="shared" ca="1" si="2"/>
        <v>7.0398637074635534E-3</v>
      </c>
    </row>
    <row r="14" spans="1:11" ht="9.6" customHeight="1" x14ac:dyDescent="0.2">
      <c r="A14" s="10" t="str">
        <f ca="1"/>
        <v>962,12 - IMPERMEABILIZANTE FLEXÍVEL E ELÁSTICO BICOMPONENTE COM FIBRAS</v>
      </c>
      <c r="B14" s="10">
        <f ca="1">IF(OR(A14="",A14=0),"",LARGE($B$8:B13,1)+1)</f>
        <v>6</v>
      </c>
      <c r="C14" s="7"/>
      <c r="D14" s="279">
        <f ca="1">IF(A14="","",COUNTIF(Orçamento!P:P,A14))</f>
        <v>0</v>
      </c>
      <c r="E14" s="280" t="str">
        <f ca="1">IFERROR(IF(A14="","",_xlfn.XLOOKUP(A14,'ABC Insumos Apoio'!C:C,'ABC Insumos Apoio'!A:A)),"")</f>
        <v>IMPERMEABILIZANTE FLEXÍVEL E ELÁSTICO BICOMPONENTE COM FIBRAS</v>
      </c>
      <c r="F14" s="281" t="str">
        <f ca="1">IFERROR(IF(A14="","",_xlfn.XLOOKUP(E14,Insumos!A:A,Insumos!B:B)),"")</f>
        <v>KG</v>
      </c>
      <c r="G14" s="282">
        <f ca="1">IFERROR(IF(A14="","",SUMIF(Orçamento!P:P,E14,Orçamento!X:X)),"")</f>
        <v>115.5</v>
      </c>
      <c r="H14" s="283">
        <f ca="1">IFERROR(IF(A14="","",_xlfn.XLOOKUP(E14,Insumos!A:A,Insumos!C:C)),"")</f>
        <v>8.33</v>
      </c>
      <c r="I14" s="283">
        <f t="shared" ca="1" si="0"/>
        <v>962.11500000000001</v>
      </c>
      <c r="J14" s="284">
        <f t="shared" ca="1" si="1"/>
        <v>1.3802416854922893E-4</v>
      </c>
      <c r="K14" s="284">
        <f t="shared" ca="1" si="2"/>
        <v>7.1778878760127823E-3</v>
      </c>
    </row>
    <row r="15" spans="1:11" ht="9.6" customHeight="1" x14ac:dyDescent="0.2">
      <c r="A15" s="10" t="str">
        <f ca="1"/>
        <v>9560,94 - REVESTIMENTO - PASTILHA CERAMICA 5 X 5CM</v>
      </c>
      <c r="B15" s="10">
        <f ca="1">IF(OR(A15="",A15=0),"",LARGE($B$8:B14,1)+1)</f>
        <v>7</v>
      </c>
      <c r="C15" s="7"/>
      <c r="D15" s="279">
        <f ca="1">IF(A15="","",COUNTIF(Orçamento!P:P,A15))</f>
        <v>0</v>
      </c>
      <c r="E15" s="280" t="str">
        <f ca="1">IFERROR(IF(A15="","",_xlfn.XLOOKUP(A15,'ABC Insumos Apoio'!C:C,'ABC Insumos Apoio'!A:A)),"")</f>
        <v>REVESTIMENTO - PASTILHA CERAMICA 5 X 5CM</v>
      </c>
      <c r="F15" s="281" t="str">
        <f ca="1">IFERROR(IF(A15="","",_xlfn.XLOOKUP(E15,Insumos!A:A,Insumos!B:B)),"")</f>
        <v>M2</v>
      </c>
      <c r="G15" s="282">
        <f ca="1">IFERROR(IF(A15="","",SUMIF(Orçamento!P:P,E15,Orçamento!X:X)),"")</f>
        <v>93.368499999999997</v>
      </c>
      <c r="H15" s="283">
        <f ca="1">IFERROR(IF(A15="","",_xlfn.XLOOKUP(E15,Insumos!A:A,Insumos!C:C)),"")</f>
        <v>102.4</v>
      </c>
      <c r="I15" s="283">
        <f t="shared" ca="1" si="0"/>
        <v>9560.9344000000001</v>
      </c>
      <c r="J15" s="284">
        <f t="shared" ca="1" si="1"/>
        <v>1.3716032086743485E-3</v>
      </c>
      <c r="K15" s="284">
        <f t="shared" ca="1" si="2"/>
        <v>8.5494910846871316E-3</v>
      </c>
    </row>
    <row r="16" spans="1:11" ht="9.6" customHeight="1" x14ac:dyDescent="0.2">
      <c r="A16" s="10" t="str">
        <f ca="1"/>
        <v>9500 - Projeto PCI (Prevenção e combate a Incêndios)</v>
      </c>
      <c r="B16" s="10">
        <f ca="1">IF(OR(A16="",A16=0),"",LARGE($B$8:B15,1)+1)</f>
        <v>8</v>
      </c>
      <c r="C16" s="7"/>
      <c r="D16" s="279">
        <f ca="1">IF(A16="","",COUNTIF(Orçamento!P:P,A16))</f>
        <v>0</v>
      </c>
      <c r="E16" s="280" t="str">
        <f ca="1">IFERROR(IF(A16="","",_xlfn.XLOOKUP(A16,'ABC Insumos Apoio'!C:C,'ABC Insumos Apoio'!A:A)),"")</f>
        <v>Projeto PCI (Prevenção e combate a Incêndios)</v>
      </c>
      <c r="F16" s="281" t="str">
        <f ca="1">IFERROR(IF(A16="","",_xlfn.XLOOKUP(E16,Insumos!A:A,Insumos!B:B)),"")</f>
        <v>VB</v>
      </c>
      <c r="G16" s="282">
        <f ca="1">IFERROR(IF(A16="","",SUMIF(Orçamento!P:P,E16,Orçamento!X:X)),"")</f>
        <v>1</v>
      </c>
      <c r="H16" s="283">
        <f ca="1">IFERROR(IF(A16="","",_xlfn.XLOOKUP(E16,Insumos!A:A,Insumos!C:C)),"")</f>
        <v>9500</v>
      </c>
      <c r="I16" s="283">
        <f t="shared" ca="1" si="0"/>
        <v>9500</v>
      </c>
      <c r="J16" s="284">
        <f t="shared" ca="1" si="1"/>
        <v>1.3628616134429613E-3</v>
      </c>
      <c r="K16" s="284">
        <f t="shared" ca="1" si="2"/>
        <v>9.9123526981300929E-3</v>
      </c>
    </row>
    <row r="17" spans="1:11" ht="9.6" customHeight="1" x14ac:dyDescent="0.2">
      <c r="A17" s="10" t="str">
        <f ca="1"/>
        <v>9500 - PROJETO HIDROSSANITARIO</v>
      </c>
      <c r="B17" s="10">
        <f ca="1">IF(OR(A17="",A17=0),"",LARGE($B$8:B16,1)+1)</f>
        <v>9</v>
      </c>
      <c r="C17" s="7"/>
      <c r="D17" s="279">
        <f ca="1">IF(A17="","",COUNTIF(Orçamento!P:P,A17))</f>
        <v>0</v>
      </c>
      <c r="E17" s="280" t="str">
        <f ca="1">IFERROR(IF(A17="","",_xlfn.XLOOKUP(A17,'ABC Insumos Apoio'!C:C,'ABC Insumos Apoio'!A:A)),"")</f>
        <v>PROJETO HIDROSSANITARIO</v>
      </c>
      <c r="F17" s="281" t="str">
        <f ca="1">IFERROR(IF(A17="","",_xlfn.XLOOKUP(E17,Insumos!A:A,Insumos!B:B)),"")</f>
        <v>VB</v>
      </c>
      <c r="G17" s="282">
        <f ca="1">IFERROR(IF(A17="","",SUMIF(Orçamento!P:P,E17,Orçamento!X:X)),"")</f>
        <v>1</v>
      </c>
      <c r="H17" s="283">
        <f ca="1">IFERROR(IF(A17="","",_xlfn.XLOOKUP(E17,Insumos!A:A,Insumos!C:C)),"")</f>
        <v>9500</v>
      </c>
      <c r="I17" s="283">
        <f t="shared" ca="1" si="0"/>
        <v>9500</v>
      </c>
      <c r="J17" s="284">
        <f t="shared" ca="1" si="1"/>
        <v>1.3628616134429613E-3</v>
      </c>
      <c r="K17" s="284">
        <f t="shared" ca="1" si="2"/>
        <v>1.1275214311573054E-2</v>
      </c>
    </row>
    <row r="18" spans="1:11" ht="9.6" customHeight="1" x14ac:dyDescent="0.2">
      <c r="A18" s="10" t="str">
        <f ca="1"/>
        <v>9450,46 - INSTALAÇÕES AGUA PLUVIAIS - TIPO (X5)</v>
      </c>
      <c r="B18" s="10">
        <f ca="1">IF(OR(A18="",A18=0),"",LARGE($B$8:B17,1)+1)</f>
        <v>10</v>
      </c>
      <c r="C18" s="7"/>
      <c r="D18" s="279">
        <f ca="1">IF(A18="","",COUNTIF(Orçamento!P:P,A18))</f>
        <v>0</v>
      </c>
      <c r="E18" s="280" t="str">
        <f ca="1">IFERROR(IF(A18="","",_xlfn.XLOOKUP(A18,'ABC Insumos Apoio'!C:C,'ABC Insumos Apoio'!A:A)),"")</f>
        <v>INSTALAÇÕES AGUA PLUVIAIS - TIPO (X5)</v>
      </c>
      <c r="F18" s="281" t="str">
        <f ca="1">IFERROR(IF(A18="","",_xlfn.XLOOKUP(E18,Insumos!A:A,Insumos!B:B)),"")</f>
        <v>UN</v>
      </c>
      <c r="G18" s="282">
        <f ca="1">IFERROR(IF(A18="","",SUMIF(Orçamento!P:P,E18,Orçamento!X:X)),"")</f>
        <v>1</v>
      </c>
      <c r="H18" s="283">
        <f ca="1">IFERROR(IF(A18="","",_xlfn.XLOOKUP(E18,Insumos!A:A,Insumos!C:C)),"")</f>
        <v>9450.4506262058512</v>
      </c>
      <c r="I18" s="283">
        <f t="shared" ca="1" si="0"/>
        <v>9450.4506262058512</v>
      </c>
      <c r="J18" s="284">
        <f t="shared" ca="1" si="1"/>
        <v>1.355753304020416E-3</v>
      </c>
      <c r="K18" s="284">
        <f t="shared" ca="1" si="2"/>
        <v>1.263096761559347E-2</v>
      </c>
    </row>
    <row r="19" spans="1:11" ht="9.6" customHeight="1" x14ac:dyDescent="0.2">
      <c r="A19" s="10" t="str">
        <f ca="1"/>
        <v>9430 - MAO DE OBRA PARA COLOCACAO DE RODAPE CERAMICO E PORCELANATO</v>
      </c>
      <c r="B19" s="10">
        <f ca="1">IF(OR(A19="",A19=0),"",LARGE($B$8:B18,1)+1)</f>
        <v>11</v>
      </c>
      <c r="C19" s="7"/>
      <c r="D19" s="279">
        <f ca="1">IF(A19="","",COUNTIF(Orçamento!P:P,A19))</f>
        <v>0</v>
      </c>
      <c r="E19" s="280" t="str">
        <f ca="1">IFERROR(IF(A19="","",_xlfn.XLOOKUP(A19,'ABC Insumos Apoio'!C:C,'ABC Insumos Apoio'!A:A)),"")</f>
        <v>MAO DE OBRA PARA COLOCACAO DE RODAPE CERAMICO E PORCELANATO</v>
      </c>
      <c r="F19" s="281" t="str">
        <f ca="1">IFERROR(IF(A19="","",_xlfn.XLOOKUP(E19,Insumos!A:A,Insumos!B:B)),"")</f>
        <v>M</v>
      </c>
      <c r="G19" s="282">
        <f ca="1">IFERROR(IF(A19="","",SUMIF(Orçamento!P:P,E19,Orçamento!X:X)),"")</f>
        <v>453.83849999999995</v>
      </c>
      <c r="H19" s="283">
        <f ca="1">IFERROR(IF(A19="","",_xlfn.XLOOKUP(E19,Insumos!A:A,Insumos!C:C)),"")</f>
        <v>20.778316515676838</v>
      </c>
      <c r="I19" s="283">
        <f t="shared" ca="1" si="0"/>
        <v>9430.0000000000018</v>
      </c>
      <c r="J19" s="284">
        <f t="shared" ca="1" si="1"/>
        <v>1.352819475238645E-3</v>
      </c>
      <c r="K19" s="284">
        <f t="shared" ca="1" si="2"/>
        <v>1.3983787090832115E-2</v>
      </c>
    </row>
    <row r="20" spans="1:11" ht="9.6" customHeight="1" x14ac:dyDescent="0.2">
      <c r="A20" s="10" t="str">
        <f ca="1"/>
        <v>939,8 - COLA PARA RODAPE DE POLIESTIRENO</v>
      </c>
      <c r="B20" s="10">
        <f ca="1">IF(OR(A20="",A20=0),"",LARGE($B$8:B19,1)+1)</f>
        <v>12</v>
      </c>
      <c r="C20" s="7"/>
      <c r="D20" s="279">
        <f ca="1">IF(A20="","",COUNTIF(Orçamento!P:P,A20))</f>
        <v>0</v>
      </c>
      <c r="E20" s="280" t="str">
        <f ca="1">IFERROR(IF(A20="","",_xlfn.XLOOKUP(A20,'ABC Insumos Apoio'!C:C,'ABC Insumos Apoio'!A:A)),"")</f>
        <v>COLA PARA RODAPE DE POLIESTIRENO</v>
      </c>
      <c r="F20" s="281" t="str">
        <f ca="1">IFERROR(IF(A20="","",_xlfn.XLOOKUP(E20,Insumos!A:A,Insumos!B:B)),"")</f>
        <v>KG</v>
      </c>
      <c r="G20" s="282">
        <f ca="1">IFERROR(IF(A20="","",SUMIF(Orçamento!P:P,E20,Orçamento!X:X)),"")</f>
        <v>29.553290000000001</v>
      </c>
      <c r="H20" s="283">
        <f ca="1">IFERROR(IF(A20="","",_xlfn.XLOOKUP(E20,Insumos!A:A,Insumos!C:C)),"")</f>
        <v>31.8</v>
      </c>
      <c r="I20" s="283">
        <f t="shared" ca="1" si="0"/>
        <v>939.794622</v>
      </c>
      <c r="J20" s="284">
        <f t="shared" ca="1" si="1"/>
        <v>1.3482210682567769E-4</v>
      </c>
      <c r="K20" s="284">
        <f t="shared" ref="K20:K73" ca="1" si="3">IF(I20="","",J20+K19)</f>
        <v>1.4118609197657794E-2</v>
      </c>
    </row>
    <row r="21" spans="1:11" ht="9.6" customHeight="1" x14ac:dyDescent="0.2">
      <c r="A21" s="10" t="str">
        <f ca="1"/>
        <v>9300,06 - CHAPISCO COLANTE 20KG</v>
      </c>
      <c r="B21" s="10">
        <f ca="1">IF(OR(A21="",A21=0),"",LARGE($B$8:B20,1)+1)</f>
        <v>13</v>
      </c>
      <c r="C21" s="7"/>
      <c r="D21" s="279">
        <f ca="1">IF(A21="","",COUNTIF(Orçamento!P:P,A21))</f>
        <v>0</v>
      </c>
      <c r="E21" s="280" t="str">
        <f ca="1">IFERROR(IF(A21="","",_xlfn.XLOOKUP(A21,'ABC Insumos Apoio'!C:C,'ABC Insumos Apoio'!A:A)),"")</f>
        <v>CHAPISCO COLANTE 20KG</v>
      </c>
      <c r="F21" s="281" t="str">
        <f ca="1">IFERROR(IF(A21="","",_xlfn.XLOOKUP(E21,Insumos!A:A,Insumos!B:B)),"")</f>
        <v>KG</v>
      </c>
      <c r="G21" s="282">
        <f ca="1">IFERROR(IF(A21="","",SUMIF(Orçamento!P:P,E21,Orçamento!X:X)),"")</f>
        <v>7099.2810000000009</v>
      </c>
      <c r="H21" s="283">
        <f ca="1">IFERROR(IF(A21="","",_xlfn.XLOOKUP(E21,Insumos!A:A,Insumos!C:C)),"")</f>
        <v>1.31</v>
      </c>
      <c r="I21" s="283">
        <f t="shared" ca="1" si="0"/>
        <v>9300.0581100000018</v>
      </c>
      <c r="J21" s="284">
        <f t="shared" ca="1" si="1"/>
        <v>1.3341781264113578E-3</v>
      </c>
      <c r="K21" s="284">
        <f t="shared" ca="1" si="3"/>
        <v>1.5452787324069151E-2</v>
      </c>
    </row>
    <row r="22" spans="1:11" ht="9.6" customHeight="1" x14ac:dyDescent="0.2">
      <c r="A22" s="10" t="str">
        <f ca="1"/>
        <v>926,52 - PINO LISO P/FIXACAO DIRETA C/ARRUELA 23MM CONICA 1/4"X28MM</v>
      </c>
      <c r="B22" s="10">
        <f ca="1">IF(OR(A22="",A22=0),"",LARGE($B$8:B21,1)+1)</f>
        <v>14</v>
      </c>
      <c r="C22" s="7"/>
      <c r="D22" s="279">
        <f ca="1">IF(A22="","",COUNTIF(Orçamento!P:P,A22))</f>
        <v>0</v>
      </c>
      <c r="E22" s="280" t="str">
        <f ca="1">IFERROR(IF(A22="","",_xlfn.XLOOKUP(A22,'ABC Insumos Apoio'!C:C,'ABC Insumos Apoio'!A:A)),"")</f>
        <v>PINO LISO P/FIXACAO DIRETA C/ARRUELA 23MM CONICA 1/4"X28MM</v>
      </c>
      <c r="F22" s="281" t="str">
        <f ca="1">IFERROR(IF(A22="","",_xlfn.XLOOKUP(E22,Insumos!A:A,Insumos!B:B)),"")</f>
        <v>UN</v>
      </c>
      <c r="G22" s="282">
        <f ca="1">IFERROR(IF(A22="","",SUMIF(Orçamento!P:P,E22,Orçamento!X:X)),"")</f>
        <v>3088.38</v>
      </c>
      <c r="H22" s="283">
        <f ca="1">IFERROR(IF(A22="","",_xlfn.XLOOKUP(E22,Insumos!A:A,Insumos!C:C)),"")</f>
        <v>0.3</v>
      </c>
      <c r="I22" s="283">
        <f t="shared" ca="1" si="0"/>
        <v>926.51400000000001</v>
      </c>
      <c r="J22" s="284">
        <f t="shared" ca="1" si="1"/>
        <v>1.3291688051763072E-4</v>
      </c>
      <c r="K22" s="284">
        <f t="shared" ca="1" si="3"/>
        <v>1.5585704204586782E-2</v>
      </c>
    </row>
    <row r="23" spans="1:11" ht="9.6" customHeight="1" x14ac:dyDescent="0.2">
      <c r="A23" s="10" t="str">
        <f ca="1"/>
        <v>9097,44 - ESPACADOR CIRCULAR 40MM</v>
      </c>
      <c r="B23" s="10">
        <f ca="1">IF(OR(A23="",A23=0),"",LARGE($B$8:B22,1)+1)</f>
        <v>15</v>
      </c>
      <c r="C23" s="7"/>
      <c r="D23" s="279">
        <f ca="1">IF(A23="","",COUNTIF(Orçamento!P:P,A23))</f>
        <v>0</v>
      </c>
      <c r="E23" s="280" t="str">
        <f ca="1">IFERROR(IF(A23="","",_xlfn.XLOOKUP(A23,'ABC Insumos Apoio'!C:C,'ABC Insumos Apoio'!A:A)),"")</f>
        <v>ESPACADOR CIRCULAR 40MM</v>
      </c>
      <c r="F23" s="281" t="str">
        <f ca="1">IFERROR(IF(A23="","",_xlfn.XLOOKUP(E23,Insumos!A:A,Insumos!B:B)),"")</f>
        <v>UN</v>
      </c>
      <c r="G23" s="282">
        <f ca="1">IFERROR(IF(A23="","",SUMIF(Orçamento!P:P,E23,Orçamento!X:X)),"")</f>
        <v>11970.308110409998</v>
      </c>
      <c r="H23" s="283">
        <f ca="1">IFERROR(IF(A23="","",_xlfn.XLOOKUP(E23,Insumos!A:A,Insumos!C:C)),"")</f>
        <v>0.76</v>
      </c>
      <c r="I23" s="283">
        <f t="shared" ca="1" si="0"/>
        <v>9097.4341639115992</v>
      </c>
      <c r="J23" s="284">
        <f t="shared" ca="1" si="1"/>
        <v>1.3051098739810189E-3</v>
      </c>
      <c r="K23" s="284">
        <f t="shared" ca="1" si="3"/>
        <v>1.6890814078567802E-2</v>
      </c>
    </row>
    <row r="24" spans="1:11" ht="9.6" customHeight="1" x14ac:dyDescent="0.2">
      <c r="A24" s="10" t="str">
        <f ca="1"/>
        <v>905,81 - Taxa Aprovação Ambiental (Lap/Lai/Auc)/Compensatória)</v>
      </c>
      <c r="B24" s="10">
        <f ca="1">IF(OR(A24="",A24=0),"",LARGE($B$8:B23,1)+1)</f>
        <v>16</v>
      </c>
      <c r="C24" s="7"/>
      <c r="D24" s="279">
        <f ca="1">IF(A24="","",COUNTIF(Orçamento!P:P,A24))</f>
        <v>0</v>
      </c>
      <c r="E24" s="280" t="str">
        <f ca="1">IFERROR(IF(A24="","",_xlfn.XLOOKUP(A24,'ABC Insumos Apoio'!C:C,'ABC Insumos Apoio'!A:A)),"")</f>
        <v>Taxa Aprovação Ambiental (Lap/Lai/Auc)/Compensatória)</v>
      </c>
      <c r="F24" s="281" t="str">
        <f ca="1">IFERROR(IF(A24="","",_xlfn.XLOOKUP(E24,Insumos!A:A,Insumos!B:B)),"")</f>
        <v>VB</v>
      </c>
      <c r="G24" s="282">
        <f ca="1">IFERROR(IF(A24="","",SUMIF(Orçamento!P:P,E24,Orçamento!X:X)),"")</f>
        <v>1</v>
      </c>
      <c r="H24" s="283">
        <f ca="1">IFERROR(IF(A24="","",_xlfn.XLOOKUP(E24,Insumos!A:A,Insumos!C:C)),"")</f>
        <v>905.81</v>
      </c>
      <c r="I24" s="283">
        <f t="shared" ca="1" si="0"/>
        <v>905.81</v>
      </c>
      <c r="J24" s="284">
        <f t="shared" ca="1" si="1"/>
        <v>1.2994670295502829E-4</v>
      </c>
      <c r="K24" s="284">
        <f t="shared" ca="1" si="3"/>
        <v>1.7020760781522832E-2</v>
      </c>
    </row>
    <row r="25" spans="1:11" ht="9.6" customHeight="1" x14ac:dyDescent="0.2">
      <c r="A25" s="10" t="str">
        <f ca="1"/>
        <v>9000 - Locação Andaime Suspenso Manual</v>
      </c>
      <c r="B25" s="10">
        <f ca="1">IF(OR(A25="",A25=0),"",LARGE($B$8:B24,1)+1)</f>
        <v>17</v>
      </c>
      <c r="C25" s="7"/>
      <c r="D25" s="279">
        <f ca="1">IF(A25="","",COUNTIF(Orçamento!P:P,A25))</f>
        <v>0</v>
      </c>
      <c r="E25" s="280" t="str">
        <f ca="1">IFERROR(IF(A25="","",_xlfn.XLOOKUP(A25,'ABC Insumos Apoio'!C:C,'ABC Insumos Apoio'!A:A)),"")</f>
        <v>Locação Andaime Suspenso Manual</v>
      </c>
      <c r="F25" s="281" t="str">
        <f ca="1">IFERROR(IF(A25="","",_xlfn.XLOOKUP(E25,Insumos!A:A,Insumos!B:B)),"")</f>
        <v>MES</v>
      </c>
      <c r="G25" s="282">
        <f ca="1">IFERROR(IF(A25="","",SUMIF(Orçamento!P:P,E25,Orçamento!X:X)),"")</f>
        <v>6</v>
      </c>
      <c r="H25" s="283">
        <f ca="1">IFERROR(IF(A25="","",_xlfn.XLOOKUP(E25,Insumos!A:A,Insumos!C:C)),"")</f>
        <v>1500</v>
      </c>
      <c r="I25" s="283">
        <f t="shared" ca="1" si="0"/>
        <v>9000</v>
      </c>
      <c r="J25" s="284">
        <f t="shared" ca="1" si="1"/>
        <v>1.2911320548407003E-3</v>
      </c>
      <c r="K25" s="284">
        <f t="shared" ca="1" si="3"/>
        <v>1.8311892836363534E-2</v>
      </c>
    </row>
    <row r="26" spans="1:11" ht="9.6" customHeight="1" x14ac:dyDescent="0.2">
      <c r="A26" s="10" t="str">
        <f ca="1"/>
        <v>90 - Dispositivo de Aspiração / 1.1/2"</v>
      </c>
      <c r="B26" s="10">
        <f ca="1">IF(OR(A26="",A26=0),"",LARGE($B$8:B25,1)+1)</f>
        <v>18</v>
      </c>
      <c r="C26" s="7"/>
      <c r="D26" s="279">
        <f ca="1">IF(A26="","",COUNTIF(Orçamento!P:P,A26))</f>
        <v>0</v>
      </c>
      <c r="E26" s="280" t="str">
        <f ca="1">IFERROR(IF(A26="","",_xlfn.XLOOKUP(A26,'ABC Insumos Apoio'!C:C,'ABC Insumos Apoio'!A:A)),"")</f>
        <v>Dispositivo de Aspiração / 1.1/2"</v>
      </c>
      <c r="F26" s="281" t="str">
        <f ca="1">IFERROR(IF(A26="","",_xlfn.XLOOKUP(E26,Insumos!A:A,Insumos!B:B)),"")</f>
        <v>un</v>
      </c>
      <c r="G26" s="282">
        <f ca="1">IFERROR(IF(A26="","",SUMIF(Orçamento!P:P,E26,Orçamento!X:X)),"")</f>
        <v>2</v>
      </c>
      <c r="H26" s="283">
        <f ca="1">IFERROR(IF(A26="","",_xlfn.XLOOKUP(E26,Insumos!A:A,Insumos!C:C)),"")</f>
        <v>45</v>
      </c>
      <c r="I26" s="283">
        <f t="shared" ca="1" si="0"/>
        <v>90</v>
      </c>
      <c r="J26" s="284">
        <f t="shared" ca="1" si="1"/>
        <v>1.2911320548407002E-5</v>
      </c>
      <c r="K26" s="284">
        <f t="shared" ca="1" si="3"/>
        <v>1.8324804156911942E-2</v>
      </c>
    </row>
    <row r="27" spans="1:11" ht="9.6" customHeight="1" x14ac:dyDescent="0.2">
      <c r="A27" s="10" t="str">
        <f ca="1"/>
        <v>8949,98 - MASSA CORRIDA PVA</v>
      </c>
      <c r="B27" s="10">
        <f ca="1">IF(OR(A27="",A27=0),"",LARGE($B$8:B26,1)+1)</f>
        <v>19</v>
      </c>
      <c r="C27" s="7"/>
      <c r="D27" s="279">
        <f ca="1">IF(A27="","",COUNTIF(Orçamento!P:P,A27))</f>
        <v>0</v>
      </c>
      <c r="E27" s="280" t="str">
        <f ca="1">IFERROR(IF(A27="","",_xlfn.XLOOKUP(A27,'ABC Insumos Apoio'!C:C,'ABC Insumos Apoio'!A:A)),"")</f>
        <v>MASSA CORRIDA PVA</v>
      </c>
      <c r="F27" s="281" t="str">
        <f ca="1">IFERROR(IF(A27="","",_xlfn.XLOOKUP(E27,Insumos!A:A,Insumos!B:B)),"")</f>
        <v>L</v>
      </c>
      <c r="G27" s="282">
        <f ca="1">IFERROR(IF(A27="","",SUMIF(Orçamento!P:P,E27,Orçamento!X:X)),"")</f>
        <v>7103.1578292000004</v>
      </c>
      <c r="H27" s="283">
        <f ca="1">IFERROR(IF(A27="","",_xlfn.XLOOKUP(E27,Insumos!A:A,Insumos!C:C)),"")</f>
        <v>1.26</v>
      </c>
      <c r="I27" s="283">
        <f t="shared" ca="1" si="0"/>
        <v>8949.9788647920013</v>
      </c>
      <c r="J27" s="284">
        <f t="shared" ca="1" si="1"/>
        <v>1.2839560669421926E-3</v>
      </c>
      <c r="K27" s="284">
        <f t="shared" ca="1" si="3"/>
        <v>1.9608760223854136E-2</v>
      </c>
    </row>
    <row r="28" spans="1:11" ht="9.6" customHeight="1" x14ac:dyDescent="0.2">
      <c r="A28" s="10" t="str">
        <f ca="1"/>
        <v>8900 - SONDAGEM</v>
      </c>
      <c r="B28" s="10">
        <f ca="1">IF(OR(A28="",A28=0),"",LARGE($B$8:B27,1)+1)</f>
        <v>20</v>
      </c>
      <c r="C28" s="7"/>
      <c r="D28" s="279">
        <f ca="1">IF(A28="","",COUNTIF(Orçamento!P:P,A28))</f>
        <v>0</v>
      </c>
      <c r="E28" s="280" t="str">
        <f ca="1">IFERROR(IF(A28="","",_xlfn.XLOOKUP(A28,'ABC Insumos Apoio'!C:C,'ABC Insumos Apoio'!A:A)),"")</f>
        <v>SONDAGEM</v>
      </c>
      <c r="F28" s="281" t="str">
        <f ca="1">IFERROR(IF(A28="","",_xlfn.XLOOKUP(E28,Insumos!A:A,Insumos!B:B)),"")</f>
        <v>VB</v>
      </c>
      <c r="G28" s="282">
        <f ca="1">IFERROR(IF(A28="","",SUMIF(Orçamento!P:P,E28,Orçamento!X:X)),"")</f>
        <v>1</v>
      </c>
      <c r="H28" s="283">
        <f ca="1">IFERROR(IF(A28="","",_xlfn.XLOOKUP(E28,Insumos!A:A,Insumos!C:C)),"")</f>
        <v>8900</v>
      </c>
      <c r="I28" s="283">
        <f t="shared" ca="1" si="0"/>
        <v>8900</v>
      </c>
      <c r="J28" s="284">
        <f t="shared" ca="1" si="1"/>
        <v>1.2767861431202481E-3</v>
      </c>
      <c r="K28" s="284">
        <f t="shared" ca="1" si="3"/>
        <v>2.0885546366974383E-2</v>
      </c>
    </row>
    <row r="29" spans="1:11" ht="9.6" customHeight="1" x14ac:dyDescent="0.2">
      <c r="A29" s="10" t="str">
        <f ca="1"/>
        <v>889 - Skimmer - 50 mm</v>
      </c>
      <c r="B29" s="10">
        <f ca="1">IF(OR(A29="",A29=0),"",LARGE($B$8:B28,1)+1)</f>
        <v>21</v>
      </c>
      <c r="C29" s="7"/>
      <c r="D29" s="279">
        <f ca="1">IF(A29="","",COUNTIF(Orçamento!P:P,A29))</f>
        <v>0</v>
      </c>
      <c r="E29" s="280" t="str">
        <f ca="1">IFERROR(IF(A29="","",_xlfn.XLOOKUP(A29,'ABC Insumos Apoio'!C:C,'ABC Insumos Apoio'!A:A)),"")</f>
        <v>Skimmer - 50 mm</v>
      </c>
      <c r="F29" s="281" t="str">
        <f ca="1">IFERROR(IF(A29="","",_xlfn.XLOOKUP(E29,Insumos!A:A,Insumos!B:B)),"")</f>
        <v>un</v>
      </c>
      <c r="G29" s="282">
        <f ca="1">IFERROR(IF(A29="","",SUMIF(Orçamento!P:P,E29,Orçamento!X:X)),"")</f>
        <v>1</v>
      </c>
      <c r="H29" s="283">
        <f ca="1">IFERROR(IF(A29="","",_xlfn.XLOOKUP(E29,Insumos!A:A,Insumos!C:C)),"")</f>
        <v>889</v>
      </c>
      <c r="I29" s="283">
        <f t="shared" ca="1" si="0"/>
        <v>889</v>
      </c>
      <c r="J29" s="284">
        <f t="shared" ca="1" si="1"/>
        <v>1.2753515519482028E-4</v>
      </c>
      <c r="K29" s="284">
        <f t="shared" ca="1" si="3"/>
        <v>2.1013081522169203E-2</v>
      </c>
    </row>
    <row r="30" spans="1:11" ht="9.6" customHeight="1" x14ac:dyDescent="0.2">
      <c r="A30" s="10" t="str">
        <f ca="1"/>
        <v>88550 - Mão de Obra para Instalação Hidrossanitárias</v>
      </c>
      <c r="B30" s="10">
        <f ca="1">IF(OR(A30="",A30=0),"",LARGE($B$8:B29,1)+1)</f>
        <v>22</v>
      </c>
      <c r="C30" s="7"/>
      <c r="D30" s="279">
        <f ca="1">IF(A30="","",COUNTIF(Orçamento!P:P,A30))</f>
        <v>0</v>
      </c>
      <c r="E30" s="280" t="str">
        <f ca="1">IFERROR(IF(A30="","",_xlfn.XLOOKUP(A30,'ABC Insumos Apoio'!C:C,'ABC Insumos Apoio'!A:A)),"")</f>
        <v>Mão de Obra para Instalação Hidrossanitárias</v>
      </c>
      <c r="F30" s="281" t="str">
        <f ca="1">IFERROR(IF(A30="","",_xlfn.XLOOKUP(E30,Insumos!A:A,Insumos!B:B)),"")</f>
        <v>VB</v>
      </c>
      <c r="G30" s="282">
        <f ca="1">IFERROR(IF(A30="","",SUMIF(Orçamento!P:P,E30,Orçamento!X:X)),"")</f>
        <v>2407.19884</v>
      </c>
      <c r="H30" s="283">
        <f ca="1">IFERROR(IF(A30="","",_xlfn.XLOOKUP(E30,Insumos!A:A,Insumos!C:C)),"")</f>
        <v>36.785494629101763</v>
      </c>
      <c r="I30" s="283">
        <f t="shared" ca="1" si="0"/>
        <v>88550</v>
      </c>
      <c r="J30" s="284">
        <f t="shared" ca="1" si="1"/>
        <v>1.2703304828460445E-2</v>
      </c>
      <c r="K30" s="284">
        <f t="shared" ca="1" si="3"/>
        <v>3.3716386350629651E-2</v>
      </c>
    </row>
    <row r="31" spans="1:11" ht="9.6" customHeight="1" x14ac:dyDescent="0.2">
      <c r="A31" s="10" t="str">
        <f ca="1"/>
        <v>88550 - Mão de obra de instalações eletricas</v>
      </c>
      <c r="B31" s="10">
        <f ca="1">IF(OR(A31="",A31=0),"",LARGE($B$8:B30,1)+1)</f>
        <v>23</v>
      </c>
      <c r="C31" s="7"/>
      <c r="D31" s="279">
        <f ca="1">IF(A31="","",COUNTIF(Orçamento!P:P,A31))</f>
        <v>0</v>
      </c>
      <c r="E31" s="280" t="str">
        <f ca="1">IFERROR(IF(A31="","",_xlfn.XLOOKUP(A31,'ABC Insumos Apoio'!C:C,'ABC Insumos Apoio'!A:A)),"")</f>
        <v>Mão de obra de instalações eletricas</v>
      </c>
      <c r="F31" s="281" t="str">
        <f ca="1">IFERROR(IF(A31="","",_xlfn.XLOOKUP(E31,Insumos!A:A,Insumos!B:B)),"")</f>
        <v>VB</v>
      </c>
      <c r="G31" s="282">
        <f ca="1">IFERROR(IF(A31="","",SUMIF(Orçamento!P:P,E31,Orçamento!X:X)),"")</f>
        <v>2407.19884</v>
      </c>
      <c r="H31" s="283">
        <f ca="1">IFERROR(IF(A31="","",_xlfn.XLOOKUP(E31,Insumos!A:A,Insumos!C:C)),"")</f>
        <v>36.785494629101763</v>
      </c>
      <c r="I31" s="283">
        <f t="shared" ca="1" si="0"/>
        <v>88550</v>
      </c>
      <c r="J31" s="284">
        <f t="shared" ca="1" si="1"/>
        <v>1.2703304828460445E-2</v>
      </c>
      <c r="K31" s="284">
        <f t="shared" ca="1" si="3"/>
        <v>4.6419691179090096E-2</v>
      </c>
    </row>
    <row r="32" spans="1:11" ht="9.6" customHeight="1" x14ac:dyDescent="0.2">
      <c r="A32" s="10" t="str">
        <f ca="1"/>
        <v>88008,19 - MAO DE OBRA PARA COLOCACAO E REJUNTAMENTO DE PORCELANATO</v>
      </c>
      <c r="B32" s="10">
        <f ca="1">IF(OR(A32="",A32=0),"",LARGE($B$8:B31,1)+1)</f>
        <v>24</v>
      </c>
      <c r="C32" s="7"/>
      <c r="D32" s="279">
        <f ca="1">IF(A32="","",COUNTIF(Orçamento!P:P,A32))</f>
        <v>0</v>
      </c>
      <c r="E32" s="280" t="str">
        <f ca="1">IFERROR(IF(A32="","",_xlfn.XLOOKUP(A32,'ABC Insumos Apoio'!C:C,'ABC Insumos Apoio'!A:A)),"")</f>
        <v>MAO DE OBRA PARA COLOCACAO E REJUNTAMENTO DE PORCELANATO</v>
      </c>
      <c r="F32" s="281" t="str">
        <f ca="1">IFERROR(IF(A32="","",_xlfn.XLOOKUP(E32,Insumos!A:A,Insumos!B:B)),"")</f>
        <v>M2</v>
      </c>
      <c r="G32" s="282">
        <f ca="1">IFERROR(IF(A32="","",SUMIF(Orçamento!P:P,E32,Orçamento!X:X)),"")</f>
        <v>1197.21</v>
      </c>
      <c r="H32" s="283">
        <f ca="1">IFERROR(IF(A32="","",_xlfn.XLOOKUP(E32,Insumos!A:A,Insumos!C:C)),"")</f>
        <v>73.511069535391329</v>
      </c>
      <c r="I32" s="283">
        <f t="shared" ca="1" si="0"/>
        <v>88008.187558465856</v>
      </c>
      <c r="J32" s="284">
        <f t="shared" ca="1" si="1"/>
        <v>1.2625576893907529E-2</v>
      </c>
      <c r="K32" s="284">
        <f t="shared" ca="1" si="3"/>
        <v>5.9045268072997627E-2</v>
      </c>
    </row>
    <row r="33" spans="1:11" ht="9.6" customHeight="1" x14ac:dyDescent="0.2">
      <c r="A33" s="10" t="str">
        <f ca="1"/>
        <v>8800 - DESPESAS DE CONSUMO - ENERGIA</v>
      </c>
      <c r="B33" s="10">
        <f ca="1">IF(OR(A33="",A33=0),"",LARGE($B$8:B32,1)+1)</f>
        <v>25</v>
      </c>
      <c r="C33" s="7"/>
      <c r="D33" s="279">
        <f ca="1">IF(A33="","",COUNTIF(Orçamento!P:P,A33))</f>
        <v>0</v>
      </c>
      <c r="E33" s="280" t="str">
        <f ca="1">IFERROR(IF(A33="","",_xlfn.XLOOKUP(A33,'ABC Insumos Apoio'!C:C,'ABC Insumos Apoio'!A:A)),"")</f>
        <v>DESPESAS DE CONSUMO - ENERGIA</v>
      </c>
      <c r="F33" s="281" t="str">
        <f ca="1">IFERROR(IF(A33="","",_xlfn.XLOOKUP(E33,Insumos!A:A,Insumos!B:B)),"")</f>
        <v>VB</v>
      </c>
      <c r="G33" s="282">
        <f ca="1">IFERROR(IF(A33="","",SUMIF(Orçamento!P:P,E33,Orçamento!X:X)),"")</f>
        <v>22</v>
      </c>
      <c r="H33" s="283">
        <f ca="1">IFERROR(IF(A33="","",_xlfn.XLOOKUP(E33,Insumos!A:A,Insumos!C:C)),"")</f>
        <v>400</v>
      </c>
      <c r="I33" s="283">
        <f t="shared" ca="1" si="0"/>
        <v>8800</v>
      </c>
      <c r="J33" s="284">
        <f t="shared" ca="1" si="1"/>
        <v>1.2624402313997957E-3</v>
      </c>
      <c r="K33" s="284">
        <f t="shared" ca="1" si="3"/>
        <v>6.0307708304397425E-2</v>
      </c>
    </row>
    <row r="34" spans="1:11" ht="9.6" customHeight="1" x14ac:dyDescent="0.2">
      <c r="A34" s="10" t="str">
        <f ca="1"/>
        <v>8757,31 - P3 - PORTA MADEIRA ACABAMENTO MELAMÍNICO BRANCO - ABRIR (E. VERTIVAL) - 60X210</v>
      </c>
      <c r="B34" s="10">
        <f ca="1">IF(OR(A34="",A34=0),"",LARGE($B$8:B33,1)+1)</f>
        <v>26</v>
      </c>
      <c r="C34" s="7"/>
      <c r="D34" s="279">
        <f ca="1">IF(A34="","",COUNTIF(Orçamento!P:P,A34))</f>
        <v>0</v>
      </c>
      <c r="E34" s="280" t="str">
        <f ca="1">IFERROR(IF(A34="","",_xlfn.XLOOKUP(A34,'ABC Insumos Apoio'!C:C,'ABC Insumos Apoio'!A:A)),"")</f>
        <v>P3 - PORTA MADEIRA ACABAMENTO MELAMÍNICO BRANCO - ABRIR (E. VERTIVAL) - 60X210</v>
      </c>
      <c r="F34" s="281" t="str">
        <f ca="1">IFERROR(IF(A34="","",_xlfn.XLOOKUP(E34,Insumos!A:A,Insumos!B:B)),"")</f>
        <v>UN</v>
      </c>
      <c r="G34" s="282">
        <f ca="1">IFERROR(IF(A34="","",SUMIF(Orçamento!P:P,E34,Orçamento!X:X)),"")</f>
        <v>20</v>
      </c>
      <c r="H34" s="283">
        <f ca="1">IFERROR(IF(A34="","",_xlfn.XLOOKUP(E34,Insumos!A:A,Insumos!C:C)),"")</f>
        <v>437.8655</v>
      </c>
      <c r="I34" s="283">
        <f t="shared" ca="1" si="0"/>
        <v>8757.31</v>
      </c>
      <c r="J34" s="284">
        <f t="shared" ca="1" si="1"/>
        <v>1.2563159616863346E-3</v>
      </c>
      <c r="K34" s="284">
        <f t="shared" ca="1" si="3"/>
        <v>6.1564024266083761E-2</v>
      </c>
    </row>
    <row r="35" spans="1:11" ht="9.6" customHeight="1" x14ac:dyDescent="0.2">
      <c r="A35" s="10" t="str">
        <f ca="1"/>
        <v>86974,03 - TINTA ACRILICO PREMIUM FOSCO</v>
      </c>
      <c r="B35" s="10">
        <f ca="1">IF(OR(A35="",A35=0),"",LARGE($B$8:B34,1)+1)</f>
        <v>27</v>
      </c>
      <c r="C35" s="7"/>
      <c r="D35" s="279">
        <f ca="1">IF(A35="","",COUNTIF(Orçamento!P:P,A35))</f>
        <v>0</v>
      </c>
      <c r="E35" s="280" t="str">
        <f ca="1">IFERROR(IF(A35="","",_xlfn.XLOOKUP(A35,'ABC Insumos Apoio'!C:C,'ABC Insumos Apoio'!A:A)),"")</f>
        <v>TINTA ACRILICO PREMIUM FOSCO</v>
      </c>
      <c r="F35" s="281" t="str">
        <f ca="1">IFERROR(IF(A35="","",_xlfn.XLOOKUP(E35,Insumos!A:A,Insumos!B:B)),"")</f>
        <v>L</v>
      </c>
      <c r="G35" s="282">
        <f ca="1">IFERROR(IF(A35="","",SUMIF(Orçamento!P:P,E35,Orçamento!X:X)),"")</f>
        <v>2981.6256444000001</v>
      </c>
      <c r="H35" s="283">
        <f ca="1">IFERROR(IF(A35="","",_xlfn.XLOOKUP(E35,Insumos!A:A,Insumos!C:C)),"")</f>
        <v>29.17</v>
      </c>
      <c r="I35" s="283">
        <f t="shared" ca="1" si="0"/>
        <v>86974.020047148006</v>
      </c>
      <c r="J35" s="284">
        <f t="shared" ca="1" si="1"/>
        <v>1.2477216135692273E-2</v>
      </c>
      <c r="K35" s="284">
        <f t="shared" ca="1" si="3"/>
        <v>7.4041240401776037E-2</v>
      </c>
    </row>
    <row r="36" spans="1:11" ht="9.6" customHeight="1" x14ac:dyDescent="0.2">
      <c r="A36" s="10" t="str">
        <f ca="1"/>
        <v>850 - FORNECIMENTO DE M.O. PARA INSTALACAO DE EXAUSTAO DE CHURRASQUEIRAS</v>
      </c>
      <c r="B36" s="10">
        <f ca="1">IF(OR(A36="",A36=0),"",LARGE($B$8:B35,1)+1)</f>
        <v>28</v>
      </c>
      <c r="C36" s="7"/>
      <c r="D36" s="279">
        <f ca="1">IF(A36="","",COUNTIF(Orçamento!P:P,A36))</f>
        <v>0</v>
      </c>
      <c r="E36" s="280" t="str">
        <f ca="1">IFERROR(IF(A36="","",_xlfn.XLOOKUP(A36,'ABC Insumos Apoio'!C:C,'ABC Insumos Apoio'!A:A)),"")</f>
        <v>FORNECIMENTO DE M.O. PARA INSTALACAO DE EXAUSTAO DE CHURRASQUEIRAS</v>
      </c>
      <c r="F36" s="281" t="str">
        <f ca="1">IFERROR(IF(A36="","",_xlfn.XLOOKUP(E36,Insumos!A:A,Insumos!B:B)),"")</f>
        <v>VB</v>
      </c>
      <c r="G36" s="282">
        <f ca="1">IFERROR(IF(A36="","",SUMIF(Orçamento!P:P,E36,Orçamento!X:X)),"")</f>
        <v>1</v>
      </c>
      <c r="H36" s="283">
        <f ca="1">IFERROR(IF(A36="","",_xlfn.XLOOKUP(E36,Insumos!A:A,Insumos!C:C)),"")</f>
        <v>850</v>
      </c>
      <c r="I36" s="283">
        <f t="shared" ca="1" si="0"/>
        <v>850</v>
      </c>
      <c r="J36" s="284">
        <f t="shared" ca="1" si="1"/>
        <v>1.2194024962384391E-4</v>
      </c>
      <c r="K36" s="284">
        <f t="shared" ca="1" si="3"/>
        <v>7.4163180651399888E-2</v>
      </c>
    </row>
    <row r="37" spans="1:11" ht="9.6" customHeight="1" x14ac:dyDescent="0.2">
      <c r="A37" s="10" t="str">
        <f ca="1"/>
        <v>8400 - MÃO DE OBRA PARA TRATAMENTO DE RALO</v>
      </c>
      <c r="B37" s="10">
        <f ca="1">IF(OR(A37="",A37=0),"",LARGE($B$8:B36,1)+1)</f>
        <v>29</v>
      </c>
      <c r="C37" s="7"/>
      <c r="D37" s="279">
        <f ca="1">IF(A37="","",COUNTIF(Orçamento!P:P,A37))</f>
        <v>0</v>
      </c>
      <c r="E37" s="280" t="str">
        <f ca="1">IFERROR(IF(A37="","",_xlfn.XLOOKUP(A37,'ABC Insumos Apoio'!C:C,'ABC Insumos Apoio'!A:A)),"")</f>
        <v>MÃO DE OBRA PARA TRATAMENTO DE RALO</v>
      </c>
      <c r="F37" s="281" t="str">
        <f ca="1">IFERROR(IF(A37="","",_xlfn.XLOOKUP(E37,Insumos!A:A,Insumos!B:B)),"")</f>
        <v>UN</v>
      </c>
      <c r="G37" s="282">
        <f ca="1">IFERROR(IF(A37="","",SUMIF(Orçamento!P:P,E37,Orçamento!X:X)),"")</f>
        <v>105</v>
      </c>
      <c r="H37" s="283">
        <f ca="1">IFERROR(IF(A37="","",_xlfn.XLOOKUP(E37,Insumos!A:A,Insumos!C:C)),"")</f>
        <v>80</v>
      </c>
      <c r="I37" s="283">
        <f t="shared" ca="1" si="0"/>
        <v>8400</v>
      </c>
      <c r="J37" s="284">
        <f t="shared" ca="1" si="1"/>
        <v>1.2050565845179869E-3</v>
      </c>
      <c r="K37" s="284">
        <f t="shared" ca="1" si="3"/>
        <v>7.5368237235917873E-2</v>
      </c>
    </row>
    <row r="38" spans="1:11" ht="9.6" customHeight="1" x14ac:dyDescent="0.2">
      <c r="A38" s="10" t="str">
        <f ca="1"/>
        <v>840 - FORNECIMENTO DE M.O. PARA EQUIPAMENTO DE AR CONDICIONADO</v>
      </c>
      <c r="B38" s="10">
        <f ca="1">IF(OR(A38="",A38=0),"",LARGE($B$8:B37,1)+1)</f>
        <v>30</v>
      </c>
      <c r="C38" s="7"/>
      <c r="D38" s="279">
        <f ca="1">IF(A38="","",COUNTIF(Orçamento!P:P,A38))</f>
        <v>0</v>
      </c>
      <c r="E38" s="280" t="str">
        <f ca="1">IFERROR(IF(A38="","",_xlfn.XLOOKUP(A38,'ABC Insumos Apoio'!C:C,'ABC Insumos Apoio'!A:A)),"")</f>
        <v>FORNECIMENTO DE M.O. PARA EQUIPAMENTO DE AR CONDICIONADO</v>
      </c>
      <c r="F38" s="281" t="str">
        <f ca="1">IFERROR(IF(A38="","",_xlfn.XLOOKUP(E38,Insumos!A:A,Insumos!B:B)),"")</f>
        <v>UN</v>
      </c>
      <c r="G38" s="282">
        <f ca="1">IFERROR(IF(A38="","",SUMIF(Orçamento!P:P,E38,Orçamento!X:X)),"")</f>
        <v>2</v>
      </c>
      <c r="H38" s="283">
        <f ca="1">IFERROR(IF(A38="","",_xlfn.XLOOKUP(E38,Insumos!A:A,Insumos!C:C)),"")</f>
        <v>420</v>
      </c>
      <c r="I38" s="283">
        <f t="shared" ca="1" si="0"/>
        <v>840</v>
      </c>
      <c r="J38" s="284">
        <f t="shared" ca="1" si="1"/>
        <v>1.2050565845179869E-4</v>
      </c>
      <c r="K38" s="284">
        <f t="shared" ca="1" si="3"/>
        <v>7.5488742894369673E-2</v>
      </c>
    </row>
    <row r="39" spans="1:11" ht="9.6" customHeight="1" x14ac:dyDescent="0.2">
      <c r="A39" s="10" t="str">
        <f ca="1"/>
        <v>84,2 - CHAPA COMPENSADO RESINADA 14 MM (2,20 X 1,10)</v>
      </c>
      <c r="B39" s="10">
        <f ca="1">IF(OR(A39="",A39=0),"",LARGE($B$8:B38,1)+1)</f>
        <v>31</v>
      </c>
      <c r="C39" s="7"/>
      <c r="D39" s="279">
        <f ca="1">IF(A39="","",COUNTIF(Orçamento!P:P,A39))</f>
        <v>0</v>
      </c>
      <c r="E39" s="280" t="str">
        <f ca="1">IFERROR(IF(A39="","",_xlfn.XLOOKUP(A39,'ABC Insumos Apoio'!C:C,'ABC Insumos Apoio'!A:A)),"")</f>
        <v>CHAPA COMPENSADO RESINADA 14 MM (2,20 X 1,10)</v>
      </c>
      <c r="F39" s="281" t="str">
        <f ca="1">IFERROR(IF(A39="","",_xlfn.XLOOKUP(E39,Insumos!A:A,Insumos!B:B)),"")</f>
        <v>CH</v>
      </c>
      <c r="G39" s="282">
        <f ca="1">IFERROR(IF(A39="","",SUMIF(Orçamento!P:P,E39,Orçamento!X:X)),"")</f>
        <v>0.76540800000000009</v>
      </c>
      <c r="H39" s="283">
        <f ca="1">IFERROR(IF(A39="","",_xlfn.XLOOKUP(E39,Insumos!A:A,Insumos!C:C)),"")</f>
        <v>110</v>
      </c>
      <c r="I39" s="283">
        <f t="shared" ca="1" si="0"/>
        <v>84.194880000000012</v>
      </c>
      <c r="J39" s="284">
        <f t="shared" ca="1" si="1"/>
        <v>1.2078523157940688E-5</v>
      </c>
      <c r="K39" s="284">
        <f t="shared" ca="1" si="3"/>
        <v>7.5500821417527619E-2</v>
      </c>
    </row>
    <row r="40" spans="1:11" ht="9.6" customHeight="1" x14ac:dyDescent="0.2">
      <c r="A40" s="10" t="str">
        <f ca="1"/>
        <v>82800 - MAO DE OBRA PARA PINTURA LATEX ACRILICA EM TETO - 3 DEMAOS</v>
      </c>
      <c r="B40" s="10">
        <f ca="1">IF(OR(A40="",A40=0),"",LARGE($B$8:B39,1)+1)</f>
        <v>32</v>
      </c>
      <c r="C40" s="7"/>
      <c r="D40" s="279">
        <f ca="1">IF(A40="","",COUNTIF(Orçamento!P:P,A40))</f>
        <v>0</v>
      </c>
      <c r="E40" s="280" t="str">
        <f ca="1">IFERROR(IF(A40="","",_xlfn.XLOOKUP(A40,'ABC Insumos Apoio'!C:C,'ABC Insumos Apoio'!A:A)),"")</f>
        <v>MAO DE OBRA PARA PINTURA LATEX ACRILICA EM TETO - 3 DEMAOS</v>
      </c>
      <c r="F40" s="281" t="str">
        <f ca="1">IFERROR(IF(A40="","",_xlfn.XLOOKUP(E40,Insumos!A:A,Insumos!B:B)),"")</f>
        <v>M2</v>
      </c>
      <c r="G40" s="282">
        <f ca="1">IFERROR(IF(A40="","",SUMIF(Orçamento!P:P,E40,Orçamento!X:X)),"")</f>
        <v>1560.13</v>
      </c>
      <c r="H40" s="283">
        <f ca="1">IFERROR(IF(A40="","",_xlfn.XLOOKUP(E40,Insumos!A:A,Insumos!C:C)),"")</f>
        <v>53.07250036855902</v>
      </c>
      <c r="I40" s="283">
        <f t="shared" ca="1" si="0"/>
        <v>82799.999999999985</v>
      </c>
      <c r="J40" s="284">
        <f t="shared" ca="1" si="1"/>
        <v>1.1878414904534441E-2</v>
      </c>
      <c r="K40" s="284">
        <f t="shared" ca="1" si="3"/>
        <v>8.7379236322062057E-2</v>
      </c>
    </row>
    <row r="41" spans="1:11" ht="9.6" customHeight="1" x14ac:dyDescent="0.2">
      <c r="A41" s="10" t="str">
        <f ca="1"/>
        <v>8265,1 - G1 - JANELA METAL - GRADE VENTILAÇÃO PERMANENTE - 120X70</v>
      </c>
      <c r="B41" s="10">
        <f ca="1">IF(OR(A41="",A41=0),"",LARGE($B$8:B40,1)+1)</f>
        <v>33</v>
      </c>
      <c r="C41" s="7"/>
      <c r="D41" s="279">
        <f ca="1">IF(A41="","",COUNTIF(Orçamento!P:P,A41))</f>
        <v>0</v>
      </c>
      <c r="E41" s="280" t="str">
        <f ca="1">IFERROR(IF(A41="","",_xlfn.XLOOKUP(A41,'ABC Insumos Apoio'!C:C,'ABC Insumos Apoio'!A:A)),"")</f>
        <v>G1 - JANELA METAL - GRADE VENTILAÇÃO PERMANENTE - 120X70</v>
      </c>
      <c r="F41" s="281" t="str">
        <f ca="1">IFERROR(IF(A41="","",_xlfn.XLOOKUP(E41,Insumos!A:A,Insumos!B:B)),"")</f>
        <v>un</v>
      </c>
      <c r="G41" s="282">
        <f ca="1">IFERROR(IF(A41="","",SUMIF(Orçamento!P:P,E41,Orçamento!X:X)),"")</f>
        <v>10</v>
      </c>
      <c r="H41" s="283">
        <f ca="1">IFERROR(IF(A41="","",_xlfn.XLOOKUP(E41,Insumos!A:A,Insumos!C:C)),"")</f>
        <v>826.51</v>
      </c>
      <c r="I41" s="283">
        <f t="shared" ca="1" si="0"/>
        <v>8265.1</v>
      </c>
      <c r="J41" s="284">
        <f t="shared" ca="1" si="1"/>
        <v>1.1857039496070969E-3</v>
      </c>
      <c r="K41" s="284">
        <f t="shared" ca="1" si="3"/>
        <v>8.8564940271669154E-2</v>
      </c>
    </row>
    <row r="42" spans="1:11" ht="9.6" customHeight="1" x14ac:dyDescent="0.2">
      <c r="A42" s="10" t="str">
        <f ca="1"/>
        <v>819 - Dreno de Fundo 1.1/2"</v>
      </c>
      <c r="B42" s="10">
        <f ca="1">IF(OR(A42="",A42=0),"",LARGE($B$8:B41,1)+1)</f>
        <v>34</v>
      </c>
      <c r="C42" s="7"/>
      <c r="D42" s="279">
        <f ca="1">IF(A42="","",COUNTIF(Orçamento!P:P,A42))</f>
        <v>0</v>
      </c>
      <c r="E42" s="280" t="str">
        <f ca="1">IFERROR(IF(A42="","",_xlfn.XLOOKUP(A42,'ABC Insumos Apoio'!C:C,'ABC Insumos Apoio'!A:A)),"")</f>
        <v>Dreno de Fundo 1.1/2"</v>
      </c>
      <c r="F42" s="281" t="str">
        <f ca="1">IFERROR(IF(A42="","",_xlfn.XLOOKUP(E42,Insumos!A:A,Insumos!B:B)),"")</f>
        <v>un</v>
      </c>
      <c r="G42" s="282">
        <f ca="1">IFERROR(IF(A42="","",SUMIF(Orçamento!P:P,E42,Orçamento!X:X)),"")</f>
        <v>2</v>
      </c>
      <c r="H42" s="283">
        <f ca="1">IFERROR(IF(A42="","",_xlfn.XLOOKUP(E42,Insumos!A:A,Insumos!C:C)),"")</f>
        <v>409.5</v>
      </c>
      <c r="I42" s="283">
        <f t="shared" ca="1" si="0"/>
        <v>819</v>
      </c>
      <c r="J42" s="284">
        <f t="shared" ca="1" si="1"/>
        <v>1.1749301699050373E-4</v>
      </c>
      <c r="K42" s="284">
        <f t="shared" ca="1" si="3"/>
        <v>8.8682433288659657E-2</v>
      </c>
    </row>
    <row r="43" spans="1:11" ht="9.6" customHeight="1" x14ac:dyDescent="0.2">
      <c r="A43" s="10" t="str">
        <f ca="1"/>
        <v>8129,21 - Demolicao com retirada de entulho ate nivel do piso</v>
      </c>
      <c r="B43" s="10">
        <f ca="1">IF(OR(A43="",A43=0),"",LARGE($B$8:B42,1)+1)</f>
        <v>35</v>
      </c>
      <c r="C43" s="7"/>
      <c r="D43" s="279">
        <f ca="1">IF(A43="","",COUNTIF(Orçamento!P:P,A43))</f>
        <v>0</v>
      </c>
      <c r="E43" s="280" t="str">
        <f ca="1">IFERROR(IF(A43="","",_xlfn.XLOOKUP(A43,'ABC Insumos Apoio'!C:C,'ABC Insumos Apoio'!A:A)),"")</f>
        <v>Demolicao com retirada de entulho ate nivel do piso</v>
      </c>
      <c r="F43" s="281" t="str">
        <f ca="1">IFERROR(IF(A43="","",_xlfn.XLOOKUP(E43,Insumos!A:A,Insumos!B:B)),"")</f>
        <v>VB</v>
      </c>
      <c r="G43" s="282">
        <f ca="1">IFERROR(IF(A43="","",SUMIF(Orçamento!P:P,E43,Orçamento!X:X)),"")</f>
        <v>1</v>
      </c>
      <c r="H43" s="283">
        <f ca="1">IFERROR(IF(A43="","",_xlfn.XLOOKUP(E43,Insumos!A:A,Insumos!C:C)),"")</f>
        <v>8129.21</v>
      </c>
      <c r="I43" s="283">
        <f t="shared" ca="1" si="0"/>
        <v>8129.21</v>
      </c>
      <c r="J43" s="284">
        <f t="shared" ca="1" si="1"/>
        <v>1.1662092901701742E-3</v>
      </c>
      <c r="K43" s="284">
        <f t="shared" ca="1" si="3"/>
        <v>8.9848642578829838E-2</v>
      </c>
    </row>
    <row r="44" spans="1:11" ht="9.6" customHeight="1" x14ac:dyDescent="0.2">
      <c r="A44" s="10" t="str">
        <f ca="1"/>
        <v>81011,09 - ARGAMASSA ESTABILIZADA P/ CONTRAPISO</v>
      </c>
      <c r="B44" s="10">
        <f ca="1">IF(OR(A44="",A44=0),"",LARGE($B$8:B43,1)+1)</f>
        <v>36</v>
      </c>
      <c r="C44" s="7"/>
      <c r="D44" s="279">
        <f ca="1">IF(A44="","",COUNTIF(Orçamento!P:P,A44))</f>
        <v>0</v>
      </c>
      <c r="E44" s="280" t="str">
        <f ca="1">IFERROR(IF(A44="","",_xlfn.XLOOKUP(A44,'ABC Insumos Apoio'!C:C,'ABC Insumos Apoio'!A:A)),"")</f>
        <v>ARGAMASSA ESTABILIZADA P/ CONTRAPISO</v>
      </c>
      <c r="F44" s="281" t="str">
        <f ca="1">IFERROR(IF(A44="","",_xlfn.XLOOKUP(E44,Insumos!A:A,Insumos!B:B)),"")</f>
        <v>M3</v>
      </c>
      <c r="G44" s="282">
        <f ca="1">IFERROR(IF(A44="","",SUMIF(Orçamento!P:P,E44,Orçamento!X:X)),"")</f>
        <v>190.61432500000001</v>
      </c>
      <c r="H44" s="283">
        <f ca="1">IFERROR(IF(A44="","",_xlfn.XLOOKUP(E44,Insumos!A:A,Insumos!C:C)),"")</f>
        <v>425</v>
      </c>
      <c r="I44" s="283">
        <f t="shared" ca="1" si="0"/>
        <v>81011.088125000009</v>
      </c>
      <c r="J44" s="284">
        <f t="shared" ca="1" si="1"/>
        <v>1.1621779186190256E-2</v>
      </c>
      <c r="K44" s="284">
        <f t="shared" ca="1" si="3"/>
        <v>0.10147042176502009</v>
      </c>
    </row>
    <row r="45" spans="1:11" ht="9.6" customHeight="1" x14ac:dyDescent="0.2">
      <c r="A45" s="10" t="str">
        <f ca="1"/>
        <v>80,66 - TINTA ACRILICA PARA PISO</v>
      </c>
      <c r="B45" s="10">
        <f ca="1">IF(OR(A45="",A45=0),"",LARGE($B$8:B44,1)+1)</f>
        <v>37</v>
      </c>
      <c r="C45" s="7"/>
      <c r="D45" s="279">
        <f ca="1">IF(A45="","",COUNTIF(Orçamento!P:P,A45))</f>
        <v>0</v>
      </c>
      <c r="E45" s="280" t="str">
        <f ca="1">IFERROR(IF(A45="","",_xlfn.XLOOKUP(A45,'ABC Insumos Apoio'!C:C,'ABC Insumos Apoio'!A:A)),"")</f>
        <v>TINTA ACRILICA PARA PISO</v>
      </c>
      <c r="F45" s="281" t="str">
        <f ca="1">IFERROR(IF(A45="","",_xlfn.XLOOKUP(E45,Insumos!A:A,Insumos!B:B)),"")</f>
        <v>L</v>
      </c>
      <c r="G45" s="282">
        <f ca="1">IFERROR(IF(A45="","",SUMIF(Orçamento!P:P,E45,Orçamento!X:X)),"")</f>
        <v>7.3923947999999999</v>
      </c>
      <c r="H45" s="283">
        <f ca="1">IFERROR(IF(A45="","",_xlfn.XLOOKUP(E45,Insumos!A:A,Insumos!C:C)),"")</f>
        <v>10.91</v>
      </c>
      <c r="I45" s="283">
        <f t="shared" ca="1" si="0"/>
        <v>80.651027268000007</v>
      </c>
      <c r="J45" s="284">
        <f t="shared" ca="1" si="1"/>
        <v>1.1570125173505132E-5</v>
      </c>
      <c r="K45" s="284">
        <f t="shared" ca="1" si="3"/>
        <v>0.10148199189019359</v>
      </c>
    </row>
    <row r="46" spans="1:11" ht="9.6" customHeight="1" x14ac:dyDescent="0.2">
      <c r="A46" s="10" t="str">
        <f ca="1"/>
        <v>8,43 - GANCHO CHATO ACO CARBONO P/TELHA TIPO "L" 1/2"X1/8"X140MM</v>
      </c>
      <c r="B46" s="10">
        <f ca="1">IF(OR(A46="",A46=0),"",LARGE($B$8:B45,1)+1)</f>
        <v>38</v>
      </c>
      <c r="C46" s="7"/>
      <c r="D46" s="279">
        <f ca="1">IF(A46="","",COUNTIF(Orçamento!P:P,A46))</f>
        <v>0</v>
      </c>
      <c r="E46" s="280" t="str">
        <f ca="1">IFERROR(IF(A46="","",_xlfn.XLOOKUP(A46,'ABC Insumos Apoio'!C:C,'ABC Insumos Apoio'!A:A)),"")</f>
        <v>GANCHO CHATO ACO CARBONO P/TELHA TIPO "L" 1/2"X1/8"X140MM</v>
      </c>
      <c r="F46" s="281" t="str">
        <f ca="1">IFERROR(IF(A46="","",_xlfn.XLOOKUP(E46,Insumos!A:A,Insumos!B:B)),"")</f>
        <v>UN</v>
      </c>
      <c r="G46" s="282">
        <f ca="1">IFERROR(IF(A46="","",SUMIF(Orçamento!P:P,E46,Orçamento!X:X)),"")</f>
        <v>60.19</v>
      </c>
      <c r="H46" s="283">
        <f ca="1">IFERROR(IF(A46="","",_xlfn.XLOOKUP(E46,Insumos!A:A,Insumos!C:C)),"")</f>
        <v>0.14000000000000001</v>
      </c>
      <c r="I46" s="283">
        <f t="shared" ca="1" si="0"/>
        <v>8.4266000000000005</v>
      </c>
      <c r="J46" s="284">
        <f t="shared" ca="1" si="1"/>
        <v>1.2088725970356273E-6</v>
      </c>
      <c r="K46" s="284">
        <f t="shared" ca="1" si="3"/>
        <v>0.10148320076279063</v>
      </c>
    </row>
    <row r="47" spans="1:11" ht="9.6" customHeight="1" x14ac:dyDescent="0.2">
      <c r="A47" s="10" t="str">
        <f ca="1"/>
        <v>795,71 - Clip Para Cabo de Aço 1/2</v>
      </c>
      <c r="B47" s="10">
        <f ca="1">IF(OR(A47="",A47=0),"",LARGE($B$8:B46,1)+1)</f>
        <v>39</v>
      </c>
      <c r="C47" s="7"/>
      <c r="D47" s="279">
        <f ca="1">IF(A47="","",COUNTIF(Orçamento!P:P,A47))</f>
        <v>0</v>
      </c>
      <c r="E47" s="280" t="str">
        <f ca="1">IFERROR(IF(A47="","",_xlfn.XLOOKUP(A47,'ABC Insumos Apoio'!C:C,'ABC Insumos Apoio'!A:A)),"")</f>
        <v>Clip Para Cabo de Aço 1/2</v>
      </c>
      <c r="F47" s="281" t="str">
        <f ca="1">IFERROR(IF(A47="","",_xlfn.XLOOKUP(E47,Insumos!A:A,Insumos!B:B)),"")</f>
        <v>un</v>
      </c>
      <c r="G47" s="282">
        <f ca="1">IFERROR(IF(A47="","",SUMIF(Orçamento!P:P,E47,Orçamento!X:X)),"")</f>
        <v>176.82351199999999</v>
      </c>
      <c r="H47" s="283">
        <f ca="1">IFERROR(IF(A47="","",_xlfn.XLOOKUP(E47,Insumos!A:A,Insumos!C:C)),"")</f>
        <v>4.5</v>
      </c>
      <c r="I47" s="283">
        <f t="shared" ca="1" si="0"/>
        <v>795.70580399999994</v>
      </c>
      <c r="J47" s="284">
        <f t="shared" ca="1" si="1"/>
        <v>1.1415125219635461E-4</v>
      </c>
      <c r="K47" s="284">
        <f t="shared" ca="1" si="3"/>
        <v>0.10159735201498699</v>
      </c>
    </row>
    <row r="48" spans="1:11" ht="9.6" customHeight="1" x14ac:dyDescent="0.2">
      <c r="A48" s="10" t="str">
        <f ca="1"/>
        <v>795,36 - BLOCO CONCRETO VEDACAO 14 X 19 X 29 CM</v>
      </c>
      <c r="B48" s="10">
        <f ca="1">IF(OR(A48="",A48=0),"",LARGE($B$8:B47,1)+1)</f>
        <v>40</v>
      </c>
      <c r="C48" s="7"/>
      <c r="D48" s="279">
        <f ca="1">IF(A48="","",COUNTIF(Orçamento!P:P,A48))</f>
        <v>0</v>
      </c>
      <c r="E48" s="280" t="str">
        <f ca="1">IFERROR(IF(A48="","",_xlfn.XLOOKUP(A48,'ABC Insumos Apoio'!C:C,'ABC Insumos Apoio'!A:A)),"")</f>
        <v>BLOCO CONCRETO VEDACAO 14 X 19 X 29 CM</v>
      </c>
      <c r="F48" s="281" t="str">
        <f ca="1">IFERROR(IF(A48="","",_xlfn.XLOOKUP(E48,Insumos!A:A,Insumos!B:B)),"")</f>
        <v>UN</v>
      </c>
      <c r="G48" s="282">
        <f ca="1">IFERROR(IF(A48="","",SUMIF(Orçamento!P:P,E48,Orçamento!X:X)),"")</f>
        <v>484.38</v>
      </c>
      <c r="H48" s="283">
        <f ca="1">IFERROR(IF(A48="","",_xlfn.XLOOKUP(E48,Insumos!A:A,Insumos!C:C)),"")</f>
        <v>1.6420000000000001</v>
      </c>
      <c r="I48" s="283">
        <f t="shared" ca="1" si="0"/>
        <v>795.35196000000008</v>
      </c>
      <c r="J48" s="284">
        <f t="shared" ca="1" si="1"/>
        <v>1.141004900484865E-4</v>
      </c>
      <c r="K48" s="284">
        <f t="shared" ca="1" si="3"/>
        <v>0.10171145250503547</v>
      </c>
    </row>
    <row r="49" spans="1:11" ht="9.6" customHeight="1" x14ac:dyDescent="0.2">
      <c r="A49" s="10" t="str">
        <f ca="1"/>
        <v>79,8 - TORNEIRA LATAO CROMADO PAREDE P/TANQUE 1/2" C33 C/SAIDA P/MAQUINA</v>
      </c>
      <c r="B49" s="10">
        <f ca="1">IF(OR(A49="",A49=0),"",LARGE($B$8:B48,1)+1)</f>
        <v>41</v>
      </c>
      <c r="C49" s="7"/>
      <c r="D49" s="279">
        <f ca="1">IF(A49="","",COUNTIF(Orçamento!P:P,A49))</f>
        <v>0</v>
      </c>
      <c r="E49" s="280" t="str">
        <f ca="1">IFERROR(IF(A49="","",_xlfn.XLOOKUP(A49,'ABC Insumos Apoio'!C:C,'ABC Insumos Apoio'!A:A)),"")</f>
        <v>TORNEIRA LATAO CROMADO PAREDE P/TANQUE 1/2" C33 C/SAIDA P/MAQUINA</v>
      </c>
      <c r="F49" s="281" t="str">
        <f ca="1">IFERROR(IF(A49="","",_xlfn.XLOOKUP(E49,Insumos!A:A,Insumos!B:B)),"")</f>
        <v>un</v>
      </c>
      <c r="G49" s="282">
        <f ca="1">IFERROR(IF(A49="","",SUMIF(Orçamento!P:P,E49,Orçamento!X:X)),"")</f>
        <v>2</v>
      </c>
      <c r="H49" s="283">
        <f ca="1">IFERROR(IF(A49="","",_xlfn.XLOOKUP(E49,Insumos!A:A,Insumos!C:C)),"")</f>
        <v>39.9</v>
      </c>
      <c r="I49" s="283">
        <f t="shared" ca="1" si="0"/>
        <v>79.8</v>
      </c>
      <c r="J49" s="284">
        <f t="shared" ca="1" si="1"/>
        <v>1.1448037552920876E-5</v>
      </c>
      <c r="K49" s="284">
        <f t="shared" ca="1" si="3"/>
        <v>0.10172290054258838</v>
      </c>
    </row>
    <row r="50" spans="1:11" ht="9.6" customHeight="1" x14ac:dyDescent="0.2">
      <c r="A50" s="10" t="str">
        <f ca="1"/>
        <v>7800,34 - PONTOS DE TOMADA E INTERRUPTORES - TIPO (x5)</v>
      </c>
      <c r="B50" s="10">
        <f ca="1">IF(OR(A50="",A50=0),"",LARGE($B$8:B49,1)+1)</f>
        <v>42</v>
      </c>
      <c r="C50" s="7"/>
      <c r="D50" s="279">
        <f ca="1">IF(A50="","",COUNTIF(Orçamento!P:P,A50))</f>
        <v>0</v>
      </c>
      <c r="E50" s="280" t="str">
        <f ca="1">IFERROR(IF(A50="","",_xlfn.XLOOKUP(A50,'ABC Insumos Apoio'!C:C,'ABC Insumos Apoio'!A:A)),"")</f>
        <v>PONTOS DE TOMADA E INTERRUPTORES - TIPO (x5)</v>
      </c>
      <c r="F50" s="281" t="str">
        <f ca="1">IFERROR(IF(A50="","",_xlfn.XLOOKUP(E50,Insumos!A:A,Insumos!B:B)),"")</f>
        <v>VB</v>
      </c>
      <c r="G50" s="282">
        <f ca="1">IFERROR(IF(A50="","",SUMIF(Orçamento!P:P,E50,Orçamento!X:X)),"")</f>
        <v>1</v>
      </c>
      <c r="H50" s="283">
        <f ca="1">IFERROR(IF(A50="","",_xlfn.XLOOKUP(E50,Insumos!A:A,Insumos!C:C)),"")</f>
        <v>7800.3311279440804</v>
      </c>
      <c r="I50" s="283">
        <f t="shared" ca="1" si="0"/>
        <v>7800.3311279440804</v>
      </c>
      <c r="J50" s="284">
        <f t="shared" ca="1" si="1"/>
        <v>1.1190286175178131E-3</v>
      </c>
      <c r="K50" s="284">
        <f t="shared" ca="1" si="3"/>
        <v>0.10284192916010619</v>
      </c>
    </row>
    <row r="51" spans="1:11" ht="9.6" customHeight="1" x14ac:dyDescent="0.2">
      <c r="A51" s="10" t="str">
        <f ca="1"/>
        <v>7800 - SERVICO ELEVADOR SOCIAL - MANUTENCAO CORRETIVA (AVULSA)</v>
      </c>
      <c r="B51" s="10">
        <f ca="1">IF(OR(A51="",A51=0),"",LARGE($B$8:B50,1)+1)</f>
        <v>43</v>
      </c>
      <c r="C51" s="7"/>
      <c r="D51" s="279">
        <f ca="1">IF(A51="","",COUNTIF(Orçamento!P:P,A51))</f>
        <v>0</v>
      </c>
      <c r="E51" s="280" t="str">
        <f ca="1">IFERROR(IF(A51="","",_xlfn.XLOOKUP(A51,'ABC Insumos Apoio'!C:C,'ABC Insumos Apoio'!A:A)),"")</f>
        <v>SERVICO ELEVADOR SOCIAL - MANUTENCAO CORRETIVA (AVULSA)</v>
      </c>
      <c r="F51" s="281" t="str">
        <f ca="1">IFERROR(IF(A51="","",_xlfn.XLOOKUP(E51,Insumos!A:A,Insumos!B:B)),"")</f>
        <v>UN</v>
      </c>
      <c r="G51" s="282">
        <f ca="1">IFERROR(IF(A51="","",SUMIF(Orçamento!P:P,E51,Orçamento!X:X)),"")</f>
        <v>10</v>
      </c>
      <c r="H51" s="283">
        <f ca="1">IFERROR(IF(A51="","",_xlfn.XLOOKUP(E51,Insumos!A:A,Insumos!C:C)),"")</f>
        <v>780</v>
      </c>
      <c r="I51" s="283">
        <f t="shared" ca="1" si="0"/>
        <v>7800</v>
      </c>
      <c r="J51" s="284">
        <f t="shared" ca="1" si="1"/>
        <v>1.1189811141952735E-3</v>
      </c>
      <c r="K51" s="284">
        <f t="shared" ca="1" si="3"/>
        <v>0.10396091027430146</v>
      </c>
    </row>
    <row r="52" spans="1:11" ht="9.6" customHeight="1" x14ac:dyDescent="0.2">
      <c r="A52" s="10" t="str">
        <f ca="1"/>
        <v>7800 - LEVANTAMENTO TOPOGRAFICO</v>
      </c>
      <c r="B52" s="10">
        <f ca="1">IF(OR(A52="",A52=0),"",LARGE($B$8:B51,1)+1)</f>
        <v>44</v>
      </c>
      <c r="C52" s="7"/>
      <c r="D52" s="279">
        <f ca="1">IF(A52="","",COUNTIF(Orçamento!P:P,A52))</f>
        <v>0</v>
      </c>
      <c r="E52" s="280" t="str">
        <f ca="1">IFERROR(IF(A52="","",_xlfn.XLOOKUP(A52,'ABC Insumos Apoio'!C:C,'ABC Insumos Apoio'!A:A)),"")</f>
        <v>LEVANTAMENTO TOPOGRAFICO</v>
      </c>
      <c r="F52" s="281" t="str">
        <f ca="1">IFERROR(IF(A52="","",_xlfn.XLOOKUP(E52,Insumos!A:A,Insumos!B:B)),"")</f>
        <v>M3</v>
      </c>
      <c r="G52" s="282">
        <f ca="1">IFERROR(IF(A52="","",SUMIF(Orçamento!P:P,E52,Orçamento!X:X)),"")</f>
        <v>1</v>
      </c>
      <c r="H52" s="283">
        <f ca="1">IFERROR(IF(A52="","",_xlfn.XLOOKUP(E52,Insumos!A:A,Insumos!C:C)),"")</f>
        <v>7800</v>
      </c>
      <c r="I52" s="283">
        <f t="shared" ca="1" si="0"/>
        <v>7800</v>
      </c>
      <c r="J52" s="284">
        <f t="shared" ca="1" si="1"/>
        <v>1.1189811141952735E-3</v>
      </c>
      <c r="K52" s="284">
        <f t="shared" ca="1" si="3"/>
        <v>0.10507989138849673</v>
      </c>
    </row>
    <row r="53" spans="1:11" ht="9.6" customHeight="1" x14ac:dyDescent="0.2">
      <c r="A53" s="10" t="str">
        <f ca="1"/>
        <v>7798,73 - INSTALAÇÕES AGUA FRIA - SUBSOLO</v>
      </c>
      <c r="B53" s="10">
        <f ca="1">IF(OR(A53="",A53=0),"",LARGE($B$8:B52,1)+1)</f>
        <v>45</v>
      </c>
      <c r="C53" s="7"/>
      <c r="D53" s="279">
        <f ca="1">IF(A53="","",COUNTIF(Orçamento!P:P,A53))</f>
        <v>0</v>
      </c>
      <c r="E53" s="280" t="str">
        <f ca="1">IFERROR(IF(A53="","",_xlfn.XLOOKUP(A53,'ABC Insumos Apoio'!C:C,'ABC Insumos Apoio'!A:A)),"")</f>
        <v>INSTALAÇÕES AGUA FRIA - SUBSOLO</v>
      </c>
      <c r="F53" s="281" t="str">
        <f ca="1">IFERROR(IF(A53="","",_xlfn.XLOOKUP(E53,Insumos!A:A,Insumos!B:B)),"")</f>
        <v>UN</v>
      </c>
      <c r="G53" s="282">
        <f ca="1">IFERROR(IF(A53="","",SUMIF(Orçamento!P:P,E53,Orçamento!X:X)),"")</f>
        <v>1</v>
      </c>
      <c r="H53" s="283">
        <f ca="1">IFERROR(IF(A53="","",_xlfn.XLOOKUP(E53,Insumos!A:A,Insumos!C:C)),"")</f>
        <v>7798.7220899209133</v>
      </c>
      <c r="I53" s="283">
        <f t="shared" ca="1" si="0"/>
        <v>7798.7220899209133</v>
      </c>
      <c r="J53" s="284">
        <f t="shared" ca="1" si="1"/>
        <v>1.118797786343461E-3</v>
      </c>
      <c r="K53" s="284">
        <f t="shared" ca="1" si="3"/>
        <v>0.1061986891748402</v>
      </c>
    </row>
    <row r="54" spans="1:11" ht="9.6" customHeight="1" x14ac:dyDescent="0.2">
      <c r="A54" s="10" t="str">
        <f ca="1"/>
        <v>779,88 - LUMINÁRIAS - SUBSOLO</v>
      </c>
      <c r="B54" s="10">
        <f ca="1">IF(OR(A54="",A54=0),"",LARGE($B$8:B53,1)+1)</f>
        <v>46</v>
      </c>
      <c r="C54" s="7"/>
      <c r="D54" s="279">
        <f ca="1">IF(A54="","",COUNTIF(Orçamento!P:P,A54))</f>
        <v>0</v>
      </c>
      <c r="E54" s="280" t="str">
        <f ca="1">IFERROR(IF(A54="","",_xlfn.XLOOKUP(A54,'ABC Insumos Apoio'!C:C,'ABC Insumos Apoio'!A:A)),"")</f>
        <v>LUMINÁRIAS - SUBSOLO</v>
      </c>
      <c r="F54" s="281" t="str">
        <f ca="1">IFERROR(IF(A54="","",_xlfn.XLOOKUP(E54,Insumos!A:A,Insumos!B:B)),"")</f>
        <v>VB</v>
      </c>
      <c r="G54" s="282">
        <f ca="1">IFERROR(IF(A54="","",SUMIF(Orçamento!P:P,E54,Orçamento!X:X)),"")</f>
        <v>1</v>
      </c>
      <c r="H54" s="283">
        <f ca="1">IFERROR(IF(A54="","",_xlfn.XLOOKUP(E54,Insumos!A:A,Insumos!C:C)),"")</f>
        <v>779.87220899209137</v>
      </c>
      <c r="I54" s="283">
        <f t="shared" ca="1" si="0"/>
        <v>779.87220899209137</v>
      </c>
      <c r="J54" s="284">
        <f t="shared" ca="1" si="1"/>
        <v>1.118797786343461E-4</v>
      </c>
      <c r="K54" s="284">
        <f t="shared" ca="1" si="3"/>
        <v>0.10631056895347454</v>
      </c>
    </row>
    <row r="55" spans="1:11" ht="9.6" customHeight="1" x14ac:dyDescent="0.2">
      <c r="A55" s="10" t="str">
        <f ca="1"/>
        <v>7785,93 - P2 - PORTA MADEIRA ACABAMENTO MELAMÍNICO BRANCO - ABRIR (E. VERTIVAL) - 70X210</v>
      </c>
      <c r="B55" s="10">
        <f ca="1">IF(OR(A55="",A55=0),"",LARGE($B$8:B54,1)+1)</f>
        <v>47</v>
      </c>
      <c r="C55" s="7"/>
      <c r="D55" s="279">
        <f ca="1">IF(A55="","",COUNTIF(Orçamento!P:P,A55))</f>
        <v>0</v>
      </c>
      <c r="E55" s="280" t="str">
        <f ca="1">IFERROR(IF(A55="","",_xlfn.XLOOKUP(A55,'ABC Insumos Apoio'!C:C,'ABC Insumos Apoio'!A:A)),"")</f>
        <v>P2 - PORTA MADEIRA ACABAMENTO MELAMÍNICO BRANCO - ABRIR (E. VERTIVAL) - 70X210</v>
      </c>
      <c r="F55" s="281" t="str">
        <f ca="1">IFERROR(IF(A55="","",_xlfn.XLOOKUP(E55,Insumos!A:A,Insumos!B:B)),"")</f>
        <v>UN</v>
      </c>
      <c r="G55" s="282">
        <f ca="1">IFERROR(IF(A55="","",SUMIF(Orçamento!P:P,E55,Orçamento!X:X)),"")</f>
        <v>17</v>
      </c>
      <c r="H55" s="283">
        <f ca="1">IFERROR(IF(A55="","",_xlfn.XLOOKUP(E55,Insumos!A:A,Insumos!C:C)),"")</f>
        <v>457.99549999999999</v>
      </c>
      <c r="I55" s="283">
        <f t="shared" ca="1" si="0"/>
        <v>7785.9234999999999</v>
      </c>
      <c r="J55" s="284">
        <f t="shared" ca="1" si="1"/>
        <v>1.116961711931944E-3</v>
      </c>
      <c r="K55" s="284">
        <f t="shared" ca="1" si="3"/>
        <v>0.10742753066540649</v>
      </c>
    </row>
    <row r="56" spans="1:11" ht="9.6" customHeight="1" x14ac:dyDescent="0.2">
      <c r="A56" s="10" t="str">
        <f ca="1"/>
        <v>778,31 - MAO DE OBRA PARA PINTURA ACRILICA EM PISO</v>
      </c>
      <c r="B56" s="10">
        <f ca="1">IF(OR(A56="",A56=0),"",LARGE($B$8:B55,1)+1)</f>
        <v>48</v>
      </c>
      <c r="C56" s="7"/>
      <c r="D56" s="279">
        <f ca="1">IF(A56="","",COUNTIF(Orçamento!P:P,A56))</f>
        <v>0</v>
      </c>
      <c r="E56" s="280" t="str">
        <f ca="1">IFERROR(IF(A56="","",_xlfn.XLOOKUP(A56,'ABC Insumos Apoio'!C:C,'ABC Insumos Apoio'!A:A)),"")</f>
        <v>MAO DE OBRA PARA PINTURA ACRILICA EM PISO</v>
      </c>
      <c r="F56" s="281" t="str">
        <f ca="1">IFERROR(IF(A56="","",_xlfn.XLOOKUP(E56,Insumos!A:A,Insumos!B:B)),"")</f>
        <v>M2</v>
      </c>
      <c r="G56" s="282">
        <f ca="1">IFERROR(IF(A56="","",SUMIF(Orçamento!P:P,E56,Orçamento!X:X)),"")</f>
        <v>17.3124</v>
      </c>
      <c r="H56" s="283">
        <f ca="1">IFERROR(IF(A56="","",_xlfn.XLOOKUP(E56,Insumos!A:A,Insumos!C:C)),"")</f>
        <v>44.956704738697304</v>
      </c>
      <c r="I56" s="283">
        <f t="shared" ca="1" si="0"/>
        <v>778.30845511822326</v>
      </c>
      <c r="J56" s="284">
        <f t="shared" ca="1" si="1"/>
        <v>1.1165544388407583E-4</v>
      </c>
      <c r="K56" s="284">
        <f t="shared" ca="1" si="3"/>
        <v>0.10753918610929056</v>
      </c>
    </row>
    <row r="57" spans="1:11" ht="9.6" customHeight="1" x14ac:dyDescent="0.2">
      <c r="A57" s="10" t="str">
        <f ca="1"/>
        <v>7700 - DESPESAS DE CONSUMO - AGUA</v>
      </c>
      <c r="B57" s="10">
        <f ca="1">IF(OR(A57="",A57=0),"",LARGE($B$8:B56,1)+1)</f>
        <v>49</v>
      </c>
      <c r="C57" s="7"/>
      <c r="D57" s="279">
        <f ca="1">IF(A57="","",COUNTIF(Orçamento!P:P,A57))</f>
        <v>0</v>
      </c>
      <c r="E57" s="280" t="str">
        <f ca="1">IFERROR(IF(A57="","",_xlfn.XLOOKUP(A57,'ABC Insumos Apoio'!C:C,'ABC Insumos Apoio'!A:A)),"")</f>
        <v>DESPESAS DE CONSUMO - AGUA</v>
      </c>
      <c r="F57" s="281" t="str">
        <f ca="1">IFERROR(IF(A57="","",_xlfn.XLOOKUP(E57,Insumos!A:A,Insumos!B:B)),"")</f>
        <v>VB</v>
      </c>
      <c r="G57" s="282">
        <f ca="1">IFERROR(IF(A57="","",SUMIF(Orçamento!P:P,E57,Orçamento!X:X)),"")</f>
        <v>22</v>
      </c>
      <c r="H57" s="283">
        <f ca="1">IFERROR(IF(A57="","",_xlfn.XLOOKUP(E57,Insumos!A:A,Insumos!C:C)),"")</f>
        <v>350</v>
      </c>
      <c r="I57" s="283">
        <f t="shared" ca="1" si="0"/>
        <v>7700</v>
      </c>
      <c r="J57" s="284">
        <f t="shared" ca="1" si="1"/>
        <v>1.1046352024748213E-3</v>
      </c>
      <c r="K57" s="284">
        <f t="shared" ca="1" si="3"/>
        <v>0.10864382131176538</v>
      </c>
    </row>
    <row r="58" spans="1:11" ht="9.6" customHeight="1" x14ac:dyDescent="0.2">
      <c r="A58" s="10" t="str">
        <f ca="1"/>
        <v>7688,73 - PREGO 17 x 21 COM CABECA</v>
      </c>
      <c r="B58" s="10">
        <f ca="1">IF(OR(A58="",A58=0),"",LARGE($B$8:B57,1)+1)</f>
        <v>50</v>
      </c>
      <c r="C58" s="7"/>
      <c r="D58" s="279">
        <f ca="1">IF(A58="","",COUNTIF(Orçamento!P:P,A58))</f>
        <v>0</v>
      </c>
      <c r="E58" s="280" t="str">
        <f ca="1">IFERROR(IF(A58="","",_xlfn.XLOOKUP(A58,'ABC Insumos Apoio'!C:C,'ABC Insumos Apoio'!A:A)),"")</f>
        <v>PREGO 17 x 21 COM CABECA</v>
      </c>
      <c r="F58" s="281" t="str">
        <f ca="1">IFERROR(IF(A58="","",_xlfn.XLOOKUP(E58,Insumos!A:A,Insumos!B:B)),"")</f>
        <v>KG</v>
      </c>
      <c r="G58" s="282">
        <f ca="1">IFERROR(IF(A58="","",SUMIF(Orçamento!P:P,E58,Orçamento!X:X)),"")</f>
        <v>591.44071275559588</v>
      </c>
      <c r="H58" s="283">
        <f ca="1">IFERROR(IF(A58="","",_xlfn.XLOOKUP(E58,Insumos!A:A,Insumos!C:C)),"")</f>
        <v>13</v>
      </c>
      <c r="I58" s="283">
        <f t="shared" ca="1" si="0"/>
        <v>7688.7292658227461</v>
      </c>
      <c r="J58" s="284">
        <f t="shared" ca="1" si="1"/>
        <v>1.1030183128995057E-3</v>
      </c>
      <c r="K58" s="284">
        <f t="shared" ca="1" si="3"/>
        <v>0.10974683962466489</v>
      </c>
    </row>
    <row r="59" spans="1:11" ht="9.6" customHeight="1" x14ac:dyDescent="0.2">
      <c r="A59" s="10" t="str">
        <f ca="1"/>
        <v>762,43 - ESPUMA EXPANSIVA DE POLIURETANO 500G</v>
      </c>
      <c r="B59" s="10">
        <f ca="1">IF(OR(A59="",A59=0),"",LARGE($B$8:B58,1)+1)</f>
        <v>51</v>
      </c>
      <c r="C59" s="7"/>
      <c r="D59" s="279">
        <f ca="1">IF(A59="","",COUNTIF(Orçamento!P:P,A59))</f>
        <v>0</v>
      </c>
      <c r="E59" s="280" t="str">
        <f ca="1">IFERROR(IF(A59="","",_xlfn.XLOOKUP(A59,'ABC Insumos Apoio'!C:C,'ABC Insumos Apoio'!A:A)),"")</f>
        <v>ESPUMA EXPANSIVA DE POLIURETANO 500G</v>
      </c>
      <c r="F59" s="281" t="str">
        <f ca="1">IFERROR(IF(A59="","",_xlfn.XLOOKUP(E59,Insumos!A:A,Insumos!B:B)),"")</f>
        <v>UN</v>
      </c>
      <c r="G59" s="282">
        <f ca="1">IFERROR(IF(A59="","",SUMIF(Orçamento!P:P,E59,Orçamento!X:X)),"")</f>
        <v>30.88</v>
      </c>
      <c r="H59" s="283">
        <f ca="1">IFERROR(IF(A59="","",_xlfn.XLOOKUP(E59,Insumos!A:A,Insumos!C:C)),"")</f>
        <v>24.69</v>
      </c>
      <c r="I59" s="283">
        <f t="shared" ca="1" si="0"/>
        <v>762.42719999999997</v>
      </c>
      <c r="J59" s="284">
        <f t="shared" ca="1" si="1"/>
        <v>1.0937713304471573E-4</v>
      </c>
      <c r="K59" s="284">
        <f t="shared" ca="1" si="3"/>
        <v>0.10985621675770961</v>
      </c>
    </row>
    <row r="60" spans="1:11" ht="9.6" customHeight="1" x14ac:dyDescent="0.2">
      <c r="A60" s="10" t="str">
        <f ca="1"/>
        <v>7600 - Taxas de As Built</v>
      </c>
      <c r="B60" s="10">
        <f ca="1">IF(OR(A60="",A60=0),"",LARGE($B$8:B59,1)+1)</f>
        <v>52</v>
      </c>
      <c r="C60" s="7"/>
      <c r="D60" s="279">
        <f ca="1">IF(A60="","",COUNTIF(Orçamento!P:P,A60))</f>
        <v>0</v>
      </c>
      <c r="E60" s="280" t="str">
        <f ca="1">IFERROR(IF(A60="","",_xlfn.XLOOKUP(A60,'ABC Insumos Apoio'!C:C,'ABC Insumos Apoio'!A:A)),"")</f>
        <v>Taxas de As Built</v>
      </c>
      <c r="F60" s="281" t="str">
        <f ca="1">IFERROR(IF(A60="","",_xlfn.XLOOKUP(E60,Insumos!A:A,Insumos!B:B)),"")</f>
        <v>VB</v>
      </c>
      <c r="G60" s="282">
        <f ca="1">IFERROR(IF(A60="","",SUMIF(Orçamento!P:P,E60,Orçamento!X:X)),"")</f>
        <v>1</v>
      </c>
      <c r="H60" s="283">
        <f ca="1">IFERROR(IF(A60="","",_xlfn.XLOOKUP(E60,Insumos!A:A,Insumos!C:C)),"")</f>
        <v>7600</v>
      </c>
      <c r="I60" s="283">
        <f t="shared" ca="1" si="0"/>
        <v>7600</v>
      </c>
      <c r="J60" s="284">
        <f t="shared" ca="1" si="1"/>
        <v>1.0902892907543691E-3</v>
      </c>
      <c r="K60" s="284">
        <f t="shared" ca="1" si="3"/>
        <v>0.11094650604846398</v>
      </c>
    </row>
    <row r="61" spans="1:11" ht="9.6" customHeight="1" x14ac:dyDescent="0.2">
      <c r="A61" s="10" t="str">
        <f ca="1"/>
        <v>75566,57 - CONCRETO USINADO PARA FUNDAÇÃO</v>
      </c>
      <c r="B61" s="10">
        <f ca="1">IF(OR(A61="",A61=0),"",LARGE($B$8:B60,1)+1)</f>
        <v>53</v>
      </c>
      <c r="C61" s="7"/>
      <c r="D61" s="279">
        <f ca="1">IF(A61="","",COUNTIF(Orçamento!P:P,A61))</f>
        <v>0</v>
      </c>
      <c r="E61" s="280" t="str">
        <f ca="1">IFERROR(IF(A61="","",_xlfn.XLOOKUP(A61,'ABC Insumos Apoio'!C:C,'ABC Insumos Apoio'!A:A)),"")</f>
        <v>CONCRETO USINADO PARA FUNDAÇÃO</v>
      </c>
      <c r="F61" s="281" t="str">
        <f ca="1">IFERROR(IF(A61="","",_xlfn.XLOOKUP(E61,Insumos!A:A,Insumos!B:B)),"")</f>
        <v>VB</v>
      </c>
      <c r="G61" s="282">
        <f ca="1">IFERROR(IF(A61="","",SUMIF(Orçamento!P:P,E61,Orçamento!X:X)),"")</f>
        <v>1</v>
      </c>
      <c r="H61" s="283">
        <f ca="1">IFERROR(IF(A61="","",_xlfn.XLOOKUP(E61,Insumos!A:A,Insumos!C:C)),"")</f>
        <v>75566.564785471885</v>
      </c>
      <c r="I61" s="283">
        <f t="shared" ca="1" si="0"/>
        <v>75566.564785471885</v>
      </c>
      <c r="J61" s="284">
        <f t="shared" ca="1" si="1"/>
        <v>1.0840712674302134E-2</v>
      </c>
      <c r="K61" s="284">
        <f t="shared" ca="1" si="3"/>
        <v>0.12178721872276611</v>
      </c>
    </row>
    <row r="62" spans="1:11" ht="9.6" customHeight="1" x14ac:dyDescent="0.2">
      <c r="A62" s="10" t="str">
        <f ca="1"/>
        <v>75 - Torneira de Jardins</v>
      </c>
      <c r="B62" s="10">
        <f ca="1">IF(OR(A62="",A62=0),"",LARGE($B$8:B61,1)+1)</f>
        <v>54</v>
      </c>
      <c r="C62" s="7"/>
      <c r="D62" s="279">
        <f ca="1">IF(A62="","",COUNTIF(Orçamento!P:P,A62))</f>
        <v>0</v>
      </c>
      <c r="E62" s="280" t="str">
        <f ca="1">IFERROR(IF(A62="","",_xlfn.XLOOKUP(A62,'ABC Insumos Apoio'!C:C,'ABC Insumos Apoio'!A:A)),"")</f>
        <v>Torneira de Jardins</v>
      </c>
      <c r="F62" s="281" t="str">
        <f ca="1">IFERROR(IF(A62="","",_xlfn.XLOOKUP(E62,Insumos!A:A,Insumos!B:B)),"")</f>
        <v>un</v>
      </c>
      <c r="G62" s="282">
        <f ca="1">IFERROR(IF(A62="","",SUMIF(Orçamento!P:P,E62,Orçamento!X:X)),"")</f>
        <v>1</v>
      </c>
      <c r="H62" s="283">
        <f ca="1">IFERROR(IF(A62="","",_xlfn.XLOOKUP(E62,Insumos!A:A,Insumos!C:C)),"")</f>
        <v>75</v>
      </c>
      <c r="I62" s="283">
        <f t="shared" ca="1" si="0"/>
        <v>75</v>
      </c>
      <c r="J62" s="284">
        <f t="shared" ca="1" si="1"/>
        <v>1.0759433790339168E-5</v>
      </c>
      <c r="K62" s="284">
        <f t="shared" ca="1" si="3"/>
        <v>0.12179797815655645</v>
      </c>
    </row>
    <row r="63" spans="1:11" ht="9.6" customHeight="1" x14ac:dyDescent="0.2">
      <c r="A63" s="10" t="str">
        <f ca="1"/>
        <v>7363 - INSTALAÇÕES DE INTERFONIA E CONTROLE DE ACESSOS</v>
      </c>
      <c r="B63" s="10">
        <f ca="1">IF(OR(A63="",A63=0),"",LARGE($B$8:B62,1)+1)</f>
        <v>55</v>
      </c>
      <c r="C63" s="7"/>
      <c r="D63" s="279">
        <f ca="1">IF(A63="","",COUNTIF(Orçamento!P:P,A63))</f>
        <v>0</v>
      </c>
      <c r="E63" s="280" t="str">
        <f ca="1">IFERROR(IF(A63="","",_xlfn.XLOOKUP(A63,'ABC Insumos Apoio'!C:C,'ABC Insumos Apoio'!A:A)),"")</f>
        <v>INSTALAÇÕES DE INTERFONIA E CONTROLE DE ACESSOS</v>
      </c>
      <c r="F63" s="281" t="str">
        <f ca="1">IFERROR(IF(A63="","",_xlfn.XLOOKUP(E63,Insumos!A:A,Insumos!B:B)),"")</f>
        <v>VB</v>
      </c>
      <c r="G63" s="282">
        <f ca="1">IFERROR(IF(A63="","",SUMIF(Orçamento!P:P,E63,Orçamento!X:X)),"")</f>
        <v>1</v>
      </c>
      <c r="H63" s="283">
        <f ca="1">IFERROR(IF(A63="","",_xlfn.XLOOKUP(E63,Insumos!A:A,Insumos!C:C)),"")</f>
        <v>7363</v>
      </c>
      <c r="I63" s="283">
        <f t="shared" ca="1" si="0"/>
        <v>7363</v>
      </c>
      <c r="J63" s="284">
        <f t="shared" ca="1" si="1"/>
        <v>1.0562894799768974E-3</v>
      </c>
      <c r="K63" s="284">
        <f t="shared" ca="1" si="3"/>
        <v>0.12285426763653334</v>
      </c>
    </row>
    <row r="64" spans="1:11" ht="9.6" customHeight="1" x14ac:dyDescent="0.2">
      <c r="A64" s="10" t="str">
        <f ca="1"/>
        <v>735,3 - PINO LISO EM ACO GALVANIZADO 1/2 X 22MM COM ARRUELA</v>
      </c>
      <c r="B64" s="10">
        <f ca="1">IF(OR(A64="",A64=0),"",LARGE($B$8:B63,1)+1)</f>
        <v>56</v>
      </c>
      <c r="C64" s="7"/>
      <c r="D64" s="279">
        <f ca="1">IF(A64="","",COUNTIF(Orçamento!P:P,A64))</f>
        <v>0</v>
      </c>
      <c r="E64" s="280" t="str">
        <f ca="1">IFERROR(IF(A64="","",_xlfn.XLOOKUP(A64,'ABC Insumos Apoio'!C:C,'ABC Insumos Apoio'!A:A)),"")</f>
        <v>PINO LISO EM ACO GALVANIZADO 1/2 X 22MM COM ARRUELA</v>
      </c>
      <c r="F64" s="281" t="str">
        <f ca="1">IFERROR(IF(A64="","",_xlfn.XLOOKUP(E64,Insumos!A:A,Insumos!B:B)),"")</f>
        <v>UN</v>
      </c>
      <c r="G64" s="282">
        <f ca="1">IFERROR(IF(A64="","",SUMIF(Orçamento!P:P,E64,Orçamento!X:X)),"")</f>
        <v>2451</v>
      </c>
      <c r="H64" s="283">
        <f ca="1">IFERROR(IF(A64="","",_xlfn.XLOOKUP(E64,Insumos!A:A,Insumos!C:C)),"")</f>
        <v>0.3</v>
      </c>
      <c r="I64" s="283">
        <f t="shared" ca="1" si="0"/>
        <v>735.3</v>
      </c>
      <c r="J64" s="284">
        <f t="shared" ca="1" si="1"/>
        <v>1.054854888804852E-4</v>
      </c>
      <c r="K64" s="284">
        <f t="shared" ca="1" si="3"/>
        <v>0.12295975312541382</v>
      </c>
    </row>
    <row r="65" spans="1:11" ht="9.6" customHeight="1" x14ac:dyDescent="0.2">
      <c r="A65" s="10" t="str">
        <f ca="1"/>
        <v>735,3 - CARTUCHO 22 - CARGA LEVE PARA FINCA PINO A POLVORA</v>
      </c>
      <c r="B65" s="10">
        <f ca="1">IF(OR(A65="",A65=0),"",LARGE($B$8:B64,1)+1)</f>
        <v>57</v>
      </c>
      <c r="C65" s="7"/>
      <c r="D65" s="279">
        <f ca="1">IF(A65="","",COUNTIF(Orçamento!P:P,A65))</f>
        <v>0</v>
      </c>
      <c r="E65" s="280" t="str">
        <f ca="1">IFERROR(IF(A65="","",_xlfn.XLOOKUP(A65,'ABC Insumos Apoio'!C:C,'ABC Insumos Apoio'!A:A)),"")</f>
        <v>CARTUCHO 22 - CARGA LEVE PARA FINCA PINO A POLVORA</v>
      </c>
      <c r="F65" s="281" t="str">
        <f ca="1">IFERROR(IF(A65="","",_xlfn.XLOOKUP(E65,Insumos!A:A,Insumos!B:B)),"")</f>
        <v>UN</v>
      </c>
      <c r="G65" s="282">
        <f ca="1">IFERROR(IF(A65="","",SUMIF(Orçamento!P:P,E65,Orçamento!X:X)),"")</f>
        <v>2451</v>
      </c>
      <c r="H65" s="283">
        <f ca="1">IFERROR(IF(A65="","",_xlfn.XLOOKUP(E65,Insumos!A:A,Insumos!C:C)),"")</f>
        <v>0.3</v>
      </c>
      <c r="I65" s="283">
        <f t="shared" ca="1" si="0"/>
        <v>735.3</v>
      </c>
      <c r="J65" s="284">
        <f t="shared" ca="1" si="1"/>
        <v>1.054854888804852E-4</v>
      </c>
      <c r="K65" s="284">
        <f t="shared" ca="1" si="3"/>
        <v>0.1230652386142943</v>
      </c>
    </row>
    <row r="66" spans="1:11" ht="9.6" customHeight="1" x14ac:dyDescent="0.2">
      <c r="A66" s="10" t="str">
        <f ca="1"/>
        <v>732,16 - Pocket Former 1/2 - EHX 0009</v>
      </c>
      <c r="B66" s="10">
        <f ca="1">IF(OR(A66="",A66=0),"",LARGE($B$8:B65,1)+1)</f>
        <v>58</v>
      </c>
      <c r="C66" s="7"/>
      <c r="D66" s="279">
        <f ca="1">IF(A66="","",COUNTIF(Orçamento!P:P,A66))</f>
        <v>0</v>
      </c>
      <c r="E66" s="280" t="str">
        <f ca="1">IFERROR(IF(A66="","",_xlfn.XLOOKUP(A66,'ABC Insumos Apoio'!C:C,'ABC Insumos Apoio'!A:A)),"")</f>
        <v>Pocket Former 1/2 - EHX 0009</v>
      </c>
      <c r="F66" s="281" t="str">
        <f ca="1">IFERROR(IF(A66="","",_xlfn.XLOOKUP(E66,Insumos!A:A,Insumos!B:B)),"")</f>
        <v>UN</v>
      </c>
      <c r="G66" s="282">
        <f ca="1">IFERROR(IF(A66="","",SUMIF(Orçamento!P:P,E66,Orçamento!X:X)),"")</f>
        <v>256</v>
      </c>
      <c r="H66" s="283">
        <f ca="1">IFERROR(IF(A66="","",_xlfn.XLOOKUP(E66,Insumos!A:A,Insumos!C:C)),"")</f>
        <v>2.86</v>
      </c>
      <c r="I66" s="283">
        <f t="shared" ca="1" si="0"/>
        <v>732.16</v>
      </c>
      <c r="J66" s="284">
        <f t="shared" ca="1" si="1"/>
        <v>1.0503502725246301E-4</v>
      </c>
      <c r="K66" s="284">
        <f t="shared" ca="1" si="3"/>
        <v>0.12317027364154677</v>
      </c>
    </row>
    <row r="67" spans="1:11" ht="9.6" customHeight="1" x14ac:dyDescent="0.2">
      <c r="A67" s="10" t="str">
        <f ca="1"/>
        <v>72883,05 - FIAÇÃO - TIPO (x5)</v>
      </c>
      <c r="B67" s="10">
        <f ca="1">IF(OR(A67="",A67=0),"",LARGE($B$8:B66,1)+1)</f>
        <v>59</v>
      </c>
      <c r="C67" s="7"/>
      <c r="D67" s="279">
        <f ca="1">IF(A67="","",COUNTIF(Orçamento!P:P,A67))</f>
        <v>0</v>
      </c>
      <c r="E67" s="280" t="str">
        <f ca="1">IFERROR(IF(A67="","",_xlfn.XLOOKUP(A67,'ABC Insumos Apoio'!C:C,'ABC Insumos Apoio'!A:A)),"")</f>
        <v>FIAÇÃO - TIPO (x5)</v>
      </c>
      <c r="F67" s="281" t="str">
        <f ca="1">IFERROR(IF(A67="","",_xlfn.XLOOKUP(E67,Insumos!A:A,Insumos!B:B)),"")</f>
        <v>VB</v>
      </c>
      <c r="G67" s="282">
        <f ca="1">IFERROR(IF(A67="","",SUMIF(Orçamento!P:P,E67,Orçamento!X:X)),"")</f>
        <v>1</v>
      </c>
      <c r="H67" s="283">
        <f ca="1">IFERROR(IF(A67="","",_xlfn.XLOOKUP(E67,Insumos!A:A,Insumos!C:C)),"")</f>
        <v>72883.04738651494</v>
      </c>
      <c r="I67" s="283">
        <f t="shared" ca="1" si="0"/>
        <v>72883.04738651494</v>
      </c>
      <c r="J67" s="284">
        <f t="shared" ca="1" si="1"/>
        <v>1.0455737637244795E-2</v>
      </c>
      <c r="K67" s="284">
        <f t="shared" ca="1" si="3"/>
        <v>0.13362601127879156</v>
      </c>
    </row>
    <row r="68" spans="1:11" ht="9.6" customHeight="1" x14ac:dyDescent="0.2">
      <c r="A68" s="10" t="str">
        <f ca="1"/>
        <v>728,95 - CAIBRO MADEIRA PINUS 8CM X 8 CM</v>
      </c>
      <c r="B68" s="10">
        <f ca="1">IF(OR(A68="",A68=0),"",LARGE($B$8:B67,1)+1)</f>
        <v>60</v>
      </c>
      <c r="C68" s="7"/>
      <c r="D68" s="279">
        <f ca="1">IF(A68="","",COUNTIF(Orçamento!P:P,A68))</f>
        <v>0</v>
      </c>
      <c r="E68" s="280" t="str">
        <f ca="1">IFERROR(IF(A68="","",_xlfn.XLOOKUP(A68,'ABC Insumos Apoio'!C:C,'ABC Insumos Apoio'!A:A)),"")</f>
        <v>CAIBRO MADEIRA PINUS 8CM X 8 CM</v>
      </c>
      <c r="F68" s="281" t="str">
        <f ca="1">IFERROR(IF(A68="","",_xlfn.XLOOKUP(E68,Insumos!A:A,Insumos!B:B)),"")</f>
        <v>M3</v>
      </c>
      <c r="G68" s="282">
        <f ca="1">IFERROR(IF(A68="","",SUMIF(Orçamento!P:P,E68,Orçamento!X:X)),"")</f>
        <v>0.69423519999999994</v>
      </c>
      <c r="H68" s="283">
        <f ca="1">IFERROR(IF(A68="","",_xlfn.XLOOKUP(E68,Insumos!A:A,Insumos!C:C)),"")</f>
        <v>1050</v>
      </c>
      <c r="I68" s="283">
        <f t="shared" ca="1" si="0"/>
        <v>728.94695999999999</v>
      </c>
      <c r="J68" s="284">
        <f t="shared" ca="1" si="1"/>
        <v>1.0457408737052019E-4</v>
      </c>
      <c r="K68" s="284">
        <f t="shared" ca="1" si="3"/>
        <v>0.13373058536616209</v>
      </c>
    </row>
    <row r="69" spans="1:11" ht="9.6" customHeight="1" x14ac:dyDescent="0.2">
      <c r="A69" s="10" t="str">
        <f ca="1"/>
        <v>723,84 - IMPERMEABILIZANTE MANTA LIQUIDA BRANCA</v>
      </c>
      <c r="B69" s="10">
        <f ca="1">IF(OR(A69="",A69=0),"",LARGE($B$8:B68,1)+1)</f>
        <v>61</v>
      </c>
      <c r="C69" s="7"/>
      <c r="D69" s="279">
        <f ca="1">IF(A69="","",COUNTIF(Orçamento!P:P,A69))</f>
        <v>0</v>
      </c>
      <c r="E69" s="280" t="str">
        <f ca="1">IFERROR(IF(A69="","",_xlfn.XLOOKUP(A69,'ABC Insumos Apoio'!C:C,'ABC Insumos Apoio'!A:A)),"")</f>
        <v>IMPERMEABILIZANTE MANTA LIQUIDA BRANCA</v>
      </c>
      <c r="F69" s="281" t="str">
        <f ca="1">IFERROR(IF(A69="","",_xlfn.XLOOKUP(E69,Insumos!A:A,Insumos!B:B)),"")</f>
        <v>KG</v>
      </c>
      <c r="G69" s="282">
        <f ca="1">IFERROR(IF(A69="","",SUMIF(Orçamento!P:P,E69,Orçamento!X:X)),"")</f>
        <v>28.110000000000003</v>
      </c>
      <c r="H69" s="283">
        <f ca="1">IFERROR(IF(A69="","",_xlfn.XLOOKUP(E69,Insumos!A:A,Insumos!C:C)),"")</f>
        <v>25.75</v>
      </c>
      <c r="I69" s="283">
        <f t="shared" ca="1" si="0"/>
        <v>723.8325000000001</v>
      </c>
      <c r="J69" s="284">
        <f t="shared" ca="1" si="1"/>
        <v>1.0384037145394236E-4</v>
      </c>
      <c r="K69" s="284">
        <f t="shared" ca="1" si="3"/>
        <v>0.13383442573761603</v>
      </c>
    </row>
    <row r="70" spans="1:11" ht="9.6" customHeight="1" x14ac:dyDescent="0.2">
      <c r="A70" s="10" t="str">
        <f ca="1"/>
        <v>720,02 - Elaboracao do Programa de Prevencao dos Riscos Ambientais (PPRA)</v>
      </c>
      <c r="B70" s="10">
        <f ca="1">IF(OR(A70="",A70=0),"",LARGE($B$8:B69,1)+1)</f>
        <v>62</v>
      </c>
      <c r="C70" s="7"/>
      <c r="D70" s="279">
        <f ca="1">IF(A70="","",COUNTIF(Orçamento!P:P,A70))</f>
        <v>0</v>
      </c>
      <c r="E70" s="280" t="str">
        <f ca="1">IFERROR(IF(A70="","",_xlfn.XLOOKUP(A70,'ABC Insumos Apoio'!C:C,'ABC Insumos Apoio'!A:A)),"")</f>
        <v>Elaboracao do Programa de Prevencao dos Riscos Ambientais (PPRA)</v>
      </c>
      <c r="F70" s="281" t="str">
        <f ca="1">IFERROR(IF(A70="","",_xlfn.XLOOKUP(E70,Insumos!A:A,Insumos!B:B)),"")</f>
        <v>VB</v>
      </c>
      <c r="G70" s="282">
        <f ca="1">IFERROR(IF(A70="","",SUMIF(Orçamento!P:P,E70,Orçamento!X:X)),"")</f>
        <v>1</v>
      </c>
      <c r="H70" s="283">
        <f ca="1">IFERROR(IF(A70="","",_xlfn.XLOOKUP(E70,Insumos!A:A,Insumos!C:C)),"")</f>
        <v>720.02</v>
      </c>
      <c r="I70" s="283">
        <f t="shared" ca="1" si="0"/>
        <v>720.02</v>
      </c>
      <c r="J70" s="284">
        <f t="shared" ca="1" si="1"/>
        <v>1.0329343356960011E-4</v>
      </c>
      <c r="K70" s="284">
        <f t="shared" ca="1" si="3"/>
        <v>0.13393771917118563</v>
      </c>
    </row>
    <row r="71" spans="1:11" ht="9.6" customHeight="1" x14ac:dyDescent="0.2">
      <c r="A71" s="10" t="str">
        <f ca="1"/>
        <v>7000 - Montagem e Desmontagem de Mini-grua</v>
      </c>
      <c r="B71" s="10">
        <f ca="1">IF(OR(A71="",A71=0),"",LARGE($B$8:B70,1)+1)</f>
        <v>63</v>
      </c>
      <c r="C71" s="7"/>
      <c r="D71" s="279">
        <f ca="1">IF(A71="","",COUNTIF(Orçamento!P:P,A71))</f>
        <v>0</v>
      </c>
      <c r="E71" s="280" t="str">
        <f ca="1">IFERROR(IF(A71="","",_xlfn.XLOOKUP(A71,'ABC Insumos Apoio'!C:C,'ABC Insumos Apoio'!A:A)),"")</f>
        <v>Montagem e Desmontagem de Mini-grua</v>
      </c>
      <c r="F71" s="281" t="str">
        <f ca="1">IFERROR(IF(A71="","",_xlfn.XLOOKUP(E71,Insumos!A:A,Insumos!B:B)),"")</f>
        <v>VB</v>
      </c>
      <c r="G71" s="282">
        <f ca="1">IFERROR(IF(A71="","",SUMIF(Orçamento!P:P,E71,Orçamento!X:X)),"")</f>
        <v>1</v>
      </c>
      <c r="H71" s="283">
        <f ca="1">IFERROR(IF(A71="","",_xlfn.XLOOKUP(E71,Insumos!A:A,Insumos!C:C)),"")</f>
        <v>7000</v>
      </c>
      <c r="I71" s="283">
        <f t="shared" ca="1" si="0"/>
        <v>7000</v>
      </c>
      <c r="J71" s="284">
        <f t="shared" ca="1" si="1"/>
        <v>1.0042138204316557E-3</v>
      </c>
      <c r="K71" s="284">
        <f t="shared" ca="1" si="3"/>
        <v>0.13494193299161727</v>
      </c>
    </row>
    <row r="72" spans="1:11" ht="9.6" customHeight="1" x14ac:dyDescent="0.2">
      <c r="A72" s="10" t="str">
        <f ca="1"/>
        <v>7000 - IPTU - IMPOSTO PREDIAL E TERRITORIAL URBANO</v>
      </c>
      <c r="B72" s="10">
        <f ca="1">IF(OR(A72="",A72=0),"",LARGE($B$8:B71,1)+1)</f>
        <v>64</v>
      </c>
      <c r="C72" s="7"/>
      <c r="D72" s="279">
        <f ca="1">IF(A72="","",COUNTIF(Orçamento!P:P,A72))</f>
        <v>0</v>
      </c>
      <c r="E72" s="280" t="str">
        <f ca="1">IFERROR(IF(A72="","",_xlfn.XLOOKUP(A72,'ABC Insumos Apoio'!C:C,'ABC Insumos Apoio'!A:A)),"")</f>
        <v>IPTU - IMPOSTO PREDIAL E TERRITORIAL URBANO</v>
      </c>
      <c r="F72" s="281" t="str">
        <f ca="1">IFERROR(IF(A72="","",_xlfn.XLOOKUP(E72,Insumos!A:A,Insumos!B:B)),"")</f>
        <v>VB</v>
      </c>
      <c r="G72" s="282">
        <f ca="1">IFERROR(IF(A72="","",SUMIF(Orçamento!P:P,E72,Orçamento!X:X)),"")</f>
        <v>1</v>
      </c>
      <c r="H72" s="283">
        <f ca="1">IFERROR(IF(A72="","",_xlfn.XLOOKUP(E72,Insumos!A:A,Insumos!C:C)),"")</f>
        <v>7000</v>
      </c>
      <c r="I72" s="283">
        <f t="shared" ca="1" si="0"/>
        <v>7000</v>
      </c>
      <c r="J72" s="284">
        <f t="shared" ca="1" si="1"/>
        <v>1.0042138204316557E-3</v>
      </c>
      <c r="K72" s="284">
        <f t="shared" ca="1" si="3"/>
        <v>0.13594614681204892</v>
      </c>
    </row>
    <row r="73" spans="1:11" ht="9.6" customHeight="1" x14ac:dyDescent="0.2">
      <c r="A73" s="10" t="str">
        <f ca="1"/>
        <v>692,83 - CANTONEIRA ACO CARBONO ABAS IGUAIS 2"X1/8" (2,46KG/M) NBR 8261</v>
      </c>
      <c r="B73" s="10">
        <f ca="1">IF(OR(A73="",A73=0),"",LARGE($B$8:B72,1)+1)</f>
        <v>65</v>
      </c>
      <c r="C73" s="7"/>
      <c r="D73" s="279">
        <f ca="1">IF(A73="","",COUNTIF(Orçamento!P:P,A73))</f>
        <v>0</v>
      </c>
      <c r="E73" s="280" t="str">
        <f ca="1">IFERROR(IF(A73="","",_xlfn.XLOOKUP(A73,'ABC Insumos Apoio'!C:C,'ABC Insumos Apoio'!A:A)),"")</f>
        <v>CANTONEIRA ACO CARBONO ABAS IGUAIS 2"X1/8" (2,46KG/M) NBR 8261</v>
      </c>
      <c r="F73" s="281" t="str">
        <f ca="1">IFERROR(IF(A73="","",_xlfn.XLOOKUP(E73,Insumos!A:A,Insumos!B:B)),"")</f>
        <v>KG</v>
      </c>
      <c r="G73" s="282">
        <f ca="1">IFERROR(IF(A73="","",SUMIF(Orçamento!P:P,E73,Orçamento!X:X)),"")</f>
        <v>66.810900000000004</v>
      </c>
      <c r="H73" s="283">
        <f ca="1">IFERROR(IF(A73="","",_xlfn.XLOOKUP(E73,Insumos!A:A,Insumos!C:C)),"")</f>
        <v>10.37</v>
      </c>
      <c r="I73" s="283">
        <f t="shared" ref="I73:I136" ca="1" si="4">IFERROR(IF(E73="","",G73*H73),"")</f>
        <v>692.82903299999998</v>
      </c>
      <c r="J73" s="284">
        <f t="shared" ref="J73:J136" ca="1" si="5">IFERROR(IF(I73="","",I73/$I$6),0)</f>
        <v>9.9392641447842813E-5</v>
      </c>
      <c r="K73" s="284">
        <f t="shared" ca="1" si="3"/>
        <v>0.13604553945349676</v>
      </c>
    </row>
    <row r="74" spans="1:11" ht="9.6" customHeight="1" x14ac:dyDescent="0.2">
      <c r="A74" s="10" t="str">
        <f ca="1"/>
        <v>6916,85 - Despesas de cartório, licenças, certidões e jurídicas</v>
      </c>
      <c r="B74" s="10">
        <f ca="1">IF(OR(A74="",A74=0),"",LARGE($B$8:B73,1)+1)</f>
        <v>66</v>
      </c>
      <c r="C74" s="7"/>
      <c r="D74" s="279">
        <f ca="1">IF(A74="","",COUNTIF(Orçamento!P:P,A74))</f>
        <v>0</v>
      </c>
      <c r="E74" s="280" t="str">
        <f ca="1">IFERROR(IF(A74="","",_xlfn.XLOOKUP(A74,'ABC Insumos Apoio'!C:C,'ABC Insumos Apoio'!A:A)),"")</f>
        <v>Despesas de cartório, licenças, certidões e jurídicas</v>
      </c>
      <c r="F74" s="281" t="str">
        <f ca="1">IFERROR(IF(A74="","",_xlfn.XLOOKUP(E74,Insumos!A:A,Insumos!B:B)),"")</f>
        <v>VB</v>
      </c>
      <c r="G74" s="282">
        <f ca="1">IFERROR(IF(A74="","",SUMIF(Orçamento!P:P,E74,Orçamento!X:X)),"")</f>
        <v>1</v>
      </c>
      <c r="H74" s="283">
        <f ca="1">IFERROR(IF(A74="","",_xlfn.XLOOKUP(E74,Insumos!A:A,Insumos!C:C)),"")</f>
        <v>6916.85</v>
      </c>
      <c r="I74" s="283">
        <f t="shared" ca="1" si="4"/>
        <v>6916.85</v>
      </c>
      <c r="J74" s="284">
        <f t="shared" ca="1" si="5"/>
        <v>9.9228519483609981E-4</v>
      </c>
      <c r="K74" s="284">
        <f t="shared" ref="K74:K137" ca="1" si="6">IF(I74="","",J74+K73)</f>
        <v>0.13703782464833286</v>
      </c>
    </row>
    <row r="75" spans="1:11" ht="9.6" customHeight="1" x14ac:dyDescent="0.2">
      <c r="A75" s="10" t="str">
        <f ca="1"/>
        <v>69000 - MAO DE OBRA PARA EXECUCAO DE CONTENÇÃO</v>
      </c>
      <c r="B75" s="10">
        <f ca="1">IF(OR(A75="",A75=0),"",LARGE($B$8:B74,1)+1)</f>
        <v>67</v>
      </c>
      <c r="C75" s="7"/>
      <c r="D75" s="279">
        <f ca="1">IF(A75="","",COUNTIF(Orçamento!P:P,A75))</f>
        <v>0</v>
      </c>
      <c r="E75" s="280" t="str">
        <f ca="1">IFERROR(IF(A75="","",_xlfn.XLOOKUP(A75,'ABC Insumos Apoio'!C:C,'ABC Insumos Apoio'!A:A)),"")</f>
        <v>MAO DE OBRA PARA EXECUCAO DE CONTENÇÃO</v>
      </c>
      <c r="F75" s="281" t="str">
        <f ca="1">IFERROR(IF(A75="","",_xlfn.XLOOKUP(E75,Insumos!A:A,Insumos!B:B)),"")</f>
        <v>M2</v>
      </c>
      <c r="G75" s="282">
        <f ca="1">IFERROR(IF(A75="","",SUMIF(Orçamento!P:P,E75,Orçamento!X:X)),"")</f>
        <v>216.99340049999998</v>
      </c>
      <c r="H75" s="283">
        <f ca="1">IFERROR(IF(A75="","",_xlfn.XLOOKUP(E75,Insumos!A:A,Insumos!C:C)),"")</f>
        <v>317.98202084030663</v>
      </c>
      <c r="I75" s="283">
        <f t="shared" ca="1" si="4"/>
        <v>69000</v>
      </c>
      <c r="J75" s="284">
        <f t="shared" ca="1" si="5"/>
        <v>9.8986790871120351E-3</v>
      </c>
      <c r="K75" s="284">
        <f t="shared" ca="1" si="6"/>
        <v>0.1469365037354449</v>
      </c>
    </row>
    <row r="76" spans="1:11" ht="9.6" customHeight="1" x14ac:dyDescent="0.2">
      <c r="A76" s="10" t="str">
        <f ca="1"/>
        <v>69,5 - SIFAO PVC FLEXIVEL MULTIUSO BRANCO 63CM</v>
      </c>
      <c r="B76" s="10">
        <f ca="1">IF(OR(A76="",A76=0),"",LARGE($B$8:B75,1)+1)</f>
        <v>68</v>
      </c>
      <c r="C76" s="7"/>
      <c r="D76" s="279">
        <f ca="1">IF(A76="","",COUNTIF(Orçamento!P:P,A76))</f>
        <v>0</v>
      </c>
      <c r="E76" s="280" t="str">
        <f ca="1">IFERROR(IF(A76="","",_xlfn.XLOOKUP(A76,'ABC Insumos Apoio'!C:C,'ABC Insumos Apoio'!A:A)),"")</f>
        <v>SIFAO PVC FLEXIVEL MULTIUSO BRANCO 63CM</v>
      </c>
      <c r="F76" s="281" t="str">
        <f ca="1">IFERROR(IF(A76="","",_xlfn.XLOOKUP(E76,Insumos!A:A,Insumos!B:B)),"")</f>
        <v>un</v>
      </c>
      <c r="G76" s="282">
        <f ca="1">IFERROR(IF(A76="","",SUMIF(Orçamento!P:P,E76,Orçamento!X:X)),"")</f>
        <v>5</v>
      </c>
      <c r="H76" s="283">
        <f ca="1">IFERROR(IF(A76="","",_xlfn.XLOOKUP(E76,Insumos!A:A,Insumos!C:C)),"")</f>
        <v>13.9</v>
      </c>
      <c r="I76" s="283">
        <f t="shared" ca="1" si="4"/>
        <v>69.5</v>
      </c>
      <c r="J76" s="284">
        <f t="shared" ca="1" si="5"/>
        <v>9.9704086457142955E-6</v>
      </c>
      <c r="K76" s="284">
        <f t="shared" ca="1" si="6"/>
        <v>0.14694647414409062</v>
      </c>
    </row>
    <row r="77" spans="1:11" ht="9.6" customHeight="1" x14ac:dyDescent="0.2">
      <c r="A77" s="10" t="str">
        <f ca="1"/>
        <v>6825,2 - PONTALETE DE PINUS 2,5 X 10 CM</v>
      </c>
      <c r="B77" s="10">
        <f ca="1">IF(OR(A77="",A77=0),"",LARGE($B$8:B76,1)+1)</f>
        <v>69</v>
      </c>
      <c r="C77" s="7"/>
      <c r="D77" s="279">
        <f ca="1">IF(A77="","",COUNTIF(Orçamento!P:P,A77))</f>
        <v>0</v>
      </c>
      <c r="E77" s="280" t="str">
        <f ca="1">IFERROR(IF(A77="","",_xlfn.XLOOKUP(A77,'ABC Insumos Apoio'!C:C,'ABC Insumos Apoio'!A:A)),"")</f>
        <v>PONTALETE DE PINUS 2,5 X 10 CM</v>
      </c>
      <c r="F77" s="281" t="str">
        <f ca="1">IFERROR(IF(A77="","",_xlfn.XLOOKUP(E77,Insumos!A:A,Insumos!B:B)),"")</f>
        <v>M3</v>
      </c>
      <c r="G77" s="282">
        <f ca="1">IFERROR(IF(A77="","",SUMIF(Orçamento!P:P,E77,Orçamento!X:X)),"")</f>
        <v>5.2501536999999994</v>
      </c>
      <c r="H77" s="283">
        <f ca="1">IFERROR(IF(A77="","",_xlfn.XLOOKUP(E77,Insumos!A:A,Insumos!C:C)),"")</f>
        <v>1300</v>
      </c>
      <c r="I77" s="283">
        <f t="shared" ca="1" si="4"/>
        <v>6825.1998099999992</v>
      </c>
      <c r="J77" s="284">
        <f t="shared" ca="1" si="5"/>
        <v>9.7913713948707287E-4</v>
      </c>
      <c r="K77" s="284">
        <f t="shared" ca="1" si="6"/>
        <v>0.1479256112835777</v>
      </c>
    </row>
    <row r="78" spans="1:11" ht="9.6" customHeight="1" x14ac:dyDescent="0.2">
      <c r="A78" s="10" t="str">
        <f ca="1"/>
        <v>6774,77 - ELETRODUTOS, CAIXAS E ELETROCALHAS - TERREO</v>
      </c>
      <c r="B78" s="10">
        <f ca="1">IF(OR(A78="",A78=0),"",LARGE($B$8:B77,1)+1)</f>
        <v>70</v>
      </c>
      <c r="C78" s="7"/>
      <c r="D78" s="279">
        <f ca="1">IF(A78="","",COUNTIF(Orçamento!P:P,A78))</f>
        <v>0</v>
      </c>
      <c r="E78" s="280" t="str">
        <f ca="1">IFERROR(IF(A78="","",_xlfn.XLOOKUP(A78,'ABC Insumos Apoio'!C:C,'ABC Insumos Apoio'!A:A)),"")</f>
        <v>ELETRODUTOS, CAIXAS E ELETROCALHAS - TERREO</v>
      </c>
      <c r="F78" s="281" t="str">
        <f ca="1">IFERROR(IF(A78="","",_xlfn.XLOOKUP(E78,Insumos!A:A,Insumos!B:B)),"")</f>
        <v>VB</v>
      </c>
      <c r="G78" s="282">
        <f ca="1">IFERROR(IF(A78="","",SUMIF(Orçamento!P:P,E78,Orçamento!X:X)),"")</f>
        <v>1</v>
      </c>
      <c r="H78" s="283">
        <f ca="1">IFERROR(IF(A78="","",_xlfn.XLOOKUP(E78,Insumos!A:A,Insumos!C:C)),"")</f>
        <v>6774.769135823467</v>
      </c>
      <c r="I78" s="283">
        <f t="shared" ca="1" si="4"/>
        <v>6774.769135823467</v>
      </c>
      <c r="J78" s="284">
        <f t="shared" ca="1" si="5"/>
        <v>9.7190239948967861E-4</v>
      </c>
      <c r="K78" s="284">
        <f t="shared" ca="1" si="6"/>
        <v>0.14889751368306739</v>
      </c>
    </row>
    <row r="79" spans="1:11" ht="9.6" customHeight="1" x14ac:dyDescent="0.2">
      <c r="A79" s="10" t="str">
        <f ca="1"/>
        <v>6734,28 - CONCRETO USINADO BOMBEAVEL FCK 20 MPA BRITA 0+1 SLUMP 14+/-2</v>
      </c>
      <c r="B79" s="10">
        <f ca="1">IF(OR(A79="",A79=0),"",LARGE($B$8:B78,1)+1)</f>
        <v>71</v>
      </c>
      <c r="C79" s="7"/>
      <c r="D79" s="279">
        <f ca="1">IF(A79="","",COUNTIF(Orçamento!P:P,A79))</f>
        <v>0</v>
      </c>
      <c r="E79" s="280" t="str">
        <f ca="1">IFERROR(IF(A79="","",_xlfn.XLOOKUP(A79,'ABC Insumos Apoio'!C:C,'ABC Insumos Apoio'!A:A)),"")</f>
        <v>CONCRETO USINADO BOMBEAVEL FCK 20 MPA BRITA 0+1 SLUMP 14+/-2</v>
      </c>
      <c r="F79" s="281" t="str">
        <f ca="1">IFERROR(IF(A79="","",_xlfn.XLOOKUP(E79,Insumos!A:A,Insumos!B:B)),"")</f>
        <v>M3</v>
      </c>
      <c r="G79" s="282">
        <f ca="1">IFERROR(IF(A79="","",SUMIF(Orçamento!P:P,E79,Orçamento!X:X)),"")</f>
        <v>14.02975</v>
      </c>
      <c r="H79" s="283">
        <f ca="1">IFERROR(IF(A79="","",_xlfn.XLOOKUP(E79,Insumos!A:A,Insumos!C:C)),"")</f>
        <v>480</v>
      </c>
      <c r="I79" s="283">
        <f t="shared" ca="1" si="4"/>
        <v>6734.28</v>
      </c>
      <c r="J79" s="284">
        <f t="shared" ca="1" si="5"/>
        <v>9.6609386380807E-4</v>
      </c>
      <c r="K79" s="284">
        <f t="shared" ca="1" si="6"/>
        <v>0.14986360754687547</v>
      </c>
    </row>
    <row r="80" spans="1:11" ht="9.6" customHeight="1" x14ac:dyDescent="0.2">
      <c r="A80" s="10" t="str">
        <f ca="1"/>
        <v>6709,52 - Aco CA-50A 25,00 mm (1)</v>
      </c>
      <c r="B80" s="10">
        <f ca="1">IF(OR(A80="",A80=0),"",LARGE($B$8:B79,1)+1)</f>
        <v>72</v>
      </c>
      <c r="C80" s="7"/>
      <c r="D80" s="279">
        <f ca="1">IF(A80="","",COUNTIF(Orçamento!P:P,A80))</f>
        <v>0</v>
      </c>
      <c r="E80" s="280" t="str">
        <f ca="1">IFERROR(IF(A80="","",_xlfn.XLOOKUP(A80,'ABC Insumos Apoio'!C:C,'ABC Insumos Apoio'!A:A)),"")</f>
        <v>Aco CA-50A 25,00 mm (1)</v>
      </c>
      <c r="F80" s="281" t="str">
        <f ca="1">IFERROR(IF(A80="","",_xlfn.XLOOKUP(E80,Insumos!A:A,Insumos!B:B)),"")</f>
        <v>KG</v>
      </c>
      <c r="G80" s="282">
        <f ca="1">IFERROR(IF(A80="","",SUMIF(Orçamento!P:P,E80,Orçamento!X:X)),"")</f>
        <v>1050.002107</v>
      </c>
      <c r="H80" s="283">
        <f ca="1">IFERROR(IF(A80="","",_xlfn.XLOOKUP(E80,Insumos!A:A,Insumos!C:C)),"")</f>
        <v>6.39</v>
      </c>
      <c r="I80" s="283">
        <f t="shared" ca="1" si="4"/>
        <v>6709.5134637299998</v>
      </c>
      <c r="J80" s="284">
        <f t="shared" ca="1" si="5"/>
        <v>9.6254087837856206E-4</v>
      </c>
      <c r="K80" s="284">
        <f t="shared" ca="1" si="6"/>
        <v>0.15082614842525402</v>
      </c>
    </row>
    <row r="81" spans="1:11" ht="9.6" customHeight="1" x14ac:dyDescent="0.2">
      <c r="A81" s="10" t="str">
        <f ca="1"/>
        <v>667000 - MAO DE OBRA PARA EXECUCAO DE SUPRAESTRUTURA EM CONCRETO ARMADO</v>
      </c>
      <c r="B81" s="10">
        <f ca="1">IF(OR(A81="",A81=0),"",LARGE($B$8:B80,1)+1)</f>
        <v>73</v>
      </c>
      <c r="C81" s="7"/>
      <c r="D81" s="279">
        <f ca="1">IF(A81="","",COUNTIF(Orçamento!P:P,A81))</f>
        <v>0</v>
      </c>
      <c r="E81" s="280" t="str">
        <f ca="1">IFERROR(IF(A81="","",_xlfn.XLOOKUP(A81,'ABC Insumos Apoio'!C:C,'ABC Insumos Apoio'!A:A)),"")</f>
        <v>MAO DE OBRA PARA EXECUCAO DE SUPRAESTRUTURA EM CONCRETO ARMADO</v>
      </c>
      <c r="F81" s="281" t="str">
        <f ca="1">IFERROR(IF(A81="","",_xlfn.XLOOKUP(E81,Insumos!A:A,Insumos!B:B)),"")</f>
        <v>M2</v>
      </c>
      <c r="G81" s="282">
        <f ca="1">IFERROR(IF(A81="","",SUMIF(Orçamento!P:P,E81,Orçamento!X:X)),"")</f>
        <v>2027.4636049999999</v>
      </c>
      <c r="H81" s="283">
        <f ca="1">IFERROR(IF(A81="","",_xlfn.XLOOKUP(E81,Insumos!A:A,Insumos!C:C)),"")</f>
        <v>328.98247759174944</v>
      </c>
      <c r="I81" s="283">
        <f t="shared" ca="1" si="4"/>
        <v>667000</v>
      </c>
      <c r="J81" s="284">
        <f t="shared" ca="1" si="5"/>
        <v>9.5687231175416346E-2</v>
      </c>
      <c r="K81" s="284">
        <f t="shared" ca="1" si="6"/>
        <v>0.24651337960067038</v>
      </c>
    </row>
    <row r="82" spans="1:11" ht="9.6" customHeight="1" x14ac:dyDescent="0.2">
      <c r="A82" s="10" t="str">
        <f ca="1"/>
        <v>665,66 - REJUNTE FLEXIVEL EPOXI BICOMPONENTE NBR 14992</v>
      </c>
      <c r="B82" s="10">
        <f ca="1">IF(OR(A82="",A82=0),"",LARGE($B$8:B81,1)+1)</f>
        <v>74</v>
      </c>
      <c r="C82" s="7"/>
      <c r="D82" s="279">
        <f ca="1">IF(A82="","",COUNTIF(Orçamento!P:P,A82))</f>
        <v>0</v>
      </c>
      <c r="E82" s="280" t="str">
        <f ca="1">IFERROR(IF(A82="","",_xlfn.XLOOKUP(A82,'ABC Insumos Apoio'!C:C,'ABC Insumos Apoio'!A:A)),"")</f>
        <v>REJUNTE FLEXIVEL EPOXI BICOMPONENTE NBR 14992</v>
      </c>
      <c r="F82" s="281" t="str">
        <f ca="1">IFERROR(IF(A82="","",_xlfn.XLOOKUP(E82,Insumos!A:A,Insumos!B:B)),"")</f>
        <v>KG</v>
      </c>
      <c r="G82" s="282">
        <f ca="1">IFERROR(IF(A82="","",SUMIF(Orçamento!P:P,E82,Orçamento!X:X)),"")</f>
        <v>149.58499999999998</v>
      </c>
      <c r="H82" s="283">
        <f ca="1">IFERROR(IF(A82="","",_xlfn.XLOOKUP(E82,Insumos!A:A,Insumos!C:C)),"")</f>
        <v>4.45</v>
      </c>
      <c r="I82" s="283">
        <f t="shared" ca="1" si="4"/>
        <v>665.65324999999996</v>
      </c>
      <c r="J82" s="284">
        <f t="shared" ca="1" si="5"/>
        <v>9.5494027609321138E-5</v>
      </c>
      <c r="K82" s="284">
        <f t="shared" ca="1" si="6"/>
        <v>0.24660887362827971</v>
      </c>
    </row>
    <row r="83" spans="1:11" ht="9.6" customHeight="1" x14ac:dyDescent="0.2">
      <c r="A83" s="10" t="str">
        <f ca="1"/>
        <v>664,55 - MAO DE OBRA PARA EXECUCAO DE PISO CIMENTADO</v>
      </c>
      <c r="B83" s="10">
        <f ca="1">IF(OR(A83="",A83=0),"",LARGE($B$8:B82,1)+1)</f>
        <v>75</v>
      </c>
      <c r="C83" s="7"/>
      <c r="D83" s="279">
        <f ca="1">IF(A83="","",COUNTIF(Orçamento!P:P,A83))</f>
        <v>0</v>
      </c>
      <c r="E83" s="280" t="str">
        <f ca="1">IFERROR(IF(A83="","",_xlfn.XLOOKUP(A83,'ABC Insumos Apoio'!C:C,'ABC Insumos Apoio'!A:A)),"")</f>
        <v>MAO DE OBRA PARA EXECUCAO DE PISO CIMENTADO</v>
      </c>
      <c r="F83" s="281" t="str">
        <f ca="1">IFERROR(IF(A83="","",_xlfn.XLOOKUP(E83,Insumos!A:A,Insumos!B:B)),"")</f>
        <v>M2</v>
      </c>
      <c r="G83" s="282">
        <f ca="1">IFERROR(IF(A83="","",SUMIF(Orçamento!P:P,E83,Orçamento!X:X)),"")</f>
        <v>30.24</v>
      </c>
      <c r="H83" s="283">
        <f ca="1">IFERROR(IF(A83="","",_xlfn.XLOOKUP(E83,Insumos!A:A,Insumos!C:C)),"")</f>
        <v>21.975617726721353</v>
      </c>
      <c r="I83" s="283">
        <f t="shared" ca="1" si="4"/>
        <v>664.54268005605365</v>
      </c>
      <c r="J83" s="284">
        <f t="shared" ca="1" si="5"/>
        <v>9.5334706225568726E-5</v>
      </c>
      <c r="K83" s="284">
        <f t="shared" ca="1" si="6"/>
        <v>0.24670420833450529</v>
      </c>
    </row>
    <row r="84" spans="1:11" ht="9.6" customHeight="1" x14ac:dyDescent="0.2">
      <c r="A84" s="10" t="str">
        <f ca="1"/>
        <v>66000 - ENGENHEIRO CIVIL</v>
      </c>
      <c r="B84" s="10">
        <f ca="1">IF(OR(A84="",A84=0),"",LARGE($B$8:B83,1)+1)</f>
        <v>76</v>
      </c>
      <c r="C84" s="7"/>
      <c r="D84" s="279">
        <f ca="1">IF(A84="","",COUNTIF(Orçamento!P:P,A84))</f>
        <v>0</v>
      </c>
      <c r="E84" s="280" t="str">
        <f ca="1">IFERROR(IF(A84="","",_xlfn.XLOOKUP(A84,'ABC Insumos Apoio'!C:C,'ABC Insumos Apoio'!A:A)),"")</f>
        <v>ENGENHEIRO CIVIL</v>
      </c>
      <c r="F84" s="281" t="str">
        <f ca="1">IFERROR(IF(A84="","",_xlfn.XLOOKUP(E84,Insumos!A:A,Insumos!B:B)),"")</f>
        <v>MES</v>
      </c>
      <c r="G84" s="282">
        <f ca="1">IFERROR(IF(A84="","",SUMIF(Orçamento!P:P,E84,Orçamento!X:X)),"")</f>
        <v>22</v>
      </c>
      <c r="H84" s="283">
        <f ca="1">IFERROR(IF(A84="","",_xlfn.XLOOKUP(E84,Insumos!A:A,Insumos!C:C)),"")</f>
        <v>3000</v>
      </c>
      <c r="I84" s="283">
        <f t="shared" ca="1" si="4"/>
        <v>66000</v>
      </c>
      <c r="J84" s="284">
        <f t="shared" ca="1" si="5"/>
        <v>9.4683017354984678E-3</v>
      </c>
      <c r="K84" s="284">
        <f t="shared" ca="1" si="6"/>
        <v>0.25617251007000374</v>
      </c>
    </row>
    <row r="85" spans="1:11" ht="9.6" customHeight="1" x14ac:dyDescent="0.2">
      <c r="A85" s="10" t="str">
        <f ca="1"/>
        <v>6537,29 - TELA ARAME GALVANIZADO FIO 24 BWG MALHA 1/2"</v>
      </c>
      <c r="B85" s="10">
        <f ca="1">IF(OR(A85="",A85=0),"",LARGE($B$8:B84,1)+1)</f>
        <v>77</v>
      </c>
      <c r="C85" s="7"/>
      <c r="D85" s="279">
        <f ca="1">IF(A85="","",COUNTIF(Orçamento!P:P,A85))</f>
        <v>0</v>
      </c>
      <c r="E85" s="280" t="str">
        <f ca="1">IFERROR(IF(A85="","",_xlfn.XLOOKUP(A85,'ABC Insumos Apoio'!C:C,'ABC Insumos Apoio'!A:A)),"")</f>
        <v>TELA ARAME GALVANIZADO FIO 24 BWG MALHA 1/2"</v>
      </c>
      <c r="F85" s="281" t="str">
        <f ca="1">IFERROR(IF(A85="","",_xlfn.XLOOKUP(E85,Insumos!A:A,Insumos!B:B)),"")</f>
        <v>M2</v>
      </c>
      <c r="G85" s="282">
        <f ca="1">IFERROR(IF(A85="","",SUMIF(Orçamento!P:P,E85,Orçamento!X:X)),"")</f>
        <v>509.1345</v>
      </c>
      <c r="H85" s="283">
        <f ca="1">IFERROR(IF(A85="","",_xlfn.XLOOKUP(E85,Insumos!A:A,Insumos!C:C)),"")</f>
        <v>12.84</v>
      </c>
      <c r="I85" s="283">
        <f t="shared" ca="1" si="4"/>
        <v>6537.2869799999999</v>
      </c>
      <c r="J85" s="284">
        <f t="shared" ca="1" si="5"/>
        <v>9.3783341906341722E-4</v>
      </c>
      <c r="K85" s="284">
        <f t="shared" ca="1" si="6"/>
        <v>0.25711034348906714</v>
      </c>
    </row>
    <row r="86" spans="1:11" ht="9.6" customHeight="1" x14ac:dyDescent="0.2">
      <c r="A86" s="10" t="str">
        <f ca="1"/>
        <v>652 - CUBA ACO INOX 304 P/PIA COZINHA EMBUTIR SIMPLES Nº0 400X340X140MM</v>
      </c>
      <c r="B86" s="10">
        <f ca="1">IF(OR(A86="",A86=0),"",LARGE($B$8:B85,1)+1)</f>
        <v>78</v>
      </c>
      <c r="C86" s="7"/>
      <c r="D86" s="279">
        <f ca="1">IF(A86="","",COUNTIF(Orçamento!P:P,A86))</f>
        <v>0</v>
      </c>
      <c r="E86" s="280" t="str">
        <f ca="1">IFERROR(IF(A86="","",_xlfn.XLOOKUP(A86,'ABC Insumos Apoio'!C:C,'ABC Insumos Apoio'!A:A)),"")</f>
        <v>CUBA ACO INOX 304 P/PIA COZINHA EMBUTIR SIMPLES Nº0 400X340X140MM</v>
      </c>
      <c r="F86" s="281" t="str">
        <f ca="1">IFERROR(IF(A86="","",_xlfn.XLOOKUP(E86,Insumos!A:A,Insumos!B:B)),"")</f>
        <v>un</v>
      </c>
      <c r="G86" s="282">
        <f ca="1">IFERROR(IF(A86="","",SUMIF(Orçamento!P:P,E86,Orçamento!X:X)),"")</f>
        <v>1</v>
      </c>
      <c r="H86" s="283">
        <f ca="1">IFERROR(IF(A86="","",_xlfn.XLOOKUP(E86,Insumos!A:A,Insumos!C:C)),"")</f>
        <v>652</v>
      </c>
      <c r="I86" s="283">
        <f t="shared" ca="1" si="4"/>
        <v>652</v>
      </c>
      <c r="J86" s="284">
        <f t="shared" ca="1" si="5"/>
        <v>9.3535344417348501E-5</v>
      </c>
      <c r="K86" s="284">
        <f t="shared" ca="1" si="6"/>
        <v>0.2572038788334845</v>
      </c>
    </row>
    <row r="87" spans="1:11" ht="9.6" customHeight="1" x14ac:dyDescent="0.2">
      <c r="A87" s="10" t="str">
        <f ca="1"/>
        <v>651,9 - ANEL VEDACAO C/GUIA P/VASO SANITARIO 4"</v>
      </c>
      <c r="B87" s="10">
        <f ca="1">IF(OR(A87="",A87=0),"",LARGE($B$8:B86,1)+1)</f>
        <v>79</v>
      </c>
      <c r="C87" s="7"/>
      <c r="D87" s="279">
        <f ca="1">IF(A87="","",COUNTIF(Orçamento!P:P,A87))</f>
        <v>0</v>
      </c>
      <c r="E87" s="280" t="str">
        <f ca="1">IFERROR(IF(A87="","",_xlfn.XLOOKUP(A87,'ABC Insumos Apoio'!C:C,'ABC Insumos Apoio'!A:A)),"")</f>
        <v>ANEL VEDACAO C/GUIA P/VASO SANITARIO 4"</v>
      </c>
      <c r="F87" s="281" t="str">
        <f ca="1">IFERROR(IF(A87="","",_xlfn.XLOOKUP(E87,Insumos!A:A,Insumos!B:B)),"")</f>
        <v>un</v>
      </c>
      <c r="G87" s="282">
        <f ca="1">IFERROR(IF(A87="","",SUMIF(Orçamento!P:P,E87,Orçamento!X:X)),"")</f>
        <v>41</v>
      </c>
      <c r="H87" s="283">
        <f ca="1">IFERROR(IF(A87="","",_xlfn.XLOOKUP(E87,Insumos!A:A,Insumos!C:C)),"")</f>
        <v>15.9</v>
      </c>
      <c r="I87" s="283">
        <f t="shared" ca="1" si="4"/>
        <v>651.9</v>
      </c>
      <c r="J87" s="284">
        <f t="shared" ca="1" si="5"/>
        <v>9.3520998505628047E-5</v>
      </c>
      <c r="K87" s="284">
        <f t="shared" ca="1" si="6"/>
        <v>0.25729739983199013</v>
      </c>
    </row>
    <row r="88" spans="1:11" ht="9.6" customHeight="1" x14ac:dyDescent="0.2">
      <c r="A88" s="10" t="str">
        <f ca="1"/>
        <v>649 - ENGATE FLEXIVEL PVC 1/2"X30CM NBR 14878</v>
      </c>
      <c r="B88" s="10">
        <f ca="1">IF(OR(A88="",A88=0),"",LARGE($B$8:B87,1)+1)</f>
        <v>80</v>
      </c>
      <c r="C88" s="7"/>
      <c r="D88" s="279">
        <f ca="1">IF(A88="","",COUNTIF(Orçamento!P:P,A88))</f>
        <v>0</v>
      </c>
      <c r="E88" s="280" t="str">
        <f ca="1">IFERROR(IF(A88="","",_xlfn.XLOOKUP(A88,'ABC Insumos Apoio'!C:C,'ABC Insumos Apoio'!A:A)),"")</f>
        <v>ENGATE FLEXIVEL PVC 1/2"X30CM NBR 14878</v>
      </c>
      <c r="F88" s="281" t="str">
        <f ca="1">IFERROR(IF(A88="","",_xlfn.XLOOKUP(E88,Insumos!A:A,Insumos!B:B)),"")</f>
        <v>un</v>
      </c>
      <c r="G88" s="282">
        <f ca="1">IFERROR(IF(A88="","",SUMIF(Orçamento!P:P,E88,Orçamento!X:X)),"")</f>
        <v>44</v>
      </c>
      <c r="H88" s="283">
        <f ca="1">IFERROR(IF(A88="","",_xlfn.XLOOKUP(E88,Insumos!A:A,Insumos!C:C)),"")</f>
        <v>14.75</v>
      </c>
      <c r="I88" s="283">
        <f t="shared" ca="1" si="4"/>
        <v>649</v>
      </c>
      <c r="J88" s="284">
        <f t="shared" ca="1" si="5"/>
        <v>9.3104967065734941E-5</v>
      </c>
      <c r="K88" s="284">
        <f t="shared" ca="1" si="6"/>
        <v>0.25739050479905584</v>
      </c>
    </row>
    <row r="89" spans="1:11" ht="9.6" customHeight="1" x14ac:dyDescent="0.2">
      <c r="A89" s="10" t="str">
        <f ca="1"/>
        <v>6489,66 - QUADROS E DISJUNTORES - SUBSOLO</v>
      </c>
      <c r="B89" s="10">
        <f ca="1">IF(OR(A89="",A89=0),"",LARGE($B$8:B88,1)+1)</f>
        <v>81</v>
      </c>
      <c r="C89" s="7"/>
      <c r="D89" s="279">
        <f ca="1">IF(A89="","",COUNTIF(Orçamento!P:P,A89))</f>
        <v>0</v>
      </c>
      <c r="E89" s="280" t="str">
        <f ca="1">IFERROR(IF(A89="","",_xlfn.XLOOKUP(A89,'ABC Insumos Apoio'!C:C,'ABC Insumos Apoio'!A:A)),"")</f>
        <v>QUADROS E DISJUNTORES - SUBSOLO</v>
      </c>
      <c r="F89" s="281" t="str">
        <f ca="1">IFERROR(IF(A89="","",_xlfn.XLOOKUP(E89,Insumos!A:A,Insumos!B:B)),"")</f>
        <v>VB</v>
      </c>
      <c r="G89" s="282">
        <f ca="1">IFERROR(IF(A89="","",SUMIF(Orçamento!P:P,E89,Orçamento!X:X)),"")</f>
        <v>1</v>
      </c>
      <c r="H89" s="283">
        <f ca="1">IFERROR(IF(A89="","",_xlfn.XLOOKUP(E89,Insumos!A:A,Insumos!C:C)),"")</f>
        <v>6489.6546573177948</v>
      </c>
      <c r="I89" s="283">
        <f t="shared" ca="1" si="4"/>
        <v>6489.6546573177948</v>
      </c>
      <c r="J89" s="284">
        <f t="shared" ca="1" si="5"/>
        <v>9.3100012810102715E-4</v>
      </c>
      <c r="K89" s="284">
        <f t="shared" ca="1" si="6"/>
        <v>0.25832150492715689</v>
      </c>
    </row>
    <row r="90" spans="1:11" ht="9.6" customHeight="1" x14ac:dyDescent="0.2">
      <c r="A90" s="10" t="str">
        <f ca="1"/>
        <v>6435,84 - Ancoragem base 1/2" - EHX 0063</v>
      </c>
      <c r="B90" s="10">
        <f ca="1">IF(OR(A90="",A90=0),"",LARGE($B$8:B89,1)+1)</f>
        <v>82</v>
      </c>
      <c r="C90" s="7"/>
      <c r="D90" s="279">
        <f ca="1">IF(A90="","",COUNTIF(Orçamento!P:P,A90))</f>
        <v>0</v>
      </c>
      <c r="E90" s="280" t="str">
        <f ca="1">IFERROR(IF(A90="","",_xlfn.XLOOKUP(A90,'ABC Insumos Apoio'!C:C,'ABC Insumos Apoio'!A:A)),"")</f>
        <v>Ancoragem base 1/2" - EHX 0063</v>
      </c>
      <c r="F90" s="281" t="str">
        <f ca="1">IFERROR(IF(A90="","",_xlfn.XLOOKUP(E90,Insumos!A:A,Insumos!B:B)),"")</f>
        <v>UN</v>
      </c>
      <c r="G90" s="282">
        <f ca="1">IFERROR(IF(A90="","",SUMIF(Orçamento!P:P,E90,Orçamento!X:X)),"")</f>
        <v>512</v>
      </c>
      <c r="H90" s="283">
        <f ca="1">IFERROR(IF(A90="","",_xlfn.XLOOKUP(E90,Insumos!A:A,Insumos!C:C)),"")</f>
        <v>12.57</v>
      </c>
      <c r="I90" s="283">
        <f t="shared" ca="1" si="4"/>
        <v>6435.84</v>
      </c>
      <c r="J90" s="284">
        <f t="shared" ca="1" si="5"/>
        <v>9.2327992486955252E-4</v>
      </c>
      <c r="K90" s="284">
        <f t="shared" ca="1" si="6"/>
        <v>0.25924478485202646</v>
      </c>
    </row>
    <row r="91" spans="1:11" ht="9.6" customHeight="1" x14ac:dyDescent="0.2">
      <c r="A91" s="10" t="str">
        <f ca="1"/>
        <v>6358,83 - CIMENTO PORTLAND CP II 32 - Z</v>
      </c>
      <c r="B91" s="10">
        <f ca="1">IF(OR(A91="",A91=0),"",LARGE($B$8:B90,1)+1)</f>
        <v>83</v>
      </c>
      <c r="C91" s="7"/>
      <c r="D91" s="279">
        <f ca="1">IF(A91="","",COUNTIF(Orçamento!P:P,A91))</f>
        <v>0</v>
      </c>
      <c r="E91" s="280" t="str">
        <f ca="1">IFERROR(IF(A91="","",_xlfn.XLOOKUP(A91,'ABC Insumos Apoio'!C:C,'ABC Insumos Apoio'!A:A)),"")</f>
        <v>CIMENTO PORTLAND CP II 32 - Z</v>
      </c>
      <c r="F91" s="281" t="str">
        <f ca="1">IFERROR(IF(A91="","",_xlfn.XLOOKUP(E91,Insumos!A:A,Insumos!B:B)),"")</f>
        <v>KG</v>
      </c>
      <c r="G91" s="282">
        <f ca="1">IFERROR(IF(A91="","",SUMIF(Orçamento!P:P,E91,Orçamento!X:X)),"")</f>
        <v>8593.0020000000004</v>
      </c>
      <c r="H91" s="283">
        <f ca="1">IFERROR(IF(A91="","",_xlfn.XLOOKUP(E91,Insumos!A:A,Insumos!C:C)),"")</f>
        <v>0.74</v>
      </c>
      <c r="I91" s="283">
        <f t="shared" ca="1" si="4"/>
        <v>6358.8214800000005</v>
      </c>
      <c r="J91" s="284">
        <f t="shared" ca="1" si="5"/>
        <v>9.1223091598195368E-4</v>
      </c>
      <c r="K91" s="284">
        <f t="shared" ca="1" si="6"/>
        <v>0.26015701576800843</v>
      </c>
    </row>
    <row r="92" spans="1:11" ht="9.6" customHeight="1" x14ac:dyDescent="0.2">
      <c r="A92" s="10" t="str">
        <f ca="1"/>
        <v>63029,47 - REVESTIMENTO - HANGAR CHICAGO 60X60 NAT BOLD</v>
      </c>
      <c r="B92" s="10">
        <f ca="1">IF(OR(A92="",A92=0),"",LARGE($B$8:B91,1)+1)</f>
        <v>84</v>
      </c>
      <c r="C92" s="7"/>
      <c r="D92" s="279">
        <f ca="1">IF(A92="","",COUNTIF(Orçamento!P:P,A92))</f>
        <v>0</v>
      </c>
      <c r="E92" s="280" t="str">
        <f ca="1">IFERROR(IF(A92="","",_xlfn.XLOOKUP(A92,'ABC Insumos Apoio'!C:C,'ABC Insumos Apoio'!A:A)),"")</f>
        <v>REVESTIMENTO - HANGAR CHICAGO 60X60 NAT BOLD</v>
      </c>
      <c r="F92" s="281" t="str">
        <f ca="1">IFERROR(IF(A92="","",_xlfn.XLOOKUP(E92,Insumos!A:A,Insumos!B:B)),"")</f>
        <v>M2</v>
      </c>
      <c r="G92" s="282">
        <f ca="1">IFERROR(IF(A92="","",SUMIF(Orçamento!P:P,E92,Orçamento!X:X)),"")</f>
        <v>1394.7658700000002</v>
      </c>
      <c r="H92" s="283">
        <f ca="1">IFERROR(IF(A92="","",_xlfn.XLOOKUP(E92,Insumos!A:A,Insumos!C:C)),"")</f>
        <v>45.19</v>
      </c>
      <c r="I92" s="283">
        <f t="shared" ca="1" si="4"/>
        <v>63029.469665300006</v>
      </c>
      <c r="J92" s="284">
        <f t="shared" ca="1" si="5"/>
        <v>9.0421520760531528E-3</v>
      </c>
      <c r="K92" s="284">
        <f t="shared" ca="1" si="6"/>
        <v>0.26919916784406156</v>
      </c>
    </row>
    <row r="93" spans="1:11" ht="9.6" customHeight="1" x14ac:dyDescent="0.2">
      <c r="A93" s="10" t="str">
        <f ca="1"/>
        <v>6300 - LOCACAO DE BANHEIRO QUIMICO</v>
      </c>
      <c r="B93" s="10">
        <f ca="1">IF(OR(A93="",A93=0),"",LARGE($B$8:B92,1)+1)</f>
        <v>85</v>
      </c>
      <c r="C93" s="7"/>
      <c r="D93" s="279">
        <f ca="1">IF(A93="","",COUNTIF(Orçamento!P:P,A93))</f>
        <v>0</v>
      </c>
      <c r="E93" s="280" t="str">
        <f ca="1">IFERROR(IF(A93="","",_xlfn.XLOOKUP(A93,'ABC Insumos Apoio'!C:C,'ABC Insumos Apoio'!A:A)),"")</f>
        <v>LOCACAO DE BANHEIRO QUIMICO</v>
      </c>
      <c r="F93" s="281" t="str">
        <f ca="1">IFERROR(IF(A93="","",_xlfn.XLOOKUP(E93,Insumos!A:A,Insumos!B:B)),"")</f>
        <v>MES</v>
      </c>
      <c r="G93" s="282">
        <f ca="1">IFERROR(IF(A93="","",SUMIF(Orçamento!P:P,E93,Orçamento!X:X)),"")</f>
        <v>7</v>
      </c>
      <c r="H93" s="283">
        <f ca="1">IFERROR(IF(A93="","",_xlfn.XLOOKUP(E93,Insumos!A:A,Insumos!C:C)),"")</f>
        <v>900</v>
      </c>
      <c r="I93" s="283">
        <f t="shared" ca="1" si="4"/>
        <v>6300</v>
      </c>
      <c r="J93" s="284">
        <f t="shared" ca="1" si="5"/>
        <v>9.0379243838849016E-4</v>
      </c>
      <c r="K93" s="284">
        <f t="shared" ca="1" si="6"/>
        <v>0.27010296028245007</v>
      </c>
    </row>
    <row r="94" spans="1:11" ht="9.6" customHeight="1" x14ac:dyDescent="0.2">
      <c r="A94" s="10" t="str">
        <f ca="1"/>
        <v>627,48 - PRODUTO QUIMICO - VEDA CALHA 280G - CINZA</v>
      </c>
      <c r="B94" s="10">
        <f ca="1">IF(OR(A94="",A94=0),"",LARGE($B$8:B93,1)+1)</f>
        <v>86</v>
      </c>
      <c r="C94" s="7"/>
      <c r="D94" s="279">
        <f ca="1">IF(A94="","",COUNTIF(Orçamento!P:P,A94))</f>
        <v>0</v>
      </c>
      <c r="E94" s="280" t="str">
        <f ca="1">IFERROR(IF(A94="","",_xlfn.XLOOKUP(A94,'ABC Insumos Apoio'!C:C,'ABC Insumos Apoio'!A:A)),"")</f>
        <v>PRODUTO QUIMICO - VEDA CALHA 280G - CINZA</v>
      </c>
      <c r="F94" s="281" t="str">
        <f ca="1">IFERROR(IF(A94="","",_xlfn.XLOOKUP(E94,Insumos!A:A,Insumos!B:B)),"")</f>
        <v>UN</v>
      </c>
      <c r="G94" s="282">
        <f ca="1">IFERROR(IF(A94="","",SUMIF(Orçamento!P:P,E94,Orçamento!X:X)),"")</f>
        <v>39.464120000000001</v>
      </c>
      <c r="H94" s="283">
        <f ca="1">IFERROR(IF(A94="","",_xlfn.XLOOKUP(E94,Insumos!A:A,Insumos!C:C)),"")</f>
        <v>15.9</v>
      </c>
      <c r="I94" s="283">
        <f t="shared" ca="1" si="4"/>
        <v>627.47950800000001</v>
      </c>
      <c r="J94" s="284">
        <f t="shared" ca="1" si="5"/>
        <v>9.0017656281607958E-5</v>
      </c>
      <c r="K94" s="284">
        <f t="shared" ca="1" si="6"/>
        <v>0.27019297793873165</v>
      </c>
    </row>
    <row r="95" spans="1:11" ht="9.6" customHeight="1" x14ac:dyDescent="0.2">
      <c r="A95" s="10" t="str">
        <f ca="1"/>
        <v>62669,62 - REVESTIMENTO - HIT GRIS 80X80 NAT RET</v>
      </c>
      <c r="B95" s="10">
        <f ca="1">IF(OR(A95="",A95=0),"",LARGE($B$8:B94,1)+1)</f>
        <v>87</v>
      </c>
      <c r="C95" s="7"/>
      <c r="D95" s="279">
        <f ca="1">IF(A95="","",COUNTIF(Orçamento!P:P,A95))</f>
        <v>0</v>
      </c>
      <c r="E95" s="280" t="str">
        <f ca="1">IFERROR(IF(A95="","",_xlfn.XLOOKUP(A95,'ABC Insumos Apoio'!C:C,'ABC Insumos Apoio'!A:A)),"")</f>
        <v>REVESTIMENTO - HIT GRIS 80X80 NAT RET</v>
      </c>
      <c r="F95" s="281" t="str">
        <f ca="1">IFERROR(IF(A95="","",_xlfn.XLOOKUP(E95,Insumos!A:A,Insumos!B:B)),"")</f>
        <v>M2</v>
      </c>
      <c r="G95" s="282">
        <f ca="1">IFERROR(IF(A95="","",SUMIF(Orçamento!P:P,E95,Orçamento!X:X)),"")</f>
        <v>1039.4695000000002</v>
      </c>
      <c r="H95" s="283">
        <f ca="1">IFERROR(IF(A95="","",_xlfn.XLOOKUP(E95,Insumos!A:A,Insumos!C:C)),"")</f>
        <v>60.29</v>
      </c>
      <c r="I95" s="283">
        <f t="shared" ca="1" si="4"/>
        <v>62669.616155000011</v>
      </c>
      <c r="J95" s="284">
        <f t="shared" ca="1" si="5"/>
        <v>8.9905278091425671E-3</v>
      </c>
      <c r="K95" s="284">
        <f t="shared" ca="1" si="6"/>
        <v>0.27918350574787421</v>
      </c>
    </row>
    <row r="96" spans="1:11" ht="9.6" customHeight="1" x14ac:dyDescent="0.2">
      <c r="A96" s="10" t="str">
        <f ca="1"/>
        <v>615,98 - CUNHA PVC P/NIVELAMENTO PISO NBR 6118</v>
      </c>
      <c r="B96" s="10">
        <f ca="1">IF(OR(A96="",A96=0),"",LARGE($B$8:B95,1)+1)</f>
        <v>88</v>
      </c>
      <c r="C96" s="7"/>
      <c r="D96" s="279">
        <f ca="1">IF(A96="","",COUNTIF(Orçamento!P:P,A96))</f>
        <v>0</v>
      </c>
      <c r="E96" s="280" t="str">
        <f ca="1">IFERROR(IF(A96="","",_xlfn.XLOOKUP(A96,'ABC Insumos Apoio'!C:C,'ABC Insumos Apoio'!A:A)),"")</f>
        <v>CUNHA PVC P/NIVELAMENTO PISO NBR 6118</v>
      </c>
      <c r="F96" s="281" t="str">
        <f ca="1">IFERROR(IF(A96="","",_xlfn.XLOOKUP(E96,Insumos!A:A,Insumos!B:B)),"")</f>
        <v>UN</v>
      </c>
      <c r="G96" s="282">
        <f ca="1">IFERROR(IF(A96="","",SUMIF(Orçamento!P:P,E96,Orçamento!X:X)),"")</f>
        <v>3079.8701899999996</v>
      </c>
      <c r="H96" s="283">
        <f ca="1">IFERROR(IF(A96="","",_xlfn.XLOOKUP(E96,Insumos!A:A,Insumos!C:C)),"")</f>
        <v>0.2</v>
      </c>
      <c r="I96" s="283">
        <f t="shared" ca="1" si="4"/>
        <v>615.97403799999995</v>
      </c>
      <c r="J96" s="284">
        <f t="shared" ca="1" si="5"/>
        <v>8.8367091712384827E-5</v>
      </c>
      <c r="K96" s="284">
        <f t="shared" ca="1" si="6"/>
        <v>0.2792718728395866</v>
      </c>
    </row>
    <row r="97" spans="1:11" ht="9.6" customHeight="1" x14ac:dyDescent="0.2">
      <c r="A97" s="10" t="str">
        <f ca="1"/>
        <v>61,44 - SELANTE PU40 BASE POLIURETANO BRANCO 280ML</v>
      </c>
      <c r="B97" s="10">
        <f ca="1">IF(OR(A97="",A97=0),"",LARGE($B$8:B96,1)+1)</f>
        <v>89</v>
      </c>
      <c r="C97" s="7"/>
      <c r="D97" s="279">
        <f ca="1">IF(A97="","",COUNTIF(Orçamento!P:P,A97))</f>
        <v>0</v>
      </c>
      <c r="E97" s="280" t="str">
        <f ca="1">IFERROR(IF(A97="","",_xlfn.XLOOKUP(A97,'ABC Insumos Apoio'!C:C,'ABC Insumos Apoio'!A:A)),"")</f>
        <v>SELANTE PU40 BASE POLIURETANO BRANCO 280ML</v>
      </c>
      <c r="F97" s="281" t="str">
        <f ca="1">IFERROR(IF(A97="","",_xlfn.XLOOKUP(E97,Insumos!A:A,Insumos!B:B)),"")</f>
        <v>UN</v>
      </c>
      <c r="G97" s="282">
        <f ca="1">IFERROR(IF(A97="","",SUMIF(Orçamento!P:P,E97,Orçamento!X:X)),"")</f>
        <v>3.8640000000000008</v>
      </c>
      <c r="H97" s="283">
        <f ca="1">IFERROR(IF(A97="","",_xlfn.XLOOKUP(E97,Insumos!A:A,Insumos!C:C)),"")</f>
        <v>15.9</v>
      </c>
      <c r="I97" s="283">
        <f t="shared" ca="1" si="4"/>
        <v>61.43760000000001</v>
      </c>
      <c r="J97" s="284">
        <f t="shared" ca="1" si="5"/>
        <v>8.8137838591645567E-6</v>
      </c>
      <c r="K97" s="284">
        <f t="shared" ca="1" si="6"/>
        <v>0.27928068662344574</v>
      </c>
    </row>
    <row r="98" spans="1:11" ht="9.6" customHeight="1" x14ac:dyDescent="0.2">
      <c r="A98" s="10" t="str">
        <f ca="1"/>
        <v>61,11 - PREGO COM CABEÇA 15 X 18</v>
      </c>
      <c r="B98" s="10">
        <f ca="1">IF(OR(A98="",A98=0),"",LARGE($B$8:B97,1)+1)</f>
        <v>90</v>
      </c>
      <c r="C98" s="7"/>
      <c r="D98" s="279">
        <f ca="1">IF(A98="","",COUNTIF(Orçamento!P:P,A98))</f>
        <v>0</v>
      </c>
      <c r="E98" s="280" t="str">
        <f ca="1">IFERROR(IF(A98="","",_xlfn.XLOOKUP(A98,'ABC Insumos Apoio'!C:C,'ABC Insumos Apoio'!A:A)),"")</f>
        <v>PREGO COM CABEÇA 15 X 18</v>
      </c>
      <c r="F98" s="281" t="str">
        <f ca="1">IFERROR(IF(A98="","",_xlfn.XLOOKUP(E98,Insumos!A:A,Insumos!B:B)),"")</f>
        <v>KG</v>
      </c>
      <c r="G98" s="282">
        <f ca="1">IFERROR(IF(A98="","",SUMIF(Orçamento!P:P,E98,Orçamento!X:X)),"")</f>
        <v>4.7738548109999996</v>
      </c>
      <c r="H98" s="283">
        <f ca="1">IFERROR(IF(A98="","",_xlfn.XLOOKUP(E98,Insumos!A:A,Insumos!C:C)),"")</f>
        <v>12.8</v>
      </c>
      <c r="I98" s="283">
        <f t="shared" ca="1" si="4"/>
        <v>61.105341580800001</v>
      </c>
      <c r="J98" s="284">
        <f t="shared" ca="1" si="5"/>
        <v>8.7661183596623544E-6</v>
      </c>
      <c r="K98" s="284">
        <f t="shared" ca="1" si="6"/>
        <v>0.27928945274180539</v>
      </c>
    </row>
    <row r="99" spans="1:11" ht="9.6" customHeight="1" x14ac:dyDescent="0.2">
      <c r="A99" s="10" t="str">
        <f ca="1"/>
        <v>60720 - MAO DE OBRA PARA PINTURA ACRILICA EM PAREDES EXTERNAS - 2 DEMAOS</v>
      </c>
      <c r="B99" s="10">
        <f ca="1">IF(OR(A99="",A99=0),"",LARGE($B$8:B98,1)+1)</f>
        <v>91</v>
      </c>
      <c r="C99" s="7"/>
      <c r="D99" s="279">
        <f ca="1">IF(A99="","",COUNTIF(Orçamento!P:P,A99))</f>
        <v>0</v>
      </c>
      <c r="E99" s="280" t="str">
        <f ca="1">IFERROR(IF(A99="","",_xlfn.XLOOKUP(A99,'ABC Insumos Apoio'!C:C,'ABC Insumos Apoio'!A:A)),"")</f>
        <v>MAO DE OBRA PARA PINTURA ACRILICA EM PAREDES EXTERNAS - 2 DEMAOS</v>
      </c>
      <c r="F99" s="281" t="str">
        <f ca="1">IFERROR(IF(A99="","",_xlfn.XLOOKUP(E99,Insumos!A:A,Insumos!B:B)),"")</f>
        <v>M2</v>
      </c>
      <c r="G99" s="282">
        <f ca="1">IFERROR(IF(A99="","",SUMIF(Orçamento!P:P,E99,Orçamento!X:X)),"")</f>
        <v>1624.8700000000001</v>
      </c>
      <c r="H99" s="283">
        <f ca="1">IFERROR(IF(A99="","",_xlfn.XLOOKUP(E99,Insumos!A:A,Insumos!C:C)),"")</f>
        <v>37.369143377624056</v>
      </c>
      <c r="I99" s="283">
        <f t="shared" ca="1" si="4"/>
        <v>60720.000000000007</v>
      </c>
      <c r="J99" s="284">
        <f t="shared" ca="1" si="5"/>
        <v>8.7108375966585914E-3</v>
      </c>
      <c r="K99" s="284">
        <f t="shared" ca="1" si="6"/>
        <v>0.28800029033846397</v>
      </c>
    </row>
    <row r="100" spans="1:11" ht="9.6" customHeight="1" x14ac:dyDescent="0.2">
      <c r="A100" s="10" t="str">
        <f ca="1"/>
        <v>6000,17 - ARGAMASSA PARA ENCUNHAMENTO</v>
      </c>
      <c r="B100" s="10">
        <f ca="1">IF(OR(A100="",A100=0),"",LARGE($B$8:B99,1)+1)</f>
        <v>92</v>
      </c>
      <c r="C100" s="7"/>
      <c r="D100" s="279">
        <f ca="1">IF(A100="","",COUNTIF(Orçamento!P:P,A100))</f>
        <v>0</v>
      </c>
      <c r="E100" s="280" t="str">
        <f ca="1">IFERROR(IF(A100="","",_xlfn.XLOOKUP(A100,'ABC Insumos Apoio'!C:C,'ABC Insumos Apoio'!A:A)),"")</f>
        <v>ARGAMASSA PARA ENCUNHAMENTO</v>
      </c>
      <c r="F100" s="281" t="str">
        <f ca="1">IFERROR(IF(A100="","",_xlfn.XLOOKUP(E100,Insumos!A:A,Insumos!B:B)),"")</f>
        <v>KG</v>
      </c>
      <c r="G100" s="282">
        <f ca="1">IFERROR(IF(A100="","",SUMIF(Orçamento!P:P,E100,Orçamento!X:X)),"")</f>
        <v>2654.9399999999996</v>
      </c>
      <c r="H100" s="283">
        <f ca="1">IFERROR(IF(A100="","",_xlfn.XLOOKUP(E100,Insumos!A:A,Insumos!C:C)),"")</f>
        <v>2.2600000000000002</v>
      </c>
      <c r="I100" s="283">
        <f t="shared" ca="1" si="4"/>
        <v>6000.1643999999997</v>
      </c>
      <c r="J100" s="284">
        <f t="shared" ca="1" si="5"/>
        <v>8.6077828790600186E-4</v>
      </c>
      <c r="K100" s="284">
        <f t="shared" ca="1" si="6"/>
        <v>0.28886106862636995</v>
      </c>
    </row>
    <row r="101" spans="1:11" ht="9.6" customHeight="1" x14ac:dyDescent="0.2">
      <c r="A101" s="10" t="str">
        <f ca="1"/>
        <v>599,68 - MAO DE OBRA PARA IMPERMEABILIZACAO COM MANTA LIQUIDA</v>
      </c>
      <c r="B101" s="10">
        <f ca="1">IF(OR(A101="",A101=0),"",LARGE($B$8:B100,1)+1)</f>
        <v>93</v>
      </c>
      <c r="C101" s="7"/>
      <c r="D101" s="279">
        <f ca="1">IF(A101="","",COUNTIF(Orçamento!P:P,A101))</f>
        <v>0</v>
      </c>
      <c r="E101" s="280" t="str">
        <f ca="1">IFERROR(IF(A101="","",_xlfn.XLOOKUP(A101,'ABC Insumos Apoio'!C:C,'ABC Insumos Apoio'!A:A)),"")</f>
        <v>MAO DE OBRA PARA IMPERMEABILIZACAO COM MANTA LIQUIDA</v>
      </c>
      <c r="F101" s="281" t="str">
        <f ca="1">IFERROR(IF(A101="","",_xlfn.XLOOKUP(E101,Insumos!A:A,Insumos!B:B)),"")</f>
        <v>M2</v>
      </c>
      <c r="G101" s="282">
        <f ca="1">IFERROR(IF(A101="","",SUMIF(Orçamento!P:P,E101,Orçamento!X:X)),"")</f>
        <v>18.740000000000002</v>
      </c>
      <c r="H101" s="283">
        <f ca="1">IFERROR(IF(A101="","",_xlfn.XLOOKUP(E101,Insumos!A:A,Insumos!C:C)),"")</f>
        <v>32</v>
      </c>
      <c r="I101" s="283">
        <f t="shared" ca="1" si="4"/>
        <v>599.68000000000006</v>
      </c>
      <c r="J101" s="284">
        <f t="shared" ca="1" si="5"/>
        <v>8.6029563405207917E-5</v>
      </c>
      <c r="K101" s="284">
        <f t="shared" ca="1" si="6"/>
        <v>0.28894709818977515</v>
      </c>
    </row>
    <row r="102" spans="1:11" ht="9.6" customHeight="1" x14ac:dyDescent="0.2">
      <c r="A102" s="10" t="str">
        <f ca="1"/>
        <v>59725,04 - BLOCO CERAMICO VEDACAO 14 X 19 X 29 CM - FUROS NA HORIZONTAL</v>
      </c>
      <c r="B102" s="10">
        <f ca="1">IF(OR(A102="",A102=0),"",LARGE($B$8:B101,1)+1)</f>
        <v>94</v>
      </c>
      <c r="C102" s="7"/>
      <c r="D102" s="279">
        <f ca="1">IF(A102="","",COUNTIF(Orçamento!P:P,A102))</f>
        <v>0</v>
      </c>
      <c r="E102" s="280" t="str">
        <f ca="1">IFERROR(IF(A102="","",_xlfn.XLOOKUP(A102,'ABC Insumos Apoio'!C:C,'ABC Insumos Apoio'!A:A)),"")</f>
        <v>BLOCO CERAMICO VEDACAO 14 X 19 X 29 CM - FUROS NA HORIZONTAL</v>
      </c>
      <c r="F102" s="281" t="str">
        <f ca="1">IFERROR(IF(A102="","",_xlfn.XLOOKUP(E102,Insumos!A:A,Insumos!B:B)),"")</f>
        <v>UN</v>
      </c>
      <c r="G102" s="282">
        <f ca="1">IFERROR(IF(A102="","",SUMIF(Orçamento!P:P,E102,Orçamento!X:X)),"")</f>
        <v>36765.179999999993</v>
      </c>
      <c r="H102" s="283">
        <f ca="1">IFERROR(IF(A102="","",_xlfn.XLOOKUP(E102,Insumos!A:A,Insumos!C:C)),"")</f>
        <v>1.6245000000000001</v>
      </c>
      <c r="I102" s="283">
        <f t="shared" ca="1" si="4"/>
        <v>59725.034909999988</v>
      </c>
      <c r="J102" s="284">
        <f t="shared" ca="1" si="5"/>
        <v>8.5681007831978715E-3</v>
      </c>
      <c r="K102" s="284">
        <f t="shared" ca="1" si="6"/>
        <v>0.29751519897297302</v>
      </c>
    </row>
    <row r="103" spans="1:11" ht="9.6" customHeight="1" x14ac:dyDescent="0.2">
      <c r="A103" s="10" t="str">
        <f ca="1"/>
        <v>5936 - PROJETO ELETRICO</v>
      </c>
      <c r="B103" s="10">
        <f ca="1">IF(OR(A103="",A103=0),"",LARGE($B$8:B102,1)+1)</f>
        <v>95</v>
      </c>
      <c r="C103" s="7"/>
      <c r="D103" s="279">
        <f ca="1">IF(A103="","",COUNTIF(Orçamento!P:P,A103))</f>
        <v>0</v>
      </c>
      <c r="E103" s="280" t="str">
        <f ca="1">IFERROR(IF(A103="","",_xlfn.XLOOKUP(A103,'ABC Insumos Apoio'!C:C,'ABC Insumos Apoio'!A:A)),"")</f>
        <v>PROJETO ELETRICO</v>
      </c>
      <c r="F103" s="281" t="str">
        <f ca="1">IFERROR(IF(A103="","",_xlfn.XLOOKUP(E103,Insumos!A:A,Insumos!B:B)),"")</f>
        <v>VB</v>
      </c>
      <c r="G103" s="282">
        <f ca="1">IFERROR(IF(A103="","",SUMIF(Orçamento!P:P,E103,Orçamento!X:X)),"")</f>
        <v>1</v>
      </c>
      <c r="H103" s="283">
        <f ca="1">IFERROR(IF(A103="","",_xlfn.XLOOKUP(E103,Insumos!A:A,Insumos!C:C)),"")</f>
        <v>5936</v>
      </c>
      <c r="I103" s="283">
        <f t="shared" ca="1" si="4"/>
        <v>5936</v>
      </c>
      <c r="J103" s="284">
        <f t="shared" ca="1" si="5"/>
        <v>8.5157331972604403E-4</v>
      </c>
      <c r="K103" s="284">
        <f t="shared" ca="1" si="6"/>
        <v>0.29836677229269903</v>
      </c>
    </row>
    <row r="104" spans="1:11" ht="9.6" customHeight="1" x14ac:dyDescent="0.2">
      <c r="A104" s="10" t="str">
        <f ca="1"/>
        <v>5923,64 - Taxas de Aprovação de Projetos e Alvarás (Prefeituras/Bombeiro)</v>
      </c>
      <c r="B104" s="10">
        <f ca="1">IF(OR(A104="",A104=0),"",LARGE($B$8:B103,1)+1)</f>
        <v>96</v>
      </c>
      <c r="C104" s="7"/>
      <c r="D104" s="279">
        <f ca="1">IF(A104="","",COUNTIF(Orçamento!P:P,A104))</f>
        <v>0</v>
      </c>
      <c r="E104" s="280" t="str">
        <f ca="1">IFERROR(IF(A104="","",_xlfn.XLOOKUP(A104,'ABC Insumos Apoio'!C:C,'ABC Insumos Apoio'!A:A)),"")</f>
        <v>Taxas de Aprovação de Projetos e Alvarás (Prefeituras/Bombeiro)</v>
      </c>
      <c r="F104" s="281" t="str">
        <f ca="1">IFERROR(IF(A104="","",_xlfn.XLOOKUP(E104,Insumos!A:A,Insumos!B:B)),"")</f>
        <v>VB</v>
      </c>
      <c r="G104" s="282">
        <f ca="1">IFERROR(IF(A104="","",SUMIF(Orçamento!P:P,E104,Orçamento!X:X)),"")</f>
        <v>1</v>
      </c>
      <c r="H104" s="283">
        <f ca="1">IFERROR(IF(A104="","",_xlfn.XLOOKUP(E104,Insumos!A:A,Insumos!C:C)),"")</f>
        <v>5923.6399999999994</v>
      </c>
      <c r="I104" s="283">
        <f t="shared" ca="1" si="4"/>
        <v>5923.6399999999994</v>
      </c>
      <c r="J104" s="284">
        <f t="shared" ca="1" si="5"/>
        <v>8.4980016503739613E-4</v>
      </c>
      <c r="K104" s="284">
        <f t="shared" ca="1" si="6"/>
        <v>0.29921657245773642</v>
      </c>
    </row>
    <row r="105" spans="1:11" ht="9.6" customHeight="1" x14ac:dyDescent="0.2">
      <c r="A105" s="10" t="str">
        <f ca="1"/>
        <v>592,48 - MASSA PLASTICA BRANCA BI-COMPONENTE POLIESTER 400G</v>
      </c>
      <c r="B105" s="10">
        <f ca="1">IF(OR(A105="",A105=0),"",LARGE($B$8:B104,1)+1)</f>
        <v>97</v>
      </c>
      <c r="C105" s="7"/>
      <c r="D105" s="279">
        <f ca="1">IF(A105="","",COUNTIF(Orçamento!P:P,A105))</f>
        <v>0</v>
      </c>
      <c r="E105" s="280" t="str">
        <f ca="1">IFERROR(IF(A105="","",_xlfn.XLOOKUP(A105,'ABC Insumos Apoio'!C:C,'ABC Insumos Apoio'!A:A)),"")</f>
        <v>MASSA PLASTICA BRANCA BI-COMPONENTE POLIESTER 400G</v>
      </c>
      <c r="F105" s="281" t="str">
        <f ca="1">IFERROR(IF(A105="","",_xlfn.XLOOKUP(E105,Insumos!A:A,Insumos!B:B)),"")</f>
        <v>UN</v>
      </c>
      <c r="G105" s="282">
        <f ca="1">IFERROR(IF(A105="","",SUMIF(Orçamento!P:P,E105,Orçamento!X:X)),"")</f>
        <v>46</v>
      </c>
      <c r="H105" s="283">
        <f ca="1">IFERROR(IF(A105="","",_xlfn.XLOOKUP(E105,Insumos!A:A,Insumos!C:C)),"")</f>
        <v>12.88</v>
      </c>
      <c r="I105" s="283">
        <f t="shared" ca="1" si="4"/>
        <v>592.48</v>
      </c>
      <c r="J105" s="284">
        <f t="shared" ca="1" si="5"/>
        <v>8.4996657761335346E-5</v>
      </c>
      <c r="K105" s="284">
        <f t="shared" ca="1" si="6"/>
        <v>0.29930156911549777</v>
      </c>
    </row>
    <row r="106" spans="1:11" ht="9.6" customHeight="1" x14ac:dyDescent="0.2">
      <c r="A106" s="10" t="str">
        <f ca="1"/>
        <v>591,36 - Tirante Plast - EHX 0621</v>
      </c>
      <c r="B106" s="10">
        <f ca="1">IF(OR(A106="",A106=0),"",LARGE($B$8:B105,1)+1)</f>
        <v>98</v>
      </c>
      <c r="C106" s="7"/>
      <c r="D106" s="279">
        <f ca="1">IF(A106="","",COUNTIF(Orçamento!P:P,A106))</f>
        <v>0</v>
      </c>
      <c r="E106" s="280" t="str">
        <f ca="1">IFERROR(IF(A106="","",_xlfn.XLOOKUP(A106,'ABC Insumos Apoio'!C:C,'ABC Insumos Apoio'!A:A)),"")</f>
        <v>Tirante Plast - EHX 0621</v>
      </c>
      <c r="F106" s="281" t="str">
        <f ca="1">IFERROR(IF(A106="","",_xlfn.XLOOKUP(E106,Insumos!A:A,Insumos!B:B)),"")</f>
        <v>Par</v>
      </c>
      <c r="G106" s="282">
        <f ca="1">IFERROR(IF(A106="","",SUMIF(Orçamento!P:P,E106,Orçamento!X:X)),"")</f>
        <v>256</v>
      </c>
      <c r="H106" s="283">
        <f ca="1">IFERROR(IF(A106="","",_xlfn.XLOOKUP(E106,Insumos!A:A,Insumos!C:C)),"")</f>
        <v>2.31</v>
      </c>
      <c r="I106" s="283">
        <f t="shared" ca="1" si="4"/>
        <v>591.36</v>
      </c>
      <c r="J106" s="284">
        <f t="shared" ca="1" si="5"/>
        <v>8.4835983550066285E-5</v>
      </c>
      <c r="K106" s="284">
        <f t="shared" ca="1" si="6"/>
        <v>0.29938640509904785</v>
      </c>
    </row>
    <row r="107" spans="1:11" ht="9.6" customHeight="1" x14ac:dyDescent="0.2">
      <c r="A107" s="10" t="str">
        <f ca="1"/>
        <v>5849,05 - INSTALAÇÕES PREVENTIVAS - SUBSOLO</v>
      </c>
      <c r="B107" s="10">
        <f ca="1">IF(OR(A107="",A107=0),"",LARGE($B$8:B106,1)+1)</f>
        <v>99</v>
      </c>
      <c r="C107" s="7"/>
      <c r="D107" s="279">
        <f ca="1">IF(A107="","",COUNTIF(Orçamento!P:P,A107))</f>
        <v>0</v>
      </c>
      <c r="E107" s="280" t="str">
        <f ca="1">IFERROR(IF(A107="","",_xlfn.XLOOKUP(A107,'ABC Insumos Apoio'!C:C,'ABC Insumos Apoio'!A:A)),"")</f>
        <v>INSTALAÇÕES PREVENTIVAS - SUBSOLO</v>
      </c>
      <c r="F107" s="281" t="str">
        <f ca="1">IFERROR(IF(A107="","",_xlfn.XLOOKUP(E107,Insumos!A:A,Insumos!B:B)),"")</f>
        <v>VB</v>
      </c>
      <c r="G107" s="282">
        <f ca="1">IFERROR(IF(A107="","",SUMIF(Orçamento!P:P,E107,Orçamento!X:X)),"")</f>
        <v>1</v>
      </c>
      <c r="H107" s="283">
        <f ca="1">IFERROR(IF(A107="","",_xlfn.XLOOKUP(E107,Insumos!A:A,Insumos!C:C)),"")</f>
        <v>5849.041567440685</v>
      </c>
      <c r="I107" s="283">
        <f t="shared" ca="1" si="4"/>
        <v>5849.041567440685</v>
      </c>
      <c r="J107" s="284">
        <f t="shared" ca="1" si="5"/>
        <v>8.3909833975759579E-4</v>
      </c>
      <c r="K107" s="284">
        <f t="shared" ca="1" si="6"/>
        <v>0.30022550343880544</v>
      </c>
    </row>
    <row r="108" spans="1:11" ht="9.6" customHeight="1" x14ac:dyDescent="0.2">
      <c r="A108" s="10" t="str">
        <f ca="1"/>
        <v>5849,05 - INSTALAÇÕES ESGOTO - SUBSOLO</v>
      </c>
      <c r="B108" s="10">
        <f ca="1">IF(OR(A108="",A108=0),"",LARGE($B$8:B107,1)+1)</f>
        <v>100</v>
      </c>
      <c r="C108" s="7"/>
      <c r="D108" s="279">
        <f ca="1">IF(A108="","",COUNTIF(Orçamento!P:P,A108))</f>
        <v>0</v>
      </c>
      <c r="E108" s="280" t="str">
        <f ca="1">IFERROR(IF(A108="","",_xlfn.XLOOKUP(A108,'ABC Insumos Apoio'!C:C,'ABC Insumos Apoio'!A:A)),"")</f>
        <v>INSTALAÇÕES ESGOTO - SUBSOLO</v>
      </c>
      <c r="F108" s="281" t="str">
        <f ca="1">IFERROR(IF(A108="","",_xlfn.XLOOKUP(E108,Insumos!A:A,Insumos!B:B)),"")</f>
        <v>UN</v>
      </c>
      <c r="G108" s="282">
        <f ca="1">IFERROR(IF(A108="","",SUMIF(Orçamento!P:P,E108,Orçamento!X:X)),"")</f>
        <v>1</v>
      </c>
      <c r="H108" s="283">
        <f ca="1">IFERROR(IF(A108="","",_xlfn.XLOOKUP(E108,Insumos!A:A,Insumos!C:C)),"")</f>
        <v>5849.041567440685</v>
      </c>
      <c r="I108" s="283">
        <f t="shared" ca="1" si="4"/>
        <v>5849.041567440685</v>
      </c>
      <c r="J108" s="284">
        <f t="shared" ca="1" si="5"/>
        <v>8.3909833975759579E-4</v>
      </c>
      <c r="K108" s="284">
        <f t="shared" ca="1" si="6"/>
        <v>0.30106460177856303</v>
      </c>
    </row>
    <row r="109" spans="1:11" ht="9.6" customHeight="1" x14ac:dyDescent="0.2">
      <c r="A109" s="10" t="str">
        <f ca="1"/>
        <v>5829,69 - INSTLAÇÃOES DE LOGICA/INTERNET/TELEFONIA</v>
      </c>
      <c r="B109" s="10">
        <f ca="1">IF(OR(A109="",A109=0),"",LARGE($B$8:B108,1)+1)</f>
        <v>101</v>
      </c>
      <c r="C109" s="7"/>
      <c r="D109" s="279">
        <f ca="1">IF(A109="","",COUNTIF(Orçamento!P:P,A109))</f>
        <v>0</v>
      </c>
      <c r="E109" s="280" t="str">
        <f ca="1">IFERROR(IF(A109="","",_xlfn.XLOOKUP(A109,'ABC Insumos Apoio'!C:C,'ABC Insumos Apoio'!A:A)),"")</f>
        <v>INSTLAÇÃOES DE LOGICA/INTERNET/TELEFONIA</v>
      </c>
      <c r="F109" s="281" t="str">
        <f ca="1">IFERROR(IF(A109="","",_xlfn.XLOOKUP(E109,Insumos!A:A,Insumos!B:B)),"")</f>
        <v>VB</v>
      </c>
      <c r="G109" s="282">
        <f ca="1">IFERROR(IF(A109="","",SUMIF(Orçamento!P:P,E109,Orçamento!X:X)),"")</f>
        <v>1</v>
      </c>
      <c r="H109" s="283">
        <f ca="1">IFERROR(IF(A109="","",_xlfn.XLOOKUP(E109,Insumos!A:A,Insumos!C:C)),"")</f>
        <v>5829.6900000000005</v>
      </c>
      <c r="I109" s="283">
        <f t="shared" ca="1" si="4"/>
        <v>5829.6900000000005</v>
      </c>
      <c r="J109" s="284">
        <f t="shared" ca="1" si="5"/>
        <v>8.3632218097603138E-4</v>
      </c>
      <c r="K109" s="284">
        <f t="shared" ca="1" si="6"/>
        <v>0.30190092395953905</v>
      </c>
    </row>
    <row r="110" spans="1:11" ht="9.6" customHeight="1" x14ac:dyDescent="0.2">
      <c r="A110" s="10" t="str">
        <f ca="1"/>
        <v>5700 - Manuais Técnicos condomínio/proprietários</v>
      </c>
      <c r="B110" s="10">
        <f ca="1">IF(OR(A110="",A110=0),"",LARGE($B$8:B109,1)+1)</f>
        <v>102</v>
      </c>
      <c r="C110" s="7"/>
      <c r="D110" s="279">
        <f ca="1">IF(A110="","",COUNTIF(Orçamento!P:P,A110))</f>
        <v>0</v>
      </c>
      <c r="E110" s="280" t="str">
        <f ca="1">IFERROR(IF(A110="","",_xlfn.XLOOKUP(A110,'ABC Insumos Apoio'!C:C,'ABC Insumos Apoio'!A:A)),"")</f>
        <v>Manuais Técnicos condomínio/proprietários</v>
      </c>
      <c r="F110" s="281" t="str">
        <f ca="1">IFERROR(IF(A110="","",_xlfn.XLOOKUP(E110,Insumos!A:A,Insumos!B:B)),"")</f>
        <v>VB</v>
      </c>
      <c r="G110" s="282">
        <f ca="1">IFERROR(IF(A110="","",SUMIF(Orçamento!P:P,E110,Orçamento!X:X)),"")</f>
        <v>1</v>
      </c>
      <c r="H110" s="283">
        <f ca="1">IFERROR(IF(A110="","",_xlfn.XLOOKUP(E110,Insumos!A:A,Insumos!C:C)),"")</f>
        <v>5700</v>
      </c>
      <c r="I110" s="283">
        <f t="shared" ca="1" si="4"/>
        <v>5700</v>
      </c>
      <c r="J110" s="284">
        <f t="shared" ca="1" si="5"/>
        <v>8.1771696806577686E-4</v>
      </c>
      <c r="K110" s="284">
        <f t="shared" ca="1" si="6"/>
        <v>0.30271864092760481</v>
      </c>
    </row>
    <row r="111" spans="1:11" ht="9.6" customHeight="1" x14ac:dyDescent="0.2">
      <c r="A111" s="10" t="str">
        <f ca="1"/>
        <v>57,02 - VALVULA P/TANQUE ACO CARBONO CROMADO 1"</v>
      </c>
      <c r="B111" s="10">
        <f ca="1">IF(OR(A111="",A111=0),"",LARGE($B$8:B110,1)+1)</f>
        <v>103</v>
      </c>
      <c r="C111" s="7"/>
      <c r="D111" s="279">
        <f ca="1">IF(A111="","",COUNTIF(Orçamento!P:P,A111))</f>
        <v>0</v>
      </c>
      <c r="E111" s="280" t="str">
        <f ca="1">IFERROR(IF(A111="","",_xlfn.XLOOKUP(A111,'ABC Insumos Apoio'!C:C,'ABC Insumos Apoio'!A:A)),"")</f>
        <v>VALVULA P/TANQUE ACO CARBONO CROMADO 1"</v>
      </c>
      <c r="F111" s="281" t="str">
        <f ca="1">IFERROR(IF(A111="","",_xlfn.XLOOKUP(E111,Insumos!A:A,Insumos!B:B)),"")</f>
        <v>UN</v>
      </c>
      <c r="G111" s="282">
        <f ca="1">IFERROR(IF(A111="","",SUMIF(Orçamento!P:P,E111,Orçamento!X:X)),"")</f>
        <v>2</v>
      </c>
      <c r="H111" s="283">
        <f ca="1">IFERROR(IF(A111="","",_xlfn.XLOOKUP(E111,Insumos!A:A,Insumos!C:C)),"")</f>
        <v>28.51</v>
      </c>
      <c r="I111" s="283">
        <f t="shared" ca="1" si="4"/>
        <v>57.02</v>
      </c>
      <c r="J111" s="284">
        <f t="shared" ca="1" si="5"/>
        <v>8.1800388630018597E-6</v>
      </c>
      <c r="K111" s="284">
        <f t="shared" ca="1" si="6"/>
        <v>0.3027268209664678</v>
      </c>
    </row>
    <row r="112" spans="1:11" ht="9.6" customHeight="1" x14ac:dyDescent="0.2">
      <c r="A112" s="10" t="str">
        <f ca="1"/>
        <v>56000 - Mini Grua 500kg</v>
      </c>
      <c r="B112" s="10">
        <f ca="1">IF(OR(A112="",A112=0),"",LARGE($B$8:B111,1)+1)</f>
        <v>104</v>
      </c>
      <c r="C112" s="7"/>
      <c r="D112" s="279">
        <f ca="1">IF(A112="","",COUNTIF(Orçamento!P:P,A112))</f>
        <v>0</v>
      </c>
      <c r="E112" s="280" t="str">
        <f ca="1">IFERROR(IF(A112="","",_xlfn.XLOOKUP(A112,'ABC Insumos Apoio'!C:C,'ABC Insumos Apoio'!A:A)),"")</f>
        <v>Mini Grua 500kg</v>
      </c>
      <c r="F112" s="281" t="str">
        <f ca="1">IFERROR(IF(A112="","",_xlfn.XLOOKUP(E112,Insumos!A:A,Insumos!B:B)),"")</f>
        <v>VB</v>
      </c>
      <c r="G112" s="282">
        <f ca="1">IFERROR(IF(A112="","",SUMIF(Orçamento!P:P,E112,Orçamento!X:X)),"")</f>
        <v>1</v>
      </c>
      <c r="H112" s="283">
        <f ca="1">IFERROR(IF(A112="","",_xlfn.XLOOKUP(E112,Insumos!A:A,Insumos!C:C)),"")</f>
        <v>56000</v>
      </c>
      <c r="I112" s="283">
        <f t="shared" ca="1" si="4"/>
        <v>56000</v>
      </c>
      <c r="J112" s="284">
        <f t="shared" ca="1" si="5"/>
        <v>8.0337105634532453E-3</v>
      </c>
      <c r="K112" s="284">
        <f t="shared" ca="1" si="6"/>
        <v>0.31076053152992106</v>
      </c>
    </row>
    <row r="113" spans="1:11" ht="9.6" customHeight="1" x14ac:dyDescent="0.2">
      <c r="A113" s="10" t="str">
        <f ca="1"/>
        <v xml:space="preserve">559,99 - Esticador gancho-olhal para cabo de aço 1/2" em aço forjado DIN 1480 </v>
      </c>
      <c r="B113" s="10">
        <f ca="1">IF(OR(A113="",A113=0),"",LARGE($B$8:B112,1)+1)</f>
        <v>105</v>
      </c>
      <c r="C113" s="7"/>
      <c r="D113" s="279">
        <f ca="1">IF(A113="","",COUNTIF(Orçamento!P:P,A113))</f>
        <v>0</v>
      </c>
      <c r="E113" s="280" t="str">
        <f ca="1">IFERROR(IF(A113="","",_xlfn.XLOOKUP(A113,'ABC Insumos Apoio'!C:C,'ABC Insumos Apoio'!A:A)),"")</f>
        <v xml:space="preserve">Esticador gancho-olhal para cabo de aço 1/2" em aço forjado DIN 1480 </v>
      </c>
      <c r="F113" s="281" t="str">
        <f ca="1">IFERROR(IF(A113="","",_xlfn.XLOOKUP(E113,Insumos!A:A,Insumos!B:B)),"")</f>
        <v>un</v>
      </c>
      <c r="G113" s="282">
        <f ca="1">IFERROR(IF(A113="","",SUMIF(Orçamento!P:P,E113,Orçamento!X:X)),"")</f>
        <v>58.945471999999995</v>
      </c>
      <c r="H113" s="283">
        <f ca="1">IFERROR(IF(A113="","",_xlfn.XLOOKUP(E113,Insumos!A:A,Insumos!C:C)),"")</f>
        <v>9.5</v>
      </c>
      <c r="I113" s="283">
        <f t="shared" ca="1" si="4"/>
        <v>559.98198400000001</v>
      </c>
      <c r="J113" s="284">
        <f t="shared" ca="1" si="5"/>
        <v>8.0334521075076906E-5</v>
      </c>
      <c r="K113" s="284">
        <f t="shared" ca="1" si="6"/>
        <v>0.31084086605099615</v>
      </c>
    </row>
    <row r="114" spans="1:11" ht="9.6" customHeight="1" x14ac:dyDescent="0.2">
      <c r="A114" s="10" t="str">
        <f ca="1"/>
        <v>55188,44 - MAO DE OBRA PARA COLOCACAO E REJUNTAMENTO DE AZULEJO</v>
      </c>
      <c r="B114" s="10">
        <f ca="1">IF(OR(A114="",A114=0),"",LARGE($B$8:B113,1)+1)</f>
        <v>106</v>
      </c>
      <c r="C114" s="7"/>
      <c r="D114" s="279">
        <f ca="1">IF(A114="","",COUNTIF(Orçamento!P:P,A114))</f>
        <v>0</v>
      </c>
      <c r="E114" s="280" t="str">
        <f ca="1">IFERROR(IF(A114="","",_xlfn.XLOOKUP(A114,'ABC Insumos Apoio'!C:C,'ABC Insumos Apoio'!A:A)),"")</f>
        <v>MAO DE OBRA PARA COLOCACAO E REJUNTAMENTO DE AZULEJO</v>
      </c>
      <c r="F114" s="281" t="str">
        <f ca="1">IFERROR(IF(A114="","",_xlfn.XLOOKUP(E114,Insumos!A:A,Insumos!B:B)),"")</f>
        <v>M2</v>
      </c>
      <c r="G114" s="282">
        <f ca="1">IFERROR(IF(A114="","",SUMIF(Orçamento!P:P,E114,Orçamento!X:X)),"")</f>
        <v>750.75</v>
      </c>
      <c r="H114" s="283">
        <f ca="1">IFERROR(IF(A114="","",_xlfn.XLOOKUP(E114,Insumos!A:A,Insumos!C:C)),"")</f>
        <v>73.511069535391343</v>
      </c>
      <c r="I114" s="283">
        <f t="shared" ca="1" si="4"/>
        <v>55188.435453695049</v>
      </c>
      <c r="J114" s="284">
        <f t="shared" ca="1" si="5"/>
        <v>7.9172842300858481E-3</v>
      </c>
      <c r="K114" s="284">
        <f t="shared" ca="1" si="6"/>
        <v>0.31875815028108201</v>
      </c>
    </row>
    <row r="115" spans="1:11" ht="9.6" customHeight="1" x14ac:dyDescent="0.2">
      <c r="A115" s="10" t="str">
        <f ca="1"/>
        <v>5417,1 - MADEIRA LEI - PONTALETE ANGELIM PEDRA (M3) NBR 11700</v>
      </c>
      <c r="B115" s="10">
        <f ca="1">IF(OR(A115="",A115=0),"",LARGE($B$8:B114,1)+1)</f>
        <v>107</v>
      </c>
      <c r="C115" s="7"/>
      <c r="D115" s="279">
        <f ca="1">IF(A115="","",COUNTIF(Orçamento!P:P,A115))</f>
        <v>0</v>
      </c>
      <c r="E115" s="280" t="str">
        <f ca="1">IFERROR(IF(A115="","",_xlfn.XLOOKUP(A115,'ABC Insumos Apoio'!C:C,'ABC Insumos Apoio'!A:A)),"")</f>
        <v>MADEIRA LEI - PONTALETE ANGELIM PEDRA (M3) NBR 11700</v>
      </c>
      <c r="F115" s="281" t="str">
        <f ca="1">IFERROR(IF(A115="","",_xlfn.XLOOKUP(E115,Insumos!A:A,Insumos!B:B)),"")</f>
        <v>M3</v>
      </c>
      <c r="G115" s="282">
        <f ca="1">IFERROR(IF(A115="","",SUMIF(Orçamento!P:P,E115,Orçamento!X:X)),"")</f>
        <v>0.72228000000000003</v>
      </c>
      <c r="H115" s="283">
        <f ca="1">IFERROR(IF(A115="","",_xlfn.XLOOKUP(E115,Insumos!A:A,Insumos!C:C)),"")</f>
        <v>7500</v>
      </c>
      <c r="I115" s="283">
        <f t="shared" ca="1" si="4"/>
        <v>5417.1</v>
      </c>
      <c r="J115" s="284">
        <f t="shared" ca="1" si="5"/>
        <v>7.7713238380861752E-4</v>
      </c>
      <c r="K115" s="284">
        <f t="shared" ca="1" si="6"/>
        <v>0.31953528266489062</v>
      </c>
    </row>
    <row r="116" spans="1:11" ht="9.6" customHeight="1" x14ac:dyDescent="0.2">
      <c r="A116" s="10" t="str">
        <f ca="1"/>
        <v>54,25 - VALVULA COMUM P/PIA COZINHA ACO CARBONO CROMADO 1"</v>
      </c>
      <c r="B116" s="10">
        <f ca="1">IF(OR(A116="",A116=0),"",LARGE($B$8:B115,1)+1)</f>
        <v>108</v>
      </c>
      <c r="C116" s="7"/>
      <c r="D116" s="279">
        <f ca="1">IF(A116="","",COUNTIF(Orçamento!P:P,A116))</f>
        <v>0</v>
      </c>
      <c r="E116" s="280" t="str">
        <f ca="1">IFERROR(IF(A116="","",_xlfn.XLOOKUP(A116,'ABC Insumos Apoio'!C:C,'ABC Insumos Apoio'!A:A)),"")</f>
        <v>VALVULA COMUM P/PIA COZINHA ACO CARBONO CROMADO 1"</v>
      </c>
      <c r="F116" s="281" t="str">
        <f ca="1">IFERROR(IF(A116="","",_xlfn.XLOOKUP(E116,Insumos!A:A,Insumos!B:B)),"")</f>
        <v>UN</v>
      </c>
      <c r="G116" s="282">
        <f ca="1">IFERROR(IF(A116="","",SUMIF(Orçamento!P:P,E116,Orçamento!X:X)),"")</f>
        <v>1</v>
      </c>
      <c r="H116" s="283">
        <f ca="1">IFERROR(IF(A116="","",_xlfn.XLOOKUP(E116,Insumos!A:A,Insumos!C:C)),"")</f>
        <v>54.25</v>
      </c>
      <c r="I116" s="283">
        <f t="shared" ca="1" si="4"/>
        <v>54.25</v>
      </c>
      <c r="J116" s="284">
        <f t="shared" ca="1" si="5"/>
        <v>7.7826571083453327E-6</v>
      </c>
      <c r="K116" s="284">
        <f t="shared" ca="1" si="6"/>
        <v>0.31954306532199894</v>
      </c>
    </row>
    <row r="117" spans="1:11" ht="9.6" customHeight="1" x14ac:dyDescent="0.2">
      <c r="A117" s="10" t="str">
        <f ca="1"/>
        <v>5350,09 - CAIXA ACOPLADA LOUCA P/DESCARGA</v>
      </c>
      <c r="B117" s="10">
        <f ca="1">IF(OR(A117="",A117=0),"",LARGE($B$8:B116,1)+1)</f>
        <v>109</v>
      </c>
      <c r="C117" s="7"/>
      <c r="D117" s="279">
        <f ca="1">IF(A117="","",COUNTIF(Orçamento!P:P,A117))</f>
        <v>0</v>
      </c>
      <c r="E117" s="280" t="str">
        <f ca="1">IFERROR(IF(A117="","",_xlfn.XLOOKUP(A117,'ABC Insumos Apoio'!C:C,'ABC Insumos Apoio'!A:A)),"")</f>
        <v>CAIXA ACOPLADA LOUCA P/DESCARGA</v>
      </c>
      <c r="F117" s="281" t="str">
        <f ca="1">IFERROR(IF(A117="","",_xlfn.XLOOKUP(E117,Insumos!A:A,Insumos!B:B)),"")</f>
        <v>un</v>
      </c>
      <c r="G117" s="282">
        <f ca="1">IFERROR(IF(A117="","",SUMIF(Orçamento!P:P,E117,Orçamento!X:X)),"")</f>
        <v>41</v>
      </c>
      <c r="H117" s="283">
        <f ca="1">IFERROR(IF(A117="","",_xlfn.XLOOKUP(E117,Insumos!A:A,Insumos!C:C)),"")</f>
        <v>130.49</v>
      </c>
      <c r="I117" s="283">
        <f t="shared" ca="1" si="4"/>
        <v>5350.09</v>
      </c>
      <c r="J117" s="284">
        <f t="shared" ca="1" si="5"/>
        <v>7.6751918836474246E-4</v>
      </c>
      <c r="K117" s="284">
        <f t="shared" ca="1" si="6"/>
        <v>0.32031058451036371</v>
      </c>
    </row>
    <row r="118" spans="1:11" ht="9.6" customHeight="1" x14ac:dyDescent="0.2">
      <c r="A118" s="10" t="str">
        <f ca="1"/>
        <v>531,8 - CUBA LOUCA P/LAVATORIO REDONDA EMBUTIR</v>
      </c>
      <c r="B118" s="10">
        <f ca="1">IF(OR(A118="",A118=0),"",LARGE($B$8:B117,1)+1)</f>
        <v>110</v>
      </c>
      <c r="C118" s="7"/>
      <c r="D118" s="279">
        <f ca="1">IF(A118="","",COUNTIF(Orçamento!P:P,A118))</f>
        <v>0</v>
      </c>
      <c r="E118" s="280" t="str">
        <f ca="1">IFERROR(IF(A118="","",_xlfn.XLOOKUP(A118,'ABC Insumos Apoio'!C:C,'ABC Insumos Apoio'!A:A)),"")</f>
        <v>CUBA LOUCA P/LAVATORIO REDONDA EMBUTIR</v>
      </c>
      <c r="F118" s="281" t="str">
        <f ca="1">IFERROR(IF(A118="","",_xlfn.XLOOKUP(E118,Insumos!A:A,Insumos!B:B)),"")</f>
        <v>un</v>
      </c>
      <c r="G118" s="282">
        <f ca="1">IFERROR(IF(A118="","",SUMIF(Orçamento!P:P,E118,Orçamento!X:X)),"")</f>
        <v>2</v>
      </c>
      <c r="H118" s="283">
        <f ca="1">IFERROR(IF(A118="","",_xlfn.XLOOKUP(E118,Insumos!A:A,Insumos!C:C)),"")</f>
        <v>265.89999999999998</v>
      </c>
      <c r="I118" s="283">
        <f t="shared" ca="1" si="4"/>
        <v>531.79999999999995</v>
      </c>
      <c r="J118" s="284">
        <f t="shared" ca="1" si="5"/>
        <v>7.6291558529364921E-5</v>
      </c>
      <c r="K118" s="284">
        <f t="shared" ca="1" si="6"/>
        <v>0.32038687606889305</v>
      </c>
    </row>
    <row r="119" spans="1:11" ht="9.6" customHeight="1" x14ac:dyDescent="0.2">
      <c r="A119" s="10" t="str">
        <f ca="1"/>
        <v>5297,19 - RODAPÉ EM POLIESTIRENO PU 15CM</v>
      </c>
      <c r="B119" s="10">
        <f ca="1">IF(OR(A119="",A119=0),"",LARGE($B$8:B118,1)+1)</f>
        <v>111</v>
      </c>
      <c r="C119" s="7"/>
      <c r="D119" s="279">
        <f ca="1">IF(A119="","",COUNTIF(Orçamento!P:P,A119))</f>
        <v>0</v>
      </c>
      <c r="E119" s="280" t="str">
        <f ca="1">IFERROR(IF(A119="","",_xlfn.XLOOKUP(A119,'ABC Insumos Apoio'!C:C,'ABC Insumos Apoio'!A:A)),"")</f>
        <v>RODAPÉ EM POLIESTIRENO PU 15CM</v>
      </c>
      <c r="F119" s="281" t="str">
        <f ca="1">IFERROR(IF(A119="","",_xlfn.XLOOKUP(E119,Insumos!A:A,Insumos!B:B)),"")</f>
        <v>M</v>
      </c>
      <c r="G119" s="282">
        <f ca="1">IFERROR(IF(A119="","",SUMIF(Orçamento!P:P,E119,Orçamento!X:X)),"")</f>
        <v>86.768000000000015</v>
      </c>
      <c r="H119" s="283">
        <f ca="1">IFERROR(IF(A119="","",_xlfn.XLOOKUP(E119,Insumos!A:A,Insumos!C:C)),"")</f>
        <v>61.050000000000004</v>
      </c>
      <c r="I119" s="283">
        <f t="shared" ca="1" si="4"/>
        <v>5297.1864000000014</v>
      </c>
      <c r="J119" s="284">
        <f t="shared" ca="1" si="5"/>
        <v>7.599296846118015E-4</v>
      </c>
      <c r="K119" s="284">
        <f t="shared" ca="1" si="6"/>
        <v>0.32114680575350485</v>
      </c>
    </row>
    <row r="120" spans="1:11" ht="9.6" customHeight="1" x14ac:dyDescent="0.2">
      <c r="A120" s="10" t="str">
        <f ca="1"/>
        <v>5278,44 - INSTALAÇÕES AGUA FRIA - TERREO</v>
      </c>
      <c r="B120" s="10">
        <f ca="1">IF(OR(A120="",A120=0),"",LARGE($B$8:B119,1)+1)</f>
        <v>112</v>
      </c>
      <c r="C120" s="7"/>
      <c r="D120" s="279">
        <f ca="1">IF(A120="","",COUNTIF(Orçamento!P:P,A120))</f>
        <v>0</v>
      </c>
      <c r="E120" s="280" t="str">
        <f ca="1">IFERROR(IF(A120="","",_xlfn.XLOOKUP(A120,'ABC Insumos Apoio'!C:C,'ABC Insumos Apoio'!A:A)),"")</f>
        <v>INSTALAÇÕES AGUA FRIA - TERREO</v>
      </c>
      <c r="F120" s="281" t="str">
        <f ca="1">IFERROR(IF(A120="","",_xlfn.XLOOKUP(E120,Insumos!A:A,Insumos!B:B)),"")</f>
        <v>UN</v>
      </c>
      <c r="G120" s="282">
        <f ca="1">IFERROR(IF(A120="","",SUMIF(Orçamento!P:P,E120,Orçamento!X:X)),"")</f>
        <v>1</v>
      </c>
      <c r="H120" s="283">
        <f ca="1">IFERROR(IF(A120="","",_xlfn.XLOOKUP(E120,Insumos!A:A,Insumos!C:C)),"")</f>
        <v>5278.4324526153387</v>
      </c>
      <c r="I120" s="283">
        <f t="shared" ca="1" si="4"/>
        <v>5278.4324526153387</v>
      </c>
      <c r="J120" s="284">
        <f t="shared" ca="1" si="5"/>
        <v>7.5723925987589765E-4</v>
      </c>
      <c r="K120" s="284">
        <f t="shared" ca="1" si="6"/>
        <v>0.32190404501338077</v>
      </c>
    </row>
    <row r="121" spans="1:11" ht="9.6" customHeight="1" x14ac:dyDescent="0.2">
      <c r="A121" s="10" t="str">
        <f ca="1"/>
        <v>527,85 - LUMINÁRIAS - TERREO</v>
      </c>
      <c r="B121" s="10">
        <f ca="1">IF(OR(A121="",A121=0),"",LARGE($B$8:B120,1)+1)</f>
        <v>113</v>
      </c>
      <c r="C121" s="7"/>
      <c r="D121" s="279">
        <f ca="1">IF(A121="","",COUNTIF(Orçamento!P:P,A121))</f>
        <v>0</v>
      </c>
      <c r="E121" s="280" t="str">
        <f ca="1">IFERROR(IF(A121="","",_xlfn.XLOOKUP(A121,'ABC Insumos Apoio'!C:C,'ABC Insumos Apoio'!A:A)),"")</f>
        <v>LUMINÁRIAS - TERREO</v>
      </c>
      <c r="F121" s="281" t="str">
        <f ca="1">IFERROR(IF(A121="","",_xlfn.XLOOKUP(E121,Insumos!A:A,Insumos!B:B)),"")</f>
        <v>VB</v>
      </c>
      <c r="G121" s="282">
        <f ca="1">IFERROR(IF(A121="","",SUMIF(Orçamento!P:P,E121,Orçamento!X:X)),"")</f>
        <v>1</v>
      </c>
      <c r="H121" s="283">
        <f ca="1">IFERROR(IF(A121="","",_xlfn.XLOOKUP(E121,Insumos!A:A,Insumos!C:C)),"")</f>
        <v>527.84324526153387</v>
      </c>
      <c r="I121" s="283">
        <f t="shared" ca="1" si="4"/>
        <v>527.84324526153387</v>
      </c>
      <c r="J121" s="284">
        <f t="shared" ca="1" si="5"/>
        <v>7.5723925987589768E-5</v>
      </c>
      <c r="K121" s="284">
        <f t="shared" ca="1" si="6"/>
        <v>0.32197976893936836</v>
      </c>
    </row>
    <row r="122" spans="1:11" ht="9.6" customHeight="1" x14ac:dyDescent="0.2">
      <c r="A122" s="10" t="str">
        <f ca="1"/>
        <v>519,76 - MAO DE OBRA PARA COLOCACAO DE PISO CONCREGRAMA</v>
      </c>
      <c r="B122" s="10">
        <f ca="1">IF(OR(A122="",A122=0),"",LARGE($B$8:B121,1)+1)</f>
        <v>114</v>
      </c>
      <c r="C122" s="7"/>
      <c r="D122" s="279">
        <f ca="1">IF(A122="","",COUNTIF(Orçamento!P:P,A122))</f>
        <v>0</v>
      </c>
      <c r="E122" s="280" t="str">
        <f ca="1">IFERROR(IF(A122="","",_xlfn.XLOOKUP(A122,'ABC Insumos Apoio'!C:C,'ABC Insumos Apoio'!A:A)),"")</f>
        <v>MAO DE OBRA PARA COLOCACAO DE PISO CONCREGRAMA</v>
      </c>
      <c r="F122" s="281" t="str">
        <f ca="1">IFERROR(IF(A122="","",_xlfn.XLOOKUP(E122,Insumos!A:A,Insumos!B:B)),"")</f>
        <v>M2</v>
      </c>
      <c r="G122" s="282">
        <f ca="1">IFERROR(IF(A122="","",SUMIF(Orçamento!P:P,E122,Orçamento!X:X)),"")</f>
        <v>12.677</v>
      </c>
      <c r="H122" s="283">
        <f ca="1">IFERROR(IF(A122="","",_xlfn.XLOOKUP(E122,Insumos!A:A,Insumos!C:C)),"")</f>
        <v>41</v>
      </c>
      <c r="I122" s="283">
        <f t="shared" ca="1" si="4"/>
        <v>519.75699999999995</v>
      </c>
      <c r="J122" s="284">
        <f t="shared" ca="1" si="5"/>
        <v>7.4563880380870863E-5</v>
      </c>
      <c r="K122" s="284">
        <f t="shared" ca="1" si="6"/>
        <v>0.32205433281974921</v>
      </c>
    </row>
    <row r="123" spans="1:11" ht="9.6" customHeight="1" x14ac:dyDescent="0.2">
      <c r="A123" s="10" t="str">
        <f ca="1"/>
        <v>50600 - LOUÇAS E METAIS</v>
      </c>
      <c r="B123" s="10">
        <f ca="1">IF(OR(A123="",A123=0),"",LARGE($B$8:B122,1)+1)</f>
        <v>115</v>
      </c>
      <c r="C123" s="7"/>
      <c r="D123" s="279">
        <f ca="1">IF(A123="","",COUNTIF(Orçamento!P:P,A123))</f>
        <v>0</v>
      </c>
      <c r="E123" s="280" t="str">
        <f ca="1">IFERROR(IF(A123="","",_xlfn.XLOOKUP(A123,'ABC Insumos Apoio'!C:C,'ABC Insumos Apoio'!A:A)),"")</f>
        <v>LOUÇAS E METAIS</v>
      </c>
      <c r="F123" s="281" t="str">
        <f ca="1">IFERROR(IF(A123="","",_xlfn.XLOOKUP(E123,Insumos!A:A,Insumos!B:B)),"")</f>
        <v>VB</v>
      </c>
      <c r="G123" s="282">
        <f ca="1">IFERROR(IF(A123="","",SUMIF(Orçamento!P:P,E123,Orçamento!X:X)),"")</f>
        <v>1</v>
      </c>
      <c r="H123" s="283">
        <f ca="1">IFERROR(IF(A123="","",_xlfn.XLOOKUP(E123,Insumos!A:A,Insumos!C:C)),"")</f>
        <v>50600</v>
      </c>
      <c r="I123" s="283">
        <f t="shared" ca="1" si="4"/>
        <v>50600</v>
      </c>
      <c r="J123" s="284">
        <f t="shared" ca="1" si="5"/>
        <v>7.2590313305488261E-3</v>
      </c>
      <c r="K123" s="284">
        <f t="shared" ca="1" si="6"/>
        <v>0.32931336415029805</v>
      </c>
    </row>
    <row r="124" spans="1:11" ht="9.6" customHeight="1" x14ac:dyDescent="0.2">
      <c r="A124" s="10" t="str">
        <f ca="1"/>
        <v>495,21 - CIMENTO BRANCO</v>
      </c>
      <c r="B124" s="10">
        <f ca="1">IF(OR(A124="",A124=0),"",LARGE($B$8:B123,1)+1)</f>
        <v>116</v>
      </c>
      <c r="C124" s="7"/>
      <c r="D124" s="279">
        <f ca="1">IF(A124="","",COUNTIF(Orçamento!P:P,A124))</f>
        <v>0</v>
      </c>
      <c r="E124" s="280" t="str">
        <f ca="1">IFERROR(IF(A124="","",_xlfn.XLOOKUP(A124,'ABC Insumos Apoio'!C:C,'ABC Insumos Apoio'!A:A)),"")</f>
        <v>CIMENTO BRANCO</v>
      </c>
      <c r="F124" s="281" t="str">
        <f ca="1">IFERROR(IF(A124="","",_xlfn.XLOOKUP(E124,Insumos!A:A,Insumos!B:B)),"")</f>
        <v>KG</v>
      </c>
      <c r="G124" s="282">
        <f ca="1">IFERROR(IF(A124="","",SUMIF(Orçamento!P:P,E124,Orçamento!X:X)),"")</f>
        <v>187.578</v>
      </c>
      <c r="H124" s="283">
        <f ca="1">IFERROR(IF(A124="","",_xlfn.XLOOKUP(E124,Insumos!A:A,Insumos!C:C)),"")</f>
        <v>2.64</v>
      </c>
      <c r="I124" s="283">
        <f t="shared" ca="1" si="4"/>
        <v>495.20592000000005</v>
      </c>
      <c r="J124" s="284">
        <f t="shared" ca="1" si="5"/>
        <v>7.1041804117653268E-5</v>
      </c>
      <c r="K124" s="284">
        <f t="shared" ca="1" si="6"/>
        <v>0.3293844059544157</v>
      </c>
    </row>
    <row r="125" spans="1:11" ht="9.6" customHeight="1" x14ac:dyDescent="0.2">
      <c r="A125" s="10" t="str">
        <f ca="1"/>
        <v>49 - VALVULA P/LAVATORIO ACO CARBONO CROMADO 1"</v>
      </c>
      <c r="B125" s="10">
        <f ca="1">IF(OR(A125="",A125=0),"",LARGE($B$8:B124,1)+1)</f>
        <v>117</v>
      </c>
      <c r="C125" s="7"/>
      <c r="D125" s="279">
        <f ca="1">IF(A125="","",COUNTIF(Orçamento!P:P,A125))</f>
        <v>0</v>
      </c>
      <c r="E125" s="280" t="str">
        <f ca="1">IFERROR(IF(A125="","",_xlfn.XLOOKUP(A125,'ABC Insumos Apoio'!C:C,'ABC Insumos Apoio'!A:A)),"")</f>
        <v>VALVULA P/LAVATORIO ACO CARBONO CROMADO 1"</v>
      </c>
      <c r="F125" s="281" t="str">
        <f ca="1">IFERROR(IF(A125="","",_xlfn.XLOOKUP(E125,Insumos!A:A,Insumos!B:B)),"")</f>
        <v>UN</v>
      </c>
      <c r="G125" s="282">
        <f ca="1">IFERROR(IF(A125="","",SUMIF(Orçamento!P:P,E125,Orçamento!X:X)),"")</f>
        <v>2</v>
      </c>
      <c r="H125" s="283">
        <f ca="1">IFERROR(IF(A125="","",_xlfn.XLOOKUP(E125,Insumos!A:A,Insumos!C:C)),"")</f>
        <v>24.5</v>
      </c>
      <c r="I125" s="283">
        <f t="shared" ca="1" si="4"/>
        <v>49</v>
      </c>
      <c r="J125" s="284">
        <f t="shared" ca="1" si="5"/>
        <v>7.02949674302159E-6</v>
      </c>
      <c r="K125" s="284">
        <f t="shared" ca="1" si="6"/>
        <v>0.32939143545115873</v>
      </c>
    </row>
    <row r="126" spans="1:11" ht="9.6" customHeight="1" x14ac:dyDescent="0.2">
      <c r="A126" s="10" t="str">
        <f ca="1"/>
        <v>4882,2 - GUARDA CORPO DE VAOS</v>
      </c>
      <c r="B126" s="10">
        <f ca="1">IF(OR(A126="",A126=0),"",LARGE($B$8:B125,1)+1)</f>
        <v>118</v>
      </c>
      <c r="C126" s="7"/>
      <c r="D126" s="279">
        <f ca="1">IF(A126="","",COUNTIF(Orçamento!P:P,A126))</f>
        <v>0</v>
      </c>
      <c r="E126" s="280" t="str">
        <f ca="1">IFERROR(IF(A126="","",_xlfn.XLOOKUP(A126,'ABC Insumos Apoio'!C:C,'ABC Insumos Apoio'!A:A)),"")</f>
        <v>GUARDA CORPO DE VAOS</v>
      </c>
      <c r="F126" s="281" t="str">
        <f ca="1">IFERROR(IF(A126="","",_xlfn.XLOOKUP(E126,Insumos!A:A,Insumos!B:B)),"")</f>
        <v>VB</v>
      </c>
      <c r="G126" s="282">
        <f ca="1">IFERROR(IF(A126="","",SUMIF(Orçamento!P:P,E126,Orçamento!X:X)),"")</f>
        <v>356.88549999999998</v>
      </c>
      <c r="H126" s="283">
        <f ca="1">IFERROR(IF(A126="","",_xlfn.XLOOKUP(E126,Insumos!A:A,Insumos!C:C)),"")</f>
        <v>13.68</v>
      </c>
      <c r="I126" s="283">
        <f t="shared" ca="1" si="4"/>
        <v>4882.1936399999995</v>
      </c>
      <c r="J126" s="284">
        <f t="shared" ca="1" si="5"/>
        <v>7.0039518961593301E-4</v>
      </c>
      <c r="K126" s="284">
        <f t="shared" ca="1" si="6"/>
        <v>0.33009183064077469</v>
      </c>
    </row>
    <row r="127" spans="1:11" ht="9.6" customHeight="1" x14ac:dyDescent="0.2">
      <c r="A127" s="10" t="str">
        <f ca="1"/>
        <v>4852,98 - ELETRODUTOS, CAIXAS E ELETROCALHAS - COBERTURA</v>
      </c>
      <c r="B127" s="10">
        <f ca="1">IF(OR(A127="",A127=0),"",LARGE($B$8:B126,1)+1)</f>
        <v>119</v>
      </c>
      <c r="C127" s="7"/>
      <c r="D127" s="279">
        <f ca="1">IF(A127="","",COUNTIF(Orçamento!P:P,A127))</f>
        <v>0</v>
      </c>
      <c r="E127" s="280" t="str">
        <f ca="1">IFERROR(IF(A127="","",_xlfn.XLOOKUP(A127,'ABC Insumos Apoio'!C:C,'ABC Insumos Apoio'!A:A)),"")</f>
        <v>ELETRODUTOS, CAIXAS E ELETROCALHAS - COBERTURA</v>
      </c>
      <c r="F127" s="281" t="str">
        <f ca="1">IFERROR(IF(A127="","",_xlfn.XLOOKUP(E127,Insumos!A:A,Insumos!B:B)),"")</f>
        <v>VB</v>
      </c>
      <c r="G127" s="282">
        <f ca="1">IFERROR(IF(A127="","",SUMIF(Orçamento!P:P,E127,Orçamento!X:X)),"")</f>
        <v>1</v>
      </c>
      <c r="H127" s="283">
        <f ca="1">IFERROR(IF(A127="","",_xlfn.XLOOKUP(E127,Insumos!A:A,Insumos!C:C)),"")</f>
        <v>4852.9795400610647</v>
      </c>
      <c r="I127" s="283">
        <f t="shared" ca="1" si="4"/>
        <v>4852.9795400610647</v>
      </c>
      <c r="J127" s="284">
        <f t="shared" ca="1" si="5"/>
        <v>6.9620416062876871E-4</v>
      </c>
      <c r="K127" s="284">
        <f t="shared" ca="1" si="6"/>
        <v>0.33078803480140345</v>
      </c>
    </row>
    <row r="128" spans="1:11" ht="9.6" customHeight="1" x14ac:dyDescent="0.2">
      <c r="A128" s="10" t="str">
        <f ca="1"/>
        <v>471,82 - Cimento Portland CP II - E</v>
      </c>
      <c r="B128" s="10">
        <f ca="1">IF(OR(A128="",A128=0),"",LARGE($B$8:B127,1)+1)</f>
        <v>120</v>
      </c>
      <c r="C128" s="7"/>
      <c r="D128" s="279">
        <f ca="1">IF(A128="","",COUNTIF(Orçamento!P:P,A128))</f>
        <v>0</v>
      </c>
      <c r="E128" s="280" t="str">
        <f ca="1">IFERROR(IF(A128="","",_xlfn.XLOOKUP(A128,'ABC Insumos Apoio'!C:C,'ABC Insumos Apoio'!A:A)),"")</f>
        <v>Cimento Portland CP II - E</v>
      </c>
      <c r="F128" s="281" t="str">
        <f ca="1">IFERROR(IF(A128="","",_xlfn.XLOOKUP(E128,Insumos!A:A,Insumos!B:B)),"")</f>
        <v>KG</v>
      </c>
      <c r="G128" s="282">
        <f ca="1">IFERROR(IF(A128="","",SUMIF(Orçamento!P:P,E128,Orçamento!X:X)),"")</f>
        <v>786.35559748419996</v>
      </c>
      <c r="H128" s="283">
        <f ca="1">IFERROR(IF(A128="","",_xlfn.XLOOKUP(E128,Insumos!A:A,Insumos!C:C)),"")</f>
        <v>0.6</v>
      </c>
      <c r="I128" s="283">
        <f t="shared" ca="1" si="4"/>
        <v>471.81335849051993</v>
      </c>
      <c r="J128" s="284">
        <f t="shared" ca="1" si="5"/>
        <v>6.7685927894350765E-5</v>
      </c>
      <c r="K128" s="284">
        <f t="shared" ca="1" si="6"/>
        <v>0.33085572072929781</v>
      </c>
    </row>
    <row r="129" spans="1:11" ht="9.6" customHeight="1" x14ac:dyDescent="0.2">
      <c r="A129" s="10" t="str">
        <f ca="1"/>
        <v>4700,16 - Cunha 1/2" BI Partida - EHX 0036</v>
      </c>
      <c r="B129" s="10">
        <f ca="1">IF(OR(A129="",A129=0),"",LARGE($B$8:B128,1)+1)</f>
        <v>121</v>
      </c>
      <c r="C129" s="7"/>
      <c r="D129" s="279">
        <f ca="1">IF(A129="","",COUNTIF(Orçamento!P:P,A129))</f>
        <v>0</v>
      </c>
      <c r="E129" s="280" t="str">
        <f ca="1">IFERROR(IF(A129="","",_xlfn.XLOOKUP(A129,'ABC Insumos Apoio'!C:C,'ABC Insumos Apoio'!A:A)),"")</f>
        <v>Cunha 1/2" BI Partida - EHX 0036</v>
      </c>
      <c r="F129" s="281" t="str">
        <f ca="1">IFERROR(IF(A129="","",_xlfn.XLOOKUP(E129,Insumos!A:A,Insumos!B:B)),"")</f>
        <v>Par</v>
      </c>
      <c r="G129" s="282">
        <f ca="1">IFERROR(IF(A129="","",SUMIF(Orçamento!P:P,E129,Orçamento!X:X)),"")</f>
        <v>512</v>
      </c>
      <c r="H129" s="283">
        <f ca="1">IFERROR(IF(A129="","",_xlfn.XLOOKUP(E129,Insumos!A:A,Insumos!C:C)),"")</f>
        <v>9.18</v>
      </c>
      <c r="I129" s="283">
        <f t="shared" ca="1" si="4"/>
        <v>4700.16</v>
      </c>
      <c r="J129" s="284">
        <f t="shared" ca="1" si="5"/>
        <v>6.7428080432000727E-4</v>
      </c>
      <c r="K129" s="284">
        <f t="shared" ca="1" si="6"/>
        <v>0.33153000153361784</v>
      </c>
    </row>
    <row r="130" spans="1:11" ht="9.6" customHeight="1" x14ac:dyDescent="0.2">
      <c r="A130" s="10" t="str">
        <f ca="1"/>
        <v>465,3 - ESPACADOR PVC CADEIRINHA HORIZONTAL ETP 25/30 NBR 6118</v>
      </c>
      <c r="B130" s="10">
        <f ca="1">IF(OR(A130="",A130=0),"",LARGE($B$8:B129,1)+1)</f>
        <v>122</v>
      </c>
      <c r="C130" s="7"/>
      <c r="D130" s="279">
        <f ca="1">IF(A130="","",COUNTIF(Orçamento!P:P,A130))</f>
        <v>0</v>
      </c>
      <c r="E130" s="280" t="str">
        <f ca="1">IFERROR(IF(A130="","",_xlfn.XLOOKUP(A130,'ABC Insumos Apoio'!C:C,'ABC Insumos Apoio'!A:A)),"")</f>
        <v>ESPACADOR PVC CADEIRINHA HORIZONTAL ETP 25/30 NBR 6118</v>
      </c>
      <c r="F130" s="281" t="str">
        <f ca="1">IFERROR(IF(A130="","",_xlfn.XLOOKUP(E130,Insumos!A:A,Insumos!B:B)),"")</f>
        <v>UN</v>
      </c>
      <c r="G130" s="282">
        <f ca="1">IFERROR(IF(A130="","",SUMIF(Orçamento!P:P,E130,Orçamento!X:X)),"")</f>
        <v>1034</v>
      </c>
      <c r="H130" s="283">
        <f ca="1">IFERROR(IF(A130="","",_xlfn.XLOOKUP(E130,Insumos!A:A,Insumos!C:C)),"")</f>
        <v>0.45</v>
      </c>
      <c r="I130" s="283">
        <f t="shared" ca="1" si="4"/>
        <v>465.3</v>
      </c>
      <c r="J130" s="284">
        <f t="shared" ca="1" si="5"/>
        <v>6.6751527235264207E-5</v>
      </c>
      <c r="K130" s="284">
        <f t="shared" ca="1" si="6"/>
        <v>0.33159675306085312</v>
      </c>
    </row>
    <row r="131" spans="1:11" ht="9.6" customHeight="1" x14ac:dyDescent="0.2">
      <c r="A131" s="10" t="str">
        <f ca="1"/>
        <v>46260,68 - ARMAÇÃO MÉDIA PARA FUNDAÇÃO</v>
      </c>
      <c r="B131" s="10">
        <f ca="1">IF(OR(A131="",A131=0),"",LARGE($B$8:B130,1)+1)</f>
        <v>123</v>
      </c>
      <c r="C131" s="7"/>
      <c r="D131" s="279">
        <f ca="1">IF(A131="","",COUNTIF(Orçamento!P:P,A131))</f>
        <v>0</v>
      </c>
      <c r="E131" s="280" t="str">
        <f ca="1">IFERROR(IF(A131="","",_xlfn.XLOOKUP(A131,'ABC Insumos Apoio'!C:C,'ABC Insumos Apoio'!A:A)),"")</f>
        <v>ARMAÇÃO MÉDIA PARA FUNDAÇÃO</v>
      </c>
      <c r="F131" s="281" t="str">
        <f ca="1">IFERROR(IF(A131="","",_xlfn.XLOOKUP(E131,Insumos!A:A,Insumos!B:B)),"")</f>
        <v>VB</v>
      </c>
      <c r="G131" s="282">
        <f ca="1">IFERROR(IF(A131="","",SUMIF(Orçamento!P:P,E131,Orçamento!X:X)),"")</f>
        <v>1</v>
      </c>
      <c r="H131" s="283">
        <f ca="1">IFERROR(IF(A131="","",_xlfn.XLOOKUP(E131,Insumos!A:A,Insumos!C:C)),"")</f>
        <v>46260.671085225476</v>
      </c>
      <c r="I131" s="283">
        <f t="shared" ca="1" si="4"/>
        <v>46260.671085225476</v>
      </c>
      <c r="J131" s="284">
        <f t="shared" ca="1" si="5"/>
        <v>6.6365150351752151E-3</v>
      </c>
      <c r="K131" s="284">
        <f t="shared" ca="1" si="6"/>
        <v>0.33823326809602833</v>
      </c>
    </row>
    <row r="132" spans="1:11" ht="9.6" customHeight="1" x14ac:dyDescent="0.2">
      <c r="A132" s="10" t="str">
        <f ca="1"/>
        <v>46200 - Contador</v>
      </c>
      <c r="B132" s="10">
        <f ca="1">IF(OR(A132="",A132=0),"",LARGE($B$8:B131,1)+1)</f>
        <v>124</v>
      </c>
      <c r="C132" s="7"/>
      <c r="D132" s="279">
        <f ca="1">IF(A132="","",COUNTIF(Orçamento!P:P,A132))</f>
        <v>0</v>
      </c>
      <c r="E132" s="280" t="str">
        <f ca="1">IFERROR(IF(A132="","",_xlfn.XLOOKUP(A132,'ABC Insumos Apoio'!C:C,'ABC Insumos Apoio'!A:A)),"")</f>
        <v>Contador</v>
      </c>
      <c r="F132" s="281" t="str">
        <f ca="1">IFERROR(IF(A132="","",_xlfn.XLOOKUP(E132,Insumos!A:A,Insumos!B:B)),"")</f>
        <v>MES</v>
      </c>
      <c r="G132" s="282">
        <f ca="1">IFERROR(IF(A132="","",SUMIF(Orçamento!P:P,E132,Orçamento!X:X)),"")</f>
        <v>22</v>
      </c>
      <c r="H132" s="283">
        <f ca="1">IFERROR(IF(A132="","",_xlfn.XLOOKUP(E132,Insumos!A:A,Insumos!C:C)),"")</f>
        <v>2100</v>
      </c>
      <c r="I132" s="283">
        <f t="shared" ca="1" si="4"/>
        <v>46200</v>
      </c>
      <c r="J132" s="284">
        <f t="shared" ca="1" si="5"/>
        <v>6.6278112148489277E-3</v>
      </c>
      <c r="K132" s="284">
        <f t="shared" ca="1" si="6"/>
        <v>0.34486107931087728</v>
      </c>
    </row>
    <row r="133" spans="1:11" ht="9.6" customHeight="1" x14ac:dyDescent="0.2">
      <c r="A133" s="10" t="str">
        <f ca="1"/>
        <v>459,8 - TORNEIRA LATAO CROMADO MESA P/LAVATORIO 1/2" NOVA PERTUTTI BICA BAIXA</v>
      </c>
      <c r="B133" s="10">
        <f ca="1">IF(OR(A133="",A133=0),"",LARGE($B$8:B132,1)+1)</f>
        <v>125</v>
      </c>
      <c r="C133" s="7"/>
      <c r="D133" s="279">
        <f ca="1">IF(A133="","",COUNTIF(Orçamento!P:P,A133))</f>
        <v>0</v>
      </c>
      <c r="E133" s="280" t="str">
        <f ca="1">IFERROR(IF(A133="","",_xlfn.XLOOKUP(A133,'ABC Insumos Apoio'!C:C,'ABC Insumos Apoio'!A:A)),"")</f>
        <v>TORNEIRA LATAO CROMADO MESA P/LAVATORIO 1/2" NOVA PERTUTTI BICA BAIXA</v>
      </c>
      <c r="F133" s="281" t="str">
        <f ca="1">IFERROR(IF(A133="","",_xlfn.XLOOKUP(E133,Insumos!A:A,Insumos!B:B)),"")</f>
        <v>un</v>
      </c>
      <c r="G133" s="282">
        <f ca="1">IFERROR(IF(A133="","",SUMIF(Orçamento!P:P,E133,Orçamento!X:X)),"")</f>
        <v>2</v>
      </c>
      <c r="H133" s="283">
        <f ca="1">IFERROR(IF(A133="","",_xlfn.XLOOKUP(E133,Insumos!A:A,Insumos!C:C)),"")</f>
        <v>229.9</v>
      </c>
      <c r="I133" s="283">
        <f t="shared" ca="1" si="4"/>
        <v>459.8</v>
      </c>
      <c r="J133" s="284">
        <f t="shared" ca="1" si="5"/>
        <v>6.5962502090639332E-5</v>
      </c>
      <c r="K133" s="284">
        <f t="shared" ca="1" si="6"/>
        <v>0.3449270418129679</v>
      </c>
    </row>
    <row r="134" spans="1:11" ht="9.6" customHeight="1" x14ac:dyDescent="0.2">
      <c r="A134" s="10" t="str">
        <f ca="1"/>
        <v>4500 - Elaboração do Programa de Condições e Meio Ambiente de Trabalho na indústria da construção (PCMAT)</v>
      </c>
      <c r="B134" s="10">
        <f ca="1">IF(OR(A134="",A134=0),"",LARGE($B$8:B133,1)+1)</f>
        <v>126</v>
      </c>
      <c r="C134" s="7"/>
      <c r="D134" s="279">
        <f ca="1">IF(A134="","",COUNTIF(Orçamento!P:P,A134))</f>
        <v>0</v>
      </c>
      <c r="E134" s="280" t="str">
        <f ca="1">IFERROR(IF(A134="","",_xlfn.XLOOKUP(A134,'ABC Insumos Apoio'!C:C,'ABC Insumos Apoio'!A:A)),"")</f>
        <v>Elaboração do Programa de Condições e Meio Ambiente de Trabalho na indústria da construção (PCMAT)</v>
      </c>
      <c r="F134" s="281" t="str">
        <f ca="1">IFERROR(IF(A134="","",_xlfn.XLOOKUP(E134,Insumos!A:A,Insumos!B:B)),"")</f>
        <v>VB</v>
      </c>
      <c r="G134" s="282">
        <f ca="1">IFERROR(IF(A134="","",SUMIF(Orçamento!P:P,E134,Orçamento!X:X)),"")</f>
        <v>1</v>
      </c>
      <c r="H134" s="283">
        <f ca="1">IFERROR(IF(A134="","",_xlfn.XLOOKUP(E134,Insumos!A:A,Insumos!C:C)),"")</f>
        <v>4500</v>
      </c>
      <c r="I134" s="283">
        <f t="shared" ca="1" si="4"/>
        <v>4500</v>
      </c>
      <c r="J134" s="284">
        <f t="shared" ca="1" si="5"/>
        <v>6.4556602742035015E-4</v>
      </c>
      <c r="K134" s="284">
        <f t="shared" ca="1" si="6"/>
        <v>0.34557260784038824</v>
      </c>
    </row>
    <row r="135" spans="1:11" ht="9.6" customHeight="1" x14ac:dyDescent="0.2">
      <c r="A135" s="10" t="str">
        <f ca="1"/>
        <v>44 - SUPORTE APOIO ACO CARBONO P/PIA 40CM TUBO 50X30X0,90MM BRANCO</v>
      </c>
      <c r="B135" s="10">
        <f ca="1">IF(OR(A135="",A135=0),"",LARGE($B$8:B134,1)+1)</f>
        <v>127</v>
      </c>
      <c r="C135" s="7"/>
      <c r="D135" s="279">
        <f ca="1">IF(A135="","",COUNTIF(Orçamento!P:P,A135))</f>
        <v>0</v>
      </c>
      <c r="E135" s="280" t="str">
        <f ca="1">IFERROR(IF(A135="","",_xlfn.XLOOKUP(A135,'ABC Insumos Apoio'!C:C,'ABC Insumos Apoio'!A:A)),"")</f>
        <v>SUPORTE APOIO ACO CARBONO P/PIA 40CM TUBO 50X30X0,90MM BRANCO</v>
      </c>
      <c r="F135" s="281" t="str">
        <f ca="1">IFERROR(IF(A135="","",_xlfn.XLOOKUP(E135,Insumos!A:A,Insumos!B:B)),"")</f>
        <v>UN</v>
      </c>
      <c r="G135" s="282">
        <f ca="1">IFERROR(IF(A135="","",SUMIF(Orçamento!P:P,E135,Orçamento!X:X)),"")</f>
        <v>2</v>
      </c>
      <c r="H135" s="283">
        <f ca="1">IFERROR(IF(A135="","",_xlfn.XLOOKUP(E135,Insumos!A:A,Insumos!C:C)),"")</f>
        <v>22</v>
      </c>
      <c r="I135" s="283">
        <f t="shared" ca="1" si="4"/>
        <v>44</v>
      </c>
      <c r="J135" s="284">
        <f t="shared" ca="1" si="5"/>
        <v>6.3122011569989786E-6</v>
      </c>
      <c r="K135" s="284">
        <f t="shared" ca="1" si="6"/>
        <v>0.34557892004154522</v>
      </c>
    </row>
    <row r="136" spans="1:11" ht="9.6" customHeight="1" x14ac:dyDescent="0.2">
      <c r="A136" s="10" t="str">
        <f ca="1"/>
        <v>4392,42 - QUADROS E DISJUNTORES - TERREO</v>
      </c>
      <c r="B136" s="10">
        <f ca="1">IF(OR(A136="",A136=0),"",LARGE($B$8:B135,1)+1)</f>
        <v>128</v>
      </c>
      <c r="C136" s="7"/>
      <c r="D136" s="279">
        <f ca="1">IF(A136="","",COUNTIF(Orçamento!P:P,A136))</f>
        <v>0</v>
      </c>
      <c r="E136" s="280" t="str">
        <f ca="1">IFERROR(IF(A136="","",_xlfn.XLOOKUP(A136,'ABC Insumos Apoio'!C:C,'ABC Insumos Apoio'!A:A)),"")</f>
        <v>QUADROS E DISJUNTORES - TERREO</v>
      </c>
      <c r="F136" s="281" t="str">
        <f ca="1">IFERROR(IF(A136="","",_xlfn.XLOOKUP(E136,Insumos!A:A,Insumos!B:B)),"")</f>
        <v>VB</v>
      </c>
      <c r="G136" s="282">
        <f ca="1">IFERROR(IF(A136="","",SUMIF(Orçamento!P:P,E136,Orçamento!X:X)),"")</f>
        <v>1</v>
      </c>
      <c r="H136" s="283">
        <f ca="1">IFERROR(IF(A136="","",_xlfn.XLOOKUP(E136,Insumos!A:A,Insumos!C:C)),"")</f>
        <v>4392.4124176349396</v>
      </c>
      <c r="I136" s="283">
        <f t="shared" ca="1" si="4"/>
        <v>4392.4124176349396</v>
      </c>
      <c r="J136" s="284">
        <f t="shared" ca="1" si="5"/>
        <v>6.301316078320897E-4</v>
      </c>
      <c r="K136" s="284">
        <f t="shared" ca="1" si="6"/>
        <v>0.34620905164937732</v>
      </c>
    </row>
    <row r="137" spans="1:11" ht="9.6" customHeight="1" x14ac:dyDescent="0.2">
      <c r="A137" s="10" t="str">
        <f ca="1"/>
        <v>43781,86 - MADEIRA DE FORMA PARA FUNDAÇÃO</v>
      </c>
      <c r="B137" s="10">
        <f ca="1">IF(OR(A137="",A137=0),"",LARGE($B$8:B136,1)+1)</f>
        <v>129</v>
      </c>
      <c r="C137" s="7"/>
      <c r="D137" s="279">
        <f ca="1">IF(A137="","",COUNTIF(Orçamento!P:P,A137))</f>
        <v>0</v>
      </c>
      <c r="E137" s="280" t="str">
        <f ca="1">IFERROR(IF(A137="","",_xlfn.XLOOKUP(A137,'ABC Insumos Apoio'!C:C,'ABC Insumos Apoio'!A:A)),"")</f>
        <v>MADEIRA DE FORMA PARA FUNDAÇÃO</v>
      </c>
      <c r="F137" s="281" t="str">
        <f ca="1">IFERROR(IF(A137="","",_xlfn.XLOOKUP(E137,Insumos!A:A,Insumos!B:B)),"")</f>
        <v>VB</v>
      </c>
      <c r="G137" s="282">
        <f ca="1">IFERROR(IF(A137="","",SUMIF(Orçamento!P:P,E137,Orçamento!X:X)),"")</f>
        <v>1</v>
      </c>
      <c r="H137" s="283">
        <f ca="1">IFERROR(IF(A137="","",_xlfn.XLOOKUP(E137,Insumos!A:A,Insumos!C:C)),"")</f>
        <v>43781.855390624762</v>
      </c>
      <c r="I137" s="283">
        <f t="shared" ref="I137:I200" ca="1" si="7">IFERROR(IF(E137="","",G137*H137),"")</f>
        <v>43781.855390624762</v>
      </c>
      <c r="J137" s="284">
        <f t="shared" ref="J137:J200" ca="1" si="8">IFERROR(IF(I137="","",I137/$I$6),0)</f>
        <v>6.2809063239150816E-3</v>
      </c>
      <c r="K137" s="284">
        <f t="shared" ca="1" si="6"/>
        <v>0.35248995797329241</v>
      </c>
    </row>
    <row r="138" spans="1:11" ht="9.6" customHeight="1" x14ac:dyDescent="0.2">
      <c r="A138" s="10" t="str">
        <f ca="1"/>
        <v>4373,69 - TELA FACHADEIRA MOSQUITEIRA</v>
      </c>
      <c r="B138" s="10">
        <f ca="1">IF(OR(A138="",A138=0),"",LARGE($B$8:B137,1)+1)</f>
        <v>130</v>
      </c>
      <c r="C138" s="7"/>
      <c r="D138" s="279">
        <f ca="1">IF(A138="","",COUNTIF(Orçamento!P:P,A138))</f>
        <v>0</v>
      </c>
      <c r="E138" s="280" t="str">
        <f ca="1">IFERROR(IF(A138="","",_xlfn.XLOOKUP(A138,'ABC Insumos Apoio'!C:C,'ABC Insumos Apoio'!A:A)),"")</f>
        <v>TELA FACHADEIRA MOSQUITEIRA</v>
      </c>
      <c r="F138" s="281" t="str">
        <f ca="1">IFERROR(IF(A138="","",_xlfn.XLOOKUP(E138,Insumos!A:A,Insumos!B:B)),"")</f>
        <v>M2</v>
      </c>
      <c r="G138" s="282">
        <f ca="1">IFERROR(IF(A138="","",SUMIF(Orçamento!P:P,E138,Orçamento!X:X)),"")</f>
        <v>1822.3673999999999</v>
      </c>
      <c r="H138" s="283">
        <f ca="1">IFERROR(IF(A138="","",_xlfn.XLOOKUP(E138,Insumos!A:A,Insumos!C:C)),"")</f>
        <v>2.4</v>
      </c>
      <c r="I138" s="283">
        <f t="shared" ca="1" si="7"/>
        <v>4373.6817599999995</v>
      </c>
      <c r="J138" s="284">
        <f t="shared" ca="1" si="8"/>
        <v>6.2744452422312108E-4</v>
      </c>
      <c r="K138" s="284">
        <f t="shared" ref="K138:K201" ca="1" si="9">IF(I138="","",J138+K137)</f>
        <v>0.35311740249751555</v>
      </c>
    </row>
    <row r="139" spans="1:11" ht="9.6" customHeight="1" x14ac:dyDescent="0.2">
      <c r="A139" s="10" t="str">
        <f ca="1"/>
        <v>41400 - INSTALACOES DE CANTEIRO</v>
      </c>
      <c r="B139" s="10">
        <f ca="1">IF(OR(A139="",A139=0),"",LARGE($B$8:B138,1)+1)</f>
        <v>131</v>
      </c>
      <c r="C139" s="7"/>
      <c r="D139" s="279">
        <f ca="1">IF(A139="","",COUNTIF(Orçamento!P:P,A139))</f>
        <v>0</v>
      </c>
      <c r="E139" s="280" t="str">
        <f ca="1">IFERROR(IF(A139="","",_xlfn.XLOOKUP(A139,'ABC Insumos Apoio'!C:C,'ABC Insumos Apoio'!A:A)),"")</f>
        <v>INSTALACOES DE CANTEIRO</v>
      </c>
      <c r="F139" s="281" t="str">
        <f ca="1">IFERROR(IF(A139="","",_xlfn.XLOOKUP(E139,Insumos!A:A,Insumos!B:B)),"")</f>
        <v>VB</v>
      </c>
      <c r="G139" s="282">
        <f ca="1">IFERROR(IF(A139="","",SUMIF(Orçamento!P:P,E139,Orçamento!X:X)),"")</f>
        <v>1</v>
      </c>
      <c r="H139" s="283">
        <f ca="1">IFERROR(IF(A139="","",_xlfn.XLOOKUP(E139,Insumos!A:A,Insumos!C:C)),"")</f>
        <v>41400</v>
      </c>
      <c r="I139" s="283">
        <f t="shared" ca="1" si="7"/>
        <v>41400</v>
      </c>
      <c r="J139" s="284">
        <f t="shared" ca="1" si="8"/>
        <v>5.9392074522672212E-3</v>
      </c>
      <c r="K139" s="284">
        <f t="shared" ca="1" si="9"/>
        <v>0.35905660994978278</v>
      </c>
    </row>
    <row r="140" spans="1:11" ht="9.6" customHeight="1" x14ac:dyDescent="0.2">
      <c r="A140" s="10" t="str">
        <f ca="1"/>
        <v>4085 - Fechadura Externa Com Maçaneta</v>
      </c>
      <c r="B140" s="10">
        <f ca="1">IF(OR(A140="",A140=0),"",LARGE($B$8:B139,1)+1)</f>
        <v>132</v>
      </c>
      <c r="C140" s="7"/>
      <c r="D140" s="279">
        <f ca="1">IF(A140="","",COUNTIF(Orçamento!P:P,A140))</f>
        <v>0</v>
      </c>
      <c r="E140" s="280" t="str">
        <f ca="1">IFERROR(IF(A140="","",_xlfn.XLOOKUP(A140,'ABC Insumos Apoio'!C:C,'ABC Insumos Apoio'!A:A)),"")</f>
        <v>Fechadura Externa Com Maçaneta</v>
      </c>
      <c r="F140" s="281" t="str">
        <f ca="1">IFERROR(IF(A140="","",_xlfn.XLOOKUP(E140,Insumos!A:A,Insumos!B:B)),"")</f>
        <v>UN</v>
      </c>
      <c r="G140" s="282">
        <f ca="1">IFERROR(IF(A140="","",SUMIF(Orçamento!P:P,E140,Orçamento!X:X)),"")</f>
        <v>43</v>
      </c>
      <c r="H140" s="283">
        <f ca="1">IFERROR(IF(A140="","",_xlfn.XLOOKUP(E140,Insumos!A:A,Insumos!C:C)),"")</f>
        <v>95</v>
      </c>
      <c r="I140" s="283">
        <f t="shared" ca="1" si="7"/>
        <v>4085</v>
      </c>
      <c r="J140" s="284">
        <f t="shared" ca="1" si="8"/>
        <v>5.860304937804734E-4</v>
      </c>
      <c r="K140" s="284">
        <f t="shared" ca="1" si="9"/>
        <v>0.35964264044356326</v>
      </c>
    </row>
    <row r="141" spans="1:11" ht="9.6" customHeight="1" x14ac:dyDescent="0.2">
      <c r="A141" s="10" t="str">
        <f ca="1"/>
        <v>40816 - PROJETO ARQUITETONICO</v>
      </c>
      <c r="B141" s="10">
        <f ca="1">IF(OR(A141="",A141=0),"",LARGE($B$8:B140,1)+1)</f>
        <v>133</v>
      </c>
      <c r="C141" s="7"/>
      <c r="D141" s="279">
        <f ca="1">IF(A141="","",COUNTIF(Orçamento!P:P,A141))</f>
        <v>0</v>
      </c>
      <c r="E141" s="280" t="str">
        <f ca="1">IFERROR(IF(A141="","",_xlfn.XLOOKUP(A141,'ABC Insumos Apoio'!C:C,'ABC Insumos Apoio'!A:A)),"")</f>
        <v>PROJETO ARQUITETONICO</v>
      </c>
      <c r="F141" s="281" t="str">
        <f ca="1">IFERROR(IF(A141="","",_xlfn.XLOOKUP(E141,Insumos!A:A,Insumos!B:B)),"")</f>
        <v>VB</v>
      </c>
      <c r="G141" s="282">
        <f ca="1">IFERROR(IF(A141="","",SUMIF(Orçamento!P:P,E141,Orçamento!X:X)),"")</f>
        <v>1</v>
      </c>
      <c r="H141" s="283">
        <f ca="1">IFERROR(IF(A141="","",_xlfn.XLOOKUP(E141,Insumos!A:A,Insumos!C:C)),"")</f>
        <v>40816</v>
      </c>
      <c r="I141" s="283">
        <f t="shared" ca="1" si="7"/>
        <v>40816</v>
      </c>
      <c r="J141" s="284">
        <f t="shared" ca="1" si="8"/>
        <v>5.8554273278197799E-3</v>
      </c>
      <c r="K141" s="284">
        <f t="shared" ca="1" si="9"/>
        <v>0.36549806777138305</v>
      </c>
    </row>
    <row r="142" spans="1:11" ht="9.6" customHeight="1" x14ac:dyDescent="0.2">
      <c r="A142" s="10" t="str">
        <f ca="1"/>
        <v>40603,29 - CORDOALHA DE AÇO CP190 RB 12,7mm ENGRAXADA</v>
      </c>
      <c r="B142" s="10">
        <f ca="1">IF(OR(A142="",A142=0),"",LARGE($B$8:B141,1)+1)</f>
        <v>134</v>
      </c>
      <c r="C142" s="7"/>
      <c r="D142" s="279">
        <f ca="1">IF(A142="","",COUNTIF(Orçamento!P:P,A142))</f>
        <v>0</v>
      </c>
      <c r="E142" s="280" t="str">
        <f ca="1">IFERROR(IF(A142="","",_xlfn.XLOOKUP(A142,'ABC Insumos Apoio'!C:C,'ABC Insumos Apoio'!A:A)),"")</f>
        <v>CORDOALHA DE AÇO CP190 RB 12,7mm ENGRAXADA</v>
      </c>
      <c r="F142" s="281" t="str">
        <f ca="1">IFERROR(IF(A142="","",_xlfn.XLOOKUP(E142,Insumos!A:A,Insumos!B:B)),"")</f>
        <v>KG</v>
      </c>
      <c r="G142" s="282">
        <f ca="1">IFERROR(IF(A142="","",SUMIF(Orçamento!P:P,E142,Orçamento!X:X)),"")</f>
        <v>4274.4799999999996</v>
      </c>
      <c r="H142" s="283">
        <f ca="1">IFERROR(IF(A142="","",_xlfn.XLOOKUP(E142,Insumos!A:A,Insumos!C:C)),"")</f>
        <v>9.4989993646759849</v>
      </c>
      <c r="I142" s="283">
        <f t="shared" ca="1" si="7"/>
        <v>40603.282804320203</v>
      </c>
      <c r="J142" s="284">
        <f t="shared" ca="1" si="8"/>
        <v>5.8249111067133347E-3</v>
      </c>
      <c r="K142" s="284">
        <f t="shared" ca="1" si="9"/>
        <v>0.3713229788780964</v>
      </c>
    </row>
    <row r="143" spans="1:11" ht="9.6" customHeight="1" x14ac:dyDescent="0.2">
      <c r="A143" s="10" t="str">
        <f ca="1"/>
        <v>406,48 - Caibro madeira pinus 5x10x300cm</v>
      </c>
      <c r="B143" s="10">
        <f ca="1">IF(OR(A143="",A143=0),"",LARGE($B$8:B142,1)+1)</f>
        <v>135</v>
      </c>
      <c r="C143" s="7"/>
      <c r="D143" s="279">
        <f ca="1">IF(A143="","",COUNTIF(Orçamento!P:P,A143))</f>
        <v>0</v>
      </c>
      <c r="E143" s="280" t="str">
        <f ca="1">IFERROR(IF(A143="","",_xlfn.XLOOKUP(A143,'ABC Insumos Apoio'!C:C,'ABC Insumos Apoio'!A:A)),"")</f>
        <v>Caibro madeira pinus 5x10x300cm</v>
      </c>
      <c r="F143" s="281" t="str">
        <f ca="1">IFERROR(IF(A143="","",_xlfn.XLOOKUP(E143,Insumos!A:A,Insumos!B:B)),"")</f>
        <v>M3</v>
      </c>
      <c r="G143" s="282">
        <f ca="1">IFERROR(IF(A143="","",SUMIF(Orçamento!P:P,E143,Orçamento!X:X)),"")</f>
        <v>0.38711999999999996</v>
      </c>
      <c r="H143" s="283">
        <f ca="1">IFERROR(IF(A143="","",_xlfn.XLOOKUP(E143,Insumos!A:A,Insumos!C:C)),"")</f>
        <v>1050</v>
      </c>
      <c r="I143" s="283">
        <f t="shared" ca="1" si="7"/>
        <v>406.47599999999994</v>
      </c>
      <c r="J143" s="284">
        <f t="shared" ca="1" si="8"/>
        <v>5.8312688124825377E-5</v>
      </c>
      <c r="K143" s="284">
        <f t="shared" ca="1" si="9"/>
        <v>0.37138129156622124</v>
      </c>
    </row>
    <row r="144" spans="1:11" ht="9.6" customHeight="1" x14ac:dyDescent="0.2">
      <c r="A144" s="10" t="str">
        <f ca="1"/>
        <v>403,22 - BLOCO CERAMICO VEDACAO 9 X 19 X 29 CM - FUROS NA HORIZONTAL</v>
      </c>
      <c r="B144" s="10">
        <f ca="1">IF(OR(A144="",A144=0),"",LARGE($B$8:B143,1)+1)</f>
        <v>136</v>
      </c>
      <c r="C144" s="7"/>
      <c r="D144" s="279">
        <f ca="1">IF(A144="","",COUNTIF(Orçamento!P:P,A144))</f>
        <v>0</v>
      </c>
      <c r="E144" s="280" t="str">
        <f ca="1">IFERROR(IF(A144="","",_xlfn.XLOOKUP(A144,'ABC Insumos Apoio'!C:C,'ABC Insumos Apoio'!A:A)),"")</f>
        <v>BLOCO CERAMICO VEDACAO 9 X 19 X 29 CM - FUROS NA HORIZONTAL</v>
      </c>
      <c r="F144" s="281" t="str">
        <f ca="1">IFERROR(IF(A144="","",_xlfn.XLOOKUP(E144,Insumos!A:A,Insumos!B:B)),"")</f>
        <v>UN</v>
      </c>
      <c r="G144" s="282">
        <f ca="1">IFERROR(IF(A144="","",SUMIF(Orçamento!P:P,E144,Orçamento!X:X)),"")</f>
        <v>342.00000000000006</v>
      </c>
      <c r="H144" s="283">
        <f ca="1">IFERROR(IF(A144="","",_xlfn.XLOOKUP(E144,Insumos!A:A,Insumos!C:C)),"")</f>
        <v>1.179</v>
      </c>
      <c r="I144" s="283">
        <f t="shared" ca="1" si="7"/>
        <v>403.21800000000007</v>
      </c>
      <c r="J144" s="284">
        <f t="shared" ca="1" si="8"/>
        <v>5.784529832097306E-5</v>
      </c>
      <c r="K144" s="284">
        <f t="shared" ca="1" si="9"/>
        <v>0.37143913686454222</v>
      </c>
    </row>
    <row r="145" spans="1:11" ht="9.6" customHeight="1" x14ac:dyDescent="0.2">
      <c r="A145" s="10" t="str">
        <f ca="1"/>
        <v>402,91 - RUFO ACO CARBONO GALVANIZADO CHAPA 26 DESENVOLVIMENTO 350MM</v>
      </c>
      <c r="B145" s="10">
        <f ca="1">IF(OR(A145="",A145=0),"",LARGE($B$8:B144,1)+1)</f>
        <v>137</v>
      </c>
      <c r="C145" s="7"/>
      <c r="D145" s="279">
        <f ca="1">IF(A145="","",COUNTIF(Orçamento!P:P,A145))</f>
        <v>0</v>
      </c>
      <c r="E145" s="280" t="str">
        <f ca="1">IFERROR(IF(A145="","",_xlfn.XLOOKUP(A145,'ABC Insumos Apoio'!C:C,'ABC Insumos Apoio'!A:A)),"")</f>
        <v>RUFO ACO CARBONO GALVANIZADO CHAPA 26 DESENVOLVIMENTO 350MM</v>
      </c>
      <c r="F145" s="281" t="str">
        <f ca="1">IFERROR(IF(A145="","",_xlfn.XLOOKUP(E145,Insumos!A:A,Insumos!B:B)),"")</f>
        <v>M</v>
      </c>
      <c r="G145" s="282">
        <f ca="1">IFERROR(IF(A145="","",SUMIF(Orçamento!P:P,E145,Orçamento!X:X)),"")</f>
        <v>22.383599999999998</v>
      </c>
      <c r="H145" s="283">
        <f ca="1">IFERROR(IF(A145="","",_xlfn.XLOOKUP(E145,Insumos!A:A,Insumos!C:C)),"")</f>
        <v>18</v>
      </c>
      <c r="I145" s="283">
        <f t="shared" ca="1" si="7"/>
        <v>402.90479999999997</v>
      </c>
      <c r="J145" s="284">
        <f t="shared" ca="1" si="8"/>
        <v>5.780036692546459E-5</v>
      </c>
      <c r="K145" s="284">
        <f t="shared" ca="1" si="9"/>
        <v>0.37149693723146771</v>
      </c>
    </row>
    <row r="146" spans="1:11" ht="9.6" customHeight="1" x14ac:dyDescent="0.2">
      <c r="A146" s="10" t="str">
        <f ca="1"/>
        <v>3985,78 - ELETRODUTOS, CAIXAS E ELETROCALHAS - PAVIMENTO TECNICO</v>
      </c>
      <c r="B146" s="10">
        <f ca="1">IF(OR(A146="",A146=0),"",LARGE($B$8:B145,1)+1)</f>
        <v>138</v>
      </c>
      <c r="C146" s="7"/>
      <c r="D146" s="279">
        <f ca="1">IF(A146="","",COUNTIF(Orçamento!P:P,A146))</f>
        <v>0</v>
      </c>
      <c r="E146" s="280" t="str">
        <f ca="1">IFERROR(IF(A146="","",_xlfn.XLOOKUP(A146,'ABC Insumos Apoio'!C:C,'ABC Insumos Apoio'!A:A)),"")</f>
        <v>ELETRODUTOS, CAIXAS E ELETROCALHAS - PAVIMENTO TECNICO</v>
      </c>
      <c r="F146" s="281" t="str">
        <f ca="1">IFERROR(IF(A146="","",_xlfn.XLOOKUP(E146,Insumos!A:A,Insumos!B:B)),"")</f>
        <v>VB</v>
      </c>
      <c r="G146" s="282">
        <f ca="1">IFERROR(IF(A146="","",SUMIF(Orçamento!P:P,E146,Orçamento!X:X)),"")</f>
        <v>1</v>
      </c>
      <c r="H146" s="283">
        <f ca="1">IFERROR(IF(A146="","",_xlfn.XLOOKUP(E146,Insumos!A:A,Insumos!C:C)),"")</f>
        <v>3985.7708942187569</v>
      </c>
      <c r="I146" s="283">
        <f t="shared" ca="1" si="7"/>
        <v>3985.7708942187569</v>
      </c>
      <c r="J146" s="284">
        <f t="shared" ca="1" si="8"/>
        <v>5.7179517386410209E-4</v>
      </c>
      <c r="K146" s="284">
        <f t="shared" ca="1" si="9"/>
        <v>0.37206873240533178</v>
      </c>
    </row>
    <row r="147" spans="1:11" ht="9.6" customHeight="1" x14ac:dyDescent="0.2">
      <c r="A147" s="10" t="str">
        <f ca="1"/>
        <v>39600 - MANUTENÇÃO PROVISÓRIA DE CANTEIRO - ELÉTRICA/ HIDROSSANITÁRIA/VIGILÂNCIA/DETETICAÇÃO</v>
      </c>
      <c r="B147" s="10">
        <f ca="1">IF(OR(A147="",A147=0),"",LARGE($B$8:B146,1)+1)</f>
        <v>139</v>
      </c>
      <c r="C147" s="7"/>
      <c r="D147" s="279">
        <f ca="1">IF(A147="","",COUNTIF(Orçamento!P:P,A147))</f>
        <v>0</v>
      </c>
      <c r="E147" s="280" t="str">
        <f ca="1">IFERROR(IF(A147="","",_xlfn.XLOOKUP(A147,'ABC Insumos Apoio'!C:C,'ABC Insumos Apoio'!A:A)),"")</f>
        <v>MANUTENÇÃO PROVISÓRIA DE CANTEIRO - ELÉTRICA/ HIDROSSANITÁRIA/VIGILÂNCIA/DETETICAÇÃO</v>
      </c>
      <c r="F147" s="281" t="str">
        <f ca="1">IFERROR(IF(A147="","",_xlfn.XLOOKUP(E147,Insumos!A:A,Insumos!B:B)),"")</f>
        <v>MES</v>
      </c>
      <c r="G147" s="282">
        <f ca="1">IFERROR(IF(A147="","",SUMIF(Orçamento!P:P,E147,Orçamento!X:X)),"")</f>
        <v>13.2</v>
      </c>
      <c r="H147" s="283">
        <f ca="1">IFERROR(IF(A147="","",_xlfn.XLOOKUP(E147,Insumos!A:A,Insumos!C:C)),"")</f>
        <v>3000</v>
      </c>
      <c r="I147" s="283">
        <f t="shared" ca="1" si="7"/>
        <v>39600</v>
      </c>
      <c r="J147" s="284">
        <f t="shared" ca="1" si="8"/>
        <v>5.6809810412990812E-3</v>
      </c>
      <c r="K147" s="284">
        <f t="shared" ca="1" si="9"/>
        <v>0.37774971344663089</v>
      </c>
    </row>
    <row r="148" spans="1:11" ht="9.6" customHeight="1" x14ac:dyDescent="0.2">
      <c r="A148" s="10" t="str">
        <f ca="1"/>
        <v>3958,83 - INSTALAÇÕES PREVENTIVAS - TERREO</v>
      </c>
      <c r="B148" s="10">
        <f ca="1">IF(OR(A148="",A148=0),"",LARGE($B$8:B147,1)+1)</f>
        <v>140</v>
      </c>
      <c r="C148" s="7"/>
      <c r="D148" s="279">
        <f ca="1">IF(A148="","",COUNTIF(Orçamento!P:P,A148))</f>
        <v>0</v>
      </c>
      <c r="E148" s="280" t="str">
        <f ca="1">IFERROR(IF(A148="","",_xlfn.XLOOKUP(A148,'ABC Insumos Apoio'!C:C,'ABC Insumos Apoio'!A:A)),"")</f>
        <v>INSTALAÇÕES PREVENTIVAS - TERREO</v>
      </c>
      <c r="F148" s="281" t="str">
        <f ca="1">IFERROR(IF(A148="","",_xlfn.XLOOKUP(E148,Insumos!A:A,Insumos!B:B)),"")</f>
        <v>VB</v>
      </c>
      <c r="G148" s="282">
        <f ca="1">IFERROR(IF(A148="","",SUMIF(Orçamento!P:P,E148,Orçamento!X:X)),"")</f>
        <v>1</v>
      </c>
      <c r="H148" s="283">
        <f ca="1">IFERROR(IF(A148="","",_xlfn.XLOOKUP(E148,Insumos!A:A,Insumos!C:C)),"")</f>
        <v>3958.8243394615042</v>
      </c>
      <c r="I148" s="283">
        <f t="shared" ca="1" si="7"/>
        <v>3958.8243394615042</v>
      </c>
      <c r="J148" s="284">
        <f t="shared" ca="1" si="8"/>
        <v>5.6792944490692326E-4</v>
      </c>
      <c r="K148" s="284">
        <f t="shared" ca="1" si="9"/>
        <v>0.3783176428915378</v>
      </c>
    </row>
    <row r="149" spans="1:11" ht="9.6" customHeight="1" x14ac:dyDescent="0.2">
      <c r="A149" s="10" t="str">
        <f ca="1"/>
        <v>3958,83 - INSTALAÇÕES ESGOTO - TERREO</v>
      </c>
      <c r="B149" s="10">
        <f ca="1">IF(OR(A149="",A149=0),"",LARGE($B$8:B148,1)+1)</f>
        <v>141</v>
      </c>
      <c r="C149" s="7"/>
      <c r="D149" s="279">
        <f ca="1">IF(A149="","",COUNTIF(Orçamento!P:P,A149))</f>
        <v>0</v>
      </c>
      <c r="E149" s="280" t="str">
        <f ca="1">IFERROR(IF(A149="","",_xlfn.XLOOKUP(A149,'ABC Insumos Apoio'!C:C,'ABC Insumos Apoio'!A:A)),"")</f>
        <v>INSTALAÇÕES ESGOTO - TERREO</v>
      </c>
      <c r="F149" s="281" t="str">
        <f ca="1">IFERROR(IF(A149="","",_xlfn.XLOOKUP(E149,Insumos!A:A,Insumos!B:B)),"")</f>
        <v>UN</v>
      </c>
      <c r="G149" s="282">
        <f ca="1">IFERROR(IF(A149="","",SUMIF(Orçamento!P:P,E149,Orçamento!X:X)),"")</f>
        <v>1</v>
      </c>
      <c r="H149" s="283">
        <f ca="1">IFERROR(IF(A149="","",_xlfn.XLOOKUP(E149,Insumos!A:A,Insumos!C:C)),"")</f>
        <v>3958.8243394615042</v>
      </c>
      <c r="I149" s="283">
        <f t="shared" ca="1" si="7"/>
        <v>3958.8243394615042</v>
      </c>
      <c r="J149" s="284">
        <f t="shared" ca="1" si="8"/>
        <v>5.6792944490692326E-4</v>
      </c>
      <c r="K149" s="284">
        <f t="shared" ca="1" si="9"/>
        <v>0.37888557233644471</v>
      </c>
    </row>
    <row r="150" spans="1:11" ht="9.6" customHeight="1" x14ac:dyDescent="0.2">
      <c r="A150" s="10" t="str">
        <f ca="1"/>
        <v>39010,46 - MAO DE OBRA EXECUCAO CONTRAPISO COMUM</v>
      </c>
      <c r="B150" s="10">
        <f ca="1">IF(OR(A150="",A150=0),"",LARGE($B$8:B149,1)+1)</f>
        <v>142</v>
      </c>
      <c r="C150" s="7"/>
      <c r="D150" s="279">
        <f ca="1">IF(A150="","",COUNTIF(Orçamento!P:P,A150))</f>
        <v>0</v>
      </c>
      <c r="E150" s="280" t="str">
        <f ca="1">IFERROR(IF(A150="","",_xlfn.XLOOKUP(A150,'ABC Insumos Apoio'!C:C,'ABC Insumos Apoio'!A:A)),"")</f>
        <v>MAO DE OBRA EXECUCAO CONTRAPISO COMUM</v>
      </c>
      <c r="F150" s="281" t="str">
        <f ca="1">IFERROR(IF(A150="","",_xlfn.XLOOKUP(E150,Insumos!A:A,Insumos!B:B)),"")</f>
        <v>M2</v>
      </c>
      <c r="G150" s="282">
        <f ca="1">IFERROR(IF(A150="","",SUMIF(Orçamento!P:P,E150,Orçamento!X:X)),"")</f>
        <v>1775.17</v>
      </c>
      <c r="H150" s="283">
        <f ca="1">IFERROR(IF(A150="","",_xlfn.XLOOKUP(E150,Insumos!A:A,Insumos!C:C)),"")</f>
        <v>21.975617726721353</v>
      </c>
      <c r="I150" s="283">
        <f t="shared" ca="1" si="7"/>
        <v>39010.457319943947</v>
      </c>
      <c r="J150" s="284">
        <f t="shared" ca="1" si="8"/>
        <v>5.5964057688638515E-3</v>
      </c>
      <c r="K150" s="284">
        <f t="shared" ca="1" si="9"/>
        <v>0.38448197810530854</v>
      </c>
    </row>
    <row r="151" spans="1:11" ht="9.6" customHeight="1" x14ac:dyDescent="0.2">
      <c r="A151" s="10" t="str">
        <f ca="1"/>
        <v>3899,37 - INSTALAÇÕES AGUA PLUVIAIS - SUBSOLO</v>
      </c>
      <c r="B151" s="10">
        <f ca="1">IF(OR(A151="",A151=0),"",LARGE($B$8:B150,1)+1)</f>
        <v>143</v>
      </c>
      <c r="C151" s="7"/>
      <c r="D151" s="279">
        <f ca="1">IF(A151="","",COUNTIF(Orçamento!P:P,A151))</f>
        <v>0</v>
      </c>
      <c r="E151" s="280" t="str">
        <f ca="1">IFERROR(IF(A151="","",_xlfn.XLOOKUP(A151,'ABC Insumos Apoio'!C:C,'ABC Insumos Apoio'!A:A)),"")</f>
        <v>INSTALAÇÕES AGUA PLUVIAIS - SUBSOLO</v>
      </c>
      <c r="F151" s="281" t="str">
        <f ca="1">IFERROR(IF(A151="","",_xlfn.XLOOKUP(E151,Insumos!A:A,Insumos!B:B)),"")</f>
        <v>UN</v>
      </c>
      <c r="G151" s="282">
        <f ca="1">IFERROR(IF(A151="","",SUMIF(Orçamento!P:P,E151,Orçamento!X:X)),"")</f>
        <v>1</v>
      </c>
      <c r="H151" s="283">
        <f ca="1">IFERROR(IF(A151="","",_xlfn.XLOOKUP(E151,Insumos!A:A,Insumos!C:C)),"")</f>
        <v>3899.3610449604566</v>
      </c>
      <c r="I151" s="283">
        <f t="shared" ca="1" si="7"/>
        <v>3899.3610449604566</v>
      </c>
      <c r="J151" s="284">
        <f t="shared" ca="1" si="8"/>
        <v>5.5939889317173049E-4</v>
      </c>
      <c r="K151" s="284">
        <f t="shared" ca="1" si="9"/>
        <v>0.38504137699848029</v>
      </c>
    </row>
    <row r="152" spans="1:11" ht="9.6" customHeight="1" x14ac:dyDescent="0.2">
      <c r="A152" s="10" t="str">
        <f ca="1"/>
        <v>3886,46 - INSTLAÇÃOES DE SISTEMA DE CFTV</v>
      </c>
      <c r="B152" s="10">
        <f ca="1">IF(OR(A152="",A152=0),"",LARGE($B$8:B151,1)+1)</f>
        <v>144</v>
      </c>
      <c r="C152" s="7"/>
      <c r="D152" s="279">
        <f ca="1">IF(A152="","",COUNTIF(Orçamento!P:P,A152))</f>
        <v>0</v>
      </c>
      <c r="E152" s="280" t="str">
        <f ca="1">IFERROR(IF(A152="","",_xlfn.XLOOKUP(A152,'ABC Insumos Apoio'!C:C,'ABC Insumos Apoio'!A:A)),"")</f>
        <v>INSTLAÇÃOES DE SISTEMA DE CFTV</v>
      </c>
      <c r="F152" s="281" t="str">
        <f ca="1">IFERROR(IF(A152="","",_xlfn.XLOOKUP(E152,Insumos!A:A,Insumos!B:B)),"")</f>
        <v>VB</v>
      </c>
      <c r="G152" s="282">
        <f ca="1">IFERROR(IF(A152="","",SUMIF(Orçamento!P:P,E152,Orçamento!X:X)),"")</f>
        <v>1</v>
      </c>
      <c r="H152" s="283">
        <f ca="1">IFERROR(IF(A152="","",_xlfn.XLOOKUP(E152,Insumos!A:A,Insumos!C:C)),"")</f>
        <v>3886.46</v>
      </c>
      <c r="I152" s="283">
        <f t="shared" ca="1" si="7"/>
        <v>3886.46</v>
      </c>
      <c r="J152" s="284">
        <f t="shared" ca="1" si="8"/>
        <v>5.5754812065068752E-4</v>
      </c>
      <c r="K152" s="284">
        <f t="shared" ca="1" si="9"/>
        <v>0.38559892511913096</v>
      </c>
    </row>
    <row r="153" spans="1:11" ht="9.6" customHeight="1" x14ac:dyDescent="0.2">
      <c r="A153" s="10" t="str">
        <f ca="1"/>
        <v>3871,2 - SUPORTE PARA BANDEJA 250CM + 80CM A 90° PERFIL 3" X 2,65 CARGA 250KG N</v>
      </c>
      <c r="B153" s="10">
        <f ca="1">IF(OR(A153="",A153=0),"",LARGE($B$8:B152,1)+1)</f>
        <v>145</v>
      </c>
      <c r="C153" s="7"/>
      <c r="D153" s="279">
        <f ca="1">IF(A153="","",COUNTIF(Orçamento!P:P,A153))</f>
        <v>0</v>
      </c>
      <c r="E153" s="280" t="str">
        <f ca="1">IFERROR(IF(A153="","",_xlfn.XLOOKUP(A153,'ABC Insumos Apoio'!C:C,'ABC Insumos Apoio'!A:A)),"")</f>
        <v>SUPORTE PARA BANDEJA 250CM + 80CM A 90° PERFIL 3" X 2,65 CARGA 250KG N</v>
      </c>
      <c r="F153" s="281" t="str">
        <f ca="1">IFERROR(IF(A153="","",_xlfn.XLOOKUP(E153,Insumos!A:A,Insumos!B:B)),"")</f>
        <v>UN</v>
      </c>
      <c r="G153" s="282">
        <f ca="1">IFERROR(IF(A153="","",SUMIF(Orçamento!P:P,E153,Orçamento!X:X)),"")</f>
        <v>25.808</v>
      </c>
      <c r="H153" s="283">
        <f ca="1">IFERROR(IF(A153="","",_xlfn.XLOOKUP(E153,Insumos!A:A,Insumos!C:C)),"")</f>
        <v>150</v>
      </c>
      <c r="I153" s="283">
        <f t="shared" ca="1" si="7"/>
        <v>3871.2</v>
      </c>
      <c r="J153" s="284">
        <f t="shared" ca="1" si="8"/>
        <v>5.5535893452214645E-4</v>
      </c>
      <c r="K153" s="284">
        <f t="shared" ca="1" si="9"/>
        <v>0.3861542840536531</v>
      </c>
    </row>
    <row r="154" spans="1:11" ht="9.6" customHeight="1" x14ac:dyDescent="0.2">
      <c r="A154" s="10" t="str">
        <f ca="1"/>
        <v>3840,83 - Pergolado de madeira</v>
      </c>
      <c r="B154" s="10">
        <f ca="1">IF(OR(A154="",A154=0),"",LARGE($B$8:B153,1)+1)</f>
        <v>146</v>
      </c>
      <c r="C154" s="7"/>
      <c r="D154" s="279">
        <f ca="1">IF(A154="","",COUNTIF(Orçamento!P:P,A154))</f>
        <v>0</v>
      </c>
      <c r="E154" s="280" t="str">
        <f ca="1">IFERROR(IF(A154="","",_xlfn.XLOOKUP(A154,'ABC Insumos Apoio'!C:C,'ABC Insumos Apoio'!A:A)),"")</f>
        <v>Pergolado de madeira</v>
      </c>
      <c r="F154" s="281" t="str">
        <f ca="1">IFERROR(IF(A154="","",_xlfn.XLOOKUP(E154,Insumos!A:A,Insumos!B:B)),"")</f>
        <v>M2</v>
      </c>
      <c r="G154" s="282">
        <f ca="1">IFERROR(IF(A154="","",SUMIF(Orçamento!P:P,E154,Orçamento!X:X)),"")</f>
        <v>5.48</v>
      </c>
      <c r="H154" s="283">
        <f ca="1">IFERROR(IF(A154="","",_xlfn.XLOOKUP(E154,Insumos!A:A,Insumos!C:C)),"")</f>
        <v>700.88</v>
      </c>
      <c r="I154" s="283">
        <f t="shared" ca="1" si="7"/>
        <v>3840.8224000000005</v>
      </c>
      <c r="J154" s="284">
        <f t="shared" ca="1" si="8"/>
        <v>5.5100099084335447E-4</v>
      </c>
      <c r="K154" s="284">
        <f t="shared" ca="1" si="9"/>
        <v>0.38670528504449647</v>
      </c>
    </row>
    <row r="155" spans="1:11" ht="9.6" customHeight="1" x14ac:dyDescent="0.2">
      <c r="A155" s="10" t="str">
        <f ca="1"/>
        <v>3781,11 - INSTALAÇÕES AGUA FRIA - COBERTURA</v>
      </c>
      <c r="B155" s="10">
        <f ca="1">IF(OR(A155="",A155=0),"",LARGE($B$8:B154,1)+1)</f>
        <v>147</v>
      </c>
      <c r="C155" s="7"/>
      <c r="D155" s="279">
        <f ca="1">IF(A155="","",COUNTIF(Orçamento!P:P,A155))</f>
        <v>0</v>
      </c>
      <c r="E155" s="280" t="str">
        <f ca="1">IFERROR(IF(A155="","",_xlfn.XLOOKUP(A155,'ABC Insumos Apoio'!C:C,'ABC Insumos Apoio'!A:A)),"")</f>
        <v>INSTALAÇÕES AGUA FRIA - COBERTURA</v>
      </c>
      <c r="F155" s="281" t="str">
        <f ca="1">IFERROR(IF(A155="","",_xlfn.XLOOKUP(E155,Insumos!A:A,Insumos!B:B)),"")</f>
        <v>UN</v>
      </c>
      <c r="G155" s="282">
        <f ca="1">IFERROR(IF(A155="","",SUMIF(Orçamento!P:P,E155,Orçamento!X:X)),"")</f>
        <v>1</v>
      </c>
      <c r="H155" s="283">
        <f ca="1">IFERROR(IF(A155="","",_xlfn.XLOOKUP(E155,Insumos!A:A,Insumos!C:C)),"")</f>
        <v>3781.1066595146744</v>
      </c>
      <c r="I155" s="283">
        <f t="shared" ca="1" si="7"/>
        <v>3781.1066595146744</v>
      </c>
      <c r="J155" s="284">
        <f t="shared" ca="1" si="8"/>
        <v>5.4243422343011529E-4</v>
      </c>
      <c r="K155" s="284">
        <f t="shared" ca="1" si="9"/>
        <v>0.38724771926792656</v>
      </c>
    </row>
    <row r="156" spans="1:11" ht="9.6" customHeight="1" x14ac:dyDescent="0.2">
      <c r="A156" s="10" t="str">
        <f ca="1"/>
        <v>378,12 - LUMINÁRIAS - COBERTURA</v>
      </c>
      <c r="B156" s="10">
        <f ca="1">IF(OR(A156="",A156=0),"",LARGE($B$8:B155,1)+1)</f>
        <v>148</v>
      </c>
      <c r="C156" s="7"/>
      <c r="D156" s="279">
        <f ca="1">IF(A156="","",COUNTIF(Orçamento!P:P,A156))</f>
        <v>0</v>
      </c>
      <c r="E156" s="280" t="str">
        <f ca="1">IFERROR(IF(A156="","",_xlfn.XLOOKUP(A156,'ABC Insumos Apoio'!C:C,'ABC Insumos Apoio'!A:A)),"")</f>
        <v>LUMINÁRIAS - COBERTURA</v>
      </c>
      <c r="F156" s="281" t="str">
        <f ca="1">IFERROR(IF(A156="","",_xlfn.XLOOKUP(E156,Insumos!A:A,Insumos!B:B)),"")</f>
        <v>VB</v>
      </c>
      <c r="G156" s="282">
        <f ca="1">IFERROR(IF(A156="","",SUMIF(Orçamento!P:P,E156,Orçamento!X:X)),"")</f>
        <v>1</v>
      </c>
      <c r="H156" s="283">
        <f ca="1">IFERROR(IF(A156="","",_xlfn.XLOOKUP(E156,Insumos!A:A,Insumos!C:C)),"")</f>
        <v>378.11066595146747</v>
      </c>
      <c r="I156" s="283">
        <f t="shared" ca="1" si="7"/>
        <v>378.11066595146747</v>
      </c>
      <c r="J156" s="284">
        <f t="shared" ca="1" si="8"/>
        <v>5.4243422343011532E-5</v>
      </c>
      <c r="K156" s="284">
        <f t="shared" ca="1" si="9"/>
        <v>0.38730196269026956</v>
      </c>
    </row>
    <row r="157" spans="1:11" ht="9.6" customHeight="1" x14ac:dyDescent="0.2">
      <c r="A157" s="10" t="str">
        <f ca="1"/>
        <v>3772 - CONTROLE TECNOLOGICO DO CONCRETO - FUNDAÇÃO</v>
      </c>
      <c r="B157" s="10">
        <f ca="1">IF(OR(A157="",A157=0),"",LARGE($B$8:B156,1)+1)</f>
        <v>149</v>
      </c>
      <c r="C157" s="7"/>
      <c r="D157" s="279">
        <f ca="1">IF(A157="","",COUNTIF(Orçamento!P:P,A157))</f>
        <v>0</v>
      </c>
      <c r="E157" s="280" t="str">
        <f ca="1">IFERROR(IF(A157="","",_xlfn.XLOOKUP(A157,'ABC Insumos Apoio'!C:C,'ABC Insumos Apoio'!A:A)),"")</f>
        <v>CONTROLE TECNOLOGICO DO CONCRETO - FUNDAÇÃO</v>
      </c>
      <c r="F157" s="281" t="str">
        <f ca="1">IFERROR(IF(A157="","",_xlfn.XLOOKUP(E157,Insumos!A:A,Insumos!B:B)),"")</f>
        <v>VB</v>
      </c>
      <c r="G157" s="282">
        <f ca="1">IFERROR(IF(A157="","",SUMIF(Orçamento!P:P,E157,Orçamento!X:X)),"")</f>
        <v>1</v>
      </c>
      <c r="H157" s="283">
        <f ca="1">IFERROR(IF(A157="","",_xlfn.XLOOKUP(E157,Insumos!A:A,Insumos!C:C)),"")</f>
        <v>3772</v>
      </c>
      <c r="I157" s="283">
        <f t="shared" ca="1" si="7"/>
        <v>3772</v>
      </c>
      <c r="J157" s="284">
        <f t="shared" ca="1" si="8"/>
        <v>5.4112779009545789E-4</v>
      </c>
      <c r="K157" s="284">
        <f t="shared" ca="1" si="9"/>
        <v>0.38784309048036503</v>
      </c>
    </row>
    <row r="158" spans="1:11" ht="9.6" customHeight="1" x14ac:dyDescent="0.2">
      <c r="A158" s="10" t="str">
        <f ca="1"/>
        <v>372,66 - RETROESCAVADEIRA SOBRE RODAS COM CARREGADEIRA</v>
      </c>
      <c r="B158" s="10">
        <f ca="1">IF(OR(A158="",A158=0),"",LARGE($B$8:B157,1)+1)</f>
        <v>150</v>
      </c>
      <c r="C158" s="7"/>
      <c r="D158" s="279">
        <f ca="1">IF(A158="","",COUNTIF(Orçamento!P:P,A158))</f>
        <v>0</v>
      </c>
      <c r="E158" s="280" t="str">
        <f ca="1">IFERROR(IF(A158="","",_xlfn.XLOOKUP(A158,'ABC Insumos Apoio'!C:C,'ABC Insumos Apoio'!A:A)),"")</f>
        <v>RETROESCAVADEIRA SOBRE RODAS COM CARREGADEIRA</v>
      </c>
      <c r="F158" s="281" t="str">
        <f ca="1">IFERROR(IF(A158="","",_xlfn.XLOOKUP(E158,Insumos!A:A,Insumos!B:B)),"")</f>
        <v>H</v>
      </c>
      <c r="G158" s="282">
        <f ca="1">IFERROR(IF(A158="","",SUMIF(Orçamento!P:P,E158,Orçamento!X:X)),"")</f>
        <v>1.8632563847369037</v>
      </c>
      <c r="H158" s="283">
        <f ca="1">IFERROR(IF(A158="","",_xlfn.XLOOKUP(E158,Insumos!A:A,Insumos!C:C)),"")</f>
        <v>200</v>
      </c>
      <c r="I158" s="283">
        <f t="shared" ca="1" si="7"/>
        <v>372.65127694738072</v>
      </c>
      <c r="J158" s="284">
        <f t="shared" ca="1" si="8"/>
        <v>5.3460223216009173E-5</v>
      </c>
      <c r="K158" s="284">
        <f t="shared" ca="1" si="9"/>
        <v>0.38789655070358103</v>
      </c>
    </row>
    <row r="159" spans="1:11" ht="9.6" customHeight="1" x14ac:dyDescent="0.2">
      <c r="A159" s="10" t="str">
        <f ca="1"/>
        <v>37030 - MAO DE OBRA PARA EMASSAMENTO EM TETO</v>
      </c>
      <c r="B159" s="10">
        <f ca="1">IF(OR(A159="",A159=0),"",LARGE($B$8:B158,1)+1)</f>
        <v>151</v>
      </c>
      <c r="C159" s="7"/>
      <c r="D159" s="279">
        <f ca="1">IF(A159="","",COUNTIF(Orçamento!P:P,A159))</f>
        <v>0</v>
      </c>
      <c r="E159" s="280" t="str">
        <f ca="1">IFERROR(IF(A159="","",_xlfn.XLOOKUP(A159,'ABC Insumos Apoio'!C:C,'ABC Insumos Apoio'!A:A)),"")</f>
        <v>MAO DE OBRA PARA EMASSAMENTO EM TETO</v>
      </c>
      <c r="F159" s="281" t="str">
        <f ca="1">IFERROR(IF(A159="","",_xlfn.XLOOKUP(E159,Insumos!A:A,Insumos!B:B)),"")</f>
        <v>M2</v>
      </c>
      <c r="G159" s="282">
        <f ca="1">IFERROR(IF(A159="","",SUMIF(Orçamento!P:P,E159,Orçamento!X:X)),"")</f>
        <v>217.21999999999997</v>
      </c>
      <c r="H159" s="283">
        <f ca="1">IFERROR(IF(A159="","",_xlfn.XLOOKUP(E159,Insumos!A:A,Insumos!C:C)),"")</f>
        <v>170.47233219777189</v>
      </c>
      <c r="I159" s="283">
        <f t="shared" ca="1" si="7"/>
        <v>37030.000000000007</v>
      </c>
      <c r="J159" s="284">
        <f t="shared" ca="1" si="8"/>
        <v>5.3122911100834599E-3</v>
      </c>
      <c r="K159" s="284">
        <f t="shared" ca="1" si="9"/>
        <v>0.3932088418136645</v>
      </c>
    </row>
    <row r="160" spans="1:11" ht="9.6" customHeight="1" x14ac:dyDescent="0.2">
      <c r="A160" s="10" t="str">
        <f ca="1"/>
        <v>366,08 - Adaptador Ancor. (AP2)B Chupeta-EHX 0027</v>
      </c>
      <c r="B160" s="10">
        <f ca="1">IF(OR(A160="",A160=0),"",LARGE($B$8:B159,1)+1)</f>
        <v>152</v>
      </c>
      <c r="C160" s="7"/>
      <c r="D160" s="279">
        <f ca="1">IF(A160="","",COUNTIF(Orçamento!P:P,A160))</f>
        <v>0</v>
      </c>
      <c r="E160" s="280" t="str">
        <f ca="1">IFERROR(IF(A160="","",_xlfn.XLOOKUP(A160,'ABC Insumos Apoio'!C:C,'ABC Insumos Apoio'!A:A)),"")</f>
        <v>Adaptador Ancor. (AP2)B Chupeta-EHX 0027</v>
      </c>
      <c r="F160" s="281" t="str">
        <f ca="1">IFERROR(IF(A160="","",_xlfn.XLOOKUP(E160,Insumos!A:A,Insumos!B:B)),"")</f>
        <v>UN</v>
      </c>
      <c r="G160" s="282">
        <f ca="1">IFERROR(IF(A160="","",SUMIF(Orçamento!P:P,E160,Orçamento!X:X)),"")</f>
        <v>256</v>
      </c>
      <c r="H160" s="283">
        <f ca="1">IFERROR(IF(A160="","",_xlfn.XLOOKUP(E160,Insumos!A:A,Insumos!C:C)),"")</f>
        <v>1.43</v>
      </c>
      <c r="I160" s="283">
        <f t="shared" ca="1" si="7"/>
        <v>366.08</v>
      </c>
      <c r="J160" s="284">
        <f t="shared" ca="1" si="8"/>
        <v>5.2517513626231504E-5</v>
      </c>
      <c r="K160" s="284">
        <f t="shared" ca="1" si="9"/>
        <v>0.39326135932729073</v>
      </c>
    </row>
    <row r="161" spans="1:11" ht="9.6" customHeight="1" x14ac:dyDescent="0.2">
      <c r="A161" s="10" t="str">
        <f ca="1"/>
        <v>36540,21 - REVESTIMENTO -  PORCELANATO 20X120 EXT RET</v>
      </c>
      <c r="B161" s="10">
        <f ca="1">IF(OR(A161="",A161=0),"",LARGE($B$8:B160,1)+1)</f>
        <v>153</v>
      </c>
      <c r="C161" s="7"/>
      <c r="D161" s="279">
        <f ca="1">IF(A161="","",COUNTIF(Orçamento!P:P,A161))</f>
        <v>0</v>
      </c>
      <c r="E161" s="280" t="str">
        <f ca="1">IFERROR(IF(A161="","",_xlfn.XLOOKUP(A161,'ABC Insumos Apoio'!C:C,'ABC Insumos Apoio'!A:A)),"")</f>
        <v>REVESTIMENTO -  PORCELANATO 20X120 EXT RET</v>
      </c>
      <c r="F161" s="281" t="str">
        <f ca="1">IFERROR(IF(A161="","",_xlfn.XLOOKUP(E161,Insumos!A:A,Insumos!B:B)),"")</f>
        <v>M2</v>
      </c>
      <c r="G161" s="282">
        <f ca="1">IFERROR(IF(A161="","",SUMIF(Orçamento!P:P,E161,Orçamento!X:X)),"")</f>
        <v>291.15699999999993</v>
      </c>
      <c r="H161" s="283">
        <f ca="1">IFERROR(IF(A161="","",_xlfn.XLOOKUP(E161,Insumos!A:A,Insumos!C:C)),"")</f>
        <v>125.5</v>
      </c>
      <c r="I161" s="283">
        <f t="shared" ca="1" si="7"/>
        <v>36540.203499999989</v>
      </c>
      <c r="J161" s="284">
        <f t="shared" ca="1" si="8"/>
        <v>5.2420253365835926E-3</v>
      </c>
      <c r="K161" s="284">
        <f t="shared" ca="1" si="9"/>
        <v>0.3985033846638743</v>
      </c>
    </row>
    <row r="162" spans="1:11" ht="9.6" customHeight="1" x14ac:dyDescent="0.2">
      <c r="A162" s="10" t="str">
        <f ca="1"/>
        <v>3600 - Dobradiça aço inox - portas de madeira</v>
      </c>
      <c r="B162" s="10">
        <f ca="1">IF(OR(A162="",A162=0),"",LARGE($B$8:B161,1)+1)</f>
        <v>154</v>
      </c>
      <c r="C162" s="7"/>
      <c r="D162" s="279">
        <f ca="1">IF(A162="","",COUNTIF(Orçamento!P:P,A162))</f>
        <v>0</v>
      </c>
      <c r="E162" s="280" t="str">
        <f ca="1">IFERROR(IF(A162="","",_xlfn.XLOOKUP(A162,'ABC Insumos Apoio'!C:C,'ABC Insumos Apoio'!A:A)),"")</f>
        <v>Dobradiça aço inox - portas de madeira</v>
      </c>
      <c r="F162" s="281" t="str">
        <f ca="1">IFERROR(IF(A162="","",_xlfn.XLOOKUP(E162,Insumos!A:A,Insumos!B:B)),"")</f>
        <v>UN</v>
      </c>
      <c r="G162" s="282">
        <f ca="1">IFERROR(IF(A162="","",SUMIF(Orçamento!P:P,E162,Orçamento!X:X)),"")</f>
        <v>240</v>
      </c>
      <c r="H162" s="283">
        <f ca="1">IFERROR(IF(A162="","",_xlfn.XLOOKUP(E162,Insumos!A:A,Insumos!C:C)),"")</f>
        <v>15</v>
      </c>
      <c r="I162" s="283">
        <f t="shared" ca="1" si="7"/>
        <v>3600</v>
      </c>
      <c r="J162" s="284">
        <f t="shared" ca="1" si="8"/>
        <v>5.1645282193628014E-4</v>
      </c>
      <c r="K162" s="284">
        <f t="shared" ca="1" si="9"/>
        <v>0.3990198374858106</v>
      </c>
    </row>
    <row r="163" spans="1:11" ht="9.6" customHeight="1" x14ac:dyDescent="0.2">
      <c r="A163" s="10" t="str">
        <f ca="1"/>
        <v>35973,38 - MAO DE OBRA PARA COLOCACAO E REJUNTAMENTO DE PISO CERAMICO</v>
      </c>
      <c r="B163" s="10">
        <f ca="1">IF(OR(A163="",A163=0),"",LARGE($B$8:B162,1)+1)</f>
        <v>155</v>
      </c>
      <c r="C163" s="7"/>
      <c r="D163" s="279">
        <f ca="1">IF(A163="","",COUNTIF(Orçamento!P:P,A163))</f>
        <v>0</v>
      </c>
      <c r="E163" s="280" t="str">
        <f ca="1">IFERROR(IF(A163="","",_xlfn.XLOOKUP(A163,'ABC Insumos Apoio'!C:C,'ABC Insumos Apoio'!A:A)),"")</f>
        <v>MAO DE OBRA PARA COLOCACAO E REJUNTAMENTO DE PISO CERAMICO</v>
      </c>
      <c r="F163" s="281" t="str">
        <f ca="1">IFERROR(IF(A163="","",_xlfn.XLOOKUP(E163,Insumos!A:A,Insumos!B:B)),"")</f>
        <v>M2</v>
      </c>
      <c r="G163" s="282">
        <f ca="1">IFERROR(IF(A163="","",SUMIF(Orçamento!P:P,E163,Orçamento!X:X)),"")</f>
        <v>489.35999999999996</v>
      </c>
      <c r="H163" s="283">
        <f ca="1">IFERROR(IF(A163="","",_xlfn.XLOOKUP(E163,Insumos!A:A,Insumos!C:C)),"")</f>
        <v>73.511069535391329</v>
      </c>
      <c r="I163" s="283">
        <f t="shared" ca="1" si="7"/>
        <v>35973.376987839096</v>
      </c>
      <c r="J163" s="284">
        <f t="shared" ca="1" si="8"/>
        <v>5.1607089055408723E-3</v>
      </c>
      <c r="K163" s="284">
        <f t="shared" ca="1" si="9"/>
        <v>0.40418054639135148</v>
      </c>
    </row>
    <row r="164" spans="1:11" ht="9.6" customHeight="1" x14ac:dyDescent="0.2">
      <c r="A164" s="10" t="str">
        <f ca="1"/>
        <v>35800 - Instalação equipamentos para piscina</v>
      </c>
      <c r="B164" s="10">
        <f ca="1">IF(OR(A164="",A164=0),"",LARGE($B$8:B163,1)+1)</f>
        <v>156</v>
      </c>
      <c r="C164" s="7"/>
      <c r="D164" s="279">
        <f ca="1">IF(A164="","",COUNTIF(Orçamento!P:P,A164))</f>
        <v>0</v>
      </c>
      <c r="E164" s="280" t="str">
        <f ca="1">IFERROR(IF(A164="","",_xlfn.XLOOKUP(A164,'ABC Insumos Apoio'!C:C,'ABC Insumos Apoio'!A:A)),"")</f>
        <v>Instalação equipamentos para piscina</v>
      </c>
      <c r="F164" s="281" t="str">
        <f ca="1">IFERROR(IF(A164="","",_xlfn.XLOOKUP(E164,Insumos!A:A,Insumos!B:B)),"")</f>
        <v>vb</v>
      </c>
      <c r="G164" s="282">
        <f ca="1">IFERROR(IF(A164="","",SUMIF(Orçamento!P:P,E164,Orçamento!X:X)),"")</f>
        <v>1</v>
      </c>
      <c r="H164" s="283">
        <f ca="1">IFERROR(IF(A164="","",_xlfn.XLOOKUP(E164,Insumos!A:A,Insumos!C:C)),"")</f>
        <v>35800</v>
      </c>
      <c r="I164" s="283">
        <f t="shared" ca="1" si="7"/>
        <v>35800</v>
      </c>
      <c r="J164" s="284">
        <f t="shared" ca="1" si="8"/>
        <v>5.1358363959218964E-3</v>
      </c>
      <c r="K164" s="284">
        <f t="shared" ca="1" si="9"/>
        <v>0.40931638278727339</v>
      </c>
    </row>
    <row r="165" spans="1:11" ht="9.6" customHeight="1" x14ac:dyDescent="0.2">
      <c r="A165" s="10" t="str">
        <f ca="1"/>
        <v>356636,13 - MOBILIARIO E DECORACOES PARA AREAS COMUNS</v>
      </c>
      <c r="B165" s="10">
        <f ca="1">IF(OR(A165="",A165=0),"",LARGE($B$8:B164,1)+1)</f>
        <v>157</v>
      </c>
      <c r="C165" s="7"/>
      <c r="D165" s="279">
        <f ca="1">IF(A165="","",COUNTIF(Orçamento!P:P,A165))</f>
        <v>0</v>
      </c>
      <c r="E165" s="280" t="str">
        <f ca="1">IFERROR(IF(A165="","",_xlfn.XLOOKUP(A165,'ABC Insumos Apoio'!C:C,'ABC Insumos Apoio'!A:A)),"")</f>
        <v>MOBILIARIO E DECORACOES PARA AREAS COMUNS</v>
      </c>
      <c r="F165" s="281" t="str">
        <f ca="1">IFERROR(IF(A165="","",_xlfn.XLOOKUP(E165,Insumos!A:A,Insumos!B:B)),"")</f>
        <v>VB</v>
      </c>
      <c r="G165" s="282">
        <f ca="1">IFERROR(IF(A165="","",SUMIF(Orçamento!P:P,E165,Orçamento!X:X)),"")</f>
        <v>1</v>
      </c>
      <c r="H165" s="283">
        <f ca="1">IFERROR(IF(A165="","",_xlfn.XLOOKUP(E165,Insumos!A:A,Insumos!C:C)),"")</f>
        <v>356636.125</v>
      </c>
      <c r="I165" s="283">
        <f t="shared" ca="1" si="7"/>
        <v>356636.125</v>
      </c>
      <c r="J165" s="284">
        <f t="shared" ca="1" si="8"/>
        <v>5.1162703655741645E-2</v>
      </c>
      <c r="K165" s="284">
        <f t="shared" ca="1" si="9"/>
        <v>0.46047908644301505</v>
      </c>
    </row>
    <row r="166" spans="1:11" ht="9.6" customHeight="1" x14ac:dyDescent="0.2">
      <c r="A166" s="10" t="str">
        <f ca="1"/>
        <v>35600 - FORNECIMENTO DE M.O. PARA INFRAESTRUTURA DE AR CONDICIONADO</v>
      </c>
      <c r="B166" s="10">
        <f ca="1">IF(OR(A166="",A166=0),"",LARGE($B$8:B165,1)+1)</f>
        <v>158</v>
      </c>
      <c r="C166" s="7"/>
      <c r="D166" s="279">
        <f ca="1">IF(A166="","",COUNTIF(Orçamento!P:P,A166))</f>
        <v>0</v>
      </c>
      <c r="E166" s="280" t="str">
        <f ca="1">IFERROR(IF(A166="","",_xlfn.XLOOKUP(A166,'ABC Insumos Apoio'!C:C,'ABC Insumos Apoio'!A:A)),"")</f>
        <v>FORNECIMENTO DE M.O. PARA INFRAESTRUTURA DE AR CONDICIONADO</v>
      </c>
      <c r="F166" s="281" t="str">
        <f ca="1">IFERROR(IF(A166="","",_xlfn.XLOOKUP(E166,Insumos!A:A,Insumos!B:B)),"")</f>
        <v>UN</v>
      </c>
      <c r="G166" s="282">
        <f ca="1">IFERROR(IF(A166="","",SUMIF(Orçamento!P:P,E166,Orçamento!X:X)),"")</f>
        <v>40</v>
      </c>
      <c r="H166" s="283">
        <f ca="1">IFERROR(IF(A166="","",_xlfn.XLOOKUP(E166,Insumos!A:A,Insumos!C:C)),"")</f>
        <v>890</v>
      </c>
      <c r="I166" s="283">
        <f t="shared" ca="1" si="7"/>
        <v>35600</v>
      </c>
      <c r="J166" s="284">
        <f t="shared" ca="1" si="8"/>
        <v>5.1071445724809924E-3</v>
      </c>
      <c r="K166" s="284">
        <f t="shared" ca="1" si="9"/>
        <v>0.46558623101549607</v>
      </c>
    </row>
    <row r="167" spans="1:11" ht="9.6" customHeight="1" x14ac:dyDescent="0.2">
      <c r="A167" s="10" t="str">
        <f ca="1"/>
        <v>3500 - PROJETO DE SEGURANCA DO TRABALHO</v>
      </c>
      <c r="B167" s="10">
        <f ca="1">IF(OR(A167="",A167=0),"",LARGE($B$8:B166,1)+1)</f>
        <v>159</v>
      </c>
      <c r="C167" s="7"/>
      <c r="D167" s="279">
        <f ca="1">IF(A167="","",COUNTIF(Orçamento!P:P,A167))</f>
        <v>0</v>
      </c>
      <c r="E167" s="280" t="str">
        <f ca="1">IFERROR(IF(A167="","",_xlfn.XLOOKUP(A167,'ABC Insumos Apoio'!C:C,'ABC Insumos Apoio'!A:A)),"")</f>
        <v>PROJETO DE SEGURANCA DO TRABALHO</v>
      </c>
      <c r="F167" s="281" t="str">
        <f ca="1">IFERROR(IF(A167="","",_xlfn.XLOOKUP(E167,Insumos!A:A,Insumos!B:B)),"")</f>
        <v>VB</v>
      </c>
      <c r="G167" s="282">
        <f ca="1">IFERROR(IF(A167="","",SUMIF(Orçamento!P:P,E167,Orçamento!X:X)),"")</f>
        <v>1</v>
      </c>
      <c r="H167" s="283">
        <f ca="1">IFERROR(IF(A167="","",_xlfn.XLOOKUP(E167,Insumos!A:A,Insumos!C:C)),"")</f>
        <v>3500</v>
      </c>
      <c r="I167" s="283">
        <f t="shared" ca="1" si="7"/>
        <v>3500</v>
      </c>
      <c r="J167" s="284">
        <f t="shared" ca="1" si="8"/>
        <v>5.0210691021582783E-4</v>
      </c>
      <c r="K167" s="284">
        <f t="shared" ca="1" si="9"/>
        <v>0.46608833792571192</v>
      </c>
    </row>
    <row r="168" spans="1:11" ht="9.6" customHeight="1" x14ac:dyDescent="0.2">
      <c r="A168" s="10" t="str">
        <f ca="1"/>
        <v>34809,4 - ARGAMASSA ESTABILIZADA PARA CHAPISCO</v>
      </c>
      <c r="B168" s="10">
        <f ca="1">IF(OR(A168="",A168=0),"",LARGE($B$8:B167,1)+1)</f>
        <v>160</v>
      </c>
      <c r="C168" s="7"/>
      <c r="D168" s="279">
        <f ca="1">IF(A168="","",COUNTIF(Orçamento!P:P,A168))</f>
        <v>0</v>
      </c>
      <c r="E168" s="280" t="str">
        <f ca="1">IFERROR(IF(A168="","",_xlfn.XLOOKUP(A168,'ABC Insumos Apoio'!C:C,'ABC Insumos Apoio'!A:A)),"")</f>
        <v>ARGAMASSA ESTABILIZADA PARA CHAPISCO</v>
      </c>
      <c r="F168" s="281" t="str">
        <f ca="1">IFERROR(IF(A168="","",_xlfn.XLOOKUP(E168,Insumos!A:A,Insumos!B:B)),"")</f>
        <v>M3</v>
      </c>
      <c r="G168" s="282">
        <f ca="1">IFERROR(IF(A168="","",SUMIF(Orçamento!P:P,E168,Orçamento!X:X)),"")</f>
        <v>82.879517142857139</v>
      </c>
      <c r="H168" s="283">
        <f ca="1">IFERROR(IF(A168="","",_xlfn.XLOOKUP(E168,Insumos!A:A,Insumos!C:C)),"")</f>
        <v>420</v>
      </c>
      <c r="I168" s="283">
        <f t="shared" ca="1" si="7"/>
        <v>34809.397199999999</v>
      </c>
      <c r="J168" s="284">
        <f t="shared" ca="1" si="8"/>
        <v>4.9937253927335688E-3</v>
      </c>
      <c r="K168" s="284">
        <f t="shared" ca="1" si="9"/>
        <v>0.47108206331844549</v>
      </c>
    </row>
    <row r="169" spans="1:11" ht="9.6" customHeight="1" x14ac:dyDescent="0.2">
      <c r="A169" s="10" t="str">
        <f ca="1"/>
        <v>3465 - SERVICO LOCACAO/TRANSPORTE/DESCARTE CACAMBA 5M3 - RESIDUOS CLASSE B</v>
      </c>
      <c r="B169" s="10">
        <f ca="1">IF(OR(A169="",A169=0),"",LARGE($B$8:B168,1)+1)</f>
        <v>161</v>
      </c>
      <c r="C169" s="7"/>
      <c r="D169" s="279">
        <f ca="1">IF(A169="","",COUNTIF(Orçamento!P:P,A169))</f>
        <v>0</v>
      </c>
      <c r="E169" s="280" t="str">
        <f ca="1">IFERROR(IF(A169="","",_xlfn.XLOOKUP(A169,'ABC Insumos Apoio'!C:C,'ABC Insumos Apoio'!A:A)),"")</f>
        <v>SERVICO LOCACAO/TRANSPORTE/DESCARTE CACAMBA 5M3 - RESIDUOS CLASSE B</v>
      </c>
      <c r="F169" s="281" t="str">
        <f ca="1">IFERROR(IF(A169="","",_xlfn.XLOOKUP(E169,Insumos!A:A,Insumos!B:B)),"")</f>
        <v>UN</v>
      </c>
      <c r="G169" s="282">
        <f ca="1">IFERROR(IF(A169="","",SUMIF(Orçamento!P:P,E169,Orçamento!X:X)),"")</f>
        <v>9.8999999999999986</v>
      </c>
      <c r="H169" s="283">
        <f ca="1">IFERROR(IF(A169="","",_xlfn.XLOOKUP(E169,Insumos!A:A,Insumos!C:C)),"")</f>
        <v>350</v>
      </c>
      <c r="I169" s="283">
        <f t="shared" ca="1" si="7"/>
        <v>3464.9999999999995</v>
      </c>
      <c r="J169" s="284">
        <f t="shared" ca="1" si="8"/>
        <v>4.9708584111366957E-4</v>
      </c>
      <c r="K169" s="284">
        <f t="shared" ca="1" si="9"/>
        <v>0.47157914915955917</v>
      </c>
    </row>
    <row r="170" spans="1:11" ht="9.6" customHeight="1" x14ac:dyDescent="0.2">
      <c r="A170" s="10" t="str">
        <f ca="1"/>
        <v>3462,12 - PRIMER A BASE DE ASFALTO MODIFICADO DILUIDO EM SOLVENTE APLIC. A FRIO</v>
      </c>
      <c r="B170" s="10">
        <f ca="1">IF(OR(A170="",A170=0),"",LARGE($B$8:B169,1)+1)</f>
        <v>162</v>
      </c>
      <c r="C170" s="7"/>
      <c r="D170" s="279">
        <f ca="1">IF(A170="","",COUNTIF(Orçamento!P:P,A170))</f>
        <v>0</v>
      </c>
      <c r="E170" s="280" t="str">
        <f ca="1">IFERROR(IF(A170="","",_xlfn.XLOOKUP(A170,'ABC Insumos Apoio'!C:C,'ABC Insumos Apoio'!A:A)),"")</f>
        <v>PRIMER A BASE DE ASFALTO MODIFICADO DILUIDO EM SOLVENTE APLIC. A FRIO</v>
      </c>
      <c r="F170" s="281" t="str">
        <f ca="1">IFERROR(IF(A170="","",_xlfn.XLOOKUP(E170,Insumos!A:A,Insumos!B:B)),"")</f>
        <v>L</v>
      </c>
      <c r="G170" s="282">
        <f ca="1">IFERROR(IF(A170="","",SUMIF(Orçamento!P:P,E170,Orçamento!X:X)),"")</f>
        <v>290.93399999999997</v>
      </c>
      <c r="H170" s="283">
        <f ca="1">IFERROR(IF(A170="","",_xlfn.XLOOKUP(E170,Insumos!A:A,Insumos!C:C)),"")</f>
        <v>11.9</v>
      </c>
      <c r="I170" s="283">
        <f t="shared" ca="1" si="7"/>
        <v>3462.1145999999999</v>
      </c>
      <c r="J170" s="284">
        <f t="shared" ca="1" si="8"/>
        <v>4.9667190417688762E-4</v>
      </c>
      <c r="K170" s="284">
        <f t="shared" ca="1" si="9"/>
        <v>0.47207582106373608</v>
      </c>
    </row>
    <row r="171" spans="1:11" ht="9.6" customHeight="1" x14ac:dyDescent="0.2">
      <c r="A171" s="10" t="str">
        <f ca="1"/>
        <v>34392,87 - ACO CA-50A 10,00 MM (3/8)</v>
      </c>
      <c r="B171" s="10">
        <f ca="1">IF(OR(A171="",A171=0),"",LARGE($B$8:B170,1)+1)</f>
        <v>163</v>
      </c>
      <c r="C171" s="7"/>
      <c r="D171" s="279">
        <f ca="1">IF(A171="","",COUNTIF(Orçamento!P:P,A171))</f>
        <v>0</v>
      </c>
      <c r="E171" s="280" t="str">
        <f ca="1">IFERROR(IF(A171="","",_xlfn.XLOOKUP(A171,'ABC Insumos Apoio'!C:C,'ABC Insumos Apoio'!A:A)),"")</f>
        <v>ACO CA-50A 10,00 MM (3/8)</v>
      </c>
      <c r="F171" s="281" t="str">
        <f ca="1">IFERROR(IF(A171="","",_xlfn.XLOOKUP(E171,Insumos!A:A,Insumos!B:B)),"")</f>
        <v>KG</v>
      </c>
      <c r="G171" s="282">
        <f ca="1">IFERROR(IF(A171="","",SUMIF(Orçamento!P:P,E171,Orçamento!X:X)),"")</f>
        <v>6416.5794880000003</v>
      </c>
      <c r="H171" s="283">
        <f ca="1">IFERROR(IF(A171="","",_xlfn.XLOOKUP(E171,Insumos!A:A,Insumos!C:C)),"")</f>
        <v>5.36</v>
      </c>
      <c r="I171" s="283">
        <f t="shared" ca="1" si="7"/>
        <v>34392.866055680002</v>
      </c>
      <c r="J171" s="284">
        <f t="shared" ca="1" si="8"/>
        <v>4.9339702024812325E-3</v>
      </c>
      <c r="K171" s="284">
        <f t="shared" ca="1" si="9"/>
        <v>0.47700979126621729</v>
      </c>
    </row>
    <row r="172" spans="1:11" ht="9.6" customHeight="1" x14ac:dyDescent="0.2">
      <c r="A172" s="10" t="str">
        <f ca="1"/>
        <v>3420,3 - PAISAGISMO</v>
      </c>
      <c r="B172" s="10">
        <f ca="1">IF(OR(A172="",A172=0),"",LARGE($B$8:B171,1)+1)</f>
        <v>164</v>
      </c>
      <c r="C172" s="7"/>
      <c r="D172" s="279">
        <f ca="1">IF(A172="","",COUNTIF(Orçamento!P:P,A172))</f>
        <v>0</v>
      </c>
      <c r="E172" s="280" t="str">
        <f ca="1">IFERROR(IF(A172="","",_xlfn.XLOOKUP(A172,'ABC Insumos Apoio'!C:C,'ABC Insumos Apoio'!A:A)),"")</f>
        <v>PAISAGISMO</v>
      </c>
      <c r="F172" s="281" t="str">
        <f ca="1">IFERROR(IF(A172="","",_xlfn.XLOOKUP(E172,Insumos!A:A,Insumos!B:B)),"")</f>
        <v>VB</v>
      </c>
      <c r="G172" s="282">
        <f ca="1">IFERROR(IF(A172="","",SUMIF(Orçamento!P:P,E172,Orçamento!X:X)),"")</f>
        <v>1</v>
      </c>
      <c r="H172" s="283">
        <f ca="1">IFERROR(IF(A172="","",_xlfn.XLOOKUP(E172,Insumos!A:A,Insumos!C:C)),"")</f>
        <v>3420.2999999999997</v>
      </c>
      <c r="I172" s="283">
        <f t="shared" ca="1" si="7"/>
        <v>3420.2999999999997</v>
      </c>
      <c r="J172" s="284">
        <f t="shared" ca="1" si="8"/>
        <v>4.9067321857462743E-4</v>
      </c>
      <c r="K172" s="284">
        <f t="shared" ca="1" si="9"/>
        <v>0.47750046448479189</v>
      </c>
    </row>
    <row r="173" spans="1:11" ht="9.6" customHeight="1" x14ac:dyDescent="0.2">
      <c r="A173" s="10" t="str">
        <f ca="1"/>
        <v>3409,92 - Acompanhamento e fiscalização na montagem da Protensão, locação de macacohidráulico e maçarico</v>
      </c>
      <c r="B173" s="10">
        <f ca="1">IF(OR(A173="",A173=0),"",LARGE($B$8:B172,1)+1)</f>
        <v>165</v>
      </c>
      <c r="C173" s="7"/>
      <c r="D173" s="279">
        <f ca="1">IF(A173="","",COUNTIF(Orçamento!P:P,A173))</f>
        <v>0</v>
      </c>
      <c r="E173" s="280" t="str">
        <f ca="1">IFERROR(IF(A173="","",_xlfn.XLOOKUP(A173,'ABC Insumos Apoio'!C:C,'ABC Insumos Apoio'!A:A)),"")</f>
        <v>Acompanhamento e fiscalização na montagem da Protensão, locação de macacohidráulico e maçarico</v>
      </c>
      <c r="F173" s="281" t="str">
        <f ca="1">IFERROR(IF(A173="","",_xlfn.XLOOKUP(E173,Insumos!A:A,Insumos!B:B)),"")</f>
        <v>UN</v>
      </c>
      <c r="G173" s="282">
        <f ca="1">IFERROR(IF(A173="","",SUMIF(Orçamento!P:P,E173,Orçamento!X:X)),"")</f>
        <v>3409.92</v>
      </c>
      <c r="H173" s="283">
        <f ca="1">IFERROR(IF(A173="","",_xlfn.XLOOKUP(E173,Insumos!A:A,Insumos!C:C)),"")</f>
        <v>1</v>
      </c>
      <c r="I173" s="283">
        <f t="shared" ca="1" si="7"/>
        <v>3409.92</v>
      </c>
      <c r="J173" s="284">
        <f t="shared" ca="1" si="8"/>
        <v>4.8918411293804448E-4</v>
      </c>
      <c r="K173" s="284">
        <f t="shared" ca="1" si="9"/>
        <v>0.47798964859772991</v>
      </c>
    </row>
    <row r="174" spans="1:11" ht="9.6" customHeight="1" x14ac:dyDescent="0.2">
      <c r="A174" s="10" t="str">
        <f ca="1"/>
        <v>34,28 - BUCHA FIXACAO NYLON FU 08</v>
      </c>
      <c r="B174" s="10">
        <f ca="1">IF(OR(A174="",A174=0),"",LARGE($B$8:B173,1)+1)</f>
        <v>166</v>
      </c>
      <c r="C174" s="7"/>
      <c r="D174" s="279">
        <f ca="1">IF(A174="","",COUNTIF(Orçamento!P:P,A174))</f>
        <v>0</v>
      </c>
      <c r="E174" s="280" t="str">
        <f ca="1">IFERROR(IF(A174="","",_xlfn.XLOOKUP(A174,'ABC Insumos Apoio'!C:C,'ABC Insumos Apoio'!A:A)),"")</f>
        <v>BUCHA FIXACAO NYLON FU 08</v>
      </c>
      <c r="F174" s="281" t="str">
        <f ca="1">IFERROR(IF(A174="","",_xlfn.XLOOKUP(E174,Insumos!A:A,Insumos!B:B)),"")</f>
        <v>UN</v>
      </c>
      <c r="G174" s="282">
        <f ca="1">IFERROR(IF(A174="","",SUMIF(Orçamento!P:P,E174,Orçamento!X:X)),"")</f>
        <v>285.58799999999997</v>
      </c>
      <c r="H174" s="283">
        <f ca="1">IFERROR(IF(A174="","",_xlfn.XLOOKUP(E174,Insumos!A:A,Insumos!C:C)),"")</f>
        <v>0.12</v>
      </c>
      <c r="I174" s="283">
        <f t="shared" ca="1" si="7"/>
        <v>34.270559999999996</v>
      </c>
      <c r="J174" s="284">
        <f t="shared" ca="1" si="8"/>
        <v>4.9164242837046113E-6</v>
      </c>
      <c r="K174" s="284">
        <f t="shared" ca="1" si="9"/>
        <v>0.4779945650220136</v>
      </c>
    </row>
    <row r="175" spans="1:11" ht="9.6" customHeight="1" x14ac:dyDescent="0.2">
      <c r="A175" s="10" t="str">
        <f ca="1"/>
        <v>3300 - DESPESAS DE CONSUMO - INTERNET</v>
      </c>
      <c r="B175" s="10">
        <f ca="1">IF(OR(A175="",A175=0),"",LARGE($B$8:B174,1)+1)</f>
        <v>167</v>
      </c>
      <c r="C175" s="7"/>
      <c r="D175" s="279">
        <f ca="1">IF(A175="","",COUNTIF(Orçamento!P:P,A175))</f>
        <v>0</v>
      </c>
      <c r="E175" s="280" t="str">
        <f ca="1">IFERROR(IF(A175="","",_xlfn.XLOOKUP(A175,'ABC Insumos Apoio'!C:C,'ABC Insumos Apoio'!A:A)),"")</f>
        <v>DESPESAS DE CONSUMO - INTERNET</v>
      </c>
      <c r="F175" s="281" t="str">
        <f ca="1">IFERROR(IF(A175="","",_xlfn.XLOOKUP(E175,Insumos!A:A,Insumos!B:B)),"")</f>
        <v>VB</v>
      </c>
      <c r="G175" s="282">
        <f ca="1">IFERROR(IF(A175="","",SUMIF(Orçamento!P:P,E175,Orçamento!X:X)),"")</f>
        <v>22</v>
      </c>
      <c r="H175" s="283">
        <f ca="1">IFERROR(IF(A175="","",_xlfn.XLOOKUP(E175,Insumos!A:A,Insumos!C:C)),"")</f>
        <v>150</v>
      </c>
      <c r="I175" s="283">
        <f t="shared" ca="1" si="7"/>
        <v>3300</v>
      </c>
      <c r="J175" s="284">
        <f t="shared" ca="1" si="8"/>
        <v>4.7341508677492344E-4</v>
      </c>
      <c r="K175" s="284">
        <f t="shared" ca="1" si="9"/>
        <v>0.47846798010878849</v>
      </c>
    </row>
    <row r="176" spans="1:11" ht="9.6" customHeight="1" x14ac:dyDescent="0.2">
      <c r="A176" s="10" t="str">
        <f ca="1"/>
        <v>32997,75 - GR3 - Gaiola Metálica - 14,51X0,8</v>
      </c>
      <c r="B176" s="10">
        <f ca="1">IF(OR(A176="",A176=0),"",LARGE($B$8:B175,1)+1)</f>
        <v>168</v>
      </c>
      <c r="C176" s="7"/>
      <c r="D176" s="279">
        <f ca="1">IF(A176="","",COUNTIF(Orçamento!P:P,A176))</f>
        <v>0</v>
      </c>
      <c r="E176" s="280" t="str">
        <f ca="1">IFERROR(IF(A176="","",_xlfn.XLOOKUP(A176,'ABC Insumos Apoio'!C:C,'ABC Insumos Apoio'!A:A)),"")</f>
        <v>GR3 - Gaiola Metálica - 14,51X0,8</v>
      </c>
      <c r="F176" s="281" t="str">
        <f ca="1">IFERROR(IF(A176="","",_xlfn.XLOOKUP(E176,Insumos!A:A,Insumos!B:B)),"")</f>
        <v>m2</v>
      </c>
      <c r="G176" s="282">
        <f ca="1">IFERROR(IF(A176="","",SUMIF(Orçamento!P:P,E176,Orçamento!X:X)),"")</f>
        <v>58.040000000000013</v>
      </c>
      <c r="H176" s="283">
        <f ca="1">IFERROR(IF(A176="","",_xlfn.XLOOKUP(E176,Insumos!A:A,Insumos!C:C)),"")</f>
        <v>568.53463128876638</v>
      </c>
      <c r="I176" s="283">
        <f t="shared" ca="1" si="7"/>
        <v>32997.750000000007</v>
      </c>
      <c r="J176" s="284">
        <f t="shared" ca="1" si="8"/>
        <v>4.7338280847355248E-3</v>
      </c>
      <c r="K176" s="284">
        <f t="shared" ca="1" si="9"/>
        <v>0.48320180819352404</v>
      </c>
    </row>
    <row r="177" spans="1:11" ht="9.6" customHeight="1" x14ac:dyDescent="0.2">
      <c r="A177" s="10" t="str">
        <f ca="1"/>
        <v>3218,51 - PONTOS DE TOMADA E INTERRUPTORES - SUBSOLO</v>
      </c>
      <c r="B177" s="10">
        <f ca="1">IF(OR(A177="",A177=0),"",LARGE($B$8:B176,1)+1)</f>
        <v>169</v>
      </c>
      <c r="C177" s="7"/>
      <c r="D177" s="279">
        <f ca="1">IF(A177="","",COUNTIF(Orçamento!P:P,A177))</f>
        <v>0</v>
      </c>
      <c r="E177" s="280" t="str">
        <f ca="1">IFERROR(IF(A177="","",_xlfn.XLOOKUP(A177,'ABC Insumos Apoio'!C:C,'ABC Insumos Apoio'!A:A)),"")</f>
        <v>PONTOS DE TOMADA E INTERRUPTORES - SUBSOLO</v>
      </c>
      <c r="F177" s="281" t="str">
        <f ca="1">IFERROR(IF(A177="","",_xlfn.XLOOKUP(E177,Insumos!A:A,Insumos!B:B)),"")</f>
        <v>VB</v>
      </c>
      <c r="G177" s="282">
        <f ca="1">IFERROR(IF(A177="","",SUMIF(Orçamento!P:P,E177,Orçamento!X:X)),"")</f>
        <v>1</v>
      </c>
      <c r="H177" s="283">
        <f ca="1">IFERROR(IF(A177="","",_xlfn.XLOOKUP(E177,Insumos!A:A,Insumos!C:C)),"")</f>
        <v>3218.5033858336856</v>
      </c>
      <c r="I177" s="283">
        <f t="shared" ca="1" si="7"/>
        <v>3218.5033858336856</v>
      </c>
      <c r="J177" s="284">
        <f t="shared" ca="1" si="8"/>
        <v>4.6172365445146637E-4</v>
      </c>
      <c r="K177" s="284">
        <f t="shared" ca="1" si="9"/>
        <v>0.4836635318479755</v>
      </c>
    </row>
    <row r="178" spans="1:11" ht="9.6" customHeight="1" x14ac:dyDescent="0.2">
      <c r="A178" s="10" t="str">
        <f ca="1"/>
        <v>31609,98 - MAO DE OBRA DE IMPERMEABILIZACAO</v>
      </c>
      <c r="B178" s="10">
        <f ca="1">IF(OR(A178="",A178=0),"",LARGE($B$8:B177,1)+1)</f>
        <v>170</v>
      </c>
      <c r="C178" s="7"/>
      <c r="D178" s="279">
        <f ca="1">IF(A178="","",COUNTIF(Orçamento!P:P,A178))</f>
        <v>0</v>
      </c>
      <c r="E178" s="280" t="str">
        <f ca="1">IFERROR(IF(A178="","",_xlfn.XLOOKUP(A178,'ABC Insumos Apoio'!C:C,'ABC Insumos Apoio'!A:A)),"")</f>
        <v>MAO DE OBRA DE IMPERMEABILIZACAO</v>
      </c>
      <c r="F178" s="281" t="str">
        <f ca="1">IFERROR(IF(A178="","",_xlfn.XLOOKUP(E178,Insumos!A:A,Insumos!B:B)),"")</f>
        <v>M2</v>
      </c>
      <c r="G178" s="282">
        <f ca="1">IFERROR(IF(A178="","",SUMIF(Orçamento!P:P,E178,Orçamento!X:X)),"")</f>
        <v>484.89</v>
      </c>
      <c r="H178" s="283">
        <f ca="1">IFERROR(IF(A178="","",_xlfn.XLOOKUP(E178,Insumos!A:A,Insumos!C:C)),"")</f>
        <v>65.19</v>
      </c>
      <c r="I178" s="283">
        <f t="shared" ca="1" si="7"/>
        <v>31609.979099999997</v>
      </c>
      <c r="J178" s="284">
        <f t="shared" ca="1" si="8"/>
        <v>4.5347396965393985E-3</v>
      </c>
      <c r="K178" s="284">
        <f t="shared" ca="1" si="9"/>
        <v>0.48819827154451489</v>
      </c>
    </row>
    <row r="179" spans="1:11" ht="9.6" customHeight="1" x14ac:dyDescent="0.2">
      <c r="A179" s="10" t="str">
        <f ca="1"/>
        <v>3155,03 - Sistema de linha de vida tipo varal de segurança com tubo h=7,5 e acessórios incluindo sapata de fixação e pino de travamento</v>
      </c>
      <c r="B179" s="10">
        <f ca="1">IF(OR(A179="",A179=0),"",LARGE($B$8:B178,1)+1)</f>
        <v>171</v>
      </c>
      <c r="C179" s="7"/>
      <c r="D179" s="279">
        <f ca="1">IF(A179="","",COUNTIF(Orçamento!P:P,A179))</f>
        <v>0</v>
      </c>
      <c r="E179" s="280" t="str">
        <f ca="1">IFERROR(IF(A179="","",_xlfn.XLOOKUP(A179,'ABC Insumos Apoio'!C:C,'ABC Insumos Apoio'!A:A)),"")</f>
        <v>Sistema de linha de vida tipo varal de segurança com tubo h=7,5 e acessórios incluindo sapata de fixação e pino de travamento</v>
      </c>
      <c r="F179" s="281" t="str">
        <f ca="1">IFERROR(IF(A179="","",_xlfn.XLOOKUP(E179,Insumos!A:A,Insumos!B:B)),"")</f>
        <v>un</v>
      </c>
      <c r="G179" s="282">
        <f ca="1">IFERROR(IF(A179="","",SUMIF(Orçamento!P:P,E179,Orçamento!X:X)),"")</f>
        <v>2.1033519999999997</v>
      </c>
      <c r="H179" s="283">
        <f ca="1">IFERROR(IF(A179="","",_xlfn.XLOOKUP(E179,Insumos!A:A,Insumos!C:C)),"")</f>
        <v>1500</v>
      </c>
      <c r="I179" s="283">
        <f t="shared" ca="1" si="7"/>
        <v>3155.0279999999993</v>
      </c>
      <c r="J179" s="284">
        <f t="shared" ca="1" si="8"/>
        <v>4.5261753163554932E-4</v>
      </c>
      <c r="K179" s="284">
        <f t="shared" ca="1" si="9"/>
        <v>0.48865088907615045</v>
      </c>
    </row>
    <row r="180" spans="1:11" ht="9.6" customHeight="1" x14ac:dyDescent="0.2">
      <c r="A180" s="10" t="str">
        <f ca="1"/>
        <v>3146,43 - QUADROS E DISJUNTORES - COBERTURA</v>
      </c>
      <c r="B180" s="10">
        <f ca="1">IF(OR(A180="",A180=0),"",LARGE($B$8:B179,1)+1)</f>
        <v>172</v>
      </c>
      <c r="C180" s="7"/>
      <c r="D180" s="279">
        <f ca="1">IF(A180="","",COUNTIF(Orçamento!P:P,A180))</f>
        <v>0</v>
      </c>
      <c r="E180" s="280" t="str">
        <f ca="1">IFERROR(IF(A180="","",_xlfn.XLOOKUP(A180,'ABC Insumos Apoio'!C:C,'ABC Insumos Apoio'!A:A)),"")</f>
        <v>QUADROS E DISJUNTORES - COBERTURA</v>
      </c>
      <c r="F180" s="281" t="str">
        <f ca="1">IFERROR(IF(A180="","",_xlfn.XLOOKUP(E180,Insumos!A:A,Insumos!B:B)),"")</f>
        <v>VB</v>
      </c>
      <c r="G180" s="282">
        <f ca="1">IFERROR(IF(A180="","",SUMIF(Orçamento!P:P,E180,Orçamento!X:X)),"")</f>
        <v>1</v>
      </c>
      <c r="H180" s="283">
        <f ca="1">IFERROR(IF(A180="","",_xlfn.XLOOKUP(E180,Insumos!A:A,Insumos!C:C)),"")</f>
        <v>3146.4227292376281</v>
      </c>
      <c r="I180" s="283">
        <f t="shared" ca="1" si="7"/>
        <v>3146.4227292376281</v>
      </c>
      <c r="J180" s="284">
        <f t="shared" ca="1" si="8"/>
        <v>4.5138302708867367E-4</v>
      </c>
      <c r="K180" s="284">
        <f t="shared" ca="1" si="9"/>
        <v>0.48910227210323914</v>
      </c>
    </row>
    <row r="181" spans="1:11" ht="9.6" customHeight="1" x14ac:dyDescent="0.2">
      <c r="A181" s="10" t="str">
        <f ca="1"/>
        <v>3145 - Fechadura Padrão Obra (c/ chave)</v>
      </c>
      <c r="B181" s="10">
        <f ca="1">IF(OR(A181="",A181=0),"",LARGE($B$8:B180,1)+1)</f>
        <v>173</v>
      </c>
      <c r="C181" s="7"/>
      <c r="D181" s="279">
        <f ca="1">IF(A181="","",COUNTIF(Orçamento!P:P,A181))</f>
        <v>0</v>
      </c>
      <c r="E181" s="280" t="str">
        <f ca="1">IFERROR(IF(A181="","",_xlfn.XLOOKUP(A181,'ABC Insumos Apoio'!C:C,'ABC Insumos Apoio'!A:A)),"")</f>
        <v>Fechadura Padrão Obra (c/ chave)</v>
      </c>
      <c r="F181" s="281" t="str">
        <f ca="1">IFERROR(IF(A181="","",_xlfn.XLOOKUP(E181,Insumos!A:A,Insumos!B:B)),"")</f>
        <v>UN</v>
      </c>
      <c r="G181" s="282">
        <f ca="1">IFERROR(IF(A181="","",SUMIF(Orçamento!P:P,E181,Orçamento!X:X)),"")</f>
        <v>37</v>
      </c>
      <c r="H181" s="283">
        <f ca="1">IFERROR(IF(A181="","",_xlfn.XLOOKUP(E181,Insumos!A:A,Insumos!C:C)),"")</f>
        <v>85</v>
      </c>
      <c r="I181" s="283">
        <f t="shared" ca="1" si="7"/>
        <v>3145</v>
      </c>
      <c r="J181" s="284">
        <f t="shared" ca="1" si="8"/>
        <v>4.5117892360822245E-4</v>
      </c>
      <c r="K181" s="284">
        <f t="shared" ca="1" si="9"/>
        <v>0.48955345102684739</v>
      </c>
    </row>
    <row r="182" spans="1:11" ht="9.6" customHeight="1" x14ac:dyDescent="0.2">
      <c r="A182" s="10" t="str">
        <f ca="1"/>
        <v>3105,44 - INSTALAÇÕES AGUA FRIA - PAVIMENTO TECNICO</v>
      </c>
      <c r="B182" s="10">
        <f ca="1">IF(OR(A182="",A182=0),"",LARGE($B$8:B181,1)+1)</f>
        <v>174</v>
      </c>
      <c r="C182" s="7"/>
      <c r="D182" s="279">
        <f ca="1">IF(A182="","",COUNTIF(Orçamento!P:P,A182))</f>
        <v>0</v>
      </c>
      <c r="E182" s="280" t="str">
        <f ca="1">IFERROR(IF(A182="","",_xlfn.XLOOKUP(A182,'ABC Insumos Apoio'!C:C,'ABC Insumos Apoio'!A:A)),"")</f>
        <v>INSTALAÇÕES AGUA FRIA - PAVIMENTO TECNICO</v>
      </c>
      <c r="F182" s="281" t="str">
        <f ca="1">IFERROR(IF(A182="","",_xlfn.XLOOKUP(E182,Insumos!A:A,Insumos!B:B)),"")</f>
        <v>UN</v>
      </c>
      <c r="G182" s="282">
        <f ca="1">IFERROR(IF(A182="","",SUMIF(Orçamento!P:P,E182,Orçamento!X:X)),"")</f>
        <v>1</v>
      </c>
      <c r="H182" s="283">
        <f ca="1">IFERROR(IF(A182="","",_xlfn.XLOOKUP(E182,Insumos!A:A,Insumos!C:C)),"")</f>
        <v>3105.4375455373684</v>
      </c>
      <c r="I182" s="283">
        <f t="shared" ca="1" si="7"/>
        <v>3105.4375455373684</v>
      </c>
      <c r="J182" s="284">
        <f t="shared" ca="1" si="8"/>
        <v>4.4550332881656922E-4</v>
      </c>
      <c r="K182" s="284">
        <f t="shared" ca="1" si="9"/>
        <v>0.48999895435566393</v>
      </c>
    </row>
    <row r="183" spans="1:11" ht="9.6" customHeight="1" x14ac:dyDescent="0.2">
      <c r="A183" s="10" t="str">
        <f ca="1"/>
        <v>310,55 - LUMINÁRIAS - PAVIMENTO TECNICO</v>
      </c>
      <c r="B183" s="10">
        <f ca="1">IF(OR(A183="",A183=0),"",LARGE($B$8:B182,1)+1)</f>
        <v>175</v>
      </c>
      <c r="C183" s="7"/>
      <c r="D183" s="279">
        <f ca="1">IF(A183="","",COUNTIF(Orçamento!P:P,A183))</f>
        <v>0</v>
      </c>
      <c r="E183" s="280" t="str">
        <f ca="1">IFERROR(IF(A183="","",_xlfn.XLOOKUP(A183,'ABC Insumos Apoio'!C:C,'ABC Insumos Apoio'!A:A)),"")</f>
        <v>LUMINÁRIAS - PAVIMENTO TECNICO</v>
      </c>
      <c r="F183" s="281" t="str">
        <f ca="1">IFERROR(IF(A183="","",_xlfn.XLOOKUP(E183,Insumos!A:A,Insumos!B:B)),"")</f>
        <v>VB</v>
      </c>
      <c r="G183" s="282">
        <f ca="1">IFERROR(IF(A183="","",SUMIF(Orçamento!P:P,E183,Orçamento!X:X)),"")</f>
        <v>1</v>
      </c>
      <c r="H183" s="283">
        <f ca="1">IFERROR(IF(A183="","",_xlfn.XLOOKUP(E183,Insumos!A:A,Insumos!C:C)),"")</f>
        <v>310.54375455373685</v>
      </c>
      <c r="I183" s="283">
        <f t="shared" ca="1" si="7"/>
        <v>310.54375455373685</v>
      </c>
      <c r="J183" s="284">
        <f t="shared" ca="1" si="8"/>
        <v>4.4550332881656924E-5</v>
      </c>
      <c r="K183" s="284">
        <f t="shared" ca="1" si="9"/>
        <v>0.49004350468854557</v>
      </c>
    </row>
    <row r="184" spans="1:11" ht="9.6" customHeight="1" x14ac:dyDescent="0.2">
      <c r="A184" s="10" t="str">
        <f ca="1"/>
        <v>3067,98 - ALC01 - Alçapão 70X70</v>
      </c>
      <c r="B184" s="10">
        <f ca="1">IF(OR(A184="",A184=0),"",LARGE($B$8:B183,1)+1)</f>
        <v>176</v>
      </c>
      <c r="C184" s="7"/>
      <c r="D184" s="279">
        <f ca="1">IF(A184="","",COUNTIF(Orçamento!P:P,A184))</f>
        <v>0</v>
      </c>
      <c r="E184" s="280" t="str">
        <f ca="1">IFERROR(IF(A184="","",_xlfn.XLOOKUP(A184,'ABC Insumos Apoio'!C:C,'ABC Insumos Apoio'!A:A)),"")</f>
        <v>ALC01 - Alçapão 70X70</v>
      </c>
      <c r="F184" s="281" t="str">
        <f ca="1">IFERROR(IF(A184="","",_xlfn.XLOOKUP(E184,Insumos!A:A,Insumos!B:B)),"")</f>
        <v>un</v>
      </c>
      <c r="G184" s="282">
        <f ca="1">IFERROR(IF(A184="","",SUMIF(Orçamento!P:P,E184,Orçamento!X:X)),"")</f>
        <v>2</v>
      </c>
      <c r="H184" s="283">
        <f ca="1">IFERROR(IF(A184="","",_xlfn.XLOOKUP(E184,Insumos!A:A,Insumos!C:C)),"")</f>
        <v>1533.99</v>
      </c>
      <c r="I184" s="283">
        <f t="shared" ca="1" si="7"/>
        <v>3067.98</v>
      </c>
      <c r="J184" s="284">
        <f t="shared" ca="1" si="8"/>
        <v>4.4012970240113019E-4</v>
      </c>
      <c r="K184" s="284">
        <f t="shared" ca="1" si="9"/>
        <v>0.49048363439094672</v>
      </c>
    </row>
    <row r="185" spans="1:11" ht="9.6" customHeight="1" x14ac:dyDescent="0.2">
      <c r="A185" s="10" t="str">
        <f ca="1"/>
        <v>304 - TANQUE LOUCA SUSPENSO</v>
      </c>
      <c r="B185" s="10">
        <f ca="1">IF(OR(A185="",A185=0),"",LARGE($B$8:B184,1)+1)</f>
        <v>177</v>
      </c>
      <c r="C185" s="7"/>
      <c r="D185" s="279">
        <f ca="1">IF(A185="","",COUNTIF(Orçamento!P:P,A185))</f>
        <v>0</v>
      </c>
      <c r="E185" s="280" t="str">
        <f ca="1">IFERROR(IF(A185="","",_xlfn.XLOOKUP(A185,'ABC Insumos Apoio'!C:C,'ABC Insumos Apoio'!A:A)),"")</f>
        <v>TANQUE LOUCA SUSPENSO</v>
      </c>
      <c r="F185" s="281" t="str">
        <f ca="1">IFERROR(IF(A185="","",_xlfn.XLOOKUP(E185,Insumos!A:A,Insumos!B:B)),"")</f>
        <v>un</v>
      </c>
      <c r="G185" s="282">
        <f ca="1">IFERROR(IF(A185="","",SUMIF(Orçamento!P:P,E185,Orçamento!X:X)),"")</f>
        <v>2</v>
      </c>
      <c r="H185" s="283">
        <f ca="1">IFERROR(IF(A185="","",_xlfn.XLOOKUP(E185,Insumos!A:A,Insumos!C:C)),"")</f>
        <v>152</v>
      </c>
      <c r="I185" s="283">
        <f t="shared" ca="1" si="7"/>
        <v>304</v>
      </c>
      <c r="J185" s="284">
        <f t="shared" ca="1" si="8"/>
        <v>4.3611571630174761E-5</v>
      </c>
      <c r="K185" s="284">
        <f t="shared" ca="1" si="9"/>
        <v>0.49052724596257691</v>
      </c>
    </row>
    <row r="186" spans="1:11" ht="9.6" customHeight="1" x14ac:dyDescent="0.2">
      <c r="A186" s="10" t="str">
        <f ca="1"/>
        <v>30072,36 - FIAÇÃO - SUBSOLO</v>
      </c>
      <c r="B186" s="10">
        <f ca="1">IF(OR(A186="",A186=0),"",LARGE($B$8:B185,1)+1)</f>
        <v>178</v>
      </c>
      <c r="C186" s="7"/>
      <c r="D186" s="279">
        <f ca="1">IF(A186="","",COUNTIF(Orçamento!P:P,A186))</f>
        <v>0</v>
      </c>
      <c r="E186" s="280" t="str">
        <f ca="1">IFERROR(IF(A186="","",_xlfn.XLOOKUP(A186,'ABC Insumos Apoio'!C:C,'ABC Insumos Apoio'!A:A)),"")</f>
        <v>FIAÇÃO - SUBSOLO</v>
      </c>
      <c r="F186" s="281" t="str">
        <f ca="1">IFERROR(IF(A186="","",_xlfn.XLOOKUP(E186,Insumos!A:A,Insumos!B:B)),"")</f>
        <v>VB</v>
      </c>
      <c r="G186" s="282">
        <f ca="1">IFERROR(IF(A186="","",SUMIF(Orçamento!P:P,E186,Orçamento!X:X)),"")</f>
        <v>1</v>
      </c>
      <c r="H186" s="283">
        <f ca="1">IFERROR(IF(A186="","",_xlfn.XLOOKUP(E186,Insumos!A:A,Insumos!C:C)),"")</f>
        <v>30072.356023839933</v>
      </c>
      <c r="I186" s="283">
        <f t="shared" ca="1" si="7"/>
        <v>30072.356023839933</v>
      </c>
      <c r="J186" s="284">
        <f t="shared" ca="1" si="8"/>
        <v>4.3141536474401738E-3</v>
      </c>
      <c r="K186" s="284">
        <f t="shared" ca="1" si="9"/>
        <v>0.49484139961001711</v>
      </c>
    </row>
    <row r="187" spans="1:11" ht="9.6" customHeight="1" x14ac:dyDescent="0.2">
      <c r="A187" s="10" t="str">
        <f ca="1"/>
        <v>30000 - Locação Balancim manual</v>
      </c>
      <c r="B187" s="10">
        <f ca="1">IF(OR(A187="",A187=0),"",LARGE($B$8:B186,1)+1)</f>
        <v>179</v>
      </c>
      <c r="C187" s="7"/>
      <c r="D187" s="279">
        <f ca="1">IF(A187="","",COUNTIF(Orçamento!P:P,A187))</f>
        <v>0</v>
      </c>
      <c r="E187" s="280" t="str">
        <f ca="1">IFERROR(IF(A187="","",_xlfn.XLOOKUP(A187,'ABC Insumos Apoio'!C:C,'ABC Insumos Apoio'!A:A)),"")</f>
        <v>Locação Balancim manual</v>
      </c>
      <c r="F187" s="281" t="str">
        <f ca="1">IFERROR(IF(A187="","",_xlfn.XLOOKUP(E187,Insumos!A:A,Insumos!B:B)),"")</f>
        <v>VB</v>
      </c>
      <c r="G187" s="282">
        <f ca="1">IFERROR(IF(A187="","",SUMIF(Orçamento!P:P,E187,Orçamento!X:X)),"")</f>
        <v>12</v>
      </c>
      <c r="H187" s="283">
        <f ca="1">IFERROR(IF(A187="","",_xlfn.XLOOKUP(E187,Insumos!A:A,Insumos!C:C)),"")</f>
        <v>2500</v>
      </c>
      <c r="I187" s="283">
        <f t="shared" ca="1" si="7"/>
        <v>30000</v>
      </c>
      <c r="J187" s="284">
        <f t="shared" ca="1" si="8"/>
        <v>4.3037735161356675E-3</v>
      </c>
      <c r="K187" s="284">
        <f t="shared" ca="1" si="9"/>
        <v>0.49914517312615275</v>
      </c>
    </row>
    <row r="188" spans="1:11" ht="9.6" customHeight="1" x14ac:dyDescent="0.2">
      <c r="A188" s="10" t="str">
        <f ca="1"/>
        <v>29900 - PROJETO ESTRUTURAL</v>
      </c>
      <c r="B188" s="10">
        <f ca="1">IF(OR(A188="",A188=0),"",LARGE($B$8:B187,1)+1)</f>
        <v>180</v>
      </c>
      <c r="C188" s="7"/>
      <c r="D188" s="279">
        <f ca="1">IF(A188="","",COUNTIF(Orçamento!P:P,A188))</f>
        <v>0</v>
      </c>
      <c r="E188" s="280" t="str">
        <f ca="1">IFERROR(IF(A188="","",_xlfn.XLOOKUP(A188,'ABC Insumos Apoio'!C:C,'ABC Insumos Apoio'!A:A)),"")</f>
        <v>PROJETO ESTRUTURAL</v>
      </c>
      <c r="F188" s="281" t="str">
        <f ca="1">IFERROR(IF(A188="","",_xlfn.XLOOKUP(E188,Insumos!A:A,Insumos!B:B)),"")</f>
        <v>VB</v>
      </c>
      <c r="G188" s="282">
        <f ca="1">IFERROR(IF(A188="","",SUMIF(Orçamento!P:P,E188,Orçamento!X:X)),"")</f>
        <v>1</v>
      </c>
      <c r="H188" s="283">
        <f ca="1">IFERROR(IF(A188="","",_xlfn.XLOOKUP(E188,Insumos!A:A,Insumos!C:C)),"")</f>
        <v>29900</v>
      </c>
      <c r="I188" s="283">
        <f t="shared" ca="1" si="7"/>
        <v>29900</v>
      </c>
      <c r="J188" s="284">
        <f t="shared" ca="1" si="8"/>
        <v>4.2894276044152151E-3</v>
      </c>
      <c r="K188" s="284">
        <f t="shared" ca="1" si="9"/>
        <v>0.503434600730568</v>
      </c>
    </row>
    <row r="189" spans="1:11" ht="9.6" customHeight="1" x14ac:dyDescent="0.2">
      <c r="A189" s="10" t="str">
        <f ca="1"/>
        <v>29824,11 - PCF - PORTA ESPECIAL  - ABRIR (E. VERTIVAL) - 80X210</v>
      </c>
      <c r="B189" s="10">
        <f ca="1">IF(OR(A189="",A189=0),"",LARGE($B$8:B188,1)+1)</f>
        <v>181</v>
      </c>
      <c r="C189" s="7"/>
      <c r="D189" s="279">
        <f ca="1">IF(A189="","",COUNTIF(Orçamento!P:P,A189))</f>
        <v>0</v>
      </c>
      <c r="E189" s="280" t="str">
        <f ca="1">IFERROR(IF(A189="","",_xlfn.XLOOKUP(A189,'ABC Insumos Apoio'!C:C,'ABC Insumos Apoio'!A:A)),"")</f>
        <v>PCF - PORTA ESPECIAL  - ABRIR (E. VERTIVAL) - 80X210</v>
      </c>
      <c r="F189" s="281" t="str">
        <f ca="1">IFERROR(IF(A189="","",_xlfn.XLOOKUP(E189,Insumos!A:A,Insumos!B:B)),"")</f>
        <v>UN</v>
      </c>
      <c r="G189" s="282">
        <f ca="1">IFERROR(IF(A189="","",SUMIF(Orçamento!P:P,E189,Orçamento!X:X)),"")</f>
        <v>19</v>
      </c>
      <c r="H189" s="283">
        <f ca="1">IFERROR(IF(A189="","",_xlfn.XLOOKUP(E189,Insumos!A:A,Insumos!C:C)),"")</f>
        <v>1569.69</v>
      </c>
      <c r="I189" s="283">
        <f t="shared" ca="1" si="7"/>
        <v>29824.11</v>
      </c>
      <c r="J189" s="284">
        <f t="shared" ca="1" si="8"/>
        <v>4.2785404920105642E-3</v>
      </c>
      <c r="K189" s="284">
        <f t="shared" ca="1" si="9"/>
        <v>0.5077131412225786</v>
      </c>
    </row>
    <row r="190" spans="1:11" ht="9.6" customHeight="1" x14ac:dyDescent="0.2">
      <c r="A190" s="10" t="str">
        <f ca="1"/>
        <v>2967 - Projeto Telefonia</v>
      </c>
      <c r="B190" s="10">
        <f ca="1">IF(OR(A190="",A190=0),"",LARGE($B$8:B189,1)+1)</f>
        <v>182</v>
      </c>
      <c r="C190" s="7"/>
      <c r="D190" s="279">
        <f ca="1">IF(A190="","",COUNTIF(Orçamento!P:P,A190))</f>
        <v>0</v>
      </c>
      <c r="E190" s="280" t="str">
        <f ca="1">IFERROR(IF(A190="","",_xlfn.XLOOKUP(A190,'ABC Insumos Apoio'!C:C,'ABC Insumos Apoio'!A:A)),"")</f>
        <v>Projeto Telefonia</v>
      </c>
      <c r="F190" s="281" t="str">
        <f ca="1">IFERROR(IF(A190="","",_xlfn.XLOOKUP(E190,Insumos!A:A,Insumos!B:B)),"")</f>
        <v>VB</v>
      </c>
      <c r="G190" s="282">
        <f ca="1">IFERROR(IF(A190="","",SUMIF(Orçamento!P:P,E190,Orçamento!X:X)),"")</f>
        <v>1</v>
      </c>
      <c r="H190" s="283">
        <f ca="1">IFERROR(IF(A190="","",_xlfn.XLOOKUP(E190,Insumos!A:A,Insumos!C:C)),"")</f>
        <v>2967</v>
      </c>
      <c r="I190" s="283">
        <f t="shared" ca="1" si="7"/>
        <v>2967</v>
      </c>
      <c r="J190" s="284">
        <f t="shared" ca="1" si="8"/>
        <v>4.256432007458175E-4</v>
      </c>
      <c r="K190" s="284">
        <f t="shared" ca="1" si="9"/>
        <v>0.50813878442332439</v>
      </c>
    </row>
    <row r="191" spans="1:11" ht="9.6" customHeight="1" x14ac:dyDescent="0.2">
      <c r="A191" s="10" t="str">
        <f ca="1"/>
        <v>2967 - Projeto Comunicação e Dados</v>
      </c>
      <c r="B191" s="10">
        <f ca="1">IF(OR(A191="",A191=0),"",LARGE($B$8:B190,1)+1)</f>
        <v>183</v>
      </c>
      <c r="C191" s="7"/>
      <c r="D191" s="279">
        <f ca="1">IF(A191="","",COUNTIF(Orçamento!P:P,A191))</f>
        <v>0</v>
      </c>
      <c r="E191" s="280" t="str">
        <f ca="1">IFERROR(IF(A191="","",_xlfn.XLOOKUP(A191,'ABC Insumos Apoio'!C:C,'ABC Insumos Apoio'!A:A)),"")</f>
        <v>Projeto Comunicação e Dados</v>
      </c>
      <c r="F191" s="281" t="str">
        <f ca="1">IFERROR(IF(A191="","",_xlfn.XLOOKUP(E191,Insumos!A:A,Insumos!B:B)),"")</f>
        <v>VB</v>
      </c>
      <c r="G191" s="282">
        <f ca="1">IFERROR(IF(A191="","",SUMIF(Orçamento!P:P,E191,Orçamento!X:X)),"")</f>
        <v>1</v>
      </c>
      <c r="H191" s="283">
        <f ca="1">IFERROR(IF(A191="","",_xlfn.XLOOKUP(E191,Insumos!A:A,Insumos!C:C)),"")</f>
        <v>2967</v>
      </c>
      <c r="I191" s="283">
        <f t="shared" ca="1" si="7"/>
        <v>2967</v>
      </c>
      <c r="J191" s="284">
        <f t="shared" ca="1" si="8"/>
        <v>4.256432007458175E-4</v>
      </c>
      <c r="K191" s="284">
        <f t="shared" ca="1" si="9"/>
        <v>0.50856442762407017</v>
      </c>
    </row>
    <row r="192" spans="1:11" ht="9.6" customHeight="1" x14ac:dyDescent="0.2">
      <c r="A192" s="10" t="str">
        <f ca="1"/>
        <v>293,89 - Taxa Aprovação e legalização água e esgoto</v>
      </c>
      <c r="B192" s="10">
        <f ca="1">IF(OR(A192="",A192=0),"",LARGE($B$8:B191,1)+1)</f>
        <v>184</v>
      </c>
      <c r="C192" s="7"/>
      <c r="D192" s="279">
        <f ca="1">IF(A192="","",COUNTIF(Orçamento!P:P,A192))</f>
        <v>0</v>
      </c>
      <c r="E192" s="280" t="str">
        <f ca="1">IFERROR(IF(A192="","",_xlfn.XLOOKUP(A192,'ABC Insumos Apoio'!C:C,'ABC Insumos Apoio'!A:A)),"")</f>
        <v>Taxa Aprovação e legalização água e esgoto</v>
      </c>
      <c r="F192" s="281" t="str">
        <f ca="1">IFERROR(IF(A192="","",_xlfn.XLOOKUP(E192,Insumos!A:A,Insumos!B:B)),"")</f>
        <v>VB</v>
      </c>
      <c r="G192" s="282">
        <f ca="1">IFERROR(IF(A192="","",SUMIF(Orçamento!P:P,E192,Orçamento!X:X)),"")</f>
        <v>1</v>
      </c>
      <c r="H192" s="283">
        <f ca="1">IFERROR(IF(A192="","",_xlfn.XLOOKUP(E192,Insumos!A:A,Insumos!C:C)),"")</f>
        <v>293.89</v>
      </c>
      <c r="I192" s="283">
        <f t="shared" ca="1" si="7"/>
        <v>293.89</v>
      </c>
      <c r="J192" s="284">
        <f t="shared" ca="1" si="8"/>
        <v>4.2161199955237038E-5</v>
      </c>
      <c r="K192" s="284">
        <f t="shared" ca="1" si="9"/>
        <v>0.50860658882402543</v>
      </c>
    </row>
    <row r="193" spans="1:11" ht="9.6" customHeight="1" x14ac:dyDescent="0.2">
      <c r="A193" s="10" t="str">
        <f ca="1"/>
        <v>2928 - Moto bomba 3/4 cv mono auxiliar - Sodramar</v>
      </c>
      <c r="B193" s="10">
        <f ca="1">IF(OR(A193="",A193=0),"",LARGE($B$8:B192,1)+1)</f>
        <v>185</v>
      </c>
      <c r="C193" s="7"/>
      <c r="D193" s="279">
        <f ca="1">IF(A193="","",COUNTIF(Orçamento!P:P,A193))</f>
        <v>0</v>
      </c>
      <c r="E193" s="280" t="str">
        <f ca="1">IFERROR(IF(A193="","",_xlfn.XLOOKUP(A193,'ABC Insumos Apoio'!C:C,'ABC Insumos Apoio'!A:A)),"")</f>
        <v>Moto bomba 3/4 cv mono auxiliar - Sodramar</v>
      </c>
      <c r="F193" s="281" t="str">
        <f ca="1">IFERROR(IF(A193="","",_xlfn.XLOOKUP(E193,Insumos!A:A,Insumos!B:B)),"")</f>
        <v>un</v>
      </c>
      <c r="G193" s="282">
        <f ca="1">IFERROR(IF(A193="","",SUMIF(Orçamento!P:P,E193,Orçamento!X:X)),"")</f>
        <v>2</v>
      </c>
      <c r="H193" s="283">
        <f ca="1">IFERROR(IF(A193="","",_xlfn.XLOOKUP(E193,Insumos!A:A,Insumos!C:C)),"")</f>
        <v>1464</v>
      </c>
      <c r="I193" s="283">
        <f t="shared" ca="1" si="7"/>
        <v>2928</v>
      </c>
      <c r="J193" s="284">
        <f t="shared" ca="1" si="8"/>
        <v>4.2004829517484113E-4</v>
      </c>
      <c r="K193" s="284">
        <f t="shared" ca="1" si="9"/>
        <v>0.50902663711920026</v>
      </c>
    </row>
    <row r="194" spans="1:11" ht="9.6" customHeight="1" x14ac:dyDescent="0.2">
      <c r="A194" s="10" t="str">
        <f ca="1"/>
        <v>29148,45 - LIMPEZA FINAL DA OBRA</v>
      </c>
      <c r="B194" s="10">
        <f ca="1">IF(OR(A194="",A194=0),"",LARGE($B$8:B193,1)+1)</f>
        <v>186</v>
      </c>
      <c r="C194" s="7"/>
      <c r="D194" s="279">
        <f ca="1">IF(A194="","",COUNTIF(Orçamento!P:P,A194))</f>
        <v>0</v>
      </c>
      <c r="E194" s="280" t="str">
        <f ca="1">IFERROR(IF(A194="","",_xlfn.XLOOKUP(A194,'ABC Insumos Apoio'!C:C,'ABC Insumos Apoio'!A:A)),"")</f>
        <v>LIMPEZA FINAL DA OBRA</v>
      </c>
      <c r="F194" s="281" t="str">
        <f ca="1">IFERROR(IF(A194="","",_xlfn.XLOOKUP(E194,Insumos!A:A,Insumos!B:B)),"")</f>
        <v>VB</v>
      </c>
      <c r="G194" s="282">
        <f ca="1">IFERROR(IF(A194="","",SUMIF(Orçamento!P:P,E194,Orçamento!X:X)),"")</f>
        <v>1</v>
      </c>
      <c r="H194" s="283">
        <f ca="1">IFERROR(IF(A194="","",_xlfn.XLOOKUP(E194,Insumos!A:A,Insumos!C:C)),"")</f>
        <v>29148.45</v>
      </c>
      <c r="I194" s="283">
        <f t="shared" ca="1" si="7"/>
        <v>29148.45</v>
      </c>
      <c r="J194" s="284">
        <f t="shared" ca="1" si="8"/>
        <v>4.1816109048801566E-3</v>
      </c>
      <c r="K194" s="284">
        <f t="shared" ca="1" si="9"/>
        <v>0.51320824802408038</v>
      </c>
    </row>
    <row r="195" spans="1:11" ht="9.6" customHeight="1" x14ac:dyDescent="0.2">
      <c r="A195" s="10" t="str">
        <f ca="1"/>
        <v>28947,88 - Argamassa Polimerica Impermeabilizante</v>
      </c>
      <c r="B195" s="10">
        <f ca="1">IF(OR(A195="",A195=0),"",LARGE($B$8:B194,1)+1)</f>
        <v>187</v>
      </c>
      <c r="C195" s="7"/>
      <c r="D195" s="279">
        <f ca="1">IF(A195="","",COUNTIF(Orçamento!P:P,A195))</f>
        <v>0</v>
      </c>
      <c r="E195" s="280" t="str">
        <f ca="1">IFERROR(IF(A195="","",_xlfn.XLOOKUP(A195,'ABC Insumos Apoio'!C:C,'ABC Insumos Apoio'!A:A)),"")</f>
        <v>Argamassa Polimerica Impermeabilizante</v>
      </c>
      <c r="F195" s="281" t="str">
        <f ca="1">IFERROR(IF(A195="","",_xlfn.XLOOKUP(E195,Insumos!A:A,Insumos!B:B)),"")</f>
        <v>KG</v>
      </c>
      <c r="G195" s="282">
        <f ca="1">IFERROR(IF(A195="","",SUMIF(Orçamento!P:P,E195,Orçamento!X:X)),"")</f>
        <v>2554.9760000000006</v>
      </c>
      <c r="H195" s="283">
        <f ca="1">IFERROR(IF(A195="","",_xlfn.XLOOKUP(E195,Insumos!A:A,Insumos!C:C)),"")</f>
        <v>11.33</v>
      </c>
      <c r="I195" s="283">
        <f t="shared" ca="1" si="7"/>
        <v>28947.878080000006</v>
      </c>
      <c r="J195" s="284">
        <f t="shared" ca="1" si="8"/>
        <v>4.1528370343009409E-3</v>
      </c>
      <c r="K195" s="284">
        <f t="shared" ca="1" si="9"/>
        <v>0.5173610850583813</v>
      </c>
    </row>
    <row r="196" spans="1:11" ht="9.6" customHeight="1" x14ac:dyDescent="0.2">
      <c r="A196" s="10" t="str">
        <f ca="1"/>
        <v>2860 - GERENCIAMENTO ELETRÔNICO</v>
      </c>
      <c r="B196" s="10">
        <f ca="1">IF(OR(A196="",A196=0),"",LARGE($B$8:B195,1)+1)</f>
        <v>188</v>
      </c>
      <c r="C196" s="7"/>
      <c r="D196" s="279">
        <f ca="1">IF(A196="","",COUNTIF(Orçamento!P:P,A196))</f>
        <v>0</v>
      </c>
      <c r="E196" s="280" t="str">
        <f ca="1">IFERROR(IF(A196="","",_xlfn.XLOOKUP(A196,'ABC Insumos Apoio'!C:C,'ABC Insumos Apoio'!A:A)),"")</f>
        <v>GERENCIAMENTO ELETRÔNICO</v>
      </c>
      <c r="F196" s="281" t="str">
        <f ca="1">IFERROR(IF(A196="","",_xlfn.XLOOKUP(E196,Insumos!A:A,Insumos!B:B)),"")</f>
        <v>MÊS</v>
      </c>
      <c r="G196" s="282">
        <f ca="1">IFERROR(IF(A196="","",SUMIF(Orçamento!P:P,E196,Orçamento!X:X)),"")</f>
        <v>22</v>
      </c>
      <c r="H196" s="283">
        <f ca="1">IFERROR(IF(A196="","",_xlfn.XLOOKUP(E196,Insumos!A:A,Insumos!C:C)),"")</f>
        <v>130</v>
      </c>
      <c r="I196" s="283">
        <f t="shared" ca="1" si="7"/>
        <v>2860</v>
      </c>
      <c r="J196" s="284">
        <f t="shared" ca="1" si="8"/>
        <v>4.1029307520493364E-4</v>
      </c>
      <c r="K196" s="284">
        <f t="shared" ca="1" si="9"/>
        <v>0.5177713781335862</v>
      </c>
    </row>
    <row r="197" spans="1:11" ht="9.6" customHeight="1" x14ac:dyDescent="0.2">
      <c r="A197" s="10" t="str">
        <f ca="1"/>
        <v>2835,83 - INSTALAÇÕES PREVENTIVAS - COBERTURA</v>
      </c>
      <c r="B197" s="10">
        <f ca="1">IF(OR(A197="",A197=0),"",LARGE($B$8:B196,1)+1)</f>
        <v>189</v>
      </c>
      <c r="C197" s="7"/>
      <c r="D197" s="279">
        <f ca="1">IF(A197="","",COUNTIF(Orçamento!P:P,A197))</f>
        <v>0</v>
      </c>
      <c r="E197" s="280" t="str">
        <f ca="1">IFERROR(IF(A197="","",_xlfn.XLOOKUP(A197,'ABC Insumos Apoio'!C:C,'ABC Insumos Apoio'!A:A)),"")</f>
        <v>INSTALAÇÕES PREVENTIVAS - COBERTURA</v>
      </c>
      <c r="F197" s="281" t="str">
        <f ca="1">IFERROR(IF(A197="","",_xlfn.XLOOKUP(E197,Insumos!A:A,Insumos!B:B)),"")</f>
        <v>VB</v>
      </c>
      <c r="G197" s="282">
        <f ca="1">IFERROR(IF(A197="","",SUMIF(Orçamento!P:P,E197,Orçamento!X:X)),"")</f>
        <v>1</v>
      </c>
      <c r="H197" s="283">
        <f ca="1">IFERROR(IF(A197="","",_xlfn.XLOOKUP(E197,Insumos!A:A,Insumos!C:C)),"")</f>
        <v>2835.8299946360062</v>
      </c>
      <c r="I197" s="283">
        <f t="shared" ca="1" si="7"/>
        <v>2835.8299946360062</v>
      </c>
      <c r="J197" s="284">
        <f t="shared" ca="1" si="8"/>
        <v>4.0682566757258649E-4</v>
      </c>
      <c r="K197" s="284">
        <f t="shared" ca="1" si="9"/>
        <v>0.51817820380115875</v>
      </c>
    </row>
    <row r="198" spans="1:11" ht="9.6" customHeight="1" x14ac:dyDescent="0.2">
      <c r="A198" s="10" t="str">
        <f ca="1"/>
        <v>2835,83 - INSTALAÇÕES ESGOTO - COBERTURA</v>
      </c>
      <c r="B198" s="10">
        <f ca="1">IF(OR(A198="",A198=0),"",LARGE($B$8:B197,1)+1)</f>
        <v>190</v>
      </c>
      <c r="C198" s="7"/>
      <c r="D198" s="279">
        <f ca="1">IF(A198="","",COUNTIF(Orçamento!P:P,A198))</f>
        <v>0</v>
      </c>
      <c r="E198" s="280" t="str">
        <f ca="1">IFERROR(IF(A198="","",_xlfn.XLOOKUP(A198,'ABC Insumos Apoio'!C:C,'ABC Insumos Apoio'!A:A)),"")</f>
        <v>INSTALAÇÕES ESGOTO - COBERTURA</v>
      </c>
      <c r="F198" s="281" t="str">
        <f ca="1">IFERROR(IF(A198="","",_xlfn.XLOOKUP(E198,Insumos!A:A,Insumos!B:B)),"")</f>
        <v>UN</v>
      </c>
      <c r="G198" s="282">
        <f ca="1">IFERROR(IF(A198="","",SUMIF(Orçamento!P:P,E198,Orçamento!X:X)),"")</f>
        <v>1</v>
      </c>
      <c r="H198" s="283">
        <f ca="1">IFERROR(IF(A198="","",_xlfn.XLOOKUP(E198,Insumos!A:A,Insumos!C:C)),"")</f>
        <v>2835.8299946360062</v>
      </c>
      <c r="I198" s="283">
        <f t="shared" ca="1" si="7"/>
        <v>2835.8299946360062</v>
      </c>
      <c r="J198" s="284">
        <f t="shared" ca="1" si="8"/>
        <v>4.0682566757258649E-4</v>
      </c>
      <c r="K198" s="284">
        <f t="shared" ca="1" si="9"/>
        <v>0.51858502946873131</v>
      </c>
    </row>
    <row r="199" spans="1:11" ht="9.6" customHeight="1" x14ac:dyDescent="0.2">
      <c r="A199" s="10" t="str">
        <f ca="1"/>
        <v>2826,9 - P5 - PORTA MADEIRA ACABAMENTO MELAMÍNICO BRANCO - PIVOTANTE - 90X210</v>
      </c>
      <c r="B199" s="10">
        <f ca="1">IF(OR(A199="",A199=0),"",LARGE($B$8:B198,1)+1)</f>
        <v>191</v>
      </c>
      <c r="C199" s="7"/>
      <c r="D199" s="279">
        <f ca="1">IF(A199="","",COUNTIF(Orçamento!P:P,A199))</f>
        <v>0</v>
      </c>
      <c r="E199" s="280" t="str">
        <f ca="1">IFERROR(IF(A199="","",_xlfn.XLOOKUP(A199,'ABC Insumos Apoio'!C:C,'ABC Insumos Apoio'!A:A)),"")</f>
        <v>P5 - PORTA MADEIRA ACABAMENTO MELAMÍNICO BRANCO - PIVOTANTE - 90X210</v>
      </c>
      <c r="F199" s="281" t="str">
        <f ca="1">IFERROR(IF(A199="","",_xlfn.XLOOKUP(E199,Insumos!A:A,Insumos!B:B)),"")</f>
        <v>UN</v>
      </c>
      <c r="G199" s="282">
        <f ca="1">IFERROR(IF(A199="","",SUMIF(Orçamento!P:P,E199,Orçamento!X:X)),"")</f>
        <v>1</v>
      </c>
      <c r="H199" s="283">
        <f ca="1">IFERROR(IF(A199="","",_xlfn.XLOOKUP(E199,Insumos!A:A,Insumos!C:C)),"")</f>
        <v>2826.9</v>
      </c>
      <c r="I199" s="283">
        <f t="shared" ca="1" si="7"/>
        <v>2826.9</v>
      </c>
      <c r="J199" s="284">
        <f t="shared" ca="1" si="8"/>
        <v>4.0554457842546397E-4</v>
      </c>
      <c r="K199" s="284">
        <f t="shared" ca="1" si="9"/>
        <v>0.51899057404715676</v>
      </c>
    </row>
    <row r="200" spans="1:11" ht="9.6" customHeight="1" x14ac:dyDescent="0.2">
      <c r="A200" s="10" t="str">
        <f ca="1"/>
        <v>2770,28 - GESSO PO SECAGEM LENTA KG NBR 13207/13867</v>
      </c>
      <c r="B200" s="10">
        <f ca="1">IF(OR(A200="",A200=0),"",LARGE($B$8:B199,1)+1)</f>
        <v>192</v>
      </c>
      <c r="C200" s="7"/>
      <c r="D200" s="279">
        <f ca="1">IF(A200="","",COUNTIF(Orçamento!P:P,A200))</f>
        <v>0</v>
      </c>
      <c r="E200" s="280" t="str">
        <f ca="1">IFERROR(IF(A200="","",_xlfn.XLOOKUP(A200,'ABC Insumos Apoio'!C:C,'ABC Insumos Apoio'!A:A)),"")</f>
        <v>GESSO PO SECAGEM LENTA KG NBR 13207/13867</v>
      </c>
      <c r="F200" s="281" t="str">
        <f ca="1">IFERROR(IF(A200="","",_xlfn.XLOOKUP(E200,Insumos!A:A,Insumos!B:B)),"")</f>
        <v>kg</v>
      </c>
      <c r="G200" s="282">
        <f ca="1">IFERROR(IF(A200="","",SUMIF(Orçamento!P:P,E200,Orçamento!X:X)),"")</f>
        <v>926.51400000000001</v>
      </c>
      <c r="H200" s="283">
        <f ca="1">IFERROR(IF(A200="","",_xlfn.XLOOKUP(E200,Insumos!A:A,Insumos!C:C)),"")</f>
        <v>2.99</v>
      </c>
      <c r="I200" s="283">
        <f t="shared" ca="1" si="7"/>
        <v>2770.2768600000004</v>
      </c>
      <c r="J200" s="284">
        <f t="shared" ca="1" si="8"/>
        <v>3.9742147274771594E-4</v>
      </c>
      <c r="K200" s="284">
        <f t="shared" ca="1" si="9"/>
        <v>0.51938799551990444</v>
      </c>
    </row>
    <row r="201" spans="1:11" ht="9.6" customHeight="1" x14ac:dyDescent="0.2">
      <c r="A201" s="10" t="str">
        <f ca="1"/>
        <v>2719,92 - AREIA MEDIA</v>
      </c>
      <c r="B201" s="10">
        <f ca="1">IF(OR(A201="",A201=0),"",LARGE($B$8:B200,1)+1)</f>
        <v>193</v>
      </c>
      <c r="C201" s="7"/>
      <c r="D201" s="279">
        <f ca="1">IF(A201="","",COUNTIF(Orçamento!P:P,A201))</f>
        <v>0</v>
      </c>
      <c r="E201" s="280" t="str">
        <f ca="1">IFERROR(IF(A201="","",_xlfn.XLOOKUP(A201,'ABC Insumos Apoio'!C:C,'ABC Insumos Apoio'!A:A)),"")</f>
        <v>AREIA MEDIA</v>
      </c>
      <c r="F201" s="281" t="str">
        <f ca="1">IFERROR(IF(A201="","",_xlfn.XLOOKUP(E201,Insumos!A:A,Insumos!B:B)),"")</f>
        <v>M3</v>
      </c>
      <c r="G201" s="282">
        <f ca="1">IFERROR(IF(A201="","",SUMIF(Orçamento!P:P,E201,Orçamento!X:X)),"")</f>
        <v>21.084615599999999</v>
      </c>
      <c r="H201" s="283">
        <f ca="1">IFERROR(IF(A201="","",_xlfn.XLOOKUP(E201,Insumos!A:A,Insumos!C:C)),"")</f>
        <v>129</v>
      </c>
      <c r="I201" s="283">
        <f t="shared" ref="I201:I264" ca="1" si="10">IFERROR(IF(E201="","",G201*H201),"")</f>
        <v>2719.9154123999997</v>
      </c>
      <c r="J201" s="284">
        <f t="shared" ref="J201:J264" ca="1" si="11">IFERROR(IF(I201="","",I201/$I$6),0)</f>
        <v>3.9019666393387803E-4</v>
      </c>
      <c r="K201" s="284">
        <f t="shared" ca="1" si="9"/>
        <v>0.51977819218383836</v>
      </c>
    </row>
    <row r="202" spans="1:11" ht="9.6" customHeight="1" x14ac:dyDescent="0.2">
      <c r="A202" s="10" t="str">
        <f ca="1"/>
        <v>27000 - EQUIPAMENTOS DE ESCRITÓRIO</v>
      </c>
      <c r="B202" s="10">
        <f ca="1">IF(OR(A202="",A202=0),"",LARGE($B$8:B201,1)+1)</f>
        <v>194</v>
      </c>
      <c r="C202" s="7"/>
      <c r="D202" s="279">
        <f ca="1">IF(A202="","",COUNTIF(Orçamento!P:P,A202))</f>
        <v>0</v>
      </c>
      <c r="E202" s="280" t="str">
        <f ca="1">IFERROR(IF(A202="","",_xlfn.XLOOKUP(A202,'ABC Insumos Apoio'!C:C,'ABC Insumos Apoio'!A:A)),"")</f>
        <v>EQUIPAMENTOS DE ESCRITÓRIO</v>
      </c>
      <c r="F202" s="281" t="str">
        <f ca="1">IFERROR(IF(A202="","",_xlfn.XLOOKUP(E202,Insumos!A:A,Insumos!B:B)),"")</f>
        <v>VB</v>
      </c>
      <c r="G202" s="282">
        <f ca="1">IFERROR(IF(A202="","",SUMIF(Orçamento!P:P,E202,Orçamento!X:X)),"")</f>
        <v>1</v>
      </c>
      <c r="H202" s="283">
        <f ca="1">IFERROR(IF(A202="","",_xlfn.XLOOKUP(E202,Insumos!A:A,Insumos!C:C)),"")</f>
        <v>27000</v>
      </c>
      <c r="I202" s="283">
        <f t="shared" ca="1" si="10"/>
        <v>27000</v>
      </c>
      <c r="J202" s="284">
        <f t="shared" ca="1" si="11"/>
        <v>3.8733961645221007E-3</v>
      </c>
      <c r="K202" s="284">
        <f t="shared" ref="K202:K265" ca="1" si="12">IF(I202="","",J202+K201)</f>
        <v>0.52365158834836045</v>
      </c>
    </row>
    <row r="203" spans="1:11" ht="9.6" customHeight="1" x14ac:dyDescent="0.2">
      <c r="A203" s="10" t="str">
        <f ca="1"/>
        <v>26970 - INSTALACOES PROVISORIAS DE CANTEIRO</v>
      </c>
      <c r="B203" s="10">
        <f ca="1">IF(OR(A203="",A203=0),"",LARGE($B$8:B202,1)+1)</f>
        <v>195</v>
      </c>
      <c r="C203" s="7"/>
      <c r="D203" s="279">
        <f ca="1">IF(A203="","",COUNTIF(Orçamento!P:P,A203))</f>
        <v>0</v>
      </c>
      <c r="E203" s="280" t="str">
        <f ca="1">IFERROR(IF(A203="","",_xlfn.XLOOKUP(A203,'ABC Insumos Apoio'!C:C,'ABC Insumos Apoio'!A:A)),"")</f>
        <v>INSTALACOES PROVISORIAS DE CANTEIRO</v>
      </c>
      <c r="F203" s="281" t="str">
        <f ca="1">IFERROR(IF(A203="","",_xlfn.XLOOKUP(E203,Insumos!A:A,Insumos!B:B)),"")</f>
        <v>VB</v>
      </c>
      <c r="G203" s="282">
        <f ca="1">IFERROR(IF(A203="","",SUMIF(Orçamento!P:P,E203,Orçamento!X:X)),"")</f>
        <v>1</v>
      </c>
      <c r="H203" s="283">
        <f ca="1">IFERROR(IF(A203="","",_xlfn.XLOOKUP(E203,Insumos!A:A,Insumos!C:C)),"")</f>
        <v>26970</v>
      </c>
      <c r="I203" s="283">
        <f t="shared" ca="1" si="10"/>
        <v>26970</v>
      </c>
      <c r="J203" s="284">
        <f t="shared" ca="1" si="11"/>
        <v>3.8690923910059652E-3</v>
      </c>
      <c r="K203" s="284">
        <f t="shared" ca="1" si="12"/>
        <v>0.52752068073936642</v>
      </c>
    </row>
    <row r="204" spans="1:11" ht="9.6" customHeight="1" x14ac:dyDescent="0.2">
      <c r="A204" s="10" t="str">
        <f ca="1"/>
        <v>2696,1 - TELA AMARRAÇÃO MALHA 15 X 15MM - 7,5 X 50CM D= 1,24MM</v>
      </c>
      <c r="B204" s="10">
        <f ca="1">IF(OR(A204="",A204=0),"",LARGE($B$8:B203,1)+1)</f>
        <v>196</v>
      </c>
      <c r="C204" s="7"/>
      <c r="D204" s="279">
        <f ca="1">IF(A204="","",COUNTIF(Orçamento!P:P,A204))</f>
        <v>0</v>
      </c>
      <c r="E204" s="280" t="str">
        <f ca="1">IFERROR(IF(A204="","",_xlfn.XLOOKUP(A204,'ABC Insumos Apoio'!C:C,'ABC Insumos Apoio'!A:A)),"")</f>
        <v>TELA AMARRAÇÃO MALHA 15 X 15MM - 7,5 X 50CM D= 1,24MM</v>
      </c>
      <c r="F204" s="281" t="str">
        <f ca="1">IFERROR(IF(A204="","",_xlfn.XLOOKUP(E204,Insumos!A:A,Insumos!B:B)),"")</f>
        <v>UN</v>
      </c>
      <c r="G204" s="282">
        <f ca="1">IFERROR(IF(A204="","",SUMIF(Orçamento!P:P,E204,Orçamento!X:X)),"")</f>
        <v>2451</v>
      </c>
      <c r="H204" s="283">
        <f ca="1">IFERROR(IF(A204="","",_xlfn.XLOOKUP(E204,Insumos!A:A,Insumos!C:C)),"")</f>
        <v>1.1000000000000001</v>
      </c>
      <c r="I204" s="283">
        <f t="shared" ca="1" si="10"/>
        <v>2696.1000000000004</v>
      </c>
      <c r="J204" s="284">
        <f t="shared" ca="1" si="11"/>
        <v>3.8678012589511246E-4</v>
      </c>
      <c r="K204" s="284">
        <f t="shared" ca="1" si="12"/>
        <v>0.52790746086526152</v>
      </c>
    </row>
    <row r="205" spans="1:11" ht="9.6" customHeight="1" x14ac:dyDescent="0.2">
      <c r="A205" s="10" t="str">
        <f ca="1"/>
        <v>26939,03 - MAO DE OBRA PARA IMPERMEABILIZACAO COM ARGAMASSA POLIMERICA</v>
      </c>
      <c r="B205" s="10">
        <f ca="1">IF(OR(A205="",A205=0),"",LARGE($B$8:B204,1)+1)</f>
        <v>197</v>
      </c>
      <c r="C205" s="7"/>
      <c r="D205" s="279">
        <f ca="1">IF(A205="","",COUNTIF(Orçamento!P:P,A205))</f>
        <v>0</v>
      </c>
      <c r="E205" s="280" t="str">
        <f ca="1">IFERROR(IF(A205="","",_xlfn.XLOOKUP(A205,'ABC Insumos Apoio'!C:C,'ABC Insumos Apoio'!A:A)),"")</f>
        <v>MAO DE OBRA PARA IMPERMEABILIZACAO COM ARGAMASSA POLIMERICA</v>
      </c>
      <c r="F205" s="281" t="str">
        <f ca="1">IFERROR(IF(A205="","",_xlfn.XLOOKUP(E205,Insumos!A:A,Insumos!B:B)),"")</f>
        <v>M2</v>
      </c>
      <c r="G205" s="282">
        <f ca="1">IFERROR(IF(A205="","",SUMIF(Orçamento!P:P,E205,Orçamento!X:X)),"")</f>
        <v>798.43</v>
      </c>
      <c r="H205" s="283">
        <f ca="1">IFERROR(IF(A205="","",_xlfn.XLOOKUP(E205,Insumos!A:A,Insumos!C:C)),"")</f>
        <v>33.74</v>
      </c>
      <c r="I205" s="283">
        <f t="shared" ca="1" si="10"/>
        <v>26939.028200000001</v>
      </c>
      <c r="J205" s="284">
        <f t="shared" ca="1" si="11"/>
        <v>3.86464920391973E-3</v>
      </c>
      <c r="K205" s="284">
        <f t="shared" ca="1" si="12"/>
        <v>0.53177211006918124</v>
      </c>
    </row>
    <row r="206" spans="1:11" ht="9.6" customHeight="1" x14ac:dyDescent="0.2">
      <c r="A206" s="10" t="str">
        <f ca="1"/>
        <v>26854,79 - MADEIRA PINUS/SIMILAR - PONTALETE 75X75MM NBR 11700/15696</v>
      </c>
      <c r="B206" s="10">
        <f ca="1">IF(OR(A206="",A206=0),"",LARGE($B$8:B205,1)+1)</f>
        <v>198</v>
      </c>
      <c r="C206" s="7"/>
      <c r="D206" s="279">
        <f ca="1">IF(A206="","",COUNTIF(Orçamento!P:P,A206))</f>
        <v>0</v>
      </c>
      <c r="E206" s="280" t="str">
        <f ca="1">IFERROR(IF(A206="","",_xlfn.XLOOKUP(A206,'ABC Insumos Apoio'!C:C,'ABC Insumos Apoio'!A:A)),"")</f>
        <v>MADEIRA PINUS/SIMILAR - PONTALETE 75X75MM NBR 11700/15696</v>
      </c>
      <c r="F206" s="281" t="str">
        <f ca="1">IFERROR(IF(A206="","",_xlfn.XLOOKUP(E206,Insumos!A:A,Insumos!B:B)),"")</f>
        <v>M</v>
      </c>
      <c r="G206" s="282">
        <f ca="1">IFERROR(IF(A206="","",SUMIF(Orçamento!P:P,E206,Orçamento!X:X)),"")</f>
        <v>3836.3983350236517</v>
      </c>
      <c r="H206" s="283">
        <f ca="1">IFERROR(IF(A206="","",_xlfn.XLOOKUP(E206,Insumos!A:A,Insumos!C:C)),"")</f>
        <v>7</v>
      </c>
      <c r="I206" s="283">
        <f t="shared" ca="1" si="10"/>
        <v>26854.788345165562</v>
      </c>
      <c r="J206" s="284">
        <f t="shared" ca="1" si="11"/>
        <v>3.8525642287117442E-3</v>
      </c>
      <c r="K206" s="284">
        <f t="shared" ca="1" si="12"/>
        <v>0.53562467429789296</v>
      </c>
    </row>
    <row r="207" spans="1:11" ht="9.6" customHeight="1" x14ac:dyDescent="0.2">
      <c r="A207" s="10" t="str">
        <f ca="1"/>
        <v>268,49 - PARAFUSO ACO CARBONO CAB. SEXTAVADA ROSCA BROCANTE 1/4"X3/4"</v>
      </c>
      <c r="B207" s="10">
        <f ca="1">IF(OR(A207="",A207=0),"",LARGE($B$8:B206,1)+1)</f>
        <v>199</v>
      </c>
      <c r="C207" s="7"/>
      <c r="D207" s="279">
        <f ca="1">IF(A207="","",COUNTIF(Orçamento!P:P,A207))</f>
        <v>0</v>
      </c>
      <c r="E207" s="280" t="str">
        <f ca="1">IFERROR(IF(A207="","",_xlfn.XLOOKUP(A207,'ABC Insumos Apoio'!C:C,'ABC Insumos Apoio'!A:A)),"")</f>
        <v>PARAFUSO ACO CARBONO CAB. SEXTAVADA ROSCA BROCANTE 1/4"X3/4"</v>
      </c>
      <c r="F207" s="281" t="str">
        <f ca="1">IFERROR(IF(A207="","",_xlfn.XLOOKUP(E207,Insumos!A:A,Insumos!B:B)),"")</f>
        <v>UN</v>
      </c>
      <c r="G207" s="282">
        <f ca="1">IFERROR(IF(A207="","",SUMIF(Orçamento!P:P,E207,Orçamento!X:X)),"")</f>
        <v>767.10799999999995</v>
      </c>
      <c r="H207" s="283">
        <f ca="1">IFERROR(IF(A207="","",_xlfn.XLOOKUP(E207,Insumos!A:A,Insumos!C:C)),"")</f>
        <v>0.35</v>
      </c>
      <c r="I207" s="283">
        <f t="shared" ca="1" si="10"/>
        <v>268.48779999999999</v>
      </c>
      <c r="J207" s="284">
        <f t="shared" ca="1" si="11"/>
        <v>3.8517022768184328E-5</v>
      </c>
      <c r="K207" s="284">
        <f t="shared" ca="1" si="12"/>
        <v>0.53566319132066109</v>
      </c>
    </row>
    <row r="208" spans="1:11" ht="9.6" customHeight="1" x14ac:dyDescent="0.2">
      <c r="A208" s="10" t="str">
        <f ca="1"/>
        <v>2643,17 - GR1 - Gradil - 4,14X1,50</v>
      </c>
      <c r="B208" s="10">
        <f ca="1">IF(OR(A208="",A208=0),"",LARGE($B$8:B207,1)+1)</f>
        <v>200</v>
      </c>
      <c r="C208" s="7"/>
      <c r="D208" s="279">
        <f ca="1">IF(A208="","",COUNTIF(Orçamento!P:P,A208))</f>
        <v>0</v>
      </c>
      <c r="E208" s="280" t="str">
        <f ca="1">IFERROR(IF(A208="","",_xlfn.XLOOKUP(A208,'ABC Insumos Apoio'!C:C,'ABC Insumos Apoio'!A:A)),"")</f>
        <v>GR1 - Gradil - 4,14X1,50</v>
      </c>
      <c r="F208" s="281" t="str">
        <f ca="1">IFERROR(IF(A208="","",_xlfn.XLOOKUP(E208,Insumos!A:A,Insumos!B:B)),"")</f>
        <v>m2</v>
      </c>
      <c r="G208" s="282">
        <f ca="1">IFERROR(IF(A208="","",SUMIF(Orçamento!P:P,E208,Orçamento!X:X)),"")</f>
        <v>6.2099999999999991</v>
      </c>
      <c r="H208" s="283">
        <f ca="1">IFERROR(IF(A208="","",_xlfn.XLOOKUP(E208,Insumos!A:A,Insumos!C:C)),"")</f>
        <v>425.63123993558781</v>
      </c>
      <c r="I208" s="283">
        <f t="shared" ca="1" si="10"/>
        <v>2643.17</v>
      </c>
      <c r="J208" s="284">
        <f t="shared" ca="1" si="11"/>
        <v>3.7918683482147708E-4</v>
      </c>
      <c r="K208" s="284">
        <f t="shared" ca="1" si="12"/>
        <v>0.53604237815548261</v>
      </c>
    </row>
    <row r="209" spans="1:11" ht="9.6" customHeight="1" x14ac:dyDescent="0.2">
      <c r="A209" s="10" t="str">
        <f ca="1"/>
        <v>2640 - SERVICO LOCACAO/TRANSPORTE/DESCARTE CACAMBA 5M3 - RESIDUOS CLASSE C</v>
      </c>
      <c r="B209" s="10">
        <f ca="1">IF(OR(A209="",A209=0),"",LARGE($B$8:B208,1)+1)</f>
        <v>201</v>
      </c>
      <c r="C209" s="7"/>
      <c r="D209" s="279">
        <f ca="1">IF(A209="","",COUNTIF(Orçamento!P:P,A209))</f>
        <v>0</v>
      </c>
      <c r="E209" s="280" t="str">
        <f ca="1">IFERROR(IF(A209="","",_xlfn.XLOOKUP(A209,'ABC Insumos Apoio'!C:C,'ABC Insumos Apoio'!A:A)),"")</f>
        <v>SERVICO LOCACAO/TRANSPORTE/DESCARTE CACAMBA 5M3 - RESIDUOS CLASSE C</v>
      </c>
      <c r="F209" s="281" t="str">
        <f ca="1">IFERROR(IF(A209="","",_xlfn.XLOOKUP(E209,Insumos!A:A,Insumos!B:B)),"")</f>
        <v>UN</v>
      </c>
      <c r="G209" s="282">
        <f ca="1">IFERROR(IF(A209="","",SUMIF(Orçamento!P:P,E209,Orçamento!X:X)),"")</f>
        <v>6.6000000000000014</v>
      </c>
      <c r="H209" s="283">
        <f ca="1">IFERROR(IF(A209="","",_xlfn.XLOOKUP(E209,Insumos!A:A,Insumos!C:C)),"")</f>
        <v>400</v>
      </c>
      <c r="I209" s="283">
        <f t="shared" ca="1" si="10"/>
        <v>2640.0000000000005</v>
      </c>
      <c r="J209" s="284">
        <f t="shared" ca="1" si="11"/>
        <v>3.7873206941993882E-4</v>
      </c>
      <c r="K209" s="284">
        <f t="shared" ca="1" si="12"/>
        <v>0.53642111022490258</v>
      </c>
    </row>
    <row r="210" spans="1:11" ht="9.6" customHeight="1" x14ac:dyDescent="0.2">
      <c r="A210" s="10" t="str">
        <f ca="1"/>
        <v>2639,22 - INSTALAÇÕES AGUA PLUVIAIS - TERREO</v>
      </c>
      <c r="B210" s="10">
        <f ca="1">IF(OR(A210="",A210=0),"",LARGE($B$8:B209,1)+1)</f>
        <v>202</v>
      </c>
      <c r="C210" s="7"/>
      <c r="D210" s="279">
        <f ca="1">IF(A210="","",COUNTIF(Orçamento!P:P,A210))</f>
        <v>0</v>
      </c>
      <c r="E210" s="280" t="str">
        <f ca="1">IFERROR(IF(A210="","",_xlfn.XLOOKUP(A210,'ABC Insumos Apoio'!C:C,'ABC Insumos Apoio'!A:A)),"")</f>
        <v>INSTALAÇÕES AGUA PLUVIAIS - TERREO</v>
      </c>
      <c r="F210" s="281" t="str">
        <f ca="1">IFERROR(IF(A210="","",_xlfn.XLOOKUP(E210,Insumos!A:A,Insumos!B:B)),"")</f>
        <v>UN</v>
      </c>
      <c r="G210" s="282">
        <f ca="1">IFERROR(IF(A210="","",SUMIF(Orçamento!P:P,E210,Orçamento!X:X)),"")</f>
        <v>1</v>
      </c>
      <c r="H210" s="283">
        <f ca="1">IFERROR(IF(A210="","",_xlfn.XLOOKUP(E210,Insumos!A:A,Insumos!C:C)),"")</f>
        <v>2639.2162263076693</v>
      </c>
      <c r="I210" s="283">
        <f t="shared" ca="1" si="10"/>
        <v>2639.2162263076693</v>
      </c>
      <c r="J210" s="284">
        <f t="shared" ca="1" si="11"/>
        <v>3.7861962993794882E-4</v>
      </c>
      <c r="K210" s="284">
        <f t="shared" ca="1" si="12"/>
        <v>0.53679972985484048</v>
      </c>
    </row>
    <row r="211" spans="1:11" ht="9.6" customHeight="1" x14ac:dyDescent="0.2">
      <c r="A211" s="10" t="str">
        <f ca="1"/>
        <v>2588,58 - Taxa Aprovação e legalização elétrico</v>
      </c>
      <c r="B211" s="10">
        <f ca="1">IF(OR(A211="",A211=0),"",LARGE($B$8:B210,1)+1)</f>
        <v>203</v>
      </c>
      <c r="C211" s="7"/>
      <c r="D211" s="279">
        <f ca="1">IF(A211="","",COUNTIF(Orçamento!P:P,A211))</f>
        <v>0</v>
      </c>
      <c r="E211" s="280" t="str">
        <f ca="1">IFERROR(IF(A211="","",_xlfn.XLOOKUP(A211,'ABC Insumos Apoio'!C:C,'ABC Insumos Apoio'!A:A)),"")</f>
        <v>Taxa Aprovação e legalização elétrico</v>
      </c>
      <c r="F211" s="281" t="str">
        <f ca="1">IFERROR(IF(A211="","",_xlfn.XLOOKUP(E211,Insumos!A:A,Insumos!B:B)),"")</f>
        <v>VB</v>
      </c>
      <c r="G211" s="282">
        <f ca="1">IFERROR(IF(A211="","",SUMIF(Orçamento!P:P,E211,Orçamento!X:X)),"")</f>
        <v>1</v>
      </c>
      <c r="H211" s="283">
        <f ca="1">IFERROR(IF(A211="","",_xlfn.XLOOKUP(E211,Insumos!A:A,Insumos!C:C)),"")</f>
        <v>2588.5732803442297</v>
      </c>
      <c r="I211" s="283">
        <f t="shared" ca="1" si="10"/>
        <v>2588.5732803442297</v>
      </c>
      <c r="J211" s="284">
        <f t="shared" ca="1" si="11"/>
        <v>3.7135443761739746E-4</v>
      </c>
      <c r="K211" s="284">
        <f t="shared" ca="1" si="12"/>
        <v>0.53717108429245786</v>
      </c>
    </row>
    <row r="212" spans="1:11" ht="9.6" customHeight="1" x14ac:dyDescent="0.2">
      <c r="A212" s="10" t="str">
        <f ca="1"/>
        <v>2584,17 - QUADROS E DISJUNTORES - PAVIMENTO TECNICO</v>
      </c>
      <c r="B212" s="10">
        <f ca="1">IF(OR(A212="",A212=0),"",LARGE($B$8:B211,1)+1)</f>
        <v>204</v>
      </c>
      <c r="C212" s="7"/>
      <c r="D212" s="279">
        <f ca="1">IF(A212="","",COUNTIF(Orçamento!P:P,A212))</f>
        <v>0</v>
      </c>
      <c r="E212" s="280" t="str">
        <f ca="1">IFERROR(IF(A212="","",_xlfn.XLOOKUP(A212,'ABC Insumos Apoio'!C:C,'ABC Insumos Apoio'!A:A)),"")</f>
        <v>QUADROS E DISJUNTORES - PAVIMENTO TECNICO</v>
      </c>
      <c r="F212" s="281" t="str">
        <f ca="1">IFERROR(IF(A212="","",_xlfn.XLOOKUP(E212,Insumos!A:A,Insumos!B:B)),"")</f>
        <v>VB</v>
      </c>
      <c r="G212" s="282">
        <f ca="1">IFERROR(IF(A212="","",SUMIF(Orçamento!P:P,E212,Orçamento!X:X)),"")</f>
        <v>1</v>
      </c>
      <c r="H212" s="283">
        <f ca="1">IFERROR(IF(A212="","",_xlfn.XLOOKUP(E212,Insumos!A:A,Insumos!C:C)),"")</f>
        <v>2584.1691751591188</v>
      </c>
      <c r="I212" s="283">
        <f t="shared" ca="1" si="10"/>
        <v>2584.1691751591188</v>
      </c>
      <c r="J212" s="284">
        <f t="shared" ca="1" si="11"/>
        <v>3.7072262857546558E-4</v>
      </c>
      <c r="K212" s="284">
        <f t="shared" ca="1" si="12"/>
        <v>0.53754180692103337</v>
      </c>
    </row>
    <row r="213" spans="1:11" ht="9.6" customHeight="1" x14ac:dyDescent="0.2">
      <c r="A213" s="10" t="str">
        <f ca="1"/>
        <v>25710,8 - Controle tecnológico da Protensão</v>
      </c>
      <c r="B213" s="10">
        <f ca="1">IF(OR(A213="",A213=0),"",LARGE($B$8:B212,1)+1)</f>
        <v>205</v>
      </c>
      <c r="C213" s="7"/>
      <c r="D213" s="279">
        <f ca="1">IF(A213="","",COUNTIF(Orçamento!P:P,A213))</f>
        <v>0</v>
      </c>
      <c r="E213" s="280" t="str">
        <f ca="1">IFERROR(IF(A213="","",_xlfn.XLOOKUP(A213,'ABC Insumos Apoio'!C:C,'ABC Insumos Apoio'!A:A)),"")</f>
        <v>Controle tecnológico da Protensão</v>
      </c>
      <c r="F213" s="281" t="str">
        <f ca="1">IFERROR(IF(A213="","",_xlfn.XLOOKUP(E213,Insumos!A:A,Insumos!B:B)),"")</f>
        <v>KG</v>
      </c>
      <c r="G213" s="282">
        <f ca="1">IFERROR(IF(A213="","",SUMIF(Orçamento!P:P,E213,Orçamento!X:X)),"")</f>
        <v>3409.92</v>
      </c>
      <c r="H213" s="283">
        <f ca="1">IFERROR(IF(A213="","",_xlfn.XLOOKUP(E213,Insumos!A:A,Insumos!C:C)),"")</f>
        <v>7.54</v>
      </c>
      <c r="I213" s="283">
        <f t="shared" ca="1" si="10"/>
        <v>25710.7968</v>
      </c>
      <c r="J213" s="284">
        <f t="shared" ca="1" si="11"/>
        <v>3.6884482115528555E-3</v>
      </c>
      <c r="K213" s="284">
        <f t="shared" ca="1" si="12"/>
        <v>0.54123025513258627</v>
      </c>
    </row>
    <row r="214" spans="1:11" ht="9.6" customHeight="1" x14ac:dyDescent="0.2">
      <c r="A214" s="10" t="str">
        <f ca="1"/>
        <v>25474,51 - ACO CA-50A 16,00 MM (5/8)</v>
      </c>
      <c r="B214" s="10">
        <f ca="1">IF(OR(A214="",A214=0),"",LARGE($B$8:B213,1)+1)</f>
        <v>206</v>
      </c>
      <c r="C214" s="7"/>
      <c r="D214" s="279">
        <f ca="1">IF(A214="","",COUNTIF(Orçamento!P:P,A214))</f>
        <v>0</v>
      </c>
      <c r="E214" s="280" t="str">
        <f ca="1">IFERROR(IF(A214="","",_xlfn.XLOOKUP(A214,'ABC Insumos Apoio'!C:C,'ABC Insumos Apoio'!A:A)),"")</f>
        <v>ACO CA-50A 16,00 MM (5/8)</v>
      </c>
      <c r="F214" s="281" t="str">
        <f ca="1">IFERROR(IF(A214="","",_xlfn.XLOOKUP(E214,Insumos!A:A,Insumos!B:B)),"")</f>
        <v>KG</v>
      </c>
      <c r="G214" s="282">
        <f ca="1">IFERROR(IF(A214="","",SUMIF(Orçamento!P:P,E214,Orçamento!X:X)),"")</f>
        <v>4898.9424950000002</v>
      </c>
      <c r="H214" s="283">
        <f ca="1">IFERROR(IF(A214="","",_xlfn.XLOOKUP(E214,Insumos!A:A,Insumos!C:C)),"")</f>
        <v>5.2</v>
      </c>
      <c r="I214" s="283">
        <f t="shared" ca="1" si="10"/>
        <v>25474.500974000002</v>
      </c>
      <c r="J214" s="284">
        <f t="shared" ca="1" si="11"/>
        <v>3.6545494209557824E-3</v>
      </c>
      <c r="K214" s="284">
        <f t="shared" ca="1" si="12"/>
        <v>0.54488480455354205</v>
      </c>
    </row>
    <row r="215" spans="1:11" ht="9.6" customHeight="1" x14ac:dyDescent="0.2">
      <c r="A215" s="10" t="str">
        <f ca="1"/>
        <v>253,48 - FITA VEDA ROSCA 18MMX50M NBR 13124</v>
      </c>
      <c r="B215" s="10">
        <f ca="1">IF(OR(A215="",A215=0),"",LARGE($B$8:B214,1)+1)</f>
        <v>207</v>
      </c>
      <c r="C215" s="7"/>
      <c r="D215" s="279">
        <f ca="1">IF(A215="","",COUNTIF(Orçamento!P:P,A215))</f>
        <v>0</v>
      </c>
      <c r="E215" s="280" t="str">
        <f ca="1">IFERROR(IF(A215="","",_xlfn.XLOOKUP(A215,'ABC Insumos Apoio'!C:C,'ABC Insumos Apoio'!A:A)),"")</f>
        <v>FITA VEDA ROSCA 18MMX50M NBR 13124</v>
      </c>
      <c r="F215" s="281" t="str">
        <f ca="1">IFERROR(IF(A215="","",_xlfn.XLOOKUP(E215,Insumos!A:A,Insumos!B:B)),"")</f>
        <v>UN</v>
      </c>
      <c r="G215" s="282">
        <f ca="1">IFERROR(IF(A215="","",SUMIF(Orçamento!P:P,E215,Orçamento!X:X)),"")</f>
        <v>38.640000000000008</v>
      </c>
      <c r="H215" s="283">
        <f ca="1">IFERROR(IF(A215="","",_xlfn.XLOOKUP(E215,Insumos!A:A,Insumos!C:C)),"")</f>
        <v>6.56</v>
      </c>
      <c r="I215" s="283">
        <f t="shared" ca="1" si="10"/>
        <v>253.47840000000002</v>
      </c>
      <c r="J215" s="284">
        <f t="shared" ca="1" si="11"/>
        <v>3.6363787494414775E-5</v>
      </c>
      <c r="K215" s="284">
        <f t="shared" ca="1" si="12"/>
        <v>0.54492116834103643</v>
      </c>
    </row>
    <row r="216" spans="1:11" ht="9.6" customHeight="1" x14ac:dyDescent="0.2">
      <c r="A216" s="10" t="str">
        <f ca="1"/>
        <v>2528,24 - Taxas de Habite-se</v>
      </c>
      <c r="B216" s="10">
        <f ca="1">IF(OR(A216="",A216=0),"",LARGE($B$8:B215,1)+1)</f>
        <v>208</v>
      </c>
      <c r="C216" s="7"/>
      <c r="D216" s="279">
        <f ca="1">IF(A216="","",COUNTIF(Orçamento!P:P,A216))</f>
        <v>0</v>
      </c>
      <c r="E216" s="280" t="str">
        <f ca="1">IFERROR(IF(A216="","",_xlfn.XLOOKUP(A216,'ABC Insumos Apoio'!C:C,'ABC Insumos Apoio'!A:A)),"")</f>
        <v>Taxas de Habite-se</v>
      </c>
      <c r="F216" s="281" t="str">
        <f ca="1">IFERROR(IF(A216="","",_xlfn.XLOOKUP(E216,Insumos!A:A,Insumos!B:B)),"")</f>
        <v>VB</v>
      </c>
      <c r="G216" s="282">
        <f ca="1">IFERROR(IF(A216="","",SUMIF(Orçamento!P:P,E216,Orçamento!X:X)),"")</f>
        <v>1</v>
      </c>
      <c r="H216" s="283">
        <f ca="1">IFERROR(IF(A216="","",_xlfn.XLOOKUP(E216,Insumos!A:A,Insumos!C:C)),"")</f>
        <v>2528.2336255662462</v>
      </c>
      <c r="I216" s="283">
        <f t="shared" ca="1" si="10"/>
        <v>2528.2336255662462</v>
      </c>
      <c r="J216" s="284">
        <f t="shared" ca="1" si="11"/>
        <v>3.6269816401052234E-4</v>
      </c>
      <c r="K216" s="284">
        <f t="shared" ca="1" si="12"/>
        <v>0.54528386650504701</v>
      </c>
    </row>
    <row r="217" spans="1:11" ht="9.6" customHeight="1" x14ac:dyDescent="0.2">
      <c r="A217" s="10" t="str">
        <f ca="1"/>
        <v>2510,73 - REJUNTE FLEXIVEL CIMENTICIO TIPO II NBR 14992</v>
      </c>
      <c r="B217" s="10">
        <f ca="1">IF(OR(A217="",A217=0),"",LARGE($B$8:B216,1)+1)</f>
        <v>209</v>
      </c>
      <c r="C217" s="7"/>
      <c r="D217" s="279">
        <f ca="1">IF(A217="","",COUNTIF(Orçamento!P:P,A217))</f>
        <v>0</v>
      </c>
      <c r="E217" s="280" t="str">
        <f ca="1">IFERROR(IF(A217="","",_xlfn.XLOOKUP(A217,'ABC Insumos Apoio'!C:C,'ABC Insumos Apoio'!A:A)),"")</f>
        <v>REJUNTE FLEXIVEL CIMENTICIO TIPO II NBR 14992</v>
      </c>
      <c r="F217" s="281" t="str">
        <f ca="1">IFERROR(IF(A217="","",_xlfn.XLOOKUP(E217,Insumos!A:A,Insumos!B:B)),"")</f>
        <v>KG</v>
      </c>
      <c r="G217" s="282">
        <f ca="1">IFERROR(IF(A217="","",SUMIF(Orçamento!P:P,E217,Orçamento!X:X)),"")</f>
        <v>597.79198334999967</v>
      </c>
      <c r="H217" s="283">
        <f ca="1">IFERROR(IF(A217="","",_xlfn.XLOOKUP(E217,Insumos!A:A,Insumos!C:C)),"")</f>
        <v>4.2</v>
      </c>
      <c r="I217" s="283">
        <f t="shared" ca="1" si="10"/>
        <v>2510.7263300699988</v>
      </c>
      <c r="J217" s="284">
        <f t="shared" ca="1" si="11"/>
        <v>3.6018658285399198E-4</v>
      </c>
      <c r="K217" s="284">
        <f t="shared" ca="1" si="12"/>
        <v>0.54564405308790098</v>
      </c>
    </row>
    <row r="218" spans="1:11" ht="9.6" customHeight="1" x14ac:dyDescent="0.2">
      <c r="A218" s="10" t="str">
        <f ca="1"/>
        <v>25045,24 - RODAPÉ EM POLIESTIRENO PU 10CM</v>
      </c>
      <c r="B218" s="10">
        <f ca="1">IF(OR(A218="",A218=0),"",LARGE($B$8:B217,1)+1)</f>
        <v>210</v>
      </c>
      <c r="C218" s="7"/>
      <c r="D218" s="279">
        <f ca="1">IF(A218="","",COUNTIF(Orçamento!P:P,A218))</f>
        <v>0</v>
      </c>
      <c r="E218" s="280" t="str">
        <f ca="1">IFERROR(IF(A218="","",_xlfn.XLOOKUP(A218,'ABC Insumos Apoio'!C:C,'ABC Insumos Apoio'!A:A)),"")</f>
        <v>RODAPÉ EM POLIESTIRENO PU 10CM</v>
      </c>
      <c r="F218" s="281" t="str">
        <f ca="1">IFERROR(IF(A218="","",_xlfn.XLOOKUP(E218,Insumos!A:A,Insumos!B:B)),"")</f>
        <v>M</v>
      </c>
      <c r="G218" s="282">
        <f ca="1">IFERROR(IF(A218="","",SUMIF(Orçamento!P:P,E218,Orçamento!X:X)),"")</f>
        <v>615.36200000000008</v>
      </c>
      <c r="H218" s="283">
        <f ca="1">IFERROR(IF(A218="","",_xlfn.XLOOKUP(E218,Insumos!A:A,Insumos!C:C)),"")</f>
        <v>40.700000000000003</v>
      </c>
      <c r="I218" s="283">
        <f t="shared" ca="1" si="10"/>
        <v>25045.233400000005</v>
      </c>
      <c r="J218" s="284">
        <f t="shared" ca="1" si="11"/>
        <v>3.592967073745216E-3</v>
      </c>
      <c r="K218" s="284">
        <f t="shared" ca="1" si="12"/>
        <v>0.54923702016164622</v>
      </c>
    </row>
    <row r="219" spans="1:11" ht="9.6" customHeight="1" x14ac:dyDescent="0.2">
      <c r="A219" s="10" t="str">
        <f ca="1"/>
        <v>250,54 - BUCHA T PARA RODAPE</v>
      </c>
      <c r="B219" s="10">
        <f ca="1">IF(OR(A219="",A219=0),"",LARGE($B$8:B218,1)+1)</f>
        <v>211</v>
      </c>
      <c r="C219" s="7"/>
      <c r="D219" s="279">
        <f ca="1">IF(A219="","",COUNTIF(Orçamento!P:P,A219))</f>
        <v>0</v>
      </c>
      <c r="E219" s="280" t="str">
        <f ca="1">IFERROR(IF(A219="","",_xlfn.XLOOKUP(A219,'ABC Insumos Apoio'!C:C,'ABC Insumos Apoio'!A:A)),"")</f>
        <v>BUCHA T PARA RODAPE</v>
      </c>
      <c r="F219" s="281" t="str">
        <f ca="1">IFERROR(IF(A219="","",_xlfn.XLOOKUP(E219,Insumos!A:A,Insumos!B:B)),"")</f>
        <v>UN</v>
      </c>
      <c r="G219" s="282">
        <f ca="1">IFERROR(IF(A219="","",SUMIF(Orçamento!P:P,E219,Orçamento!X:X)),"")</f>
        <v>1595.75</v>
      </c>
      <c r="H219" s="283">
        <f ca="1">IFERROR(IF(A219="","",_xlfn.XLOOKUP(E219,Insumos!A:A,Insumos!C:C)),"")</f>
        <v>0.157</v>
      </c>
      <c r="I219" s="283">
        <f t="shared" ca="1" si="10"/>
        <v>250.53274999999999</v>
      </c>
      <c r="J219" s="284">
        <f t="shared" ca="1" si="11"/>
        <v>3.5941207145821269E-5</v>
      </c>
      <c r="K219" s="284">
        <f t="shared" ca="1" si="12"/>
        <v>0.549272961368792</v>
      </c>
    </row>
    <row r="220" spans="1:11" ht="9.6" customHeight="1" x14ac:dyDescent="0.2">
      <c r="A220" s="10" t="str">
        <f ca="1"/>
        <v>24303,98 - GRANITO POLIDO</v>
      </c>
      <c r="B220" s="10">
        <f ca="1">IF(OR(A220="",A220=0),"",LARGE($B$8:B219,1)+1)</f>
        <v>212</v>
      </c>
      <c r="C220" s="7"/>
      <c r="D220" s="279">
        <f ca="1">IF(A220="","",COUNTIF(Orçamento!P:P,A220))</f>
        <v>0</v>
      </c>
      <c r="E220" s="280" t="str">
        <f ca="1">IFERROR(IF(A220="","",_xlfn.XLOOKUP(A220,'ABC Insumos Apoio'!C:C,'ABC Insumos Apoio'!A:A)),"")</f>
        <v>GRANITO POLIDO</v>
      </c>
      <c r="F220" s="281" t="str">
        <f ca="1">IFERROR(IF(A220="","",_xlfn.XLOOKUP(E220,Insumos!A:A,Insumos!B:B)),"")</f>
        <v>M2</v>
      </c>
      <c r="G220" s="282">
        <f ca="1">IFERROR(IF(A220="","",SUMIF(Orçamento!P:P,E220,Orçamento!X:X)),"")</f>
        <v>38.093999999999994</v>
      </c>
      <c r="H220" s="283">
        <f ca="1">IFERROR(IF(A220="","",_xlfn.XLOOKUP(E220,Insumos!A:A,Insumos!C:C)),"")</f>
        <v>638</v>
      </c>
      <c r="I220" s="283">
        <f t="shared" ca="1" si="10"/>
        <v>24303.971999999998</v>
      </c>
      <c r="J220" s="284">
        <f t="shared" ca="1" si="11"/>
        <v>3.4866263676834267E-3</v>
      </c>
      <c r="K220" s="284">
        <f t="shared" ca="1" si="12"/>
        <v>0.55275958773647538</v>
      </c>
    </row>
    <row r="221" spans="1:11" ht="9.6" customHeight="1" x14ac:dyDescent="0.2">
      <c r="A221" s="10" t="str">
        <f ca="1"/>
        <v>24258,96 - ELETRODUTOS, CAIXAS E ELETROCALHAS - TIPO (x5)</v>
      </c>
      <c r="B221" s="10">
        <f ca="1">IF(OR(A221="",A221=0),"",LARGE($B$8:B220,1)+1)</f>
        <v>213</v>
      </c>
      <c r="C221" s="7"/>
      <c r="D221" s="279">
        <f ca="1">IF(A221="","",COUNTIF(Orçamento!P:P,A221))</f>
        <v>0</v>
      </c>
      <c r="E221" s="280" t="str">
        <f ca="1">IFERROR(IF(A221="","",_xlfn.XLOOKUP(A221,'ABC Insumos Apoio'!C:C,'ABC Insumos Apoio'!A:A)),"")</f>
        <v>ELETRODUTOS, CAIXAS E ELETROCALHAS - TIPO (x5)</v>
      </c>
      <c r="F221" s="281" t="str">
        <f ca="1">IFERROR(IF(A221="","",_xlfn.XLOOKUP(E221,Insumos!A:A,Insumos!B:B)),"")</f>
        <v>VB</v>
      </c>
      <c r="G221" s="282">
        <f ca="1">IFERROR(IF(A221="","",SUMIF(Orçamento!P:P,E221,Orçamento!X:X)),"")</f>
        <v>1</v>
      </c>
      <c r="H221" s="283">
        <f ca="1">IFERROR(IF(A221="","",_xlfn.XLOOKUP(E221,Insumos!A:A,Insumos!C:C)),"")</f>
        <v>24258.952557144221</v>
      </c>
      <c r="I221" s="283">
        <f t="shared" ca="1" si="10"/>
        <v>24258.952557144221</v>
      </c>
      <c r="J221" s="284">
        <f t="shared" ca="1" si="11"/>
        <v>3.4801679181542975E-3</v>
      </c>
      <c r="K221" s="284">
        <f t="shared" ca="1" si="12"/>
        <v>0.55623975565462969</v>
      </c>
    </row>
    <row r="222" spans="1:11" ht="9.6" customHeight="1" x14ac:dyDescent="0.2">
      <c r="A222" s="10" t="str">
        <f ca="1"/>
        <v>24150 - MAO DE OBRA PARA INSTALAÇÃO DE COBERTURA/CALHAS E RUFOS</v>
      </c>
      <c r="B222" s="10">
        <f ca="1">IF(OR(A222="",A222=0),"",LARGE($B$8:B221,1)+1)</f>
        <v>214</v>
      </c>
      <c r="C222" s="7"/>
      <c r="D222" s="279">
        <f ca="1">IF(A222="","",COUNTIF(Orçamento!P:P,A222))</f>
        <v>0</v>
      </c>
      <c r="E222" s="280" t="str">
        <f ca="1">IFERROR(IF(A222="","",_xlfn.XLOOKUP(A222,'ABC Insumos Apoio'!C:C,'ABC Insumos Apoio'!A:A)),"")</f>
        <v>MAO DE OBRA PARA INSTALAÇÃO DE COBERTURA/CALHAS E RUFOS</v>
      </c>
      <c r="F222" s="281" t="str">
        <f ca="1">IFERROR(IF(A222="","",_xlfn.XLOOKUP(E222,Insumos!A:A,Insumos!B:B)),"")</f>
        <v>M2</v>
      </c>
      <c r="G222" s="282">
        <f ca="1">IFERROR(IF(A222="","",SUMIF(Orçamento!P:P,E222,Orçamento!X:X)),"")</f>
        <v>65.67</v>
      </c>
      <c r="H222" s="283">
        <f ca="1">IFERROR(IF(A222="","",_xlfn.XLOOKUP(E222,Insumos!A:A,Insumos!C:C)),"")</f>
        <v>367.74783005938787</v>
      </c>
      <c r="I222" s="283">
        <f t="shared" ca="1" si="10"/>
        <v>24150</v>
      </c>
      <c r="J222" s="284">
        <f t="shared" ca="1" si="11"/>
        <v>3.4645376804892125E-3</v>
      </c>
      <c r="K222" s="284">
        <f t="shared" ca="1" si="12"/>
        <v>0.55970429333511895</v>
      </c>
    </row>
    <row r="223" spans="1:11" ht="9.6" customHeight="1" x14ac:dyDescent="0.2">
      <c r="A223" s="10" t="str">
        <f ca="1"/>
        <v>2415,54 - Manutenção periódica Mini Grua</v>
      </c>
      <c r="B223" s="10">
        <f ca="1">IF(OR(A223="",A223=0),"",LARGE($B$8:B222,1)+1)</f>
        <v>215</v>
      </c>
      <c r="C223" s="7"/>
      <c r="D223" s="279">
        <f ca="1">IF(A223="","",COUNTIF(Orçamento!P:P,A223))</f>
        <v>0</v>
      </c>
      <c r="E223" s="280" t="str">
        <f ca="1">IFERROR(IF(A223="","",_xlfn.XLOOKUP(A223,'ABC Insumos Apoio'!C:C,'ABC Insumos Apoio'!A:A)),"")</f>
        <v>Manutenção periódica Mini Grua</v>
      </c>
      <c r="F223" s="281" t="str">
        <f ca="1">IFERROR(IF(A223="","",_xlfn.XLOOKUP(E223,Insumos!A:A,Insumos!B:B)),"")</f>
        <v>VB</v>
      </c>
      <c r="G223" s="282">
        <f ca="1">IFERROR(IF(A223="","",SUMIF(Orçamento!P:P,E223,Orçamento!X:X)),"")</f>
        <v>8</v>
      </c>
      <c r="H223" s="283">
        <f ca="1">IFERROR(IF(A223="","",_xlfn.XLOOKUP(E223,Insumos!A:A,Insumos!C:C)),"")</f>
        <v>301.94215024203669</v>
      </c>
      <c r="I223" s="283">
        <f t="shared" ca="1" si="10"/>
        <v>2415.5372019362935</v>
      </c>
      <c r="J223" s="284">
        <f t="shared" ca="1" si="11"/>
        <v>3.4653083456446246E-4</v>
      </c>
      <c r="K223" s="284">
        <f t="shared" ca="1" si="12"/>
        <v>0.56005082416968344</v>
      </c>
    </row>
    <row r="224" spans="1:11" ht="9.6" customHeight="1" x14ac:dyDescent="0.2">
      <c r="A224" s="10" t="str">
        <f ca="1"/>
        <v>240,98 - SISAL P/ESTUQUE GESSO NBR 13207/13867</v>
      </c>
      <c r="B224" s="10">
        <f ca="1">IF(OR(A224="",A224=0),"",LARGE($B$8:B223,1)+1)</f>
        <v>216</v>
      </c>
      <c r="C224" s="7"/>
      <c r="D224" s="279">
        <f ca="1">IF(A224="","",COUNTIF(Orçamento!P:P,A224))</f>
        <v>0</v>
      </c>
      <c r="E224" s="280" t="str">
        <f ca="1">IFERROR(IF(A224="","",_xlfn.XLOOKUP(A224,'ABC Insumos Apoio'!C:C,'ABC Insumos Apoio'!A:A)),"")</f>
        <v>SISAL P/ESTUQUE GESSO NBR 13207/13867</v>
      </c>
      <c r="F224" s="281" t="str">
        <f ca="1">IFERROR(IF(A224="","",_xlfn.XLOOKUP(E224,Insumos!A:A,Insumos!B:B)),"")</f>
        <v>KG</v>
      </c>
      <c r="G224" s="282">
        <f ca="1">IFERROR(IF(A224="","",SUMIF(Orçamento!P:P,E224,Orçamento!X:X)),"")</f>
        <v>8.2356800000000003</v>
      </c>
      <c r="H224" s="283">
        <f ca="1">IFERROR(IF(A224="","",_xlfn.XLOOKUP(E224,Insumos!A:A,Insumos!C:C)),"")</f>
        <v>29.26</v>
      </c>
      <c r="I224" s="283">
        <f t="shared" ca="1" si="10"/>
        <v>240.97599680000002</v>
      </c>
      <c r="J224" s="284">
        <f t="shared" ca="1" si="11"/>
        <v>3.4570203768407783E-5</v>
      </c>
      <c r="K224" s="284">
        <f t="shared" ca="1" si="12"/>
        <v>0.56008539437345184</v>
      </c>
    </row>
    <row r="225" spans="1:11" ht="9.6" customHeight="1" x14ac:dyDescent="0.2">
      <c r="A225" s="10" t="str">
        <f ca="1"/>
        <v>240,8 - PARAFUSO ACO CARBONO CAB. CASTELO ARRUELA E BUCHA S08</v>
      </c>
      <c r="B225" s="10">
        <f ca="1">IF(OR(A225="",A225=0),"",LARGE($B$8:B224,1)+1)</f>
        <v>217</v>
      </c>
      <c r="C225" s="7"/>
      <c r="D225" s="279">
        <f ca="1">IF(A225="","",COUNTIF(Orçamento!P:P,A225))</f>
        <v>0</v>
      </c>
      <c r="E225" s="280" t="str">
        <f ca="1">IFERROR(IF(A225="","",_xlfn.XLOOKUP(A225,'ABC Insumos Apoio'!C:C,'ABC Insumos Apoio'!A:A)),"")</f>
        <v>PARAFUSO ACO CARBONO CAB. CASTELO ARRUELA E BUCHA S08</v>
      </c>
      <c r="F225" s="281" t="str">
        <f ca="1">IFERROR(IF(A225="","",_xlfn.XLOOKUP(E225,Insumos!A:A,Insumos!B:B)),"")</f>
        <v>UN</v>
      </c>
      <c r="G225" s="282">
        <f ca="1">IFERROR(IF(A225="","",SUMIF(Orçamento!P:P,E225,Orçamento!X:X)),"")</f>
        <v>172</v>
      </c>
      <c r="H225" s="283">
        <f ca="1">IFERROR(IF(A225="","",_xlfn.XLOOKUP(E225,Insumos!A:A,Insumos!C:C)),"")</f>
        <v>1.4</v>
      </c>
      <c r="I225" s="283">
        <f t="shared" ca="1" si="10"/>
        <v>240.79999999999998</v>
      </c>
      <c r="J225" s="284">
        <f t="shared" ca="1" si="11"/>
        <v>3.4544955422848956E-5</v>
      </c>
      <c r="K225" s="284">
        <f t="shared" ca="1" si="12"/>
        <v>0.56011993932887472</v>
      </c>
    </row>
    <row r="226" spans="1:11" ht="9.6" customHeight="1" x14ac:dyDescent="0.2">
      <c r="A226" s="10" t="str">
        <f ca="1"/>
        <v>23963,74 - GESSO PLACA 600X600X12MM NBR 13207/13867</v>
      </c>
      <c r="B226" s="10">
        <f ca="1">IF(OR(A226="",A226=0),"",LARGE($B$8:B225,1)+1)</f>
        <v>218</v>
      </c>
      <c r="C226" s="7"/>
      <c r="D226" s="279">
        <f ca="1">IF(A226="","",COUNTIF(Orçamento!P:P,A226))</f>
        <v>0</v>
      </c>
      <c r="E226" s="280" t="str">
        <f ca="1">IFERROR(IF(A226="","",_xlfn.XLOOKUP(A226,'ABC Insumos Apoio'!C:C,'ABC Insumos Apoio'!A:A)),"")</f>
        <v>GESSO PLACA 600X600X12MM NBR 13207/13867</v>
      </c>
      <c r="F226" s="281" t="str">
        <f ca="1">IFERROR(IF(A226="","",_xlfn.XLOOKUP(E226,Insumos!A:A,Insumos!B:B)),"")</f>
        <v>UN</v>
      </c>
      <c r="G226" s="282">
        <f ca="1">IFERROR(IF(A226="","",SUMIF(Orçamento!P:P,E226,Orçamento!X:X)),"")</f>
        <v>2859.6339880000005</v>
      </c>
      <c r="H226" s="283">
        <f ca="1">IFERROR(IF(A226="","",_xlfn.XLOOKUP(E226,Insumos!A:A,Insumos!C:C)),"")</f>
        <v>8.3800000000000008</v>
      </c>
      <c r="I226" s="283">
        <f t="shared" ca="1" si="10"/>
        <v>23963.732819440007</v>
      </c>
      <c r="J226" s="284">
        <f t="shared" ca="1" si="11"/>
        <v>3.4378159552019005E-3</v>
      </c>
      <c r="K226" s="284">
        <f t="shared" ca="1" si="12"/>
        <v>0.56355775528407659</v>
      </c>
    </row>
    <row r="227" spans="1:11" ht="9.6" customHeight="1" x14ac:dyDescent="0.2">
      <c r="A227" s="10" t="str">
        <f ca="1"/>
        <v>23839,29 - ACO CA-50A 8,00 MM (5/16)</v>
      </c>
      <c r="B227" s="10">
        <f ca="1">IF(OR(A227="",A227=0),"",LARGE($B$8:B226,1)+1)</f>
        <v>219</v>
      </c>
      <c r="C227" s="7"/>
      <c r="D227" s="279">
        <f ca="1">IF(A227="","",COUNTIF(Orçamento!P:P,A227))</f>
        <v>0</v>
      </c>
      <c r="E227" s="280" t="str">
        <f ca="1">IFERROR(IF(A227="","",_xlfn.XLOOKUP(A227,'ABC Insumos Apoio'!C:C,'ABC Insumos Apoio'!A:A)),"")</f>
        <v>ACO CA-50A 8,00 MM (5/16)</v>
      </c>
      <c r="F227" s="281" t="str">
        <f ca="1">IFERROR(IF(A227="","",_xlfn.XLOOKUP(E227,Insumos!A:A,Insumos!B:B)),"")</f>
        <v>KG</v>
      </c>
      <c r="G227" s="282">
        <f ca="1">IFERROR(IF(A227="","",SUMIF(Orçamento!P:P,E227,Orçamento!X:X)),"")</f>
        <v>4241.8664200000003</v>
      </c>
      <c r="H227" s="283">
        <f ca="1">IFERROR(IF(A227="","",_xlfn.XLOOKUP(E227,Insumos!A:A,Insumos!C:C)),"")</f>
        <v>5.62</v>
      </c>
      <c r="I227" s="283">
        <f t="shared" ca="1" si="10"/>
        <v>23839.2892804</v>
      </c>
      <c r="J227" s="284">
        <f t="shared" ca="1" si="11"/>
        <v>3.4199633949494146E-3</v>
      </c>
      <c r="K227" s="284">
        <f t="shared" ca="1" si="12"/>
        <v>0.56697771867902602</v>
      </c>
    </row>
    <row r="228" spans="1:11" ht="9.6" customHeight="1" x14ac:dyDescent="0.2">
      <c r="A228" s="10" t="str">
        <f ca="1"/>
        <v>23677,58 - SERVICO EMP. - INST. FORRO GESSO</v>
      </c>
      <c r="B228" s="10">
        <f ca="1">IF(OR(A228="",A228=0),"",LARGE($B$8:B227,1)+1)</f>
        <v>220</v>
      </c>
      <c r="C228" s="7"/>
      <c r="D228" s="279">
        <f ca="1">IF(A228="","",COUNTIF(Orçamento!P:P,A228))</f>
        <v>0</v>
      </c>
      <c r="E228" s="280" t="str">
        <f ca="1">IFERROR(IF(A228="","",_xlfn.XLOOKUP(A228,'ABC Insumos Apoio'!C:C,'ABC Insumos Apoio'!A:A)),"")</f>
        <v>SERVICO EMP. - INST. FORRO GESSO</v>
      </c>
      <c r="F228" s="281" t="str">
        <f ca="1">IFERROR(IF(A228="","",_xlfn.XLOOKUP(E228,Insumos!A:A,Insumos!B:B)),"")</f>
        <v>M2</v>
      </c>
      <c r="G228" s="282">
        <f ca="1">IFERROR(IF(A228="","",SUMIF(Orçamento!P:P,E228,Orçamento!X:X)),"")</f>
        <v>1029.46</v>
      </c>
      <c r="H228" s="283">
        <f ca="1">IFERROR(IF(A228="","",_xlfn.XLOOKUP(E228,Insumos!A:A,Insumos!C:C)),"")</f>
        <v>23</v>
      </c>
      <c r="I228" s="283">
        <f t="shared" ca="1" si="10"/>
        <v>23677.58</v>
      </c>
      <c r="J228" s="284">
        <f t="shared" ca="1" si="11"/>
        <v>3.3967647243394522E-3</v>
      </c>
      <c r="K228" s="284">
        <f t="shared" ca="1" si="12"/>
        <v>0.5703744834033655</v>
      </c>
    </row>
    <row r="229" spans="1:11" ht="9.6" customHeight="1" x14ac:dyDescent="0.2">
      <c r="A229" s="10" t="str">
        <f ca="1"/>
        <v>234457,84 - Concreto 35 MPA, brita 1, slump 12+-2</v>
      </c>
      <c r="B229" s="10">
        <f ca="1">IF(OR(A229="",A229=0),"",LARGE($B$8:B228,1)+1)</f>
        <v>221</v>
      </c>
      <c r="C229" s="7"/>
      <c r="D229" s="279">
        <f ca="1">IF(A229="","",COUNTIF(Orçamento!P:P,A229))</f>
        <v>0</v>
      </c>
      <c r="E229" s="280" t="str">
        <f ca="1">IFERROR(IF(A229="","",_xlfn.XLOOKUP(A229,'ABC Insumos Apoio'!C:C,'ABC Insumos Apoio'!A:A)),"")</f>
        <v>Concreto 35 MPA, brita 1, slump 12+-2</v>
      </c>
      <c r="F229" s="281" t="str">
        <f ca="1">IFERROR(IF(A229="","",_xlfn.XLOOKUP(E229,Insumos!A:A,Insumos!B:B)),"")</f>
        <v>M3</v>
      </c>
      <c r="G229" s="282">
        <f ca="1">IFERROR(IF(A229="","",SUMIF(Orçamento!P:P,E229,Orçamento!X:X)),"")</f>
        <v>521.01741398700005</v>
      </c>
      <c r="H229" s="283">
        <f ca="1">IFERROR(IF(A229="","",_xlfn.XLOOKUP(E229,Insumos!A:A,Insumos!C:C)),"")</f>
        <v>450</v>
      </c>
      <c r="I229" s="283">
        <f t="shared" ca="1" si="10"/>
        <v>234457.83629415004</v>
      </c>
      <c r="J229" s="284">
        <f t="shared" ca="1" si="11"/>
        <v>3.3635114216441157E-2</v>
      </c>
      <c r="K229" s="284">
        <f t="shared" ca="1" si="12"/>
        <v>0.60400959761980666</v>
      </c>
    </row>
    <row r="230" spans="1:11" ht="9.6" customHeight="1" x14ac:dyDescent="0.2">
      <c r="A230" s="10" t="str">
        <f ca="1"/>
        <v>2341,41 - LOCACAO DIARIA FORMA P/LAJE NERVURADA - CUBETA 800x200MM (AVULSO)</v>
      </c>
      <c r="B230" s="10">
        <f ca="1">IF(OR(A230="",A230=0),"",LARGE($B$8:B229,1)+1)</f>
        <v>222</v>
      </c>
      <c r="C230" s="7"/>
      <c r="D230" s="279">
        <f ca="1">IF(A230="","",COUNTIF(Orçamento!P:P,A230))</f>
        <v>0</v>
      </c>
      <c r="E230" s="280" t="str">
        <f ca="1">IFERROR(IF(A230="","",_xlfn.XLOOKUP(A230,'ABC Insumos Apoio'!C:C,'ABC Insumos Apoio'!A:A)),"")</f>
        <v>LOCACAO DIARIA FORMA P/LAJE NERVURADA - CUBETA 800x200MM (AVULSO)</v>
      </c>
      <c r="F230" s="281" t="str">
        <f ca="1">IFERROR(IF(A230="","",_xlfn.XLOOKUP(E230,Insumos!A:A,Insumos!B:B)),"")</f>
        <v>UN</v>
      </c>
      <c r="G230" s="282">
        <f ca="1">IFERROR(IF(A230="","",SUMIF(Orçamento!P:P,E230,Orçamento!X:X)),"")</f>
        <v>1500.9005500000001</v>
      </c>
      <c r="H230" s="283">
        <f ca="1">IFERROR(IF(A230="","",_xlfn.XLOOKUP(E230,Insumos!A:A,Insumos!C:C)),"")</f>
        <v>1.56</v>
      </c>
      <c r="I230" s="283">
        <f t="shared" ca="1" si="10"/>
        <v>2341.4048580000003</v>
      </c>
      <c r="J230" s="284">
        <f t="shared" ca="1" si="11"/>
        <v>3.358958739470598E-4</v>
      </c>
      <c r="K230" s="284">
        <f t="shared" ca="1" si="12"/>
        <v>0.60434549349375377</v>
      </c>
    </row>
    <row r="231" spans="1:11" ht="9.6" customHeight="1" x14ac:dyDescent="0.2">
      <c r="A231" s="10" t="str">
        <f ca="1"/>
        <v>23362,09 - ACO CA-50A 12,50 MM (1/2)</v>
      </c>
      <c r="B231" s="10">
        <f ca="1">IF(OR(A231="",A231=0),"",LARGE($B$8:B230,1)+1)</f>
        <v>223</v>
      </c>
      <c r="C231" s="7"/>
      <c r="D231" s="279">
        <f ca="1">IF(A231="","",COUNTIF(Orçamento!P:P,A231))</f>
        <v>0</v>
      </c>
      <c r="E231" s="280" t="str">
        <f ca="1">IFERROR(IF(A231="","",_xlfn.XLOOKUP(A231,'ABC Insumos Apoio'!C:C,'ABC Insumos Apoio'!A:A)),"")</f>
        <v>ACO CA-50A 12,50 MM (1/2)</v>
      </c>
      <c r="F231" s="281" t="str">
        <f ca="1">IFERROR(IF(A231="","",_xlfn.XLOOKUP(E231,Insumos!A:A,Insumos!B:B)),"")</f>
        <v>KG</v>
      </c>
      <c r="G231" s="282">
        <f ca="1">IFERROR(IF(A231="","",SUMIF(Orçamento!P:P,E231,Orçamento!X:X)),"")</f>
        <v>4492.7080000000005</v>
      </c>
      <c r="H231" s="283">
        <f ca="1">IFERROR(IF(A231="","",_xlfn.XLOOKUP(E231,Insumos!A:A,Insumos!C:C)),"")</f>
        <v>5.2</v>
      </c>
      <c r="I231" s="283">
        <f t="shared" ca="1" si="10"/>
        <v>23362.081600000005</v>
      </c>
      <c r="J231" s="284">
        <f t="shared" ca="1" si="11"/>
        <v>3.3515036023960133E-3</v>
      </c>
      <c r="K231" s="284">
        <f t="shared" ca="1" si="12"/>
        <v>0.60769699709614977</v>
      </c>
    </row>
    <row r="232" spans="1:11" ht="9.6" customHeight="1" x14ac:dyDescent="0.2">
      <c r="A232" s="10" t="str">
        <f ca="1"/>
        <v>2332,57 - INSTALACOES PROVISORIAS REDE DE AGUA</v>
      </c>
      <c r="B232" s="10">
        <f ca="1">IF(OR(A232="",A232=0),"",LARGE($B$8:B231,1)+1)</f>
        <v>224</v>
      </c>
      <c r="C232" s="7"/>
      <c r="D232" s="279">
        <f ca="1">IF(A232="","",COUNTIF(Orçamento!P:P,A232))</f>
        <v>0</v>
      </c>
      <c r="E232" s="280" t="str">
        <f ca="1">IFERROR(IF(A232="","",_xlfn.XLOOKUP(A232,'ABC Insumos Apoio'!C:C,'ABC Insumos Apoio'!A:A)),"")</f>
        <v>INSTALACOES PROVISORIAS REDE DE AGUA</v>
      </c>
      <c r="F232" s="281" t="str">
        <f ca="1">IFERROR(IF(A232="","",_xlfn.XLOOKUP(E232,Insumos!A:A,Insumos!B:B)),"")</f>
        <v>VB</v>
      </c>
      <c r="G232" s="282">
        <f ca="1">IFERROR(IF(A232="","",SUMIF(Orçamento!P:P,E232,Orçamento!X:X)),"")</f>
        <v>1</v>
      </c>
      <c r="H232" s="283">
        <f ca="1">IFERROR(IF(A232="","",_xlfn.XLOOKUP(E232,Insumos!A:A,Insumos!C:C)),"")</f>
        <v>2332.5602176638477</v>
      </c>
      <c r="I232" s="283">
        <f t="shared" ca="1" si="10"/>
        <v>2332.5602176638477</v>
      </c>
      <c r="J232" s="284">
        <f t="shared" ca="1" si="11"/>
        <v>3.3462702965244385E-4</v>
      </c>
      <c r="K232" s="284">
        <f t="shared" ca="1" si="12"/>
        <v>0.60803162412580225</v>
      </c>
    </row>
    <row r="233" spans="1:11" ht="9.6" customHeight="1" x14ac:dyDescent="0.2">
      <c r="A233" s="10" t="str">
        <f ca="1"/>
        <v>2329,24 - TELHA FIBROCIMENTO NATURAL S/AMIANTO 08X1100X2130MM NBR 7581/15210</v>
      </c>
      <c r="B233" s="10">
        <f ca="1">IF(OR(A233="",A233=0),"",LARGE($B$8:B232,1)+1)</f>
        <v>225</v>
      </c>
      <c r="C233" s="7"/>
      <c r="D233" s="279">
        <f ca="1">IF(A233="","",COUNTIF(Orçamento!P:P,A233))</f>
        <v>0</v>
      </c>
      <c r="E233" s="280" t="str">
        <f ca="1">IFERROR(IF(A233="","",_xlfn.XLOOKUP(A233,'ABC Insumos Apoio'!C:C,'ABC Insumos Apoio'!A:A)),"")</f>
        <v>TELHA FIBROCIMENTO NATURAL S/AMIANTO 08X1100X2130MM NBR 7581/15210</v>
      </c>
      <c r="F233" s="281" t="str">
        <f ca="1">IFERROR(IF(A233="","",_xlfn.XLOOKUP(E233,Insumos!A:A,Insumos!B:B)),"")</f>
        <v>M2</v>
      </c>
      <c r="G233" s="282">
        <f ca="1">IFERROR(IF(A233="","",SUMIF(Orçamento!P:P,E233,Orçamento!X:X)),"")</f>
        <v>66.209000000000003</v>
      </c>
      <c r="H233" s="283">
        <f ca="1">IFERROR(IF(A233="","",_xlfn.XLOOKUP(E233,Insumos!A:A,Insumos!C:C)),"")</f>
        <v>35.18</v>
      </c>
      <c r="I233" s="283">
        <f t="shared" ca="1" si="10"/>
        <v>2329.2326200000002</v>
      </c>
      <c r="J233" s="284">
        <f t="shared" ca="1" si="11"/>
        <v>3.3414965542917648E-4</v>
      </c>
      <c r="K233" s="284">
        <f t="shared" ca="1" si="12"/>
        <v>0.60836577378123147</v>
      </c>
    </row>
    <row r="234" spans="1:11" ht="9.6" customHeight="1" x14ac:dyDescent="0.2">
      <c r="A234" s="10" t="str">
        <f ca="1"/>
        <v>2329,08 - INSTALAÇÕES PREVENTIVAS - PAVIMENTO TECNICO</v>
      </c>
      <c r="B234" s="10">
        <f ca="1">IF(OR(A234="",A234=0),"",LARGE($B$8:B233,1)+1)</f>
        <v>226</v>
      </c>
      <c r="C234" s="7"/>
      <c r="D234" s="279">
        <f ca="1">IF(A234="","",COUNTIF(Orçamento!P:P,A234))</f>
        <v>0</v>
      </c>
      <c r="E234" s="280" t="str">
        <f ca="1">IFERROR(IF(A234="","",_xlfn.XLOOKUP(A234,'ABC Insumos Apoio'!C:C,'ABC Insumos Apoio'!A:A)),"")</f>
        <v>INSTALAÇÕES PREVENTIVAS - PAVIMENTO TECNICO</v>
      </c>
      <c r="F234" s="281" t="str">
        <f ca="1">IFERROR(IF(A234="","",_xlfn.XLOOKUP(E234,Insumos!A:A,Insumos!B:B)),"")</f>
        <v>VB</v>
      </c>
      <c r="G234" s="282">
        <f ca="1">IFERROR(IF(A234="","",SUMIF(Orçamento!P:P,E234,Orçamento!X:X)),"")</f>
        <v>1</v>
      </c>
      <c r="H234" s="283">
        <f ca="1">IFERROR(IF(A234="","",_xlfn.XLOOKUP(E234,Insumos!A:A,Insumos!C:C)),"")</f>
        <v>2329.0781591530267</v>
      </c>
      <c r="I234" s="283">
        <f t="shared" ca="1" si="10"/>
        <v>2329.0781591530267</v>
      </c>
      <c r="J234" s="284">
        <f t="shared" ca="1" si="11"/>
        <v>3.34127496612427E-4</v>
      </c>
      <c r="K234" s="284">
        <f t="shared" ca="1" si="12"/>
        <v>0.6086999012778439</v>
      </c>
    </row>
    <row r="235" spans="1:11" ht="9.6" customHeight="1" x14ac:dyDescent="0.2">
      <c r="A235" s="10" t="str">
        <f ca="1"/>
        <v>2329,08 - INSTALAÇÕES ESGOTO - PAVIMENTO TECNICO</v>
      </c>
      <c r="B235" s="10">
        <f ca="1">IF(OR(A235="",A235=0),"",LARGE($B$8:B234,1)+1)</f>
        <v>227</v>
      </c>
      <c r="C235" s="7"/>
      <c r="D235" s="279">
        <f ca="1">IF(A235="","",COUNTIF(Orçamento!P:P,A235))</f>
        <v>0</v>
      </c>
      <c r="E235" s="280" t="str">
        <f ca="1">IFERROR(IF(A235="","",_xlfn.XLOOKUP(A235,'ABC Insumos Apoio'!C:C,'ABC Insumos Apoio'!A:A)),"")</f>
        <v>INSTALAÇÕES ESGOTO - PAVIMENTO TECNICO</v>
      </c>
      <c r="F235" s="281" t="str">
        <f ca="1">IFERROR(IF(A235="","",_xlfn.XLOOKUP(E235,Insumos!A:A,Insumos!B:B)),"")</f>
        <v>UN</v>
      </c>
      <c r="G235" s="282">
        <f ca="1">IFERROR(IF(A235="","",SUMIF(Orçamento!P:P,E235,Orçamento!X:X)),"")</f>
        <v>1</v>
      </c>
      <c r="H235" s="283">
        <f ca="1">IFERROR(IF(A235="","",_xlfn.XLOOKUP(E235,Insumos!A:A,Insumos!C:C)),"")</f>
        <v>2329.0781591530267</v>
      </c>
      <c r="I235" s="283">
        <f t="shared" ca="1" si="10"/>
        <v>2329.0781591530267</v>
      </c>
      <c r="J235" s="284">
        <f t="shared" ca="1" si="11"/>
        <v>3.34127496612427E-4</v>
      </c>
      <c r="K235" s="284">
        <f t="shared" ca="1" si="12"/>
        <v>0.60903402877445634</v>
      </c>
    </row>
    <row r="236" spans="1:11" ht="9.6" customHeight="1" x14ac:dyDescent="0.2">
      <c r="A236" s="10" t="str">
        <f ca="1"/>
        <v>23006,52 - MAO DE OBRA PARA REGULARIZACAO DE SUPERFICIE</v>
      </c>
      <c r="B236" s="10">
        <f ca="1">IF(OR(A236="",A236=0),"",LARGE($B$8:B235,1)+1)</f>
        <v>228</v>
      </c>
      <c r="C236" s="7"/>
      <c r="D236" s="279">
        <f ca="1">IF(A236="","",COUNTIF(Orçamento!P:P,A236))</f>
        <v>0</v>
      </c>
      <c r="E236" s="280" t="str">
        <f ca="1">IFERROR(IF(A236="","",_xlfn.XLOOKUP(A236,'ABC Insumos Apoio'!C:C,'ABC Insumos Apoio'!A:A)),"")</f>
        <v>MAO DE OBRA PARA REGULARIZACAO DE SUPERFICIE</v>
      </c>
      <c r="F236" s="281" t="str">
        <f ca="1">IFERROR(IF(A236="","",_xlfn.XLOOKUP(E236,Insumos!A:A,Insumos!B:B)),"")</f>
        <v>M2</v>
      </c>
      <c r="G236" s="282">
        <f ca="1">IFERROR(IF(A236="","",SUMIF(Orçamento!P:P,E236,Orçamento!X:X)),"")</f>
        <v>1278.1400000000001</v>
      </c>
      <c r="H236" s="283">
        <f ca="1">IFERROR(IF(A236="","",_xlfn.XLOOKUP(E236,Insumos!A:A,Insumos!C:C)),"")</f>
        <v>18</v>
      </c>
      <c r="I236" s="283">
        <f t="shared" ca="1" si="10"/>
        <v>23006.52</v>
      </c>
      <c r="J236" s="284">
        <f t="shared" ca="1" si="11"/>
        <v>3.3004950491481852E-3</v>
      </c>
      <c r="K236" s="284">
        <f t="shared" ca="1" si="12"/>
        <v>0.61233452382360454</v>
      </c>
    </row>
    <row r="237" spans="1:11" ht="9.6" customHeight="1" x14ac:dyDescent="0.2">
      <c r="A237" s="10" t="str">
        <f ca="1"/>
        <v>23000 - MAO DE OBRA PARA SERVIÇOS COMPLMENTARES E FINAIS DE OBRA</v>
      </c>
      <c r="B237" s="10">
        <f ca="1">IF(OR(A237="",A237=0),"",LARGE($B$8:B236,1)+1)</f>
        <v>229</v>
      </c>
      <c r="C237" s="7"/>
      <c r="D237" s="279">
        <f ca="1">IF(A237="","",COUNTIF(Orçamento!P:P,A237))</f>
        <v>0</v>
      </c>
      <c r="E237" s="280" t="str">
        <f ca="1">IFERROR(IF(A237="","",_xlfn.XLOOKUP(A237,'ABC Insumos Apoio'!C:C,'ABC Insumos Apoio'!A:A)),"")</f>
        <v>MAO DE OBRA PARA SERVIÇOS COMPLMENTARES E FINAIS DE OBRA</v>
      </c>
      <c r="F237" s="281" t="str">
        <f ca="1">IFERROR(IF(A237="","",_xlfn.XLOOKUP(E237,Insumos!A:A,Insumos!B:B)),"")</f>
        <v>VB</v>
      </c>
      <c r="G237" s="282">
        <f ca="1">IFERROR(IF(A237="","",SUMIF(Orçamento!P:P,E237,Orçamento!X:X)),"")</f>
        <v>1</v>
      </c>
      <c r="H237" s="283">
        <f ca="1">IFERROR(IF(A237="","",_xlfn.XLOOKUP(E237,Insumos!A:A,Insumos!C:C)),"")</f>
        <v>23000</v>
      </c>
      <c r="I237" s="283">
        <f t="shared" ca="1" si="10"/>
        <v>23000</v>
      </c>
      <c r="J237" s="284">
        <f t="shared" ca="1" si="11"/>
        <v>3.2995596957040118E-3</v>
      </c>
      <c r="K237" s="284">
        <f t="shared" ca="1" si="12"/>
        <v>0.61563408351930859</v>
      </c>
    </row>
    <row r="238" spans="1:11" ht="9.6" customHeight="1" x14ac:dyDescent="0.2">
      <c r="A238" s="10" t="str">
        <f ca="1"/>
        <v>2300,82 - SELADOR ACRILICO</v>
      </c>
      <c r="B238" s="10">
        <f ca="1">IF(OR(A238="",A238=0),"",LARGE($B$8:B237,1)+1)</f>
        <v>230</v>
      </c>
      <c r="C238" s="7"/>
      <c r="D238" s="279">
        <f ca="1">IF(A238="","",COUNTIF(Orçamento!P:P,A238))</f>
        <v>0</v>
      </c>
      <c r="E238" s="280" t="str">
        <f ca="1">IFERROR(IF(A238="","",_xlfn.XLOOKUP(A238,'ABC Insumos Apoio'!C:C,'ABC Insumos Apoio'!A:A)),"")</f>
        <v>SELADOR ACRILICO</v>
      </c>
      <c r="F238" s="281" t="str">
        <f ca="1">IFERROR(IF(A238="","",_xlfn.XLOOKUP(E238,Insumos!A:A,Insumos!B:B)),"")</f>
        <v>L</v>
      </c>
      <c r="G238" s="282">
        <f ca="1">IFERROR(IF(A238="","",SUMIF(Orçamento!P:P,E238,Orçamento!X:X)),"")</f>
        <v>243.73050000000001</v>
      </c>
      <c r="H238" s="283">
        <f ca="1">IFERROR(IF(A238="","",_xlfn.XLOOKUP(E238,Insumos!A:A,Insumos!C:C)),"")</f>
        <v>9.44</v>
      </c>
      <c r="I238" s="283">
        <f t="shared" ca="1" si="10"/>
        <v>2300.81592</v>
      </c>
      <c r="J238" s="284">
        <f t="shared" ca="1" si="11"/>
        <v>3.3007302073331069E-4</v>
      </c>
      <c r="K238" s="284">
        <f t="shared" ca="1" si="12"/>
        <v>0.61596415654004189</v>
      </c>
    </row>
    <row r="239" spans="1:11" ht="9.6" customHeight="1" x14ac:dyDescent="0.2">
      <c r="A239" s="10" t="str">
        <f ca="1"/>
        <v>22633,38 - CONCRETO USINADO PARA CONTENÇÃO</v>
      </c>
      <c r="B239" s="10">
        <f ca="1">IF(OR(A239="",A239=0),"",LARGE($B$8:B238,1)+1)</f>
        <v>231</v>
      </c>
      <c r="C239" s="7"/>
      <c r="D239" s="279">
        <f ca="1">IF(A239="","",COUNTIF(Orçamento!P:P,A239))</f>
        <v>0</v>
      </c>
      <c r="E239" s="280" t="str">
        <f ca="1">IFERROR(IF(A239="","",_xlfn.XLOOKUP(A239,'ABC Insumos Apoio'!C:C,'ABC Insumos Apoio'!A:A)),"")</f>
        <v>CONCRETO USINADO PARA CONTENÇÃO</v>
      </c>
      <c r="F239" s="281" t="str">
        <f ca="1">IFERROR(IF(A239="","",_xlfn.XLOOKUP(E239,Insumos!A:A,Insumos!B:B)),"")</f>
        <v>VB</v>
      </c>
      <c r="G239" s="282">
        <f ca="1">IFERROR(IF(A239="","",SUMIF(Orçamento!P:P,E239,Orçamento!X:X)),"")</f>
        <v>1</v>
      </c>
      <c r="H239" s="283">
        <f ca="1">IFERROR(IF(A239="","",_xlfn.XLOOKUP(E239,Insumos!A:A,Insumos!C:C)),"")</f>
        <v>22633.375214528114</v>
      </c>
      <c r="I239" s="283">
        <f t="shared" ca="1" si="10"/>
        <v>22633.375214528114</v>
      </c>
      <c r="J239" s="284">
        <f t="shared" ca="1" si="11"/>
        <v>3.2469640276349175E-3</v>
      </c>
      <c r="K239" s="284">
        <f t="shared" ca="1" si="12"/>
        <v>0.6192111205676768</v>
      </c>
    </row>
    <row r="240" spans="1:11" ht="9.6" customHeight="1" x14ac:dyDescent="0.2">
      <c r="A240" s="10" t="str">
        <f ca="1"/>
        <v>2250 - Taxas de ART e RRT</v>
      </c>
      <c r="B240" s="10">
        <f ca="1">IF(OR(A240="",A240=0),"",LARGE($B$8:B239,1)+1)</f>
        <v>232</v>
      </c>
      <c r="C240" s="7"/>
      <c r="D240" s="279">
        <f ca="1">IF(A240="","",COUNTIF(Orçamento!P:P,A240))</f>
        <v>0</v>
      </c>
      <c r="E240" s="280" t="str">
        <f ca="1">IFERROR(IF(A240="","",_xlfn.XLOOKUP(A240,'ABC Insumos Apoio'!C:C,'ABC Insumos Apoio'!A:A)),"")</f>
        <v>Taxas de ART e RRT</v>
      </c>
      <c r="F240" s="281" t="str">
        <f ca="1">IFERROR(IF(A240="","",_xlfn.XLOOKUP(E240,Insumos!A:A,Insumos!B:B)),"")</f>
        <v>VB</v>
      </c>
      <c r="G240" s="282">
        <f ca="1">IFERROR(IF(A240="","",SUMIF(Orçamento!P:P,E240,Orçamento!X:X)),"")</f>
        <v>1</v>
      </c>
      <c r="H240" s="283">
        <f ca="1">IFERROR(IF(A240="","",_xlfn.XLOOKUP(E240,Insumos!A:A,Insumos!C:C)),"")</f>
        <v>2250</v>
      </c>
      <c r="I240" s="283">
        <f t="shared" ca="1" si="10"/>
        <v>2250</v>
      </c>
      <c r="J240" s="284">
        <f t="shared" ca="1" si="11"/>
        <v>3.2278301371017507E-4</v>
      </c>
      <c r="K240" s="284">
        <f t="shared" ca="1" si="12"/>
        <v>0.61953390358138694</v>
      </c>
    </row>
    <row r="241" spans="1:11" ht="9.6" customHeight="1" x14ac:dyDescent="0.2">
      <c r="A241" s="10" t="str">
        <f ca="1"/>
        <v>220019,48 - ESQUADRIAS DE ALUMINIO</v>
      </c>
      <c r="B241" s="10">
        <f ca="1">IF(OR(A241="",A241=0),"",LARGE($B$8:B240,1)+1)</f>
        <v>233</v>
      </c>
      <c r="C241" s="7"/>
      <c r="D241" s="279">
        <f ca="1">IF(A241="","",COUNTIF(Orçamento!P:P,A241))</f>
        <v>0</v>
      </c>
      <c r="E241" s="280" t="str">
        <f ca="1">IFERROR(IF(A241="","",_xlfn.XLOOKUP(A241,'ABC Insumos Apoio'!C:C,'ABC Insumos Apoio'!A:A)),"")</f>
        <v>ESQUADRIAS DE ALUMINIO</v>
      </c>
      <c r="F241" s="281" t="str">
        <f ca="1">IFERROR(IF(A241="","",_xlfn.XLOOKUP(E241,Insumos!A:A,Insumos!B:B)),"")</f>
        <v>M2</v>
      </c>
      <c r="G241" s="282">
        <f ca="1">IFERROR(IF(A241="","",SUMIF(Orçamento!P:P,E241,Orçamento!X:X)),"")</f>
        <v>264.85000000000008</v>
      </c>
      <c r="H241" s="283">
        <f ca="1">IFERROR(IF(A241="","",_xlfn.XLOOKUP(E241,Insumos!A:A,Insumos!C:C)),"")</f>
        <v>830.73240202071486</v>
      </c>
      <c r="I241" s="283">
        <f t="shared" ca="1" si="10"/>
        <v>220019.47667518639</v>
      </c>
      <c r="J241" s="284">
        <f t="shared" ca="1" si="11"/>
        <v>3.1563799891623216E-2</v>
      </c>
      <c r="K241" s="284">
        <f t="shared" ca="1" si="12"/>
        <v>0.6510977034730101</v>
      </c>
    </row>
    <row r="242" spans="1:11" ht="9.6" customHeight="1" x14ac:dyDescent="0.2">
      <c r="A242" s="10" t="str">
        <f ca="1"/>
        <v>22,34 - Neutrol Base Agua Baldrame Emulsão Asfaltica</v>
      </c>
      <c r="B242" s="10">
        <f ca="1">IF(OR(A242="",A242=0),"",LARGE($B$8:B241,1)+1)</f>
        <v>234</v>
      </c>
      <c r="C242" s="7"/>
      <c r="D242" s="279">
        <f ca="1">IF(A242="","",COUNTIF(Orçamento!P:P,A242))</f>
        <v>0</v>
      </c>
      <c r="E242" s="280" t="str">
        <f ca="1">IFERROR(IF(A242="","",_xlfn.XLOOKUP(A242,'ABC Insumos Apoio'!C:C,'ABC Insumos Apoio'!A:A)),"")</f>
        <v>Neutrol Base Agua Baldrame Emulsão Asfaltica</v>
      </c>
      <c r="F242" s="281" t="str">
        <f ca="1">IFERROR(IF(A242="","",_xlfn.XLOOKUP(E242,Insumos!A:A,Insumos!B:B)),"")</f>
        <v>L</v>
      </c>
      <c r="G242" s="282">
        <f ca="1">IFERROR(IF(A242="","",SUMIF(Orçamento!P:P,E242,Orçamento!X:X)),"")</f>
        <v>0.5</v>
      </c>
      <c r="H242" s="283">
        <f ca="1">IFERROR(IF(A242="","",_xlfn.XLOOKUP(E242,Insumos!A:A,Insumos!C:C)),"")</f>
        <v>44.68</v>
      </c>
      <c r="I242" s="283">
        <f t="shared" ca="1" si="10"/>
        <v>22.34</v>
      </c>
      <c r="J242" s="284">
        <f t="shared" ca="1" si="11"/>
        <v>3.204876678349027E-6</v>
      </c>
      <c r="K242" s="284">
        <f t="shared" ca="1" si="12"/>
        <v>0.65110090834968848</v>
      </c>
    </row>
    <row r="243" spans="1:11" ht="9.6" customHeight="1" x14ac:dyDescent="0.2">
      <c r="A243" s="10" t="str">
        <f ca="1"/>
        <v>219,56 - MANTA VEU POLIESTER BRANCA, L=1,05 M X 100 M</v>
      </c>
      <c r="B243" s="10">
        <f ca="1">IF(OR(A243="",A243=0),"",LARGE($B$8:B242,1)+1)</f>
        <v>235</v>
      </c>
      <c r="C243" s="7"/>
      <c r="D243" s="279">
        <f ca="1">IF(A243="","",COUNTIF(Orçamento!P:P,A243))</f>
        <v>0</v>
      </c>
      <c r="E243" s="280" t="str">
        <f ca="1">IFERROR(IF(A243="","",_xlfn.XLOOKUP(A243,'ABC Insumos Apoio'!C:C,'ABC Insumos Apoio'!A:A)),"")</f>
        <v>MANTA VEU POLIESTER BRANCA, L=1,05 M X 100 M</v>
      </c>
      <c r="F243" s="281" t="str">
        <f ca="1">IFERROR(IF(A243="","",_xlfn.XLOOKUP(E243,Insumos!A:A,Insumos!B:B)),"")</f>
        <v>M2</v>
      </c>
      <c r="G243" s="282">
        <f ca="1">IFERROR(IF(A243="","",SUMIF(Orçamento!P:P,E243,Orçamento!X:X)),"")</f>
        <v>64.574999999999989</v>
      </c>
      <c r="H243" s="283">
        <f ca="1">IFERROR(IF(A243="","",_xlfn.XLOOKUP(E243,Insumos!A:A,Insumos!C:C)),"")</f>
        <v>3.4</v>
      </c>
      <c r="I243" s="283">
        <f t="shared" ca="1" si="10"/>
        <v>219.55499999999995</v>
      </c>
      <c r="J243" s="284">
        <f t="shared" ca="1" si="11"/>
        <v>3.1497166477838873E-5</v>
      </c>
      <c r="K243" s="284">
        <f t="shared" ca="1" si="12"/>
        <v>0.65113240551616636</v>
      </c>
    </row>
    <row r="244" spans="1:11" ht="9.6" customHeight="1" x14ac:dyDescent="0.2">
      <c r="A244" s="10" t="str">
        <f ca="1"/>
        <v>2187 - Filtro mod. FM 50 125kg areia - bomba BM de 3/4 cv - Sodramar</v>
      </c>
      <c r="B244" s="10">
        <f ca="1">IF(OR(A244="",A244=0),"",LARGE($B$8:B243,1)+1)</f>
        <v>236</v>
      </c>
      <c r="C244" s="7"/>
      <c r="D244" s="279">
        <f ca="1">IF(A244="","",COUNTIF(Orçamento!P:P,A244))</f>
        <v>0</v>
      </c>
      <c r="E244" s="280" t="str">
        <f ca="1">IFERROR(IF(A244="","",_xlfn.XLOOKUP(A244,'ABC Insumos Apoio'!C:C,'ABC Insumos Apoio'!A:A)),"")</f>
        <v>Filtro mod. FM 50 125kg areia - bomba BM de 3/4 cv - Sodramar</v>
      </c>
      <c r="F244" s="281" t="str">
        <f ca="1">IFERROR(IF(A244="","",_xlfn.XLOOKUP(E244,Insumos!A:A,Insumos!B:B)),"")</f>
        <v>un</v>
      </c>
      <c r="G244" s="282">
        <f ca="1">IFERROR(IF(A244="","",SUMIF(Orçamento!P:P,E244,Orçamento!X:X)),"")</f>
        <v>1</v>
      </c>
      <c r="H244" s="283">
        <f ca="1">IFERROR(IF(A244="","",_xlfn.XLOOKUP(E244,Insumos!A:A,Insumos!C:C)),"")</f>
        <v>2187</v>
      </c>
      <c r="I244" s="283">
        <f t="shared" ca="1" si="10"/>
        <v>2187</v>
      </c>
      <c r="J244" s="284">
        <f t="shared" ca="1" si="11"/>
        <v>3.1374508932629017E-4</v>
      </c>
      <c r="K244" s="284">
        <f t="shared" ca="1" si="12"/>
        <v>0.6514461506054926</v>
      </c>
    </row>
    <row r="245" spans="1:11" ht="9.6" customHeight="1" x14ac:dyDescent="0.2">
      <c r="A245" s="10" t="str">
        <f ca="1"/>
        <v>2182,01 - M.O. PARA EXECUCAO DE PROTECAO MECANICA EM SUPERFICIE IMPERMEABILIZADA</v>
      </c>
      <c r="B245" s="10">
        <f ca="1">IF(OR(A245="",A245=0),"",LARGE($B$8:B244,1)+1)</f>
        <v>237</v>
      </c>
      <c r="C245" s="7"/>
      <c r="D245" s="279">
        <f ca="1">IF(A245="","",COUNTIF(Orçamento!P:P,A245))</f>
        <v>0</v>
      </c>
      <c r="E245" s="280" t="str">
        <f ca="1">IFERROR(IF(A245="","",_xlfn.XLOOKUP(A245,'ABC Insumos Apoio'!C:C,'ABC Insumos Apoio'!A:A)),"")</f>
        <v>M.O. PARA EXECUCAO DE PROTECAO MECANICA EM SUPERFICIE IMPERMEABILIZADA</v>
      </c>
      <c r="F245" s="281" t="str">
        <f ca="1">IFERROR(IF(A245="","",_xlfn.XLOOKUP(E245,Insumos!A:A,Insumos!B:B)),"")</f>
        <v>M2</v>
      </c>
      <c r="G245" s="282">
        <f ca="1">IFERROR(IF(A245="","",SUMIF(Orçamento!P:P,E245,Orçamento!X:X)),"")</f>
        <v>484.89</v>
      </c>
      <c r="H245" s="283">
        <f ca="1">IFERROR(IF(A245="","",_xlfn.XLOOKUP(E245,Insumos!A:A,Insumos!C:C)),"")</f>
        <v>4.5</v>
      </c>
      <c r="I245" s="283">
        <f t="shared" ca="1" si="10"/>
        <v>2182.0050000000001</v>
      </c>
      <c r="J245" s="284">
        <f t="shared" ca="1" si="11"/>
        <v>3.1302851103585358E-4</v>
      </c>
      <c r="K245" s="284">
        <f t="shared" ca="1" si="12"/>
        <v>0.65175917911652848</v>
      </c>
    </row>
    <row r="246" spans="1:11" ht="9.6" customHeight="1" x14ac:dyDescent="0.2">
      <c r="A246" s="10" t="str">
        <f ca="1"/>
        <v>2178,39 - PONTOS DE TOMADA E INTERRUPTORES - TERREO</v>
      </c>
      <c r="B246" s="10">
        <f ca="1">IF(OR(A246="",A246=0),"",LARGE($B$8:B245,1)+1)</f>
        <v>238</v>
      </c>
      <c r="C246" s="7"/>
      <c r="D246" s="279">
        <f ca="1">IF(A246="","",COUNTIF(Orçamento!P:P,A246))</f>
        <v>0</v>
      </c>
      <c r="E246" s="280" t="str">
        <f ca="1">IFERROR(IF(A246="","",_xlfn.XLOOKUP(A246,'ABC Insumos Apoio'!C:C,'ABC Insumos Apoio'!A:A)),"")</f>
        <v>PONTOS DE TOMADA E INTERRUPTORES - TERREO</v>
      </c>
      <c r="F246" s="281" t="str">
        <f ca="1">IFERROR(IF(A246="","",_xlfn.XLOOKUP(E246,Insumos!A:A,Insumos!B:B)),"")</f>
        <v>VB</v>
      </c>
      <c r="G246" s="282">
        <f ca="1">IFERROR(IF(A246="","",SUMIF(Orçamento!P:P,E246,Orçamento!X:X)),"")</f>
        <v>1</v>
      </c>
      <c r="H246" s="283">
        <f ca="1">IFERROR(IF(A246="","",_xlfn.XLOOKUP(E246,Insumos!A:A,Insumos!C:C)),"")</f>
        <v>2178.3892956761529</v>
      </c>
      <c r="I246" s="283">
        <f t="shared" ca="1" si="10"/>
        <v>2178.3892956761529</v>
      </c>
      <c r="J246" s="284">
        <f t="shared" ca="1" si="11"/>
        <v>3.1250980528548189E-4</v>
      </c>
      <c r="K246" s="284">
        <f t="shared" ca="1" si="12"/>
        <v>0.652071688921814</v>
      </c>
    </row>
    <row r="247" spans="1:11" ht="9.6" customHeight="1" x14ac:dyDescent="0.2">
      <c r="A247" s="10" t="str">
        <f ca="1"/>
        <v>2169,95 - TINTA EPOXI PARA PISO</v>
      </c>
      <c r="B247" s="10">
        <f ca="1">IF(OR(A247="",A247=0),"",LARGE($B$8:B246,1)+1)</f>
        <v>239</v>
      </c>
      <c r="C247" s="7"/>
      <c r="D247" s="279">
        <f ca="1">IF(A247="","",COUNTIF(Orçamento!P:P,A247))</f>
        <v>0</v>
      </c>
      <c r="E247" s="280" t="str">
        <f ca="1">IFERROR(IF(A247="","",_xlfn.XLOOKUP(A247,'ABC Insumos Apoio'!C:C,'ABC Insumos Apoio'!A:A)),"")</f>
        <v>TINTA EPOXI PARA PISO</v>
      </c>
      <c r="F247" s="281" t="str">
        <f ca="1">IFERROR(IF(A247="","",_xlfn.XLOOKUP(E247,Insumos!A:A,Insumos!B:B)),"")</f>
        <v>L</v>
      </c>
      <c r="G247" s="282">
        <f ca="1">IFERROR(IF(A247="","",SUMIF(Orçamento!P:P,E247,Orçamento!X:X)),"")</f>
        <v>21.29064</v>
      </c>
      <c r="H247" s="283">
        <f ca="1">IFERROR(IF(A247="","",_xlfn.XLOOKUP(E247,Insumos!A:A,Insumos!C:C)),"")</f>
        <v>101.92</v>
      </c>
      <c r="I247" s="283">
        <f t="shared" ca="1" si="10"/>
        <v>2169.9420288000001</v>
      </c>
      <c r="J247" s="284">
        <f t="shared" ca="1" si="11"/>
        <v>3.1129796783663802E-4</v>
      </c>
      <c r="K247" s="284">
        <f t="shared" ca="1" si="12"/>
        <v>0.65238298688965068</v>
      </c>
    </row>
    <row r="248" spans="1:11" ht="9.6" customHeight="1" x14ac:dyDescent="0.2">
      <c r="A248" s="10" t="str">
        <f ca="1"/>
        <v>21658,24 - MADEIRA PINUS/SIMILAR - SARRAFO PINUS 50X10MM NBR 11700</v>
      </c>
      <c r="B248" s="10">
        <f ca="1">IF(OR(A248="",A248=0),"",LARGE($B$8:B247,1)+1)</f>
        <v>240</v>
      </c>
      <c r="C248" s="7"/>
      <c r="D248" s="279">
        <f ca="1">IF(A248="","",COUNTIF(Orçamento!P:P,A248))</f>
        <v>0</v>
      </c>
      <c r="E248" s="280" t="str">
        <f ca="1">IFERROR(IF(A248="","",_xlfn.XLOOKUP(A248,'ABC Insumos Apoio'!C:C,'ABC Insumos Apoio'!A:A)),"")</f>
        <v>MADEIRA PINUS/SIMILAR - SARRAFO PINUS 50X10MM NBR 11700</v>
      </c>
      <c r="F248" s="281" t="str">
        <f ca="1">IFERROR(IF(A248="","",_xlfn.XLOOKUP(E248,Insumos!A:A,Insumos!B:B)),"")</f>
        <v>M</v>
      </c>
      <c r="G248" s="282">
        <f ca="1">IFERROR(IF(A248="","",SUMIF(Orçamento!P:P,E248,Orçamento!X:X)),"")</f>
        <v>10829.115063516287</v>
      </c>
      <c r="H248" s="283">
        <f ca="1">IFERROR(IF(A248="","",_xlfn.XLOOKUP(E248,Insumos!A:A,Insumos!C:C)),"")</f>
        <v>2</v>
      </c>
      <c r="I248" s="283">
        <f t="shared" ca="1" si="10"/>
        <v>21658.230127032573</v>
      </c>
      <c r="J248" s="284">
        <f t="shared" ca="1" si="11"/>
        <v>3.1070705742364808E-3</v>
      </c>
      <c r="K248" s="284">
        <f t="shared" ca="1" si="12"/>
        <v>0.65549005746388711</v>
      </c>
    </row>
    <row r="249" spans="1:11" ht="9.6" customHeight="1" x14ac:dyDescent="0.2">
      <c r="A249" s="10" t="str">
        <f ca="1"/>
        <v>21600 - FERRAMENTAS E EQUIPAMENTOS APOIO</v>
      </c>
      <c r="B249" s="10">
        <f ca="1">IF(OR(A249="",A249=0),"",LARGE($B$8:B248,1)+1)</f>
        <v>241</v>
      </c>
      <c r="C249" s="7"/>
      <c r="D249" s="279">
        <f ca="1">IF(A249="","",COUNTIF(Orçamento!P:P,A249))</f>
        <v>0</v>
      </c>
      <c r="E249" s="280" t="str">
        <f ca="1">IFERROR(IF(A249="","",_xlfn.XLOOKUP(A249,'ABC Insumos Apoio'!C:C,'ABC Insumos Apoio'!A:A)),"")</f>
        <v>FERRAMENTAS E EQUIPAMENTOS APOIO</v>
      </c>
      <c r="F249" s="281" t="str">
        <f ca="1">IFERROR(IF(A249="","",_xlfn.XLOOKUP(E249,Insumos!A:A,Insumos!B:B)),"")</f>
        <v>VB</v>
      </c>
      <c r="G249" s="282">
        <f ca="1">IFERROR(IF(A249="","",SUMIF(Orçamento!P:P,E249,Orçamento!X:X)),"")</f>
        <v>22</v>
      </c>
      <c r="H249" s="283">
        <f ca="1">IFERROR(IF(A249="","",_xlfn.XLOOKUP(E249,Insumos!A:A,Insumos!C:C)),"")</f>
        <v>981.81818181818187</v>
      </c>
      <c r="I249" s="283">
        <f t="shared" ca="1" si="10"/>
        <v>21600</v>
      </c>
      <c r="J249" s="284">
        <f t="shared" ca="1" si="11"/>
        <v>3.0987169316176806E-3</v>
      </c>
      <c r="K249" s="284">
        <f t="shared" ca="1" si="12"/>
        <v>0.65858877439550478</v>
      </c>
    </row>
    <row r="250" spans="1:11" ht="9.6" customHeight="1" x14ac:dyDescent="0.2">
      <c r="A250" s="10" t="str">
        <f ca="1"/>
        <v>2111,28 - Certidão INSS</v>
      </c>
      <c r="B250" s="10">
        <f ca="1">IF(OR(A250="",A250=0),"",LARGE($B$8:B249,1)+1)</f>
        <v>242</v>
      </c>
      <c r="C250" s="7"/>
      <c r="D250" s="279">
        <f ca="1">IF(A250="","",COUNTIF(Orçamento!P:P,A250))</f>
        <v>0</v>
      </c>
      <c r="E250" s="280" t="str">
        <f ca="1">IFERROR(IF(A250="","",_xlfn.XLOOKUP(A250,'ABC Insumos Apoio'!C:C,'ABC Insumos Apoio'!A:A)),"")</f>
        <v>Certidão INSS</v>
      </c>
      <c r="F250" s="281" t="str">
        <f ca="1">IFERROR(IF(A250="","",_xlfn.XLOOKUP(E250,Insumos!A:A,Insumos!B:B)),"")</f>
        <v>VB</v>
      </c>
      <c r="G250" s="282">
        <f ca="1">IFERROR(IF(A250="","",SUMIF(Orçamento!P:P,E250,Orçamento!X:X)),"")</f>
        <v>1</v>
      </c>
      <c r="H250" s="283">
        <f ca="1">IFERROR(IF(A250="","",_xlfn.XLOOKUP(E250,Insumos!A:A,Insumos!C:C)),"")</f>
        <v>2111.2724197693183</v>
      </c>
      <c r="I250" s="283">
        <f t="shared" ca="1" si="10"/>
        <v>2111.2724197693183</v>
      </c>
      <c r="J250" s="284">
        <f t="shared" ca="1" si="11"/>
        <v>3.0288127751836193E-4</v>
      </c>
      <c r="K250" s="284">
        <f t="shared" ca="1" si="12"/>
        <v>0.6588916556730231</v>
      </c>
    </row>
    <row r="251" spans="1:11" ht="9.6" customHeight="1" x14ac:dyDescent="0.2">
      <c r="A251" s="10" t="str">
        <f ca="1"/>
        <v>21000 - ORCAMENTO E PLANEJAMENTO</v>
      </c>
      <c r="B251" s="10">
        <f ca="1">IF(OR(A251="",A251=0),"",LARGE($B$8:B250,1)+1)</f>
        <v>243</v>
      </c>
      <c r="C251" s="7"/>
      <c r="D251" s="279">
        <f ca="1">IF(A251="","",COUNTIF(Orçamento!P:P,A251))</f>
        <v>0</v>
      </c>
      <c r="E251" s="280" t="str">
        <f ca="1">IFERROR(IF(A251="","",_xlfn.XLOOKUP(A251,'ABC Insumos Apoio'!C:C,'ABC Insumos Apoio'!A:A)),"")</f>
        <v>ORCAMENTO E PLANEJAMENTO</v>
      </c>
      <c r="F251" s="281" t="str">
        <f ca="1">IFERROR(IF(A251="","",_xlfn.XLOOKUP(E251,Insumos!A:A,Insumos!B:B)),"")</f>
        <v>VB</v>
      </c>
      <c r="G251" s="282">
        <f ca="1">IFERROR(IF(A251="","",SUMIF(Orçamento!P:P,E251,Orçamento!X:X)),"")</f>
        <v>1</v>
      </c>
      <c r="H251" s="283">
        <f ca="1">IFERROR(IF(A251="","",_xlfn.XLOOKUP(E251,Insumos!A:A,Insumos!C:C)),"")</f>
        <v>21000</v>
      </c>
      <c r="I251" s="283">
        <f t="shared" ca="1" si="10"/>
        <v>21000</v>
      </c>
      <c r="J251" s="284">
        <f t="shared" ca="1" si="11"/>
        <v>3.012641461294967E-3</v>
      </c>
      <c r="K251" s="284">
        <f t="shared" ca="1" si="12"/>
        <v>0.66190429713431809</v>
      </c>
    </row>
    <row r="252" spans="1:11" ht="9.6" customHeight="1" x14ac:dyDescent="0.2">
      <c r="A252" s="10" t="str">
        <f ca="1"/>
        <v>208,78 - ARAME ACO CARBONO GALVANIZADO LISO BWG 16 FIO 1,65MM NBR 6207</v>
      </c>
      <c r="B252" s="10">
        <f ca="1">IF(OR(A252="",A252=0),"",LARGE($B$8:B251,1)+1)</f>
        <v>244</v>
      </c>
      <c r="C252" s="7"/>
      <c r="D252" s="279">
        <f ca="1">IF(A252="","",COUNTIF(Orçamento!P:P,A252))</f>
        <v>0</v>
      </c>
      <c r="E252" s="280" t="str">
        <f ca="1">IFERROR(IF(A252="","",_xlfn.XLOOKUP(A252,'ABC Insumos Apoio'!C:C,'ABC Insumos Apoio'!A:A)),"")</f>
        <v>ARAME ACO CARBONO GALVANIZADO LISO BWG 16 FIO 1,65MM NBR 6207</v>
      </c>
      <c r="F252" s="281" t="str">
        <f ca="1">IFERROR(IF(A252="","",_xlfn.XLOOKUP(E252,Insumos!A:A,Insumos!B:B)),"")</f>
        <v>KG</v>
      </c>
      <c r="G252" s="282">
        <f ca="1">IFERROR(IF(A252="","",SUMIF(Orçamento!P:P,E252,Orçamento!X:X)),"")</f>
        <v>20.589199999999998</v>
      </c>
      <c r="H252" s="283">
        <f ca="1">IFERROR(IF(A252="","",_xlfn.XLOOKUP(E252,Insumos!A:A,Insumos!C:C)),"")</f>
        <v>10.14</v>
      </c>
      <c r="I252" s="283">
        <f t="shared" ca="1" si="10"/>
        <v>208.77448799999999</v>
      </c>
      <c r="J252" s="284">
        <f t="shared" ca="1" si="11"/>
        <v>2.9950603743306122E-5</v>
      </c>
      <c r="K252" s="284">
        <f t="shared" ca="1" si="12"/>
        <v>0.66193424773806142</v>
      </c>
    </row>
    <row r="253" spans="1:11" ht="9.6" customHeight="1" x14ac:dyDescent="0.2">
      <c r="A253" s="10" t="str">
        <f ca="1"/>
        <v>207474,35 - GUARDA CORPO ALUMINIO COM VIDRO</v>
      </c>
      <c r="B253" s="10">
        <f ca="1">IF(OR(A253="",A253=0),"",LARGE($B$8:B252,1)+1)</f>
        <v>245</v>
      </c>
      <c r="C253" s="7"/>
      <c r="D253" s="279">
        <f ca="1">IF(A253="","",COUNTIF(Orçamento!P:P,A253))</f>
        <v>0</v>
      </c>
      <c r="E253" s="280" t="str">
        <f ca="1">IFERROR(IF(A253="","",_xlfn.XLOOKUP(A253,'ABC Insumos Apoio'!C:C,'ABC Insumos Apoio'!A:A)),"")</f>
        <v>GUARDA CORPO ALUMINIO COM VIDRO</v>
      </c>
      <c r="F253" s="281" t="str">
        <f ca="1">IFERROR(IF(A253="","",_xlfn.XLOOKUP(E253,Insumos!A:A,Insumos!B:B)),"")</f>
        <v>m2</v>
      </c>
      <c r="G253" s="282">
        <f ca="1">IFERROR(IF(A253="","",SUMIF(Orçamento!P:P,E253,Orçamento!X:X)),"")</f>
        <v>249.684</v>
      </c>
      <c r="H253" s="283">
        <f ca="1">IFERROR(IF(A253="","",_xlfn.XLOOKUP(E253,Insumos!A:A,Insumos!C:C)),"")</f>
        <v>830.94770876576717</v>
      </c>
      <c r="I253" s="283">
        <f t="shared" ca="1" si="10"/>
        <v>207474.34771547181</v>
      </c>
      <c r="J253" s="284">
        <f t="shared" ca="1" si="11"/>
        <v>2.9764086765845674E-2</v>
      </c>
      <c r="K253" s="284">
        <f t="shared" ca="1" si="12"/>
        <v>0.69169833450390705</v>
      </c>
    </row>
    <row r="254" spans="1:11" ht="9.6" customHeight="1" x14ac:dyDescent="0.2">
      <c r="A254" s="10" t="str">
        <f ca="1"/>
        <v>20527,73 - REVESTIMENTO - HIT GRIS 80X80 EXT RET</v>
      </c>
      <c r="B254" s="10">
        <f ca="1">IF(OR(A254="",A254=0),"",LARGE($B$8:B253,1)+1)</f>
        <v>246</v>
      </c>
      <c r="C254" s="7"/>
      <c r="D254" s="279">
        <f ca="1">IF(A254="","",COUNTIF(Orçamento!P:P,A254))</f>
        <v>0</v>
      </c>
      <c r="E254" s="280" t="str">
        <f ca="1">IFERROR(IF(A254="","",_xlfn.XLOOKUP(A254,'ABC Insumos Apoio'!C:C,'ABC Insumos Apoio'!A:A)),"")</f>
        <v>REVESTIMENTO - HIT GRIS 80X80 EXT RET</v>
      </c>
      <c r="F254" s="281" t="str">
        <f ca="1">IFERROR(IF(A254="","",_xlfn.XLOOKUP(E254,Insumos!A:A,Insumos!B:B)),"")</f>
        <v>M2</v>
      </c>
      <c r="G254" s="282">
        <f ca="1">IFERROR(IF(A254="","",SUMIF(Orçamento!P:P,E254,Orçamento!X:X)),"")</f>
        <v>340.48310450000002</v>
      </c>
      <c r="H254" s="283">
        <f ca="1">IFERROR(IF(A254="","",_xlfn.XLOOKUP(E254,Insumos!A:A,Insumos!C:C)),"")</f>
        <v>60.29</v>
      </c>
      <c r="I254" s="283">
        <f t="shared" ca="1" si="10"/>
        <v>20527.726370305001</v>
      </c>
      <c r="J254" s="284">
        <f t="shared" ca="1" si="11"/>
        <v>2.9448895032999473E-3</v>
      </c>
      <c r="K254" s="284">
        <f t="shared" ca="1" si="12"/>
        <v>0.69464322400720702</v>
      </c>
    </row>
    <row r="255" spans="1:11" ht="9.6" customHeight="1" x14ac:dyDescent="0.2">
      <c r="A255" s="10" t="str">
        <f ca="1"/>
        <v>2043,15 - INSTALACOES PROVISORIAS REDE ELETRICA</v>
      </c>
      <c r="B255" s="10">
        <f ca="1">IF(OR(A255="",A255=0),"",LARGE($B$8:B254,1)+1)</f>
        <v>247</v>
      </c>
      <c r="C255" s="7"/>
      <c r="D255" s="279">
        <f ca="1">IF(A255="","",COUNTIF(Orçamento!P:P,A255))</f>
        <v>0</v>
      </c>
      <c r="E255" s="280" t="str">
        <f ca="1">IFERROR(IF(A255="","",_xlfn.XLOOKUP(A255,'ABC Insumos Apoio'!C:C,'ABC Insumos Apoio'!A:A)),"")</f>
        <v>INSTALACOES PROVISORIAS REDE ELETRICA</v>
      </c>
      <c r="F255" s="281" t="str">
        <f ca="1">IFERROR(IF(A255="","",_xlfn.XLOOKUP(E255,Insumos!A:A,Insumos!B:B)),"")</f>
        <v>VB</v>
      </c>
      <c r="G255" s="282">
        <f ca="1">IFERROR(IF(A255="","",SUMIF(Orçamento!P:P,E255,Orçamento!X:X)),"")</f>
        <v>1</v>
      </c>
      <c r="H255" s="283">
        <f ca="1">IFERROR(IF(A255="","",_xlfn.XLOOKUP(E255,Insumos!A:A,Insumos!C:C)),"")</f>
        <v>2043.1499684351852</v>
      </c>
      <c r="I255" s="283">
        <f t="shared" ca="1" si="10"/>
        <v>2043.1499684351852</v>
      </c>
      <c r="J255" s="284">
        <f t="shared" ca="1" si="11"/>
        <v>2.9310849078815918E-4</v>
      </c>
      <c r="K255" s="284">
        <f t="shared" ca="1" si="12"/>
        <v>0.69493633249799514</v>
      </c>
    </row>
    <row r="256" spans="1:11" ht="9.6" customHeight="1" x14ac:dyDescent="0.2">
      <c r="A256" s="10" t="str">
        <f ca="1"/>
        <v>20392 - Trocador de calor integrado</v>
      </c>
      <c r="B256" s="10">
        <f ca="1">IF(OR(A256="",A256=0),"",LARGE($B$8:B255,1)+1)</f>
        <v>248</v>
      </c>
      <c r="C256" s="7"/>
      <c r="D256" s="279">
        <f ca="1">IF(A256="","",COUNTIF(Orçamento!P:P,A256))</f>
        <v>0</v>
      </c>
      <c r="E256" s="280" t="str">
        <f ca="1">IFERROR(IF(A256="","",_xlfn.XLOOKUP(A256,'ABC Insumos Apoio'!C:C,'ABC Insumos Apoio'!A:A)),"")</f>
        <v>Trocador de calor integrado</v>
      </c>
      <c r="F256" s="281" t="str">
        <f ca="1">IFERROR(IF(A256="","",_xlfn.XLOOKUP(E256,Insumos!A:A,Insumos!B:B)),"")</f>
        <v>un</v>
      </c>
      <c r="G256" s="282">
        <f ca="1">IFERROR(IF(A256="","",SUMIF(Orçamento!P:P,E256,Orçamento!X:X)),"")</f>
        <v>1</v>
      </c>
      <c r="H256" s="283">
        <f ca="1">IFERROR(IF(A256="","",_xlfn.XLOOKUP(E256,Insumos!A:A,Insumos!C:C)),"")</f>
        <v>20392</v>
      </c>
      <c r="I256" s="283">
        <f t="shared" ca="1" si="10"/>
        <v>20392</v>
      </c>
      <c r="J256" s="284">
        <f t="shared" ca="1" si="11"/>
        <v>2.9254183180346177E-3</v>
      </c>
      <c r="K256" s="284">
        <f t="shared" ca="1" si="12"/>
        <v>0.69786175081602975</v>
      </c>
    </row>
    <row r="257" spans="1:11" ht="9.6" customHeight="1" x14ac:dyDescent="0.2">
      <c r="A257" s="10" t="str">
        <f ca="1"/>
        <v>20353,97 - FIAÇÃO - TERREO</v>
      </c>
      <c r="B257" s="10">
        <f ca="1">IF(OR(A257="",A257=0),"",LARGE($B$8:B256,1)+1)</f>
        <v>249</v>
      </c>
      <c r="C257" s="7"/>
      <c r="D257" s="279">
        <f ca="1">IF(A257="","",COUNTIF(Orçamento!P:P,A257))</f>
        <v>0</v>
      </c>
      <c r="E257" s="280" t="str">
        <f ca="1">IFERROR(IF(A257="","",_xlfn.XLOOKUP(A257,'ABC Insumos Apoio'!C:C,'ABC Insumos Apoio'!A:A)),"")</f>
        <v>FIAÇÃO - TERREO</v>
      </c>
      <c r="F257" s="281" t="str">
        <f ca="1">IFERROR(IF(A257="","",_xlfn.XLOOKUP(E257,Insumos!A:A,Insumos!B:B)),"")</f>
        <v>VB</v>
      </c>
      <c r="G257" s="282">
        <f ca="1">IFERROR(IF(A257="","",SUMIF(Orçamento!P:P,E257,Orçamento!X:X)),"")</f>
        <v>1</v>
      </c>
      <c r="H257" s="283">
        <f ca="1">IFERROR(IF(A257="","",_xlfn.XLOOKUP(E257,Insumos!A:A,Insumos!C:C)),"")</f>
        <v>20353.962884251054</v>
      </c>
      <c r="I257" s="283">
        <f t="shared" ca="1" si="10"/>
        <v>20353.962884251054</v>
      </c>
      <c r="J257" s="284">
        <f t="shared" ca="1" si="11"/>
        <v>2.9199615469882676E-3</v>
      </c>
      <c r="K257" s="284">
        <f t="shared" ca="1" si="12"/>
        <v>0.70078171236301801</v>
      </c>
    </row>
    <row r="258" spans="1:11" ht="9.6" customHeight="1" x14ac:dyDescent="0.2">
      <c r="A258" s="10" t="str">
        <f ca="1"/>
        <v>20119,06 - MANTA ASFALTICA ELASTOMERICA EM POLIESTER 3MM, TIPO III, CLASSE B, ACA</v>
      </c>
      <c r="B258" s="10">
        <f ca="1">IF(OR(A258="",A258=0),"",LARGE($B$8:B257,1)+1)</f>
        <v>250</v>
      </c>
      <c r="C258" s="7"/>
      <c r="D258" s="279">
        <f ca="1">IF(A258="","",COUNTIF(Orçamento!P:P,A258))</f>
        <v>0</v>
      </c>
      <c r="E258" s="280" t="str">
        <f ca="1">IFERROR(IF(A258="","",_xlfn.XLOOKUP(A258,'ABC Insumos Apoio'!C:C,'ABC Insumos Apoio'!A:A)),"")</f>
        <v>MANTA ASFALTICA ELASTOMERICA EM POLIESTER 3MM, TIPO III, CLASSE B, ACA</v>
      </c>
      <c r="F258" s="281" t="str">
        <f ca="1">IFERROR(IF(A258="","",_xlfn.XLOOKUP(E258,Insumos!A:A,Insumos!B:B)),"")</f>
        <v>M2</v>
      </c>
      <c r="G258" s="282">
        <f ca="1">IFERROR(IF(A258="","",SUMIF(Orçamento!P:P,E258,Orçamento!X:X)),"")</f>
        <v>533.37900000000002</v>
      </c>
      <c r="H258" s="283">
        <f ca="1">IFERROR(IF(A258="","",_xlfn.XLOOKUP(E258,Insumos!A:A,Insumos!C:C)),"")</f>
        <v>37.72</v>
      </c>
      <c r="I258" s="283">
        <f t="shared" ca="1" si="10"/>
        <v>20119.05588</v>
      </c>
      <c r="J258" s="284">
        <f t="shared" ca="1" si="11"/>
        <v>2.8862619955332524E-3</v>
      </c>
      <c r="K258" s="284">
        <f t="shared" ca="1" si="12"/>
        <v>0.70366797435855122</v>
      </c>
    </row>
    <row r="259" spans="1:11" ht="9.6" customHeight="1" x14ac:dyDescent="0.2">
      <c r="A259" s="10" t="str">
        <f ca="1"/>
        <v>2000 - TAXAS DE APROVACAO E ALVARAS</v>
      </c>
      <c r="B259" s="10">
        <f ca="1">IF(OR(A259="",A259=0),"",LARGE($B$8:B258,1)+1)</f>
        <v>251</v>
      </c>
      <c r="C259" s="7"/>
      <c r="D259" s="279">
        <f ca="1">IF(A259="","",COUNTIF(Orçamento!P:P,A259))</f>
        <v>0</v>
      </c>
      <c r="E259" s="280" t="str">
        <f ca="1">IFERROR(IF(A259="","",_xlfn.XLOOKUP(A259,'ABC Insumos Apoio'!C:C,'ABC Insumos Apoio'!A:A)),"")</f>
        <v>TAXAS DE APROVACAO E ALVARAS</v>
      </c>
      <c r="F259" s="281" t="str">
        <f ca="1">IFERROR(IF(A259="","",_xlfn.XLOOKUP(E259,Insumos!A:A,Insumos!B:B)),"")</f>
        <v>VB</v>
      </c>
      <c r="G259" s="282">
        <f ca="1">IFERROR(IF(A259="","",SUMIF(Orçamento!P:P,E259,Orçamento!X:X)),"")</f>
        <v>1</v>
      </c>
      <c r="H259" s="283">
        <f ca="1">IFERROR(IF(A259="","",_xlfn.XLOOKUP(E259,Insumos!A:A,Insumos!C:C)),"")</f>
        <v>2000</v>
      </c>
      <c r="I259" s="283">
        <f t="shared" ca="1" si="10"/>
        <v>2000</v>
      </c>
      <c r="J259" s="284">
        <f t="shared" ca="1" si="11"/>
        <v>2.8691823440904447E-4</v>
      </c>
      <c r="K259" s="284">
        <f t="shared" ca="1" si="12"/>
        <v>0.70395489259296029</v>
      </c>
    </row>
    <row r="260" spans="1:11" ht="9.6" customHeight="1" x14ac:dyDescent="0.2">
      <c r="A260" s="10" t="str">
        <f ca="1"/>
        <v>19887,24 - P1 - PORTA MADEIRA ACABAMENTO MELAMÍNICO BRANCO - ABRIR (E. VERTIVAL) - 80X210</v>
      </c>
      <c r="B260" s="10">
        <f ca="1">IF(OR(A260="",A260=0),"",LARGE($B$8:B259,1)+1)</f>
        <v>252</v>
      </c>
      <c r="C260" s="7"/>
      <c r="D260" s="279">
        <f ca="1">IF(A260="","",COUNTIF(Orçamento!P:P,A260))</f>
        <v>0</v>
      </c>
      <c r="E260" s="280" t="str">
        <f ca="1">IFERROR(IF(A260="","",_xlfn.XLOOKUP(A260,'ABC Insumos Apoio'!C:C,'ABC Insumos Apoio'!A:A)),"")</f>
        <v>P1 - PORTA MADEIRA ACABAMENTO MELAMÍNICO BRANCO - ABRIR (E. VERTIVAL) - 80X210</v>
      </c>
      <c r="F260" s="281" t="str">
        <f ca="1">IFERROR(IF(A260="","",_xlfn.XLOOKUP(E260,Insumos!A:A,Insumos!B:B)),"")</f>
        <v>UN</v>
      </c>
      <c r="G260" s="282">
        <f ca="1">IFERROR(IF(A260="","",SUMIF(Orçamento!P:P,E260,Orçamento!X:X)),"")</f>
        <v>42</v>
      </c>
      <c r="H260" s="283">
        <f ca="1">IFERROR(IF(A260="","",_xlfn.XLOOKUP(E260,Insumos!A:A,Insumos!C:C)),"")</f>
        <v>473.50549999999998</v>
      </c>
      <c r="I260" s="283">
        <f t="shared" ca="1" si="10"/>
        <v>19887.231</v>
      </c>
      <c r="J260" s="284">
        <f t="shared" ca="1" si="11"/>
        <v>2.8530046029024082E-3</v>
      </c>
      <c r="K260" s="284">
        <f t="shared" ca="1" si="12"/>
        <v>0.70680789719586268</v>
      </c>
    </row>
    <row r="261" spans="1:11" ht="9.6" customHeight="1" x14ac:dyDescent="0.2">
      <c r="A261" s="10" t="str">
        <f ca="1"/>
        <v>19864,52 - ACO CA-50A 6,30 MM (1/4)</v>
      </c>
      <c r="B261" s="10">
        <f ca="1">IF(OR(A261="",A261=0),"",LARGE($B$8:B260,1)+1)</f>
        <v>253</v>
      </c>
      <c r="C261" s="7"/>
      <c r="D261" s="279">
        <f ca="1">IF(A261="","",COUNTIF(Orçamento!P:P,A261))</f>
        <v>0</v>
      </c>
      <c r="E261" s="280" t="str">
        <f ca="1">IFERROR(IF(A261="","",_xlfn.XLOOKUP(A261,'ABC Insumos Apoio'!C:C,'ABC Insumos Apoio'!A:A)),"")</f>
        <v>ACO CA-50A 6,30 MM (1/4)</v>
      </c>
      <c r="F261" s="281" t="str">
        <f ca="1">IFERROR(IF(A261="","",_xlfn.XLOOKUP(E261,Insumos!A:A,Insumos!B:B)),"")</f>
        <v>KG</v>
      </c>
      <c r="G261" s="282">
        <f ca="1">IFERROR(IF(A261="","",SUMIF(Orçamento!P:P,E261,Orçamento!X:X)),"")</f>
        <v>3534.6113000000005</v>
      </c>
      <c r="H261" s="283">
        <f ca="1">IFERROR(IF(A261="","",_xlfn.XLOOKUP(E261,Insumos!A:A,Insumos!C:C)),"")</f>
        <v>5.62</v>
      </c>
      <c r="I261" s="283">
        <f t="shared" ca="1" si="10"/>
        <v>19864.515506000003</v>
      </c>
      <c r="J261" s="284">
        <f t="shared" ca="1" si="11"/>
        <v>2.849745858186304E-3</v>
      </c>
      <c r="K261" s="284">
        <f t="shared" ca="1" si="12"/>
        <v>0.70965764305404899</v>
      </c>
    </row>
    <row r="262" spans="1:11" ht="9.6" customHeight="1" x14ac:dyDescent="0.2">
      <c r="A262" s="10" t="str">
        <f ca="1"/>
        <v>1981,7 - MAO DE OBRA PARA PINTURA EPOXI EM PISO</v>
      </c>
      <c r="B262" s="10">
        <f ca="1">IF(OR(A262="",A262=0),"",LARGE($B$8:B261,1)+1)</f>
        <v>254</v>
      </c>
      <c r="C262" s="7"/>
      <c r="D262" s="279">
        <f ca="1">IF(A262="","",COUNTIF(Orçamento!P:P,A262))</f>
        <v>0</v>
      </c>
      <c r="E262" s="280" t="str">
        <f ca="1">IFERROR(IF(A262="","",_xlfn.XLOOKUP(A262,'ABC Insumos Apoio'!C:C,'ABC Insumos Apoio'!A:A)),"")</f>
        <v>MAO DE OBRA PARA PINTURA EPOXI EM PISO</v>
      </c>
      <c r="F262" s="281" t="str">
        <f ca="1">IFERROR(IF(A262="","",_xlfn.XLOOKUP(E262,Insumos!A:A,Insumos!B:B)),"")</f>
        <v>M2</v>
      </c>
      <c r="G262" s="282">
        <f ca="1">IFERROR(IF(A262="","",SUMIF(Orçamento!P:P,E262,Orçamento!X:X)),"")</f>
        <v>44.08</v>
      </c>
      <c r="H262" s="283">
        <f ca="1">IFERROR(IF(A262="","",_xlfn.XLOOKUP(E262,Insumos!A:A,Insumos!C:C)),"")</f>
        <v>44.956704738697304</v>
      </c>
      <c r="I262" s="283">
        <f t="shared" ca="1" si="10"/>
        <v>1981.6915448817772</v>
      </c>
      <c r="J262" s="284">
        <f t="shared" ca="1" si="11"/>
        <v>2.8429171960040562E-4</v>
      </c>
      <c r="K262" s="284">
        <f t="shared" ca="1" si="12"/>
        <v>0.70994193477364942</v>
      </c>
    </row>
    <row r="263" spans="1:11" ht="9.6" customHeight="1" x14ac:dyDescent="0.2">
      <c r="A263" s="10" t="str">
        <f ca="1"/>
        <v>198 - ACABAMENTO REGISTRO LATAO CROMADO 3/4" NBR 15705</v>
      </c>
      <c r="B263" s="10">
        <f ca="1">IF(OR(A263="",A263=0),"",LARGE($B$8:B262,1)+1)</f>
        <v>255</v>
      </c>
      <c r="C263" s="7"/>
      <c r="D263" s="279">
        <f ca="1">IF(A263="","",COUNTIF(Orçamento!P:P,A263))</f>
        <v>0</v>
      </c>
      <c r="E263" s="280" t="str">
        <f ca="1">IFERROR(IF(A263="","",_xlfn.XLOOKUP(A263,'ABC Insumos Apoio'!C:C,'ABC Insumos Apoio'!A:A)),"")</f>
        <v>ACABAMENTO REGISTRO LATAO CROMADO 3/4" NBR 15705</v>
      </c>
      <c r="F263" s="281" t="str">
        <f ca="1">IFERROR(IF(A263="","",_xlfn.XLOOKUP(E263,Insumos!A:A,Insumos!B:B)),"")</f>
        <v>un</v>
      </c>
      <c r="G263" s="282">
        <f ca="1">IFERROR(IF(A263="","",SUMIF(Orçamento!P:P,E263,Orçamento!X:X)),"")</f>
        <v>3</v>
      </c>
      <c r="H263" s="283">
        <f ca="1">IFERROR(IF(A263="","",_xlfn.XLOOKUP(E263,Insumos!A:A,Insumos!C:C)),"")</f>
        <v>66</v>
      </c>
      <c r="I263" s="283">
        <f t="shared" ca="1" si="10"/>
        <v>198</v>
      </c>
      <c r="J263" s="284">
        <f t="shared" ca="1" si="11"/>
        <v>2.8404905206495404E-5</v>
      </c>
      <c r="K263" s="284">
        <f t="shared" ca="1" si="12"/>
        <v>0.70997033967885592</v>
      </c>
    </row>
    <row r="264" spans="1:11" ht="9.6" customHeight="1" x14ac:dyDescent="0.2">
      <c r="A264" s="10" t="str">
        <f ca="1"/>
        <v>19765,64 - SERVICO EMP. - INST. FORRO GESSO NEGATIVO</v>
      </c>
      <c r="B264" s="10">
        <f ca="1">IF(OR(A264="",A264=0),"",LARGE($B$8:B263,1)+1)</f>
        <v>256</v>
      </c>
      <c r="C264" s="7"/>
      <c r="D264" s="279">
        <f ca="1">IF(A264="","",COUNTIF(Orçamento!P:P,A264))</f>
        <v>0</v>
      </c>
      <c r="E264" s="280" t="str">
        <f ca="1">IFERROR(IF(A264="","",_xlfn.XLOOKUP(A264,'ABC Insumos Apoio'!C:C,'ABC Insumos Apoio'!A:A)),"")</f>
        <v>SERVICO EMP. - INST. FORRO GESSO NEGATIVO</v>
      </c>
      <c r="F264" s="281" t="str">
        <f ca="1">IFERROR(IF(A264="","",_xlfn.XLOOKUP(E264,Insumos!A:A,Insumos!B:B)),"")</f>
        <v>M</v>
      </c>
      <c r="G264" s="282">
        <f ca="1">IFERROR(IF(A264="","",SUMIF(Orçamento!P:P,E264,Orçamento!X:X)),"")</f>
        <v>1235.3519999999999</v>
      </c>
      <c r="H264" s="283">
        <f ca="1">IFERROR(IF(A264="","",_xlfn.XLOOKUP(E264,Insumos!A:A,Insumos!C:C)),"")</f>
        <v>16</v>
      </c>
      <c r="I264" s="283">
        <f t="shared" ca="1" si="10"/>
        <v>19765.631999999998</v>
      </c>
      <c r="J264" s="284">
        <f t="shared" ca="1" si="11"/>
        <v>2.835560117709455E-3</v>
      </c>
      <c r="K264" s="284">
        <f t="shared" ca="1" si="12"/>
        <v>0.71280589979656539</v>
      </c>
    </row>
    <row r="265" spans="1:11" ht="9.6" customHeight="1" x14ac:dyDescent="0.2">
      <c r="A265" s="10" t="str">
        <f ca="1"/>
        <v>19432,3 - COMUNICACAO VISUAL INTERNA / EXTERNA</v>
      </c>
      <c r="B265" s="10">
        <f ca="1">IF(OR(A265="",A265=0),"",LARGE($B$8:B264,1)+1)</f>
        <v>257</v>
      </c>
      <c r="C265" s="7"/>
      <c r="D265" s="279">
        <f ca="1">IF(A265="","",COUNTIF(Orçamento!P:P,A265))</f>
        <v>0</v>
      </c>
      <c r="E265" s="280" t="str">
        <f ca="1">IFERROR(IF(A265="","",_xlfn.XLOOKUP(A265,'ABC Insumos Apoio'!C:C,'ABC Insumos Apoio'!A:A)),"")</f>
        <v>COMUNICACAO VISUAL INTERNA / EXTERNA</v>
      </c>
      <c r="F265" s="281" t="str">
        <f ca="1">IFERROR(IF(A265="","",_xlfn.XLOOKUP(E265,Insumos!A:A,Insumos!B:B)),"")</f>
        <v>VB</v>
      </c>
      <c r="G265" s="282">
        <f ca="1">IFERROR(IF(A265="","",SUMIF(Orçamento!P:P,E265,Orçamento!X:X)),"")</f>
        <v>1</v>
      </c>
      <c r="H265" s="283">
        <f ca="1">IFERROR(IF(A265="","",_xlfn.XLOOKUP(E265,Insumos!A:A,Insumos!C:C)),"")</f>
        <v>19432.3</v>
      </c>
      <c r="I265" s="283">
        <f t="shared" ref="I265:I296" ca="1" si="13">IFERROR(IF(E265="","",G265*H265),"")</f>
        <v>19432.3</v>
      </c>
      <c r="J265" s="284">
        <f t="shared" ref="J265:J296" ca="1" si="14">IFERROR(IF(I265="","",I265/$I$6),0)</f>
        <v>2.7877406032534376E-3</v>
      </c>
      <c r="K265" s="284">
        <f t="shared" ca="1" si="12"/>
        <v>0.71559364039981888</v>
      </c>
    </row>
    <row r="266" spans="1:11" ht="9.6" customHeight="1" x14ac:dyDescent="0.2">
      <c r="A266" s="10" t="str">
        <f ca="1"/>
        <v xml:space="preserve">1915,31 - Manilha reta padrão "D", corpo forjado em aço carbono 1045 c/ pino reforçado alloy, roscado 1/2". </v>
      </c>
      <c r="B266" s="10">
        <f ca="1">IF(OR(A266="",A266=0),"",LARGE($B$8:B265,1)+1)</f>
        <v>258</v>
      </c>
      <c r="C266" s="7"/>
      <c r="D266" s="279">
        <f ca="1">IF(A266="","",COUNTIF(Orçamento!P:P,A266))</f>
        <v>0</v>
      </c>
      <c r="E266" s="280" t="str">
        <f ca="1">IFERROR(IF(A266="","",_xlfn.XLOOKUP(A266,'ABC Insumos Apoio'!C:C,'ABC Insumos Apoio'!A:A)),"")</f>
        <v xml:space="preserve">Manilha reta padrão "D", corpo forjado em aço carbono 1045 c/ pino reforçado alloy, roscado 1/2". </v>
      </c>
      <c r="F266" s="281" t="str">
        <f ca="1">IFERROR(IF(A266="","",_xlfn.XLOOKUP(E266,Insumos!A:A,Insumos!B:B)),"")</f>
        <v>un</v>
      </c>
      <c r="G266" s="282">
        <f ca="1">IFERROR(IF(A266="","",SUMIF(Orçamento!P:P,E266,Orçamento!X:X)),"")</f>
        <v>58.932567999999996</v>
      </c>
      <c r="H266" s="283">
        <f ca="1">IFERROR(IF(A266="","",_xlfn.XLOOKUP(E266,Insumos!A:A,Insumos!C:C)),"")</f>
        <v>32.5</v>
      </c>
      <c r="I266" s="283">
        <f t="shared" ca="1" si="13"/>
        <v>1915.30846</v>
      </c>
      <c r="J266" s="284">
        <f t="shared" ca="1" si="14"/>
        <v>2.7476846084595303E-4</v>
      </c>
      <c r="K266" s="284">
        <f t="shared" ref="K266:K296" ca="1" si="15">IF(I266="","",J266+K265)</f>
        <v>0.71586840886066483</v>
      </c>
    </row>
    <row r="267" spans="1:11" ht="9.6" customHeight="1" x14ac:dyDescent="0.2">
      <c r="A267" s="10" t="str">
        <f ca="1"/>
        <v>19008,61 - ARGAMASSA ESTABILIZADA P/ ASSENTAMENTO</v>
      </c>
      <c r="B267" s="10">
        <f ca="1">IF(OR(A267="",A267=0),"",LARGE($B$8:B266,1)+1)</f>
        <v>259</v>
      </c>
      <c r="C267" s="7"/>
      <c r="D267" s="279">
        <f ca="1">IF(A267="","",COUNTIF(Orçamento!P:P,A267))</f>
        <v>0</v>
      </c>
      <c r="E267" s="280" t="str">
        <f ca="1">IFERROR(IF(A267="","",_xlfn.XLOOKUP(A267,'ABC Insumos Apoio'!C:C,'ABC Insumos Apoio'!A:A)),"")</f>
        <v>ARGAMASSA ESTABILIZADA P/ ASSENTAMENTO</v>
      </c>
      <c r="F267" s="281" t="str">
        <f ca="1">IFERROR(IF(A267="","",_xlfn.XLOOKUP(E267,Insumos!A:A,Insumos!B:B)),"")</f>
        <v>M3</v>
      </c>
      <c r="G267" s="282">
        <f ca="1">IFERROR(IF(A267="","",SUMIF(Orçamento!P:P,E267,Orçamento!X:X)),"")</f>
        <v>44.726137139999992</v>
      </c>
      <c r="H267" s="283">
        <f ca="1">IFERROR(IF(A267="","",_xlfn.XLOOKUP(E267,Insumos!A:A,Insumos!C:C)),"")</f>
        <v>425</v>
      </c>
      <c r="I267" s="283">
        <f t="shared" ca="1" si="13"/>
        <v>19008.608284499998</v>
      </c>
      <c r="J267" s="284">
        <f t="shared" ca="1" si="14"/>
        <v>2.7269581637809378E-3</v>
      </c>
      <c r="K267" s="284">
        <f t="shared" ca="1" si="15"/>
        <v>0.71859536702444582</v>
      </c>
    </row>
    <row r="268" spans="1:11" ht="9.6" customHeight="1" x14ac:dyDescent="0.2">
      <c r="A268" s="10" t="str">
        <f ca="1"/>
        <v>18900,91 - INSTALAÇÕES AGUA FRIA - TIPO (X5)</v>
      </c>
      <c r="B268" s="10">
        <f ca="1">IF(OR(A268="",A268=0),"",LARGE($B$8:B267,1)+1)</f>
        <v>260</v>
      </c>
      <c r="C268" s="7"/>
      <c r="D268" s="279">
        <f ca="1">IF(A268="","",COUNTIF(Orçamento!P:P,A268))</f>
        <v>0</v>
      </c>
      <c r="E268" s="280" t="str">
        <f ca="1">IFERROR(IF(A268="","",_xlfn.XLOOKUP(A268,'ABC Insumos Apoio'!C:C,'ABC Insumos Apoio'!A:A)),"")</f>
        <v>INSTALAÇÕES AGUA FRIA - TIPO (X5)</v>
      </c>
      <c r="F268" s="281" t="str">
        <f ca="1">IFERROR(IF(A268="","",_xlfn.XLOOKUP(E268,Insumos!A:A,Insumos!B:B)),"")</f>
        <v>UN</v>
      </c>
      <c r="G268" s="282">
        <f ca="1">IFERROR(IF(A268="","",SUMIF(Orçamento!P:P,E268,Orçamento!X:X)),"")</f>
        <v>1</v>
      </c>
      <c r="H268" s="283">
        <f ca="1">IFERROR(IF(A268="","",_xlfn.XLOOKUP(E268,Insumos!A:A,Insumos!C:C)),"")</f>
        <v>18900.901252411702</v>
      </c>
      <c r="I268" s="283">
        <f t="shared" ca="1" si="13"/>
        <v>18900.901252411702</v>
      </c>
      <c r="J268" s="284">
        <f t="shared" ca="1" si="14"/>
        <v>2.7115066080408319E-3</v>
      </c>
      <c r="K268" s="284">
        <f t="shared" ca="1" si="15"/>
        <v>0.72130687363248669</v>
      </c>
    </row>
    <row r="269" spans="1:11" ht="9.6" customHeight="1" x14ac:dyDescent="0.2">
      <c r="A269" s="10" t="str">
        <f ca="1"/>
        <v>1890,56 - INSTALAÇÕES AGUA PLUVIAIS - COBERTURA</v>
      </c>
      <c r="B269" s="10">
        <f ca="1">IF(OR(A269="",A269=0),"",LARGE($B$8:B268,1)+1)</f>
        <v>261</v>
      </c>
      <c r="C269" s="7"/>
      <c r="D269" s="279">
        <f ca="1">IF(A269="","",COUNTIF(Orçamento!P:P,A269))</f>
        <v>0</v>
      </c>
      <c r="E269" s="280" t="str">
        <f ca="1">IFERROR(IF(A269="","",_xlfn.XLOOKUP(A269,'ABC Insumos Apoio'!C:C,'ABC Insumos Apoio'!A:A)),"")</f>
        <v>INSTALAÇÕES AGUA PLUVIAIS - COBERTURA</v>
      </c>
      <c r="F269" s="281" t="str">
        <f ca="1">IFERROR(IF(A269="","",_xlfn.XLOOKUP(E269,Insumos!A:A,Insumos!B:B)),"")</f>
        <v>UN</v>
      </c>
      <c r="G269" s="282">
        <f ca="1">IFERROR(IF(A269="","",SUMIF(Orçamento!P:P,E269,Orçamento!X:X)),"")</f>
        <v>1</v>
      </c>
      <c r="H269" s="283">
        <f ca="1">IFERROR(IF(A269="","",_xlfn.XLOOKUP(E269,Insumos!A:A,Insumos!C:C)),"")</f>
        <v>1890.5533297573372</v>
      </c>
      <c r="I269" s="283">
        <f t="shared" ca="1" si="13"/>
        <v>1890.5533297573372</v>
      </c>
      <c r="J269" s="284">
        <f t="shared" ca="1" si="14"/>
        <v>2.7121711171505764E-4</v>
      </c>
      <c r="K269" s="284">
        <f t="shared" ca="1" si="15"/>
        <v>0.72157809074420176</v>
      </c>
    </row>
    <row r="270" spans="1:11" ht="9.6" customHeight="1" x14ac:dyDescent="0.2">
      <c r="A270" s="10" t="str">
        <f ca="1"/>
        <v>1890,1 - LUMINÁRIAS - TIPO (x5)</v>
      </c>
      <c r="B270" s="10">
        <f ca="1">IF(OR(A270="",A270=0),"",LARGE($B$8:B269,1)+1)</f>
        <v>262</v>
      </c>
      <c r="C270" s="7"/>
      <c r="D270" s="279">
        <f ca="1">IF(A270="","",COUNTIF(Orçamento!P:P,A270))</f>
        <v>0</v>
      </c>
      <c r="E270" s="280" t="str">
        <f ca="1">IFERROR(IF(A270="","",_xlfn.XLOOKUP(A270,'ABC Insumos Apoio'!C:C,'ABC Insumos Apoio'!A:A)),"")</f>
        <v>LUMINÁRIAS - TIPO (x5)</v>
      </c>
      <c r="F270" s="281" t="str">
        <f ca="1">IFERROR(IF(A270="","",_xlfn.XLOOKUP(E270,Insumos!A:A,Insumos!B:B)),"")</f>
        <v>VB</v>
      </c>
      <c r="G270" s="282">
        <f ca="1">IFERROR(IF(A270="","",SUMIF(Orçamento!P:P,E270,Orçamento!X:X)),"")</f>
        <v>1</v>
      </c>
      <c r="H270" s="283">
        <f ca="1">IFERROR(IF(A270="","",_xlfn.XLOOKUP(E270,Insumos!A:A,Insumos!C:C)),"")</f>
        <v>1890.0901252411704</v>
      </c>
      <c r="I270" s="283">
        <f t="shared" ca="1" si="13"/>
        <v>1890.0901252411704</v>
      </c>
      <c r="J270" s="284">
        <f t="shared" ca="1" si="14"/>
        <v>2.7115066080408322E-4</v>
      </c>
      <c r="K270" s="284">
        <f t="shared" ca="1" si="15"/>
        <v>0.72184924140500584</v>
      </c>
    </row>
    <row r="271" spans="1:11" ht="9.6" customHeight="1" x14ac:dyDescent="0.2">
      <c r="A271" s="10" t="str">
        <f ca="1"/>
        <v>18786,82 - Tabua de pinus 20x2,5x300cm</v>
      </c>
      <c r="B271" s="10">
        <f ca="1">IF(OR(A271="",A271=0),"",LARGE($B$8:B270,1)+1)</f>
        <v>263</v>
      </c>
      <c r="C271" s="7"/>
      <c r="D271" s="279">
        <f ca="1">IF(A271="","",COUNTIF(Orçamento!P:P,A271))</f>
        <v>0</v>
      </c>
      <c r="E271" s="280" t="str">
        <f ca="1">IFERROR(IF(A271="","",_xlfn.XLOOKUP(A271,'ABC Insumos Apoio'!C:C,'ABC Insumos Apoio'!A:A)),"")</f>
        <v>Tabua de pinus 20x2,5x300cm</v>
      </c>
      <c r="F271" s="281" t="str">
        <f ca="1">IFERROR(IF(A271="","",_xlfn.XLOOKUP(E271,Insumos!A:A,Insumos!B:B)),"")</f>
        <v>M3</v>
      </c>
      <c r="G271" s="282">
        <f ca="1">IFERROR(IF(A271="","",SUMIF(Orçamento!P:P,E271,Orçamento!X:X)),"")</f>
        <v>13.32398371475</v>
      </c>
      <c r="H271" s="283">
        <f ca="1">IFERROR(IF(A271="","",_xlfn.XLOOKUP(E271,Insumos!A:A,Insumos!C:C)),"")</f>
        <v>1410</v>
      </c>
      <c r="I271" s="283">
        <f t="shared" ca="1" si="13"/>
        <v>18786.8170377975</v>
      </c>
      <c r="J271" s="284">
        <f t="shared" ca="1" si="14"/>
        <v>2.6951401873253071E-3</v>
      </c>
      <c r="K271" s="284">
        <f t="shared" ca="1" si="15"/>
        <v>0.72454438159233114</v>
      </c>
    </row>
    <row r="272" spans="1:11" ht="9.6" customHeight="1" x14ac:dyDescent="0.2">
      <c r="A272" s="10" t="str">
        <f ca="1"/>
        <v>186300 - MAO DE OBRA PARA CHAPISCO E REBOCO EXTERNOS</v>
      </c>
      <c r="B272" s="10">
        <f ca="1">IF(OR(A272="",A272=0),"",LARGE($B$8:B271,1)+1)</f>
        <v>264</v>
      </c>
      <c r="C272" s="7"/>
      <c r="D272" s="279">
        <f ca="1">IF(A272="","",COUNTIF(Orçamento!P:P,A272))</f>
        <v>0</v>
      </c>
      <c r="E272" s="280" t="str">
        <f ca="1">IFERROR(IF(A272="","",_xlfn.XLOOKUP(A272,'ABC Insumos Apoio'!C:C,'ABC Insumos Apoio'!A:A)),"")</f>
        <v>MAO DE OBRA PARA CHAPISCO E REBOCO EXTERNOS</v>
      </c>
      <c r="F272" s="281" t="str">
        <f ca="1">IFERROR(IF(A272="","",_xlfn.XLOOKUP(E272,Insumos!A:A,Insumos!B:B)),"")</f>
        <v>M2</v>
      </c>
      <c r="G272" s="282">
        <f ca="1">IFERROR(IF(A272="","",SUMIF(Orçamento!P:P,E272,Orçamento!X:X)),"")</f>
        <v>1878.05</v>
      </c>
      <c r="H272" s="283">
        <f ca="1">IFERROR(IF(A272="","",_xlfn.XLOOKUP(E272,Insumos!A:A,Insumos!C:C)),"")</f>
        <v>99.198636884002028</v>
      </c>
      <c r="I272" s="283">
        <f t="shared" ca="1" si="13"/>
        <v>186300</v>
      </c>
      <c r="J272" s="284">
        <f t="shared" ca="1" si="14"/>
        <v>2.6726433535202494E-2</v>
      </c>
      <c r="K272" s="284">
        <f t="shared" ca="1" si="15"/>
        <v>0.75127081512753369</v>
      </c>
    </row>
    <row r="273" spans="1:11" ht="9.6" customHeight="1" x14ac:dyDescent="0.2">
      <c r="A273" s="10" t="str">
        <f ca="1"/>
        <v>186,64 - TELA ACO CARBONO CA60 M.100X100MM F.05,6MM 245X600CM Q246 (57,5KG/UN)</v>
      </c>
      <c r="B273" s="10">
        <f ca="1">IF(OR(A273="",A273=0),"",LARGE($B$8:B272,1)+1)</f>
        <v>265</v>
      </c>
      <c r="C273" s="7"/>
      <c r="D273" s="279">
        <f ca="1">IF(A273="","",COUNTIF(Orçamento!P:P,A273))</f>
        <v>0</v>
      </c>
      <c r="E273" s="280" t="str">
        <f ca="1">IFERROR(IF(A273="","",_xlfn.XLOOKUP(A273,'ABC Insumos Apoio'!C:C,'ABC Insumos Apoio'!A:A)),"")</f>
        <v>TELA ACO CARBONO CA60 M.100X100MM F.05,6MM 245X600CM Q246 (57,5KG/UN)</v>
      </c>
      <c r="F273" s="281" t="str">
        <f ca="1">IFERROR(IF(A273="","",_xlfn.XLOOKUP(E273,Insumos!A:A,Insumos!B:B)),"")</f>
        <v>KG</v>
      </c>
      <c r="G273" s="282">
        <f ca="1">IFERROR(IF(A273="","",SUMIF(Orçamento!P:P,E273,Orçamento!X:X)),"")</f>
        <v>20.900000000000002</v>
      </c>
      <c r="H273" s="283">
        <f ca="1">IFERROR(IF(A273="","",_xlfn.XLOOKUP(E273,Insumos!A:A,Insumos!C:C)),"")</f>
        <v>8.93</v>
      </c>
      <c r="I273" s="283">
        <f t="shared" ca="1" si="13"/>
        <v>186.637</v>
      </c>
      <c r="J273" s="284">
        <f t="shared" ca="1" si="14"/>
        <v>2.6774779257700419E-5</v>
      </c>
      <c r="K273" s="284">
        <f t="shared" ca="1" si="15"/>
        <v>0.75129758990679141</v>
      </c>
    </row>
    <row r="274" spans="1:11" ht="9.6" customHeight="1" x14ac:dyDescent="0.2">
      <c r="A274" s="10" t="str">
        <f ca="1"/>
        <v>1848 - CÓPIAS E PLOTAGENS</v>
      </c>
      <c r="B274" s="10">
        <f ca="1">IF(OR(A274="",A274=0),"",LARGE($B$8:B273,1)+1)</f>
        <v>266</v>
      </c>
      <c r="C274" s="7"/>
      <c r="D274" s="279">
        <f ca="1">IF(A274="","",COUNTIF(Orçamento!P:P,A274))</f>
        <v>0</v>
      </c>
      <c r="E274" s="280" t="str">
        <f ca="1">IFERROR(IF(A274="","",_xlfn.XLOOKUP(A274,'ABC Insumos Apoio'!C:C,'ABC Insumos Apoio'!A:A)),"")</f>
        <v>CÓPIAS E PLOTAGENS</v>
      </c>
      <c r="F274" s="281" t="str">
        <f ca="1">IFERROR(IF(A274="","",_xlfn.XLOOKUP(E274,Insumos!A:A,Insumos!B:B)),"")</f>
        <v>MÊS</v>
      </c>
      <c r="G274" s="282">
        <f ca="1">IFERROR(IF(A274="","",SUMIF(Orçamento!P:P,E274,Orçamento!X:X)),"")</f>
        <v>22</v>
      </c>
      <c r="H274" s="283">
        <f ca="1">IFERROR(IF(A274="","",_xlfn.XLOOKUP(E274,Insumos!A:A,Insumos!C:C)),"")</f>
        <v>84</v>
      </c>
      <c r="I274" s="283">
        <f t="shared" ca="1" si="13"/>
        <v>1848</v>
      </c>
      <c r="J274" s="284">
        <f t="shared" ca="1" si="14"/>
        <v>2.6511244859395714E-4</v>
      </c>
      <c r="K274" s="284">
        <f t="shared" ca="1" si="15"/>
        <v>0.75156270235538536</v>
      </c>
    </row>
    <row r="275" spans="1:11" ht="9.6" customHeight="1" x14ac:dyDescent="0.2">
      <c r="A275" s="10" t="str">
        <f ca="1"/>
        <v>182850 - MAO DE OBRA PARA EXECUCAO DE INFRAESTRUTURA</v>
      </c>
      <c r="B275" s="10">
        <f ca="1">IF(OR(A275="",A275=0),"",LARGE($B$8:B274,1)+1)</f>
        <v>267</v>
      </c>
      <c r="C275" s="7"/>
      <c r="D275" s="279">
        <f ca="1">IF(A275="","",COUNTIF(Orçamento!P:P,A275))</f>
        <v>0</v>
      </c>
      <c r="E275" s="280" t="str">
        <f ca="1">IFERROR(IF(A275="","",_xlfn.XLOOKUP(A275,'ABC Insumos Apoio'!C:C,'ABC Insumos Apoio'!A:A)),"")</f>
        <v>MAO DE OBRA PARA EXECUCAO DE INFRAESTRUTURA</v>
      </c>
      <c r="F275" s="281" t="str">
        <f ca="1">IFERROR(IF(A275="","",_xlfn.XLOOKUP(E275,Insumos!A:A,Insumos!B:B)),"")</f>
        <v>M2</v>
      </c>
      <c r="G275" s="282">
        <f ca="1">IFERROR(IF(A275="","",SUMIF(Orçamento!P:P,E275,Orçamento!X:X)),"")</f>
        <v>1</v>
      </c>
      <c r="H275" s="283">
        <f ca="1">IFERROR(IF(A275="","",_xlfn.XLOOKUP(E275,Insumos!A:A,Insumos!C:C)),"")</f>
        <v>182850</v>
      </c>
      <c r="I275" s="283">
        <f t="shared" ca="1" si="13"/>
        <v>182850</v>
      </c>
      <c r="J275" s="284">
        <f t="shared" ca="1" si="14"/>
        <v>2.6231499580846893E-2</v>
      </c>
      <c r="K275" s="284">
        <f t="shared" ca="1" si="15"/>
        <v>0.77779420193623228</v>
      </c>
    </row>
    <row r="276" spans="1:11" ht="9.6" customHeight="1" x14ac:dyDescent="0.2">
      <c r="A276" s="10" t="str">
        <f ca="1"/>
        <v>18235,61 - BOMBEAMENTO DE CONCRETO USINADO</v>
      </c>
      <c r="B276" s="10">
        <f ca="1">IF(OR(A276="",A276=0),"",LARGE($B$8:B275,1)+1)</f>
        <v>268</v>
      </c>
      <c r="C276" s="7"/>
      <c r="D276" s="279">
        <f ca="1">IF(A276="","",COUNTIF(Orçamento!P:P,A276))</f>
        <v>0</v>
      </c>
      <c r="E276" s="280" t="str">
        <f ca="1">IFERROR(IF(A276="","",_xlfn.XLOOKUP(A276,'ABC Insumos Apoio'!C:C,'ABC Insumos Apoio'!A:A)),"")</f>
        <v>BOMBEAMENTO DE CONCRETO USINADO</v>
      </c>
      <c r="F276" s="281" t="str">
        <f ca="1">IFERROR(IF(A276="","",_xlfn.XLOOKUP(E276,Insumos!A:A,Insumos!B:B)),"")</f>
        <v>M3</v>
      </c>
      <c r="G276" s="282">
        <f ca="1">IFERROR(IF(A276="","",SUMIF(Orçamento!P:P,E276,Orçamento!X:X)),"")</f>
        <v>521.01741398700005</v>
      </c>
      <c r="H276" s="283">
        <f ca="1">IFERROR(IF(A276="","",_xlfn.XLOOKUP(E276,Insumos!A:A,Insumos!C:C)),"")</f>
        <v>35</v>
      </c>
      <c r="I276" s="283">
        <f t="shared" ca="1" si="13"/>
        <v>18235.609489545001</v>
      </c>
      <c r="J276" s="284">
        <f t="shared" ca="1" si="14"/>
        <v>2.6160644390565342E-3</v>
      </c>
      <c r="K276" s="284">
        <f t="shared" ca="1" si="15"/>
        <v>0.78041026637528876</v>
      </c>
    </row>
    <row r="277" spans="1:11" ht="9.6" customHeight="1" x14ac:dyDescent="0.2">
      <c r="A277" s="10" t="str">
        <f ca="1"/>
        <v>1815 - SERVICO LOCACAO/TRANSPORTE/DESCARTE CACAMBA 5M3 - RESIDUOS CLASSE D</v>
      </c>
      <c r="B277" s="10">
        <f ca="1">IF(OR(A277="",A277=0),"",LARGE($B$8:B276,1)+1)</f>
        <v>269</v>
      </c>
      <c r="C277" s="7"/>
      <c r="D277" s="279">
        <f ca="1">IF(A277="","",COUNTIF(Orçamento!P:P,A277))</f>
        <v>0</v>
      </c>
      <c r="E277" s="280" t="str">
        <f ca="1">IFERROR(IF(A277="","",_xlfn.XLOOKUP(A277,'ABC Insumos Apoio'!C:C,'ABC Insumos Apoio'!A:A)),"")</f>
        <v>SERVICO LOCACAO/TRANSPORTE/DESCARTE CACAMBA 5M3 - RESIDUOS CLASSE D</v>
      </c>
      <c r="F277" s="281" t="str">
        <f ca="1">IFERROR(IF(A277="","",_xlfn.XLOOKUP(E277,Insumos!A:A,Insumos!B:B)),"")</f>
        <v>UN</v>
      </c>
      <c r="G277" s="282">
        <f ca="1">IFERROR(IF(A277="","",SUMIF(Orçamento!P:P,E277,Orçamento!X:X)),"")</f>
        <v>3.3000000000000007</v>
      </c>
      <c r="H277" s="283">
        <f ca="1">IFERROR(IF(A277="","",_xlfn.XLOOKUP(E277,Insumos!A:A,Insumos!C:C)),"")</f>
        <v>550</v>
      </c>
      <c r="I277" s="283">
        <f t="shared" ca="1" si="13"/>
        <v>1815.0000000000005</v>
      </c>
      <c r="J277" s="284">
        <f t="shared" ca="1" si="14"/>
        <v>2.6037829772620797E-4</v>
      </c>
      <c r="K277" s="284">
        <f t="shared" ca="1" si="15"/>
        <v>0.78067064467301495</v>
      </c>
    </row>
    <row r="278" spans="1:11" ht="9.6" customHeight="1" x14ac:dyDescent="0.2">
      <c r="A278" s="10" t="str">
        <f ca="1"/>
        <v>180000 - ELEVADOR SOCIAL 8 PARADAS</v>
      </c>
      <c r="B278" s="10">
        <f ca="1">IF(OR(A278="",A278=0),"",LARGE($B$8:B277,1)+1)</f>
        <v>270</v>
      </c>
      <c r="C278" s="7"/>
      <c r="D278" s="279">
        <f ca="1">IF(A278="","",COUNTIF(Orçamento!P:P,A278))</f>
        <v>0</v>
      </c>
      <c r="E278" s="280" t="str">
        <f ca="1">IFERROR(IF(A278="","",_xlfn.XLOOKUP(A278,'ABC Insumos Apoio'!C:C,'ABC Insumos Apoio'!A:A)),"")</f>
        <v>ELEVADOR SOCIAL 8 PARADAS</v>
      </c>
      <c r="F278" s="281" t="str">
        <f ca="1">IFERROR(IF(A278="","",_xlfn.XLOOKUP(E278,Insumos!A:A,Insumos!B:B)),"")</f>
        <v>UN</v>
      </c>
      <c r="G278" s="282">
        <f ca="1">IFERROR(IF(A278="","",SUMIF(Orçamento!P:P,E278,Orçamento!X:X)),"")</f>
        <v>1</v>
      </c>
      <c r="H278" s="283">
        <f ca="1">IFERROR(IF(A278="","",_xlfn.XLOOKUP(E278,Insumos!A:A,Insumos!C:C)),"")</f>
        <v>180000</v>
      </c>
      <c r="I278" s="283">
        <f t="shared" ca="1" si="13"/>
        <v>180000</v>
      </c>
      <c r="J278" s="284">
        <f t="shared" ca="1" si="14"/>
        <v>2.5822641096814005E-2</v>
      </c>
      <c r="K278" s="284">
        <f t="shared" ca="1" si="15"/>
        <v>0.80649328576982893</v>
      </c>
    </row>
    <row r="279" spans="1:11" ht="9.6" customHeight="1" x14ac:dyDescent="0.2">
      <c r="A279" s="10" t="str">
        <f ca="1"/>
        <v>178,79 - Abraçadeira para linha de vida em aço galvanizado para poste de 3" de cabo 1/2"</v>
      </c>
      <c r="B279" s="10">
        <f ca="1">IF(OR(A279="",A279=0),"",LARGE($B$8:B278,1)+1)</f>
        <v>271</v>
      </c>
      <c r="C279" s="7"/>
      <c r="D279" s="279">
        <f ca="1">IF(A279="","",COUNTIF(Orçamento!P:P,A279))</f>
        <v>0</v>
      </c>
      <c r="E279" s="280" t="str">
        <f ca="1">IFERROR(IF(A279="","",_xlfn.XLOOKUP(A279,'ABC Insumos Apoio'!C:C,'ABC Insumos Apoio'!A:A)),"")</f>
        <v>Abraçadeira para linha de vida em aço galvanizado para poste de 3" de cabo 1/2"</v>
      </c>
      <c r="F279" s="281" t="str">
        <f ca="1">IFERROR(IF(A279="","",_xlfn.XLOOKUP(E279,Insumos!A:A,Insumos!B:B)),"")</f>
        <v>un</v>
      </c>
      <c r="G279" s="282">
        <f ca="1">IFERROR(IF(A279="","",SUMIF(Orçamento!P:P,E279,Orçamento!X:X)),"")</f>
        <v>2.1033519999999997</v>
      </c>
      <c r="H279" s="283">
        <f ca="1">IFERROR(IF(A279="","",_xlfn.XLOOKUP(E279,Insumos!A:A,Insumos!C:C)),"")</f>
        <v>85</v>
      </c>
      <c r="I279" s="283">
        <f t="shared" ca="1" si="13"/>
        <v>178.78491999999997</v>
      </c>
      <c r="J279" s="284">
        <f t="shared" ca="1" si="14"/>
        <v>2.5648326792681131E-5</v>
      </c>
      <c r="K279" s="284">
        <f t="shared" ca="1" si="15"/>
        <v>0.80651893409662156</v>
      </c>
    </row>
    <row r="280" spans="1:11" ht="9.6" customHeight="1" x14ac:dyDescent="0.2">
      <c r="A280" s="10" t="str">
        <f ca="1"/>
        <v>17706,1 - ACO CA-50A 20,00 MM (3/4)</v>
      </c>
      <c r="B280" s="10">
        <f ca="1">IF(OR(A280="",A280=0),"",LARGE($B$8:B279,1)+1)</f>
        <v>272</v>
      </c>
      <c r="C280" s="7"/>
      <c r="D280" s="279">
        <f ca="1">IF(A280="","",COUNTIF(Orçamento!P:P,A280))</f>
        <v>0</v>
      </c>
      <c r="E280" s="280" t="str">
        <f ca="1">IFERROR(IF(A280="","",_xlfn.XLOOKUP(A280,'ABC Insumos Apoio'!C:C,'ABC Insumos Apoio'!A:A)),"")</f>
        <v>ACO CA-50A 20,00 MM (3/4)</v>
      </c>
      <c r="F280" s="281" t="str">
        <f ca="1">IFERROR(IF(A280="","",_xlfn.XLOOKUP(E280,Insumos!A:A,Insumos!B:B)),"")</f>
        <v>KG</v>
      </c>
      <c r="G280" s="282">
        <f ca="1">IFERROR(IF(A280="","",SUMIF(Orçamento!P:P,E280,Orçamento!X:X)),"")</f>
        <v>3405.0174400000005</v>
      </c>
      <c r="H280" s="283">
        <f ca="1">IFERROR(IF(A280="","",_xlfn.XLOOKUP(E280,Insumos!A:A,Insumos!C:C)),"")</f>
        <v>5.2</v>
      </c>
      <c r="I280" s="283">
        <f t="shared" ca="1" si="13"/>
        <v>17706.090688000004</v>
      </c>
      <c r="J280" s="284">
        <f t="shared" ca="1" si="14"/>
        <v>2.5401001392436925E-3</v>
      </c>
      <c r="K280" s="284">
        <f t="shared" ca="1" si="15"/>
        <v>0.80905903423586523</v>
      </c>
    </row>
    <row r="281" spans="1:11" ht="9.6" customHeight="1" x14ac:dyDescent="0.2">
      <c r="A281" s="10" t="str">
        <f ca="1"/>
        <v>176,6 - MAO DE OBRA PARA COLOCACAO DE SOLEIRAS EM GRANITO - m²</v>
      </c>
      <c r="B281" s="10">
        <f ca="1">IF(OR(A281="",A281=0),"",LARGE($B$8:B280,1)+1)</f>
        <v>273</v>
      </c>
      <c r="C281" s="7"/>
      <c r="D281" s="279">
        <f ca="1">IF(A281="","",COUNTIF(Orçamento!P:P,A281))</f>
        <v>0</v>
      </c>
      <c r="E281" s="280" t="str">
        <f ca="1">IFERROR(IF(A281="","",_xlfn.XLOOKUP(A281,'ABC Insumos Apoio'!C:C,'ABC Insumos Apoio'!A:A)),"")</f>
        <v>MAO DE OBRA PARA COLOCACAO DE SOLEIRAS EM GRANITO - m²</v>
      </c>
      <c r="F281" s="281" t="str">
        <f ca="1">IFERROR(IF(A281="","",_xlfn.XLOOKUP(E281,Insumos!A:A,Insumos!B:B)),"")</f>
        <v>M2</v>
      </c>
      <c r="G281" s="282">
        <f ca="1">IFERROR(IF(A281="","",SUMIF(Orçamento!P:P,E281,Orçamento!X:X)),"")</f>
        <v>16.979999999999997</v>
      </c>
      <c r="H281" s="283">
        <f ca="1">IFERROR(IF(A281="","",_xlfn.XLOOKUP(E281,Insumos!A:A,Insumos!C:C)),"")</f>
        <v>10.4</v>
      </c>
      <c r="I281" s="283">
        <f t="shared" ca="1" si="13"/>
        <v>176.59199999999998</v>
      </c>
      <c r="J281" s="284">
        <f t="shared" ca="1" si="14"/>
        <v>2.5333732425380992E-5</v>
      </c>
      <c r="K281" s="284">
        <f t="shared" ca="1" si="15"/>
        <v>0.80908436796829064</v>
      </c>
    </row>
    <row r="282" spans="1:11" ht="9.6" customHeight="1" x14ac:dyDescent="0.2">
      <c r="A282" s="10" t="str">
        <f ca="1"/>
        <v>17289,01 - MANTA ACÚSTICA DE POLIETILENO</v>
      </c>
      <c r="B282" s="10">
        <f ca="1">IF(OR(A282="",A282=0),"",LARGE($B$8:B281,1)+1)</f>
        <v>274</v>
      </c>
      <c r="C282" s="7"/>
      <c r="D282" s="279">
        <f ca="1">IF(A282="","",COUNTIF(Orçamento!P:P,A282))</f>
        <v>0</v>
      </c>
      <c r="E282" s="280" t="str">
        <f ca="1">IFERROR(IF(A282="","",_xlfn.XLOOKUP(A282,'ABC Insumos Apoio'!C:C,'ABC Insumos Apoio'!A:A)),"")</f>
        <v>MANTA ACÚSTICA DE POLIETILENO</v>
      </c>
      <c r="F282" s="281" t="str">
        <f ca="1">IFERROR(IF(A282="","",_xlfn.XLOOKUP(E282,Insumos!A:A,Insumos!B:B)),"")</f>
        <v>M2</v>
      </c>
      <c r="G282" s="282">
        <f ca="1">IFERROR(IF(A282="","",SUMIF(Orçamento!P:P,E282,Orçamento!X:X)),"")</f>
        <v>1703.3500000000001</v>
      </c>
      <c r="H282" s="283">
        <f ca="1">IFERROR(IF(A282="","",_xlfn.XLOOKUP(E282,Insumos!A:A,Insumos!C:C)),"")</f>
        <v>10.15</v>
      </c>
      <c r="I282" s="283">
        <f t="shared" ca="1" si="13"/>
        <v>17289.002500000002</v>
      </c>
      <c r="J282" s="284">
        <f t="shared" ca="1" si="14"/>
        <v>2.4802650359967786E-3</v>
      </c>
      <c r="K282" s="284">
        <f t="shared" ca="1" si="15"/>
        <v>0.81156463300428738</v>
      </c>
    </row>
    <row r="283" spans="1:11" ht="9.6" customHeight="1" x14ac:dyDescent="0.2">
      <c r="A283" s="10" t="str">
        <f ca="1"/>
        <v>1716 - MANUTENCAO PARA VEICULOS PROPRIOS</v>
      </c>
      <c r="B283" s="10">
        <f ca="1">IF(OR(A283="",A283=0),"",LARGE($B$8:B282,1)+1)</f>
        <v>275</v>
      </c>
      <c r="C283" s="7"/>
      <c r="D283" s="279">
        <f ca="1">IF(A283="","",COUNTIF(Orçamento!P:P,A283))</f>
        <v>0</v>
      </c>
      <c r="E283" s="280" t="str">
        <f ca="1">IFERROR(IF(A283="","",_xlfn.XLOOKUP(A283,'ABC Insumos Apoio'!C:C,'ABC Insumos Apoio'!A:A)),"")</f>
        <v>MANUTENCAO PARA VEICULOS PROPRIOS</v>
      </c>
      <c r="F283" s="281" t="str">
        <f ca="1">IFERROR(IF(A283="","",_xlfn.XLOOKUP(E283,Insumos!A:A,Insumos!B:B)),"")</f>
        <v>VB</v>
      </c>
      <c r="G283" s="282">
        <f ca="1">IFERROR(IF(A283="","",SUMIF(Orçamento!P:P,E283,Orçamento!X:X)),"")</f>
        <v>22</v>
      </c>
      <c r="H283" s="283">
        <f ca="1">IFERROR(IF(A283="","",_xlfn.XLOOKUP(E283,Insumos!A:A,Insumos!C:C)),"")</f>
        <v>78</v>
      </c>
      <c r="I283" s="283">
        <f t="shared" ca="1" si="13"/>
        <v>1716</v>
      </c>
      <c r="J283" s="284">
        <f t="shared" ca="1" si="14"/>
        <v>2.4617584512296017E-4</v>
      </c>
      <c r="K283" s="284">
        <f t="shared" ca="1" si="15"/>
        <v>0.81181080884941037</v>
      </c>
    </row>
    <row r="284" spans="1:11" ht="9.6" customHeight="1" x14ac:dyDescent="0.2">
      <c r="A284" s="10" t="str">
        <f ca="1"/>
        <v>17000 - Equipamento de ar-condicionado</v>
      </c>
      <c r="B284" s="10">
        <f ca="1">IF(OR(A284="",A284=0),"",LARGE($B$8:B283,1)+1)</f>
        <v>276</v>
      </c>
      <c r="C284" s="7"/>
      <c r="D284" s="279">
        <f ca="1">IF(A284="","",COUNTIF(Orçamento!P:P,A284))</f>
        <v>0</v>
      </c>
      <c r="E284" s="280" t="str">
        <f ca="1">IFERROR(IF(A284="","",_xlfn.XLOOKUP(A284,'ABC Insumos Apoio'!C:C,'ABC Insumos Apoio'!A:A)),"")</f>
        <v>Equipamento de ar-condicionado</v>
      </c>
      <c r="F284" s="281" t="str">
        <f ca="1">IFERROR(IF(A284="","",_xlfn.XLOOKUP(E284,Insumos!A:A,Insumos!B:B)),"")</f>
        <v>UN</v>
      </c>
      <c r="G284" s="282">
        <f ca="1">IFERROR(IF(A284="","",SUMIF(Orçamento!P:P,E284,Orçamento!X:X)),"")</f>
        <v>2</v>
      </c>
      <c r="H284" s="283">
        <f ca="1">IFERROR(IF(A284="","",_xlfn.XLOOKUP(E284,Insumos!A:A,Insumos!C:C)),"")</f>
        <v>8500</v>
      </c>
      <c r="I284" s="283">
        <f t="shared" ca="1" si="13"/>
        <v>17000</v>
      </c>
      <c r="J284" s="284">
        <f t="shared" ca="1" si="14"/>
        <v>2.4388049924768782E-3</v>
      </c>
      <c r="K284" s="284">
        <f t="shared" ca="1" si="15"/>
        <v>0.81424961384188721</v>
      </c>
    </row>
    <row r="285" spans="1:11" ht="9.6" customHeight="1" x14ac:dyDescent="0.2">
      <c r="A285" s="10" t="str">
        <f ca="1"/>
        <v>1687,27 - ADESIVO DE BASE ACRILICA COMPATIVEL COM CIMENTO</v>
      </c>
      <c r="B285" s="10">
        <f ca="1">IF(OR(A285="",A285=0),"",LARGE($B$8:B284,1)+1)</f>
        <v>277</v>
      </c>
      <c r="C285" s="7"/>
      <c r="D285" s="279">
        <f ca="1">IF(A285="","",COUNTIF(Orçamento!P:P,A285))</f>
        <v>0</v>
      </c>
      <c r="E285" s="280" t="str">
        <f ca="1">IFERROR(IF(A285="","",_xlfn.XLOOKUP(A285,'ABC Insumos Apoio'!C:C,'ABC Insumos Apoio'!A:A)),"")</f>
        <v>ADESIVO DE BASE ACRILICA COMPATIVEL COM CIMENTO</v>
      </c>
      <c r="F285" s="281" t="str">
        <f ca="1">IFERROR(IF(A285="","",_xlfn.XLOOKUP(E285,Insumos!A:A,Insumos!B:B)),"")</f>
        <v>KG</v>
      </c>
      <c r="G285" s="282">
        <f ca="1">IFERROR(IF(A285="","",SUMIF(Orçamento!P:P,E285,Orçamento!X:X)),"")</f>
        <v>93.789000000000001</v>
      </c>
      <c r="H285" s="283">
        <f ca="1">IFERROR(IF(A285="","",_xlfn.XLOOKUP(E285,Insumos!A:A,Insumos!C:C)),"")</f>
        <v>17.990000000000002</v>
      </c>
      <c r="I285" s="283">
        <f t="shared" ca="1" si="13"/>
        <v>1687.2641100000003</v>
      </c>
      <c r="J285" s="284">
        <f t="shared" ca="1" si="14"/>
        <v>2.4205341971147396E-4</v>
      </c>
      <c r="K285" s="284">
        <f t="shared" ca="1" si="15"/>
        <v>0.81449166726159872</v>
      </c>
    </row>
    <row r="286" spans="1:11" ht="9.6" customHeight="1" x14ac:dyDescent="0.2">
      <c r="A286" s="10" t="str">
        <f ca="1"/>
        <v>1680,15 - ACO CA-60 5,00 MM</v>
      </c>
      <c r="B286" s="10">
        <f ca="1">IF(OR(A286="",A286=0),"",LARGE($B$8:B285,1)+1)</f>
        <v>278</v>
      </c>
      <c r="C286" s="7"/>
      <c r="D286" s="279">
        <f ca="1">IF(A286="","",COUNTIF(Orçamento!P:P,A286))</f>
        <v>0</v>
      </c>
      <c r="E286" s="280" t="str">
        <f ca="1">IFERROR(IF(A286="","",_xlfn.XLOOKUP(A286,'ABC Insumos Apoio'!C:C,'ABC Insumos Apoio'!A:A)),"")</f>
        <v>ACO CA-60 5,00 MM</v>
      </c>
      <c r="F286" s="281" t="str">
        <f ca="1">IFERROR(IF(A286="","",_xlfn.XLOOKUP(E286,Insumos!A:A,Insumos!B:B)),"")</f>
        <v>KG</v>
      </c>
      <c r="G286" s="282">
        <f ca="1">IFERROR(IF(A286="","",SUMIF(Orçamento!P:P,E286,Orçamento!X:X)),"")</f>
        <v>274.98309999999998</v>
      </c>
      <c r="H286" s="283">
        <f ca="1">IFERROR(IF(A286="","",_xlfn.XLOOKUP(E286,Insumos!A:A,Insumos!C:C)),"")</f>
        <v>6.11</v>
      </c>
      <c r="I286" s="283">
        <f t="shared" ca="1" si="13"/>
        <v>1680.146741</v>
      </c>
      <c r="J286" s="284">
        <f t="shared" ca="1" si="14"/>
        <v>2.4103236823791509E-4</v>
      </c>
      <c r="K286" s="284">
        <f t="shared" ca="1" si="15"/>
        <v>0.81473269962983663</v>
      </c>
    </row>
    <row r="287" spans="1:11" ht="9.6" customHeight="1" x14ac:dyDescent="0.2">
      <c r="A287" s="10" t="str">
        <f ca="1"/>
        <v>167,79 - PREGO DE ACO 18 X 27 COM CABECA</v>
      </c>
      <c r="B287" s="10">
        <f ca="1">IF(OR(A287="",A287=0),"",LARGE($B$8:B286,1)+1)</f>
        <v>279</v>
      </c>
      <c r="C287" s="7"/>
      <c r="D287" s="279">
        <f ca="1">IF(A287="","",COUNTIF(Orçamento!P:P,A287))</f>
        <v>0</v>
      </c>
      <c r="E287" s="280" t="str">
        <f ca="1">IFERROR(IF(A287="","",_xlfn.XLOOKUP(A287,'ABC Insumos Apoio'!C:C,'ABC Insumos Apoio'!A:A)),"")</f>
        <v>PREGO DE ACO 18 X 27 COM CABECA</v>
      </c>
      <c r="F287" s="281" t="str">
        <f ca="1">IFERROR(IF(A287="","",_xlfn.XLOOKUP(E287,Insumos!A:A,Insumos!B:B)),"")</f>
        <v>KG</v>
      </c>
      <c r="G287" s="282">
        <f ca="1">IFERROR(IF(A287="","",SUMIF(Orçamento!P:P,E287,Orçamento!X:X)),"")</f>
        <v>13.8437</v>
      </c>
      <c r="H287" s="283">
        <f ca="1">IFERROR(IF(A287="","",_xlfn.XLOOKUP(E287,Insumos!A:A,Insumos!C:C)),"")</f>
        <v>12.120000000000001</v>
      </c>
      <c r="I287" s="283">
        <f t="shared" ca="1" si="13"/>
        <v>167.78564400000002</v>
      </c>
      <c r="J287" s="284">
        <f t="shared" ca="1" si="14"/>
        <v>2.4070380367832248E-5</v>
      </c>
      <c r="K287" s="284">
        <f t="shared" ca="1" si="15"/>
        <v>0.81475677001020441</v>
      </c>
    </row>
    <row r="288" spans="1:11" ht="9.6" customHeight="1" x14ac:dyDescent="0.2">
      <c r="A288" s="10" t="str">
        <f ca="1"/>
        <v>165 - TORNEIRA LATAO CROMADO PAREDE P/PIA 1/2" C33 BICA ALTA</v>
      </c>
      <c r="B288" s="10">
        <f ca="1">IF(OR(A288="",A288=0),"",LARGE($B$8:B287,1)+1)</f>
        <v>280</v>
      </c>
      <c r="C288" s="7"/>
      <c r="D288" s="279">
        <f ca="1">IF(A288="","",COUNTIF(Orçamento!P:P,A288))</f>
        <v>0</v>
      </c>
      <c r="E288" s="280" t="str">
        <f ca="1">IFERROR(IF(A288="","",_xlfn.XLOOKUP(A288,'ABC Insumos Apoio'!C:C,'ABC Insumos Apoio'!A:A)),"")</f>
        <v>TORNEIRA LATAO CROMADO PAREDE P/PIA 1/2" C33 BICA ALTA</v>
      </c>
      <c r="F288" s="281" t="str">
        <f ca="1">IFERROR(IF(A288="","",_xlfn.XLOOKUP(E288,Insumos!A:A,Insumos!B:B)),"")</f>
        <v>un</v>
      </c>
      <c r="G288" s="282">
        <f ca="1">IFERROR(IF(A288="","",SUMIF(Orçamento!P:P,E288,Orçamento!X:X)),"")</f>
        <v>1</v>
      </c>
      <c r="H288" s="283">
        <f ca="1">IFERROR(IF(A288="","",_xlfn.XLOOKUP(E288,Insumos!A:A,Insumos!C:C)),"")</f>
        <v>165</v>
      </c>
      <c r="I288" s="283">
        <f t="shared" ca="1" si="13"/>
        <v>165</v>
      </c>
      <c r="J288" s="284">
        <f t="shared" ca="1" si="14"/>
        <v>2.367075433874617E-5</v>
      </c>
      <c r="K288" s="284">
        <f t="shared" ca="1" si="15"/>
        <v>0.81478044076454315</v>
      </c>
    </row>
    <row r="289" spans="1:11" ht="9.6" customHeight="1" x14ac:dyDescent="0.2">
      <c r="A289" s="10" t="str">
        <f ca="1"/>
        <v>1615 - VERBA PARA TAPUME</v>
      </c>
      <c r="B289" s="10">
        <f ca="1">IF(OR(A289="",A289=0),"",LARGE($B$8:B288,1)+1)</f>
        <v>281</v>
      </c>
      <c r="C289" s="7"/>
      <c r="D289" s="279">
        <f ca="1">IF(A289="","",COUNTIF(Orçamento!P:P,A289))</f>
        <v>0</v>
      </c>
      <c r="E289" s="280" t="str">
        <f ca="1">IFERROR(IF(A289="","",_xlfn.XLOOKUP(A289,'ABC Insumos Apoio'!C:C,'ABC Insumos Apoio'!A:A)),"")</f>
        <v>VERBA PARA TAPUME</v>
      </c>
      <c r="F289" s="281" t="str">
        <f ca="1">IFERROR(IF(A289="","",_xlfn.XLOOKUP(E289,Insumos!A:A,Insumos!B:B)),"")</f>
        <v>VB</v>
      </c>
      <c r="G289" s="282">
        <f ca="1">IFERROR(IF(A289="","",SUMIF(Orçamento!P:P,E289,Orçamento!X:X)),"")</f>
        <v>1</v>
      </c>
      <c r="H289" s="283">
        <f ca="1">IFERROR(IF(A289="","",_xlfn.XLOOKUP(E289,Insumos!A:A,Insumos!C:C)),"")</f>
        <v>1615</v>
      </c>
      <c r="I289" s="283">
        <f t="shared" ca="1" si="13"/>
        <v>1615</v>
      </c>
      <c r="J289" s="284">
        <f t="shared" ca="1" si="14"/>
        <v>2.3168647428530343E-4</v>
      </c>
      <c r="K289" s="284">
        <f t="shared" ca="1" si="15"/>
        <v>0.81501212723882843</v>
      </c>
    </row>
    <row r="290" spans="1:11" ht="9.6" customHeight="1" x14ac:dyDescent="0.2">
      <c r="A290" s="10" t="str">
        <f ca="1"/>
        <v>15870 - MAO DE OBRA PARA ESTUCAMENTO DE ESTRUTURA DE CONCRETO EM TETO</v>
      </c>
      <c r="B290" s="10">
        <f ca="1">IF(OR(A290="",A290=0),"",LARGE($B$8:B289,1)+1)</f>
        <v>282</v>
      </c>
      <c r="C290" s="7"/>
      <c r="D290" s="279">
        <f ca="1">IF(A290="","",COUNTIF(Orçamento!P:P,A290))</f>
        <v>0</v>
      </c>
      <c r="E290" s="280" t="str">
        <f ca="1">IFERROR(IF(A290="","",_xlfn.XLOOKUP(A290,'ABC Insumos Apoio'!C:C,'ABC Insumos Apoio'!A:A)),"")</f>
        <v>MAO DE OBRA PARA ESTUCAMENTO DE ESTRUTURA DE CONCRETO EM TETO</v>
      </c>
      <c r="F290" s="281" t="str">
        <f ca="1">IFERROR(IF(A290="","",_xlfn.XLOOKUP(E290,Insumos!A:A,Insumos!B:B)),"")</f>
        <v>M2</v>
      </c>
      <c r="G290" s="282">
        <f ca="1">IFERROR(IF(A290="","",SUMIF(Orçamento!P:P,E290,Orçamento!X:X)),"")</f>
        <v>313.44</v>
      </c>
      <c r="H290" s="283">
        <f ca="1">IFERROR(IF(A290="","",_xlfn.XLOOKUP(E290,Insumos!A:A,Insumos!C:C)),"")</f>
        <v>50.631699846860634</v>
      </c>
      <c r="I290" s="283">
        <f t="shared" ca="1" si="13"/>
        <v>15869.999999999996</v>
      </c>
      <c r="J290" s="284">
        <f t="shared" ca="1" si="14"/>
        <v>2.2766961900357674E-3</v>
      </c>
      <c r="K290" s="284">
        <f t="shared" ca="1" si="15"/>
        <v>0.81728882342886422</v>
      </c>
    </row>
    <row r="291" spans="1:11" ht="9.6" customHeight="1" x14ac:dyDescent="0.2">
      <c r="A291" s="10" t="str">
        <f ca="1"/>
        <v>15870 - MAO DE OBRA PARA ESTUCAMENTO DE ESTRUTURA DE CONCRETO</v>
      </c>
      <c r="B291" s="10">
        <f ca="1">IF(OR(A291="",A291=0),"",LARGE($B$8:B290,1)+1)</f>
        <v>283</v>
      </c>
      <c r="C291" s="7"/>
      <c r="D291" s="279">
        <f ca="1">IF(A291="","",COUNTIF(Orçamento!P:P,A291))</f>
        <v>0</v>
      </c>
      <c r="E291" s="280" t="str">
        <f ca="1">IFERROR(IF(A291="","",_xlfn.XLOOKUP(A291,'ABC Insumos Apoio'!C:C,'ABC Insumos Apoio'!A:A)),"")</f>
        <v>MAO DE OBRA PARA ESTUCAMENTO DE ESTRUTURA DE CONCRETO</v>
      </c>
      <c r="F291" s="281" t="str">
        <f ca="1">IFERROR(IF(A291="","",_xlfn.XLOOKUP(E291,Insumos!A:A,Insumos!B:B)),"")</f>
        <v>M2</v>
      </c>
      <c r="G291" s="282">
        <f ca="1">IFERROR(IF(A291="","",SUMIF(Orçamento!P:P,E291,Orçamento!X:X)),"")</f>
        <v>311.82</v>
      </c>
      <c r="H291" s="283">
        <f ca="1">IFERROR(IF(A291="","",_xlfn.XLOOKUP(E291,Insumos!A:A,Insumos!C:C)),"")</f>
        <v>50.894746969405425</v>
      </c>
      <c r="I291" s="283">
        <f t="shared" ca="1" si="13"/>
        <v>15870</v>
      </c>
      <c r="J291" s="284">
        <f t="shared" ca="1" si="14"/>
        <v>2.2766961900357679E-3</v>
      </c>
      <c r="K291" s="284">
        <f t="shared" ca="1" si="15"/>
        <v>0.81956551961890001</v>
      </c>
    </row>
    <row r="292" spans="1:11" ht="9.6" customHeight="1" x14ac:dyDescent="0.2">
      <c r="A292" s="10" t="str">
        <f ca="1"/>
        <v>15728,26 - QUADROS E DISJUNTORES - TIPO (x5)</v>
      </c>
      <c r="B292" s="10">
        <f ca="1">IF(OR(A292="",A292=0),"",LARGE($B$8:B291,1)+1)</f>
        <v>284</v>
      </c>
      <c r="C292" s="7"/>
      <c r="D292" s="279">
        <f ca="1">IF(A292="","",COUNTIF(Orçamento!P:P,A292))</f>
        <v>0</v>
      </c>
      <c r="E292" s="280" t="str">
        <f ca="1">IFERROR(IF(A292="","",_xlfn.XLOOKUP(A292,'ABC Insumos Apoio'!C:C,'ABC Insumos Apoio'!A:A)),"")</f>
        <v>QUADROS E DISJUNTORES - TIPO (x5)</v>
      </c>
      <c r="F292" s="281" t="str">
        <f ca="1">IFERROR(IF(A292="","",_xlfn.XLOOKUP(E292,Insumos!A:A,Insumos!B:B)),"")</f>
        <v>VB</v>
      </c>
      <c r="G292" s="282">
        <f ca="1">IFERROR(IF(A292="","",SUMIF(Orçamento!P:P,E292,Orçamento!X:X)),"")</f>
        <v>1</v>
      </c>
      <c r="H292" s="283">
        <f ca="1">IFERROR(IF(A292="","",_xlfn.XLOOKUP(E292,Insumos!A:A,Insumos!C:C)),"")</f>
        <v>15728.259120650528</v>
      </c>
      <c r="I292" s="283">
        <f t="shared" ca="1" si="13"/>
        <v>15728.259120650528</v>
      </c>
      <c r="J292" s="284">
        <f t="shared" ca="1" si="14"/>
        <v>2.2563621686124999E-3</v>
      </c>
      <c r="K292" s="284">
        <f t="shared" ca="1" si="15"/>
        <v>0.82182188178751248</v>
      </c>
    </row>
    <row r="293" spans="1:11" ht="9.6" customHeight="1" x14ac:dyDescent="0.2">
      <c r="A293" s="10" t="str">
        <f ca="1"/>
        <v>156055 - MAO DE OBRA PARA CHAPISCO E REBOCO INTERNOS</v>
      </c>
      <c r="B293" s="10">
        <f ca="1">IF(OR(A293="",A293=0),"",LARGE($B$8:B292,1)+1)</f>
        <v>285</v>
      </c>
      <c r="C293" s="7"/>
      <c r="D293" s="279">
        <f ca="1">IF(A293="","",COUNTIF(Orçamento!P:P,A293))</f>
        <v>0</v>
      </c>
      <c r="E293" s="280" t="str">
        <f ca="1">IFERROR(IF(A293="","",_xlfn.XLOOKUP(A293,'ABC Insumos Apoio'!C:C,'ABC Insumos Apoio'!A:A)),"")</f>
        <v>MAO DE OBRA PARA CHAPISCO E REBOCO INTERNOS</v>
      </c>
      <c r="F293" s="281" t="str">
        <f ca="1">IFERROR(IF(A293="","",_xlfn.XLOOKUP(E293,Insumos!A:A,Insumos!B:B)),"")</f>
        <v>M2</v>
      </c>
      <c r="G293" s="282">
        <f ca="1">IFERROR(IF(A293="","",SUMIF(Orçamento!P:P,E293,Orçamento!X:X)),"")</f>
        <v>3840.1949999999997</v>
      </c>
      <c r="H293" s="283">
        <f ca="1">IFERROR(IF(A293="","",_xlfn.XLOOKUP(E293,Insumos!A:A,Insumos!C:C)),"")</f>
        <v>40.637259305842548</v>
      </c>
      <c r="I293" s="283">
        <f t="shared" ca="1" si="13"/>
        <v>156055</v>
      </c>
      <c r="J293" s="284">
        <f t="shared" ca="1" si="14"/>
        <v>2.238751253535172E-2</v>
      </c>
      <c r="K293" s="284">
        <f t="shared" ca="1" si="15"/>
        <v>0.84420939432286424</v>
      </c>
    </row>
    <row r="294" spans="1:11" ht="9.6" customHeight="1" x14ac:dyDescent="0.2">
      <c r="A294" s="10" t="str">
        <f ca="1"/>
        <v>1560,45 - PONTOS DE TOMADA E INTERRUPTORES - COBERTURA</v>
      </c>
      <c r="B294" s="10">
        <f ca="1">IF(OR(A294="",A294=0),"",LARGE($B$8:B293,1)+1)</f>
        <v>286</v>
      </c>
      <c r="C294" s="7"/>
      <c r="D294" s="279">
        <f ca="1">IF(A294="","",COUNTIF(Orçamento!P:P,A294))</f>
        <v>0</v>
      </c>
      <c r="E294" s="280" t="str">
        <f ca="1">IFERROR(IF(A294="","",_xlfn.XLOOKUP(A294,'ABC Insumos Apoio'!C:C,'ABC Insumos Apoio'!A:A)),"")</f>
        <v>PONTOS DE TOMADA E INTERRUPTORES - COBERTURA</v>
      </c>
      <c r="F294" s="281" t="str">
        <f ca="1">IFERROR(IF(A294="","",_xlfn.XLOOKUP(E294,Insumos!A:A,Insumos!B:B)),"")</f>
        <v>VB</v>
      </c>
      <c r="G294" s="282">
        <f ca="1">IFERROR(IF(A294="","",SUMIF(Orçamento!P:P,E294,Orçamento!X:X)),"")</f>
        <v>1</v>
      </c>
      <c r="H294" s="283">
        <f ca="1">IFERROR(IF(A294="","",_xlfn.XLOOKUP(E294,Insumos!A:A,Insumos!C:C)),"")</f>
        <v>1560.4485511253404</v>
      </c>
      <c r="I294" s="283">
        <f t="shared" ca="1" si="13"/>
        <v>1560.4485511253404</v>
      </c>
      <c r="J294" s="284">
        <f t="shared" ca="1" si="14"/>
        <v>2.2386057158751713E-4</v>
      </c>
      <c r="K294" s="284">
        <f t="shared" ca="1" si="15"/>
        <v>0.84443325489445176</v>
      </c>
    </row>
    <row r="295" spans="1:11" ht="9.6" customHeight="1" x14ac:dyDescent="0.2">
      <c r="A295" s="10" t="str">
        <f ca="1"/>
        <v>1552,72 - INSTALAÇÕES AGUA PLUVIAIS - PAVIMENTO TECNICO</v>
      </c>
      <c r="B295" s="10">
        <f ca="1">IF(OR(A295="",A295=0),"",LARGE($B$8:B294,1)+1)</f>
        <v>287</v>
      </c>
      <c r="C295" s="7"/>
      <c r="D295" s="279">
        <f ca="1">IF(A295="","",COUNTIF(Orçamento!P:P,A295))</f>
        <v>0</v>
      </c>
      <c r="E295" s="280" t="str">
        <f ca="1">IFERROR(IF(A295="","",_xlfn.XLOOKUP(A295,'ABC Insumos Apoio'!C:C,'ABC Insumos Apoio'!A:A)),"")</f>
        <v>INSTALAÇÕES AGUA PLUVIAIS - PAVIMENTO TECNICO</v>
      </c>
      <c r="F295" s="281" t="str">
        <f ca="1">IFERROR(IF(A295="","",_xlfn.XLOOKUP(E295,Insumos!A:A,Insumos!B:B)),"")</f>
        <v>UN</v>
      </c>
      <c r="G295" s="282">
        <f ca="1">IFERROR(IF(A295="","",SUMIF(Orçamento!P:P,E295,Orçamento!X:X)),"")</f>
        <v>1</v>
      </c>
      <c r="H295" s="283">
        <f ca="1">IFERROR(IF(A295="","",_xlfn.XLOOKUP(E295,Insumos!A:A,Insumos!C:C)),"")</f>
        <v>1552.7187727686842</v>
      </c>
      <c r="I295" s="283">
        <f t="shared" ca="1" si="13"/>
        <v>1552.7187727686842</v>
      </c>
      <c r="J295" s="284">
        <f t="shared" ca="1" si="14"/>
        <v>2.2275166440828461E-4</v>
      </c>
      <c r="K295" s="284">
        <f t="shared" ca="1" si="15"/>
        <v>0.84465600655886008</v>
      </c>
    </row>
    <row r="296" spans="1:11" ht="9.6" customHeight="1" x14ac:dyDescent="0.2">
      <c r="A296" s="10" t="str">
        <f ca="1"/>
        <v>1536,59 - TELA ACO CARBONO CA60 M.100X100MM F.05,0MM 245X600CM Q196 (45,72KG/UN)</v>
      </c>
      <c r="B296" s="10">
        <f ca="1">IF(OR(A296="",A296=0),"",LARGE($B$8:B295,1)+1)</f>
        <v>288</v>
      </c>
      <c r="C296" s="7"/>
      <c r="D296" s="279">
        <f ca="1">IF(A296="","",COUNTIF(Orçamento!P:P,A296))</f>
        <v>0</v>
      </c>
      <c r="E296" s="280" t="str">
        <f ca="1">IFERROR(IF(A296="","",_xlfn.XLOOKUP(A296,'ABC Insumos Apoio'!C:C,'ABC Insumos Apoio'!A:A)),"")</f>
        <v>TELA ACO CARBONO CA60 M.100X100MM F.05,0MM 245X600CM Q196 (45,72KG/UN)</v>
      </c>
      <c r="F296" s="281" t="str">
        <f ca="1">IFERROR(IF(A296="","",_xlfn.XLOOKUP(E296,Insumos!A:A,Insumos!B:B)),"")</f>
        <v>KG</v>
      </c>
      <c r="G296" s="282">
        <f ca="1">IFERROR(IF(A296="","",SUMIF(Orçamento!P:P,E296,Orçamento!X:X)),"")</f>
        <v>251.90000000000003</v>
      </c>
      <c r="H296" s="283">
        <f ca="1">IFERROR(IF(A296="","",_xlfn.XLOOKUP(E296,Insumos!A:A,Insumos!C:C)),"")</f>
        <v>6.1</v>
      </c>
      <c r="I296" s="283">
        <f t="shared" ca="1" si="13"/>
        <v>1536.5900000000001</v>
      </c>
      <c r="J296" s="284">
        <f t="shared" ca="1" si="14"/>
        <v>2.2043784490529685E-4</v>
      </c>
      <c r="K296" s="284">
        <f t="shared" ca="1" si="15"/>
        <v>0.84487644440376541</v>
      </c>
    </row>
    <row r="297" spans="1:11" ht="9.6" customHeight="1" x14ac:dyDescent="0.2">
      <c r="A297" s="10" t="str">
        <f ca="1"/>
        <v>15 - MAO DE OBRA PARA IMPERMEABILIZACAO COM TINTA ASFALTICA</v>
      </c>
      <c r="B297" s="10">
        <f ca="1">IF(OR(A297="",A297=0),"",LARGE($B$8:B296,1)+1)</f>
        <v>289</v>
      </c>
      <c r="C297" s="7"/>
      <c r="D297" s="279">
        <f ca="1">IF(A297="","",COUNTIF(Orçamento!P:P,A297))</f>
        <v>0</v>
      </c>
      <c r="E297" s="280" t="str">
        <f ca="1">IFERROR(IF(A297="","",_xlfn.XLOOKUP(A297,'ABC Insumos Apoio'!C:C,'ABC Insumos Apoio'!A:A)),"")</f>
        <v>MAO DE OBRA PARA IMPERMEABILIZACAO COM TINTA ASFALTICA</v>
      </c>
      <c r="F297" s="281" t="str">
        <f ca="1">IFERROR(IF(A297="","",_xlfn.XLOOKUP(E297,Insumos!A:A,Insumos!B:B)),"")</f>
        <v>M2</v>
      </c>
      <c r="G297" s="282">
        <f ca="1">IFERROR(IF(A297="","",SUMIF(Orçamento!P:P,E297,Orçamento!X:X)),"")</f>
        <v>1</v>
      </c>
      <c r="H297" s="283">
        <f ca="1">IFERROR(IF(A297="","",_xlfn.XLOOKUP(E297,Insumos!A:A,Insumos!C:C)),"")</f>
        <v>15</v>
      </c>
      <c r="I297" s="283">
        <f t="shared" ref="I297:I312" ca="1" si="16">IFERROR(IF(E297="","",G297*H297),"")</f>
        <v>15</v>
      </c>
      <c r="J297" s="284">
        <f t="shared" ref="J297:J312" ca="1" si="17">IFERROR(IF(I297="","",I297/$I$6),0)</f>
        <v>2.1518867580678339E-6</v>
      </c>
      <c r="K297" s="284">
        <f t="shared" ref="K297:K312" ca="1" si="18">IF(I297="","",J297+K296)</f>
        <v>0.84487859629052353</v>
      </c>
    </row>
    <row r="298" spans="1:11" ht="9.6" customHeight="1" x14ac:dyDescent="0.2">
      <c r="A298" s="10" t="str">
        <f ca="1"/>
        <v>14580,19 - FIAÇÃO - COBERTURA</v>
      </c>
      <c r="B298" s="10">
        <f ca="1">IF(OR(A298="",A298=0),"",LARGE($B$8:B297,1)+1)</f>
        <v>290</v>
      </c>
      <c r="C298" s="7"/>
      <c r="D298" s="279">
        <f ca="1">IF(A298="","",COUNTIF(Orçamento!P:P,A298))</f>
        <v>0</v>
      </c>
      <c r="E298" s="280" t="str">
        <f ca="1">IFERROR(IF(A298="","",_xlfn.XLOOKUP(A298,'ABC Insumos Apoio'!C:C,'ABC Insumos Apoio'!A:A)),"")</f>
        <v>FIAÇÃO - COBERTURA</v>
      </c>
      <c r="F298" s="281" t="str">
        <f ca="1">IFERROR(IF(A298="","",_xlfn.XLOOKUP(E298,Insumos!A:A,Insumos!B:B)),"")</f>
        <v>VB</v>
      </c>
      <c r="G298" s="282">
        <f ca="1">IFERROR(IF(A298="","",SUMIF(Orçamento!P:P,E298,Orçamento!X:X)),"")</f>
        <v>1</v>
      </c>
      <c r="H298" s="283">
        <f ca="1">IFERROR(IF(A298="","",_xlfn.XLOOKUP(E298,Insumos!A:A,Insumos!C:C)),"")</f>
        <v>14580.181767983799</v>
      </c>
      <c r="I298" s="283">
        <f t="shared" ca="1" si="16"/>
        <v>14580.181767983799</v>
      </c>
      <c r="J298" s="284">
        <f t="shared" ca="1" si="17"/>
        <v>2.0916600051164263E-3</v>
      </c>
      <c r="K298" s="284">
        <f t="shared" ca="1" si="18"/>
        <v>0.84697025629563993</v>
      </c>
    </row>
    <row r="299" spans="1:11" ht="9.6" customHeight="1" x14ac:dyDescent="0.2">
      <c r="A299" s="10" t="str">
        <f ca="1"/>
        <v>1443 - Corrimao parede de madeira</v>
      </c>
      <c r="B299" s="10">
        <f ca="1">IF(OR(A299="",A299=0),"",LARGE($B$8:B298,1)+1)</f>
        <v>291</v>
      </c>
      <c r="C299" s="7"/>
      <c r="D299" s="279">
        <f ca="1">IF(A299="","",COUNTIF(Orçamento!P:P,A299))</f>
        <v>0</v>
      </c>
      <c r="E299" s="280" t="str">
        <f ca="1">IFERROR(IF(A299="","",_xlfn.XLOOKUP(A299,'ABC Insumos Apoio'!C:C,'ABC Insumos Apoio'!A:A)),"")</f>
        <v>Corrimao parede de madeira</v>
      </c>
      <c r="F299" s="281" t="str">
        <f ca="1">IFERROR(IF(A299="","",_xlfn.XLOOKUP(E299,Insumos!A:A,Insumos!B:B)),"")</f>
        <v>M</v>
      </c>
      <c r="G299" s="282">
        <f ca="1">IFERROR(IF(A299="","",SUMIF(Orçamento!P:P,E299,Orçamento!X:X)),"")</f>
        <v>24.05</v>
      </c>
      <c r="H299" s="283">
        <f ca="1">IFERROR(IF(A299="","",_xlfn.XLOOKUP(E299,Insumos!A:A,Insumos!C:C)),"")</f>
        <v>60</v>
      </c>
      <c r="I299" s="283">
        <f t="shared" ca="1" si="16"/>
        <v>1443</v>
      </c>
      <c r="J299" s="284">
        <f t="shared" ca="1" si="17"/>
        <v>2.070115061261256E-4</v>
      </c>
      <c r="K299" s="284">
        <f t="shared" ca="1" si="18"/>
        <v>0.84717726780176605</v>
      </c>
    </row>
    <row r="300" spans="1:11" ht="9.6" customHeight="1" x14ac:dyDescent="0.2">
      <c r="A300" s="10" t="str">
        <f ca="1"/>
        <v>1427,58 - MAO DE OBRA PARA COLOCACAO DE PEITORIL</v>
      </c>
      <c r="B300" s="10">
        <f ca="1">IF(OR(A300="",A300=0),"",LARGE($B$8:B299,1)+1)</f>
        <v>292</v>
      </c>
      <c r="C300" s="7"/>
      <c r="D300" s="279">
        <f ca="1">IF(A300="","",COUNTIF(Orçamento!P:P,A300))</f>
        <v>0</v>
      </c>
      <c r="E300" s="280" t="str">
        <f ca="1">IFERROR(IF(A300="","",_xlfn.XLOOKUP(A300,'ABC Insumos Apoio'!C:C,'ABC Insumos Apoio'!A:A)),"")</f>
        <v>MAO DE OBRA PARA COLOCACAO DE PEITORIL</v>
      </c>
      <c r="F300" s="281" t="str">
        <f ca="1">IFERROR(IF(A300="","",_xlfn.XLOOKUP(E300,Insumos!A:A,Insumos!B:B)),"")</f>
        <v>M2</v>
      </c>
      <c r="G300" s="282">
        <f ca="1">IFERROR(IF(A300="","",SUMIF(Orçamento!P:P,E300,Orçamento!X:X)),"")</f>
        <v>135.95999999999998</v>
      </c>
      <c r="H300" s="283">
        <f ca="1">IFERROR(IF(A300="","",_xlfn.XLOOKUP(E300,Insumos!A:A,Insumos!C:C)),"")</f>
        <v>10.5</v>
      </c>
      <c r="I300" s="283">
        <f t="shared" ca="1" si="16"/>
        <v>1427.5799999999997</v>
      </c>
      <c r="J300" s="284">
        <f t="shared" ca="1" si="17"/>
        <v>2.0479936653883184E-4</v>
      </c>
      <c r="K300" s="284">
        <f t="shared" ca="1" si="18"/>
        <v>0.84738206716830489</v>
      </c>
    </row>
    <row r="301" spans="1:11" ht="9.6" customHeight="1" x14ac:dyDescent="0.2">
      <c r="A301" s="10" t="str">
        <f ca="1"/>
        <v>14175,68 - INSTALAÇÕES PREVENTIVAS - TIPO (X5)</v>
      </c>
      <c r="B301" s="10">
        <f ca="1">IF(OR(A301="",A301=0),"",LARGE($B$8:B300,1)+1)</f>
        <v>293</v>
      </c>
      <c r="C301" s="7"/>
      <c r="D301" s="279">
        <f ca="1">IF(A301="","",COUNTIF(Orçamento!P:P,A301))</f>
        <v>0</v>
      </c>
      <c r="E301" s="280" t="str">
        <f ca="1">IFERROR(IF(A301="","",_xlfn.XLOOKUP(A301,'ABC Insumos Apoio'!C:C,'ABC Insumos Apoio'!A:A)),"")</f>
        <v>INSTALAÇÕES PREVENTIVAS - TIPO (X5)</v>
      </c>
      <c r="F301" s="281" t="str">
        <f ca="1">IFERROR(IF(A301="","",_xlfn.XLOOKUP(E301,Insumos!A:A,Insumos!B:B)),"")</f>
        <v>VB</v>
      </c>
      <c r="G301" s="282">
        <f ca="1">IFERROR(IF(A301="","",SUMIF(Orçamento!P:P,E301,Orçamento!X:X)),"")</f>
        <v>1</v>
      </c>
      <c r="H301" s="283">
        <f ca="1">IFERROR(IF(A301="","",_xlfn.XLOOKUP(E301,Insumos!A:A,Insumos!C:C)),"")</f>
        <v>14175.675939308778</v>
      </c>
      <c r="I301" s="283">
        <f t="shared" ca="1" si="16"/>
        <v>14175.675939308778</v>
      </c>
      <c r="J301" s="284">
        <f t="shared" ca="1" si="17"/>
        <v>2.0336299560306239E-3</v>
      </c>
      <c r="K301" s="284">
        <f t="shared" ca="1" si="18"/>
        <v>0.84941569712433551</v>
      </c>
    </row>
    <row r="302" spans="1:11" ht="9.6" customHeight="1" x14ac:dyDescent="0.2">
      <c r="A302" s="10" t="str">
        <f ca="1"/>
        <v>14175,68 - INSTALAÇÕES ESGOTO - TIPO (X5)</v>
      </c>
      <c r="B302" s="10">
        <f ca="1">IF(OR(A302="",A302=0),"",LARGE($B$8:B301,1)+1)</f>
        <v>294</v>
      </c>
      <c r="C302" s="7"/>
      <c r="D302" s="279">
        <f ca="1">IF(A302="","",COUNTIF(Orçamento!P:P,A302))</f>
        <v>0</v>
      </c>
      <c r="E302" s="280" t="str">
        <f ca="1">IFERROR(IF(A302="","",_xlfn.XLOOKUP(A302,'ABC Insumos Apoio'!C:C,'ABC Insumos Apoio'!A:A)),"")</f>
        <v>INSTALAÇÕES ESGOTO - TIPO (X5)</v>
      </c>
      <c r="F302" s="281" t="str">
        <f ca="1">IFERROR(IF(A302="","",_xlfn.XLOOKUP(E302,Insumos!A:A,Insumos!B:B)),"")</f>
        <v>UN</v>
      </c>
      <c r="G302" s="282">
        <f ca="1">IFERROR(IF(A302="","",SUMIF(Orçamento!P:P,E302,Orçamento!X:X)),"")</f>
        <v>1</v>
      </c>
      <c r="H302" s="283">
        <f ca="1">IFERROR(IF(A302="","",_xlfn.XLOOKUP(E302,Insumos!A:A,Insumos!C:C)),"")</f>
        <v>14175.675939308778</v>
      </c>
      <c r="I302" s="283">
        <f t="shared" ca="1" si="16"/>
        <v>14175.675939308778</v>
      </c>
      <c r="J302" s="284">
        <f t="shared" ca="1" si="17"/>
        <v>2.0336299560306239E-3</v>
      </c>
      <c r="K302" s="284">
        <f t="shared" ca="1" si="18"/>
        <v>0.85144932708036614</v>
      </c>
    </row>
    <row r="303" spans="1:11" ht="9.6" customHeight="1" x14ac:dyDescent="0.2">
      <c r="A303" s="10" t="str">
        <f ca="1"/>
        <v>1415,85 - ESPACADOR PVC NIVELAMENTO REVESTIMENTO 1,0MM NBR 6118</v>
      </c>
      <c r="B303" s="10">
        <f ca="1">IF(OR(A303="",A303=0),"",LARGE($B$8:B302,1)+1)</f>
        <v>295</v>
      </c>
      <c r="C303" s="7"/>
      <c r="D303" s="279">
        <f ca="1">IF(A303="","",COUNTIF(Orçamento!P:P,A303))</f>
        <v>0</v>
      </c>
      <c r="E303" s="280" t="str">
        <f ca="1">IFERROR(IF(A303="","",_xlfn.XLOOKUP(A303,'ABC Insumos Apoio'!C:C,'ABC Insumos Apoio'!A:A)),"")</f>
        <v>ESPACADOR PVC NIVELAMENTO REVESTIMENTO 1,0MM NBR 6118</v>
      </c>
      <c r="F303" s="281" t="str">
        <f ca="1">IFERROR(IF(A303="","",_xlfn.XLOOKUP(E303,Insumos!A:A,Insumos!B:B)),"")</f>
        <v>UN</v>
      </c>
      <c r="G303" s="282">
        <f ca="1">IFERROR(IF(A303="","",SUMIF(Orçamento!P:P,E303,Orçamento!X:X)),"")</f>
        <v>6435.6803799999989</v>
      </c>
      <c r="H303" s="283">
        <f ca="1">IFERROR(IF(A303="","",_xlfn.XLOOKUP(E303,Insumos!A:A,Insumos!C:C)),"")</f>
        <v>0.22</v>
      </c>
      <c r="I303" s="283">
        <f t="shared" ca="1" si="16"/>
        <v>1415.8496835999997</v>
      </c>
      <c r="J303" s="284">
        <f t="shared" ca="1" si="17"/>
        <v>2.0311654570355809E-4</v>
      </c>
      <c r="K303" s="284">
        <f t="shared" ca="1" si="18"/>
        <v>0.85165244362606973</v>
      </c>
    </row>
    <row r="304" spans="1:11" ht="9.6" customHeight="1" x14ac:dyDescent="0.2">
      <c r="A304" s="10" t="str">
        <f ca="1"/>
        <v>14042,6 - MAO DE OBRA PARA COLOCACAO DE RODAPE DE POLIESTIRENO</v>
      </c>
      <c r="B304" s="10">
        <f ca="1">IF(OR(A304="",A304=0),"",LARGE($B$8:B303,1)+1)</f>
        <v>296</v>
      </c>
      <c r="C304" s="7"/>
      <c r="D304" s="279">
        <f ca="1">IF(A304="","",COUNTIF(Orçamento!P:P,A304))</f>
        <v>0</v>
      </c>
      <c r="E304" s="280" t="str">
        <f ca="1">IFERROR(IF(A304="","",_xlfn.XLOOKUP(A304,'ABC Insumos Apoio'!C:C,'ABC Insumos Apoio'!A:A)),"")</f>
        <v>MAO DE OBRA PARA COLOCACAO DE RODAPE DE POLIESTIRENO</v>
      </c>
      <c r="F304" s="281" t="str">
        <f ca="1">IFERROR(IF(A304="","",_xlfn.XLOOKUP(E304,Insumos!A:A,Insumos!B:B)),"")</f>
        <v>M</v>
      </c>
      <c r="G304" s="282">
        <f ca="1">IFERROR(IF(A304="","",SUMIF(Orçamento!P:P,E304,Orçamento!X:X)),"")</f>
        <v>638.30000000000007</v>
      </c>
      <c r="H304" s="283">
        <f ca="1">IFERROR(IF(A304="","",_xlfn.XLOOKUP(E304,Insumos!A:A,Insumos!C:C)),"")</f>
        <v>22</v>
      </c>
      <c r="I304" s="283">
        <f t="shared" ca="1" si="16"/>
        <v>14042.600000000002</v>
      </c>
      <c r="J304" s="284">
        <f t="shared" ca="1" si="17"/>
        <v>2.0145389992562244E-3</v>
      </c>
      <c r="K304" s="284">
        <f t="shared" ca="1" si="18"/>
        <v>0.85366698262532592</v>
      </c>
    </row>
    <row r="305" spans="1:11" ht="9.6" customHeight="1" x14ac:dyDescent="0.2">
      <c r="A305" s="10" t="str">
        <f ca="1"/>
        <v>1400 - Projeto De Climatização</v>
      </c>
      <c r="B305" s="10">
        <f ca="1">IF(OR(A305="",A305=0),"",LARGE($B$8:B304,1)+1)</f>
        <v>297</v>
      </c>
      <c r="C305" s="7"/>
      <c r="D305" s="279">
        <f ca="1">IF(A305="","",COUNTIF(Orçamento!P:P,A305))</f>
        <v>0</v>
      </c>
      <c r="E305" s="280" t="str">
        <f ca="1">IFERROR(IF(A305="","",_xlfn.XLOOKUP(A305,'ABC Insumos Apoio'!C:C,'ABC Insumos Apoio'!A:A)),"")</f>
        <v>Projeto De Climatização</v>
      </c>
      <c r="F305" s="281" t="str">
        <f ca="1">IFERROR(IF(A305="","",_xlfn.XLOOKUP(E305,Insumos!A:A,Insumos!B:B)),"")</f>
        <v>VB</v>
      </c>
      <c r="G305" s="282">
        <f ca="1">IFERROR(IF(A305="","",SUMIF(Orçamento!P:P,E305,Orçamento!X:X)),"")</f>
        <v>1</v>
      </c>
      <c r="H305" s="283">
        <f ca="1">IFERROR(IF(A305="","",_xlfn.XLOOKUP(E305,Insumos!A:A,Insumos!C:C)),"")</f>
        <v>1400</v>
      </c>
      <c r="I305" s="283">
        <f t="shared" ca="1" si="16"/>
        <v>1400</v>
      </c>
      <c r="J305" s="284">
        <f t="shared" ca="1" si="17"/>
        <v>2.0084276408633114E-4</v>
      </c>
      <c r="K305" s="284">
        <f t="shared" ca="1" si="18"/>
        <v>0.8538678253894123</v>
      </c>
    </row>
    <row r="306" spans="1:11" ht="9.6" customHeight="1" x14ac:dyDescent="0.2">
      <c r="A306" s="10" t="str">
        <f ca="1"/>
        <v>140 - Dispositivo de Retorno / 1.1/2"</v>
      </c>
      <c r="B306" s="10">
        <f ca="1">IF(OR(A306="",A306=0),"",LARGE($B$8:B305,1)+1)</f>
        <v>298</v>
      </c>
      <c r="C306" s="7"/>
      <c r="D306" s="279">
        <f ca="1">IF(A306="","",COUNTIF(Orçamento!P:P,A306))</f>
        <v>0</v>
      </c>
      <c r="E306" s="280" t="str">
        <f ca="1">IFERROR(IF(A306="","",_xlfn.XLOOKUP(A306,'ABC Insumos Apoio'!C:C,'ABC Insumos Apoio'!A:A)),"")</f>
        <v>Dispositivo de Retorno / 1.1/2"</v>
      </c>
      <c r="F306" s="281" t="str">
        <f ca="1">IFERROR(IF(A306="","",_xlfn.XLOOKUP(E306,Insumos!A:A,Insumos!B:B)),"")</f>
        <v>un</v>
      </c>
      <c r="G306" s="282">
        <f ca="1">IFERROR(IF(A306="","",SUMIF(Orçamento!P:P,E306,Orçamento!X:X)),"")</f>
        <v>4</v>
      </c>
      <c r="H306" s="283">
        <f ca="1">IFERROR(IF(A306="","",_xlfn.XLOOKUP(E306,Insumos!A:A,Insumos!C:C)),"")</f>
        <v>35</v>
      </c>
      <c r="I306" s="283">
        <f t="shared" ca="1" si="16"/>
        <v>140</v>
      </c>
      <c r="J306" s="284">
        <f t="shared" ca="1" si="17"/>
        <v>2.0084276408633113E-5</v>
      </c>
      <c r="K306" s="284">
        <f t="shared" ca="1" si="18"/>
        <v>0.85388790966582095</v>
      </c>
    </row>
    <row r="307" spans="1:11" ht="9.6" customHeight="1" x14ac:dyDescent="0.2">
      <c r="A307" s="10" t="str">
        <f ca="1"/>
        <v>139412,55 - ITENS EVENTUAIS E NAO ORCADOS</v>
      </c>
      <c r="B307" s="10">
        <f ca="1">IF(OR(A307="",A307=0),"",LARGE($B$8:B306,1)+1)</f>
        <v>299</v>
      </c>
      <c r="C307" s="7"/>
      <c r="D307" s="279">
        <f ca="1">IF(A307="","",COUNTIF(Orçamento!P:P,A307))</f>
        <v>0</v>
      </c>
      <c r="E307" s="280" t="str">
        <f ca="1">IFERROR(IF(A307="","",_xlfn.XLOOKUP(A307,'ABC Insumos Apoio'!C:C,'ABC Insumos Apoio'!A:A)),"")</f>
        <v>ITENS EVENTUAIS E NAO ORCADOS</v>
      </c>
      <c r="F307" s="281" t="str">
        <f ca="1">IFERROR(IF(A307="","",_xlfn.XLOOKUP(E307,Insumos!A:A,Insumos!B:B)),"")</f>
        <v>VB</v>
      </c>
      <c r="G307" s="282">
        <f ca="1">IFERROR(IF(A307="","",SUMIF(Orçamento!P:P,E307,Orçamento!X:X)),"")</f>
        <v>1</v>
      </c>
      <c r="H307" s="283">
        <f ca="1">IFERROR(IF(A307="","",_xlfn.XLOOKUP(E307,Insumos!A:A,Insumos!C:C)),"")</f>
        <v>139412.54058804107</v>
      </c>
      <c r="I307" s="283">
        <f t="shared" ca="1" si="16"/>
        <v>139412.54058804107</v>
      </c>
      <c r="J307" s="284">
        <f t="shared" ca="1" si="17"/>
        <v>1.9999999999999997E-2</v>
      </c>
      <c r="K307" s="284">
        <f t="shared" ca="1" si="18"/>
        <v>0.87388790966582097</v>
      </c>
    </row>
    <row r="308" spans="1:11" ht="9.6" customHeight="1" x14ac:dyDescent="0.2">
      <c r="A308" s="10" t="str">
        <f ca="1"/>
        <v>13860 - SERVICO LOCACAO/TRANSPORTE/DESCARTE CACAMBA 5M3 - RESIDUOS CLASSE A</v>
      </c>
      <c r="B308" s="10">
        <f ca="1">IF(OR(A308="",A308=0),"",LARGE($B$8:B307,1)+1)</f>
        <v>300</v>
      </c>
      <c r="C308" s="7"/>
      <c r="D308" s="279">
        <f ca="1">IF(A308="","",COUNTIF(Orçamento!P:P,A308))</f>
        <v>0</v>
      </c>
      <c r="E308" s="280" t="str">
        <f ca="1">IFERROR(IF(A308="","",_xlfn.XLOOKUP(A308,'ABC Insumos Apoio'!C:C,'ABC Insumos Apoio'!A:A)),"")</f>
        <v>SERVICO LOCACAO/TRANSPORTE/DESCARTE CACAMBA 5M3 - RESIDUOS CLASSE A</v>
      </c>
      <c r="F308" s="281" t="str">
        <f ca="1">IFERROR(IF(A308="","",_xlfn.XLOOKUP(E308,Insumos!A:A,Insumos!B:B)),"")</f>
        <v>UN</v>
      </c>
      <c r="G308" s="282">
        <f ca="1">IFERROR(IF(A308="","",SUMIF(Orçamento!P:P,E308,Orçamento!X:X)),"")</f>
        <v>46.199999999999989</v>
      </c>
      <c r="H308" s="283">
        <f ca="1">IFERROR(IF(A308="","",_xlfn.XLOOKUP(E308,Insumos!A:A,Insumos!C:C)),"")</f>
        <v>300</v>
      </c>
      <c r="I308" s="283">
        <f t="shared" ca="1" si="16"/>
        <v>13859.999999999996</v>
      </c>
      <c r="J308" s="284">
        <f t="shared" ca="1" si="17"/>
        <v>1.9883433644546779E-3</v>
      </c>
      <c r="K308" s="284">
        <f t="shared" ca="1" si="18"/>
        <v>0.87587625303027561</v>
      </c>
    </row>
    <row r="309" spans="1:11" ht="9.6" customHeight="1" x14ac:dyDescent="0.2">
      <c r="A309" s="10" t="str">
        <f ca="1"/>
        <v>138594,91 - COMPENSADO MADEIRA TIPO PLASTIFICADO 2200X1100X14MM NBR 1096</v>
      </c>
      <c r="B309" s="10">
        <f ca="1">IF(OR(A309="",A309=0),"",LARGE($B$8:B308,1)+1)</f>
        <v>301</v>
      </c>
      <c r="C309" s="7"/>
      <c r="D309" s="279">
        <f ca="1">IF(A309="","",COUNTIF(Orçamento!P:P,A309))</f>
        <v>0</v>
      </c>
      <c r="E309" s="280" t="str">
        <f ca="1">IFERROR(IF(A309="","",_xlfn.XLOOKUP(A309,'ABC Insumos Apoio'!C:C,'ABC Insumos Apoio'!A:A)),"")</f>
        <v>COMPENSADO MADEIRA TIPO PLASTIFICADO 2200X1100X14MM NBR 1096</v>
      </c>
      <c r="F309" s="281" t="str">
        <f ca="1">IFERROR(IF(A309="","",_xlfn.XLOOKUP(E309,Insumos!A:A,Insumos!B:B)),"")</f>
        <v>CH</v>
      </c>
      <c r="G309" s="282">
        <f ca="1">IFERROR(IF(A309="","",SUMIF(Orçamento!P:P,E309,Orçamento!X:X)),"")</f>
        <v>1049.9613719140766</v>
      </c>
      <c r="H309" s="283">
        <f ca="1">IFERROR(IF(A309="","",_xlfn.XLOOKUP(E309,Insumos!A:A,Insumos!C:C)),"")</f>
        <v>132</v>
      </c>
      <c r="I309" s="283">
        <f t="shared" ca="1" si="16"/>
        <v>138594.90109265811</v>
      </c>
      <c r="J309" s="284">
        <f t="shared" ca="1" si="17"/>
        <v>1.988270215980081E-2</v>
      </c>
      <c r="K309" s="284">
        <f t="shared" ca="1" si="18"/>
        <v>0.89575895519007642</v>
      </c>
    </row>
    <row r="310" spans="1:11" ht="9.6" customHeight="1" x14ac:dyDescent="0.2">
      <c r="A310" s="10" t="str">
        <f ca="1"/>
        <v>13855,8 - ARMAÇÃO MÉDIA PARA CONTENÇÃO</v>
      </c>
      <c r="B310" s="10">
        <f ca="1">IF(OR(A310="",A310=0),"",LARGE($B$8:B309,1)+1)</f>
        <v>302</v>
      </c>
      <c r="C310" s="7"/>
      <c r="D310" s="279">
        <f ca="1">IF(A310="","",COUNTIF(Orçamento!P:P,A310))</f>
        <v>0</v>
      </c>
      <c r="E310" s="280" t="str">
        <f ca="1">IFERROR(IF(A310="","",_xlfn.XLOOKUP(A310,'ABC Insumos Apoio'!C:C,'ABC Insumos Apoio'!A:A)),"")</f>
        <v>ARMAÇÃO MÉDIA PARA CONTENÇÃO</v>
      </c>
      <c r="F310" s="281" t="str">
        <f ca="1">IFERROR(IF(A310="","",_xlfn.XLOOKUP(E310,Insumos!A:A,Insumos!B:B)),"")</f>
        <v>VB</v>
      </c>
      <c r="G310" s="282">
        <f ca="1">IFERROR(IF(A310="","",SUMIF(Orçamento!P:P,E310,Orçamento!X:X)),"")</f>
        <v>1</v>
      </c>
      <c r="H310" s="283">
        <f ca="1">IFERROR(IF(A310="","",_xlfn.XLOOKUP(E310,Insumos!A:A,Insumos!C:C)),"")</f>
        <v>13855.798914774519</v>
      </c>
      <c r="I310" s="283">
        <f t="shared" ca="1" si="16"/>
        <v>13855.798914774519</v>
      </c>
      <c r="J310" s="284">
        <f t="shared" ca="1" si="17"/>
        <v>1.98774068047693E-3</v>
      </c>
      <c r="K310" s="284">
        <f t="shared" ca="1" si="18"/>
        <v>0.89774669587055334</v>
      </c>
    </row>
    <row r="311" spans="1:11" ht="9.6" customHeight="1" x14ac:dyDescent="0.2">
      <c r="A311" s="10" t="str">
        <f ca="1"/>
        <v>138000 - MAO DE OBRA ASSENTAMENTO DE BLOCOS</v>
      </c>
      <c r="B311" s="10">
        <f ca="1">IF(OR(A311="",A311=0),"",LARGE($B$8:B310,1)+1)</f>
        <v>303</v>
      </c>
      <c r="C311" s="7"/>
      <c r="D311" s="279">
        <f ca="1">IF(A311="","",COUNTIF(Orçamento!P:P,A311))</f>
        <v>0</v>
      </c>
      <c r="E311" s="280" t="str">
        <f ca="1">IFERROR(IF(A311="","",_xlfn.XLOOKUP(A311,'ABC Insumos Apoio'!C:C,'ABC Insumos Apoio'!A:A)),"")</f>
        <v>MAO DE OBRA ASSENTAMENTO DE BLOCOS</v>
      </c>
      <c r="F311" s="281" t="str">
        <f ca="1">IFERROR(IF(A311="","",_xlfn.XLOOKUP(E311,Insumos!A:A,Insumos!B:B)),"")</f>
        <v>M2</v>
      </c>
      <c r="G311" s="282">
        <f ca="1">IFERROR(IF(A311="","",SUMIF(Orçamento!P:P,E311,Orçamento!X:X)),"")</f>
        <v>2341.7450000000003</v>
      </c>
      <c r="H311" s="283">
        <f ca="1">IFERROR(IF(A311="","",_xlfn.XLOOKUP(E311,Insumos!A:A,Insumos!C:C)),"")</f>
        <v>58.930413003977797</v>
      </c>
      <c r="I311" s="283">
        <f t="shared" ca="1" si="16"/>
        <v>138000</v>
      </c>
      <c r="J311" s="284">
        <f t="shared" ca="1" si="17"/>
        <v>1.979735817422407E-2</v>
      </c>
      <c r="K311" s="284">
        <f t="shared" ca="1" si="18"/>
        <v>0.91754405404477746</v>
      </c>
    </row>
    <row r="312" spans="1:11" ht="9.6" customHeight="1" x14ac:dyDescent="0.2">
      <c r="A312" s="10" t="str">
        <f ca="1"/>
        <v>13777,93 - ARGAMASSA COLANTE AC II</v>
      </c>
      <c r="B312" s="10">
        <f ca="1">IF(OR(A312="",A312=0),"",LARGE($B$8:B311,1)+1)</f>
        <v>304</v>
      </c>
      <c r="C312" s="7"/>
      <c r="D312" s="279">
        <f ca="1">IF(A312="","",COUNTIF(Orçamento!P:P,A312))</f>
        <v>0</v>
      </c>
      <c r="E312" s="280" t="str">
        <f ca="1">IFERROR(IF(A312="","",_xlfn.XLOOKUP(A312,'ABC Insumos Apoio'!C:C,'ABC Insumos Apoio'!A:A)),"")</f>
        <v>ARGAMASSA COLANTE AC II</v>
      </c>
      <c r="F312" s="281" t="str">
        <f ca="1">IFERROR(IF(A312="","",_xlfn.XLOOKUP(E312,Insumos!A:A,Insumos!B:B)),"")</f>
        <v>KG</v>
      </c>
      <c r="G312" s="282">
        <f ca="1">IFERROR(IF(A312="","",SUMIF(Orçamento!P:P,E312,Orçamento!X:X)),"")</f>
        <v>16402.291155000003</v>
      </c>
      <c r="H312" s="283">
        <f ca="1">IFERROR(IF(A312="","",_xlfn.XLOOKUP(E312,Insumos!A:A,Insumos!C:C)),"")</f>
        <v>0.84000000000000008</v>
      </c>
      <c r="I312" s="283">
        <f t="shared" ca="1" si="16"/>
        <v>13777.924570200004</v>
      </c>
      <c r="J312" s="284">
        <f t="shared" ca="1" si="17"/>
        <v>1.9765688957513895E-3</v>
      </c>
      <c r="K312" s="284">
        <f t="shared" ca="1" si="18"/>
        <v>0.91952062294052883</v>
      </c>
    </row>
    <row r="313" spans="1:11" ht="9.6" customHeight="1" x14ac:dyDescent="0.2">
      <c r="A313" s="10" t="str">
        <f ca="1"/>
        <v xml:space="preserve">135260 - SERVICO LIMPEZA ESCAVAÇÃO E BOTA FORA </v>
      </c>
      <c r="B313" s="10">
        <f ca="1">IF(OR(A313="",A313=0),"",LARGE($B$8:B292,1)+1)</f>
        <v>285</v>
      </c>
      <c r="C313" s="7"/>
      <c r="D313" s="279">
        <f ca="1">IF(A313="","",COUNTIF(Orçamento!P:P,A313))</f>
        <v>0</v>
      </c>
      <c r="E313" s="280" t="str">
        <f ca="1">IFERROR(IF(A313="","",_xlfn.XLOOKUP(A313,'ABC Insumos Apoio'!C:C,'ABC Insumos Apoio'!A:A)),"")</f>
        <v xml:space="preserve">SERVICO LIMPEZA ESCAVAÇÃO E BOTA FORA </v>
      </c>
      <c r="F313" s="281" t="str">
        <f ca="1">IFERROR(IF(A313="","",_xlfn.XLOOKUP(E313,Insumos!A:A,Insumos!B:B)),"")</f>
        <v>VB</v>
      </c>
      <c r="G313" s="282">
        <f ca="1">IFERROR(IF(A313="","",SUMIF(Orçamento!P:P,E313,Orçamento!X:X)),"")</f>
        <v>1</v>
      </c>
      <c r="H313" s="283">
        <f ca="1">IFERROR(IF(A313="","",_xlfn.XLOOKUP(E313,Insumos!A:A,Insumos!C:C)),"")</f>
        <v>135260</v>
      </c>
      <c r="I313" s="283">
        <f t="shared" ref="I313:I376" ca="1" si="19">IFERROR(IF(E313="","",G313*H313),"")</f>
        <v>135260</v>
      </c>
      <c r="J313" s="284">
        <f t="shared" ref="J313:J376" ca="1" si="20">IFERROR(IF(I313="","",I313/$I$6),0)</f>
        <v>1.940428019308368E-2</v>
      </c>
      <c r="K313" s="284">
        <f t="shared" ref="K313:K332" ca="1" si="21">IF(I313="","",J313+K292)</f>
        <v>0.84122616198059619</v>
      </c>
    </row>
    <row r="314" spans="1:11" ht="9.6" customHeight="1" x14ac:dyDescent="0.2">
      <c r="A314" s="10" t="str">
        <f ca="1"/>
        <v>1323,52 - Pt-Plug Ø12,7 - 3,8cm</v>
      </c>
      <c r="B314" s="10">
        <f ca="1">IF(OR(A314="",A314=0),"",LARGE($B$8:B293,1)+1)</f>
        <v>286</v>
      </c>
      <c r="C314" s="7"/>
      <c r="D314" s="279">
        <f ca="1">IF(A314="","",COUNTIF(Orçamento!P:P,A314))</f>
        <v>0</v>
      </c>
      <c r="E314" s="280" t="str">
        <f ca="1">IFERROR(IF(A314="","",_xlfn.XLOOKUP(A314,'ABC Insumos Apoio'!C:C,'ABC Insumos Apoio'!A:A)),"")</f>
        <v>Pt-Plug Ø12,7 - 3,8cm</v>
      </c>
      <c r="F314" s="281" t="str">
        <f ca="1">IFERROR(IF(A314="","",_xlfn.XLOOKUP(E314,Insumos!A:A,Insumos!B:B)),"")</f>
        <v>UN</v>
      </c>
      <c r="G314" s="282">
        <f ca="1">IFERROR(IF(A314="","",SUMIF(Orçamento!P:P,E314,Orçamento!X:X)),"")</f>
        <v>256</v>
      </c>
      <c r="H314" s="283">
        <f ca="1">IFERROR(IF(A314="","",_xlfn.XLOOKUP(E314,Insumos!A:A,Insumos!C:C)),"")</f>
        <v>5.17</v>
      </c>
      <c r="I314" s="283">
        <f t="shared" ca="1" si="19"/>
        <v>1323.52</v>
      </c>
      <c r="J314" s="284">
        <f t="shared" ca="1" si="20"/>
        <v>1.8987101080252929E-4</v>
      </c>
      <c r="K314" s="284">
        <f t="shared" ca="1" si="21"/>
        <v>0.84439926533366672</v>
      </c>
    </row>
    <row r="315" spans="1:11" ht="9.6" customHeight="1" x14ac:dyDescent="0.2">
      <c r="A315" s="10" t="str">
        <f ca="1"/>
        <v>13113,36 - MADEIRA DE FORMA PARA CONTENÇÃO</v>
      </c>
      <c r="B315" s="10">
        <f ca="1">IF(OR(A315="",A315=0),"",LARGE($B$8:B294,1)+1)</f>
        <v>287</v>
      </c>
      <c r="C315" s="7"/>
      <c r="D315" s="279">
        <f ca="1">IF(A315="","",COUNTIF(Orçamento!P:P,A315))</f>
        <v>0</v>
      </c>
      <c r="E315" s="280" t="str">
        <f ca="1">IFERROR(IF(A315="","",_xlfn.XLOOKUP(A315,'ABC Insumos Apoio'!C:C,'ABC Insumos Apoio'!A:A)),"")</f>
        <v>MADEIRA DE FORMA PARA CONTENÇÃO</v>
      </c>
      <c r="F315" s="281" t="str">
        <f ca="1">IFERROR(IF(A315="","",_xlfn.XLOOKUP(E315,Insumos!A:A,Insumos!B:B)),"")</f>
        <v>VB</v>
      </c>
      <c r="G315" s="282">
        <f ca="1">IFERROR(IF(A315="","",SUMIF(Orçamento!P:P,E315,Orçamento!X:X)),"")</f>
        <v>1</v>
      </c>
      <c r="H315" s="283">
        <f ca="1">IFERROR(IF(A315="","",_xlfn.XLOOKUP(E315,Insumos!A:A,Insumos!C:C)),"")</f>
        <v>13113.354609375243</v>
      </c>
      <c r="I315" s="283">
        <f t="shared" ca="1" si="19"/>
        <v>13113.354609375243</v>
      </c>
      <c r="J315" s="284">
        <f t="shared" ca="1" si="20"/>
        <v>1.881230275850825E-3</v>
      </c>
      <c r="K315" s="284">
        <f t="shared" ca="1" si="21"/>
        <v>0.84631448517030261</v>
      </c>
    </row>
    <row r="316" spans="1:11" ht="9.6" customHeight="1" x14ac:dyDescent="0.2">
      <c r="A316" s="10" t="str">
        <f ca="1"/>
        <v>13057,62 - CONTROLE TECNOLOGICO DO CONCRETO</v>
      </c>
      <c r="B316" s="10">
        <f ca="1">IF(OR(A316="",A316=0),"",LARGE($B$8:B295,1)+1)</f>
        <v>288</v>
      </c>
      <c r="C316" s="7"/>
      <c r="D316" s="279">
        <f ca="1">IF(A316="","",COUNTIF(Orçamento!P:P,A316))</f>
        <v>0</v>
      </c>
      <c r="E316" s="280" t="str">
        <f ca="1">IFERROR(IF(A316="","",_xlfn.XLOOKUP(A316,'ABC Insumos Apoio'!C:C,'ABC Insumos Apoio'!A:A)),"")</f>
        <v>CONTROLE TECNOLOGICO DO CONCRETO</v>
      </c>
      <c r="F316" s="281" t="str">
        <f ca="1">IFERROR(IF(A316="","",_xlfn.XLOOKUP(E316,Insumos!A:A,Insumos!B:B)),"")</f>
        <v>VB</v>
      </c>
      <c r="G316" s="282">
        <f ca="1">IFERROR(IF(A316="","",SUMIF(Orçamento!P:P,E316,Orçamento!X:X)),"")</f>
        <v>566</v>
      </c>
      <c r="H316" s="283">
        <f ca="1">IFERROR(IF(A316="","",_xlfn.XLOOKUP(E316,Insumos!A:A,Insumos!C:C)),"")</f>
        <v>23.07</v>
      </c>
      <c r="I316" s="283">
        <f t="shared" ca="1" si="19"/>
        <v>13057.62</v>
      </c>
      <c r="J316" s="284">
        <f t="shared" ca="1" si="20"/>
        <v>1.8732346379921139E-3</v>
      </c>
      <c r="K316" s="284">
        <f t="shared" ca="1" si="21"/>
        <v>0.84652924119685224</v>
      </c>
    </row>
    <row r="317" spans="1:11" ht="9.6" customHeight="1" x14ac:dyDescent="0.2">
      <c r="A317" s="10" t="str">
        <f ca="1"/>
        <v>1304,47 - BLOCO CONCRETO TIPO PISOGRAMA 35MPA 08CM NBR 6136</v>
      </c>
      <c r="B317" s="10">
        <f ca="1">IF(OR(A317="",A317=0),"",LARGE($B$8:B296,1)+1)</f>
        <v>289</v>
      </c>
      <c r="C317" s="7"/>
      <c r="D317" s="279">
        <f ca="1">IF(A317="","",COUNTIF(Orçamento!P:P,A317))</f>
        <v>0</v>
      </c>
      <c r="E317" s="280" t="str">
        <f ca="1">IFERROR(IF(A317="","",_xlfn.XLOOKUP(A317,'ABC Insumos Apoio'!C:C,'ABC Insumos Apoio'!A:A)),"")</f>
        <v>BLOCO CONCRETO TIPO PISOGRAMA 35MPA 08CM NBR 6136</v>
      </c>
      <c r="F317" s="281" t="str">
        <f ca="1">IFERROR(IF(A317="","",_xlfn.XLOOKUP(E317,Insumos!A:A,Insumos!B:B)),"")</f>
        <v>M2</v>
      </c>
      <c r="G317" s="282">
        <f ca="1">IFERROR(IF(A317="","",SUMIF(Orçamento!P:P,E317,Orçamento!X:X)),"")</f>
        <v>13.31085</v>
      </c>
      <c r="H317" s="283">
        <f ca="1">IFERROR(IF(A317="","",_xlfn.XLOOKUP(E317,Insumos!A:A,Insumos!C:C)),"")</f>
        <v>98</v>
      </c>
      <c r="I317" s="283">
        <f t="shared" ca="1" si="19"/>
        <v>1304.4633000000001</v>
      </c>
      <c r="J317" s="284">
        <f t="shared" ca="1" si="20"/>
        <v>1.8713715344369789E-4</v>
      </c>
      <c r="K317" s="284">
        <f t="shared" ca="1" si="21"/>
        <v>0.84506358155720906</v>
      </c>
    </row>
    <row r="318" spans="1:11" ht="9.6" customHeight="1" x14ac:dyDescent="0.2">
      <c r="A318" s="10" t="str">
        <f ca="1"/>
        <v>129720 - MAO DE OBRA APLICACAO DE PINTURA EM PAREDES - 3 DEMAO</v>
      </c>
      <c r="B318" s="10">
        <f ca="1">IF(OR(A318="",A318=0),"",LARGE($B$8:B297,1)+1)</f>
        <v>290</v>
      </c>
      <c r="C318" s="7"/>
      <c r="D318" s="279">
        <f ca="1">IF(A318="","",COUNTIF(Orçamento!P:P,A318))</f>
        <v>0</v>
      </c>
      <c r="E318" s="280" t="str">
        <f ca="1">IFERROR(IF(A318="","",_xlfn.XLOOKUP(A318,'ABC Insumos Apoio'!C:C,'ABC Insumos Apoio'!A:A)),"")</f>
        <v>MAO DE OBRA APLICACAO DE PINTURA EM PAREDES - 3 DEMAO</v>
      </c>
      <c r="F318" s="281" t="str">
        <f ca="1">IFERROR(IF(A318="","",_xlfn.XLOOKUP(E318,Insumos!A:A,Insumos!B:B)),"")</f>
        <v>M2</v>
      </c>
      <c r="G318" s="282">
        <f ca="1">IFERROR(IF(A318="","",SUMIF(Orçamento!P:P,E318,Orçamento!X:X)),"")</f>
        <v>3396.9239999999995</v>
      </c>
      <c r="H318" s="283">
        <f ca="1">IFERROR(IF(A318="","",_xlfn.XLOOKUP(E318,Insumos!A:A,Insumos!C:C)),"")</f>
        <v>38.187489622964783</v>
      </c>
      <c r="I318" s="283">
        <f t="shared" ca="1" si="19"/>
        <v>129720</v>
      </c>
      <c r="J318" s="284">
        <f t="shared" ca="1" si="20"/>
        <v>1.8609516683770626E-2</v>
      </c>
      <c r="K318" s="284">
        <f t="shared" ca="1" si="21"/>
        <v>0.86348811297429418</v>
      </c>
    </row>
    <row r="319" spans="1:11" ht="9.6" customHeight="1" x14ac:dyDescent="0.2">
      <c r="A319" s="10" t="str">
        <f ca="1"/>
        <v>1281,61 - PONTOS DE TOMADA E INTERRUPTORES - PAVIMENTO TECNICO</v>
      </c>
      <c r="B319" s="10">
        <f ca="1">IF(OR(A319="",A319=0),"",LARGE($B$8:B298,1)+1)</f>
        <v>291</v>
      </c>
      <c r="C319" s="7"/>
      <c r="D319" s="279">
        <f ca="1">IF(A319="","",COUNTIF(Orçamento!P:P,A319))</f>
        <v>0</v>
      </c>
      <c r="E319" s="280" t="str">
        <f ca="1">IFERROR(IF(A319="","",_xlfn.XLOOKUP(A319,'ABC Insumos Apoio'!C:C,'ABC Insumos Apoio'!A:A)),"")</f>
        <v>PONTOS DE TOMADA E INTERRUPTORES - PAVIMENTO TECNICO</v>
      </c>
      <c r="F319" s="281" t="str">
        <f ca="1">IFERROR(IF(A319="","",_xlfn.XLOOKUP(E319,Insumos!A:A,Insumos!B:B)),"")</f>
        <v>VB</v>
      </c>
      <c r="G319" s="282">
        <f ca="1">IFERROR(IF(A319="","",SUMIF(Orçamento!P:P,E319,Orçamento!X:X)),"")</f>
        <v>1</v>
      </c>
      <c r="H319" s="283">
        <f ca="1">IFERROR(IF(A319="","",_xlfn.XLOOKUP(E319,Insumos!A:A,Insumos!C:C)),"")</f>
        <v>1281.602439420742</v>
      </c>
      <c r="I319" s="283">
        <f t="shared" ca="1" si="19"/>
        <v>1281.602439420742</v>
      </c>
      <c r="J319" s="284">
        <f t="shared" ca="1" si="20"/>
        <v>1.8385755456646184E-4</v>
      </c>
      <c r="K319" s="284">
        <f t="shared" ca="1" si="21"/>
        <v>0.84715411385020645</v>
      </c>
    </row>
    <row r="320" spans="1:11" ht="9.6" customHeight="1" x14ac:dyDescent="0.2">
      <c r="A320" s="10" t="str">
        <f ca="1"/>
        <v>12471,84 - Barra de apoio PNE</v>
      </c>
      <c r="B320" s="10">
        <f ca="1">IF(OR(A320="",A320=0),"",LARGE($B$8:B299,1)+1)</f>
        <v>292</v>
      </c>
      <c r="C320" s="7"/>
      <c r="D320" s="279">
        <f ca="1">IF(A320="","",COUNTIF(Orçamento!P:P,A320))</f>
        <v>0</v>
      </c>
      <c r="E320" s="280" t="str">
        <f ca="1">IFERROR(IF(A320="","",_xlfn.XLOOKUP(A320,'ABC Insumos Apoio'!C:C,'ABC Insumos Apoio'!A:A)),"")</f>
        <v>Barra de apoio PNE</v>
      </c>
      <c r="F320" s="281" t="str">
        <f ca="1">IFERROR(IF(A320="","",_xlfn.XLOOKUP(E320,Insumos!A:A,Insumos!B:B)),"")</f>
        <v>un</v>
      </c>
      <c r="G320" s="282">
        <f ca="1">IFERROR(IF(A320="","",SUMIF(Orçamento!P:P,E320,Orçamento!X:X)),"")</f>
        <v>24</v>
      </c>
      <c r="H320" s="283">
        <f ca="1">IFERROR(IF(A320="","",_xlfn.XLOOKUP(E320,Insumos!A:A,Insumos!C:C)),"")</f>
        <v>519.66</v>
      </c>
      <c r="I320" s="283">
        <f t="shared" ca="1" si="19"/>
        <v>12471.84</v>
      </c>
      <c r="J320" s="284">
        <f t="shared" ca="1" si="20"/>
        <v>1.7891991563160489E-3</v>
      </c>
      <c r="K320" s="284">
        <f t="shared" ca="1" si="21"/>
        <v>0.84896646695808209</v>
      </c>
    </row>
    <row r="321" spans="1:11" ht="9.6" customHeight="1" x14ac:dyDescent="0.2">
      <c r="A321" s="10" t="str">
        <f ca="1"/>
        <v>12212,2 - TELA ACO CARBONO CA60 M.150X150MM F.03,4MM 245X600CM Q61 (14,26KG/UN)</v>
      </c>
      <c r="B321" s="10">
        <f ca="1">IF(OR(A321="",A321=0),"",LARGE($B$8:B300,1)+1)</f>
        <v>293</v>
      </c>
      <c r="C321" s="7"/>
      <c r="D321" s="279">
        <f ca="1">IF(A321="","",COUNTIF(Orçamento!P:P,A321))</f>
        <v>0</v>
      </c>
      <c r="E321" s="280" t="str">
        <f ca="1">IFERROR(IF(A321="","",_xlfn.XLOOKUP(A321,'ABC Insumos Apoio'!C:C,'ABC Insumos Apoio'!A:A)),"")</f>
        <v>TELA ACO CARBONO CA60 M.150X150MM F.03,4MM 245X600CM Q61 (14,26KG/UN)</v>
      </c>
      <c r="F321" s="281" t="str">
        <f ca="1">IFERROR(IF(A321="","",_xlfn.XLOOKUP(E321,Insumos!A:A,Insumos!B:B)),"")</f>
        <v>KG</v>
      </c>
      <c r="G321" s="282">
        <f ca="1">IFERROR(IF(A321="","",SUMIF(Orçamento!P:P,E321,Orçamento!X:X)),"")</f>
        <v>2002.0000000000002</v>
      </c>
      <c r="H321" s="283">
        <f ca="1">IFERROR(IF(A321="","",_xlfn.XLOOKUP(E321,Insumos!A:A,Insumos!C:C)),"")</f>
        <v>6.1</v>
      </c>
      <c r="I321" s="283">
        <f t="shared" ca="1" si="19"/>
        <v>12212.2</v>
      </c>
      <c r="J321" s="284">
        <f t="shared" ca="1" si="20"/>
        <v>1.7519514311250667E-3</v>
      </c>
      <c r="K321" s="284">
        <f t="shared" ca="1" si="21"/>
        <v>0.84913401859942994</v>
      </c>
    </row>
    <row r="322" spans="1:11" ht="9.6" customHeight="1" x14ac:dyDescent="0.2">
      <c r="A322" s="10" t="str">
        <f ca="1"/>
        <v>12200 - MOBILIARIO DE APOIO A OBRA</v>
      </c>
      <c r="B322" s="10">
        <f ca="1">IF(OR(A322="",A322=0),"",LARGE($B$8:B301,1)+1)</f>
        <v>294</v>
      </c>
      <c r="C322" s="7"/>
      <c r="D322" s="279">
        <f ca="1">IF(A322="","",COUNTIF(Orçamento!P:P,A322))</f>
        <v>0</v>
      </c>
      <c r="E322" s="280" t="str">
        <f ca="1">IFERROR(IF(A322="","",_xlfn.XLOOKUP(A322,'ABC Insumos Apoio'!C:C,'ABC Insumos Apoio'!A:A)),"")</f>
        <v>MOBILIARIO DE APOIO A OBRA</v>
      </c>
      <c r="F322" s="281" t="str">
        <f ca="1">IFERROR(IF(A322="","",_xlfn.XLOOKUP(E322,Insumos!A:A,Insumos!B:B)),"")</f>
        <v>VB</v>
      </c>
      <c r="G322" s="282">
        <f ca="1">IFERROR(IF(A322="","",SUMIF(Orçamento!P:P,E322,Orçamento!X:X)),"")</f>
        <v>1</v>
      </c>
      <c r="H322" s="283">
        <f ca="1">IFERROR(IF(A322="","",_xlfn.XLOOKUP(E322,Insumos!A:A,Insumos!C:C)),"")</f>
        <v>12200</v>
      </c>
      <c r="I322" s="283">
        <f t="shared" ca="1" si="19"/>
        <v>12200</v>
      </c>
      <c r="J322" s="284">
        <f t="shared" ca="1" si="20"/>
        <v>1.7502012298951713E-3</v>
      </c>
      <c r="K322" s="284">
        <f t="shared" ca="1" si="21"/>
        <v>0.85116589835423073</v>
      </c>
    </row>
    <row r="323" spans="1:11" ht="9.6" customHeight="1" x14ac:dyDescent="0.2">
      <c r="A323" s="10" t="str">
        <f ca="1"/>
        <v>1200,31 - LIXA EM FOLHA PARA PAREDE OU MADEIRA N° 120</v>
      </c>
      <c r="B323" s="10">
        <f ca="1">IF(OR(A323="",A323=0),"",LARGE($B$8:B302,1)+1)</f>
        <v>295</v>
      </c>
      <c r="C323" s="7"/>
      <c r="D323" s="279">
        <f ca="1">IF(A323="","",COUNTIF(Orçamento!P:P,A323))</f>
        <v>0</v>
      </c>
      <c r="E323" s="280" t="str">
        <f ca="1">IFERROR(IF(A323="","",_xlfn.XLOOKUP(A323,'ABC Insumos Apoio'!C:C,'ABC Insumos Apoio'!A:A)),"")</f>
        <v>LIXA EM FOLHA PARA PAREDE OU MADEIRA N° 120</v>
      </c>
      <c r="F323" s="281" t="str">
        <f ca="1">IFERROR(IF(A323="","",_xlfn.XLOOKUP(E323,Insumos!A:A,Insumos!B:B)),"")</f>
        <v>UN</v>
      </c>
      <c r="G323" s="282">
        <f ca="1">IFERROR(IF(A323="","",SUMIF(Orçamento!P:P,E323,Orçamento!X:X)),"")</f>
        <v>521.87301400000001</v>
      </c>
      <c r="H323" s="283">
        <f ca="1">IFERROR(IF(A323="","",_xlfn.XLOOKUP(E323,Insumos!A:A,Insumos!C:C)),"")</f>
        <v>2.2999999999999998</v>
      </c>
      <c r="I323" s="283">
        <f t="shared" ca="1" si="19"/>
        <v>1200.3079321999999</v>
      </c>
      <c r="J323" s="284">
        <f t="shared" ca="1" si="20"/>
        <v>1.7219511632699753E-4</v>
      </c>
      <c r="K323" s="284">
        <f t="shared" ca="1" si="21"/>
        <v>0.85162152219669318</v>
      </c>
    </row>
    <row r="324" spans="1:11" ht="9.6" customHeight="1" x14ac:dyDescent="0.2">
      <c r="A324" s="10" t="str">
        <f ca="1"/>
        <v>1200 - FORNECIMENTO DE MATERIAL PARA INSTALACAO DE EXAUSTAO DE CHURRASQUEIRAS</v>
      </c>
      <c r="B324" s="10">
        <f ca="1">IF(OR(A324="",A324=0),"",LARGE($B$8:B303,1)+1)</f>
        <v>296</v>
      </c>
      <c r="C324" s="7"/>
      <c r="D324" s="279">
        <f ca="1">IF(A324="","",COUNTIF(Orçamento!P:P,A324))</f>
        <v>0</v>
      </c>
      <c r="E324" s="280" t="str">
        <f ca="1">IFERROR(IF(A324="","",_xlfn.XLOOKUP(A324,'ABC Insumos Apoio'!C:C,'ABC Insumos Apoio'!A:A)),"")</f>
        <v>FORNECIMENTO DE MATERIAL PARA INSTALACAO DE EXAUSTAO DE CHURRASQUEIRAS</v>
      </c>
      <c r="F324" s="281" t="str">
        <f ca="1">IFERROR(IF(A324="","",_xlfn.XLOOKUP(E324,Insumos!A:A,Insumos!B:B)),"")</f>
        <v>VB</v>
      </c>
      <c r="G324" s="282">
        <f ca="1">IFERROR(IF(A324="","",SUMIF(Orçamento!P:P,E324,Orçamento!X:X)),"")</f>
        <v>1</v>
      </c>
      <c r="H324" s="283">
        <f ca="1">IFERROR(IF(A324="","",_xlfn.XLOOKUP(E324,Insumos!A:A,Insumos!C:C)),"")</f>
        <v>1200</v>
      </c>
      <c r="I324" s="283">
        <f t="shared" ca="1" si="19"/>
        <v>1200</v>
      </c>
      <c r="J324" s="284">
        <f t="shared" ca="1" si="20"/>
        <v>1.7215094064542669E-4</v>
      </c>
      <c r="K324" s="284">
        <f t="shared" ca="1" si="21"/>
        <v>0.85182459456671511</v>
      </c>
    </row>
    <row r="325" spans="1:11" ht="9.6" customHeight="1" x14ac:dyDescent="0.2">
      <c r="A325" s="10" t="str">
        <f ca="1"/>
        <v>11974,76 - FIAÇÃO - PAVIMENTO TECNICO</v>
      </c>
      <c r="B325" s="10">
        <f ca="1">IF(OR(A325="",A325=0),"",LARGE($B$8:B304,1)+1)</f>
        <v>297</v>
      </c>
      <c r="C325" s="7"/>
      <c r="D325" s="279">
        <f ca="1">IF(A325="","",COUNTIF(Orçamento!P:P,A325))</f>
        <v>0</v>
      </c>
      <c r="E325" s="280" t="str">
        <f ca="1">IFERROR(IF(A325="","",_xlfn.XLOOKUP(A325,'ABC Insumos Apoio'!C:C,'ABC Insumos Apoio'!A:A)),"")</f>
        <v>FIAÇÃO - PAVIMENTO TECNICO</v>
      </c>
      <c r="F325" s="281" t="str">
        <f ca="1">IFERROR(IF(A325="","",_xlfn.XLOOKUP(E325,Insumos!A:A,Insumos!B:B)),"")</f>
        <v>VB</v>
      </c>
      <c r="G325" s="282">
        <f ca="1">IFERROR(IF(A325="","",SUMIF(Orçamento!P:P,E325,Orçamento!X:X)),"")</f>
        <v>1</v>
      </c>
      <c r="H325" s="283">
        <f ca="1">IFERROR(IF(A325="","",_xlfn.XLOOKUP(E325,Insumos!A:A,Insumos!C:C)),"")</f>
        <v>11974.759762230022</v>
      </c>
      <c r="I325" s="283">
        <f t="shared" ca="1" si="19"/>
        <v>11974.759762230022</v>
      </c>
      <c r="J325" s="284">
        <f t="shared" ca="1" si="20"/>
        <v>1.7178884642257536E-3</v>
      </c>
      <c r="K325" s="284">
        <f t="shared" ca="1" si="21"/>
        <v>0.85538487108955163</v>
      </c>
    </row>
    <row r="326" spans="1:11" ht="9.6" customHeight="1" x14ac:dyDescent="0.2">
      <c r="A326" s="10" t="str">
        <f ca="1"/>
        <v>11927,24 - ARGAMASSA COLANTE AC III</v>
      </c>
      <c r="B326" s="10">
        <f ca="1">IF(OR(A326="",A326=0),"",LARGE($B$8:B305,1)+1)</f>
        <v>298</v>
      </c>
      <c r="C326" s="7"/>
      <c r="D326" s="279">
        <f ca="1">IF(A326="","",COUNTIF(Orçamento!P:P,A326))</f>
        <v>0</v>
      </c>
      <c r="E326" s="280" t="str">
        <f ca="1">IFERROR(IF(A326="","",_xlfn.XLOOKUP(A326,'ABC Insumos Apoio'!C:C,'ABC Insumos Apoio'!A:A)),"")</f>
        <v>ARGAMASSA COLANTE AC III</v>
      </c>
      <c r="F326" s="281" t="str">
        <f ca="1">IFERROR(IF(A326="","",_xlfn.XLOOKUP(E326,Insumos!A:A,Insumos!B:B)),"")</f>
        <v>KG</v>
      </c>
      <c r="G326" s="282">
        <f ca="1">IFERROR(IF(A326="","",SUMIF(Orçamento!P:P,E326,Orçamento!X:X)),"")</f>
        <v>12894.313399999999</v>
      </c>
      <c r="H326" s="283">
        <f ca="1">IFERROR(IF(A326="","",_xlfn.XLOOKUP(E326,Insumos!A:A,Insumos!C:C)),"")</f>
        <v>0.92500000000000004</v>
      </c>
      <c r="I326" s="283">
        <f t="shared" ca="1" si="19"/>
        <v>11927.239895000001</v>
      </c>
      <c r="J326" s="284">
        <f t="shared" ca="1" si="20"/>
        <v>1.7110713060232588E-3</v>
      </c>
      <c r="K326" s="284">
        <f t="shared" ca="1" si="21"/>
        <v>0.85557889669543552</v>
      </c>
    </row>
    <row r="327" spans="1:11" ht="9.6" customHeight="1" x14ac:dyDescent="0.2">
      <c r="A327" s="10" t="str">
        <f ca="1"/>
        <v>1182,12 - DESMOLDANTE</v>
      </c>
      <c r="B327" s="10">
        <f ca="1">IF(OR(A327="",A327=0),"",LARGE($B$8:B306,1)+1)</f>
        <v>299</v>
      </c>
      <c r="C327" s="7"/>
      <c r="D327" s="279">
        <f ca="1">IF(A327="","",COUNTIF(Orçamento!P:P,A327))</f>
        <v>0</v>
      </c>
      <c r="E327" s="280" t="str">
        <f ca="1">IFERROR(IF(A327="","",_xlfn.XLOOKUP(A327,'ABC Insumos Apoio'!C:C,'ABC Insumos Apoio'!A:A)),"")</f>
        <v>DESMOLDANTE</v>
      </c>
      <c r="F327" s="281" t="str">
        <f ca="1">IFERROR(IF(A327="","",_xlfn.XLOOKUP(E327,Insumos!A:A,Insumos!B:B)),"")</f>
        <v>L</v>
      </c>
      <c r="G327" s="282">
        <f ca="1">IFERROR(IF(A327="","",SUMIF(Orçamento!P:P,E327,Orçamento!X:X)),"")</f>
        <v>186.45333086809998</v>
      </c>
      <c r="H327" s="283">
        <f ca="1">IFERROR(IF(A327="","",_xlfn.XLOOKUP(E327,Insumos!A:A,Insumos!C:C)),"")</f>
        <v>6.34</v>
      </c>
      <c r="I327" s="283">
        <f t="shared" ca="1" si="19"/>
        <v>1182.1141177037539</v>
      </c>
      <c r="J327" s="284">
        <f t="shared" ca="1" si="20"/>
        <v>1.6958504776078324E-4</v>
      </c>
      <c r="K327" s="284">
        <f t="shared" ca="1" si="21"/>
        <v>0.85405749471358172</v>
      </c>
    </row>
    <row r="328" spans="1:11" ht="9.6" customHeight="1" x14ac:dyDescent="0.2">
      <c r="A328" s="10" t="str">
        <f ca="1"/>
        <v>11685 - BACIA SANITARIA LOUCA P/CAIXA ACOPLADA</v>
      </c>
      <c r="B328" s="10">
        <f ca="1">IF(OR(A328="",A328=0),"",LARGE($B$8:B307,1)+1)</f>
        <v>300</v>
      </c>
      <c r="C328" s="7"/>
      <c r="D328" s="279">
        <f ca="1">IF(A328="","",COUNTIF(Orçamento!P:P,A328))</f>
        <v>0</v>
      </c>
      <c r="E328" s="280" t="str">
        <f ca="1">IFERROR(IF(A328="","",_xlfn.XLOOKUP(A328,'ABC Insumos Apoio'!C:C,'ABC Insumos Apoio'!A:A)),"")</f>
        <v>BACIA SANITARIA LOUCA P/CAIXA ACOPLADA</v>
      </c>
      <c r="F328" s="281" t="str">
        <f ca="1">IFERROR(IF(A328="","",_xlfn.XLOOKUP(E328,Insumos!A:A,Insumos!B:B)),"")</f>
        <v>un</v>
      </c>
      <c r="G328" s="282">
        <f ca="1">IFERROR(IF(A328="","",SUMIF(Orçamento!P:P,E328,Orçamento!X:X)),"")</f>
        <v>41</v>
      </c>
      <c r="H328" s="283">
        <f ca="1">IFERROR(IF(A328="","",_xlfn.XLOOKUP(E328,Insumos!A:A,Insumos!C:C)),"")</f>
        <v>285</v>
      </c>
      <c r="I328" s="283">
        <f t="shared" ca="1" si="19"/>
        <v>11685</v>
      </c>
      <c r="J328" s="284">
        <f t="shared" ca="1" si="20"/>
        <v>1.6763197845348424E-3</v>
      </c>
      <c r="K328" s="284">
        <f t="shared" ca="1" si="21"/>
        <v>0.87556422945035584</v>
      </c>
    </row>
    <row r="329" spans="1:11" ht="9.6" customHeight="1" x14ac:dyDescent="0.2">
      <c r="A329" s="10" t="str">
        <f ca="1"/>
        <v>11500 - MAO DE OBRA PARA COLOCACAO E REJUNTAMENTO DE PORCELANATO EXTERNO</v>
      </c>
      <c r="B329" s="10">
        <f ca="1">IF(OR(A329="",A329=0),"",LARGE($B$8:B308,1)+1)</f>
        <v>301</v>
      </c>
      <c r="C329" s="7"/>
      <c r="D329" s="279">
        <f ca="1">IF(A329="","",COUNTIF(Orçamento!P:P,A329))</f>
        <v>0</v>
      </c>
      <c r="E329" s="280" t="str">
        <f ca="1">IFERROR(IF(A329="","",_xlfn.XLOOKUP(A329,'ABC Insumos Apoio'!C:C,'ABC Insumos Apoio'!A:A)),"")</f>
        <v>MAO DE OBRA PARA COLOCACAO E REJUNTAMENTO DE PORCELANATO EXTERNO</v>
      </c>
      <c r="F329" s="281" t="str">
        <f ca="1">IFERROR(IF(A329="","",_xlfn.XLOOKUP(E329,Insumos!A:A,Insumos!B:B)),"")</f>
        <v>M2</v>
      </c>
      <c r="G329" s="282">
        <f ca="1">IFERROR(IF(A329="","",SUMIF(Orçamento!P:P,E329,Orçamento!X:X)),"")</f>
        <v>253.17999999999998</v>
      </c>
      <c r="H329" s="283">
        <f ca="1">IFERROR(IF(A329="","",_xlfn.XLOOKUP(E329,Insumos!A:A,Insumos!C:C)),"")</f>
        <v>45.422229244016116</v>
      </c>
      <c r="I329" s="283">
        <f t="shared" ca="1" si="19"/>
        <v>11500</v>
      </c>
      <c r="J329" s="284">
        <f t="shared" ca="1" si="20"/>
        <v>1.6497798478520059E-3</v>
      </c>
      <c r="K329" s="284">
        <f t="shared" ca="1" si="21"/>
        <v>0.87752603287812758</v>
      </c>
    </row>
    <row r="330" spans="1:11" ht="9.6" customHeight="1" x14ac:dyDescent="0.2">
      <c r="A330" s="10" t="str">
        <f ca="1"/>
        <v>1147,76 - Arame recozido 12 BWG</v>
      </c>
      <c r="B330" s="10">
        <f ca="1">IF(OR(A330="",A330=0),"",LARGE($B$8:B309,1)+1)</f>
        <v>302</v>
      </c>
      <c r="C330" s="7"/>
      <c r="D330" s="279">
        <f ca="1">IF(A330="","",COUNTIF(Orçamento!P:P,A330))</f>
        <v>0</v>
      </c>
      <c r="E330" s="280" t="str">
        <f ca="1">IFERROR(IF(A330="","",_xlfn.XLOOKUP(A330,'ABC Insumos Apoio'!C:C,'ABC Insumos Apoio'!A:A)),"")</f>
        <v>Arame recozido 12 BWG</v>
      </c>
      <c r="F330" s="281" t="str">
        <f ca="1">IFERROR(IF(A330="","",_xlfn.XLOOKUP(E330,Insumos!A:A,Insumos!B:B)),"")</f>
        <v>KG</v>
      </c>
      <c r="G330" s="282">
        <f ca="1">IFERROR(IF(A330="","",SUMIF(Orçamento!P:P,E330,Orçamento!X:X)),"")</f>
        <v>99.805194720461998</v>
      </c>
      <c r="H330" s="283">
        <f ca="1">IFERROR(IF(A330="","",_xlfn.XLOOKUP(E330,Insumos!A:A,Insumos!C:C)),"")</f>
        <v>11.5</v>
      </c>
      <c r="I330" s="283">
        <f t="shared" ca="1" si="19"/>
        <v>1147.7597392853129</v>
      </c>
      <c r="J330" s="284">
        <f t="shared" ca="1" si="20"/>
        <v>1.6465659896076359E-4</v>
      </c>
      <c r="K330" s="284">
        <f t="shared" ca="1" si="21"/>
        <v>0.89592361178903723</v>
      </c>
    </row>
    <row r="331" spans="1:11" ht="9.6" customHeight="1" x14ac:dyDescent="0.2">
      <c r="A331" s="10" t="str">
        <f ca="1"/>
        <v>1132,1 - ESPACADOR PVC JUNTA PISO 3,0MM NBR 6118</v>
      </c>
      <c r="B331" s="10">
        <f ca="1">IF(OR(A331="",A331=0),"",LARGE($B$8:B310,1)+1)</f>
        <v>303</v>
      </c>
      <c r="C331" s="7"/>
      <c r="D331" s="279">
        <f ca="1">IF(A331="","",COUNTIF(Orçamento!P:P,A331))</f>
        <v>0</v>
      </c>
      <c r="E331" s="280" t="str">
        <f ca="1">IFERROR(IF(A331="","",_xlfn.XLOOKUP(A331,'ABC Insumos Apoio'!C:C,'ABC Insumos Apoio'!A:A)),"")</f>
        <v>ESPACADOR PVC JUNTA PISO 3,0MM NBR 6118</v>
      </c>
      <c r="F331" s="281" t="str">
        <f ca="1">IFERROR(IF(A331="","",_xlfn.XLOOKUP(E331,Insumos!A:A,Insumos!B:B)),"")</f>
        <v>UN</v>
      </c>
      <c r="G331" s="282">
        <f ca="1">IFERROR(IF(A331="","",SUMIF(Orçamento!P:P,E331,Orçamento!X:X)),"")</f>
        <v>5145.8867999999993</v>
      </c>
      <c r="H331" s="283">
        <f ca="1">IFERROR(IF(A331="","",_xlfn.XLOOKUP(E331,Insumos!A:A,Insumos!C:C)),"")</f>
        <v>0.22</v>
      </c>
      <c r="I331" s="283">
        <f t="shared" ca="1" si="19"/>
        <v>1132.0950959999998</v>
      </c>
      <c r="J331" s="284">
        <f t="shared" ca="1" si="20"/>
        <v>1.6240936306372884E-4</v>
      </c>
      <c r="K331" s="284">
        <f t="shared" ca="1" si="21"/>
        <v>0.89790910523361711</v>
      </c>
    </row>
    <row r="332" spans="1:11" ht="9.6" customHeight="1" x14ac:dyDescent="0.2">
      <c r="A332" s="10" t="str">
        <f ca="1"/>
        <v>111075,74 - ARGAMASSA ESTABILIZADA PARA REBOCO</v>
      </c>
      <c r="B332" s="10">
        <f ca="1">IF(OR(A332="",A332=0),"",LARGE($B$8:B311,1)+1)</f>
        <v>304</v>
      </c>
      <c r="C332" s="7"/>
      <c r="D332" s="279">
        <f ca="1">IF(A332="","",COUNTIF(Orçamento!P:P,A332))</f>
        <v>0</v>
      </c>
      <c r="E332" s="280" t="str">
        <f ca="1">IFERROR(IF(A332="","",_xlfn.XLOOKUP(A332,'ABC Insumos Apoio'!C:C,'ABC Insumos Apoio'!A:A)),"")</f>
        <v>ARGAMASSA ESTABILIZADA PARA REBOCO</v>
      </c>
      <c r="F332" s="281" t="str">
        <f ca="1">IFERROR(IF(A332="","",_xlfn.XLOOKUP(E332,Insumos!A:A,Insumos!B:B)),"")</f>
        <v>M3</v>
      </c>
      <c r="G332" s="282">
        <f ca="1">IFERROR(IF(A332="","",SUMIF(Orçamento!P:P,E332,Orçamento!X:X)),"")</f>
        <v>231.40778999999998</v>
      </c>
      <c r="H332" s="283">
        <f ca="1">IFERROR(IF(A332="","",_xlfn.XLOOKUP(E332,Insumos!A:A,Insumos!C:C)),"")</f>
        <v>480</v>
      </c>
      <c r="I332" s="283">
        <f t="shared" ca="1" si="19"/>
        <v>111075.73919999998</v>
      </c>
      <c r="J332" s="284">
        <f t="shared" ca="1" si="20"/>
        <v>1.5934827488471744E-2</v>
      </c>
      <c r="K332" s="284">
        <f t="shared" ca="1" si="21"/>
        <v>0.93347888153324921</v>
      </c>
    </row>
    <row r="333" spans="1:11" ht="9.6" customHeight="1" x14ac:dyDescent="0.2">
      <c r="A333" s="10" t="str">
        <f ca="1"/>
        <v>10891,64 - ESC01 - Escada Marinheiro</v>
      </c>
      <c r="B333" s="10">
        <f ca="1">IF(OR(A333="",A333=0),"",LARGE($B$8:B247,1)+1)</f>
        <v>240</v>
      </c>
      <c r="C333" s="7"/>
      <c r="D333" s="279">
        <f ca="1">IF(A333="","",COUNTIF(Orçamento!P:P,A333))</f>
        <v>0</v>
      </c>
      <c r="E333" s="280" t="str">
        <f ca="1">IFERROR(IF(A333="","",_xlfn.XLOOKUP(A333,'ABC Insumos Apoio'!C:C,'ABC Insumos Apoio'!A:A)),"")</f>
        <v>ESC01 - Escada Marinheiro</v>
      </c>
      <c r="F333" s="281" t="str">
        <f ca="1">IFERROR(IF(A333="","",_xlfn.XLOOKUP(E333,Insumos!A:A,Insumos!B:B)),"")</f>
        <v>un</v>
      </c>
      <c r="G333" s="282">
        <f ca="1">IFERROR(IF(A333="","",SUMIF(Orçamento!P:P,E333,Orçamento!X:X)),"")</f>
        <v>2</v>
      </c>
      <c r="H333" s="283">
        <f ca="1">IFERROR(IF(A333="","",_xlfn.XLOOKUP(E333,Insumos!A:A,Insumos!C:C)),"")</f>
        <v>5445.82</v>
      </c>
      <c r="I333" s="283">
        <f t="shared" ca="1" si="19"/>
        <v>10891.64</v>
      </c>
      <c r="J333" s="284">
        <f t="shared" ca="1" si="20"/>
        <v>1.5625050593094626E-3</v>
      </c>
      <c r="K333" s="284">
        <f t="shared" ref="K333:K396" ca="1" si="22">IF(I333="","",J333+K247)</f>
        <v>0.65394549194896012</v>
      </c>
    </row>
    <row r="334" spans="1:11" ht="9.6" customHeight="1" x14ac:dyDescent="0.2">
      <c r="A334" s="10" t="str">
        <f ca="1"/>
        <v>10800 - Montagem e desmontagem de Balancim</v>
      </c>
      <c r="B334" s="10">
        <f ca="1">IF(OR(A334="",A334=0),"",LARGE($B$8:B248,1)+1)</f>
        <v>241</v>
      </c>
      <c r="C334" s="7"/>
      <c r="D334" s="279">
        <f ca="1">IF(A334="","",COUNTIF(Orçamento!P:P,A334))</f>
        <v>0</v>
      </c>
      <c r="E334" s="280" t="str">
        <f ca="1">IFERROR(IF(A334="","",_xlfn.XLOOKUP(A334,'ABC Insumos Apoio'!C:C,'ABC Insumos Apoio'!A:A)),"")</f>
        <v>Montagem e desmontagem de Balancim</v>
      </c>
      <c r="F334" s="281" t="str">
        <f ca="1">IFERROR(IF(A334="","",_xlfn.XLOOKUP(E334,Insumos!A:A,Insumos!B:B)),"")</f>
        <v>VB</v>
      </c>
      <c r="G334" s="282">
        <f ca="1">IFERROR(IF(A334="","",SUMIF(Orçamento!P:P,E334,Orçamento!X:X)),"")</f>
        <v>24</v>
      </c>
      <c r="H334" s="283">
        <f ca="1">IFERROR(IF(A334="","",_xlfn.XLOOKUP(E334,Insumos!A:A,Insumos!C:C)),"")</f>
        <v>450</v>
      </c>
      <c r="I334" s="283">
        <f t="shared" ca="1" si="19"/>
        <v>10800</v>
      </c>
      <c r="J334" s="284">
        <f t="shared" ca="1" si="20"/>
        <v>1.5493584658088403E-3</v>
      </c>
      <c r="K334" s="284">
        <f t="shared" ca="1" si="22"/>
        <v>0.65703941592969595</v>
      </c>
    </row>
    <row r="335" spans="1:11" ht="9.6" customHeight="1" x14ac:dyDescent="0.2">
      <c r="A335" s="10" t="str">
        <f ca="1"/>
        <v>10528,46 - SARRAFO DE MADEIRA 7,0 x 3 M</v>
      </c>
      <c r="B335" s="10">
        <f ca="1">IF(OR(A335="",A335=0),"",LARGE($B$8:B249,1)+1)</f>
        <v>242</v>
      </c>
      <c r="C335" s="7"/>
      <c r="D335" s="279">
        <f ca="1">IF(A335="","",COUNTIF(Orçamento!P:P,A335))</f>
        <v>0</v>
      </c>
      <c r="E335" s="280" t="str">
        <f ca="1">IFERROR(IF(A335="","",_xlfn.XLOOKUP(A335,'ABC Insumos Apoio'!C:C,'ABC Insumos Apoio'!A:A)),"")</f>
        <v>SARRAFO DE MADEIRA 7,0 x 3 M</v>
      </c>
      <c r="F335" s="281" t="str">
        <f ca="1">IFERROR(IF(A335="","",_xlfn.XLOOKUP(E335,Insumos!A:A,Insumos!B:B)),"")</f>
        <v>M3</v>
      </c>
      <c r="G335" s="282">
        <f ca="1">IFERROR(IF(A335="","",SUMIF(Orçamento!P:P,E335,Orçamento!X:X)),"")</f>
        <v>8.0988117372000001</v>
      </c>
      <c r="H335" s="283">
        <f ca="1">IFERROR(IF(A335="","",_xlfn.XLOOKUP(E335,Insumos!A:A,Insumos!C:C)),"")</f>
        <v>1300</v>
      </c>
      <c r="I335" s="283">
        <f t="shared" ca="1" si="19"/>
        <v>10528.45525836</v>
      </c>
      <c r="J335" s="284">
        <f t="shared" ca="1" si="20"/>
        <v>1.5104028968916357E-3</v>
      </c>
      <c r="K335" s="284">
        <f t="shared" ca="1" si="22"/>
        <v>0.66009917729239642</v>
      </c>
    </row>
    <row r="336" spans="1:11" ht="9.6" customHeight="1" x14ac:dyDescent="0.2">
      <c r="A336" s="10" t="str">
        <f ca="1"/>
        <v>10400 - M.O. INSTALAÇÃO DE PORTAS DE MADEIRA</v>
      </c>
      <c r="B336" s="10">
        <f ca="1">IF(OR(A336="",A336=0),"",LARGE($B$8:B250,1)+1)</f>
        <v>243</v>
      </c>
      <c r="C336" s="7"/>
      <c r="D336" s="279">
        <f ca="1">IF(A336="","",COUNTIF(Orçamento!P:P,A336))</f>
        <v>0</v>
      </c>
      <c r="E336" s="280" t="str">
        <f ca="1">IFERROR(IF(A336="","",_xlfn.XLOOKUP(A336,'ABC Insumos Apoio'!C:C,'ABC Insumos Apoio'!A:A)),"")</f>
        <v>M.O. INSTALAÇÃO DE PORTAS DE MADEIRA</v>
      </c>
      <c r="F336" s="281" t="str">
        <f ca="1">IFERROR(IF(A336="","",_xlfn.XLOOKUP(E336,Insumos!A:A,Insumos!B:B)),"")</f>
        <v>UN</v>
      </c>
      <c r="G336" s="282">
        <f ca="1">IFERROR(IF(A336="","",SUMIF(Orçamento!P:P,E336,Orçamento!X:X)),"")</f>
        <v>80</v>
      </c>
      <c r="H336" s="283">
        <f ca="1">IFERROR(IF(A336="","",_xlfn.XLOOKUP(E336,Insumos!A:A,Insumos!C:C)),"")</f>
        <v>130</v>
      </c>
      <c r="I336" s="283">
        <f t="shared" ca="1" si="19"/>
        <v>10400</v>
      </c>
      <c r="J336" s="284">
        <f t="shared" ca="1" si="20"/>
        <v>1.4919748189270313E-3</v>
      </c>
      <c r="K336" s="284">
        <f t="shared" ca="1" si="22"/>
        <v>0.66038363049195015</v>
      </c>
    </row>
    <row r="337" spans="1:11" ht="9.6" customHeight="1" x14ac:dyDescent="0.2">
      <c r="A337" s="10" t="str">
        <f ca="1"/>
        <v>10353,14 - BLOCO CERAMICO VEDACAO 11,5 X 19 X 29 CM - FUROS NA HORIZONTAL</v>
      </c>
      <c r="B337" s="10">
        <f ca="1">IF(OR(A337="",A337=0),"",LARGE($B$8:B251,1)+1)</f>
        <v>244</v>
      </c>
      <c r="C337" s="7"/>
      <c r="D337" s="279">
        <f ca="1">IF(A337="","",COUNTIF(Orçamento!P:P,A337))</f>
        <v>0</v>
      </c>
      <c r="E337" s="280" t="str">
        <f ca="1">IFERROR(IF(A337="","",_xlfn.XLOOKUP(A337,'ABC Insumos Apoio'!C:C,'ABC Insumos Apoio'!A:A)),"")</f>
        <v>BLOCO CERAMICO VEDACAO 11,5 X 19 X 29 CM - FUROS NA HORIZONTAL</v>
      </c>
      <c r="F337" s="281" t="str">
        <f ca="1">IFERROR(IF(A337="","",_xlfn.XLOOKUP(E337,Insumos!A:A,Insumos!B:B)),"")</f>
        <v>UN</v>
      </c>
      <c r="G337" s="282">
        <f ca="1">IFERROR(IF(A337="","",SUMIF(Orçamento!P:P,E337,Orçamento!X:X)),"")</f>
        <v>4559.8500000000004</v>
      </c>
      <c r="H337" s="283">
        <f ca="1">IFERROR(IF(A337="","",_xlfn.XLOOKUP(E337,Insumos!A:A,Insumos!C:C)),"")</f>
        <v>2.2705000000000002</v>
      </c>
      <c r="I337" s="283">
        <f t="shared" ca="1" si="19"/>
        <v>10353.139425000001</v>
      </c>
      <c r="J337" s="284">
        <f t="shared" ca="1" si="20"/>
        <v>1.4852522422058353E-3</v>
      </c>
      <c r="K337" s="284">
        <f t="shared" ca="1" si="22"/>
        <v>0.66338954937652395</v>
      </c>
    </row>
    <row r="338" spans="1:11" ht="9.6" customHeight="1" x14ac:dyDescent="0.2">
      <c r="A338" s="10" t="str">
        <f ca="1"/>
        <v>1029,77 - Cabo de aço SAE 1020 1/2" - 6/25 Alma de aço</v>
      </c>
      <c r="B338" s="10">
        <f ca="1">IF(OR(A338="",A338=0),"",LARGE($B$8:B252,1)+1)</f>
        <v>245</v>
      </c>
      <c r="C338" s="7"/>
      <c r="D338" s="279">
        <f ca="1">IF(A338="","",COUNTIF(Orçamento!P:P,A338))</f>
        <v>0</v>
      </c>
      <c r="E338" s="280" t="str">
        <f ca="1">IFERROR(IF(A338="","",_xlfn.XLOOKUP(A338,'ABC Insumos Apoio'!C:C,'ABC Insumos Apoio'!A:A)),"")</f>
        <v>Cabo de aço SAE 1020 1/2" - 6/25 Alma de aço</v>
      </c>
      <c r="F338" s="281" t="str">
        <f ca="1">IFERROR(IF(A338="","",_xlfn.XLOOKUP(E338,Insumos!A:A,Insumos!B:B)),"")</f>
        <v>kg</v>
      </c>
      <c r="G338" s="282">
        <f ca="1">IFERROR(IF(A338="","",SUMIF(Orçamento!P:P,E338,Orçamento!X:X)),"")</f>
        <v>132.02082399999998</v>
      </c>
      <c r="H338" s="283">
        <f ca="1">IFERROR(IF(A338="","",_xlfn.XLOOKUP(E338,Insumos!A:A,Insumos!C:C)),"")</f>
        <v>7.8</v>
      </c>
      <c r="I338" s="283">
        <f t="shared" ref="I338:I349" ca="1" si="23">IFERROR(IF(E338="","",G338*H338),"")</f>
        <v>1029.7624271999998</v>
      </c>
      <c r="J338" s="284">
        <f t="shared" ref="J338:J349" ca="1" si="24">IFERROR(IF(I338="","",I338/$I$6),0)</f>
        <v>1.4772880873649809E-4</v>
      </c>
      <c r="K338" s="284">
        <f t="shared" ref="K338:K349" ca="1" si="25">IF(I338="","",J338+K252)</f>
        <v>0.6620819765467979</v>
      </c>
    </row>
    <row r="339" spans="1:11" ht="9.6" customHeight="1" x14ac:dyDescent="0.2">
      <c r="A339" s="10" t="str">
        <f ca="1"/>
        <v>1007,27 - CALHA ACO CARBONO GALVANIZADO CHAPA 24 DESENVOLVIMENTO 400MM</v>
      </c>
      <c r="B339" s="10">
        <f ca="1">IF(OR(A339="",A339=0),"",LARGE($B$8:B253,1)+1)</f>
        <v>246</v>
      </c>
      <c r="C339" s="7"/>
      <c r="D339" s="279">
        <f ca="1">IF(A339="","",COUNTIF(Orçamento!P:P,A339))</f>
        <v>0</v>
      </c>
      <c r="E339" s="280" t="str">
        <f ca="1">IFERROR(IF(A339="","",_xlfn.XLOOKUP(A339,'ABC Insumos Apoio'!C:C,'ABC Insumos Apoio'!A:A)),"")</f>
        <v>CALHA ACO CARBONO GALVANIZADO CHAPA 24 DESENVOLVIMENTO 400MM</v>
      </c>
      <c r="F339" s="281" t="str">
        <f ca="1">IFERROR(IF(A339="","",_xlfn.XLOOKUP(E339,Insumos!A:A,Insumos!B:B)),"")</f>
        <v>M</v>
      </c>
      <c r="G339" s="282">
        <f ca="1">IFERROR(IF(A339="","",SUMIF(Orçamento!P:P,E339,Orçamento!X:X)),"")</f>
        <v>33.575399999999995</v>
      </c>
      <c r="H339" s="283">
        <f ca="1">IFERROR(IF(A339="","",_xlfn.XLOOKUP(E339,Insumos!A:A,Insumos!C:C)),"")</f>
        <v>30</v>
      </c>
      <c r="I339" s="283">
        <f t="shared" ca="1" si="23"/>
        <v>1007.2619999999998</v>
      </c>
      <c r="J339" s="284">
        <f t="shared" ca="1" si="24"/>
        <v>1.4450091731366146E-4</v>
      </c>
      <c r="K339" s="284">
        <f t="shared" ca="1" si="25"/>
        <v>0.69184283542122071</v>
      </c>
    </row>
    <row r="340" spans="1:11" ht="9.6" customHeight="1" x14ac:dyDescent="0.2">
      <c r="A340" s="10" t="str">
        <f ca="1"/>
        <v>10009,52 - ELETRODUTOS, CAIXAS E ELETROCALHAS - SUBSOLO</v>
      </c>
      <c r="B340" s="10">
        <f ca="1">IF(OR(A340="",A340=0),"",LARGE($B$8:B254,1)+1)</f>
        <v>247</v>
      </c>
      <c r="C340" s="7"/>
      <c r="D340" s="279">
        <f ca="1">IF(A340="","",COUNTIF(Orçamento!P:P,A340))</f>
        <v>0</v>
      </c>
      <c r="E340" s="280" t="str">
        <f ca="1">IFERROR(IF(A340="","",_xlfn.XLOOKUP(A340,'ABC Insumos Apoio'!C:C,'ABC Insumos Apoio'!A:A)),"")</f>
        <v>ELETRODUTOS, CAIXAS E ELETROCALHAS - SUBSOLO</v>
      </c>
      <c r="F340" s="281" t="str">
        <f ca="1">IFERROR(IF(A340="","",_xlfn.XLOOKUP(E340,Insumos!A:A,Insumos!B:B)),"")</f>
        <v>VB</v>
      </c>
      <c r="G340" s="282">
        <f ca="1">IFERROR(IF(A340="","",SUMIF(Orçamento!P:P,E340,Orçamento!X:X)),"")</f>
        <v>1</v>
      </c>
      <c r="H340" s="283">
        <f ca="1">IFERROR(IF(A340="","",_xlfn.XLOOKUP(E340,Insumos!A:A,Insumos!C:C)),"")</f>
        <v>10009.513655419161</v>
      </c>
      <c r="I340" s="283">
        <f t="shared" ca="1" si="23"/>
        <v>10009.513655419161</v>
      </c>
      <c r="J340" s="284">
        <f t="shared" ca="1" si="24"/>
        <v>1.4359559926530434E-3</v>
      </c>
      <c r="K340" s="284">
        <f t="shared" ca="1" si="25"/>
        <v>0.69607917999986002</v>
      </c>
    </row>
    <row r="341" spans="1:11" ht="9.6" customHeight="1" x14ac:dyDescent="0.2">
      <c r="A341" s="10" t="str">
        <f ca="1"/>
        <v>1,82 - PO PEDRA A GRANEL (M3) - GRANULOMETRIA 1,2 A 4,75MM NBR 7211</v>
      </c>
      <c r="B341" s="10">
        <f ca="1">IF(OR(A341="",A341=0),"",LARGE($B$8:B255,1)+1)</f>
        <v>248</v>
      </c>
      <c r="C341" s="7"/>
      <c r="D341" s="279">
        <f ca="1">IF(A341="","",COUNTIF(Orçamento!P:P,A341))</f>
        <v>0</v>
      </c>
      <c r="E341" s="280" t="str">
        <f ca="1">IFERROR(IF(A341="","",_xlfn.XLOOKUP(A341,'ABC Insumos Apoio'!C:C,'ABC Insumos Apoio'!A:A)),"")</f>
        <v>PO PEDRA A GRANEL (M3) - GRANULOMETRIA 1,2 A 4,75MM NBR 7211</v>
      </c>
      <c r="F341" s="281" t="str">
        <f ca="1">IFERROR(IF(A341="","",_xlfn.XLOOKUP(E341,Insumos!A:A,Insumos!B:B)),"")</f>
        <v>M3</v>
      </c>
      <c r="G341" s="282">
        <f ca="1">IFERROR(IF(A341="","",SUMIF(Orçamento!P:P,E341,Orçamento!X:X)),"")</f>
        <v>1.3944700000000001E-2</v>
      </c>
      <c r="H341" s="283">
        <f ca="1">IFERROR(IF(A341="","",_xlfn.XLOOKUP(E341,Insumos!A:A,Insumos!C:C)),"")</f>
        <v>130</v>
      </c>
      <c r="I341" s="283">
        <f t="shared" ca="1" si="23"/>
        <v>1.8128110000000002</v>
      </c>
      <c r="J341" s="284">
        <f t="shared" ca="1" si="24"/>
        <v>2.6006426571864718E-7</v>
      </c>
      <c r="K341" s="284">
        <f t="shared" ca="1" si="25"/>
        <v>0.69493659256226081</v>
      </c>
    </row>
    <row r="342" spans="1:11" ht="9.6" customHeight="1" x14ac:dyDescent="0.2">
      <c r="A342" s="10" t="str">
        <f ca="1"/>
        <v>0,52 - FITA CREPE 25MMX50M</v>
      </c>
      <c r="B342" s="10">
        <f ca="1">IF(OR(A342="",A342=0),"",LARGE($B$8:B256,1)+1)</f>
        <v>249</v>
      </c>
      <c r="C342" s="7"/>
      <c r="D342" s="279">
        <f ca="1">IF(A342="","",COUNTIF(Orçamento!P:P,A342))</f>
        <v>0</v>
      </c>
      <c r="E342" s="280" t="str">
        <f ca="1">IFERROR(IF(A342="","",_xlfn.XLOOKUP(A342,'ABC Insumos Apoio'!C:C,'ABC Insumos Apoio'!A:A)),"")</f>
        <v>FITA CREPE 25MMX50M</v>
      </c>
      <c r="F342" s="281" t="str">
        <f ca="1">IFERROR(IF(A342="","",_xlfn.XLOOKUP(E342,Insumos!A:A,Insumos!B:B)),"")</f>
        <v>L</v>
      </c>
      <c r="G342" s="282">
        <f ca="1">IFERROR(IF(A342="","",SUMIF(Orçamento!P:P,E342,Orçamento!X:X)),"")</f>
        <v>0.173124</v>
      </c>
      <c r="H342" s="283">
        <f ca="1">IFERROR(IF(A342="","",_xlfn.XLOOKUP(E342,Insumos!A:A,Insumos!C:C)),"")</f>
        <v>3</v>
      </c>
      <c r="I342" s="283">
        <f t="shared" ca="1" si="23"/>
        <v>0.51937199999999994</v>
      </c>
      <c r="J342" s="284">
        <f t="shared" ca="1" si="24"/>
        <v>7.4508648620747119E-8</v>
      </c>
      <c r="K342" s="284">
        <f t="shared" ca="1" si="25"/>
        <v>0.69786182532467833</v>
      </c>
    </row>
    <row r="343" spans="1:11" ht="9.6" customHeight="1" x14ac:dyDescent="0.2">
      <c r="A343" s="10" t="str">
        <f ca="1"/>
        <v>0 - 0</v>
      </c>
      <c r="B343" s="10">
        <f ca="1">IF(OR(A343="",A343=0),"",LARGE($B$8:B257,1)+1)</f>
        <v>250</v>
      </c>
      <c r="C343" s="7"/>
      <c r="D343" s="279">
        <f ca="1">IF(A343="","",COUNTIF(Orçamento!P:P,A343))</f>
        <v>0</v>
      </c>
      <c r="E343" s="280">
        <f ca="1">IFERROR(IF(A343="","",_xlfn.XLOOKUP(A343,'ABC Insumos Apoio'!C:C,'ABC Insumos Apoio'!A:A)),"")</f>
        <v>0</v>
      </c>
      <c r="F343" s="281" t="str">
        <f ca="1">IFERROR(IF(A343="","",_xlfn.XLOOKUP(E343,Insumos!A:A,Insumos!B:B)),"")</f>
        <v/>
      </c>
      <c r="G343" s="282">
        <f ca="1">IFERROR(IF(A343="","",SUMIF(Orçamento!P:P,E343,Orçamento!X:X)),"")</f>
        <v>0</v>
      </c>
      <c r="H343" s="283" t="str">
        <f ca="1">IFERROR(IF(A343="","",_xlfn.XLOOKUP(E343,Insumos!A:A,Insumos!C:C)),"")</f>
        <v/>
      </c>
      <c r="I343" s="283" t="str">
        <f t="shared" ca="1" si="23"/>
        <v/>
      </c>
      <c r="J343" s="284" t="str">
        <f t="shared" ca="1" si="24"/>
        <v/>
      </c>
      <c r="K343" s="284" t="str">
        <f t="shared" ca="1" si="25"/>
        <v/>
      </c>
    </row>
    <row r="344" spans="1:11" ht="9.6" customHeight="1" x14ac:dyDescent="0.2">
      <c r="A344" s="10" t="str">
        <f ca="1"/>
        <v/>
      </c>
      <c r="B344" s="10" t="str">
        <f ca="1">IF(OR(A344="",A344=0),"",LARGE($B$8:B258,1)+1)</f>
        <v/>
      </c>
      <c r="C344" s="7"/>
      <c r="D344" s="279" t="str">
        <f ca="1">IF(A344="","",COUNTIF(Orçamento!P:P,A344))</f>
        <v/>
      </c>
      <c r="E344" s="280" t="str">
        <f ca="1">IFERROR(IF(A344="","",_xlfn.XLOOKUP(A344,'ABC Insumos Apoio'!C:C,'ABC Insumos Apoio'!A:A)),"")</f>
        <v/>
      </c>
      <c r="F344" s="281" t="str">
        <f ca="1">IFERROR(IF(A344="","",_xlfn.XLOOKUP(E344,Insumos!A:A,Insumos!B:B)),"")</f>
        <v/>
      </c>
      <c r="G344" s="282" t="str">
        <f ca="1">IFERROR(IF(A344="","",SUMIF(Orçamento!P:P,E344,Orçamento!X:X)),"")</f>
        <v/>
      </c>
      <c r="H344" s="283" t="str">
        <f ca="1">IFERROR(IF(A344="","",_xlfn.XLOOKUP(E344,Insumos!A:A,Insumos!C:C)),"")</f>
        <v/>
      </c>
      <c r="I344" s="283" t="str">
        <f t="shared" ca="1" si="23"/>
        <v/>
      </c>
      <c r="J344" s="284" t="str">
        <f t="shared" ca="1" si="24"/>
        <v/>
      </c>
      <c r="K344" s="284" t="str">
        <f t="shared" ca="1" si="25"/>
        <v/>
      </c>
    </row>
    <row r="345" spans="1:11" ht="9.6" customHeight="1" x14ac:dyDescent="0.2">
      <c r="A345" s="10">
        <f ca="1"/>
        <v>0</v>
      </c>
      <c r="B345" s="10" t="str">
        <f ca="1">IF(OR(A345="",A345=0),"",LARGE($B$8:B259,1)+1)</f>
        <v/>
      </c>
      <c r="C345" s="7"/>
      <c r="D345" s="279">
        <f ca="1">IF(A345="","",COUNTIF(Orçamento!P:P,A345))</f>
        <v>0</v>
      </c>
      <c r="E345" s="280" t="str">
        <f ca="1">IFERROR(IF(A345="","",_xlfn.XLOOKUP(A345,'ABC Insumos Apoio'!C:C,'ABC Insumos Apoio'!A:A)),"")</f>
        <v/>
      </c>
      <c r="F345" s="281" t="str">
        <f ca="1">IFERROR(IF(A345="","",_xlfn.XLOOKUP(E345,Insumos!A:A,Insumos!B:B)),"")</f>
        <v/>
      </c>
      <c r="G345" s="282">
        <f ca="1">IFERROR(IF(A345="","",SUMIF(Orçamento!P:P,E345,Orçamento!X:X)),"")</f>
        <v>112563.80857813352</v>
      </c>
      <c r="H345" s="283" t="str">
        <f ca="1">IFERROR(IF(A345="","",_xlfn.XLOOKUP(E345,Insumos!A:A,Insumos!C:C)),"")</f>
        <v/>
      </c>
      <c r="I345" s="283" t="str">
        <f t="shared" ca="1" si="23"/>
        <v/>
      </c>
      <c r="J345" s="284" t="str">
        <f t="shared" ca="1" si="24"/>
        <v/>
      </c>
      <c r="K345" s="284" t="str">
        <f t="shared" ca="1" si="25"/>
        <v/>
      </c>
    </row>
    <row r="346" spans="1:11" ht="9.6" customHeight="1" x14ac:dyDescent="0.2">
      <c r="B346" s="10" t="str">
        <f>IF(OR(A346="",A346=0),"",LARGE($B$8:B260,1)+1)</f>
        <v/>
      </c>
      <c r="C346" s="7"/>
      <c r="D346" s="279" t="str">
        <f>IF(A346="","",COUNTIF(Orçamento!P:P,A346))</f>
        <v/>
      </c>
      <c r="E346" s="280" t="str">
        <f>IFERROR(IF(A346="","",_xlfn.XLOOKUP(A346,'ABC Insumos Apoio'!C:C,'ABC Insumos Apoio'!A:A)),"")</f>
        <v/>
      </c>
      <c r="F346" s="281" t="str">
        <f>IFERROR(IF(A346="","",_xlfn.XLOOKUP(E346,Insumos!A:A,Insumos!B:B)),"")</f>
        <v/>
      </c>
      <c r="G346" s="282" t="str">
        <f>IFERROR(IF(A346="","",SUMIF(Orçamento!P:P,E346,Orçamento!X:X)),"")</f>
        <v/>
      </c>
      <c r="H346" s="283" t="str">
        <f>IFERROR(IF(A346="","",_xlfn.XLOOKUP(E346,Insumos!A:A,Insumos!C:C)),"")</f>
        <v/>
      </c>
      <c r="I346" s="283" t="str">
        <f t="shared" si="23"/>
        <v/>
      </c>
      <c r="J346" s="284" t="str">
        <f t="shared" si="24"/>
        <v/>
      </c>
      <c r="K346" s="284" t="str">
        <f t="shared" si="25"/>
        <v/>
      </c>
    </row>
    <row r="347" spans="1:11" ht="9.6" customHeight="1" x14ac:dyDescent="0.2">
      <c r="B347" s="10" t="str">
        <f>IF(OR(A347="",A347=0),"",LARGE($B$8:B261,1)+1)</f>
        <v/>
      </c>
      <c r="C347" s="7"/>
      <c r="D347" s="279" t="str">
        <f>IF(A347="","",COUNTIF(Orçamento!P:P,A347))</f>
        <v/>
      </c>
      <c r="E347" s="280" t="str">
        <f>IFERROR(IF(A347="","",_xlfn.XLOOKUP(A347,'ABC Insumos Apoio'!C:C,'ABC Insumos Apoio'!A:A)),"")</f>
        <v/>
      </c>
      <c r="F347" s="281" t="str">
        <f>IFERROR(IF(A347="","",_xlfn.XLOOKUP(E347,Insumos!A:A,Insumos!B:B)),"")</f>
        <v/>
      </c>
      <c r="G347" s="282" t="str">
        <f>IFERROR(IF(A347="","",SUMIF(Orçamento!P:P,E347,Orçamento!X:X)),"")</f>
        <v/>
      </c>
      <c r="H347" s="283" t="str">
        <f>IFERROR(IF(A347="","",_xlfn.XLOOKUP(E347,Insumos!A:A,Insumos!C:C)),"")</f>
        <v/>
      </c>
      <c r="I347" s="283" t="str">
        <f t="shared" si="23"/>
        <v/>
      </c>
      <c r="J347" s="284" t="str">
        <f t="shared" si="24"/>
        <v/>
      </c>
      <c r="K347" s="284" t="str">
        <f t="shared" si="25"/>
        <v/>
      </c>
    </row>
    <row r="348" spans="1:11" ht="9.6" customHeight="1" x14ac:dyDescent="0.2">
      <c r="B348" s="10" t="str">
        <f>IF(OR(A348="",A348=0),"",LARGE($B$8:B262,1)+1)</f>
        <v/>
      </c>
      <c r="C348" s="7"/>
      <c r="D348" s="279" t="str">
        <f>IF(A348="","",COUNTIF(Orçamento!P:P,A348))</f>
        <v/>
      </c>
      <c r="E348" s="280" t="str">
        <f>IFERROR(IF(A348="","",_xlfn.XLOOKUP(A348,'ABC Insumos Apoio'!C:C,'ABC Insumos Apoio'!A:A)),"")</f>
        <v/>
      </c>
      <c r="F348" s="281" t="str">
        <f>IFERROR(IF(A348="","",_xlfn.XLOOKUP(E348,Insumos!A:A,Insumos!B:B)),"")</f>
        <v/>
      </c>
      <c r="G348" s="282" t="str">
        <f>IFERROR(IF(A348="","",SUMIF(Orçamento!P:P,E348,Orçamento!X:X)),"")</f>
        <v/>
      </c>
      <c r="H348" s="283" t="str">
        <f>IFERROR(IF(A348="","",_xlfn.XLOOKUP(E348,Insumos!A:A,Insumos!C:C)),"")</f>
        <v/>
      </c>
      <c r="I348" s="283" t="str">
        <f t="shared" si="23"/>
        <v/>
      </c>
      <c r="J348" s="284" t="str">
        <f t="shared" si="24"/>
        <v/>
      </c>
      <c r="K348" s="284" t="str">
        <f t="shared" si="25"/>
        <v/>
      </c>
    </row>
    <row r="349" spans="1:11" ht="9.6" customHeight="1" x14ac:dyDescent="0.2">
      <c r="B349" s="10" t="str">
        <f>IF(OR(A349="",A349=0),"",LARGE($B$8:B263,1)+1)</f>
        <v/>
      </c>
      <c r="C349" s="7"/>
      <c r="D349" s="279" t="str">
        <f>IF(A349="","",COUNTIF(Orçamento!P:P,A349))</f>
        <v/>
      </c>
      <c r="E349" s="280" t="str">
        <f>IFERROR(IF(A349="","",_xlfn.XLOOKUP(A349,'ABC Insumos Apoio'!C:C,'ABC Insumos Apoio'!A:A)),"")</f>
        <v/>
      </c>
      <c r="F349" s="281" t="str">
        <f>IFERROR(IF(A349="","",_xlfn.XLOOKUP(E349,Insumos!A:A,Insumos!B:B)),"")</f>
        <v/>
      </c>
      <c r="G349" s="282" t="str">
        <f>IFERROR(IF(A349="","",SUMIF(Orçamento!P:P,E349,Orçamento!X:X)),"")</f>
        <v/>
      </c>
      <c r="H349" s="283" t="str">
        <f>IFERROR(IF(A349="","",_xlfn.XLOOKUP(E349,Insumos!A:A,Insumos!C:C)),"")</f>
        <v/>
      </c>
      <c r="I349" s="283" t="str">
        <f t="shared" si="23"/>
        <v/>
      </c>
      <c r="J349" s="284" t="str">
        <f t="shared" si="24"/>
        <v/>
      </c>
      <c r="K349" s="284" t="str">
        <f t="shared" si="25"/>
        <v/>
      </c>
    </row>
    <row r="350" spans="1:11" ht="9.6" customHeight="1" x14ac:dyDescent="0.2">
      <c r="B350" s="10" t="str">
        <f>IF(OR(A350="",A350=0),"",LARGE($B$8:B264,1)+1)</f>
        <v/>
      </c>
      <c r="C350" s="7"/>
      <c r="D350" s="279" t="str">
        <f>IF(A350="","",COUNTIF(Orçamento!P:P,A350))</f>
        <v/>
      </c>
      <c r="E350" s="280" t="str">
        <f>IFERROR(IF(A350="","",_xlfn.XLOOKUP(A350,'ABC Insumos Apoio'!C:C,'ABC Insumos Apoio'!A:A)),"")</f>
        <v/>
      </c>
      <c r="F350" s="281" t="str">
        <f>IFERROR(IF(A350="","",_xlfn.XLOOKUP(E350,Insumos!A:A,Insumos!B:B)),"")</f>
        <v/>
      </c>
      <c r="G350" s="282" t="str">
        <f>IFERROR(IF(A350="","",SUMIF(Orçamento!P:P,E350,Orçamento!X:X)),"")</f>
        <v/>
      </c>
      <c r="H350" s="283" t="str">
        <f>IFERROR(IF(A350="","",_xlfn.XLOOKUP(E350,Insumos!A:A,Insumos!C:C)),"")</f>
        <v/>
      </c>
      <c r="I350" s="283" t="str">
        <f t="shared" ref="I350:I356" si="26">IFERROR(IF(E350="","",G350*H350),"")</f>
        <v/>
      </c>
      <c r="J350" s="284" t="str">
        <f t="shared" ref="J350:J356" si="27">IFERROR(IF(I350="","",I350/$I$6),0)</f>
        <v/>
      </c>
      <c r="K350" s="284" t="str">
        <f t="shared" ref="K350:K356" si="28">IF(I350="","",J350+K264)</f>
        <v/>
      </c>
    </row>
    <row r="351" spans="1:11" ht="9.6" customHeight="1" x14ac:dyDescent="0.2">
      <c r="B351" s="10" t="str">
        <f>IF(OR(A351="",A351=0),"",LARGE($B$8:B265,1)+1)</f>
        <v/>
      </c>
      <c r="C351" s="7"/>
      <c r="D351" s="279" t="str">
        <f>IF(A351="","",COUNTIF(Orçamento!P:P,A351))</f>
        <v/>
      </c>
      <c r="E351" s="280" t="str">
        <f>IFERROR(IF(A351="","",_xlfn.XLOOKUP(A351,'ABC Insumos Apoio'!C:C,'ABC Insumos Apoio'!A:A)),"")</f>
        <v/>
      </c>
      <c r="F351" s="281" t="str">
        <f>IFERROR(IF(A351="","",_xlfn.XLOOKUP(E351,Insumos!A:A,Insumos!B:B)),"")</f>
        <v/>
      </c>
      <c r="G351" s="282" t="str">
        <f>IFERROR(IF(A351="","",SUMIF(Orçamento!P:P,E351,Orçamento!X:X)),"")</f>
        <v/>
      </c>
      <c r="H351" s="283" t="str">
        <f>IFERROR(IF(A351="","",_xlfn.XLOOKUP(E351,Insumos!A:A,Insumos!C:C)),"")</f>
        <v/>
      </c>
      <c r="I351" s="283" t="str">
        <f t="shared" si="26"/>
        <v/>
      </c>
      <c r="J351" s="284" t="str">
        <f t="shared" si="27"/>
        <v/>
      </c>
      <c r="K351" s="284" t="str">
        <f t="shared" si="28"/>
        <v/>
      </c>
    </row>
    <row r="352" spans="1:11" ht="9.6" customHeight="1" x14ac:dyDescent="0.2">
      <c r="B352" s="10" t="str">
        <f>IF(OR(A352="",A352=0),"",LARGE($B$8:B266,1)+1)</f>
        <v/>
      </c>
      <c r="C352" s="7"/>
      <c r="D352" s="279" t="str">
        <f>IF(A352="","",COUNTIF(Orçamento!P:P,A352))</f>
        <v/>
      </c>
      <c r="E352" s="280" t="str">
        <f>IFERROR(IF(A352="","",_xlfn.XLOOKUP(A352,'ABC Insumos Apoio'!C:C,'ABC Insumos Apoio'!A:A)),"")</f>
        <v/>
      </c>
      <c r="F352" s="281" t="str">
        <f>IFERROR(IF(A352="","",_xlfn.XLOOKUP(E352,Insumos!A:A,Insumos!B:B)),"")</f>
        <v/>
      </c>
      <c r="G352" s="282" t="str">
        <f>IFERROR(IF(A352="","",SUMIF(Orçamento!P:P,E352,Orçamento!X:X)),"")</f>
        <v/>
      </c>
      <c r="H352" s="283" t="str">
        <f>IFERROR(IF(A352="","",_xlfn.XLOOKUP(E352,Insumos!A:A,Insumos!C:C)),"")</f>
        <v/>
      </c>
      <c r="I352" s="283" t="str">
        <f t="shared" si="26"/>
        <v/>
      </c>
      <c r="J352" s="284" t="str">
        <f t="shared" si="27"/>
        <v/>
      </c>
      <c r="K352" s="284" t="str">
        <f t="shared" si="28"/>
        <v/>
      </c>
    </row>
    <row r="353" spans="2:11" ht="9.6" customHeight="1" x14ac:dyDescent="0.2">
      <c r="B353" s="10" t="str">
        <f>IF(OR(A353="",A353=0),"",LARGE($B$8:B267,1)+1)</f>
        <v/>
      </c>
      <c r="C353" s="7"/>
      <c r="D353" s="279" t="str">
        <f>IF(A353="","",COUNTIF(Orçamento!P:P,A353))</f>
        <v/>
      </c>
      <c r="E353" s="280" t="str">
        <f>IFERROR(IF(A353="","",_xlfn.XLOOKUP(A353,'ABC Insumos Apoio'!C:C,'ABC Insumos Apoio'!A:A)),"")</f>
        <v/>
      </c>
      <c r="F353" s="281" t="str">
        <f>IFERROR(IF(A353="","",_xlfn.XLOOKUP(E353,Insumos!A:A,Insumos!B:B)),"")</f>
        <v/>
      </c>
      <c r="G353" s="282" t="str">
        <f>IFERROR(IF(A353="","",SUMIF(Orçamento!P:P,E353,Orçamento!X:X)),"")</f>
        <v/>
      </c>
      <c r="H353" s="283" t="str">
        <f>IFERROR(IF(A353="","",_xlfn.XLOOKUP(E353,Insumos!A:A,Insumos!C:C)),"")</f>
        <v/>
      </c>
      <c r="I353" s="283" t="str">
        <f t="shared" si="26"/>
        <v/>
      </c>
      <c r="J353" s="284" t="str">
        <f t="shared" si="27"/>
        <v/>
      </c>
      <c r="K353" s="284" t="str">
        <f t="shared" si="28"/>
        <v/>
      </c>
    </row>
    <row r="354" spans="2:11" ht="9.6" customHeight="1" x14ac:dyDescent="0.2">
      <c r="B354" s="10" t="str">
        <f>IF(OR(A354="",A354=0),"",LARGE($B$8:B268,1)+1)</f>
        <v/>
      </c>
      <c r="C354" s="7"/>
      <c r="D354" s="279" t="str">
        <f>IF(A354="","",COUNTIF(Orçamento!P:P,A354))</f>
        <v/>
      </c>
      <c r="E354" s="280" t="str">
        <f>IFERROR(IF(A354="","",_xlfn.XLOOKUP(A354,'ABC Insumos Apoio'!C:C,'ABC Insumos Apoio'!A:A)),"")</f>
        <v/>
      </c>
      <c r="F354" s="281" t="str">
        <f>IFERROR(IF(A354="","",_xlfn.XLOOKUP(E354,Insumos!A:A,Insumos!B:B)),"")</f>
        <v/>
      </c>
      <c r="G354" s="282" t="str">
        <f>IFERROR(IF(A354="","",SUMIF(Orçamento!P:P,E354,Orçamento!X:X)),"")</f>
        <v/>
      </c>
      <c r="H354" s="283" t="str">
        <f>IFERROR(IF(A354="","",_xlfn.XLOOKUP(E354,Insumos!A:A,Insumos!C:C)),"")</f>
        <v/>
      </c>
      <c r="I354" s="283" t="str">
        <f t="shared" si="26"/>
        <v/>
      </c>
      <c r="J354" s="284" t="str">
        <f t="shared" si="27"/>
        <v/>
      </c>
      <c r="K354" s="284" t="str">
        <f t="shared" si="28"/>
        <v/>
      </c>
    </row>
    <row r="355" spans="2:11" ht="9.6" customHeight="1" x14ac:dyDescent="0.2">
      <c r="B355" s="10" t="str">
        <f>IF(OR(A355="",A355=0),"",LARGE($B$8:B269,1)+1)</f>
        <v/>
      </c>
      <c r="C355" s="7"/>
      <c r="D355" s="279" t="str">
        <f>IF(A355="","",COUNTIF(Orçamento!P:P,A355))</f>
        <v/>
      </c>
      <c r="E355" s="280" t="str">
        <f>IFERROR(IF(A355="","",_xlfn.XLOOKUP(A355,'ABC Insumos Apoio'!C:C,'ABC Insumos Apoio'!A:A)),"")</f>
        <v/>
      </c>
      <c r="F355" s="281" t="str">
        <f>IFERROR(IF(A355="","",_xlfn.XLOOKUP(E355,Insumos!A:A,Insumos!B:B)),"")</f>
        <v/>
      </c>
      <c r="G355" s="282" t="str">
        <f>IFERROR(IF(A355="","",SUMIF(Orçamento!P:P,E355,Orçamento!X:X)),"")</f>
        <v/>
      </c>
      <c r="H355" s="283" t="str">
        <f>IFERROR(IF(A355="","",_xlfn.XLOOKUP(E355,Insumos!A:A,Insumos!C:C)),"")</f>
        <v/>
      </c>
      <c r="I355" s="283" t="str">
        <f t="shared" si="26"/>
        <v/>
      </c>
      <c r="J355" s="284" t="str">
        <f t="shared" si="27"/>
        <v/>
      </c>
      <c r="K355" s="284" t="str">
        <f t="shared" si="28"/>
        <v/>
      </c>
    </row>
    <row r="356" spans="2:11" ht="9.6" customHeight="1" x14ac:dyDescent="0.2">
      <c r="B356" s="10" t="str">
        <f>IF(OR(A356="",A356=0),"",LARGE($B$8:B270,1)+1)</f>
        <v/>
      </c>
      <c r="C356" s="7"/>
      <c r="D356" s="279" t="str">
        <f>IF(A356="","",COUNTIF(Orçamento!P:P,A356))</f>
        <v/>
      </c>
      <c r="E356" s="280" t="str">
        <f>IFERROR(IF(A356="","",_xlfn.XLOOKUP(A356,'ABC Insumos Apoio'!C:C,'ABC Insumos Apoio'!A:A)),"")</f>
        <v/>
      </c>
      <c r="F356" s="281" t="str">
        <f>IFERROR(IF(A356="","",_xlfn.XLOOKUP(E356,Insumos!A:A,Insumos!B:B)),"")</f>
        <v/>
      </c>
      <c r="G356" s="282" t="str">
        <f>IFERROR(IF(A356="","",SUMIF(Orçamento!P:P,E356,Orçamento!X:X)),"")</f>
        <v/>
      </c>
      <c r="H356" s="283" t="str">
        <f>IFERROR(IF(A356="","",_xlfn.XLOOKUP(E356,Insumos!A:A,Insumos!C:C)),"")</f>
        <v/>
      </c>
      <c r="I356" s="283" t="str">
        <f t="shared" si="26"/>
        <v/>
      </c>
      <c r="J356" s="284" t="str">
        <f t="shared" si="27"/>
        <v/>
      </c>
      <c r="K356" s="284" t="str">
        <f t="shared" si="28"/>
        <v/>
      </c>
    </row>
    <row r="357" spans="2:11" ht="9.6" customHeight="1" x14ac:dyDescent="0.2">
      <c r="B357" s="10" t="str">
        <f>IF(OR(A357="",A357=0),"",LARGE($B$8:B271,1)+1)</f>
        <v/>
      </c>
      <c r="C357" s="7"/>
      <c r="D357" s="279" t="str">
        <f>IF(A357="","",COUNTIF(Orçamento!P:P,A357))</f>
        <v/>
      </c>
      <c r="E357" s="280" t="str">
        <f>IFERROR(IF(A357="","",_xlfn.XLOOKUP(A357,'ABC Insumos Apoio'!C:C,'ABC Insumos Apoio'!A:A)),"")</f>
        <v/>
      </c>
      <c r="F357" s="281" t="str">
        <f>IFERROR(IF(A357="","",_xlfn.XLOOKUP(E357,Insumos!A:A,Insumos!B:B)),"")</f>
        <v/>
      </c>
      <c r="G357" s="282" t="str">
        <f>IFERROR(IF(A357="","",SUMIF(Orçamento!P:P,E357,Orçamento!X:X)),"")</f>
        <v/>
      </c>
      <c r="H357" s="283" t="str">
        <f>IFERROR(IF(A357="","",_xlfn.XLOOKUP(E357,Insumos!A:A,Insumos!C:C)),"")</f>
        <v/>
      </c>
      <c r="I357" s="283" t="str">
        <f t="shared" si="19"/>
        <v/>
      </c>
      <c r="J357" s="284" t="str">
        <f t="shared" si="20"/>
        <v/>
      </c>
      <c r="K357" s="284" t="str">
        <f t="shared" si="22"/>
        <v/>
      </c>
    </row>
    <row r="358" spans="2:11" ht="9.6" customHeight="1" x14ac:dyDescent="0.2">
      <c r="B358" s="10" t="str">
        <f>IF(OR(A358="",A358=0),"",LARGE($B$8:B272,1)+1)</f>
        <v/>
      </c>
      <c r="C358" s="7"/>
      <c r="D358" s="279" t="str">
        <f>IF(A358="","",COUNTIF(Orçamento!P:P,A358))</f>
        <v/>
      </c>
      <c r="E358" s="280" t="str">
        <f>IFERROR(IF(A358="","",_xlfn.XLOOKUP(A358,'ABC Insumos Apoio'!C:C,'ABC Insumos Apoio'!A:A)),"")</f>
        <v/>
      </c>
      <c r="F358" s="281" t="str">
        <f>IFERROR(IF(A358="","",_xlfn.XLOOKUP(E358,Insumos!A:A,Insumos!B:B)),"")</f>
        <v/>
      </c>
      <c r="G358" s="282" t="str">
        <f>IFERROR(IF(A358="","",SUMIF(Orçamento!P:P,E358,Orçamento!X:X)),"")</f>
        <v/>
      </c>
      <c r="H358" s="283" t="str">
        <f>IFERROR(IF(A358="","",_xlfn.XLOOKUP(E358,Insumos!A:A,Insumos!C:C)),"")</f>
        <v/>
      </c>
      <c r="I358" s="283" t="str">
        <f t="shared" si="19"/>
        <v/>
      </c>
      <c r="J358" s="284" t="str">
        <f t="shared" si="20"/>
        <v/>
      </c>
      <c r="K358" s="284" t="str">
        <f t="shared" si="22"/>
        <v/>
      </c>
    </row>
    <row r="359" spans="2:11" ht="9.6" customHeight="1" x14ac:dyDescent="0.2">
      <c r="B359" s="10" t="str">
        <f>IF(OR(A359="",A359=0),"",LARGE($B$8:B273,1)+1)</f>
        <v/>
      </c>
      <c r="C359" s="7"/>
      <c r="D359" s="279" t="str">
        <f>IF(A359="","",COUNTIF(Orçamento!P:P,A359))</f>
        <v/>
      </c>
      <c r="E359" s="280" t="str">
        <f>IFERROR(IF(A359="","",_xlfn.XLOOKUP(A359,'ABC Insumos Apoio'!C:C,'ABC Insumos Apoio'!A:A)),"")</f>
        <v/>
      </c>
      <c r="F359" s="281" t="str">
        <f>IFERROR(IF(A359="","",_xlfn.XLOOKUP(E359,Insumos!A:A,Insumos!B:B)),"")</f>
        <v/>
      </c>
      <c r="G359" s="282" t="str">
        <f>IFERROR(IF(A359="","",SUMIF(Orçamento!P:P,E359,Orçamento!X:X)),"")</f>
        <v/>
      </c>
      <c r="H359" s="283" t="str">
        <f>IFERROR(IF(A359="","",_xlfn.XLOOKUP(E359,Insumos!A:A,Insumos!C:C)),"")</f>
        <v/>
      </c>
      <c r="I359" s="283" t="str">
        <f t="shared" si="19"/>
        <v/>
      </c>
      <c r="J359" s="284" t="str">
        <f t="shared" si="20"/>
        <v/>
      </c>
      <c r="K359" s="284" t="str">
        <f t="shared" si="22"/>
        <v/>
      </c>
    </row>
    <row r="360" spans="2:11" ht="9.6" customHeight="1" x14ac:dyDescent="0.2">
      <c r="B360" s="10" t="str">
        <f>IF(OR(A360="",A360=0),"",LARGE($B$8:B274,1)+1)</f>
        <v/>
      </c>
      <c r="C360" s="7"/>
      <c r="D360" s="279" t="str">
        <f>IF(A360="","",COUNTIF(Orçamento!P:P,A360))</f>
        <v/>
      </c>
      <c r="E360" s="280" t="str">
        <f>IFERROR(IF(A360="","",_xlfn.XLOOKUP(A360,'ABC Insumos Apoio'!C:C,'ABC Insumos Apoio'!A:A)),"")</f>
        <v/>
      </c>
      <c r="F360" s="281" t="str">
        <f>IFERROR(IF(A360="","",_xlfn.XLOOKUP(E360,Insumos!A:A,Insumos!B:B)),"")</f>
        <v/>
      </c>
      <c r="G360" s="282" t="str">
        <f>IFERROR(IF(A360="","",SUMIF(Orçamento!P:P,E360,Orçamento!X:X)),"")</f>
        <v/>
      </c>
      <c r="H360" s="283" t="str">
        <f>IFERROR(IF(A360="","",_xlfn.XLOOKUP(E360,Insumos!A:A,Insumos!C:C)),"")</f>
        <v/>
      </c>
      <c r="I360" s="283" t="str">
        <f t="shared" si="19"/>
        <v/>
      </c>
      <c r="J360" s="284" t="str">
        <f t="shared" si="20"/>
        <v/>
      </c>
      <c r="K360" s="284" t="str">
        <f t="shared" si="22"/>
        <v/>
      </c>
    </row>
    <row r="361" spans="2:11" ht="9.6" customHeight="1" x14ac:dyDescent="0.2">
      <c r="B361" s="10" t="str">
        <f>IF(OR(A361="",A361=0),"",LARGE($B$8:B275,1)+1)</f>
        <v/>
      </c>
      <c r="C361" s="7"/>
      <c r="D361" s="279" t="str">
        <f>IF(A361="","",COUNTIF(Orçamento!P:P,A361))</f>
        <v/>
      </c>
      <c r="E361" s="280" t="str">
        <f>IFERROR(IF(A361="","",_xlfn.XLOOKUP(A361,'ABC Insumos Apoio'!C:C,'ABC Insumos Apoio'!A:A)),"")</f>
        <v/>
      </c>
      <c r="F361" s="281" t="str">
        <f>IFERROR(IF(A361="","",_xlfn.XLOOKUP(E361,Insumos!A:A,Insumos!B:B)),"")</f>
        <v/>
      </c>
      <c r="G361" s="282" t="str">
        <f>IFERROR(IF(A361="","",SUMIF(Orçamento!P:P,E361,Orçamento!X:X)),"")</f>
        <v/>
      </c>
      <c r="H361" s="283" t="str">
        <f>IFERROR(IF(A361="","",_xlfn.XLOOKUP(E361,Insumos!A:A,Insumos!C:C)),"")</f>
        <v/>
      </c>
      <c r="I361" s="283" t="str">
        <f t="shared" si="19"/>
        <v/>
      </c>
      <c r="J361" s="284" t="str">
        <f t="shared" si="20"/>
        <v/>
      </c>
      <c r="K361" s="284" t="str">
        <f t="shared" si="22"/>
        <v/>
      </c>
    </row>
    <row r="362" spans="2:11" ht="9.6" customHeight="1" x14ac:dyDescent="0.2">
      <c r="B362" s="10" t="str">
        <f>IF(OR(A362="",A362=0),"",LARGE($B$8:B276,1)+1)</f>
        <v/>
      </c>
      <c r="C362" s="7"/>
      <c r="D362" s="279" t="str">
        <f>IF(A362="","",COUNTIF(Orçamento!P:P,A362))</f>
        <v/>
      </c>
      <c r="E362" s="280" t="str">
        <f>IFERROR(IF(A362="","",_xlfn.XLOOKUP(A362,'ABC Insumos Apoio'!C:C,'ABC Insumos Apoio'!A:A)),"")</f>
        <v/>
      </c>
      <c r="F362" s="281" t="str">
        <f>IFERROR(IF(A362="","",_xlfn.XLOOKUP(E362,Insumos!A:A,Insumos!B:B)),"")</f>
        <v/>
      </c>
      <c r="G362" s="282" t="str">
        <f>IFERROR(IF(A362="","",SUMIF(Orçamento!P:P,E362,Orçamento!X:X)),"")</f>
        <v/>
      </c>
      <c r="H362" s="283" t="str">
        <f>IFERROR(IF(A362="","",_xlfn.XLOOKUP(E362,Insumos!A:A,Insumos!C:C)),"")</f>
        <v/>
      </c>
      <c r="I362" s="283" t="str">
        <f t="shared" si="19"/>
        <v/>
      </c>
      <c r="J362" s="284" t="str">
        <f t="shared" si="20"/>
        <v/>
      </c>
      <c r="K362" s="284" t="str">
        <f t="shared" si="22"/>
        <v/>
      </c>
    </row>
    <row r="363" spans="2:11" ht="9.6" customHeight="1" x14ac:dyDescent="0.2">
      <c r="B363" s="10" t="str">
        <f>IF(OR(A363="",A363=0),"",LARGE($B$8:B277,1)+1)</f>
        <v/>
      </c>
      <c r="C363" s="7"/>
      <c r="D363" s="279" t="str">
        <f>IF(A363="","",COUNTIF(Orçamento!P:P,A363))</f>
        <v/>
      </c>
      <c r="E363" s="280" t="str">
        <f>IFERROR(IF(A363="","",_xlfn.XLOOKUP(A363,'ABC Insumos Apoio'!C:C,'ABC Insumos Apoio'!A:A)),"")</f>
        <v/>
      </c>
      <c r="F363" s="281" t="str">
        <f>IFERROR(IF(A363="","",_xlfn.XLOOKUP(E363,Insumos!A:A,Insumos!B:B)),"")</f>
        <v/>
      </c>
      <c r="G363" s="282" t="str">
        <f>IFERROR(IF(A363="","",SUMIF(Orçamento!P:P,E363,Orçamento!X:X)),"")</f>
        <v/>
      </c>
      <c r="H363" s="283" t="str">
        <f>IFERROR(IF(A363="","",_xlfn.XLOOKUP(E363,Insumos!A:A,Insumos!C:C)),"")</f>
        <v/>
      </c>
      <c r="I363" s="283" t="str">
        <f t="shared" si="19"/>
        <v/>
      </c>
      <c r="J363" s="284" t="str">
        <f t="shared" si="20"/>
        <v/>
      </c>
      <c r="K363" s="284" t="str">
        <f t="shared" si="22"/>
        <v/>
      </c>
    </row>
    <row r="364" spans="2:11" ht="9.6" customHeight="1" x14ac:dyDescent="0.2">
      <c r="B364" s="10" t="str">
        <f>IF(OR(A364="",A364=0),"",LARGE($B$8:B278,1)+1)</f>
        <v/>
      </c>
      <c r="C364" s="7"/>
      <c r="D364" s="279" t="str">
        <f>IF(A364="","",COUNTIF(Orçamento!P:P,A364))</f>
        <v/>
      </c>
      <c r="E364" s="280" t="str">
        <f>IFERROR(IF(A364="","",_xlfn.XLOOKUP(A364,'ABC Insumos Apoio'!C:C,'ABC Insumos Apoio'!A:A)),"")</f>
        <v/>
      </c>
      <c r="F364" s="281" t="str">
        <f>IFERROR(IF(A364="","",_xlfn.XLOOKUP(E364,Insumos!A:A,Insumos!B:B)),"")</f>
        <v/>
      </c>
      <c r="G364" s="282" t="str">
        <f>IFERROR(IF(A364="","",SUMIF(Orçamento!P:P,E364,Orçamento!X:X)),"")</f>
        <v/>
      </c>
      <c r="H364" s="283" t="str">
        <f>IFERROR(IF(A364="","",_xlfn.XLOOKUP(E364,Insumos!A:A,Insumos!C:C)),"")</f>
        <v/>
      </c>
      <c r="I364" s="283" t="str">
        <f t="shared" si="19"/>
        <v/>
      </c>
      <c r="J364" s="284" t="str">
        <f t="shared" si="20"/>
        <v/>
      </c>
      <c r="K364" s="284" t="str">
        <f t="shared" si="22"/>
        <v/>
      </c>
    </row>
    <row r="365" spans="2:11" ht="9.6" customHeight="1" x14ac:dyDescent="0.2">
      <c r="B365" s="10" t="str">
        <f>IF(OR(A365="",A365=0),"",LARGE($B$8:B279,1)+1)</f>
        <v/>
      </c>
      <c r="C365" s="7"/>
      <c r="D365" s="279" t="str">
        <f>IF(A365="","",COUNTIF(Orçamento!P:P,A365))</f>
        <v/>
      </c>
      <c r="E365" s="280" t="str">
        <f>IFERROR(IF(A365="","",_xlfn.XLOOKUP(A365,'ABC Insumos Apoio'!C:C,'ABC Insumos Apoio'!A:A)),"")</f>
        <v/>
      </c>
      <c r="F365" s="281" t="str">
        <f>IFERROR(IF(A365="","",_xlfn.XLOOKUP(E365,Insumos!A:A,Insumos!B:B)),"")</f>
        <v/>
      </c>
      <c r="G365" s="282" t="str">
        <f>IFERROR(IF(A365="","",SUMIF(Orçamento!P:P,E365,Orçamento!X:X)),"")</f>
        <v/>
      </c>
      <c r="H365" s="283" t="str">
        <f>IFERROR(IF(A365="","",_xlfn.XLOOKUP(E365,Insumos!A:A,Insumos!C:C)),"")</f>
        <v/>
      </c>
      <c r="I365" s="283" t="str">
        <f t="shared" si="19"/>
        <v/>
      </c>
      <c r="J365" s="284" t="str">
        <f t="shared" si="20"/>
        <v/>
      </c>
      <c r="K365" s="284" t="str">
        <f t="shared" si="22"/>
        <v/>
      </c>
    </row>
    <row r="366" spans="2:11" ht="9.6" customHeight="1" x14ac:dyDescent="0.2">
      <c r="B366" s="10" t="str">
        <f>IF(OR(A366="",A366=0),"",LARGE($B$8:B280,1)+1)</f>
        <v/>
      </c>
      <c r="C366" s="7"/>
      <c r="D366" s="279" t="str">
        <f>IF(A366="","",COUNTIF(Orçamento!P:P,A366))</f>
        <v/>
      </c>
      <c r="E366" s="280" t="str">
        <f>IFERROR(IF(A366="","",_xlfn.XLOOKUP(A366,'ABC Insumos Apoio'!C:C,'ABC Insumos Apoio'!A:A)),"")</f>
        <v/>
      </c>
      <c r="F366" s="281" t="str">
        <f>IFERROR(IF(A366="","",_xlfn.XLOOKUP(E366,Insumos!A:A,Insumos!B:B)),"")</f>
        <v/>
      </c>
      <c r="G366" s="282" t="str">
        <f>IFERROR(IF(A366="","",SUMIF(Orçamento!P:P,E366,Orçamento!X:X)),"")</f>
        <v/>
      </c>
      <c r="H366" s="283" t="str">
        <f>IFERROR(IF(A366="","",_xlfn.XLOOKUP(E366,Insumos!A:A,Insumos!C:C)),"")</f>
        <v/>
      </c>
      <c r="I366" s="283" t="str">
        <f t="shared" si="19"/>
        <v/>
      </c>
      <c r="J366" s="284" t="str">
        <f t="shared" si="20"/>
        <v/>
      </c>
      <c r="K366" s="284" t="str">
        <f t="shared" si="22"/>
        <v/>
      </c>
    </row>
    <row r="367" spans="2:11" ht="9.6" customHeight="1" x14ac:dyDescent="0.2">
      <c r="B367" s="10" t="str">
        <f>IF(OR(A367="",A367=0),"",LARGE($B$8:B281,1)+1)</f>
        <v/>
      </c>
      <c r="C367" s="7"/>
      <c r="D367" s="279" t="str">
        <f>IF(A367="","",COUNTIF(Orçamento!P:P,A367))</f>
        <v/>
      </c>
      <c r="E367" s="280" t="str">
        <f>IFERROR(IF(A367="","",_xlfn.XLOOKUP(A367,'ABC Insumos Apoio'!C:C,'ABC Insumos Apoio'!A:A)),"")</f>
        <v/>
      </c>
      <c r="F367" s="281" t="str">
        <f>IFERROR(IF(A367="","",_xlfn.XLOOKUP(E367,Insumos!A:A,Insumos!B:B)),"")</f>
        <v/>
      </c>
      <c r="G367" s="282" t="str">
        <f>IFERROR(IF(A367="","",SUMIF(Orçamento!P:P,E367,Orçamento!X:X)),"")</f>
        <v/>
      </c>
      <c r="H367" s="283" t="str">
        <f>IFERROR(IF(A367="","",_xlfn.XLOOKUP(E367,Insumos!A:A,Insumos!C:C)),"")</f>
        <v/>
      </c>
      <c r="I367" s="283" t="str">
        <f t="shared" si="19"/>
        <v/>
      </c>
      <c r="J367" s="284" t="str">
        <f t="shared" si="20"/>
        <v/>
      </c>
      <c r="K367" s="284" t="str">
        <f t="shared" si="22"/>
        <v/>
      </c>
    </row>
    <row r="368" spans="2:11" ht="9.6" customHeight="1" x14ac:dyDescent="0.2">
      <c r="B368" s="10" t="str">
        <f>IF(OR(A368="",A368=0),"",LARGE($B$8:B282,1)+1)</f>
        <v/>
      </c>
      <c r="C368" s="7"/>
      <c r="D368" s="279" t="str">
        <f>IF(A368="","",COUNTIF(Orçamento!P:P,A368))</f>
        <v/>
      </c>
      <c r="E368" s="280" t="str">
        <f>IFERROR(IF(A368="","",_xlfn.XLOOKUP(A368,'ABC Insumos Apoio'!C:C,'ABC Insumos Apoio'!A:A)),"")</f>
        <v/>
      </c>
      <c r="F368" s="281" t="str">
        <f>IFERROR(IF(A368="","",_xlfn.XLOOKUP(E368,Insumos!A:A,Insumos!B:B)),"")</f>
        <v/>
      </c>
      <c r="G368" s="282" t="str">
        <f>IFERROR(IF(A368="","",SUMIF(Orçamento!P:P,E368,Orçamento!X:X)),"")</f>
        <v/>
      </c>
      <c r="H368" s="283" t="str">
        <f>IFERROR(IF(A368="","",_xlfn.XLOOKUP(E368,Insumos!A:A,Insumos!C:C)),"")</f>
        <v/>
      </c>
      <c r="I368" s="283" t="str">
        <f t="shared" si="19"/>
        <v/>
      </c>
      <c r="J368" s="284" t="str">
        <f t="shared" si="20"/>
        <v/>
      </c>
      <c r="K368" s="284" t="str">
        <f t="shared" si="22"/>
        <v/>
      </c>
    </row>
    <row r="369" spans="2:11" ht="9.6" customHeight="1" x14ac:dyDescent="0.2">
      <c r="B369" s="10" t="str">
        <f>IF(OR(A369="",A369=0),"",LARGE($B$8:B283,1)+1)</f>
        <v/>
      </c>
      <c r="C369" s="7"/>
      <c r="D369" s="279" t="str">
        <f>IF(A369="","",COUNTIF(Orçamento!P:P,A369))</f>
        <v/>
      </c>
      <c r="E369" s="280" t="str">
        <f>IFERROR(IF(A369="","",_xlfn.XLOOKUP(A369,'ABC Insumos Apoio'!C:C,'ABC Insumos Apoio'!A:A)),"")</f>
        <v/>
      </c>
      <c r="F369" s="281" t="str">
        <f>IFERROR(IF(A369="","",_xlfn.XLOOKUP(E369,Insumos!A:A,Insumos!B:B)),"")</f>
        <v/>
      </c>
      <c r="G369" s="282" t="str">
        <f>IFERROR(IF(A369="","",SUMIF(Orçamento!P:P,E369,Orçamento!X:X)),"")</f>
        <v/>
      </c>
      <c r="H369" s="283" t="str">
        <f>IFERROR(IF(A369="","",_xlfn.XLOOKUP(E369,Insumos!A:A,Insumos!C:C)),"")</f>
        <v/>
      </c>
      <c r="I369" s="283" t="str">
        <f t="shared" si="19"/>
        <v/>
      </c>
      <c r="J369" s="284" t="str">
        <f t="shared" si="20"/>
        <v/>
      </c>
      <c r="K369" s="284" t="str">
        <f t="shared" si="22"/>
        <v/>
      </c>
    </row>
    <row r="370" spans="2:11" ht="9.6" customHeight="1" x14ac:dyDescent="0.2">
      <c r="B370" s="10" t="str">
        <f>IF(OR(A370="",A370=0),"",LARGE($B$8:B284,1)+1)</f>
        <v/>
      </c>
      <c r="C370" s="7"/>
      <c r="D370" s="279" t="str">
        <f>IF(A370="","",COUNTIF(Orçamento!P:P,A370))</f>
        <v/>
      </c>
      <c r="E370" s="280" t="str">
        <f>IFERROR(IF(A370="","",_xlfn.XLOOKUP(A370,'ABC Insumos Apoio'!C:C,'ABC Insumos Apoio'!A:A)),"")</f>
        <v/>
      </c>
      <c r="F370" s="281" t="str">
        <f>IFERROR(IF(A370="","",_xlfn.XLOOKUP(E370,Insumos!A:A,Insumos!B:B)),"")</f>
        <v/>
      </c>
      <c r="G370" s="282" t="str">
        <f>IFERROR(IF(A370="","",SUMIF(Orçamento!P:P,E370,Orçamento!X:X)),"")</f>
        <v/>
      </c>
      <c r="H370" s="283" t="str">
        <f>IFERROR(IF(A370="","",_xlfn.XLOOKUP(E370,Insumos!A:A,Insumos!C:C)),"")</f>
        <v/>
      </c>
      <c r="I370" s="283" t="str">
        <f t="shared" si="19"/>
        <v/>
      </c>
      <c r="J370" s="284" t="str">
        <f t="shared" si="20"/>
        <v/>
      </c>
      <c r="K370" s="284" t="str">
        <f t="shared" si="22"/>
        <v/>
      </c>
    </row>
    <row r="371" spans="2:11" ht="9.6" customHeight="1" x14ac:dyDescent="0.2">
      <c r="B371" s="10" t="str">
        <f>IF(OR(A371="",A371=0),"",LARGE($B$8:B285,1)+1)</f>
        <v/>
      </c>
      <c r="C371" s="7"/>
      <c r="D371" s="279" t="str">
        <f>IF(A371="","",COUNTIF(Orçamento!P:P,A371))</f>
        <v/>
      </c>
      <c r="E371" s="280" t="str">
        <f>IFERROR(IF(A371="","",_xlfn.XLOOKUP(A371,'ABC Insumos Apoio'!C:C,'ABC Insumos Apoio'!A:A)),"")</f>
        <v/>
      </c>
      <c r="F371" s="281" t="str">
        <f>IFERROR(IF(A371="","",_xlfn.XLOOKUP(E371,Insumos!A:A,Insumos!B:B)),"")</f>
        <v/>
      </c>
      <c r="G371" s="282" t="str">
        <f>IFERROR(IF(A371="","",SUMIF(Orçamento!P:P,E371,Orçamento!X:X)),"")</f>
        <v/>
      </c>
      <c r="H371" s="283" t="str">
        <f>IFERROR(IF(A371="","",_xlfn.XLOOKUP(E371,Insumos!A:A,Insumos!C:C)),"")</f>
        <v/>
      </c>
      <c r="I371" s="283" t="str">
        <f t="shared" si="19"/>
        <v/>
      </c>
      <c r="J371" s="284" t="str">
        <f t="shared" si="20"/>
        <v/>
      </c>
      <c r="K371" s="284" t="str">
        <f t="shared" si="22"/>
        <v/>
      </c>
    </row>
    <row r="372" spans="2:11" ht="9.6" customHeight="1" x14ac:dyDescent="0.2">
      <c r="B372" s="10" t="str">
        <f>IF(OR(A372="",A372=0),"",LARGE($B$8:B286,1)+1)</f>
        <v/>
      </c>
      <c r="C372" s="7"/>
      <c r="D372" s="279" t="str">
        <f>IF(A372="","",COUNTIF(Orçamento!P:P,A372))</f>
        <v/>
      </c>
      <c r="E372" s="280" t="str">
        <f>IFERROR(IF(A372="","",_xlfn.XLOOKUP(A372,'ABC Insumos Apoio'!C:C,'ABC Insumos Apoio'!A:A)),"")</f>
        <v/>
      </c>
      <c r="F372" s="281" t="str">
        <f>IFERROR(IF(A372="","",_xlfn.XLOOKUP(E372,Insumos!A:A,Insumos!B:B)),"")</f>
        <v/>
      </c>
      <c r="G372" s="282" t="str">
        <f>IFERROR(IF(A372="","",SUMIF(Orçamento!P:P,E372,Orçamento!X:X)),"")</f>
        <v/>
      </c>
      <c r="H372" s="283" t="str">
        <f>IFERROR(IF(A372="","",_xlfn.XLOOKUP(E372,Insumos!A:A,Insumos!C:C)),"")</f>
        <v/>
      </c>
      <c r="I372" s="283" t="str">
        <f t="shared" si="19"/>
        <v/>
      </c>
      <c r="J372" s="284" t="str">
        <f t="shared" si="20"/>
        <v/>
      </c>
      <c r="K372" s="284" t="str">
        <f t="shared" si="22"/>
        <v/>
      </c>
    </row>
    <row r="373" spans="2:11" ht="9.6" customHeight="1" x14ac:dyDescent="0.2">
      <c r="B373" s="10" t="str">
        <f>IF(OR(A373="",A373=0),"",LARGE($B$8:B287,1)+1)</f>
        <v/>
      </c>
      <c r="C373" s="7"/>
      <c r="D373" s="279" t="str">
        <f>IF(A373="","",COUNTIF(Orçamento!P:P,A373))</f>
        <v/>
      </c>
      <c r="E373" s="280" t="str">
        <f>IFERROR(IF(A373="","",_xlfn.XLOOKUP(A373,'ABC Insumos Apoio'!C:C,'ABC Insumos Apoio'!A:A)),"")</f>
        <v/>
      </c>
      <c r="F373" s="281" t="str">
        <f>IFERROR(IF(A373="","",_xlfn.XLOOKUP(E373,Insumos!A:A,Insumos!B:B)),"")</f>
        <v/>
      </c>
      <c r="G373" s="282" t="str">
        <f>IFERROR(IF(A373="","",SUMIF(Orçamento!P:P,E373,Orçamento!X:X)),"")</f>
        <v/>
      </c>
      <c r="H373" s="283" t="str">
        <f>IFERROR(IF(A373="","",_xlfn.XLOOKUP(E373,Insumos!A:A,Insumos!C:C)),"")</f>
        <v/>
      </c>
      <c r="I373" s="283" t="str">
        <f t="shared" si="19"/>
        <v/>
      </c>
      <c r="J373" s="284" t="str">
        <f t="shared" si="20"/>
        <v/>
      </c>
      <c r="K373" s="284" t="str">
        <f t="shared" si="22"/>
        <v/>
      </c>
    </row>
    <row r="374" spans="2:11" ht="9.6" customHeight="1" x14ac:dyDescent="0.2">
      <c r="B374" s="10" t="str">
        <f>IF(OR(A374="",A374=0),"",LARGE($B$8:B288,1)+1)</f>
        <v/>
      </c>
      <c r="C374" s="7"/>
      <c r="D374" s="279" t="str">
        <f>IF(A374="","",COUNTIF(Orçamento!P:P,A374))</f>
        <v/>
      </c>
      <c r="E374" s="280" t="str">
        <f>IFERROR(IF(A374="","",_xlfn.XLOOKUP(A374,'ABC Insumos Apoio'!C:C,'ABC Insumos Apoio'!A:A)),"")</f>
        <v/>
      </c>
      <c r="F374" s="281" t="str">
        <f>IFERROR(IF(A374="","",_xlfn.XLOOKUP(E374,Insumos!A:A,Insumos!B:B)),"")</f>
        <v/>
      </c>
      <c r="G374" s="282" t="str">
        <f>IFERROR(IF(A374="","",SUMIF(Orçamento!P:P,E374,Orçamento!X:X)),"")</f>
        <v/>
      </c>
      <c r="H374" s="283" t="str">
        <f>IFERROR(IF(A374="","",_xlfn.XLOOKUP(E374,Insumos!A:A,Insumos!C:C)),"")</f>
        <v/>
      </c>
      <c r="I374" s="283" t="str">
        <f t="shared" si="19"/>
        <v/>
      </c>
      <c r="J374" s="284" t="str">
        <f t="shared" si="20"/>
        <v/>
      </c>
      <c r="K374" s="284" t="str">
        <f t="shared" si="22"/>
        <v/>
      </c>
    </row>
    <row r="375" spans="2:11" ht="9.6" customHeight="1" x14ac:dyDescent="0.2">
      <c r="B375" s="10" t="str">
        <f>IF(OR(A375="",A375=0),"",LARGE($B$8:B289,1)+1)</f>
        <v/>
      </c>
      <c r="C375" s="7"/>
      <c r="D375" s="279" t="str">
        <f>IF(A375="","",COUNTIF(Orçamento!P:P,A375))</f>
        <v/>
      </c>
      <c r="E375" s="280" t="str">
        <f>IFERROR(IF(A375="","",_xlfn.XLOOKUP(A375,'ABC Insumos Apoio'!C:C,'ABC Insumos Apoio'!A:A)),"")</f>
        <v/>
      </c>
      <c r="F375" s="281" t="str">
        <f>IFERROR(IF(A375="","",_xlfn.XLOOKUP(E375,Insumos!A:A,Insumos!B:B)),"")</f>
        <v/>
      </c>
      <c r="G375" s="282" t="str">
        <f>IFERROR(IF(A375="","",SUMIF(Orçamento!P:P,E375,Orçamento!X:X)),"")</f>
        <v/>
      </c>
      <c r="H375" s="283" t="str">
        <f>IFERROR(IF(A375="","",_xlfn.XLOOKUP(E375,Insumos!A:A,Insumos!C:C)),"")</f>
        <v/>
      </c>
      <c r="I375" s="283" t="str">
        <f t="shared" si="19"/>
        <v/>
      </c>
      <c r="J375" s="284" t="str">
        <f t="shared" si="20"/>
        <v/>
      </c>
      <c r="K375" s="284" t="str">
        <f t="shared" si="22"/>
        <v/>
      </c>
    </row>
    <row r="376" spans="2:11" ht="9.6" customHeight="1" x14ac:dyDescent="0.2">
      <c r="B376" s="10" t="str">
        <f>IF(OR(A376="",A376=0),"",LARGE($B$8:B290,1)+1)</f>
        <v/>
      </c>
      <c r="C376" s="7"/>
      <c r="D376" s="279" t="str">
        <f>IF(A376="","",COUNTIF(Orçamento!P:P,A376))</f>
        <v/>
      </c>
      <c r="E376" s="280" t="str">
        <f>IFERROR(IF(A376="","",_xlfn.XLOOKUP(A376,'ABC Insumos Apoio'!C:C,'ABC Insumos Apoio'!A:A)),"")</f>
        <v/>
      </c>
      <c r="F376" s="281" t="str">
        <f>IFERROR(IF(A376="","",_xlfn.XLOOKUP(E376,Insumos!A:A,Insumos!B:B)),"")</f>
        <v/>
      </c>
      <c r="G376" s="282" t="str">
        <f>IFERROR(IF(A376="","",SUMIF(Orçamento!P:P,E376,Orçamento!X:X)),"")</f>
        <v/>
      </c>
      <c r="H376" s="283" t="str">
        <f>IFERROR(IF(A376="","",_xlfn.XLOOKUP(E376,Insumos!A:A,Insumos!C:C)),"")</f>
        <v/>
      </c>
      <c r="I376" s="283" t="str">
        <f t="shared" si="19"/>
        <v/>
      </c>
      <c r="J376" s="284" t="str">
        <f t="shared" si="20"/>
        <v/>
      </c>
      <c r="K376" s="284" t="str">
        <f t="shared" si="22"/>
        <v/>
      </c>
    </row>
    <row r="377" spans="2:11" ht="9.6" customHeight="1" x14ac:dyDescent="0.2">
      <c r="B377" s="10" t="str">
        <f>IF(OR(A377="",A377=0),"",LARGE($B$8:B291,1)+1)</f>
        <v/>
      </c>
      <c r="C377" s="7"/>
      <c r="D377" s="279" t="str">
        <f>IF(A377="","",COUNTIF(Orçamento!P:P,A377))</f>
        <v/>
      </c>
      <c r="E377" s="280" t="str">
        <f>IFERROR(IF(A377="","",_xlfn.XLOOKUP(A377,'ABC Insumos Apoio'!C:C,'ABC Insumos Apoio'!A:A)),"")</f>
        <v/>
      </c>
      <c r="F377" s="281" t="str">
        <f>IFERROR(IF(A377="","",_xlfn.XLOOKUP(E377,Insumos!A:A,Insumos!B:B)),"")</f>
        <v/>
      </c>
      <c r="G377" s="282" t="str">
        <f>IFERROR(IF(A377="","",SUMIF(Orçamento!P:P,E377,Orçamento!X:X)),"")</f>
        <v/>
      </c>
      <c r="H377" s="283" t="str">
        <f>IFERROR(IF(A377="","",_xlfn.XLOOKUP(E377,Insumos!A:A,Insumos!C:C)),"")</f>
        <v/>
      </c>
      <c r="I377" s="283" t="str">
        <f t="shared" ref="I377:I397" si="29">IFERROR(IF(E377="","",G377*H377),"")</f>
        <v/>
      </c>
      <c r="J377" s="284" t="str">
        <f t="shared" ref="J377:J397" si="30">IFERROR(IF(I377="","",I377/$I$6),0)</f>
        <v/>
      </c>
      <c r="K377" s="284" t="str">
        <f t="shared" si="22"/>
        <v/>
      </c>
    </row>
    <row r="378" spans="2:11" ht="9.6" customHeight="1" x14ac:dyDescent="0.2">
      <c r="B378" s="10" t="str">
        <f>IF(OR(A378="",A378=0),"",LARGE($B$8:B292,1)+1)</f>
        <v/>
      </c>
      <c r="C378" s="7"/>
      <c r="D378" s="279" t="str">
        <f>IF(A378="","",COUNTIF(Orçamento!P:P,A378))</f>
        <v/>
      </c>
      <c r="E378" s="280" t="str">
        <f>IFERROR(IF(A378="","",_xlfn.XLOOKUP(A378,'ABC Insumos Apoio'!C:C,'ABC Insumos Apoio'!A:A)),"")</f>
        <v/>
      </c>
      <c r="F378" s="281" t="str">
        <f>IFERROR(IF(A378="","",_xlfn.XLOOKUP(E378,Insumos!A:A,Insumos!B:B)),"")</f>
        <v/>
      </c>
      <c r="G378" s="282" t="str">
        <f>IFERROR(IF(A378="","",SUMIF(Orçamento!P:P,E378,Orçamento!X:X)),"")</f>
        <v/>
      </c>
      <c r="H378" s="283" t="str">
        <f>IFERROR(IF(A378="","",_xlfn.XLOOKUP(E378,Insumos!A:A,Insumos!C:C)),"")</f>
        <v/>
      </c>
      <c r="I378" s="283" t="str">
        <f t="shared" si="29"/>
        <v/>
      </c>
      <c r="J378" s="284" t="str">
        <f t="shared" si="30"/>
        <v/>
      </c>
      <c r="K378" s="284" t="str">
        <f t="shared" si="22"/>
        <v/>
      </c>
    </row>
    <row r="379" spans="2:11" ht="9.6" customHeight="1" x14ac:dyDescent="0.2">
      <c r="B379" s="10" t="str">
        <f>IF(OR(A379="",A379=0),"",LARGE($B$8:B293,1)+1)</f>
        <v/>
      </c>
      <c r="C379" s="7"/>
      <c r="D379" s="279" t="str">
        <f>IF(A379="","",COUNTIF(Orçamento!P:P,A379))</f>
        <v/>
      </c>
      <c r="E379" s="280" t="str">
        <f>IFERROR(IF(A379="","",_xlfn.XLOOKUP(A379,'ABC Insumos Apoio'!C:C,'ABC Insumos Apoio'!A:A)),"")</f>
        <v/>
      </c>
      <c r="F379" s="281" t="str">
        <f>IFERROR(IF(A379="","",_xlfn.XLOOKUP(E379,Insumos!A:A,Insumos!B:B)),"")</f>
        <v/>
      </c>
      <c r="G379" s="282" t="str">
        <f>IFERROR(IF(A379="","",SUMIF(Orçamento!P:P,E379,Orçamento!X:X)),"")</f>
        <v/>
      </c>
      <c r="H379" s="283" t="str">
        <f>IFERROR(IF(A379="","",_xlfn.XLOOKUP(E379,Insumos!A:A,Insumos!C:C)),"")</f>
        <v/>
      </c>
      <c r="I379" s="283" t="str">
        <f t="shared" si="29"/>
        <v/>
      </c>
      <c r="J379" s="284" t="str">
        <f t="shared" si="30"/>
        <v/>
      </c>
      <c r="K379" s="284" t="str">
        <f t="shared" si="22"/>
        <v/>
      </c>
    </row>
    <row r="380" spans="2:11" ht="9.6" customHeight="1" x14ac:dyDescent="0.2">
      <c r="B380" s="10" t="str">
        <f>IF(OR(A380="",A380=0),"",LARGE($B$8:B294,1)+1)</f>
        <v/>
      </c>
      <c r="C380" s="7"/>
      <c r="D380" s="279" t="str">
        <f>IF(A380="","",COUNTIF(Orçamento!P:P,A380))</f>
        <v/>
      </c>
      <c r="E380" s="280" t="str">
        <f>IFERROR(IF(A380="","",_xlfn.XLOOKUP(A380,'ABC Insumos Apoio'!C:C,'ABC Insumos Apoio'!A:A)),"")</f>
        <v/>
      </c>
      <c r="F380" s="281" t="str">
        <f>IFERROR(IF(A380="","",_xlfn.XLOOKUP(E380,Insumos!A:A,Insumos!B:B)),"")</f>
        <v/>
      </c>
      <c r="G380" s="282" t="str">
        <f>IFERROR(IF(A380="","",SUMIF(Orçamento!P:P,E380,Orçamento!X:X)),"")</f>
        <v/>
      </c>
      <c r="H380" s="283" t="str">
        <f>IFERROR(IF(A380="","",_xlfn.XLOOKUP(E380,Insumos!A:A,Insumos!C:C)),"")</f>
        <v/>
      </c>
      <c r="I380" s="283" t="str">
        <f t="shared" si="29"/>
        <v/>
      </c>
      <c r="J380" s="284" t="str">
        <f t="shared" si="30"/>
        <v/>
      </c>
      <c r="K380" s="284" t="str">
        <f t="shared" si="22"/>
        <v/>
      </c>
    </row>
    <row r="381" spans="2:11" ht="9.6" customHeight="1" x14ac:dyDescent="0.2">
      <c r="B381" s="10" t="str">
        <f>IF(OR(A381="",A381=0),"",LARGE($B$8:B295,1)+1)</f>
        <v/>
      </c>
      <c r="C381" s="7"/>
      <c r="D381" s="279" t="str">
        <f>IF(A381="","",COUNTIF(Orçamento!P:P,A381))</f>
        <v/>
      </c>
      <c r="E381" s="280" t="str">
        <f>IFERROR(IF(A381="","",_xlfn.XLOOKUP(A381,'ABC Insumos Apoio'!C:C,'ABC Insumos Apoio'!A:A)),"")</f>
        <v/>
      </c>
      <c r="F381" s="281" t="str">
        <f>IFERROR(IF(A381="","",_xlfn.XLOOKUP(E381,Insumos!A:A,Insumos!B:B)),"")</f>
        <v/>
      </c>
      <c r="G381" s="282" t="str">
        <f>IFERROR(IF(A381="","",SUMIF(Orçamento!P:P,E381,Orçamento!X:X)),"")</f>
        <v/>
      </c>
      <c r="H381" s="283" t="str">
        <f>IFERROR(IF(A381="","",_xlfn.XLOOKUP(E381,Insumos!A:A,Insumos!C:C)),"")</f>
        <v/>
      </c>
      <c r="I381" s="283" t="str">
        <f t="shared" si="29"/>
        <v/>
      </c>
      <c r="J381" s="284" t="str">
        <f t="shared" si="30"/>
        <v/>
      </c>
      <c r="K381" s="284" t="str">
        <f t="shared" si="22"/>
        <v/>
      </c>
    </row>
    <row r="382" spans="2:11" ht="9.6" customHeight="1" x14ac:dyDescent="0.2">
      <c r="B382" s="10" t="str">
        <f>IF(OR(A382="",A382=0),"",LARGE($B$8:B296,1)+1)</f>
        <v/>
      </c>
      <c r="C382" s="7"/>
      <c r="D382" s="279" t="str">
        <f>IF(A382="","",COUNTIF(Orçamento!P:P,A382))</f>
        <v/>
      </c>
      <c r="E382" s="280" t="str">
        <f>IFERROR(IF(A382="","",_xlfn.XLOOKUP(A382,'ABC Insumos Apoio'!C:C,'ABC Insumos Apoio'!A:A)),"")</f>
        <v/>
      </c>
      <c r="F382" s="281" t="str">
        <f>IFERROR(IF(A382="","",_xlfn.XLOOKUP(E382,Insumos!A:A,Insumos!B:B)),"")</f>
        <v/>
      </c>
      <c r="G382" s="282" t="str">
        <f>IFERROR(IF(A382="","",SUMIF(Orçamento!P:P,E382,Orçamento!X:X)),"")</f>
        <v/>
      </c>
      <c r="H382" s="283" t="str">
        <f>IFERROR(IF(A382="","",_xlfn.XLOOKUP(E382,Insumos!A:A,Insumos!C:C)),"")</f>
        <v/>
      </c>
      <c r="I382" s="283" t="str">
        <f t="shared" si="29"/>
        <v/>
      </c>
      <c r="J382" s="284" t="str">
        <f t="shared" si="30"/>
        <v/>
      </c>
      <c r="K382" s="284" t="str">
        <f t="shared" si="22"/>
        <v/>
      </c>
    </row>
    <row r="383" spans="2:11" ht="9.6" customHeight="1" x14ac:dyDescent="0.2">
      <c r="B383" s="10" t="str">
        <f>IF(OR(A383="",A383=0),"",LARGE($B$8:B297,1)+1)</f>
        <v/>
      </c>
      <c r="C383" s="7"/>
      <c r="D383" s="279" t="str">
        <f>IF(A383="","",COUNTIF(Orçamento!P:P,A383))</f>
        <v/>
      </c>
      <c r="E383" s="280" t="str">
        <f>IFERROR(IF(A383="","",_xlfn.XLOOKUP(A383,'ABC Insumos Apoio'!C:C,'ABC Insumos Apoio'!A:A)),"")</f>
        <v/>
      </c>
      <c r="F383" s="281" t="str">
        <f>IFERROR(IF(A383="","",_xlfn.XLOOKUP(E383,Insumos!A:A,Insumos!B:B)),"")</f>
        <v/>
      </c>
      <c r="G383" s="282" t="str">
        <f>IFERROR(IF(A383="","",SUMIF(Orçamento!P:P,E383,Orçamento!X:X)),"")</f>
        <v/>
      </c>
      <c r="H383" s="283" t="str">
        <f>IFERROR(IF(A383="","",_xlfn.XLOOKUP(E383,Insumos!A:A,Insumos!C:C)),"")</f>
        <v/>
      </c>
      <c r="I383" s="283" t="str">
        <f t="shared" si="29"/>
        <v/>
      </c>
      <c r="J383" s="284" t="str">
        <f t="shared" si="30"/>
        <v/>
      </c>
      <c r="K383" s="284" t="str">
        <f t="shared" si="22"/>
        <v/>
      </c>
    </row>
    <row r="384" spans="2:11" ht="9.6" customHeight="1" x14ac:dyDescent="0.2">
      <c r="B384" s="10" t="str">
        <f>IF(OR(A384="",A384=0),"",LARGE($B$8:B298,1)+1)</f>
        <v/>
      </c>
      <c r="C384" s="7"/>
      <c r="D384" s="279" t="str">
        <f>IF(A384="","",COUNTIF(Orçamento!P:P,A384))</f>
        <v/>
      </c>
      <c r="E384" s="280" t="str">
        <f>IFERROR(IF(A384="","",_xlfn.XLOOKUP(A384,'ABC Insumos Apoio'!C:C,'ABC Insumos Apoio'!A:A)),"")</f>
        <v/>
      </c>
      <c r="F384" s="281" t="str">
        <f>IFERROR(IF(A384="","",_xlfn.XLOOKUP(E384,Insumos!A:A,Insumos!B:B)),"")</f>
        <v/>
      </c>
      <c r="G384" s="282" t="str">
        <f>IFERROR(IF(A384="","",SUMIF(Orçamento!P:P,E384,Orçamento!X:X)),"")</f>
        <v/>
      </c>
      <c r="H384" s="283" t="str">
        <f>IFERROR(IF(A384="","",_xlfn.XLOOKUP(E384,Insumos!A:A,Insumos!C:C)),"")</f>
        <v/>
      </c>
      <c r="I384" s="283" t="str">
        <f t="shared" si="29"/>
        <v/>
      </c>
      <c r="J384" s="284" t="str">
        <f t="shared" si="30"/>
        <v/>
      </c>
      <c r="K384" s="284" t="str">
        <f t="shared" si="22"/>
        <v/>
      </c>
    </row>
    <row r="385" spans="2:11" ht="9.6" customHeight="1" x14ac:dyDescent="0.2">
      <c r="B385" s="10" t="str">
        <f>IF(OR(A385="",A385=0),"",LARGE($B$8:B299,1)+1)</f>
        <v/>
      </c>
      <c r="C385" s="7"/>
      <c r="D385" s="279" t="str">
        <f>IF(A385="","",COUNTIF(Orçamento!P:P,A385))</f>
        <v/>
      </c>
      <c r="E385" s="280" t="str">
        <f>IFERROR(IF(A385="","",_xlfn.XLOOKUP(A385,'ABC Insumos Apoio'!C:C,'ABC Insumos Apoio'!A:A)),"")</f>
        <v/>
      </c>
      <c r="F385" s="281" t="str">
        <f>IFERROR(IF(A385="","",_xlfn.XLOOKUP(E385,Insumos!A:A,Insumos!B:B)),"")</f>
        <v/>
      </c>
      <c r="G385" s="282" t="str">
        <f>IFERROR(IF(A385="","",SUMIF(Orçamento!P:P,E385,Orçamento!X:X)),"")</f>
        <v/>
      </c>
      <c r="H385" s="283" t="str">
        <f>IFERROR(IF(A385="","",_xlfn.XLOOKUP(E385,Insumos!A:A,Insumos!C:C)),"")</f>
        <v/>
      </c>
      <c r="I385" s="283" t="str">
        <f t="shared" si="29"/>
        <v/>
      </c>
      <c r="J385" s="284" t="str">
        <f t="shared" si="30"/>
        <v/>
      </c>
      <c r="K385" s="284" t="str">
        <f t="shared" si="22"/>
        <v/>
      </c>
    </row>
    <row r="386" spans="2:11" ht="9.6" customHeight="1" x14ac:dyDescent="0.2">
      <c r="B386" s="10" t="str">
        <f>IF(OR(A386="",A386=0),"",LARGE($B$8:B300,1)+1)</f>
        <v/>
      </c>
      <c r="C386" s="7"/>
      <c r="D386" s="279" t="str">
        <f>IF(A386="","",COUNTIF(Orçamento!P:P,A386))</f>
        <v/>
      </c>
      <c r="E386" s="280" t="str">
        <f>IFERROR(IF(A386="","",_xlfn.XLOOKUP(A386,'ABC Insumos Apoio'!C:C,'ABC Insumos Apoio'!A:A)),"")</f>
        <v/>
      </c>
      <c r="F386" s="281" t="str">
        <f>IFERROR(IF(A386="","",_xlfn.XLOOKUP(E386,Insumos!A:A,Insumos!B:B)),"")</f>
        <v/>
      </c>
      <c r="G386" s="282" t="str">
        <f>IFERROR(IF(A386="","",SUMIF(Orçamento!P:P,E386,Orçamento!X:X)),"")</f>
        <v/>
      </c>
      <c r="H386" s="283" t="str">
        <f>IFERROR(IF(A386="","",_xlfn.XLOOKUP(E386,Insumos!A:A,Insumos!C:C)),"")</f>
        <v/>
      </c>
      <c r="I386" s="283" t="str">
        <f t="shared" si="29"/>
        <v/>
      </c>
      <c r="J386" s="284" t="str">
        <f t="shared" si="30"/>
        <v/>
      </c>
      <c r="K386" s="284" t="str">
        <f t="shared" si="22"/>
        <v/>
      </c>
    </row>
    <row r="387" spans="2:11" ht="9.6" customHeight="1" x14ac:dyDescent="0.2">
      <c r="B387" s="10" t="str">
        <f>IF(OR(A387="",A387=0),"",LARGE($B$8:B301,1)+1)</f>
        <v/>
      </c>
      <c r="C387" s="7"/>
      <c r="D387" s="279" t="str">
        <f>IF(A387="","",COUNTIF(Orçamento!P:P,A387))</f>
        <v/>
      </c>
      <c r="E387" s="280" t="str">
        <f>IFERROR(IF(A387="","",_xlfn.XLOOKUP(A387,'ABC Insumos Apoio'!C:C,'ABC Insumos Apoio'!A:A)),"")</f>
        <v/>
      </c>
      <c r="F387" s="281" t="str">
        <f>IFERROR(IF(A387="","",_xlfn.XLOOKUP(E387,Insumos!A:A,Insumos!B:B)),"")</f>
        <v/>
      </c>
      <c r="G387" s="282" t="str">
        <f>IFERROR(IF(A387="","",SUMIF(Orçamento!P:P,E387,Orçamento!X:X)),"")</f>
        <v/>
      </c>
      <c r="H387" s="283" t="str">
        <f>IFERROR(IF(A387="","",_xlfn.XLOOKUP(E387,Insumos!A:A,Insumos!C:C)),"")</f>
        <v/>
      </c>
      <c r="I387" s="283" t="str">
        <f t="shared" si="29"/>
        <v/>
      </c>
      <c r="J387" s="284" t="str">
        <f t="shared" si="30"/>
        <v/>
      </c>
      <c r="K387" s="284" t="str">
        <f t="shared" si="22"/>
        <v/>
      </c>
    </row>
    <row r="388" spans="2:11" ht="9.6" customHeight="1" x14ac:dyDescent="0.2">
      <c r="B388" s="10" t="str">
        <f>IF(OR(A388="",A388=0),"",LARGE($B$8:B302,1)+1)</f>
        <v/>
      </c>
      <c r="C388" s="7"/>
      <c r="D388" s="279" t="str">
        <f>IF(A388="","",COUNTIF(Orçamento!P:P,A388))</f>
        <v/>
      </c>
      <c r="E388" s="280" t="str">
        <f>IFERROR(IF(A388="","",_xlfn.XLOOKUP(A388,'ABC Insumos Apoio'!C:C,'ABC Insumos Apoio'!A:A)),"")</f>
        <v/>
      </c>
      <c r="F388" s="281" t="str">
        <f>IFERROR(IF(A388="","",_xlfn.XLOOKUP(E388,Insumos!A:A,Insumos!B:B)),"")</f>
        <v/>
      </c>
      <c r="G388" s="282" t="str">
        <f>IFERROR(IF(A388="","",SUMIF(Orçamento!P:P,E388,Orçamento!X:X)),"")</f>
        <v/>
      </c>
      <c r="H388" s="283" t="str">
        <f>IFERROR(IF(A388="","",_xlfn.XLOOKUP(E388,Insumos!A:A,Insumos!C:C)),"")</f>
        <v/>
      </c>
      <c r="I388" s="283" t="str">
        <f t="shared" si="29"/>
        <v/>
      </c>
      <c r="J388" s="284" t="str">
        <f t="shared" si="30"/>
        <v/>
      </c>
      <c r="K388" s="284" t="str">
        <f t="shared" si="22"/>
        <v/>
      </c>
    </row>
    <row r="389" spans="2:11" ht="9.6" customHeight="1" x14ac:dyDescent="0.2">
      <c r="B389" s="10" t="str">
        <f>IF(OR(A389="",A389=0),"",LARGE($B$8:B303,1)+1)</f>
        <v/>
      </c>
      <c r="C389" s="7"/>
      <c r="D389" s="279" t="str">
        <f>IF(A389="","",COUNTIF(Orçamento!P:P,A389))</f>
        <v/>
      </c>
      <c r="E389" s="280" t="str">
        <f>IFERROR(IF(A389="","",_xlfn.XLOOKUP(A389,'ABC Insumos Apoio'!C:C,'ABC Insumos Apoio'!A:A)),"")</f>
        <v/>
      </c>
      <c r="F389" s="281" t="str">
        <f>IFERROR(IF(A389="","",_xlfn.XLOOKUP(E389,Insumos!A:A,Insumos!B:B)),"")</f>
        <v/>
      </c>
      <c r="G389" s="282" t="str">
        <f>IFERROR(IF(A389="","",SUMIF(Orçamento!P:P,E389,Orçamento!X:X)),"")</f>
        <v/>
      </c>
      <c r="H389" s="283" t="str">
        <f>IFERROR(IF(A389="","",_xlfn.XLOOKUP(E389,Insumos!A:A,Insumos!C:C)),"")</f>
        <v/>
      </c>
      <c r="I389" s="283" t="str">
        <f t="shared" si="29"/>
        <v/>
      </c>
      <c r="J389" s="284" t="str">
        <f t="shared" si="30"/>
        <v/>
      </c>
      <c r="K389" s="284" t="str">
        <f t="shared" si="22"/>
        <v/>
      </c>
    </row>
    <row r="390" spans="2:11" ht="9.6" customHeight="1" x14ac:dyDescent="0.2">
      <c r="B390" s="10" t="str">
        <f>IF(OR(A390="",A390=0),"",LARGE($B$8:B304,1)+1)</f>
        <v/>
      </c>
      <c r="C390" s="7"/>
      <c r="D390" s="279" t="str">
        <f>IF(A390="","",COUNTIF(Orçamento!P:P,A390))</f>
        <v/>
      </c>
      <c r="E390" s="280" t="str">
        <f>IFERROR(IF(A390="","",_xlfn.XLOOKUP(A390,'ABC Insumos Apoio'!C:C,'ABC Insumos Apoio'!A:A)),"")</f>
        <v/>
      </c>
      <c r="F390" s="281" t="str">
        <f>IFERROR(IF(A390="","",_xlfn.XLOOKUP(E390,Insumos!A:A,Insumos!B:B)),"")</f>
        <v/>
      </c>
      <c r="G390" s="282" t="str">
        <f>IFERROR(IF(A390="","",SUMIF(Orçamento!P:P,E390,Orçamento!X:X)),"")</f>
        <v/>
      </c>
      <c r="H390" s="283" t="str">
        <f>IFERROR(IF(A390="","",_xlfn.XLOOKUP(E390,Insumos!A:A,Insumos!C:C)),"")</f>
        <v/>
      </c>
      <c r="I390" s="283" t="str">
        <f t="shared" si="29"/>
        <v/>
      </c>
      <c r="J390" s="284" t="str">
        <f t="shared" si="30"/>
        <v/>
      </c>
      <c r="K390" s="284" t="str">
        <f t="shared" si="22"/>
        <v/>
      </c>
    </row>
    <row r="391" spans="2:11" ht="9.6" customHeight="1" x14ac:dyDescent="0.2">
      <c r="B391" s="10" t="str">
        <f>IF(OR(A391="",A391=0),"",LARGE($B$8:B305,1)+1)</f>
        <v/>
      </c>
      <c r="C391" s="7"/>
      <c r="D391" s="279" t="str">
        <f>IF(A391="","",COUNTIF(Orçamento!P:P,A391))</f>
        <v/>
      </c>
      <c r="E391" s="280" t="str">
        <f>IFERROR(IF(A391="","",_xlfn.XLOOKUP(A391,'ABC Insumos Apoio'!C:C,'ABC Insumos Apoio'!A:A)),"")</f>
        <v/>
      </c>
      <c r="F391" s="281" t="str">
        <f>IFERROR(IF(A391="","",_xlfn.XLOOKUP(E391,Insumos!A:A,Insumos!B:B)),"")</f>
        <v/>
      </c>
      <c r="G391" s="282" t="str">
        <f>IFERROR(IF(A391="","",SUMIF(Orçamento!P:P,E391,Orçamento!X:X)),"")</f>
        <v/>
      </c>
      <c r="H391" s="283" t="str">
        <f>IFERROR(IF(A391="","",_xlfn.XLOOKUP(E391,Insumos!A:A,Insumos!C:C)),"")</f>
        <v/>
      </c>
      <c r="I391" s="283" t="str">
        <f t="shared" si="29"/>
        <v/>
      </c>
      <c r="J391" s="284" t="str">
        <f t="shared" si="30"/>
        <v/>
      </c>
      <c r="K391" s="284" t="str">
        <f t="shared" si="22"/>
        <v/>
      </c>
    </row>
    <row r="392" spans="2:11" ht="9.6" customHeight="1" x14ac:dyDescent="0.2">
      <c r="B392" s="10" t="str">
        <f>IF(OR(A392="",A392=0),"",LARGE($B$8:B306,1)+1)</f>
        <v/>
      </c>
      <c r="C392" s="7"/>
      <c r="D392" s="279" t="str">
        <f>IF(A392="","",COUNTIF(Orçamento!P:P,A392))</f>
        <v/>
      </c>
      <c r="E392" s="280" t="str">
        <f>IFERROR(IF(A392="","",_xlfn.XLOOKUP(A392,'ABC Insumos Apoio'!C:C,'ABC Insumos Apoio'!A:A)),"")</f>
        <v/>
      </c>
      <c r="F392" s="281" t="str">
        <f>IFERROR(IF(A392="","",_xlfn.XLOOKUP(E392,Insumos!A:A,Insumos!B:B)),"")</f>
        <v/>
      </c>
      <c r="G392" s="282" t="str">
        <f>IFERROR(IF(A392="","",SUMIF(Orçamento!P:P,E392,Orçamento!X:X)),"")</f>
        <v/>
      </c>
      <c r="H392" s="283" t="str">
        <f>IFERROR(IF(A392="","",_xlfn.XLOOKUP(E392,Insumos!A:A,Insumos!C:C)),"")</f>
        <v/>
      </c>
      <c r="I392" s="283" t="str">
        <f t="shared" si="29"/>
        <v/>
      </c>
      <c r="J392" s="284" t="str">
        <f t="shared" si="30"/>
        <v/>
      </c>
      <c r="K392" s="284" t="str">
        <f t="shared" si="22"/>
        <v/>
      </c>
    </row>
    <row r="393" spans="2:11" ht="9.6" customHeight="1" x14ac:dyDescent="0.2">
      <c r="B393" s="10" t="str">
        <f>IF(OR(A393="",A393=0),"",LARGE($B$8:B307,1)+1)</f>
        <v/>
      </c>
      <c r="C393" s="7"/>
      <c r="D393" s="279" t="str">
        <f>IF(A393="","",COUNTIF(Orçamento!P:P,A393))</f>
        <v/>
      </c>
      <c r="E393" s="280" t="str">
        <f>IFERROR(IF(A393="","",_xlfn.XLOOKUP(A393,'ABC Insumos Apoio'!C:C,'ABC Insumos Apoio'!A:A)),"")</f>
        <v/>
      </c>
      <c r="F393" s="281" t="str">
        <f>IFERROR(IF(A393="","",_xlfn.XLOOKUP(E393,Insumos!A:A,Insumos!B:B)),"")</f>
        <v/>
      </c>
      <c r="G393" s="282" t="str">
        <f>IFERROR(IF(A393="","",SUMIF(Orçamento!P:P,E393,Orçamento!X:X)),"")</f>
        <v/>
      </c>
      <c r="H393" s="283" t="str">
        <f>IFERROR(IF(A393="","",_xlfn.XLOOKUP(E393,Insumos!A:A,Insumos!C:C)),"")</f>
        <v/>
      </c>
      <c r="I393" s="283" t="str">
        <f t="shared" si="29"/>
        <v/>
      </c>
      <c r="J393" s="284" t="str">
        <f t="shared" si="30"/>
        <v/>
      </c>
      <c r="K393" s="284" t="str">
        <f t="shared" si="22"/>
        <v/>
      </c>
    </row>
    <row r="394" spans="2:11" ht="9.6" customHeight="1" x14ac:dyDescent="0.2">
      <c r="B394" s="10" t="str">
        <f>IF(OR(A394="",A394=0),"",LARGE($B$8:B308,1)+1)</f>
        <v/>
      </c>
      <c r="C394" s="7"/>
      <c r="D394" s="279" t="str">
        <f>IF(A394="","",COUNTIF(Orçamento!P:P,A394))</f>
        <v/>
      </c>
      <c r="E394" s="280" t="str">
        <f>IFERROR(IF(A394="","",_xlfn.XLOOKUP(A394,'ABC Insumos Apoio'!C:C,'ABC Insumos Apoio'!A:A)),"")</f>
        <v/>
      </c>
      <c r="F394" s="281" t="str">
        <f>IFERROR(IF(A394="","",_xlfn.XLOOKUP(E394,Insumos!A:A,Insumos!B:B)),"")</f>
        <v/>
      </c>
      <c r="G394" s="282" t="str">
        <f>IFERROR(IF(A394="","",SUMIF(Orçamento!P:P,E394,Orçamento!X:X)),"")</f>
        <v/>
      </c>
      <c r="H394" s="283" t="str">
        <f>IFERROR(IF(A394="","",_xlfn.XLOOKUP(E394,Insumos!A:A,Insumos!C:C)),"")</f>
        <v/>
      </c>
      <c r="I394" s="283" t="str">
        <f t="shared" si="29"/>
        <v/>
      </c>
      <c r="J394" s="284" t="str">
        <f t="shared" si="30"/>
        <v/>
      </c>
      <c r="K394" s="284" t="str">
        <f t="shared" si="22"/>
        <v/>
      </c>
    </row>
    <row r="395" spans="2:11" ht="9.6" customHeight="1" x14ac:dyDescent="0.2">
      <c r="B395" s="10" t="str">
        <f>IF(OR(A395="",A395=0),"",LARGE($B$8:B309,1)+1)</f>
        <v/>
      </c>
      <c r="C395" s="7"/>
      <c r="D395" s="279" t="str">
        <f>IF(A395="","",COUNTIF(Orçamento!P:P,A395))</f>
        <v/>
      </c>
      <c r="E395" s="280" t="str">
        <f>IFERROR(IF(A395="","",_xlfn.XLOOKUP(A395,'ABC Insumos Apoio'!C:C,'ABC Insumos Apoio'!A:A)),"")</f>
        <v/>
      </c>
      <c r="F395" s="281" t="str">
        <f>IFERROR(IF(A395="","",_xlfn.XLOOKUP(E395,Insumos!A:A,Insumos!B:B)),"")</f>
        <v/>
      </c>
      <c r="G395" s="282" t="str">
        <f>IFERROR(IF(A395="","",SUMIF(Orçamento!P:P,E395,Orçamento!X:X)),"")</f>
        <v/>
      </c>
      <c r="H395" s="283" t="str">
        <f>IFERROR(IF(A395="","",_xlfn.XLOOKUP(E395,Insumos!A:A,Insumos!C:C)),"")</f>
        <v/>
      </c>
      <c r="I395" s="283" t="str">
        <f t="shared" si="29"/>
        <v/>
      </c>
      <c r="J395" s="284" t="str">
        <f t="shared" si="30"/>
        <v/>
      </c>
      <c r="K395" s="284" t="str">
        <f t="shared" si="22"/>
        <v/>
      </c>
    </row>
    <row r="396" spans="2:11" ht="9.6" customHeight="1" x14ac:dyDescent="0.2">
      <c r="B396" s="10" t="str">
        <f>IF(OR(A396="",A396=0),"",LARGE($B$8:B310,1)+1)</f>
        <v/>
      </c>
      <c r="C396" s="7"/>
      <c r="D396" s="279" t="str">
        <f>IF(A396="","",COUNTIF(Orçamento!P:P,A396))</f>
        <v/>
      </c>
      <c r="E396" s="280" t="str">
        <f>IFERROR(IF(A396="","",_xlfn.XLOOKUP(A396,'ABC Insumos Apoio'!C:C,'ABC Insumos Apoio'!A:A)),"")</f>
        <v/>
      </c>
      <c r="F396" s="281" t="str">
        <f>IFERROR(IF(A396="","",_xlfn.XLOOKUP(E396,Insumos!A:A,Insumos!B:B)),"")</f>
        <v/>
      </c>
      <c r="G396" s="282" t="str">
        <f>IFERROR(IF(A396="","",SUMIF(Orçamento!P:P,E396,Orçamento!X:X)),"")</f>
        <v/>
      </c>
      <c r="H396" s="283" t="str">
        <f>IFERROR(IF(A396="","",_xlfn.XLOOKUP(E396,Insumos!A:A,Insumos!C:C)),"")</f>
        <v/>
      </c>
      <c r="I396" s="283" t="str">
        <f t="shared" si="29"/>
        <v/>
      </c>
      <c r="J396" s="284" t="str">
        <f t="shared" si="30"/>
        <v/>
      </c>
      <c r="K396" s="284" t="str">
        <f t="shared" si="22"/>
        <v/>
      </c>
    </row>
    <row r="397" spans="2:11" ht="9.6" customHeight="1" x14ac:dyDescent="0.2">
      <c r="B397" s="10" t="str">
        <f>IF(OR(A397="",A397=0),"",LARGE($B$8:B311,1)+1)</f>
        <v/>
      </c>
      <c r="C397" s="7"/>
      <c r="D397" s="279" t="str">
        <f>IF(A397="","",COUNTIF(Orçamento!P:P,A397))</f>
        <v/>
      </c>
      <c r="E397" s="280" t="str">
        <f>IFERROR(IF(A397="","",_xlfn.XLOOKUP(A397,'ABC Insumos Apoio'!C:C,'ABC Insumos Apoio'!A:A)),"")</f>
        <v/>
      </c>
      <c r="F397" s="281" t="str">
        <f>IFERROR(IF(A397="","",_xlfn.XLOOKUP(E397,Insumos!A:A,Insumos!B:B)),"")</f>
        <v/>
      </c>
      <c r="G397" s="282" t="str">
        <f>IFERROR(IF(A397="","",SUMIF(Orçamento!P:P,E397,Orçamento!X:X)),"")</f>
        <v/>
      </c>
      <c r="H397" s="283" t="str">
        <f>IFERROR(IF(A397="","",_xlfn.XLOOKUP(E397,Insumos!A:A,Insumos!C:C)),"")</f>
        <v/>
      </c>
      <c r="I397" s="283" t="str">
        <f t="shared" si="29"/>
        <v/>
      </c>
      <c r="J397" s="284" t="str">
        <f t="shared" si="30"/>
        <v/>
      </c>
      <c r="K397" s="284" t="str">
        <f>IF(I397="","",J397+K311)</f>
        <v/>
      </c>
    </row>
    <row r="398" spans="2:11" ht="9.6" customHeight="1" x14ac:dyDescent="0.2">
      <c r="B398" s="10" t="str">
        <f>IF(OR(A398="",A398=0),"",LARGE($B$8:B312,1)+1)</f>
        <v/>
      </c>
      <c r="C398" s="7"/>
      <c r="D398" s="279" t="str">
        <f>IF(A398="","",COUNTIF(Orçamento!P:P,A398))</f>
        <v/>
      </c>
      <c r="E398" s="280" t="str">
        <f>IFERROR(IF(A398="","",_xlfn.XLOOKUP(A398,'ABC Insumos Apoio'!C:C,'ABC Insumos Apoio'!A:A)),"")</f>
        <v/>
      </c>
      <c r="F398" s="281" t="str">
        <f>IFERROR(IF(A398="","",_xlfn.XLOOKUP(E398,Insumos!A:A,Insumos!B:B)),"")</f>
        <v/>
      </c>
      <c r="G398" s="282" t="str">
        <f>IFERROR(IF(A398="","",SUMIF(Orçamento!P:P,E398,Orçamento!X:X)),"")</f>
        <v/>
      </c>
      <c r="H398" s="283" t="str">
        <f>IFERROR(IF(A398="","",_xlfn.XLOOKUP(E398,Insumos!A:A,Insumos!C:C)),"")</f>
        <v/>
      </c>
      <c r="I398" s="283" t="str">
        <f>IFERROR(IF(E398="","",G398*H398),"")</f>
        <v/>
      </c>
      <c r="J398" s="284" t="str">
        <f>IFERROR(IF(I398="","",I398/$I$6),0)</f>
        <v/>
      </c>
      <c r="K398" s="284" t="str">
        <f>IF(I398="","",J398+K312)</f>
        <v/>
      </c>
    </row>
  </sheetData>
  <autoFilter ref="A7:K296" xr:uid="{797F5323-2489-4DF1-BA6B-6F5BE4FC59D5}"/>
  <sortState xmlns:xlrd2="http://schemas.microsoft.com/office/spreadsheetml/2017/richdata2" ref="A1:K296">
    <sortCondition ref="J9:J296"/>
  </sortState>
  <phoneticPr fontId="11" type="noConversion"/>
  <conditionalFormatting sqref="J8:K8">
    <cfRule type="containsText" dxfId="34" priority="8" operator="containsText" text="ok">
      <formula>NOT(ISERROR(SEARCH("ok",J8)))</formula>
    </cfRule>
    <cfRule type="containsText" dxfId="33" priority="26" operator="containsText" text="VERIFICAR">
      <formula>NOT(ISERROR(SEARCH("VERIFICAR",J8)))</formula>
    </cfRule>
  </conditionalFormatting>
  <conditionalFormatting sqref="K6">
    <cfRule type="containsText" dxfId="32" priority="6" operator="containsText" text="ok">
      <formula>NOT(ISERROR(SEARCH("ok",K6)))</formula>
    </cfRule>
    <cfRule type="containsText" dxfId="31" priority="7" operator="containsText" text="VERIFICAR">
      <formula>NOT(ISERROR(SEARCH("VERIFICAR",K6)))</formula>
    </cfRule>
  </conditionalFormatting>
  <pageMargins left="0.52999994886203072" right="0.52999994886203072" top="0.52999994886203072" bottom="0.68999998212799307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201" id="{F938CC4C-F734-436A-AF0B-E1269861DEE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D9:D296 D399:D890</xm:sqref>
        </x14:conditionalFormatting>
        <x14:conditionalFormatting xmlns:xm="http://schemas.microsoft.com/office/excel/2006/main">
          <x14:cfRule type="iconSet" priority="5" id="{7B11A5CD-E66A-49BA-B1A1-5DABCA8A245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D297:D312 D398</xm:sqref>
        </x14:conditionalFormatting>
        <x14:conditionalFormatting xmlns:xm="http://schemas.microsoft.com/office/excel/2006/main">
          <x14:cfRule type="iconSet" priority="4" id="{35F29AE2-6786-4644-8D3E-1C7BB0CA28A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D313:D332</xm:sqref>
        </x14:conditionalFormatting>
        <x14:conditionalFormatting xmlns:xm="http://schemas.microsoft.com/office/excel/2006/main">
          <x14:cfRule type="iconSet" priority="3" id="{01BB526C-78AD-4FBB-9FA7-00A30575163D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D333:D337 D357:D397</xm:sqref>
        </x14:conditionalFormatting>
        <x14:conditionalFormatting xmlns:xm="http://schemas.microsoft.com/office/excel/2006/main">
          <x14:cfRule type="iconSet" priority="2" id="{2F09C1B4-ECC7-41AD-ABC1-6BC4CFCB0DC4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D350:D356</xm:sqref>
        </x14:conditionalFormatting>
        <x14:conditionalFormatting xmlns:xm="http://schemas.microsoft.com/office/excel/2006/main">
          <x14:cfRule type="iconSet" priority="1" id="{B8714FC6-9C68-4845-A10F-9FECD532BBE7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D338:D349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9B8F-E408-4050-A164-EA48773D0915}">
  <sheetPr>
    <tabColor theme="6" tint="-0.249977111117893"/>
  </sheetPr>
  <dimension ref="A1:H343"/>
  <sheetViews>
    <sheetView showGridLines="0" zoomScale="115" zoomScaleNormal="115" workbookViewId="0">
      <pane ySplit="5" topLeftCell="A6" activePane="bottomLeft" state="frozen"/>
      <selection activeCell="H7" sqref="H7:H11"/>
      <selection pane="bottomLeft" activeCell="I345" sqref="I345"/>
    </sheetView>
  </sheetViews>
  <sheetFormatPr defaultRowHeight="12.75" x14ac:dyDescent="0.2"/>
  <cols>
    <col min="1" max="1" width="6.28515625" style="11" customWidth="1"/>
    <col min="2" max="2" width="79.42578125" style="1" bestFit="1" customWidth="1"/>
    <col min="4" max="4" width="13.5703125" style="3" customWidth="1"/>
    <col min="5" max="5" width="20.28515625" style="1" customWidth="1"/>
    <col min="6" max="6" width="18.28515625" style="2" customWidth="1"/>
    <col min="7" max="7" width="12.7109375" bestFit="1" customWidth="1"/>
    <col min="8" max="8" width="7" bestFit="1" customWidth="1"/>
  </cols>
  <sheetData>
    <row r="1" spans="1:8" ht="18" x14ac:dyDescent="0.2">
      <c r="A1" s="328"/>
      <c r="B1" s="328"/>
      <c r="C1" s="328"/>
      <c r="D1" s="328"/>
      <c r="E1" s="328"/>
      <c r="F1" s="328"/>
      <c r="G1" s="328"/>
      <c r="H1" s="328"/>
    </row>
    <row r="2" spans="1:8" ht="18" x14ac:dyDescent="0.2">
      <c r="A2" s="328"/>
      <c r="B2" s="328"/>
      <c r="C2" s="328"/>
      <c r="D2" s="328"/>
      <c r="E2" s="328"/>
      <c r="F2" s="328"/>
      <c r="G2" s="328"/>
      <c r="H2" s="328"/>
    </row>
    <row r="3" spans="1:8" ht="18" x14ac:dyDescent="0.2">
      <c r="A3" s="328" t="s">
        <v>557</v>
      </c>
      <c r="B3" s="328"/>
      <c r="C3" s="328"/>
      <c r="D3" s="328"/>
      <c r="E3" s="328"/>
      <c r="F3" s="328"/>
      <c r="G3" s="328"/>
      <c r="H3" s="328"/>
    </row>
    <row r="4" spans="1:8" x14ac:dyDescent="0.2">
      <c r="A4" s="261"/>
      <c r="B4" s="262"/>
      <c r="C4" s="263"/>
      <c r="D4" s="264"/>
      <c r="E4" s="265"/>
      <c r="F4" s="266">
        <f>SUBTOTAL(9,F7:F356)</f>
        <v>6970627.0294020548</v>
      </c>
      <c r="G4" s="267">
        <f ca="1">F4-SUMIF(Orçamento!B:B,"SERVIÇO",Orçamento!Z:Z)</f>
        <v>0</v>
      </c>
      <c r="H4" s="268" t="s">
        <v>93</v>
      </c>
    </row>
    <row r="5" spans="1:8" x14ac:dyDescent="0.2">
      <c r="A5" s="269" t="s">
        <v>96</v>
      </c>
      <c r="B5" s="270" t="s">
        <v>19</v>
      </c>
      <c r="C5" s="270" t="s">
        <v>12</v>
      </c>
      <c r="D5" s="270" t="s">
        <v>8</v>
      </c>
      <c r="E5" s="271" t="s">
        <v>559</v>
      </c>
      <c r="F5" s="271" t="s">
        <v>97</v>
      </c>
      <c r="G5" s="272" t="s">
        <v>560</v>
      </c>
      <c r="H5" s="272" t="s">
        <v>561</v>
      </c>
    </row>
    <row r="6" spans="1:8" ht="3" customHeight="1" x14ac:dyDescent="0.2">
      <c r="A6" s="279"/>
      <c r="B6" s="280"/>
      <c r="C6" s="281"/>
      <c r="D6" s="282"/>
      <c r="E6" s="283"/>
      <c r="F6" s="283"/>
      <c r="G6" s="284"/>
      <c r="H6" s="278"/>
    </row>
    <row r="7" spans="1:8" x14ac:dyDescent="0.2">
      <c r="A7" s="279">
        <v>0</v>
      </c>
      <c r="B7" s="280" t="s">
        <v>204</v>
      </c>
      <c r="C7" s="281" t="s">
        <v>140</v>
      </c>
      <c r="D7" s="282">
        <v>2027.4636049999999</v>
      </c>
      <c r="E7" s="283">
        <v>328.98247759174944</v>
      </c>
      <c r="F7" s="283">
        <v>667000</v>
      </c>
      <c r="G7" s="284">
        <v>9.5687231175416346E-2</v>
      </c>
      <c r="H7" s="284">
        <f>G7+H6</f>
        <v>9.5687231175416346E-2</v>
      </c>
    </row>
    <row r="8" spans="1:8" x14ac:dyDescent="0.2">
      <c r="A8" s="279">
        <v>0</v>
      </c>
      <c r="B8" s="280" t="s">
        <v>245</v>
      </c>
      <c r="C8" s="281" t="s">
        <v>170</v>
      </c>
      <c r="D8" s="282">
        <v>1</v>
      </c>
      <c r="E8" s="283">
        <v>356636.125</v>
      </c>
      <c r="F8" s="283">
        <v>356636.125</v>
      </c>
      <c r="G8" s="284">
        <v>5.1162703655741645E-2</v>
      </c>
      <c r="H8" s="284">
        <f t="shared" ref="H8:H71" si="0">G8+H7</f>
        <v>0.14684993483115799</v>
      </c>
    </row>
    <row r="9" spans="1:8" x14ac:dyDescent="0.2">
      <c r="A9" s="279">
        <v>0</v>
      </c>
      <c r="B9" s="280" t="s">
        <v>820</v>
      </c>
      <c r="C9" s="281" t="s">
        <v>166</v>
      </c>
      <c r="D9" s="282">
        <v>521.01741398700005</v>
      </c>
      <c r="E9" s="283">
        <v>450</v>
      </c>
      <c r="F9" s="283">
        <v>234457.83629415004</v>
      </c>
      <c r="G9" s="284">
        <v>3.3635114216441157E-2</v>
      </c>
      <c r="H9" s="284">
        <f t="shared" si="0"/>
        <v>0.18048504904759916</v>
      </c>
    </row>
    <row r="10" spans="1:8" x14ac:dyDescent="0.2">
      <c r="A10" s="279">
        <v>0</v>
      </c>
      <c r="B10" s="280" t="s">
        <v>238</v>
      </c>
      <c r="C10" s="281" t="s">
        <v>140</v>
      </c>
      <c r="D10" s="282">
        <v>264.85000000000008</v>
      </c>
      <c r="E10" s="283">
        <v>830.73240202071486</v>
      </c>
      <c r="F10" s="283">
        <v>220019.47667518639</v>
      </c>
      <c r="G10" s="284">
        <v>3.1563799891623216E-2</v>
      </c>
      <c r="H10" s="284">
        <f t="shared" si="0"/>
        <v>0.21204884893922238</v>
      </c>
    </row>
    <row r="11" spans="1:8" x14ac:dyDescent="0.2">
      <c r="A11" s="279">
        <v>0</v>
      </c>
      <c r="B11" s="280" t="s">
        <v>823</v>
      </c>
      <c r="C11" s="281" t="s">
        <v>592</v>
      </c>
      <c r="D11" s="282">
        <v>249.684</v>
      </c>
      <c r="E11" s="283">
        <v>830.94770876576717</v>
      </c>
      <c r="F11" s="283">
        <v>207474.34771547181</v>
      </c>
      <c r="G11" s="284">
        <v>2.9764086765845674E-2</v>
      </c>
      <c r="H11" s="284">
        <f t="shared" si="0"/>
        <v>0.24181293570506807</v>
      </c>
    </row>
    <row r="12" spans="1:8" x14ac:dyDescent="0.2">
      <c r="A12" s="279">
        <v>0</v>
      </c>
      <c r="B12" s="280" t="s">
        <v>259</v>
      </c>
      <c r="C12" s="281" t="s">
        <v>140</v>
      </c>
      <c r="D12" s="282">
        <v>1878.05</v>
      </c>
      <c r="E12" s="283">
        <v>99.198636884002028</v>
      </c>
      <c r="F12" s="283">
        <v>186300</v>
      </c>
      <c r="G12" s="284">
        <v>2.6726433535202494E-2</v>
      </c>
      <c r="H12" s="284">
        <f t="shared" si="0"/>
        <v>0.26853936924027055</v>
      </c>
    </row>
    <row r="13" spans="1:8" x14ac:dyDescent="0.2">
      <c r="A13" s="279">
        <v>0</v>
      </c>
      <c r="B13" s="280" t="s">
        <v>185</v>
      </c>
      <c r="C13" s="281" t="s">
        <v>140</v>
      </c>
      <c r="D13" s="282">
        <v>1</v>
      </c>
      <c r="E13" s="283">
        <v>182850</v>
      </c>
      <c r="F13" s="283">
        <v>182850</v>
      </c>
      <c r="G13" s="284">
        <v>2.6231499580846893E-2</v>
      </c>
      <c r="H13" s="284">
        <f t="shared" si="0"/>
        <v>0.29477086882111747</v>
      </c>
    </row>
    <row r="14" spans="1:8" x14ac:dyDescent="0.2">
      <c r="A14" s="279">
        <v>0</v>
      </c>
      <c r="B14" s="280" t="s">
        <v>769</v>
      </c>
      <c r="C14" s="281" t="s">
        <v>142</v>
      </c>
      <c r="D14" s="282">
        <v>1</v>
      </c>
      <c r="E14" s="283">
        <v>180000</v>
      </c>
      <c r="F14" s="283">
        <v>180000</v>
      </c>
      <c r="G14" s="284">
        <v>2.5822641096814005E-2</v>
      </c>
      <c r="H14" s="284">
        <f t="shared" si="0"/>
        <v>0.32059350991793145</v>
      </c>
    </row>
    <row r="15" spans="1:8" x14ac:dyDescent="0.2">
      <c r="A15" s="279">
        <v>0</v>
      </c>
      <c r="B15" s="280" t="s">
        <v>253</v>
      </c>
      <c r="C15" s="281" t="s">
        <v>140</v>
      </c>
      <c r="D15" s="282">
        <v>3840.1949999999997</v>
      </c>
      <c r="E15" s="283">
        <v>40.637259305842548</v>
      </c>
      <c r="F15" s="283">
        <v>156055</v>
      </c>
      <c r="G15" s="284">
        <v>2.238751253535172E-2</v>
      </c>
      <c r="H15" s="284">
        <f t="shared" si="0"/>
        <v>0.34298102245328316</v>
      </c>
    </row>
    <row r="16" spans="1:8" x14ac:dyDescent="0.2">
      <c r="A16" s="279">
        <v>0</v>
      </c>
      <c r="B16" s="280" t="s">
        <v>249</v>
      </c>
      <c r="C16" s="281" t="s">
        <v>170</v>
      </c>
      <c r="D16" s="282">
        <v>1</v>
      </c>
      <c r="E16" s="283">
        <v>139412.54058804107</v>
      </c>
      <c r="F16" s="283">
        <v>139412.54058804107</v>
      </c>
      <c r="G16" s="284">
        <v>1.9999999999999997E-2</v>
      </c>
      <c r="H16" s="284">
        <f t="shared" si="0"/>
        <v>0.36298102245328318</v>
      </c>
    </row>
    <row r="17" spans="1:8" x14ac:dyDescent="0.2">
      <c r="A17" s="279">
        <v>0</v>
      </c>
      <c r="B17" s="280" t="s">
        <v>804</v>
      </c>
      <c r="C17" s="281" t="s">
        <v>200</v>
      </c>
      <c r="D17" s="282">
        <v>1049.9613719140766</v>
      </c>
      <c r="E17" s="283">
        <v>132</v>
      </c>
      <c r="F17" s="283">
        <v>138594.90109265811</v>
      </c>
      <c r="G17" s="284">
        <v>1.988270215980081E-2</v>
      </c>
      <c r="H17" s="284">
        <f t="shared" si="0"/>
        <v>0.38286372461308399</v>
      </c>
    </row>
    <row r="18" spans="1:8" x14ac:dyDescent="0.2">
      <c r="A18" s="279">
        <v>0</v>
      </c>
      <c r="B18" s="280" t="s">
        <v>693</v>
      </c>
      <c r="C18" s="281" t="s">
        <v>140</v>
      </c>
      <c r="D18" s="282">
        <v>2341.7450000000003</v>
      </c>
      <c r="E18" s="283">
        <v>58.930413003977797</v>
      </c>
      <c r="F18" s="283">
        <v>138000</v>
      </c>
      <c r="G18" s="284">
        <v>1.979735817422407E-2</v>
      </c>
      <c r="H18" s="284">
        <f t="shared" si="0"/>
        <v>0.40266108278730806</v>
      </c>
    </row>
    <row r="19" spans="1:8" x14ac:dyDescent="0.2">
      <c r="A19" s="279">
        <v>0</v>
      </c>
      <c r="B19" s="280" t="s">
        <v>1196</v>
      </c>
      <c r="C19" s="281" t="s">
        <v>170</v>
      </c>
      <c r="D19" s="282">
        <v>1</v>
      </c>
      <c r="E19" s="283">
        <v>135260</v>
      </c>
      <c r="F19" s="283">
        <v>135260</v>
      </c>
      <c r="G19" s="284">
        <v>1.940428019308368E-2</v>
      </c>
      <c r="H19" s="284">
        <f t="shared" si="0"/>
        <v>0.42206536298039171</v>
      </c>
    </row>
    <row r="20" spans="1:8" x14ac:dyDescent="0.2">
      <c r="A20" s="279">
        <v>0</v>
      </c>
      <c r="B20" s="280" t="s">
        <v>779</v>
      </c>
      <c r="C20" s="281" t="s">
        <v>140</v>
      </c>
      <c r="D20" s="282">
        <v>3396.9239999999995</v>
      </c>
      <c r="E20" s="283">
        <v>38.187489622964783</v>
      </c>
      <c r="F20" s="283">
        <v>129720</v>
      </c>
      <c r="G20" s="284">
        <v>1.8609516683770626E-2</v>
      </c>
      <c r="H20" s="284">
        <f t="shared" si="0"/>
        <v>0.44067487966416236</v>
      </c>
    </row>
    <row r="21" spans="1:8" x14ac:dyDescent="0.2">
      <c r="A21" s="279">
        <v>0</v>
      </c>
      <c r="B21" s="280" t="s">
        <v>256</v>
      </c>
      <c r="C21" s="281" t="s">
        <v>166</v>
      </c>
      <c r="D21" s="282">
        <v>231.40778999999998</v>
      </c>
      <c r="E21" s="283">
        <v>480</v>
      </c>
      <c r="F21" s="283">
        <v>111075.73919999998</v>
      </c>
      <c r="G21" s="284">
        <v>1.5934827488471744E-2</v>
      </c>
      <c r="H21" s="284">
        <f t="shared" si="0"/>
        <v>0.4566097071526341</v>
      </c>
    </row>
    <row r="22" spans="1:8" x14ac:dyDescent="0.2">
      <c r="A22" s="279">
        <v>0</v>
      </c>
      <c r="B22" s="280" t="s">
        <v>832</v>
      </c>
      <c r="C22" s="281" t="s">
        <v>170</v>
      </c>
      <c r="D22" s="282">
        <v>2407.19884</v>
      </c>
      <c r="E22" s="283">
        <v>36.785494629101763</v>
      </c>
      <c r="F22" s="283">
        <v>88550</v>
      </c>
      <c r="G22" s="284">
        <v>1.2703304828460445E-2</v>
      </c>
      <c r="H22" s="284">
        <f t="shared" si="0"/>
        <v>0.46931301198109454</v>
      </c>
    </row>
    <row r="23" spans="1:8" x14ac:dyDescent="0.2">
      <c r="A23" s="279">
        <v>0</v>
      </c>
      <c r="B23" s="280" t="s">
        <v>251</v>
      </c>
      <c r="C23" s="281" t="s">
        <v>170</v>
      </c>
      <c r="D23" s="282">
        <v>2407.19884</v>
      </c>
      <c r="E23" s="283">
        <v>36.785494629101763</v>
      </c>
      <c r="F23" s="283">
        <v>88550</v>
      </c>
      <c r="G23" s="284">
        <v>1.2703304828460445E-2</v>
      </c>
      <c r="H23" s="284">
        <f t="shared" si="0"/>
        <v>0.48201631680955498</v>
      </c>
    </row>
    <row r="24" spans="1:8" x14ac:dyDescent="0.2">
      <c r="A24" s="279">
        <v>0</v>
      </c>
      <c r="B24" s="280" t="s">
        <v>274</v>
      </c>
      <c r="C24" s="281" t="s">
        <v>140</v>
      </c>
      <c r="D24" s="282">
        <v>1197.21</v>
      </c>
      <c r="E24" s="283">
        <v>73.511069535391329</v>
      </c>
      <c r="F24" s="283">
        <v>88008.187558465856</v>
      </c>
      <c r="G24" s="284">
        <v>1.2625576893907529E-2</v>
      </c>
      <c r="H24" s="284">
        <f t="shared" si="0"/>
        <v>0.49464189370346251</v>
      </c>
    </row>
    <row r="25" spans="1:8" x14ac:dyDescent="0.2">
      <c r="A25" s="279">
        <v>0</v>
      </c>
      <c r="B25" s="280" t="s">
        <v>264</v>
      </c>
      <c r="C25" s="281" t="s">
        <v>176</v>
      </c>
      <c r="D25" s="282">
        <v>2981.6256444000001</v>
      </c>
      <c r="E25" s="283">
        <v>29.17</v>
      </c>
      <c r="F25" s="283">
        <v>86974.020047148006</v>
      </c>
      <c r="G25" s="284">
        <v>1.2477216135692273E-2</v>
      </c>
      <c r="H25" s="284">
        <f t="shared" si="0"/>
        <v>0.50711910983915476</v>
      </c>
    </row>
    <row r="26" spans="1:8" x14ac:dyDescent="0.2">
      <c r="A26" s="279">
        <v>0</v>
      </c>
      <c r="B26" s="280" t="s">
        <v>280</v>
      </c>
      <c r="C26" s="281" t="s">
        <v>140</v>
      </c>
      <c r="D26" s="282">
        <v>1560.13</v>
      </c>
      <c r="E26" s="283">
        <v>53.07250036855902</v>
      </c>
      <c r="F26" s="283">
        <v>82799.999999999985</v>
      </c>
      <c r="G26" s="284">
        <v>1.1878414904534441E-2</v>
      </c>
      <c r="H26" s="284">
        <f t="shared" si="0"/>
        <v>0.51899752474368921</v>
      </c>
    </row>
    <row r="27" spans="1:8" x14ac:dyDescent="0.2">
      <c r="A27" s="279">
        <v>0</v>
      </c>
      <c r="B27" s="280" t="s">
        <v>277</v>
      </c>
      <c r="C27" s="281" t="s">
        <v>166</v>
      </c>
      <c r="D27" s="282">
        <v>190.61432500000001</v>
      </c>
      <c r="E27" s="283">
        <v>425</v>
      </c>
      <c r="F27" s="283">
        <v>81011.088125000009</v>
      </c>
      <c r="G27" s="284">
        <v>1.1621779186190256E-2</v>
      </c>
      <c r="H27" s="284">
        <f t="shared" si="0"/>
        <v>0.53061930392987944</v>
      </c>
    </row>
    <row r="28" spans="1:8" x14ac:dyDescent="0.2">
      <c r="A28" s="279">
        <v>0</v>
      </c>
      <c r="B28" s="280" t="s">
        <v>1205</v>
      </c>
      <c r="C28" s="281" t="s">
        <v>170</v>
      </c>
      <c r="D28" s="282">
        <v>1</v>
      </c>
      <c r="E28" s="283">
        <v>75566.564785471885</v>
      </c>
      <c r="F28" s="283">
        <v>75566.564785471885</v>
      </c>
      <c r="G28" s="284">
        <v>1.0840712674302134E-2</v>
      </c>
      <c r="H28" s="284">
        <f t="shared" si="0"/>
        <v>0.54146001660418153</v>
      </c>
    </row>
    <row r="29" spans="1:8" x14ac:dyDescent="0.2">
      <c r="A29" s="279">
        <v>0</v>
      </c>
      <c r="B29" s="280" t="s">
        <v>988</v>
      </c>
      <c r="C29" s="281" t="s">
        <v>170</v>
      </c>
      <c r="D29" s="282">
        <v>1</v>
      </c>
      <c r="E29" s="283">
        <v>72883.04738651494</v>
      </c>
      <c r="F29" s="283">
        <v>72883.04738651494</v>
      </c>
      <c r="G29" s="284">
        <v>1.0455737637244795E-2</v>
      </c>
      <c r="H29" s="284">
        <f t="shared" si="0"/>
        <v>0.55191575424142636</v>
      </c>
    </row>
    <row r="30" spans="1:8" x14ac:dyDescent="0.2">
      <c r="A30" s="279">
        <v>0</v>
      </c>
      <c r="B30" s="280" t="s">
        <v>684</v>
      </c>
      <c r="C30" s="281" t="s">
        <v>140</v>
      </c>
      <c r="D30" s="282">
        <v>216.99340049999998</v>
      </c>
      <c r="E30" s="283">
        <v>317.98202084030663</v>
      </c>
      <c r="F30" s="283">
        <v>69000</v>
      </c>
      <c r="G30" s="284">
        <v>9.8986790871120351E-3</v>
      </c>
      <c r="H30" s="284">
        <f t="shared" si="0"/>
        <v>0.56181443332853842</v>
      </c>
    </row>
    <row r="31" spans="1:8" x14ac:dyDescent="0.2">
      <c r="A31" s="279">
        <v>0</v>
      </c>
      <c r="B31" s="280" t="s">
        <v>268</v>
      </c>
      <c r="C31" s="281" t="s">
        <v>260</v>
      </c>
      <c r="D31" s="282">
        <v>22</v>
      </c>
      <c r="E31" s="283">
        <v>3000</v>
      </c>
      <c r="F31" s="283">
        <v>66000</v>
      </c>
      <c r="G31" s="284">
        <v>9.4683017354984678E-3</v>
      </c>
      <c r="H31" s="284">
        <f t="shared" si="0"/>
        <v>0.57128273506403693</v>
      </c>
    </row>
    <row r="32" spans="1:8" x14ac:dyDescent="0.2">
      <c r="A32" s="279">
        <v>0</v>
      </c>
      <c r="B32" s="280" t="s">
        <v>912</v>
      </c>
      <c r="C32" s="281" t="s">
        <v>140</v>
      </c>
      <c r="D32" s="282">
        <v>1394.7658700000002</v>
      </c>
      <c r="E32" s="283">
        <v>45.19</v>
      </c>
      <c r="F32" s="283">
        <v>63029.469665300006</v>
      </c>
      <c r="G32" s="284">
        <v>9.0421520760531528E-3</v>
      </c>
      <c r="H32" s="284">
        <f t="shared" si="0"/>
        <v>0.58032488714009012</v>
      </c>
    </row>
    <row r="33" spans="1:8" x14ac:dyDescent="0.2">
      <c r="A33" s="279">
        <v>0</v>
      </c>
      <c r="B33" s="280" t="s">
        <v>911</v>
      </c>
      <c r="C33" s="281" t="s">
        <v>140</v>
      </c>
      <c r="D33" s="282">
        <v>1039.4695000000002</v>
      </c>
      <c r="E33" s="283">
        <v>60.29</v>
      </c>
      <c r="F33" s="283">
        <v>62669.616155000011</v>
      </c>
      <c r="G33" s="284">
        <v>8.9905278091425671E-3</v>
      </c>
      <c r="H33" s="284">
        <f t="shared" si="0"/>
        <v>0.58931541494923267</v>
      </c>
    </row>
    <row r="34" spans="1:8" x14ac:dyDescent="0.2">
      <c r="A34" s="279">
        <v>0</v>
      </c>
      <c r="B34" s="280" t="s">
        <v>266</v>
      </c>
      <c r="C34" s="281" t="s">
        <v>140</v>
      </c>
      <c r="D34" s="282">
        <v>1624.8700000000001</v>
      </c>
      <c r="E34" s="283">
        <v>37.369143377624056</v>
      </c>
      <c r="F34" s="283">
        <v>60720.000000000007</v>
      </c>
      <c r="G34" s="284">
        <v>8.7108375966585914E-3</v>
      </c>
      <c r="H34" s="284">
        <f t="shared" si="0"/>
        <v>0.59802625254589126</v>
      </c>
    </row>
    <row r="35" spans="1:8" x14ac:dyDescent="0.2">
      <c r="A35" s="279">
        <v>0</v>
      </c>
      <c r="B35" s="280" t="s">
        <v>209</v>
      </c>
      <c r="C35" s="281" t="s">
        <v>142</v>
      </c>
      <c r="D35" s="282">
        <v>36765.179999999993</v>
      </c>
      <c r="E35" s="283">
        <v>1.6245000000000001</v>
      </c>
      <c r="F35" s="283">
        <v>59725.034909999988</v>
      </c>
      <c r="G35" s="284">
        <v>8.5681007831978715E-3</v>
      </c>
      <c r="H35" s="284">
        <f t="shared" si="0"/>
        <v>0.60659435332908918</v>
      </c>
    </row>
    <row r="36" spans="1:8" x14ac:dyDescent="0.2">
      <c r="A36" s="279">
        <v>0</v>
      </c>
      <c r="B36" s="280" t="s">
        <v>1192</v>
      </c>
      <c r="C36" s="281" t="s">
        <v>170</v>
      </c>
      <c r="D36" s="282">
        <v>1</v>
      </c>
      <c r="E36" s="283">
        <v>56000</v>
      </c>
      <c r="F36" s="283">
        <v>56000</v>
      </c>
      <c r="G36" s="284">
        <v>8.0337105634532453E-3</v>
      </c>
      <c r="H36" s="284">
        <f t="shared" si="0"/>
        <v>0.61462806389254243</v>
      </c>
    </row>
    <row r="37" spans="1:8" x14ac:dyDescent="0.2">
      <c r="A37" s="279">
        <v>0</v>
      </c>
      <c r="B37" s="280" t="s">
        <v>363</v>
      </c>
      <c r="C37" s="281" t="s">
        <v>140</v>
      </c>
      <c r="D37" s="282">
        <v>750.75</v>
      </c>
      <c r="E37" s="283">
        <v>73.511069535391343</v>
      </c>
      <c r="F37" s="283">
        <v>55188.435453695049</v>
      </c>
      <c r="G37" s="284">
        <v>7.9172842300858481E-3</v>
      </c>
      <c r="H37" s="284">
        <f t="shared" si="0"/>
        <v>0.62254534812262829</v>
      </c>
    </row>
    <row r="38" spans="1:8" x14ac:dyDescent="0.2">
      <c r="A38" s="279">
        <v>0</v>
      </c>
      <c r="B38" s="280" t="s">
        <v>833</v>
      </c>
      <c r="C38" s="281" t="s">
        <v>170</v>
      </c>
      <c r="D38" s="282">
        <v>1</v>
      </c>
      <c r="E38" s="283">
        <v>50600</v>
      </c>
      <c r="F38" s="283">
        <v>50600</v>
      </c>
      <c r="G38" s="284">
        <v>7.2590313305488261E-3</v>
      </c>
      <c r="H38" s="284">
        <f t="shared" si="0"/>
        <v>0.62980437945317713</v>
      </c>
    </row>
    <row r="39" spans="1:8" x14ac:dyDescent="0.2">
      <c r="A39" s="279">
        <v>0</v>
      </c>
      <c r="B39" s="280" t="s">
        <v>1201</v>
      </c>
      <c r="C39" s="281" t="s">
        <v>170</v>
      </c>
      <c r="D39" s="282">
        <v>1</v>
      </c>
      <c r="E39" s="283">
        <v>46260.671085225476</v>
      </c>
      <c r="F39" s="283">
        <v>46260.671085225476</v>
      </c>
      <c r="G39" s="284">
        <v>6.6365150351752151E-3</v>
      </c>
      <c r="H39" s="284">
        <f t="shared" si="0"/>
        <v>0.63644089448835239</v>
      </c>
    </row>
    <row r="40" spans="1:8" x14ac:dyDescent="0.2">
      <c r="A40" s="279">
        <v>0</v>
      </c>
      <c r="B40" s="280" t="s">
        <v>571</v>
      </c>
      <c r="C40" s="281" t="s">
        <v>260</v>
      </c>
      <c r="D40" s="282">
        <v>22</v>
      </c>
      <c r="E40" s="283">
        <v>2100</v>
      </c>
      <c r="F40" s="283">
        <v>46200</v>
      </c>
      <c r="G40" s="284">
        <v>6.6278112148489277E-3</v>
      </c>
      <c r="H40" s="284">
        <f t="shared" si="0"/>
        <v>0.64306870570320129</v>
      </c>
    </row>
    <row r="41" spans="1:8" x14ac:dyDescent="0.2">
      <c r="A41" s="279">
        <v>0</v>
      </c>
      <c r="B41" s="280" t="s">
        <v>1203</v>
      </c>
      <c r="C41" s="281" t="s">
        <v>170</v>
      </c>
      <c r="D41" s="282">
        <v>1</v>
      </c>
      <c r="E41" s="283">
        <v>43781.855390624762</v>
      </c>
      <c r="F41" s="283">
        <v>43781.855390624762</v>
      </c>
      <c r="G41" s="284">
        <v>6.2809063239150816E-3</v>
      </c>
      <c r="H41" s="284">
        <f t="shared" si="0"/>
        <v>0.64934961202711639</v>
      </c>
    </row>
    <row r="42" spans="1:8" x14ac:dyDescent="0.2">
      <c r="A42" s="279">
        <v>0</v>
      </c>
      <c r="B42" s="280" t="s">
        <v>1160</v>
      </c>
      <c r="C42" s="281" t="s">
        <v>170</v>
      </c>
      <c r="D42" s="282">
        <v>1</v>
      </c>
      <c r="E42" s="283">
        <v>41400</v>
      </c>
      <c r="F42" s="283">
        <v>41400</v>
      </c>
      <c r="G42" s="284">
        <v>5.9392074522672212E-3</v>
      </c>
      <c r="H42" s="284">
        <f t="shared" si="0"/>
        <v>0.65528881947938356</v>
      </c>
    </row>
    <row r="43" spans="1:8" x14ac:dyDescent="0.2">
      <c r="A43" s="279">
        <v>0</v>
      </c>
      <c r="B43" s="280" t="s">
        <v>222</v>
      </c>
      <c r="C43" s="281" t="s">
        <v>170</v>
      </c>
      <c r="D43" s="282">
        <v>1</v>
      </c>
      <c r="E43" s="283">
        <v>40816</v>
      </c>
      <c r="F43" s="283">
        <v>40816</v>
      </c>
      <c r="G43" s="284">
        <v>5.8554273278197799E-3</v>
      </c>
      <c r="H43" s="284">
        <f t="shared" si="0"/>
        <v>0.6611442468072033</v>
      </c>
    </row>
    <row r="44" spans="1:8" x14ac:dyDescent="0.2">
      <c r="A44" s="279">
        <v>0</v>
      </c>
      <c r="B44" s="280" t="s">
        <v>618</v>
      </c>
      <c r="C44" s="281" t="s">
        <v>159</v>
      </c>
      <c r="D44" s="282">
        <v>4274.4799999999996</v>
      </c>
      <c r="E44" s="283">
        <v>9.4989993646759849</v>
      </c>
      <c r="F44" s="283">
        <v>40603.282804320203</v>
      </c>
      <c r="G44" s="284">
        <v>5.8249111067133347E-3</v>
      </c>
      <c r="H44" s="284">
        <f t="shared" si="0"/>
        <v>0.66696915791391664</v>
      </c>
    </row>
    <row r="45" spans="1:8" x14ac:dyDescent="0.2">
      <c r="A45" s="279">
        <v>0</v>
      </c>
      <c r="B45" s="280" t="s">
        <v>812</v>
      </c>
      <c r="C45" s="281" t="s">
        <v>260</v>
      </c>
      <c r="D45" s="282">
        <v>13.2</v>
      </c>
      <c r="E45" s="283">
        <v>3000</v>
      </c>
      <c r="F45" s="283">
        <v>39600</v>
      </c>
      <c r="G45" s="284">
        <v>5.6809810412990812E-3</v>
      </c>
      <c r="H45" s="284">
        <f t="shared" si="0"/>
        <v>0.67265013895521575</v>
      </c>
    </row>
    <row r="46" spans="1:8" x14ac:dyDescent="0.2">
      <c r="A46" s="279">
        <v>0</v>
      </c>
      <c r="B46" s="280" t="s">
        <v>272</v>
      </c>
      <c r="C46" s="281" t="s">
        <v>140</v>
      </c>
      <c r="D46" s="282">
        <v>1775.17</v>
      </c>
      <c r="E46" s="283">
        <v>21.975617726721353</v>
      </c>
      <c r="F46" s="283">
        <v>39010.457319943947</v>
      </c>
      <c r="G46" s="284">
        <v>5.5964057688638515E-3</v>
      </c>
      <c r="H46" s="284">
        <f t="shared" si="0"/>
        <v>0.67824654472407964</v>
      </c>
    </row>
    <row r="47" spans="1:8" x14ac:dyDescent="0.2">
      <c r="A47" s="279">
        <v>0</v>
      </c>
      <c r="B47" s="280" t="s">
        <v>874</v>
      </c>
      <c r="C47" s="281" t="s">
        <v>140</v>
      </c>
      <c r="D47" s="282">
        <v>217.21999999999997</v>
      </c>
      <c r="E47" s="283">
        <v>170.47233219777189</v>
      </c>
      <c r="F47" s="283">
        <v>37030.000000000007</v>
      </c>
      <c r="G47" s="284">
        <v>5.3122911100834599E-3</v>
      </c>
      <c r="H47" s="284">
        <f t="shared" si="0"/>
        <v>0.6835588358341631</v>
      </c>
    </row>
    <row r="48" spans="1:8" x14ac:dyDescent="0.2">
      <c r="A48" s="279">
        <v>0</v>
      </c>
      <c r="B48" s="280" t="s">
        <v>1066</v>
      </c>
      <c r="C48" s="281" t="s">
        <v>140</v>
      </c>
      <c r="D48" s="282">
        <v>291.15699999999993</v>
      </c>
      <c r="E48" s="283">
        <v>125.5</v>
      </c>
      <c r="F48" s="283">
        <v>36540.203499999989</v>
      </c>
      <c r="G48" s="284">
        <v>5.2420253365835926E-3</v>
      </c>
      <c r="H48" s="284">
        <f t="shared" si="0"/>
        <v>0.68880086117074668</v>
      </c>
    </row>
    <row r="49" spans="1:8" x14ac:dyDescent="0.2">
      <c r="A49" s="279">
        <v>0</v>
      </c>
      <c r="B49" s="280" t="s">
        <v>395</v>
      </c>
      <c r="C49" s="281" t="s">
        <v>140</v>
      </c>
      <c r="D49" s="282">
        <v>489.35999999999996</v>
      </c>
      <c r="E49" s="283">
        <v>73.511069535391329</v>
      </c>
      <c r="F49" s="283">
        <v>35973.376987839096</v>
      </c>
      <c r="G49" s="284">
        <v>5.1607089055408723E-3</v>
      </c>
      <c r="H49" s="284">
        <f t="shared" si="0"/>
        <v>0.69396157007628756</v>
      </c>
    </row>
    <row r="50" spans="1:8" x14ac:dyDescent="0.2">
      <c r="A50" s="279">
        <v>0</v>
      </c>
      <c r="B50" s="280" t="s">
        <v>879</v>
      </c>
      <c r="C50" s="281" t="s">
        <v>5</v>
      </c>
      <c r="D50" s="282">
        <v>1</v>
      </c>
      <c r="E50" s="283">
        <v>35800</v>
      </c>
      <c r="F50" s="283">
        <v>35800</v>
      </c>
      <c r="G50" s="284">
        <v>5.1358363959218964E-3</v>
      </c>
      <c r="H50" s="284">
        <f t="shared" si="0"/>
        <v>0.69909740647220942</v>
      </c>
    </row>
    <row r="51" spans="1:8" x14ac:dyDescent="0.2">
      <c r="A51" s="279">
        <v>0</v>
      </c>
      <c r="B51" s="280" t="s">
        <v>398</v>
      </c>
      <c r="C51" s="281" t="s">
        <v>142</v>
      </c>
      <c r="D51" s="282">
        <v>40</v>
      </c>
      <c r="E51" s="283">
        <v>890</v>
      </c>
      <c r="F51" s="283">
        <v>35600</v>
      </c>
      <c r="G51" s="284">
        <v>5.1071445724809924E-3</v>
      </c>
      <c r="H51" s="284">
        <f t="shared" si="0"/>
        <v>0.70420455104469037</v>
      </c>
    </row>
    <row r="52" spans="1:8" x14ac:dyDescent="0.2">
      <c r="A52" s="279">
        <v>0</v>
      </c>
      <c r="B52" s="280" t="s">
        <v>328</v>
      </c>
      <c r="C52" s="281" t="s">
        <v>166</v>
      </c>
      <c r="D52" s="282">
        <v>82.879517142857139</v>
      </c>
      <c r="E52" s="283">
        <v>420</v>
      </c>
      <c r="F52" s="283">
        <v>34809.397199999999</v>
      </c>
      <c r="G52" s="284">
        <v>4.9937253927335688E-3</v>
      </c>
      <c r="H52" s="284">
        <f t="shared" si="0"/>
        <v>0.70919827643742395</v>
      </c>
    </row>
    <row r="53" spans="1:8" x14ac:dyDescent="0.2">
      <c r="A53" s="279">
        <v>0</v>
      </c>
      <c r="B53" s="280" t="s">
        <v>177</v>
      </c>
      <c r="C53" s="281" t="s">
        <v>159</v>
      </c>
      <c r="D53" s="282">
        <v>6416.5794880000003</v>
      </c>
      <c r="E53" s="283">
        <v>5.36</v>
      </c>
      <c r="F53" s="283">
        <v>34392.866055680002</v>
      </c>
      <c r="G53" s="284">
        <v>4.9339702024812325E-3</v>
      </c>
      <c r="H53" s="284">
        <f t="shared" si="0"/>
        <v>0.71413224663990515</v>
      </c>
    </row>
    <row r="54" spans="1:8" x14ac:dyDescent="0.2">
      <c r="A54" s="279">
        <v>0</v>
      </c>
      <c r="B54" s="280" t="s">
        <v>702</v>
      </c>
      <c r="C54" s="281" t="s">
        <v>592</v>
      </c>
      <c r="D54" s="282">
        <v>58.040000000000013</v>
      </c>
      <c r="E54" s="283">
        <v>568.53463128876638</v>
      </c>
      <c r="F54" s="283">
        <v>32997.750000000007</v>
      </c>
      <c r="G54" s="284">
        <v>4.7338280847355248E-3</v>
      </c>
      <c r="H54" s="284">
        <f t="shared" si="0"/>
        <v>0.7188660747246407</v>
      </c>
    </row>
    <row r="55" spans="1:8" x14ac:dyDescent="0.2">
      <c r="A55" s="279">
        <v>0</v>
      </c>
      <c r="B55" s="280" t="s">
        <v>322</v>
      </c>
      <c r="C55" s="281" t="s">
        <v>140</v>
      </c>
      <c r="D55" s="282">
        <v>484.89</v>
      </c>
      <c r="E55" s="283">
        <v>65.19</v>
      </c>
      <c r="F55" s="283">
        <v>31609.979099999997</v>
      </c>
      <c r="G55" s="284">
        <v>4.5347396965393985E-3</v>
      </c>
      <c r="H55" s="284">
        <f t="shared" si="0"/>
        <v>0.72340081442118009</v>
      </c>
    </row>
    <row r="56" spans="1:8" x14ac:dyDescent="0.2">
      <c r="A56" s="279">
        <v>0</v>
      </c>
      <c r="B56" s="280" t="s">
        <v>963</v>
      </c>
      <c r="C56" s="281" t="s">
        <v>170</v>
      </c>
      <c r="D56" s="282">
        <v>1</v>
      </c>
      <c r="E56" s="283">
        <v>30072.356023839933</v>
      </c>
      <c r="F56" s="283">
        <v>30072.356023839933</v>
      </c>
      <c r="G56" s="284">
        <v>4.3141536474401738E-3</v>
      </c>
      <c r="H56" s="284">
        <f t="shared" si="0"/>
        <v>0.72771496806862024</v>
      </c>
    </row>
    <row r="57" spans="1:8" x14ac:dyDescent="0.2">
      <c r="A57" s="279">
        <v>0</v>
      </c>
      <c r="B57" s="280" t="s">
        <v>309</v>
      </c>
      <c r="C57" s="281" t="s">
        <v>170</v>
      </c>
      <c r="D57" s="282">
        <v>12</v>
      </c>
      <c r="E57" s="283">
        <v>2500</v>
      </c>
      <c r="F57" s="283">
        <v>30000</v>
      </c>
      <c r="G57" s="284">
        <v>4.3037735161356675E-3</v>
      </c>
      <c r="H57" s="284">
        <f t="shared" si="0"/>
        <v>0.73201874158475588</v>
      </c>
    </row>
    <row r="58" spans="1:8" x14ac:dyDescent="0.2">
      <c r="A58" s="279">
        <v>0</v>
      </c>
      <c r="B58" s="280" t="s">
        <v>224</v>
      </c>
      <c r="C58" s="281" t="s">
        <v>170</v>
      </c>
      <c r="D58" s="282">
        <v>1</v>
      </c>
      <c r="E58" s="283">
        <v>29900</v>
      </c>
      <c r="F58" s="283">
        <v>29900</v>
      </c>
      <c r="G58" s="284">
        <v>4.2894276044152151E-3</v>
      </c>
      <c r="H58" s="284">
        <f t="shared" si="0"/>
        <v>0.73630816918917108</v>
      </c>
    </row>
    <row r="59" spans="1:8" x14ac:dyDescent="0.2">
      <c r="A59" s="279">
        <v>0</v>
      </c>
      <c r="B59" s="280" t="s">
        <v>683</v>
      </c>
      <c r="C59" s="281" t="s">
        <v>142</v>
      </c>
      <c r="D59" s="282">
        <v>19</v>
      </c>
      <c r="E59" s="283">
        <v>1569.69</v>
      </c>
      <c r="F59" s="283">
        <v>29824.11</v>
      </c>
      <c r="G59" s="284">
        <v>4.2785404920105642E-3</v>
      </c>
      <c r="H59" s="284">
        <f t="shared" si="0"/>
        <v>0.74058670968118168</v>
      </c>
    </row>
    <row r="60" spans="1:8" x14ac:dyDescent="0.2">
      <c r="A60" s="279">
        <v>0</v>
      </c>
      <c r="B60" s="280" t="s">
        <v>276</v>
      </c>
      <c r="C60" s="281" t="s">
        <v>170</v>
      </c>
      <c r="D60" s="282">
        <v>1</v>
      </c>
      <c r="E60" s="283">
        <v>29148.45</v>
      </c>
      <c r="F60" s="283">
        <v>29148.45</v>
      </c>
      <c r="G60" s="284">
        <v>4.1816109048801566E-3</v>
      </c>
      <c r="H60" s="284">
        <f t="shared" si="0"/>
        <v>0.74476832058606179</v>
      </c>
    </row>
    <row r="61" spans="1:8" x14ac:dyDescent="0.2">
      <c r="A61" s="279">
        <v>0</v>
      </c>
      <c r="B61" s="280" t="s">
        <v>539</v>
      </c>
      <c r="C61" s="281" t="s">
        <v>159</v>
      </c>
      <c r="D61" s="282">
        <v>2554.9760000000006</v>
      </c>
      <c r="E61" s="283">
        <v>11.33</v>
      </c>
      <c r="F61" s="283">
        <v>28947.878080000006</v>
      </c>
      <c r="G61" s="284">
        <v>4.1528370343009409E-3</v>
      </c>
      <c r="H61" s="284">
        <f t="shared" si="0"/>
        <v>0.74892115762036271</v>
      </c>
    </row>
    <row r="62" spans="1:8" x14ac:dyDescent="0.2">
      <c r="A62" s="279">
        <v>0</v>
      </c>
      <c r="B62" s="280" t="s">
        <v>815</v>
      </c>
      <c r="C62" s="281" t="s">
        <v>170</v>
      </c>
      <c r="D62" s="282">
        <v>1</v>
      </c>
      <c r="E62" s="283">
        <v>27000</v>
      </c>
      <c r="F62" s="283">
        <v>27000</v>
      </c>
      <c r="G62" s="284">
        <v>3.8733961645221007E-3</v>
      </c>
      <c r="H62" s="284">
        <f t="shared" si="0"/>
        <v>0.7527945537848848</v>
      </c>
    </row>
    <row r="63" spans="1:8" x14ac:dyDescent="0.2">
      <c r="A63" s="279">
        <v>0</v>
      </c>
      <c r="B63" s="280" t="s">
        <v>315</v>
      </c>
      <c r="C63" s="281" t="s">
        <v>170</v>
      </c>
      <c r="D63" s="282">
        <v>1</v>
      </c>
      <c r="E63" s="283">
        <v>26970</v>
      </c>
      <c r="F63" s="283">
        <v>26970</v>
      </c>
      <c r="G63" s="284">
        <v>3.8690923910059652E-3</v>
      </c>
      <c r="H63" s="284">
        <f t="shared" si="0"/>
        <v>0.75666364617589077</v>
      </c>
    </row>
    <row r="64" spans="1:8" x14ac:dyDescent="0.2">
      <c r="A64" s="279">
        <v>0</v>
      </c>
      <c r="B64" s="280" t="s">
        <v>302</v>
      </c>
      <c r="C64" s="281" t="s">
        <v>140</v>
      </c>
      <c r="D64" s="282">
        <v>798.43</v>
      </c>
      <c r="E64" s="283">
        <v>33.74</v>
      </c>
      <c r="F64" s="283">
        <v>26939.028200000001</v>
      </c>
      <c r="G64" s="284">
        <v>3.86464920391973E-3</v>
      </c>
      <c r="H64" s="284">
        <f t="shared" si="0"/>
        <v>0.76052829537981048</v>
      </c>
    </row>
    <row r="65" spans="1:8" x14ac:dyDescent="0.2">
      <c r="A65" s="279">
        <v>0</v>
      </c>
      <c r="B65" s="280" t="s">
        <v>807</v>
      </c>
      <c r="C65" s="281" t="s">
        <v>158</v>
      </c>
      <c r="D65" s="282">
        <v>3836.3983350236517</v>
      </c>
      <c r="E65" s="283">
        <v>7</v>
      </c>
      <c r="F65" s="283">
        <v>26854.788345165562</v>
      </c>
      <c r="G65" s="284">
        <v>3.8525642287117442E-3</v>
      </c>
      <c r="H65" s="284">
        <f t="shared" si="0"/>
        <v>0.7643808596085222</v>
      </c>
    </row>
    <row r="66" spans="1:8" x14ac:dyDescent="0.2">
      <c r="A66" s="279">
        <v>0</v>
      </c>
      <c r="B66" s="280" t="s">
        <v>796</v>
      </c>
      <c r="C66" s="281" t="s">
        <v>159</v>
      </c>
      <c r="D66" s="282">
        <v>3409.92</v>
      </c>
      <c r="E66" s="283">
        <v>7.54</v>
      </c>
      <c r="F66" s="283">
        <v>25710.7968</v>
      </c>
      <c r="G66" s="284">
        <v>3.6884482115528555E-3</v>
      </c>
      <c r="H66" s="284">
        <f t="shared" si="0"/>
        <v>0.7680693078200751</v>
      </c>
    </row>
    <row r="67" spans="1:8" x14ac:dyDescent="0.2">
      <c r="A67" s="279">
        <v>0</v>
      </c>
      <c r="B67" s="280" t="s">
        <v>178</v>
      </c>
      <c r="C67" s="281" t="s">
        <v>159</v>
      </c>
      <c r="D67" s="282">
        <v>4898.9424950000002</v>
      </c>
      <c r="E67" s="283">
        <v>5.2</v>
      </c>
      <c r="F67" s="283">
        <v>25474.500974000002</v>
      </c>
      <c r="G67" s="284">
        <v>3.6545494209557824E-3</v>
      </c>
      <c r="H67" s="284">
        <f t="shared" si="0"/>
        <v>0.77172385724103088</v>
      </c>
    </row>
    <row r="68" spans="1:8" x14ac:dyDescent="0.2">
      <c r="A68" s="279">
        <v>0</v>
      </c>
      <c r="B68" s="280" t="s">
        <v>281</v>
      </c>
      <c r="C68" s="281" t="s">
        <v>158</v>
      </c>
      <c r="D68" s="282">
        <v>615.36200000000008</v>
      </c>
      <c r="E68" s="283">
        <v>40.700000000000003</v>
      </c>
      <c r="F68" s="283">
        <v>25045.233400000005</v>
      </c>
      <c r="G68" s="284">
        <v>3.592967073745216E-3</v>
      </c>
      <c r="H68" s="284">
        <f t="shared" si="0"/>
        <v>0.77531682431477611</v>
      </c>
    </row>
    <row r="69" spans="1:8" x14ac:dyDescent="0.2">
      <c r="A69" s="279">
        <v>0</v>
      </c>
      <c r="B69" s="280" t="s">
        <v>286</v>
      </c>
      <c r="C69" s="281" t="s">
        <v>140</v>
      </c>
      <c r="D69" s="282">
        <v>38.093999999999994</v>
      </c>
      <c r="E69" s="283">
        <v>638</v>
      </c>
      <c r="F69" s="283">
        <v>24303.971999999998</v>
      </c>
      <c r="G69" s="284">
        <v>3.4866263676834267E-3</v>
      </c>
      <c r="H69" s="284">
        <f t="shared" si="0"/>
        <v>0.77880345068245949</v>
      </c>
    </row>
    <row r="70" spans="1:8" x14ac:dyDescent="0.2">
      <c r="A70" s="279">
        <v>0</v>
      </c>
      <c r="B70" s="280" t="s">
        <v>987</v>
      </c>
      <c r="C70" s="281" t="s">
        <v>170</v>
      </c>
      <c r="D70" s="282">
        <v>1</v>
      </c>
      <c r="E70" s="283">
        <v>24258.952557144221</v>
      </c>
      <c r="F70" s="283">
        <v>24258.952557144221</v>
      </c>
      <c r="G70" s="284">
        <v>3.4801679181542975E-3</v>
      </c>
      <c r="H70" s="284">
        <f t="shared" si="0"/>
        <v>0.78228361860061379</v>
      </c>
    </row>
    <row r="71" spans="1:8" x14ac:dyDescent="0.2">
      <c r="A71" s="279">
        <v>0</v>
      </c>
      <c r="B71" s="280" t="s">
        <v>757</v>
      </c>
      <c r="C71" s="281" t="s">
        <v>140</v>
      </c>
      <c r="D71" s="282">
        <v>65.67</v>
      </c>
      <c r="E71" s="283">
        <v>367.74783005938787</v>
      </c>
      <c r="F71" s="283">
        <v>24150</v>
      </c>
      <c r="G71" s="284">
        <v>3.4645376804892125E-3</v>
      </c>
      <c r="H71" s="284">
        <f t="shared" si="0"/>
        <v>0.78574815628110306</v>
      </c>
    </row>
    <row r="72" spans="1:8" x14ac:dyDescent="0.2">
      <c r="A72" s="279">
        <v>0</v>
      </c>
      <c r="B72" s="280" t="s">
        <v>1141</v>
      </c>
      <c r="C72" s="281" t="s">
        <v>142</v>
      </c>
      <c r="D72" s="282">
        <v>2859.6339880000005</v>
      </c>
      <c r="E72" s="283">
        <v>8.3800000000000008</v>
      </c>
      <c r="F72" s="283">
        <v>23963.732819440007</v>
      </c>
      <c r="G72" s="284">
        <v>3.4378159552019005E-3</v>
      </c>
      <c r="H72" s="284">
        <f t="shared" ref="H72:H135" si="1">G72+H71</f>
        <v>0.78918597223630493</v>
      </c>
    </row>
    <row r="73" spans="1:8" x14ac:dyDescent="0.2">
      <c r="A73" s="279">
        <v>0</v>
      </c>
      <c r="B73" s="280" t="s">
        <v>163</v>
      </c>
      <c r="C73" s="281" t="s">
        <v>159</v>
      </c>
      <c r="D73" s="282">
        <v>4241.8664200000003</v>
      </c>
      <c r="E73" s="283">
        <v>5.62</v>
      </c>
      <c r="F73" s="283">
        <v>23839.2892804</v>
      </c>
      <c r="G73" s="284">
        <v>3.4199633949494146E-3</v>
      </c>
      <c r="H73" s="284">
        <f t="shared" si="1"/>
        <v>0.79260593563125437</v>
      </c>
    </row>
    <row r="74" spans="1:8" x14ac:dyDescent="0.2">
      <c r="A74" s="279">
        <v>0</v>
      </c>
      <c r="B74" s="280" t="s">
        <v>1146</v>
      </c>
      <c r="C74" s="281" t="s">
        <v>140</v>
      </c>
      <c r="D74" s="282">
        <v>1029.46</v>
      </c>
      <c r="E74" s="283">
        <v>23</v>
      </c>
      <c r="F74" s="283">
        <v>23677.58</v>
      </c>
      <c r="G74" s="284">
        <v>3.3967647243394522E-3</v>
      </c>
      <c r="H74" s="284">
        <f t="shared" si="1"/>
        <v>0.79600270035559384</v>
      </c>
    </row>
    <row r="75" spans="1:8" x14ac:dyDescent="0.2">
      <c r="A75" s="279">
        <v>0</v>
      </c>
      <c r="B75" s="280" t="s">
        <v>164</v>
      </c>
      <c r="C75" s="281" t="s">
        <v>159</v>
      </c>
      <c r="D75" s="282">
        <v>4492.7080000000005</v>
      </c>
      <c r="E75" s="283">
        <v>5.2</v>
      </c>
      <c r="F75" s="283">
        <v>23362.081600000005</v>
      </c>
      <c r="G75" s="284">
        <v>3.3515036023960133E-3</v>
      </c>
      <c r="H75" s="284">
        <f t="shared" si="1"/>
        <v>0.79935420395798984</v>
      </c>
    </row>
    <row r="76" spans="1:8" x14ac:dyDescent="0.2">
      <c r="A76" s="279">
        <v>0</v>
      </c>
      <c r="B76" s="280" t="s">
        <v>308</v>
      </c>
      <c r="C76" s="281" t="s">
        <v>140</v>
      </c>
      <c r="D76" s="282">
        <v>1278.1400000000001</v>
      </c>
      <c r="E76" s="283">
        <v>18</v>
      </c>
      <c r="F76" s="283">
        <v>23006.52</v>
      </c>
      <c r="G76" s="284">
        <v>3.3004950491481852E-3</v>
      </c>
      <c r="H76" s="284">
        <f t="shared" si="1"/>
        <v>0.80265469900713804</v>
      </c>
    </row>
    <row r="77" spans="1:8" x14ac:dyDescent="0.2">
      <c r="A77" s="279">
        <v>0</v>
      </c>
      <c r="B77" s="280" t="s">
        <v>1169</v>
      </c>
      <c r="C77" s="281" t="s">
        <v>170</v>
      </c>
      <c r="D77" s="282">
        <v>1</v>
      </c>
      <c r="E77" s="283">
        <v>23000</v>
      </c>
      <c r="F77" s="283">
        <v>23000</v>
      </c>
      <c r="G77" s="284">
        <v>3.2995596957040118E-3</v>
      </c>
      <c r="H77" s="284">
        <f t="shared" si="1"/>
        <v>0.8059542587028421</v>
      </c>
    </row>
    <row r="78" spans="1:8" x14ac:dyDescent="0.2">
      <c r="A78" s="279">
        <v>0</v>
      </c>
      <c r="B78" s="280" t="s">
        <v>1206</v>
      </c>
      <c r="C78" s="281" t="s">
        <v>170</v>
      </c>
      <c r="D78" s="282">
        <v>1</v>
      </c>
      <c r="E78" s="283">
        <v>22633.375214528114</v>
      </c>
      <c r="F78" s="283">
        <v>22633.375214528114</v>
      </c>
      <c r="G78" s="284">
        <v>3.2469640276349175E-3</v>
      </c>
      <c r="H78" s="284">
        <f t="shared" si="1"/>
        <v>0.80920122273047701</v>
      </c>
    </row>
    <row r="79" spans="1:8" x14ac:dyDescent="0.2">
      <c r="A79" s="279">
        <v>0</v>
      </c>
      <c r="B79" s="280" t="s">
        <v>806</v>
      </c>
      <c r="C79" s="281" t="s">
        <v>158</v>
      </c>
      <c r="D79" s="282">
        <v>10829.115063516287</v>
      </c>
      <c r="E79" s="283">
        <v>2</v>
      </c>
      <c r="F79" s="283">
        <v>21658.230127032573</v>
      </c>
      <c r="G79" s="284">
        <v>3.1070705742364808E-3</v>
      </c>
      <c r="H79" s="284">
        <f t="shared" si="1"/>
        <v>0.81230829330471344</v>
      </c>
    </row>
    <row r="80" spans="1:8" x14ac:dyDescent="0.2">
      <c r="A80" s="279">
        <v>0</v>
      </c>
      <c r="B80" s="280" t="s">
        <v>909</v>
      </c>
      <c r="C80" s="281" t="s">
        <v>170</v>
      </c>
      <c r="D80" s="282">
        <v>22</v>
      </c>
      <c r="E80" s="283">
        <v>981.81818181818187</v>
      </c>
      <c r="F80" s="283">
        <v>21600</v>
      </c>
      <c r="G80" s="284">
        <v>3.0987169316176806E-3</v>
      </c>
      <c r="H80" s="284">
        <f t="shared" si="1"/>
        <v>0.81540701023633111</v>
      </c>
    </row>
    <row r="81" spans="1:8" x14ac:dyDescent="0.2">
      <c r="A81" s="279">
        <v>0</v>
      </c>
      <c r="B81" s="280" t="s">
        <v>230</v>
      </c>
      <c r="C81" s="281" t="s">
        <v>170</v>
      </c>
      <c r="D81" s="282">
        <v>1</v>
      </c>
      <c r="E81" s="283">
        <v>21000</v>
      </c>
      <c r="F81" s="283">
        <v>21000</v>
      </c>
      <c r="G81" s="284">
        <v>3.012641461294967E-3</v>
      </c>
      <c r="H81" s="284">
        <f t="shared" si="1"/>
        <v>0.81841965169762609</v>
      </c>
    </row>
    <row r="82" spans="1:8" x14ac:dyDescent="0.2">
      <c r="A82" s="279">
        <v>0</v>
      </c>
      <c r="B82" s="280" t="s">
        <v>910</v>
      </c>
      <c r="C82" s="281" t="s">
        <v>140</v>
      </c>
      <c r="D82" s="282">
        <v>340.48310450000002</v>
      </c>
      <c r="E82" s="283">
        <v>60.29</v>
      </c>
      <c r="F82" s="283">
        <v>20527.726370305001</v>
      </c>
      <c r="G82" s="284">
        <v>2.9448895032999473E-3</v>
      </c>
      <c r="H82" s="284">
        <f t="shared" si="1"/>
        <v>0.82136454120092606</v>
      </c>
    </row>
    <row r="83" spans="1:8" x14ac:dyDescent="0.2">
      <c r="A83" s="279">
        <v>0</v>
      </c>
      <c r="B83" s="280" t="s">
        <v>881</v>
      </c>
      <c r="C83" s="281" t="s">
        <v>681</v>
      </c>
      <c r="D83" s="282">
        <v>1</v>
      </c>
      <c r="E83" s="283">
        <v>20392</v>
      </c>
      <c r="F83" s="283">
        <v>20392</v>
      </c>
      <c r="G83" s="284">
        <v>2.9254183180346177E-3</v>
      </c>
      <c r="H83" s="284">
        <f t="shared" si="1"/>
        <v>0.82428995951896067</v>
      </c>
    </row>
    <row r="84" spans="1:8" x14ac:dyDescent="0.2">
      <c r="A84" s="279">
        <v>0</v>
      </c>
      <c r="B84" s="280" t="s">
        <v>964</v>
      </c>
      <c r="C84" s="281" t="s">
        <v>170</v>
      </c>
      <c r="D84" s="282">
        <v>1</v>
      </c>
      <c r="E84" s="283">
        <v>20353.962884251054</v>
      </c>
      <c r="F84" s="283">
        <v>20353.962884251054</v>
      </c>
      <c r="G84" s="284">
        <v>2.9199615469882676E-3</v>
      </c>
      <c r="H84" s="284">
        <f t="shared" si="1"/>
        <v>0.82720992106594893</v>
      </c>
    </row>
    <row r="85" spans="1:8" x14ac:dyDescent="0.2">
      <c r="A85" s="279">
        <v>0</v>
      </c>
      <c r="B85" s="280" t="s">
        <v>326</v>
      </c>
      <c r="C85" s="281" t="s">
        <v>140</v>
      </c>
      <c r="D85" s="282">
        <v>533.37900000000002</v>
      </c>
      <c r="E85" s="283">
        <v>37.72</v>
      </c>
      <c r="F85" s="283">
        <v>20119.05588</v>
      </c>
      <c r="G85" s="284">
        <v>2.8862619955332524E-3</v>
      </c>
      <c r="H85" s="284">
        <f t="shared" si="1"/>
        <v>0.83009618306148214</v>
      </c>
    </row>
    <row r="86" spans="1:8" x14ac:dyDescent="0.2">
      <c r="A86" s="279">
        <v>0</v>
      </c>
      <c r="B86" s="280" t="s">
        <v>696</v>
      </c>
      <c r="C86" s="281" t="s">
        <v>142</v>
      </c>
      <c r="D86" s="282">
        <v>42</v>
      </c>
      <c r="E86" s="283">
        <v>473.50549999999998</v>
      </c>
      <c r="F86" s="283">
        <v>19887.231</v>
      </c>
      <c r="G86" s="284">
        <v>2.8530046029024082E-3</v>
      </c>
      <c r="H86" s="284">
        <f t="shared" si="1"/>
        <v>0.83294918766438453</v>
      </c>
    </row>
    <row r="87" spans="1:8" x14ac:dyDescent="0.2">
      <c r="A87" s="279">
        <v>0</v>
      </c>
      <c r="B87" s="280" t="s">
        <v>160</v>
      </c>
      <c r="C87" s="281" t="s">
        <v>159</v>
      </c>
      <c r="D87" s="282">
        <v>3534.6113000000005</v>
      </c>
      <c r="E87" s="283">
        <v>5.62</v>
      </c>
      <c r="F87" s="283">
        <v>19864.515506000003</v>
      </c>
      <c r="G87" s="284">
        <v>2.849745858186304E-3</v>
      </c>
      <c r="H87" s="284">
        <f t="shared" si="1"/>
        <v>0.83579893352257084</v>
      </c>
    </row>
    <row r="88" spans="1:8" x14ac:dyDescent="0.2">
      <c r="A88" s="279">
        <v>0</v>
      </c>
      <c r="B88" s="280" t="s">
        <v>1147</v>
      </c>
      <c r="C88" s="281" t="s">
        <v>158</v>
      </c>
      <c r="D88" s="282">
        <v>1235.3519999999999</v>
      </c>
      <c r="E88" s="283">
        <v>16</v>
      </c>
      <c r="F88" s="283">
        <v>19765.631999999998</v>
      </c>
      <c r="G88" s="284">
        <v>2.835560117709455E-3</v>
      </c>
      <c r="H88" s="284">
        <f t="shared" si="1"/>
        <v>0.83863449364028031</v>
      </c>
    </row>
    <row r="89" spans="1:8" x14ac:dyDescent="0.2">
      <c r="A89" s="279">
        <v>0</v>
      </c>
      <c r="B89" s="280" t="s">
        <v>284</v>
      </c>
      <c r="C89" s="281" t="s">
        <v>170</v>
      </c>
      <c r="D89" s="282">
        <v>1</v>
      </c>
      <c r="E89" s="283">
        <v>19432.3</v>
      </c>
      <c r="F89" s="283">
        <v>19432.3</v>
      </c>
      <c r="G89" s="284">
        <v>2.7877406032534376E-3</v>
      </c>
      <c r="H89" s="284">
        <f t="shared" si="1"/>
        <v>0.8414222342435338</v>
      </c>
    </row>
    <row r="90" spans="1:8" x14ac:dyDescent="0.2">
      <c r="A90" s="279">
        <v>0</v>
      </c>
      <c r="B90" s="280" t="s">
        <v>206</v>
      </c>
      <c r="C90" s="281" t="s">
        <v>166</v>
      </c>
      <c r="D90" s="282">
        <v>44.726137139999992</v>
      </c>
      <c r="E90" s="283">
        <v>425</v>
      </c>
      <c r="F90" s="283">
        <v>19008.608284499998</v>
      </c>
      <c r="G90" s="284">
        <v>2.7269581637809378E-3</v>
      </c>
      <c r="H90" s="284">
        <f t="shared" si="1"/>
        <v>0.84414919240731479</v>
      </c>
    </row>
    <row r="91" spans="1:8" x14ac:dyDescent="0.2">
      <c r="A91" s="279">
        <v>0</v>
      </c>
      <c r="B91" s="280" t="s">
        <v>1008</v>
      </c>
      <c r="C91" s="281" t="s">
        <v>142</v>
      </c>
      <c r="D91" s="282">
        <v>1</v>
      </c>
      <c r="E91" s="283">
        <v>18900.901252411702</v>
      </c>
      <c r="F91" s="283">
        <v>18900.901252411702</v>
      </c>
      <c r="G91" s="284">
        <v>2.7115066080408319E-3</v>
      </c>
      <c r="H91" s="284">
        <f t="shared" si="1"/>
        <v>0.84686069901535566</v>
      </c>
    </row>
    <row r="92" spans="1:8" x14ac:dyDescent="0.2">
      <c r="A92" s="279">
        <v>0</v>
      </c>
      <c r="B92" s="280" t="s">
        <v>174</v>
      </c>
      <c r="C92" s="281" t="s">
        <v>166</v>
      </c>
      <c r="D92" s="282">
        <v>13.32398371475</v>
      </c>
      <c r="E92" s="283">
        <v>1410</v>
      </c>
      <c r="F92" s="283">
        <v>18786.8170377975</v>
      </c>
      <c r="G92" s="284">
        <v>2.6951401873253071E-3</v>
      </c>
      <c r="H92" s="284">
        <f t="shared" si="1"/>
        <v>0.84955583920268096</v>
      </c>
    </row>
    <row r="93" spans="1:8" x14ac:dyDescent="0.2">
      <c r="A93" s="279">
        <v>0</v>
      </c>
      <c r="B93" s="280" t="s">
        <v>167</v>
      </c>
      <c r="C93" s="281" t="s">
        <v>166</v>
      </c>
      <c r="D93" s="282">
        <v>521.01741398700005</v>
      </c>
      <c r="E93" s="283">
        <v>35</v>
      </c>
      <c r="F93" s="283">
        <v>18235.609489545001</v>
      </c>
      <c r="G93" s="284">
        <v>2.6160644390565342E-3</v>
      </c>
      <c r="H93" s="284">
        <f t="shared" si="1"/>
        <v>0.85217190364173745</v>
      </c>
    </row>
    <row r="94" spans="1:8" x14ac:dyDescent="0.2">
      <c r="A94" s="279">
        <v>0</v>
      </c>
      <c r="B94" s="280" t="s">
        <v>165</v>
      </c>
      <c r="C94" s="281" t="s">
        <v>159</v>
      </c>
      <c r="D94" s="282">
        <v>3405.0174400000005</v>
      </c>
      <c r="E94" s="283">
        <v>5.2</v>
      </c>
      <c r="F94" s="283">
        <v>17706.090688000004</v>
      </c>
      <c r="G94" s="284">
        <v>2.5401001392436925E-3</v>
      </c>
      <c r="H94" s="284">
        <f t="shared" si="1"/>
        <v>0.85471200378098111</v>
      </c>
    </row>
    <row r="95" spans="1:8" x14ac:dyDescent="0.2">
      <c r="A95" s="279">
        <v>0</v>
      </c>
      <c r="B95" s="280" t="s">
        <v>1158</v>
      </c>
      <c r="C95" s="281" t="s">
        <v>140</v>
      </c>
      <c r="D95" s="282">
        <v>1703.3500000000001</v>
      </c>
      <c r="E95" s="283">
        <v>10.15</v>
      </c>
      <c r="F95" s="283">
        <v>17289.002500000002</v>
      </c>
      <c r="G95" s="284">
        <v>2.4802650359967786E-3</v>
      </c>
      <c r="H95" s="284">
        <f t="shared" si="1"/>
        <v>0.85719226881697785</v>
      </c>
    </row>
    <row r="96" spans="1:8" x14ac:dyDescent="0.2">
      <c r="A96" s="279">
        <v>0</v>
      </c>
      <c r="B96" s="280" t="s">
        <v>320</v>
      </c>
      <c r="C96" s="281" t="s">
        <v>142</v>
      </c>
      <c r="D96" s="282">
        <v>2</v>
      </c>
      <c r="E96" s="283">
        <v>8500</v>
      </c>
      <c r="F96" s="283">
        <v>17000</v>
      </c>
      <c r="G96" s="284">
        <v>2.4388049924768782E-3</v>
      </c>
      <c r="H96" s="284">
        <f t="shared" si="1"/>
        <v>0.85963107380945469</v>
      </c>
    </row>
    <row r="97" spans="1:8" x14ac:dyDescent="0.2">
      <c r="A97" s="279">
        <v>0</v>
      </c>
      <c r="B97" s="280" t="s">
        <v>777</v>
      </c>
      <c r="C97" s="281" t="s">
        <v>140</v>
      </c>
      <c r="D97" s="282">
        <v>311.82</v>
      </c>
      <c r="E97" s="283">
        <v>50.894746969405425</v>
      </c>
      <c r="F97" s="283">
        <v>15870</v>
      </c>
      <c r="G97" s="284">
        <v>2.2766961900357679E-3</v>
      </c>
      <c r="H97" s="284">
        <f t="shared" si="1"/>
        <v>0.86190776999949048</v>
      </c>
    </row>
    <row r="98" spans="1:8" x14ac:dyDescent="0.2">
      <c r="A98" s="279">
        <v>0</v>
      </c>
      <c r="B98" s="280" t="s">
        <v>1051</v>
      </c>
      <c r="C98" s="281" t="s">
        <v>140</v>
      </c>
      <c r="D98" s="282">
        <v>313.44</v>
      </c>
      <c r="E98" s="283">
        <v>50.631699846860634</v>
      </c>
      <c r="F98" s="283">
        <v>15869.999999999996</v>
      </c>
      <c r="G98" s="284">
        <v>2.2766961900357674E-3</v>
      </c>
      <c r="H98" s="284">
        <f t="shared" si="1"/>
        <v>0.86418446618952627</v>
      </c>
    </row>
    <row r="99" spans="1:8" x14ac:dyDescent="0.2">
      <c r="A99" s="279">
        <v>0</v>
      </c>
      <c r="B99" s="280" t="s">
        <v>955</v>
      </c>
      <c r="C99" s="281" t="s">
        <v>170</v>
      </c>
      <c r="D99" s="282">
        <v>1</v>
      </c>
      <c r="E99" s="283">
        <v>15728.259120650528</v>
      </c>
      <c r="F99" s="283">
        <v>15728.259120650528</v>
      </c>
      <c r="G99" s="284">
        <v>2.2563621686124999E-3</v>
      </c>
      <c r="H99" s="284">
        <f t="shared" si="1"/>
        <v>0.86644082835813874</v>
      </c>
    </row>
    <row r="100" spans="1:8" x14ac:dyDescent="0.2">
      <c r="A100" s="279">
        <v>0</v>
      </c>
      <c r="B100" s="280" t="s">
        <v>966</v>
      </c>
      <c r="C100" s="281" t="s">
        <v>170</v>
      </c>
      <c r="D100" s="282">
        <v>1</v>
      </c>
      <c r="E100" s="283">
        <v>14580.181767983799</v>
      </c>
      <c r="F100" s="283">
        <v>14580.181767983799</v>
      </c>
      <c r="G100" s="284">
        <v>2.0916600051164263E-3</v>
      </c>
      <c r="H100" s="284">
        <f t="shared" si="1"/>
        <v>0.86853248836325514</v>
      </c>
    </row>
    <row r="101" spans="1:8" x14ac:dyDescent="0.2">
      <c r="A101" s="279">
        <v>0</v>
      </c>
      <c r="B101" s="280" t="s">
        <v>1023</v>
      </c>
      <c r="C101" s="281" t="s">
        <v>170</v>
      </c>
      <c r="D101" s="282">
        <v>1</v>
      </c>
      <c r="E101" s="283">
        <v>14175.675939308778</v>
      </c>
      <c r="F101" s="283">
        <v>14175.675939308778</v>
      </c>
      <c r="G101" s="284">
        <v>2.0336299560306239E-3</v>
      </c>
      <c r="H101" s="284">
        <f t="shared" si="1"/>
        <v>0.87056611831928576</v>
      </c>
    </row>
    <row r="102" spans="1:8" x14ac:dyDescent="0.2">
      <c r="A102" s="279">
        <v>0</v>
      </c>
      <c r="B102" s="280" t="s">
        <v>1018</v>
      </c>
      <c r="C102" s="281" t="s">
        <v>142</v>
      </c>
      <c r="D102" s="282">
        <v>1</v>
      </c>
      <c r="E102" s="283">
        <v>14175.675939308778</v>
      </c>
      <c r="F102" s="283">
        <v>14175.675939308778</v>
      </c>
      <c r="G102" s="284">
        <v>2.0336299560306239E-3</v>
      </c>
      <c r="H102" s="284">
        <f t="shared" si="1"/>
        <v>0.87259974827531639</v>
      </c>
    </row>
    <row r="103" spans="1:8" x14ac:dyDescent="0.2">
      <c r="A103" s="279">
        <v>0</v>
      </c>
      <c r="B103" s="280" t="s">
        <v>300</v>
      </c>
      <c r="C103" s="281" t="s">
        <v>158</v>
      </c>
      <c r="D103" s="282">
        <v>638.30000000000007</v>
      </c>
      <c r="E103" s="283">
        <v>22</v>
      </c>
      <c r="F103" s="283">
        <v>14042.600000000002</v>
      </c>
      <c r="G103" s="284">
        <v>2.0145389992562244E-3</v>
      </c>
      <c r="H103" s="284">
        <f t="shared" si="1"/>
        <v>0.87461428727457258</v>
      </c>
    </row>
    <row r="104" spans="1:8" x14ac:dyDescent="0.2">
      <c r="A104" s="279">
        <v>0</v>
      </c>
      <c r="B104" s="280" t="s">
        <v>862</v>
      </c>
      <c r="C104" s="281" t="s">
        <v>142</v>
      </c>
      <c r="D104" s="282">
        <v>46.199999999999989</v>
      </c>
      <c r="E104" s="283">
        <v>300</v>
      </c>
      <c r="F104" s="283">
        <v>13859.999999999996</v>
      </c>
      <c r="G104" s="284">
        <v>1.9883433644546779E-3</v>
      </c>
      <c r="H104" s="284">
        <f t="shared" si="1"/>
        <v>0.87660263063902721</v>
      </c>
    </row>
    <row r="105" spans="1:8" x14ac:dyDescent="0.2">
      <c r="A105" s="279">
        <v>0</v>
      </c>
      <c r="B105" s="280" t="s">
        <v>1202</v>
      </c>
      <c r="C105" s="281" t="s">
        <v>170</v>
      </c>
      <c r="D105" s="282">
        <v>1</v>
      </c>
      <c r="E105" s="283">
        <v>13855.798914774519</v>
      </c>
      <c r="F105" s="283">
        <v>13855.798914774519</v>
      </c>
      <c r="G105" s="284">
        <v>1.98774068047693E-3</v>
      </c>
      <c r="H105" s="284">
        <f t="shared" si="1"/>
        <v>0.87859037131950413</v>
      </c>
    </row>
    <row r="106" spans="1:8" x14ac:dyDescent="0.2">
      <c r="A106" s="279">
        <v>0</v>
      </c>
      <c r="B106" s="280" t="s">
        <v>314</v>
      </c>
      <c r="C106" s="281" t="s">
        <v>159</v>
      </c>
      <c r="D106" s="282">
        <v>16402.291155000003</v>
      </c>
      <c r="E106" s="283">
        <v>0.84000000000000008</v>
      </c>
      <c r="F106" s="283">
        <v>13777.924570200004</v>
      </c>
      <c r="G106" s="284">
        <v>1.9765688957513895E-3</v>
      </c>
      <c r="H106" s="284">
        <f t="shared" si="1"/>
        <v>0.8805669402152555</v>
      </c>
    </row>
    <row r="107" spans="1:8" x14ac:dyDescent="0.2">
      <c r="A107" s="279">
        <v>0</v>
      </c>
      <c r="B107" s="280" t="s">
        <v>1204</v>
      </c>
      <c r="C107" s="281" t="s">
        <v>170</v>
      </c>
      <c r="D107" s="282">
        <v>1</v>
      </c>
      <c r="E107" s="283">
        <v>13113.354609375243</v>
      </c>
      <c r="F107" s="283">
        <v>13113.354609375243</v>
      </c>
      <c r="G107" s="284">
        <v>1.881230275850825E-3</v>
      </c>
      <c r="H107" s="284">
        <f t="shared" si="1"/>
        <v>0.88244817049110635</v>
      </c>
    </row>
    <row r="108" spans="1:8" x14ac:dyDescent="0.2">
      <c r="A108" s="279">
        <v>0</v>
      </c>
      <c r="B108" s="280" t="s">
        <v>231</v>
      </c>
      <c r="C108" s="281" t="s">
        <v>170</v>
      </c>
      <c r="D108" s="282">
        <v>566</v>
      </c>
      <c r="E108" s="283">
        <v>23.07</v>
      </c>
      <c r="F108" s="283">
        <v>13057.62</v>
      </c>
      <c r="G108" s="284">
        <v>1.8732346379921139E-3</v>
      </c>
      <c r="H108" s="284">
        <f t="shared" si="1"/>
        <v>0.88432140512909851</v>
      </c>
    </row>
    <row r="109" spans="1:8" x14ac:dyDescent="0.2">
      <c r="A109" s="279">
        <v>0</v>
      </c>
      <c r="B109" s="280" t="s">
        <v>686</v>
      </c>
      <c r="C109" s="281" t="s">
        <v>681</v>
      </c>
      <c r="D109" s="282">
        <v>24</v>
      </c>
      <c r="E109" s="283">
        <v>519.66</v>
      </c>
      <c r="F109" s="283">
        <v>12471.84</v>
      </c>
      <c r="G109" s="284">
        <v>1.7891991563160489E-3</v>
      </c>
      <c r="H109" s="284">
        <f t="shared" si="1"/>
        <v>0.88611060428541455</v>
      </c>
    </row>
    <row r="110" spans="1:8" x14ac:dyDescent="0.2">
      <c r="A110" s="279">
        <v>0</v>
      </c>
      <c r="B110" s="280" t="s">
        <v>609</v>
      </c>
      <c r="C110" s="281" t="s">
        <v>159</v>
      </c>
      <c r="D110" s="282">
        <v>2002.0000000000002</v>
      </c>
      <c r="E110" s="283">
        <v>6.1</v>
      </c>
      <c r="F110" s="283">
        <v>12212.2</v>
      </c>
      <c r="G110" s="284">
        <v>1.7519514311250667E-3</v>
      </c>
      <c r="H110" s="284">
        <f t="shared" si="1"/>
        <v>0.8878625557165396</v>
      </c>
    </row>
    <row r="111" spans="1:8" x14ac:dyDescent="0.2">
      <c r="A111" s="279">
        <v>0</v>
      </c>
      <c r="B111" s="280" t="s">
        <v>814</v>
      </c>
      <c r="C111" s="281" t="s">
        <v>170</v>
      </c>
      <c r="D111" s="282">
        <v>1</v>
      </c>
      <c r="E111" s="283">
        <v>12200</v>
      </c>
      <c r="F111" s="283">
        <v>12200</v>
      </c>
      <c r="G111" s="284">
        <v>1.7502012298951713E-3</v>
      </c>
      <c r="H111" s="284">
        <f t="shared" si="1"/>
        <v>0.88961275694643482</v>
      </c>
    </row>
    <row r="112" spans="1:8" x14ac:dyDescent="0.2">
      <c r="A112" s="279">
        <v>0</v>
      </c>
      <c r="B112" s="280" t="s">
        <v>967</v>
      </c>
      <c r="C112" s="281" t="s">
        <v>170</v>
      </c>
      <c r="D112" s="282">
        <v>1</v>
      </c>
      <c r="E112" s="283">
        <v>11974.759762230022</v>
      </c>
      <c r="F112" s="283">
        <v>11974.759762230022</v>
      </c>
      <c r="G112" s="284">
        <v>1.7178884642257536E-3</v>
      </c>
      <c r="H112" s="284">
        <f t="shared" si="1"/>
        <v>0.89133064541066054</v>
      </c>
    </row>
    <row r="113" spans="1:8" x14ac:dyDescent="0.2">
      <c r="A113" s="279">
        <v>0</v>
      </c>
      <c r="B113" s="280" t="s">
        <v>357</v>
      </c>
      <c r="C113" s="281" t="s">
        <v>159</v>
      </c>
      <c r="D113" s="282">
        <v>12894.313399999999</v>
      </c>
      <c r="E113" s="283">
        <v>0.92500000000000004</v>
      </c>
      <c r="F113" s="283">
        <v>11927.239895000001</v>
      </c>
      <c r="G113" s="284">
        <v>1.7110713060232588E-3</v>
      </c>
      <c r="H113" s="284">
        <f t="shared" si="1"/>
        <v>0.89304171671668375</v>
      </c>
    </row>
    <row r="114" spans="1:8" x14ac:dyDescent="0.2">
      <c r="A114" s="279">
        <v>0</v>
      </c>
      <c r="B114" s="280" t="s">
        <v>835</v>
      </c>
      <c r="C114" s="281" t="s">
        <v>681</v>
      </c>
      <c r="D114" s="282">
        <v>41</v>
      </c>
      <c r="E114" s="283">
        <v>285</v>
      </c>
      <c r="F114" s="283">
        <v>11685</v>
      </c>
      <c r="G114" s="284">
        <v>1.6763197845348424E-3</v>
      </c>
      <c r="H114" s="284">
        <f t="shared" si="1"/>
        <v>0.89471803650121862</v>
      </c>
    </row>
    <row r="115" spans="1:8" x14ac:dyDescent="0.2">
      <c r="A115" s="279">
        <v>0</v>
      </c>
      <c r="B115" s="280" t="s">
        <v>1162</v>
      </c>
      <c r="C115" s="281" t="s">
        <v>140</v>
      </c>
      <c r="D115" s="282">
        <v>253.17999999999998</v>
      </c>
      <c r="E115" s="283">
        <v>45.422229244016116</v>
      </c>
      <c r="F115" s="283">
        <v>11500</v>
      </c>
      <c r="G115" s="284">
        <v>1.6497798478520059E-3</v>
      </c>
      <c r="H115" s="284">
        <f t="shared" si="1"/>
        <v>0.89636781634907059</v>
      </c>
    </row>
    <row r="116" spans="1:8" x14ac:dyDescent="0.2">
      <c r="A116" s="279">
        <v>0</v>
      </c>
      <c r="B116" s="280" t="s">
        <v>695</v>
      </c>
      <c r="C116" s="281" t="s">
        <v>681</v>
      </c>
      <c r="D116" s="282">
        <v>2</v>
      </c>
      <c r="E116" s="283">
        <v>5445.82</v>
      </c>
      <c r="F116" s="283">
        <v>10891.64</v>
      </c>
      <c r="G116" s="284">
        <v>1.5625050593094626E-3</v>
      </c>
      <c r="H116" s="284">
        <f t="shared" si="1"/>
        <v>0.89793032140838003</v>
      </c>
    </row>
    <row r="117" spans="1:8" x14ac:dyDescent="0.2">
      <c r="A117" s="279">
        <v>0</v>
      </c>
      <c r="B117" s="280" t="s">
        <v>931</v>
      </c>
      <c r="C117" s="281" t="s">
        <v>170</v>
      </c>
      <c r="D117" s="282">
        <v>24</v>
      </c>
      <c r="E117" s="283">
        <v>450</v>
      </c>
      <c r="F117" s="283">
        <v>10800</v>
      </c>
      <c r="G117" s="284">
        <v>1.5493584658088403E-3</v>
      </c>
      <c r="H117" s="284">
        <f t="shared" si="1"/>
        <v>0.89947967987418886</v>
      </c>
    </row>
    <row r="118" spans="1:8" x14ac:dyDescent="0.2">
      <c r="A118" s="279">
        <v>0</v>
      </c>
      <c r="B118" s="280" t="s">
        <v>175</v>
      </c>
      <c r="C118" s="281" t="s">
        <v>166</v>
      </c>
      <c r="D118" s="282">
        <v>8.0988117372000001</v>
      </c>
      <c r="E118" s="283">
        <v>1300</v>
      </c>
      <c r="F118" s="283">
        <v>10528.45525836</v>
      </c>
      <c r="G118" s="284">
        <v>1.5104028968916357E-3</v>
      </c>
      <c r="H118" s="284">
        <f t="shared" si="1"/>
        <v>0.9009900827710805</v>
      </c>
    </row>
    <row r="119" spans="1:8" x14ac:dyDescent="0.2">
      <c r="A119" s="279">
        <v>0</v>
      </c>
      <c r="B119" s="280" t="s">
        <v>316</v>
      </c>
      <c r="C119" s="281" t="s">
        <v>142</v>
      </c>
      <c r="D119" s="282">
        <v>80</v>
      </c>
      <c r="E119" s="283">
        <v>130</v>
      </c>
      <c r="F119" s="283">
        <v>10400</v>
      </c>
      <c r="G119" s="284">
        <v>1.4919748189270313E-3</v>
      </c>
      <c r="H119" s="284">
        <f t="shared" si="1"/>
        <v>0.90248205759000755</v>
      </c>
    </row>
    <row r="120" spans="1:8" x14ac:dyDescent="0.2">
      <c r="A120" s="279">
        <v>0</v>
      </c>
      <c r="B120" s="280" t="s">
        <v>207</v>
      </c>
      <c r="C120" s="281" t="s">
        <v>142</v>
      </c>
      <c r="D120" s="282">
        <v>4559.8500000000004</v>
      </c>
      <c r="E120" s="283">
        <v>2.2705000000000002</v>
      </c>
      <c r="F120" s="283">
        <v>10353.139425000001</v>
      </c>
      <c r="G120" s="284">
        <v>1.4852522422058353E-3</v>
      </c>
      <c r="H120" s="284">
        <f t="shared" si="1"/>
        <v>0.90396730983221341</v>
      </c>
    </row>
    <row r="121" spans="1:8" x14ac:dyDescent="0.2">
      <c r="A121" s="279">
        <v>0</v>
      </c>
      <c r="B121" s="280" t="s">
        <v>958</v>
      </c>
      <c r="C121" s="281" t="s">
        <v>170</v>
      </c>
      <c r="D121" s="282">
        <v>1</v>
      </c>
      <c r="E121" s="283">
        <v>10009.513655419161</v>
      </c>
      <c r="F121" s="283">
        <v>10009.513655419161</v>
      </c>
      <c r="G121" s="284">
        <v>1.4359559926530434E-3</v>
      </c>
      <c r="H121" s="284">
        <f t="shared" si="1"/>
        <v>0.90540326582486641</v>
      </c>
    </row>
    <row r="122" spans="1:8" x14ac:dyDescent="0.2">
      <c r="A122" s="279">
        <v>0</v>
      </c>
      <c r="B122" s="280" t="s">
        <v>161</v>
      </c>
      <c r="C122" s="281" t="s">
        <v>159</v>
      </c>
      <c r="D122" s="282">
        <v>726.65964080000037</v>
      </c>
      <c r="E122" s="283">
        <v>13.69</v>
      </c>
      <c r="F122" s="283">
        <v>9947.9704825520039</v>
      </c>
      <c r="G122" s="284">
        <v>1.4271270634035557E-3</v>
      </c>
      <c r="H122" s="284">
        <f t="shared" si="1"/>
        <v>0.90683039288826994</v>
      </c>
    </row>
    <row r="123" spans="1:8" x14ac:dyDescent="0.2">
      <c r="A123" s="279">
        <v>0</v>
      </c>
      <c r="B123" s="280" t="s">
        <v>182</v>
      </c>
      <c r="C123" s="281" t="s">
        <v>166</v>
      </c>
      <c r="D123" s="282">
        <v>28.227255000000007</v>
      </c>
      <c r="E123" s="283">
        <v>352</v>
      </c>
      <c r="F123" s="283">
        <v>9935.993760000003</v>
      </c>
      <c r="G123" s="284">
        <v>1.425408893359242E-3</v>
      </c>
      <c r="H123" s="284">
        <f t="shared" si="1"/>
        <v>0.90825580178162924</v>
      </c>
    </row>
    <row r="124" spans="1:8" x14ac:dyDescent="0.2">
      <c r="A124" s="279">
        <v>0</v>
      </c>
      <c r="B124" s="280" t="s">
        <v>937</v>
      </c>
      <c r="C124" s="281" t="s">
        <v>170</v>
      </c>
      <c r="D124" s="282">
        <v>1</v>
      </c>
      <c r="E124" s="283">
        <v>9756</v>
      </c>
      <c r="F124" s="283">
        <v>9756</v>
      </c>
      <c r="G124" s="284">
        <v>1.399587147447319E-3</v>
      </c>
      <c r="H124" s="284">
        <f t="shared" si="1"/>
        <v>0.9096553889290766</v>
      </c>
    </row>
    <row r="125" spans="1:8" x14ac:dyDescent="0.2">
      <c r="A125" s="279">
        <v>0</v>
      </c>
      <c r="B125" s="280" t="s">
        <v>293</v>
      </c>
      <c r="C125" s="281" t="s">
        <v>170</v>
      </c>
      <c r="D125" s="282">
        <v>1</v>
      </c>
      <c r="E125" s="283">
        <v>9716.15</v>
      </c>
      <c r="F125" s="283">
        <v>9716.15</v>
      </c>
      <c r="G125" s="284">
        <v>1.3938703016267188E-3</v>
      </c>
      <c r="H125" s="284">
        <f t="shared" si="1"/>
        <v>0.91104925923070335</v>
      </c>
    </row>
    <row r="126" spans="1:8" x14ac:dyDescent="0.2">
      <c r="A126" s="279">
        <v>0</v>
      </c>
      <c r="B126" s="280" t="s">
        <v>291</v>
      </c>
      <c r="C126" s="281" t="s">
        <v>170</v>
      </c>
      <c r="D126" s="282">
        <v>1</v>
      </c>
      <c r="E126" s="283">
        <v>9716.15</v>
      </c>
      <c r="F126" s="283">
        <v>9716.15</v>
      </c>
      <c r="G126" s="284">
        <v>1.3938703016267188E-3</v>
      </c>
      <c r="H126" s="284">
        <f t="shared" si="1"/>
        <v>0.91244312953233009</v>
      </c>
    </row>
    <row r="127" spans="1:8" x14ac:dyDescent="0.2">
      <c r="A127" s="279">
        <v>0</v>
      </c>
      <c r="B127" s="280" t="s">
        <v>1130</v>
      </c>
      <c r="C127" s="281" t="s">
        <v>140</v>
      </c>
      <c r="D127" s="282">
        <v>93.368499999999997</v>
      </c>
      <c r="E127" s="283">
        <v>102.4</v>
      </c>
      <c r="F127" s="283">
        <v>9560.9344000000001</v>
      </c>
      <c r="G127" s="284">
        <v>1.3716032086743485E-3</v>
      </c>
      <c r="H127" s="284">
        <f t="shared" si="1"/>
        <v>0.91381473274100444</v>
      </c>
    </row>
    <row r="128" spans="1:8" x14ac:dyDescent="0.2">
      <c r="A128" s="279">
        <v>0</v>
      </c>
      <c r="B128" s="280" t="s">
        <v>575</v>
      </c>
      <c r="C128" s="281" t="s">
        <v>170</v>
      </c>
      <c r="D128" s="282">
        <v>1</v>
      </c>
      <c r="E128" s="283">
        <v>9500</v>
      </c>
      <c r="F128" s="283">
        <v>9500</v>
      </c>
      <c r="G128" s="284">
        <v>1.3628616134429613E-3</v>
      </c>
      <c r="H128" s="284">
        <f t="shared" si="1"/>
        <v>0.91517759435444745</v>
      </c>
    </row>
    <row r="129" spans="1:8" x14ac:dyDescent="0.2">
      <c r="A129" s="279">
        <v>0</v>
      </c>
      <c r="B129" s="280" t="s">
        <v>227</v>
      </c>
      <c r="C129" s="281" t="s">
        <v>170</v>
      </c>
      <c r="D129" s="282">
        <v>1</v>
      </c>
      <c r="E129" s="283">
        <v>9500</v>
      </c>
      <c r="F129" s="283">
        <v>9500</v>
      </c>
      <c r="G129" s="284">
        <v>1.3628616134429613E-3</v>
      </c>
      <c r="H129" s="284">
        <f t="shared" si="1"/>
        <v>0.91654045596789047</v>
      </c>
    </row>
    <row r="130" spans="1:8" x14ac:dyDescent="0.2">
      <c r="A130" s="279">
        <v>0</v>
      </c>
      <c r="B130" s="280" t="s">
        <v>1013</v>
      </c>
      <c r="C130" s="281" t="s">
        <v>142</v>
      </c>
      <c r="D130" s="282">
        <v>1</v>
      </c>
      <c r="E130" s="283">
        <v>9450.4506262058512</v>
      </c>
      <c r="F130" s="283">
        <v>9450.4506262058512</v>
      </c>
      <c r="G130" s="284">
        <v>1.355753304020416E-3</v>
      </c>
      <c r="H130" s="284">
        <f t="shared" si="1"/>
        <v>0.91789620927191085</v>
      </c>
    </row>
    <row r="131" spans="1:8" x14ac:dyDescent="0.2">
      <c r="A131" s="279">
        <v>0</v>
      </c>
      <c r="B131" s="280" t="s">
        <v>1113</v>
      </c>
      <c r="C131" s="281" t="s">
        <v>158</v>
      </c>
      <c r="D131" s="282">
        <v>453.83849999999995</v>
      </c>
      <c r="E131" s="283">
        <v>20.778316515676838</v>
      </c>
      <c r="F131" s="283">
        <v>9430.0000000000018</v>
      </c>
      <c r="G131" s="284">
        <v>1.352819475238645E-3</v>
      </c>
      <c r="H131" s="284">
        <f t="shared" si="1"/>
        <v>0.91924902874714953</v>
      </c>
    </row>
    <row r="132" spans="1:8" x14ac:dyDescent="0.2">
      <c r="A132" s="279">
        <v>0</v>
      </c>
      <c r="B132" s="280" t="s">
        <v>1027</v>
      </c>
      <c r="C132" s="281" t="s">
        <v>159</v>
      </c>
      <c r="D132" s="282">
        <v>7099.2810000000009</v>
      </c>
      <c r="E132" s="283">
        <v>1.31</v>
      </c>
      <c r="F132" s="283">
        <v>9300.0581100000018</v>
      </c>
      <c r="G132" s="284">
        <v>1.3341781264113578E-3</v>
      </c>
      <c r="H132" s="284">
        <f t="shared" si="1"/>
        <v>0.92058320687356088</v>
      </c>
    </row>
    <row r="133" spans="1:8" x14ac:dyDescent="0.2">
      <c r="A133" s="279">
        <v>0</v>
      </c>
      <c r="B133" s="280" t="s">
        <v>162</v>
      </c>
      <c r="C133" s="281" t="s">
        <v>142</v>
      </c>
      <c r="D133" s="282">
        <v>11970.308110409998</v>
      </c>
      <c r="E133" s="283">
        <v>0.76</v>
      </c>
      <c r="F133" s="283">
        <v>9097.4341639115992</v>
      </c>
      <c r="G133" s="284">
        <v>1.3051098739810189E-3</v>
      </c>
      <c r="H133" s="284">
        <f t="shared" si="1"/>
        <v>0.9218883167475419</v>
      </c>
    </row>
    <row r="134" spans="1:8" x14ac:dyDescent="0.2">
      <c r="A134" s="279">
        <v>0</v>
      </c>
      <c r="B134" s="280" t="s">
        <v>867</v>
      </c>
      <c r="C134" s="281" t="s">
        <v>260</v>
      </c>
      <c r="D134" s="282">
        <v>6</v>
      </c>
      <c r="E134" s="283">
        <v>1500</v>
      </c>
      <c r="F134" s="283">
        <v>9000</v>
      </c>
      <c r="G134" s="284">
        <v>1.2911320548407003E-3</v>
      </c>
      <c r="H134" s="284">
        <f t="shared" si="1"/>
        <v>0.92317944880238256</v>
      </c>
    </row>
    <row r="135" spans="1:8" x14ac:dyDescent="0.2">
      <c r="A135" s="279">
        <v>0</v>
      </c>
      <c r="B135" s="280" t="s">
        <v>338</v>
      </c>
      <c r="C135" s="281" t="s">
        <v>176</v>
      </c>
      <c r="D135" s="282">
        <v>7103.1578292000004</v>
      </c>
      <c r="E135" s="283">
        <v>1.26</v>
      </c>
      <c r="F135" s="283">
        <v>8949.9788647920013</v>
      </c>
      <c r="G135" s="284">
        <v>1.2839560669421926E-3</v>
      </c>
      <c r="H135" s="284">
        <f t="shared" si="1"/>
        <v>0.92446340486932477</v>
      </c>
    </row>
    <row r="136" spans="1:8" x14ac:dyDescent="0.2">
      <c r="A136" s="279">
        <v>0</v>
      </c>
      <c r="B136" s="280" t="s">
        <v>220</v>
      </c>
      <c r="C136" s="281" t="s">
        <v>170</v>
      </c>
      <c r="D136" s="282">
        <v>1</v>
      </c>
      <c r="E136" s="283">
        <v>8900</v>
      </c>
      <c r="F136" s="283">
        <v>8900</v>
      </c>
      <c r="G136" s="284">
        <v>1.2767861431202481E-3</v>
      </c>
      <c r="H136" s="284">
        <f t="shared" ref="H136:H199" si="2">G136+H135</f>
        <v>0.92574019101244498</v>
      </c>
    </row>
    <row r="137" spans="1:8" x14ac:dyDescent="0.2">
      <c r="A137" s="279">
        <v>0</v>
      </c>
      <c r="B137" s="280" t="s">
        <v>304</v>
      </c>
      <c r="C137" s="281" t="s">
        <v>170</v>
      </c>
      <c r="D137" s="282">
        <v>22</v>
      </c>
      <c r="E137" s="283">
        <v>400</v>
      </c>
      <c r="F137" s="283">
        <v>8800</v>
      </c>
      <c r="G137" s="284">
        <v>1.2624402313997957E-3</v>
      </c>
      <c r="H137" s="284">
        <f t="shared" si="2"/>
        <v>0.92700263124384474</v>
      </c>
    </row>
    <row r="138" spans="1:8" x14ac:dyDescent="0.2">
      <c r="A138" s="279">
        <v>0</v>
      </c>
      <c r="B138" s="280" t="s">
        <v>698</v>
      </c>
      <c r="C138" s="281" t="s">
        <v>142</v>
      </c>
      <c r="D138" s="282">
        <v>20</v>
      </c>
      <c r="E138" s="283">
        <v>437.8655</v>
      </c>
      <c r="F138" s="283">
        <v>8757.31</v>
      </c>
      <c r="G138" s="284">
        <v>1.2563159616863346E-3</v>
      </c>
      <c r="H138" s="284">
        <f t="shared" si="2"/>
        <v>0.92825894720553104</v>
      </c>
    </row>
    <row r="139" spans="1:8" x14ac:dyDescent="0.2">
      <c r="A139" s="279">
        <v>0</v>
      </c>
      <c r="B139" s="280" t="s">
        <v>1157</v>
      </c>
      <c r="C139" s="281" t="s">
        <v>142</v>
      </c>
      <c r="D139" s="282">
        <v>105</v>
      </c>
      <c r="E139" s="283">
        <v>80</v>
      </c>
      <c r="F139" s="283">
        <v>8400</v>
      </c>
      <c r="G139" s="284">
        <v>1.2050565845179869E-3</v>
      </c>
      <c r="H139" s="284">
        <f t="shared" si="2"/>
        <v>0.92946400379004901</v>
      </c>
    </row>
    <row r="140" spans="1:8" x14ac:dyDescent="0.2">
      <c r="A140" s="279">
        <v>0</v>
      </c>
      <c r="B140" s="280" t="s">
        <v>694</v>
      </c>
      <c r="C140" s="281" t="s">
        <v>681</v>
      </c>
      <c r="D140" s="282">
        <v>10</v>
      </c>
      <c r="E140" s="283">
        <v>826.51</v>
      </c>
      <c r="F140" s="283">
        <v>8265.1</v>
      </c>
      <c r="G140" s="284">
        <v>1.1857039496070969E-3</v>
      </c>
      <c r="H140" s="284">
        <f t="shared" si="2"/>
        <v>0.93064970773965605</v>
      </c>
    </row>
    <row r="141" spans="1:8" x14ac:dyDescent="0.2">
      <c r="A141" s="279">
        <v>0</v>
      </c>
      <c r="B141" s="280" t="s">
        <v>335</v>
      </c>
      <c r="C141" s="281" t="s">
        <v>170</v>
      </c>
      <c r="D141" s="282">
        <v>1</v>
      </c>
      <c r="E141" s="283">
        <v>8129.21</v>
      </c>
      <c r="F141" s="283">
        <v>8129.21</v>
      </c>
      <c r="G141" s="284">
        <v>1.1662092901701742E-3</v>
      </c>
      <c r="H141" s="284">
        <f t="shared" si="2"/>
        <v>0.93181591702982625</v>
      </c>
    </row>
    <row r="142" spans="1:8" x14ac:dyDescent="0.2">
      <c r="A142" s="279">
        <v>0</v>
      </c>
      <c r="B142" s="280" t="s">
        <v>989</v>
      </c>
      <c r="C142" s="281" t="s">
        <v>170</v>
      </c>
      <c r="D142" s="282">
        <v>1</v>
      </c>
      <c r="E142" s="283">
        <v>7800.3311279440804</v>
      </c>
      <c r="F142" s="283">
        <v>7800.3311279440804</v>
      </c>
      <c r="G142" s="284">
        <v>1.1190286175178131E-3</v>
      </c>
      <c r="H142" s="284">
        <f t="shared" si="2"/>
        <v>0.93293494564734403</v>
      </c>
    </row>
    <row r="143" spans="1:8" x14ac:dyDescent="0.2">
      <c r="A143" s="279">
        <v>0</v>
      </c>
      <c r="B143" s="280" t="s">
        <v>770</v>
      </c>
      <c r="C143" s="281" t="s">
        <v>142</v>
      </c>
      <c r="D143" s="282">
        <v>10</v>
      </c>
      <c r="E143" s="283">
        <v>780</v>
      </c>
      <c r="F143" s="283">
        <v>7800</v>
      </c>
      <c r="G143" s="284">
        <v>1.1189811141952735E-3</v>
      </c>
      <c r="H143" s="284">
        <f t="shared" si="2"/>
        <v>0.93405392676153931</v>
      </c>
    </row>
    <row r="144" spans="1:8" x14ac:dyDescent="0.2">
      <c r="A144" s="279">
        <v>0</v>
      </c>
      <c r="B144" s="280" t="s">
        <v>219</v>
      </c>
      <c r="C144" s="281" t="s">
        <v>166</v>
      </c>
      <c r="D144" s="282">
        <v>1</v>
      </c>
      <c r="E144" s="283">
        <v>7800</v>
      </c>
      <c r="F144" s="283">
        <v>7800</v>
      </c>
      <c r="G144" s="284">
        <v>1.1189811141952735E-3</v>
      </c>
      <c r="H144" s="284">
        <f t="shared" si="2"/>
        <v>0.93517290787573459</v>
      </c>
    </row>
    <row r="145" spans="1:8" x14ac:dyDescent="0.2">
      <c r="A145" s="279">
        <v>0</v>
      </c>
      <c r="B145" s="280" t="s">
        <v>1006</v>
      </c>
      <c r="C145" s="281" t="s">
        <v>142</v>
      </c>
      <c r="D145" s="282">
        <v>1</v>
      </c>
      <c r="E145" s="283">
        <v>7798.7220899209133</v>
      </c>
      <c r="F145" s="283">
        <v>7798.7220899209133</v>
      </c>
      <c r="G145" s="284">
        <v>1.118797786343461E-3</v>
      </c>
      <c r="H145" s="284">
        <f t="shared" si="2"/>
        <v>0.93629170566207809</v>
      </c>
    </row>
    <row r="146" spans="1:8" x14ac:dyDescent="0.2">
      <c r="A146" s="279">
        <v>0</v>
      </c>
      <c r="B146" s="280" t="s">
        <v>697</v>
      </c>
      <c r="C146" s="281" t="s">
        <v>142</v>
      </c>
      <c r="D146" s="282">
        <v>17</v>
      </c>
      <c r="E146" s="283">
        <v>457.99549999999999</v>
      </c>
      <c r="F146" s="283">
        <v>7785.9234999999999</v>
      </c>
      <c r="G146" s="284">
        <v>1.116961711931944E-3</v>
      </c>
      <c r="H146" s="284">
        <f t="shared" si="2"/>
        <v>0.93740866737401007</v>
      </c>
    </row>
    <row r="147" spans="1:8" x14ac:dyDescent="0.2">
      <c r="A147" s="279">
        <v>0</v>
      </c>
      <c r="B147" s="280" t="s">
        <v>323</v>
      </c>
      <c r="C147" s="281" t="s">
        <v>170</v>
      </c>
      <c r="D147" s="282">
        <v>22</v>
      </c>
      <c r="E147" s="283">
        <v>350</v>
      </c>
      <c r="F147" s="283">
        <v>7700</v>
      </c>
      <c r="G147" s="284">
        <v>1.1046352024748213E-3</v>
      </c>
      <c r="H147" s="284">
        <f t="shared" si="2"/>
        <v>0.93851330257648491</v>
      </c>
    </row>
    <row r="148" spans="1:8" x14ac:dyDescent="0.2">
      <c r="A148" s="279">
        <v>0</v>
      </c>
      <c r="B148" s="280" t="s">
        <v>173</v>
      </c>
      <c r="C148" s="281" t="s">
        <v>159</v>
      </c>
      <c r="D148" s="282">
        <v>591.44071275559588</v>
      </c>
      <c r="E148" s="283">
        <v>13</v>
      </c>
      <c r="F148" s="283">
        <v>7688.7292658227461</v>
      </c>
      <c r="G148" s="284">
        <v>1.1030183128995057E-3</v>
      </c>
      <c r="H148" s="284">
        <f t="shared" si="2"/>
        <v>0.9396163208893844</v>
      </c>
    </row>
    <row r="149" spans="1:8" x14ac:dyDescent="0.2">
      <c r="A149" s="279">
        <v>0</v>
      </c>
      <c r="B149" s="280" t="s">
        <v>581</v>
      </c>
      <c r="C149" s="281" t="s">
        <v>170</v>
      </c>
      <c r="D149" s="282">
        <v>1</v>
      </c>
      <c r="E149" s="283">
        <v>7600</v>
      </c>
      <c r="F149" s="283">
        <v>7600</v>
      </c>
      <c r="G149" s="284">
        <v>1.0902892907543691E-3</v>
      </c>
      <c r="H149" s="284">
        <f t="shared" si="2"/>
        <v>0.94070661018013879</v>
      </c>
    </row>
    <row r="150" spans="1:8" x14ac:dyDescent="0.2">
      <c r="A150" s="279">
        <v>0</v>
      </c>
      <c r="B150" s="280" t="s">
        <v>1055</v>
      </c>
      <c r="C150" s="281" t="s">
        <v>170</v>
      </c>
      <c r="D150" s="282">
        <v>1</v>
      </c>
      <c r="E150" s="283">
        <v>7363</v>
      </c>
      <c r="F150" s="283">
        <v>7363</v>
      </c>
      <c r="G150" s="284">
        <v>1.0562894799768974E-3</v>
      </c>
      <c r="H150" s="284">
        <f t="shared" si="2"/>
        <v>0.94176289966011573</v>
      </c>
    </row>
    <row r="151" spans="1:8" x14ac:dyDescent="0.2">
      <c r="A151" s="279">
        <v>0</v>
      </c>
      <c r="B151" s="280" t="s">
        <v>936</v>
      </c>
      <c r="C151" s="281" t="s">
        <v>170</v>
      </c>
      <c r="D151" s="282">
        <v>1</v>
      </c>
      <c r="E151" s="283">
        <v>7000</v>
      </c>
      <c r="F151" s="283">
        <v>7000</v>
      </c>
      <c r="G151" s="284">
        <v>1.0042138204316557E-3</v>
      </c>
      <c r="H151" s="284">
        <f t="shared" si="2"/>
        <v>0.94276711348054743</v>
      </c>
    </row>
    <row r="152" spans="1:8" x14ac:dyDescent="0.2">
      <c r="A152" s="279">
        <v>0</v>
      </c>
      <c r="B152" s="280" t="s">
        <v>361</v>
      </c>
      <c r="C152" s="281" t="s">
        <v>170</v>
      </c>
      <c r="D152" s="282">
        <v>1</v>
      </c>
      <c r="E152" s="283">
        <v>7000</v>
      </c>
      <c r="F152" s="283">
        <v>7000</v>
      </c>
      <c r="G152" s="284">
        <v>1.0042138204316557E-3</v>
      </c>
      <c r="H152" s="284">
        <f t="shared" si="2"/>
        <v>0.94377132730097912</v>
      </c>
    </row>
    <row r="153" spans="1:8" x14ac:dyDescent="0.2">
      <c r="A153" s="279">
        <v>0</v>
      </c>
      <c r="B153" s="280" t="s">
        <v>585</v>
      </c>
      <c r="C153" s="281" t="s">
        <v>170</v>
      </c>
      <c r="D153" s="282">
        <v>1</v>
      </c>
      <c r="E153" s="283">
        <v>6916.85</v>
      </c>
      <c r="F153" s="283">
        <v>6916.85</v>
      </c>
      <c r="G153" s="284">
        <v>9.9228519483609981E-4</v>
      </c>
      <c r="H153" s="284">
        <f t="shared" si="2"/>
        <v>0.9447636124958152</v>
      </c>
    </row>
    <row r="154" spans="1:8" x14ac:dyDescent="0.2">
      <c r="A154" s="279">
        <v>0</v>
      </c>
      <c r="B154" s="280" t="s">
        <v>193</v>
      </c>
      <c r="C154" s="281" t="s">
        <v>166</v>
      </c>
      <c r="D154" s="282">
        <v>5.2501536999999994</v>
      </c>
      <c r="E154" s="283">
        <v>1300</v>
      </c>
      <c r="F154" s="283">
        <v>6825.1998099999992</v>
      </c>
      <c r="G154" s="284">
        <v>9.7913713948707287E-4</v>
      </c>
      <c r="H154" s="284">
        <f t="shared" si="2"/>
        <v>0.94574274963530225</v>
      </c>
    </row>
    <row r="155" spans="1:8" x14ac:dyDescent="0.2">
      <c r="A155" s="279">
        <v>0</v>
      </c>
      <c r="B155" s="280" t="s">
        <v>959</v>
      </c>
      <c r="C155" s="281" t="s">
        <v>170</v>
      </c>
      <c r="D155" s="282">
        <v>1</v>
      </c>
      <c r="E155" s="283">
        <v>6774.769135823467</v>
      </c>
      <c r="F155" s="283">
        <v>6774.769135823467</v>
      </c>
      <c r="G155" s="284">
        <v>9.7190239948967861E-4</v>
      </c>
      <c r="H155" s="284">
        <f t="shared" si="2"/>
        <v>0.94671465203479188</v>
      </c>
    </row>
    <row r="156" spans="1:8" x14ac:dyDescent="0.2">
      <c r="A156" s="279">
        <v>0</v>
      </c>
      <c r="B156" s="280" t="s">
        <v>211</v>
      </c>
      <c r="C156" s="281" t="s">
        <v>166</v>
      </c>
      <c r="D156" s="282">
        <v>14.02975</v>
      </c>
      <c r="E156" s="283">
        <v>480</v>
      </c>
      <c r="F156" s="283">
        <v>6734.28</v>
      </c>
      <c r="G156" s="284">
        <v>9.6609386380807E-4</v>
      </c>
      <c r="H156" s="284">
        <f t="shared" si="2"/>
        <v>0.94768074589859996</v>
      </c>
    </row>
    <row r="157" spans="1:8" x14ac:dyDescent="0.2">
      <c r="A157" s="279">
        <v>0</v>
      </c>
      <c r="B157" s="280" t="s">
        <v>180</v>
      </c>
      <c r="C157" s="281" t="s">
        <v>159</v>
      </c>
      <c r="D157" s="282">
        <v>1050.002107</v>
      </c>
      <c r="E157" s="283">
        <v>6.39</v>
      </c>
      <c r="F157" s="283">
        <v>6709.5134637299998</v>
      </c>
      <c r="G157" s="284">
        <v>9.6254087837856206E-4</v>
      </c>
      <c r="H157" s="284">
        <f t="shared" si="2"/>
        <v>0.94864328677697851</v>
      </c>
    </row>
    <row r="158" spans="1:8" x14ac:dyDescent="0.2">
      <c r="A158" s="279">
        <v>0</v>
      </c>
      <c r="B158" s="280" t="s">
        <v>351</v>
      </c>
      <c r="C158" s="281" t="s">
        <v>140</v>
      </c>
      <c r="D158" s="282">
        <v>509.1345</v>
      </c>
      <c r="E158" s="283">
        <v>12.84</v>
      </c>
      <c r="F158" s="283">
        <v>6537.2869799999999</v>
      </c>
      <c r="G158" s="284">
        <v>9.3783341906341722E-4</v>
      </c>
      <c r="H158" s="284">
        <f t="shared" si="2"/>
        <v>0.94958112019604191</v>
      </c>
    </row>
    <row r="159" spans="1:8" x14ac:dyDescent="0.2">
      <c r="A159" s="279">
        <v>0</v>
      </c>
      <c r="B159" s="280" t="s">
        <v>953</v>
      </c>
      <c r="C159" s="281" t="s">
        <v>170</v>
      </c>
      <c r="D159" s="282">
        <v>1</v>
      </c>
      <c r="E159" s="283">
        <v>6489.6546573177948</v>
      </c>
      <c r="F159" s="283">
        <v>6489.6546573177948</v>
      </c>
      <c r="G159" s="284">
        <v>9.3100012810102715E-4</v>
      </c>
      <c r="H159" s="284">
        <f t="shared" si="2"/>
        <v>0.9505121203241429</v>
      </c>
    </row>
    <row r="160" spans="1:8" x14ac:dyDescent="0.2">
      <c r="A160" s="279">
        <v>0</v>
      </c>
      <c r="B160" s="280" t="s">
        <v>789</v>
      </c>
      <c r="C160" s="281" t="s">
        <v>142</v>
      </c>
      <c r="D160" s="282">
        <v>512</v>
      </c>
      <c r="E160" s="283">
        <v>12.57</v>
      </c>
      <c r="F160" s="283">
        <v>6435.84</v>
      </c>
      <c r="G160" s="284">
        <v>9.2327992486955252E-4</v>
      </c>
      <c r="H160" s="284">
        <f t="shared" si="2"/>
        <v>0.95143540024901241</v>
      </c>
    </row>
    <row r="161" spans="1:8" x14ac:dyDescent="0.2">
      <c r="A161" s="279">
        <v>0</v>
      </c>
      <c r="B161" s="280" t="s">
        <v>343</v>
      </c>
      <c r="C161" s="281" t="s">
        <v>159</v>
      </c>
      <c r="D161" s="282">
        <v>8593.0020000000004</v>
      </c>
      <c r="E161" s="283">
        <v>0.74</v>
      </c>
      <c r="F161" s="283">
        <v>6358.8214800000005</v>
      </c>
      <c r="G161" s="284">
        <v>9.1223091598195368E-4</v>
      </c>
      <c r="H161" s="284">
        <f t="shared" si="2"/>
        <v>0.95234763116499432</v>
      </c>
    </row>
    <row r="162" spans="1:8" x14ac:dyDescent="0.2">
      <c r="A162" s="279">
        <v>0</v>
      </c>
      <c r="B162" s="280" t="s">
        <v>331</v>
      </c>
      <c r="C162" s="281" t="s">
        <v>260</v>
      </c>
      <c r="D162" s="282">
        <v>7</v>
      </c>
      <c r="E162" s="283">
        <v>900</v>
      </c>
      <c r="F162" s="283">
        <v>6300</v>
      </c>
      <c r="G162" s="284">
        <v>9.0379243838849016E-4</v>
      </c>
      <c r="H162" s="284">
        <f t="shared" si="2"/>
        <v>0.95325142360338277</v>
      </c>
    </row>
    <row r="163" spans="1:8" x14ac:dyDescent="0.2">
      <c r="A163" s="279">
        <v>0</v>
      </c>
      <c r="B163" s="280" t="s">
        <v>217</v>
      </c>
      <c r="C163" s="281" t="s">
        <v>159</v>
      </c>
      <c r="D163" s="282">
        <v>2654.9399999999996</v>
      </c>
      <c r="E163" s="283">
        <v>2.2600000000000002</v>
      </c>
      <c r="F163" s="283">
        <v>6000.1643999999997</v>
      </c>
      <c r="G163" s="284">
        <v>8.6077828790600186E-4</v>
      </c>
      <c r="H163" s="284">
        <f t="shared" si="2"/>
        <v>0.95411220189128876</v>
      </c>
    </row>
    <row r="164" spans="1:8" x14ac:dyDescent="0.2">
      <c r="A164" s="279">
        <v>0</v>
      </c>
      <c r="B164" s="280" t="s">
        <v>225</v>
      </c>
      <c r="C164" s="281" t="s">
        <v>170</v>
      </c>
      <c r="D164" s="282">
        <v>1</v>
      </c>
      <c r="E164" s="283">
        <v>5936</v>
      </c>
      <c r="F164" s="283">
        <v>5936</v>
      </c>
      <c r="G164" s="284">
        <v>8.5157331972604403E-4</v>
      </c>
      <c r="H164" s="284">
        <f t="shared" si="2"/>
        <v>0.95496377521101483</v>
      </c>
    </row>
    <row r="165" spans="1:8" x14ac:dyDescent="0.2">
      <c r="A165" s="279">
        <v>0</v>
      </c>
      <c r="B165" s="280" t="s">
        <v>317</v>
      </c>
      <c r="C165" s="281" t="s">
        <v>170</v>
      </c>
      <c r="D165" s="282">
        <v>1</v>
      </c>
      <c r="E165" s="283">
        <v>5923.6399999999994</v>
      </c>
      <c r="F165" s="283">
        <v>5923.6399999999994</v>
      </c>
      <c r="G165" s="284">
        <v>8.4980016503739613E-4</v>
      </c>
      <c r="H165" s="284">
        <f t="shared" si="2"/>
        <v>0.95581357537605227</v>
      </c>
    </row>
    <row r="166" spans="1:8" x14ac:dyDescent="0.2">
      <c r="A166" s="279">
        <v>0</v>
      </c>
      <c r="B166" s="280" t="s">
        <v>1021</v>
      </c>
      <c r="C166" s="281" t="s">
        <v>170</v>
      </c>
      <c r="D166" s="282">
        <v>1</v>
      </c>
      <c r="E166" s="283">
        <v>5849.041567440685</v>
      </c>
      <c r="F166" s="283">
        <v>5849.041567440685</v>
      </c>
      <c r="G166" s="284">
        <v>8.3909833975759579E-4</v>
      </c>
      <c r="H166" s="284">
        <f t="shared" si="2"/>
        <v>0.95665267371580986</v>
      </c>
    </row>
    <row r="167" spans="1:8" x14ac:dyDescent="0.2">
      <c r="A167" s="279">
        <v>0</v>
      </c>
      <c r="B167" s="280" t="s">
        <v>1016</v>
      </c>
      <c r="C167" s="281" t="s">
        <v>142</v>
      </c>
      <c r="D167" s="282">
        <v>1</v>
      </c>
      <c r="E167" s="283">
        <v>5849.041567440685</v>
      </c>
      <c r="F167" s="283">
        <v>5849.041567440685</v>
      </c>
      <c r="G167" s="284">
        <v>8.3909833975759579E-4</v>
      </c>
      <c r="H167" s="284">
        <f t="shared" si="2"/>
        <v>0.95749177205556746</v>
      </c>
    </row>
    <row r="168" spans="1:8" x14ac:dyDescent="0.2">
      <c r="A168" s="279">
        <v>0</v>
      </c>
      <c r="B168" s="280" t="s">
        <v>1058</v>
      </c>
      <c r="C168" s="281" t="s">
        <v>170</v>
      </c>
      <c r="D168" s="282">
        <v>1</v>
      </c>
      <c r="E168" s="283">
        <v>5829.6900000000005</v>
      </c>
      <c r="F168" s="283">
        <v>5829.6900000000005</v>
      </c>
      <c r="G168" s="284">
        <v>8.3632218097603138E-4</v>
      </c>
      <c r="H168" s="284">
        <f t="shared" si="2"/>
        <v>0.95832809423654353</v>
      </c>
    </row>
    <row r="169" spans="1:8" x14ac:dyDescent="0.2">
      <c r="A169" s="279">
        <v>0</v>
      </c>
      <c r="B169" s="280" t="s">
        <v>591</v>
      </c>
      <c r="C169" s="281" t="s">
        <v>170</v>
      </c>
      <c r="D169" s="282">
        <v>1</v>
      </c>
      <c r="E169" s="283">
        <v>5700</v>
      </c>
      <c r="F169" s="283">
        <v>5700</v>
      </c>
      <c r="G169" s="284">
        <v>8.1771696806577686E-4</v>
      </c>
      <c r="H169" s="284">
        <f t="shared" si="2"/>
        <v>0.95914581120460929</v>
      </c>
    </row>
    <row r="170" spans="1:8" x14ac:dyDescent="0.2">
      <c r="A170" s="279">
        <v>0</v>
      </c>
      <c r="B170" s="280" t="s">
        <v>750</v>
      </c>
      <c r="C170" s="281" t="s">
        <v>166</v>
      </c>
      <c r="D170" s="282">
        <v>0.72228000000000003</v>
      </c>
      <c r="E170" s="283">
        <v>7500</v>
      </c>
      <c r="F170" s="283">
        <v>5417.1</v>
      </c>
      <c r="G170" s="284">
        <v>7.7713238380861752E-4</v>
      </c>
      <c r="H170" s="284">
        <f t="shared" si="2"/>
        <v>0.9599229435884179</v>
      </c>
    </row>
    <row r="171" spans="1:8" x14ac:dyDescent="0.2">
      <c r="A171" s="279">
        <v>0</v>
      </c>
      <c r="B171" s="280" t="s">
        <v>836</v>
      </c>
      <c r="C171" s="281" t="s">
        <v>681</v>
      </c>
      <c r="D171" s="282">
        <v>41</v>
      </c>
      <c r="E171" s="283">
        <v>130.49</v>
      </c>
      <c r="F171" s="283">
        <v>5350.09</v>
      </c>
      <c r="G171" s="284">
        <v>7.6751918836474246E-4</v>
      </c>
      <c r="H171" s="284">
        <f t="shared" si="2"/>
        <v>0.96069046277678261</v>
      </c>
    </row>
    <row r="172" spans="1:8" x14ac:dyDescent="0.2">
      <c r="A172" s="279">
        <v>0</v>
      </c>
      <c r="B172" s="280" t="s">
        <v>748</v>
      </c>
      <c r="C172" s="281" t="s">
        <v>158</v>
      </c>
      <c r="D172" s="282">
        <v>86.768000000000015</v>
      </c>
      <c r="E172" s="283">
        <v>61.050000000000004</v>
      </c>
      <c r="F172" s="283">
        <v>5297.1864000000014</v>
      </c>
      <c r="G172" s="284">
        <v>7.599296846118015E-4</v>
      </c>
      <c r="H172" s="284">
        <f t="shared" si="2"/>
        <v>0.96145039246139441</v>
      </c>
    </row>
    <row r="173" spans="1:8" x14ac:dyDescent="0.2">
      <c r="A173" s="279">
        <v>0</v>
      </c>
      <c r="B173" s="280" t="s">
        <v>1007</v>
      </c>
      <c r="C173" s="281" t="s">
        <v>142</v>
      </c>
      <c r="D173" s="282">
        <v>1</v>
      </c>
      <c r="E173" s="283">
        <v>5278.4324526153387</v>
      </c>
      <c r="F173" s="283">
        <v>5278.4324526153387</v>
      </c>
      <c r="G173" s="284">
        <v>7.5723925987589765E-4</v>
      </c>
      <c r="H173" s="284">
        <f t="shared" si="2"/>
        <v>0.96220763172127033</v>
      </c>
    </row>
    <row r="174" spans="1:8" x14ac:dyDescent="0.2">
      <c r="A174" s="279">
        <v>0</v>
      </c>
      <c r="B174" s="280" t="s">
        <v>366</v>
      </c>
      <c r="C174" s="281" t="s">
        <v>170</v>
      </c>
      <c r="D174" s="282">
        <v>356.88549999999998</v>
      </c>
      <c r="E174" s="283">
        <v>13.68</v>
      </c>
      <c r="F174" s="283">
        <v>4882.1936399999995</v>
      </c>
      <c r="G174" s="284">
        <v>7.0039518961593301E-4</v>
      </c>
      <c r="H174" s="284">
        <f t="shared" si="2"/>
        <v>0.96290802691088628</v>
      </c>
    </row>
    <row r="175" spans="1:8" x14ac:dyDescent="0.2">
      <c r="A175" s="279">
        <v>0</v>
      </c>
      <c r="B175" s="280" t="s">
        <v>961</v>
      </c>
      <c r="C175" s="281" t="s">
        <v>170</v>
      </c>
      <c r="D175" s="282">
        <v>1</v>
      </c>
      <c r="E175" s="283">
        <v>4852.9795400610647</v>
      </c>
      <c r="F175" s="283">
        <v>4852.9795400610647</v>
      </c>
      <c r="G175" s="284">
        <v>6.9620416062876871E-4</v>
      </c>
      <c r="H175" s="284">
        <f t="shared" si="2"/>
        <v>0.96360423107151505</v>
      </c>
    </row>
    <row r="176" spans="1:8" x14ac:dyDescent="0.2">
      <c r="A176" s="279">
        <v>0</v>
      </c>
      <c r="B176" s="280" t="s">
        <v>790</v>
      </c>
      <c r="C176" s="281" t="s">
        <v>793</v>
      </c>
      <c r="D176" s="282">
        <v>512</v>
      </c>
      <c r="E176" s="283">
        <v>9.18</v>
      </c>
      <c r="F176" s="283">
        <v>4700.16</v>
      </c>
      <c r="G176" s="284">
        <v>6.7428080432000727E-4</v>
      </c>
      <c r="H176" s="284">
        <f t="shared" si="2"/>
        <v>0.96427851187583502</v>
      </c>
    </row>
    <row r="177" spans="1:8" x14ac:dyDescent="0.2">
      <c r="A177" s="279">
        <v>0</v>
      </c>
      <c r="B177" s="280" t="s">
        <v>595</v>
      </c>
      <c r="C177" s="281" t="s">
        <v>170</v>
      </c>
      <c r="D177" s="282">
        <v>1</v>
      </c>
      <c r="E177" s="283">
        <v>4500</v>
      </c>
      <c r="F177" s="283">
        <v>4500</v>
      </c>
      <c r="G177" s="284">
        <v>6.4556602742035015E-4</v>
      </c>
      <c r="H177" s="284">
        <f t="shared" si="2"/>
        <v>0.96492407790325541</v>
      </c>
    </row>
    <row r="178" spans="1:8" x14ac:dyDescent="0.2">
      <c r="A178" s="279">
        <v>0</v>
      </c>
      <c r="B178" s="280" t="s">
        <v>954</v>
      </c>
      <c r="C178" s="281" t="s">
        <v>170</v>
      </c>
      <c r="D178" s="282">
        <v>1</v>
      </c>
      <c r="E178" s="283">
        <v>4392.4124176349396</v>
      </c>
      <c r="F178" s="283">
        <v>4392.4124176349396</v>
      </c>
      <c r="G178" s="284">
        <v>6.301316078320897E-4</v>
      </c>
      <c r="H178" s="284">
        <f t="shared" si="2"/>
        <v>0.9655542095110875</v>
      </c>
    </row>
    <row r="179" spans="1:8" x14ac:dyDescent="0.2">
      <c r="A179" s="279">
        <v>0</v>
      </c>
      <c r="B179" s="280" t="s">
        <v>341</v>
      </c>
      <c r="C179" s="281" t="s">
        <v>140</v>
      </c>
      <c r="D179" s="282">
        <v>1822.3673999999999</v>
      </c>
      <c r="E179" s="283">
        <v>2.4</v>
      </c>
      <c r="F179" s="283">
        <v>4373.6817599999995</v>
      </c>
      <c r="G179" s="284">
        <v>6.2744452422312108E-4</v>
      </c>
      <c r="H179" s="284">
        <f t="shared" si="2"/>
        <v>0.96618165403531064</v>
      </c>
    </row>
    <row r="180" spans="1:8" x14ac:dyDescent="0.2">
      <c r="A180" s="279">
        <v>0</v>
      </c>
      <c r="B180" s="280" t="s">
        <v>1062</v>
      </c>
      <c r="C180" s="281" t="s">
        <v>142</v>
      </c>
      <c r="D180" s="282">
        <v>43</v>
      </c>
      <c r="E180" s="283">
        <v>95</v>
      </c>
      <c r="F180" s="283">
        <v>4085</v>
      </c>
      <c r="G180" s="284">
        <v>5.860304937804734E-4</v>
      </c>
      <c r="H180" s="284">
        <f t="shared" si="2"/>
        <v>0.96676768452909112</v>
      </c>
    </row>
    <row r="181" spans="1:8" x14ac:dyDescent="0.2">
      <c r="A181" s="279">
        <v>0</v>
      </c>
      <c r="B181" s="280" t="s">
        <v>962</v>
      </c>
      <c r="C181" s="281" t="s">
        <v>170</v>
      </c>
      <c r="D181" s="282">
        <v>1</v>
      </c>
      <c r="E181" s="283">
        <v>3985.7708942187569</v>
      </c>
      <c r="F181" s="283">
        <v>3985.7708942187569</v>
      </c>
      <c r="G181" s="284">
        <v>5.7179517386410209E-4</v>
      </c>
      <c r="H181" s="284">
        <f t="shared" si="2"/>
        <v>0.9673394797029552</v>
      </c>
    </row>
    <row r="182" spans="1:8" x14ac:dyDescent="0.2">
      <c r="A182" s="279">
        <v>0</v>
      </c>
      <c r="B182" s="280" t="s">
        <v>1022</v>
      </c>
      <c r="C182" s="281" t="s">
        <v>170</v>
      </c>
      <c r="D182" s="282">
        <v>1</v>
      </c>
      <c r="E182" s="283">
        <v>3958.8243394615042</v>
      </c>
      <c r="F182" s="283">
        <v>3958.8243394615042</v>
      </c>
      <c r="G182" s="284">
        <v>5.6792944490692326E-4</v>
      </c>
      <c r="H182" s="284">
        <f t="shared" si="2"/>
        <v>0.96790740914786211</v>
      </c>
    </row>
    <row r="183" spans="1:8" x14ac:dyDescent="0.2">
      <c r="A183" s="279">
        <v>0</v>
      </c>
      <c r="B183" s="280" t="s">
        <v>1017</v>
      </c>
      <c r="C183" s="281" t="s">
        <v>142</v>
      </c>
      <c r="D183" s="282">
        <v>1</v>
      </c>
      <c r="E183" s="283">
        <v>3958.8243394615042</v>
      </c>
      <c r="F183" s="283">
        <v>3958.8243394615042</v>
      </c>
      <c r="G183" s="284">
        <v>5.6792944490692326E-4</v>
      </c>
      <c r="H183" s="284">
        <f t="shared" si="2"/>
        <v>0.96847533859276902</v>
      </c>
    </row>
    <row r="184" spans="1:8" x14ac:dyDescent="0.2">
      <c r="A184" s="279">
        <v>0</v>
      </c>
      <c r="B184" s="280" t="s">
        <v>1011</v>
      </c>
      <c r="C184" s="281" t="s">
        <v>142</v>
      </c>
      <c r="D184" s="282">
        <v>1</v>
      </c>
      <c r="E184" s="283">
        <v>3899.3610449604566</v>
      </c>
      <c r="F184" s="283">
        <v>3899.3610449604566</v>
      </c>
      <c r="G184" s="284">
        <v>5.5939889317173049E-4</v>
      </c>
      <c r="H184" s="284">
        <f t="shared" si="2"/>
        <v>0.96903473748594071</v>
      </c>
    </row>
    <row r="185" spans="1:8" x14ac:dyDescent="0.2">
      <c r="A185" s="279">
        <v>0</v>
      </c>
      <c r="B185" s="280" t="s">
        <v>1057</v>
      </c>
      <c r="C185" s="281" t="s">
        <v>170</v>
      </c>
      <c r="D185" s="282">
        <v>1</v>
      </c>
      <c r="E185" s="283">
        <v>3886.46</v>
      </c>
      <c r="F185" s="283">
        <v>3886.46</v>
      </c>
      <c r="G185" s="284">
        <v>5.5754812065068752E-4</v>
      </c>
      <c r="H185" s="284">
        <f t="shared" si="2"/>
        <v>0.96959228560659139</v>
      </c>
    </row>
    <row r="186" spans="1:8" x14ac:dyDescent="0.2">
      <c r="A186" s="279">
        <v>0</v>
      </c>
      <c r="B186" s="280" t="s">
        <v>310</v>
      </c>
      <c r="C186" s="281" t="s">
        <v>142</v>
      </c>
      <c r="D186" s="282">
        <v>25.808</v>
      </c>
      <c r="E186" s="283">
        <v>150</v>
      </c>
      <c r="F186" s="283">
        <v>3871.2</v>
      </c>
      <c r="G186" s="284">
        <v>5.5535893452214645E-4</v>
      </c>
      <c r="H186" s="284">
        <f t="shared" si="2"/>
        <v>0.97014764454111357</v>
      </c>
    </row>
    <row r="187" spans="1:8" x14ac:dyDescent="0.2">
      <c r="A187" s="279">
        <v>0</v>
      </c>
      <c r="B187" s="280" t="s">
        <v>347</v>
      </c>
      <c r="C187" s="281" t="s">
        <v>140</v>
      </c>
      <c r="D187" s="282">
        <v>5.48</v>
      </c>
      <c r="E187" s="283">
        <v>700.88</v>
      </c>
      <c r="F187" s="283">
        <v>3840.8224000000005</v>
      </c>
      <c r="G187" s="284">
        <v>5.5100099084335447E-4</v>
      </c>
      <c r="H187" s="284">
        <f t="shared" si="2"/>
        <v>0.97069864553195695</v>
      </c>
    </row>
    <row r="188" spans="1:8" x14ac:dyDescent="0.2">
      <c r="A188" s="279">
        <v>0</v>
      </c>
      <c r="B188" s="280" t="s">
        <v>1009</v>
      </c>
      <c r="C188" s="281" t="s">
        <v>142</v>
      </c>
      <c r="D188" s="282">
        <v>1</v>
      </c>
      <c r="E188" s="283">
        <v>3781.1066595146744</v>
      </c>
      <c r="F188" s="283">
        <v>3781.1066595146744</v>
      </c>
      <c r="G188" s="284">
        <v>5.4243422343011529E-4</v>
      </c>
      <c r="H188" s="284">
        <f t="shared" si="2"/>
        <v>0.97124107975538709</v>
      </c>
    </row>
    <row r="189" spans="1:8" x14ac:dyDescent="0.2">
      <c r="A189" s="279">
        <v>0</v>
      </c>
      <c r="B189" s="280" t="s">
        <v>1198</v>
      </c>
      <c r="C189" s="281" t="s">
        <v>170</v>
      </c>
      <c r="D189" s="282">
        <v>1</v>
      </c>
      <c r="E189" s="283">
        <v>3772</v>
      </c>
      <c r="F189" s="283">
        <v>3772</v>
      </c>
      <c r="G189" s="284">
        <v>5.4112779009545789E-4</v>
      </c>
      <c r="H189" s="284">
        <f t="shared" si="2"/>
        <v>0.9717822075454825</v>
      </c>
    </row>
    <row r="190" spans="1:8" x14ac:dyDescent="0.2">
      <c r="A190" s="279">
        <v>0</v>
      </c>
      <c r="B190" s="280" t="s">
        <v>1061</v>
      </c>
      <c r="C190" s="281" t="s">
        <v>142</v>
      </c>
      <c r="D190" s="282">
        <v>240</v>
      </c>
      <c r="E190" s="283">
        <v>15</v>
      </c>
      <c r="F190" s="283">
        <v>3600</v>
      </c>
      <c r="G190" s="284">
        <v>5.1645282193628014E-4</v>
      </c>
      <c r="H190" s="284">
        <f t="shared" si="2"/>
        <v>0.97229866036741874</v>
      </c>
    </row>
    <row r="191" spans="1:8" x14ac:dyDescent="0.2">
      <c r="A191" s="279">
        <v>0</v>
      </c>
      <c r="B191" s="280" t="s">
        <v>594</v>
      </c>
      <c r="C191" s="281" t="s">
        <v>170</v>
      </c>
      <c r="D191" s="282">
        <v>1</v>
      </c>
      <c r="E191" s="283">
        <v>3500</v>
      </c>
      <c r="F191" s="283">
        <v>3500</v>
      </c>
      <c r="G191" s="284">
        <v>5.0210691021582783E-4</v>
      </c>
      <c r="H191" s="284">
        <f t="shared" si="2"/>
        <v>0.97280076727763454</v>
      </c>
    </row>
    <row r="192" spans="1:8" x14ac:dyDescent="0.2">
      <c r="A192" s="279">
        <v>0</v>
      </c>
      <c r="B192" s="280" t="s">
        <v>870</v>
      </c>
      <c r="C192" s="281" t="s">
        <v>142</v>
      </c>
      <c r="D192" s="282">
        <v>9.8999999999999986</v>
      </c>
      <c r="E192" s="283">
        <v>350</v>
      </c>
      <c r="F192" s="283">
        <v>3464.9999999999995</v>
      </c>
      <c r="G192" s="284">
        <v>4.9708584111366957E-4</v>
      </c>
      <c r="H192" s="284">
        <f t="shared" si="2"/>
        <v>0.97329785311874817</v>
      </c>
    </row>
    <row r="193" spans="1:8" x14ac:dyDescent="0.2">
      <c r="A193" s="279">
        <v>0</v>
      </c>
      <c r="B193" s="280" t="s">
        <v>367</v>
      </c>
      <c r="C193" s="281" t="s">
        <v>176</v>
      </c>
      <c r="D193" s="282">
        <v>290.93399999999997</v>
      </c>
      <c r="E193" s="283">
        <v>11.9</v>
      </c>
      <c r="F193" s="283">
        <v>3462.1145999999999</v>
      </c>
      <c r="G193" s="284">
        <v>4.9667190417688762E-4</v>
      </c>
      <c r="H193" s="284">
        <f t="shared" si="2"/>
        <v>0.97379452502292507</v>
      </c>
    </row>
    <row r="194" spans="1:8" x14ac:dyDescent="0.2">
      <c r="A194" s="279">
        <v>0</v>
      </c>
      <c r="B194" s="280" t="s">
        <v>261</v>
      </c>
      <c r="C194" s="281" t="s">
        <v>170</v>
      </c>
      <c r="D194" s="282">
        <v>1</v>
      </c>
      <c r="E194" s="283">
        <v>3420.2999999999997</v>
      </c>
      <c r="F194" s="283">
        <v>3420.2999999999997</v>
      </c>
      <c r="G194" s="284">
        <v>4.9067321857462743E-4</v>
      </c>
      <c r="H194" s="284">
        <f t="shared" si="2"/>
        <v>0.97428519824149973</v>
      </c>
    </row>
    <row r="195" spans="1:8" x14ac:dyDescent="0.2">
      <c r="A195" s="279">
        <v>0</v>
      </c>
      <c r="B195" s="280" t="s">
        <v>797</v>
      </c>
      <c r="C195" s="281" t="s">
        <v>142</v>
      </c>
      <c r="D195" s="282">
        <v>3409.92</v>
      </c>
      <c r="E195" s="283">
        <v>1</v>
      </c>
      <c r="F195" s="283">
        <v>3409.92</v>
      </c>
      <c r="G195" s="284">
        <v>4.8918411293804448E-4</v>
      </c>
      <c r="H195" s="284">
        <f t="shared" si="2"/>
        <v>0.97477438235443781</v>
      </c>
    </row>
    <row r="196" spans="1:8" x14ac:dyDescent="0.2">
      <c r="A196" s="279">
        <v>0</v>
      </c>
      <c r="B196" s="280" t="s">
        <v>370</v>
      </c>
      <c r="C196" s="281" t="s">
        <v>170</v>
      </c>
      <c r="D196" s="282">
        <v>22</v>
      </c>
      <c r="E196" s="283">
        <v>150</v>
      </c>
      <c r="F196" s="283">
        <v>3300</v>
      </c>
      <c r="G196" s="284">
        <v>4.7341508677492344E-4</v>
      </c>
      <c r="H196" s="284">
        <f t="shared" si="2"/>
        <v>0.9752477974412127</v>
      </c>
    </row>
    <row r="197" spans="1:8" x14ac:dyDescent="0.2">
      <c r="A197" s="279">
        <v>0</v>
      </c>
      <c r="B197" s="280" t="s">
        <v>973</v>
      </c>
      <c r="C197" s="281" t="s">
        <v>170</v>
      </c>
      <c r="D197" s="282">
        <v>1</v>
      </c>
      <c r="E197" s="283">
        <v>3218.5033858336856</v>
      </c>
      <c r="F197" s="283">
        <v>3218.5033858336856</v>
      </c>
      <c r="G197" s="284">
        <v>4.6172365445146637E-4</v>
      </c>
      <c r="H197" s="284">
        <f t="shared" si="2"/>
        <v>0.97570952109566422</v>
      </c>
    </row>
    <row r="198" spans="1:8" x14ac:dyDescent="0.2">
      <c r="A198" s="279">
        <v>0</v>
      </c>
      <c r="B198" s="280" t="s">
        <v>913</v>
      </c>
      <c r="C198" s="281" t="s">
        <v>681</v>
      </c>
      <c r="D198" s="282">
        <v>2.1033519999999997</v>
      </c>
      <c r="E198" s="283">
        <v>1500</v>
      </c>
      <c r="F198" s="283">
        <v>3155.0279999999993</v>
      </c>
      <c r="G198" s="284">
        <v>4.5261753163554932E-4</v>
      </c>
      <c r="H198" s="284">
        <f t="shared" si="2"/>
        <v>0.97616213862729972</v>
      </c>
    </row>
    <row r="199" spans="1:8" x14ac:dyDescent="0.2">
      <c r="A199" s="279">
        <v>0</v>
      </c>
      <c r="B199" s="280" t="s">
        <v>956</v>
      </c>
      <c r="C199" s="281" t="s">
        <v>170</v>
      </c>
      <c r="D199" s="282">
        <v>1</v>
      </c>
      <c r="E199" s="283">
        <v>3146.4227292376281</v>
      </c>
      <c r="F199" s="283">
        <v>3146.4227292376281</v>
      </c>
      <c r="G199" s="284">
        <v>4.5138302708867367E-4</v>
      </c>
      <c r="H199" s="284">
        <f t="shared" si="2"/>
        <v>0.97661352165438842</v>
      </c>
    </row>
    <row r="200" spans="1:8" x14ac:dyDescent="0.2">
      <c r="A200" s="279">
        <v>0</v>
      </c>
      <c r="B200" s="280" t="s">
        <v>1063</v>
      </c>
      <c r="C200" s="281" t="s">
        <v>142</v>
      </c>
      <c r="D200" s="282">
        <v>37</v>
      </c>
      <c r="E200" s="283">
        <v>85</v>
      </c>
      <c r="F200" s="283">
        <v>3145</v>
      </c>
      <c r="G200" s="284">
        <v>4.5117892360822245E-4</v>
      </c>
      <c r="H200" s="284">
        <f t="shared" ref="H200:H263" si="3">G200+H199</f>
        <v>0.97706470057799666</v>
      </c>
    </row>
    <row r="201" spans="1:8" x14ac:dyDescent="0.2">
      <c r="A201" s="279">
        <v>0</v>
      </c>
      <c r="B201" s="280" t="s">
        <v>1010</v>
      </c>
      <c r="C201" s="281" t="s">
        <v>142</v>
      </c>
      <c r="D201" s="282">
        <v>1</v>
      </c>
      <c r="E201" s="283">
        <v>3105.4375455373684</v>
      </c>
      <c r="F201" s="283">
        <v>3105.4375455373684</v>
      </c>
      <c r="G201" s="284">
        <v>4.4550332881656922E-4</v>
      </c>
      <c r="H201" s="284">
        <f t="shared" si="3"/>
        <v>0.9775102039068132</v>
      </c>
    </row>
    <row r="202" spans="1:8" x14ac:dyDescent="0.2">
      <c r="A202" s="279">
        <v>0</v>
      </c>
      <c r="B202" s="280" t="s">
        <v>704</v>
      </c>
      <c r="C202" s="281" t="s">
        <v>681</v>
      </c>
      <c r="D202" s="282">
        <v>2</v>
      </c>
      <c r="E202" s="283">
        <v>1533.99</v>
      </c>
      <c r="F202" s="283">
        <v>3067.98</v>
      </c>
      <c r="G202" s="284">
        <v>4.4012970240113019E-4</v>
      </c>
      <c r="H202" s="284">
        <f t="shared" si="3"/>
        <v>0.97795033360921435</v>
      </c>
    </row>
    <row r="203" spans="1:8" x14ac:dyDescent="0.2">
      <c r="A203" s="279">
        <v>0</v>
      </c>
      <c r="B203" s="280" t="s">
        <v>574</v>
      </c>
      <c r="C203" s="281" t="s">
        <v>170</v>
      </c>
      <c r="D203" s="282">
        <v>1</v>
      </c>
      <c r="E203" s="283">
        <v>2967</v>
      </c>
      <c r="F203" s="283">
        <v>2967</v>
      </c>
      <c r="G203" s="284">
        <v>4.256432007458175E-4</v>
      </c>
      <c r="H203" s="284">
        <f t="shared" si="3"/>
        <v>0.97837597680996014</v>
      </c>
    </row>
    <row r="204" spans="1:8" x14ac:dyDescent="0.2">
      <c r="A204" s="279">
        <v>0</v>
      </c>
      <c r="B204" s="280" t="s">
        <v>573</v>
      </c>
      <c r="C204" s="281" t="s">
        <v>170</v>
      </c>
      <c r="D204" s="282">
        <v>1</v>
      </c>
      <c r="E204" s="283">
        <v>2967</v>
      </c>
      <c r="F204" s="283">
        <v>2967</v>
      </c>
      <c r="G204" s="284">
        <v>4.256432007458175E-4</v>
      </c>
      <c r="H204" s="284">
        <f t="shared" si="3"/>
        <v>0.97880162001070592</v>
      </c>
    </row>
    <row r="205" spans="1:8" x14ac:dyDescent="0.2">
      <c r="A205" s="279">
        <v>0</v>
      </c>
      <c r="B205" s="280" t="s">
        <v>883</v>
      </c>
      <c r="C205" s="281" t="s">
        <v>681</v>
      </c>
      <c r="D205" s="282">
        <v>2</v>
      </c>
      <c r="E205" s="283">
        <v>1464</v>
      </c>
      <c r="F205" s="283">
        <v>2928</v>
      </c>
      <c r="G205" s="284">
        <v>4.2004829517484113E-4</v>
      </c>
      <c r="H205" s="284">
        <f t="shared" si="3"/>
        <v>0.97922166830588075</v>
      </c>
    </row>
    <row r="206" spans="1:8" x14ac:dyDescent="0.2">
      <c r="A206" s="279">
        <v>0</v>
      </c>
      <c r="B206" s="280" t="s">
        <v>819</v>
      </c>
      <c r="C206" s="281" t="s">
        <v>101</v>
      </c>
      <c r="D206" s="282">
        <v>22</v>
      </c>
      <c r="E206" s="283">
        <v>130</v>
      </c>
      <c r="F206" s="283">
        <v>2860</v>
      </c>
      <c r="G206" s="284">
        <v>4.1029307520493364E-4</v>
      </c>
      <c r="H206" s="284">
        <f t="shared" si="3"/>
        <v>0.97963196138108566</v>
      </c>
    </row>
    <row r="207" spans="1:8" x14ac:dyDescent="0.2">
      <c r="A207" s="279">
        <v>0</v>
      </c>
      <c r="B207" s="280" t="s">
        <v>1024</v>
      </c>
      <c r="C207" s="281" t="s">
        <v>170</v>
      </c>
      <c r="D207" s="282">
        <v>1</v>
      </c>
      <c r="E207" s="283">
        <v>2835.8299946360062</v>
      </c>
      <c r="F207" s="283">
        <v>2835.8299946360062</v>
      </c>
      <c r="G207" s="284">
        <v>4.0682566757258649E-4</v>
      </c>
      <c r="H207" s="284">
        <f t="shared" si="3"/>
        <v>0.98003878704865821</v>
      </c>
    </row>
    <row r="208" spans="1:8" x14ac:dyDescent="0.2">
      <c r="A208" s="279">
        <v>0</v>
      </c>
      <c r="B208" s="280" t="s">
        <v>1019</v>
      </c>
      <c r="C208" s="281" t="s">
        <v>142</v>
      </c>
      <c r="D208" s="282">
        <v>1</v>
      </c>
      <c r="E208" s="283">
        <v>2835.8299946360062</v>
      </c>
      <c r="F208" s="283">
        <v>2835.8299946360062</v>
      </c>
      <c r="G208" s="284">
        <v>4.0682566757258649E-4</v>
      </c>
      <c r="H208" s="284">
        <f t="shared" si="3"/>
        <v>0.98044561271623076</v>
      </c>
    </row>
    <row r="209" spans="1:8" x14ac:dyDescent="0.2">
      <c r="A209" s="279">
        <v>0</v>
      </c>
      <c r="B209" s="280" t="s">
        <v>699</v>
      </c>
      <c r="C209" s="281" t="s">
        <v>142</v>
      </c>
      <c r="D209" s="282">
        <v>1</v>
      </c>
      <c r="E209" s="283">
        <v>2826.9</v>
      </c>
      <c r="F209" s="283">
        <v>2826.9</v>
      </c>
      <c r="G209" s="284">
        <v>4.0554457842546397E-4</v>
      </c>
      <c r="H209" s="284">
        <f t="shared" si="3"/>
        <v>0.98085115729465622</v>
      </c>
    </row>
    <row r="210" spans="1:8" x14ac:dyDescent="0.2">
      <c r="A210" s="279">
        <v>0</v>
      </c>
      <c r="B210" s="280" t="s">
        <v>1142</v>
      </c>
      <c r="C210" s="281" t="s">
        <v>919</v>
      </c>
      <c r="D210" s="282">
        <v>926.51400000000001</v>
      </c>
      <c r="E210" s="283">
        <v>2.99</v>
      </c>
      <c r="F210" s="283">
        <v>2770.2768600000004</v>
      </c>
      <c r="G210" s="284">
        <v>3.9742147274771594E-4</v>
      </c>
      <c r="H210" s="284">
        <f t="shared" si="3"/>
        <v>0.9812485787674039</v>
      </c>
    </row>
    <row r="211" spans="1:8" x14ac:dyDescent="0.2">
      <c r="A211" s="279">
        <v>0</v>
      </c>
      <c r="B211" s="280" t="s">
        <v>359</v>
      </c>
      <c r="C211" s="281" t="s">
        <v>166</v>
      </c>
      <c r="D211" s="282">
        <v>21.084615599999999</v>
      </c>
      <c r="E211" s="283">
        <v>129</v>
      </c>
      <c r="F211" s="283">
        <v>2719.9154123999997</v>
      </c>
      <c r="G211" s="284">
        <v>3.9019666393387803E-4</v>
      </c>
      <c r="H211" s="284">
        <f t="shared" si="3"/>
        <v>0.98163877543133782</v>
      </c>
    </row>
    <row r="212" spans="1:8" x14ac:dyDescent="0.2">
      <c r="A212" s="279">
        <v>0</v>
      </c>
      <c r="B212" s="280" t="s">
        <v>213</v>
      </c>
      <c r="C212" s="281" t="s">
        <v>142</v>
      </c>
      <c r="D212" s="282">
        <v>2451</v>
      </c>
      <c r="E212" s="283">
        <v>1.1000000000000001</v>
      </c>
      <c r="F212" s="283">
        <v>2696.1000000000004</v>
      </c>
      <c r="G212" s="284">
        <v>3.8678012589511246E-4</v>
      </c>
      <c r="H212" s="284">
        <f t="shared" si="3"/>
        <v>0.98202555555723292</v>
      </c>
    </row>
    <row r="213" spans="1:8" x14ac:dyDescent="0.2">
      <c r="A213" s="279">
        <v>0</v>
      </c>
      <c r="B213" s="280" t="s">
        <v>700</v>
      </c>
      <c r="C213" s="281" t="s">
        <v>592</v>
      </c>
      <c r="D213" s="282">
        <v>6.2099999999999991</v>
      </c>
      <c r="E213" s="283">
        <v>425.63123993558781</v>
      </c>
      <c r="F213" s="283">
        <v>2643.17</v>
      </c>
      <c r="G213" s="284">
        <v>3.7918683482147708E-4</v>
      </c>
      <c r="H213" s="284">
        <f t="shared" si="3"/>
        <v>0.98240474239205444</v>
      </c>
    </row>
    <row r="214" spans="1:8" x14ac:dyDescent="0.2">
      <c r="A214" s="279">
        <v>0</v>
      </c>
      <c r="B214" s="280" t="s">
        <v>871</v>
      </c>
      <c r="C214" s="281" t="s">
        <v>142</v>
      </c>
      <c r="D214" s="282">
        <v>6.6000000000000014</v>
      </c>
      <c r="E214" s="283">
        <v>400</v>
      </c>
      <c r="F214" s="283">
        <v>2640.0000000000005</v>
      </c>
      <c r="G214" s="284">
        <v>3.7873206941993882E-4</v>
      </c>
      <c r="H214" s="284">
        <f t="shared" si="3"/>
        <v>0.9827834744614744</v>
      </c>
    </row>
    <row r="215" spans="1:8" x14ac:dyDescent="0.2">
      <c r="A215" s="279">
        <v>0</v>
      </c>
      <c r="B215" s="280" t="s">
        <v>1012</v>
      </c>
      <c r="C215" s="281" t="s">
        <v>142</v>
      </c>
      <c r="D215" s="282">
        <v>1</v>
      </c>
      <c r="E215" s="283">
        <v>2639.2162263076693</v>
      </c>
      <c r="F215" s="283">
        <v>2639.2162263076693</v>
      </c>
      <c r="G215" s="284">
        <v>3.7861962993794882E-4</v>
      </c>
      <c r="H215" s="284">
        <f t="shared" si="3"/>
        <v>0.98316209409141231</v>
      </c>
    </row>
    <row r="216" spans="1:8" x14ac:dyDescent="0.2">
      <c r="A216" s="279">
        <v>0</v>
      </c>
      <c r="B216" s="280" t="s">
        <v>577</v>
      </c>
      <c r="C216" s="281" t="s">
        <v>170</v>
      </c>
      <c r="D216" s="282">
        <v>1</v>
      </c>
      <c r="E216" s="283">
        <v>2588.5732803442297</v>
      </c>
      <c r="F216" s="283">
        <v>2588.5732803442297</v>
      </c>
      <c r="G216" s="284">
        <v>3.7135443761739746E-4</v>
      </c>
      <c r="H216" s="284">
        <f t="shared" si="3"/>
        <v>0.98353344852902969</v>
      </c>
    </row>
    <row r="217" spans="1:8" x14ac:dyDescent="0.2">
      <c r="A217" s="279">
        <v>0</v>
      </c>
      <c r="B217" s="280" t="s">
        <v>957</v>
      </c>
      <c r="C217" s="281" t="s">
        <v>170</v>
      </c>
      <c r="D217" s="282">
        <v>1</v>
      </c>
      <c r="E217" s="283">
        <v>2584.1691751591188</v>
      </c>
      <c r="F217" s="283">
        <v>2584.1691751591188</v>
      </c>
      <c r="G217" s="284">
        <v>3.7072262857546558E-4</v>
      </c>
      <c r="H217" s="284">
        <f t="shared" si="3"/>
        <v>0.9839041711576052</v>
      </c>
    </row>
    <row r="218" spans="1:8" x14ac:dyDescent="0.2">
      <c r="A218" s="279">
        <v>0</v>
      </c>
      <c r="B218" s="280" t="s">
        <v>582</v>
      </c>
      <c r="C218" s="281" t="s">
        <v>170</v>
      </c>
      <c r="D218" s="282">
        <v>1</v>
      </c>
      <c r="E218" s="283">
        <v>2528.2336255662462</v>
      </c>
      <c r="F218" s="283">
        <v>2528.2336255662462</v>
      </c>
      <c r="G218" s="284">
        <v>3.6269816401052234E-4</v>
      </c>
      <c r="H218" s="284">
        <f t="shared" si="3"/>
        <v>0.98426686932161578</v>
      </c>
    </row>
    <row r="219" spans="1:8" x14ac:dyDescent="0.2">
      <c r="A219" s="279">
        <v>0</v>
      </c>
      <c r="B219" s="280" t="s">
        <v>734</v>
      </c>
      <c r="C219" s="281" t="s">
        <v>159</v>
      </c>
      <c r="D219" s="282">
        <v>597.79198334999967</v>
      </c>
      <c r="E219" s="283">
        <v>4.2</v>
      </c>
      <c r="F219" s="283">
        <v>2510.7263300699988</v>
      </c>
      <c r="G219" s="284">
        <v>3.6018658285399198E-4</v>
      </c>
      <c r="H219" s="284">
        <f t="shared" si="3"/>
        <v>0.98462705590446975</v>
      </c>
    </row>
    <row r="220" spans="1:8" x14ac:dyDescent="0.2">
      <c r="A220" s="279">
        <v>0</v>
      </c>
      <c r="B220" s="280" t="s">
        <v>934</v>
      </c>
      <c r="C220" s="281" t="s">
        <v>170</v>
      </c>
      <c r="D220" s="282">
        <v>8</v>
      </c>
      <c r="E220" s="283">
        <v>301.94215024203669</v>
      </c>
      <c r="F220" s="283">
        <v>2415.5372019362935</v>
      </c>
      <c r="G220" s="284">
        <v>3.4653083456446246E-4</v>
      </c>
      <c r="H220" s="284">
        <f t="shared" si="3"/>
        <v>0.98497358673903423</v>
      </c>
    </row>
    <row r="221" spans="1:8" x14ac:dyDescent="0.2">
      <c r="A221" s="279">
        <v>0</v>
      </c>
      <c r="B221" s="280" t="s">
        <v>613</v>
      </c>
      <c r="C221" s="281" t="s">
        <v>142</v>
      </c>
      <c r="D221" s="282">
        <v>1500.9005500000001</v>
      </c>
      <c r="E221" s="283">
        <v>1.56</v>
      </c>
      <c r="F221" s="283">
        <v>2341.4048580000003</v>
      </c>
      <c r="G221" s="284">
        <v>3.358958739470598E-4</v>
      </c>
      <c r="H221" s="284">
        <f t="shared" si="3"/>
        <v>0.98530948261298135</v>
      </c>
    </row>
    <row r="222" spans="1:8" x14ac:dyDescent="0.2">
      <c r="A222" s="279">
        <v>0</v>
      </c>
      <c r="B222" s="280" t="s">
        <v>350</v>
      </c>
      <c r="C222" s="281" t="s">
        <v>170</v>
      </c>
      <c r="D222" s="282">
        <v>1</v>
      </c>
      <c r="E222" s="283">
        <v>2332.5602176638477</v>
      </c>
      <c r="F222" s="283">
        <v>2332.5602176638477</v>
      </c>
      <c r="G222" s="284">
        <v>3.3462702965244385E-4</v>
      </c>
      <c r="H222" s="284">
        <f t="shared" si="3"/>
        <v>0.98564410964263383</v>
      </c>
    </row>
    <row r="223" spans="1:8" x14ac:dyDescent="0.2">
      <c r="A223" s="279">
        <v>0</v>
      </c>
      <c r="B223" s="280" t="s">
        <v>753</v>
      </c>
      <c r="C223" s="281" t="s">
        <v>140</v>
      </c>
      <c r="D223" s="282">
        <v>66.209000000000003</v>
      </c>
      <c r="E223" s="283">
        <v>35.18</v>
      </c>
      <c r="F223" s="283">
        <v>2329.2326200000002</v>
      </c>
      <c r="G223" s="284">
        <v>3.3414965542917648E-4</v>
      </c>
      <c r="H223" s="284">
        <f t="shared" si="3"/>
        <v>0.98597825929806304</v>
      </c>
    </row>
    <row r="224" spans="1:8" x14ac:dyDescent="0.2">
      <c r="A224" s="279">
        <v>0</v>
      </c>
      <c r="B224" s="280" t="s">
        <v>1025</v>
      </c>
      <c r="C224" s="281" t="s">
        <v>170</v>
      </c>
      <c r="D224" s="282">
        <v>1</v>
      </c>
      <c r="E224" s="283">
        <v>2329.0781591530267</v>
      </c>
      <c r="F224" s="283">
        <v>2329.0781591530267</v>
      </c>
      <c r="G224" s="284">
        <v>3.34127496612427E-4</v>
      </c>
      <c r="H224" s="284">
        <f t="shared" si="3"/>
        <v>0.98631238679467548</v>
      </c>
    </row>
    <row r="225" spans="1:8" x14ac:dyDescent="0.2">
      <c r="A225" s="279">
        <v>0</v>
      </c>
      <c r="B225" s="280" t="s">
        <v>1020</v>
      </c>
      <c r="C225" s="281" t="s">
        <v>142</v>
      </c>
      <c r="D225" s="282">
        <v>1</v>
      </c>
      <c r="E225" s="283">
        <v>2329.0781591530267</v>
      </c>
      <c r="F225" s="283">
        <v>2329.0781591530267</v>
      </c>
      <c r="G225" s="284">
        <v>3.34127496612427E-4</v>
      </c>
      <c r="H225" s="284">
        <f t="shared" si="3"/>
        <v>0.98664651429128791</v>
      </c>
    </row>
    <row r="226" spans="1:8" x14ac:dyDescent="0.2">
      <c r="A226" s="279">
        <v>0</v>
      </c>
      <c r="B226" s="280" t="s">
        <v>358</v>
      </c>
      <c r="C226" s="281" t="s">
        <v>176</v>
      </c>
      <c r="D226" s="282">
        <v>243.73050000000001</v>
      </c>
      <c r="E226" s="283">
        <v>9.44</v>
      </c>
      <c r="F226" s="283">
        <v>2300.81592</v>
      </c>
      <c r="G226" s="284">
        <v>3.3007302073331069E-4</v>
      </c>
      <c r="H226" s="284">
        <f t="shared" si="3"/>
        <v>0.9869765873120212</v>
      </c>
    </row>
    <row r="227" spans="1:8" x14ac:dyDescent="0.2">
      <c r="A227" s="279">
        <v>0</v>
      </c>
      <c r="B227" s="280" t="s">
        <v>381</v>
      </c>
      <c r="C227" s="281" t="s">
        <v>170</v>
      </c>
      <c r="D227" s="282">
        <v>1</v>
      </c>
      <c r="E227" s="283">
        <v>2250</v>
      </c>
      <c r="F227" s="283">
        <v>2250</v>
      </c>
      <c r="G227" s="284">
        <v>3.2278301371017507E-4</v>
      </c>
      <c r="H227" s="284">
        <f t="shared" si="3"/>
        <v>0.98729937032573134</v>
      </c>
    </row>
    <row r="228" spans="1:8" x14ac:dyDescent="0.2">
      <c r="A228" s="279">
        <v>0</v>
      </c>
      <c r="B228" s="280" t="s">
        <v>882</v>
      </c>
      <c r="C228" s="281" t="s">
        <v>681</v>
      </c>
      <c r="D228" s="282">
        <v>1</v>
      </c>
      <c r="E228" s="283">
        <v>2187</v>
      </c>
      <c r="F228" s="283">
        <v>2187</v>
      </c>
      <c r="G228" s="284">
        <v>3.1374508932629017E-4</v>
      </c>
      <c r="H228" s="284">
        <f t="shared" si="3"/>
        <v>0.98761311541505759</v>
      </c>
    </row>
    <row r="229" spans="1:8" x14ac:dyDescent="0.2">
      <c r="A229" s="279">
        <v>0</v>
      </c>
      <c r="B229" s="280" t="s">
        <v>325</v>
      </c>
      <c r="C229" s="281" t="s">
        <v>140</v>
      </c>
      <c r="D229" s="282">
        <v>484.89</v>
      </c>
      <c r="E229" s="283">
        <v>4.5</v>
      </c>
      <c r="F229" s="283">
        <v>2182.0050000000001</v>
      </c>
      <c r="G229" s="284">
        <v>3.1302851103585358E-4</v>
      </c>
      <c r="H229" s="284">
        <f t="shared" si="3"/>
        <v>0.98792614392609346</v>
      </c>
    </row>
    <row r="230" spans="1:8" x14ac:dyDescent="0.2">
      <c r="A230" s="279">
        <v>0</v>
      </c>
      <c r="B230" s="280" t="s">
        <v>974</v>
      </c>
      <c r="C230" s="281" t="s">
        <v>170</v>
      </c>
      <c r="D230" s="282">
        <v>1</v>
      </c>
      <c r="E230" s="283">
        <v>2178.3892956761529</v>
      </c>
      <c r="F230" s="283">
        <v>2178.3892956761529</v>
      </c>
      <c r="G230" s="284">
        <v>3.1250980528548189E-4</v>
      </c>
      <c r="H230" s="284">
        <f t="shared" si="3"/>
        <v>0.98823865373137898</v>
      </c>
    </row>
    <row r="231" spans="1:8" x14ac:dyDescent="0.2">
      <c r="A231" s="279">
        <v>0</v>
      </c>
      <c r="B231" s="280" t="s">
        <v>289</v>
      </c>
      <c r="C231" s="281" t="s">
        <v>176</v>
      </c>
      <c r="D231" s="282">
        <v>21.29064</v>
      </c>
      <c r="E231" s="283">
        <v>101.92</v>
      </c>
      <c r="F231" s="283">
        <v>2169.9420288000001</v>
      </c>
      <c r="G231" s="284">
        <v>3.1129796783663802E-4</v>
      </c>
      <c r="H231" s="284">
        <f t="shared" si="3"/>
        <v>0.98854995169921567</v>
      </c>
    </row>
    <row r="232" spans="1:8" x14ac:dyDescent="0.2">
      <c r="A232" s="279">
        <v>0</v>
      </c>
      <c r="B232" s="280" t="s">
        <v>590</v>
      </c>
      <c r="C232" s="281" t="s">
        <v>170</v>
      </c>
      <c r="D232" s="282">
        <v>1</v>
      </c>
      <c r="E232" s="283">
        <v>2111.2724197693183</v>
      </c>
      <c r="F232" s="283">
        <v>2111.2724197693183</v>
      </c>
      <c r="G232" s="284">
        <v>3.0288127751836193E-4</v>
      </c>
      <c r="H232" s="284">
        <f t="shared" si="3"/>
        <v>0.98885283297673399</v>
      </c>
    </row>
    <row r="233" spans="1:8" x14ac:dyDescent="0.2">
      <c r="A233" s="279">
        <v>0</v>
      </c>
      <c r="B233" s="280" t="s">
        <v>354</v>
      </c>
      <c r="C233" s="281" t="s">
        <v>170</v>
      </c>
      <c r="D233" s="282">
        <v>1</v>
      </c>
      <c r="E233" s="283">
        <v>2043.1499684351852</v>
      </c>
      <c r="F233" s="283">
        <v>2043.1499684351852</v>
      </c>
      <c r="G233" s="284">
        <v>2.9310849078815918E-4</v>
      </c>
      <c r="H233" s="284">
        <f t="shared" si="3"/>
        <v>0.98914594146752211</v>
      </c>
    </row>
    <row r="234" spans="1:8" x14ac:dyDescent="0.2">
      <c r="A234" s="279">
        <v>0</v>
      </c>
      <c r="B234" s="280" t="s">
        <v>396</v>
      </c>
      <c r="C234" s="281" t="s">
        <v>170</v>
      </c>
      <c r="D234" s="282">
        <v>1</v>
      </c>
      <c r="E234" s="283">
        <v>2000</v>
      </c>
      <c r="F234" s="283">
        <v>2000</v>
      </c>
      <c r="G234" s="284">
        <v>2.8691823440904447E-4</v>
      </c>
      <c r="H234" s="284">
        <f t="shared" si="3"/>
        <v>0.98943285970193118</v>
      </c>
    </row>
    <row r="235" spans="1:8" x14ac:dyDescent="0.2">
      <c r="A235" s="279">
        <v>0</v>
      </c>
      <c r="B235" s="280" t="s">
        <v>1088</v>
      </c>
      <c r="C235" s="281" t="s">
        <v>140</v>
      </c>
      <c r="D235" s="282">
        <v>44.08</v>
      </c>
      <c r="E235" s="283">
        <v>44.956704738697304</v>
      </c>
      <c r="F235" s="283">
        <v>1981.6915448817772</v>
      </c>
      <c r="G235" s="284">
        <v>2.8429171960040562E-4</v>
      </c>
      <c r="H235" s="284">
        <f t="shared" si="3"/>
        <v>0.9897171514215316</v>
      </c>
    </row>
    <row r="236" spans="1:8" x14ac:dyDescent="0.2">
      <c r="A236" s="279">
        <v>0</v>
      </c>
      <c r="B236" s="280" t="s">
        <v>916</v>
      </c>
      <c r="C236" s="281" t="s">
        <v>681</v>
      </c>
      <c r="D236" s="282">
        <v>58.932567999999996</v>
      </c>
      <c r="E236" s="283">
        <v>32.5</v>
      </c>
      <c r="F236" s="283">
        <v>1915.30846</v>
      </c>
      <c r="G236" s="284">
        <v>2.7476846084595303E-4</v>
      </c>
      <c r="H236" s="284">
        <f t="shared" si="3"/>
        <v>0.98999191988237756</v>
      </c>
    </row>
    <row r="237" spans="1:8" x14ac:dyDescent="0.2">
      <c r="A237" s="279">
        <v>0</v>
      </c>
      <c r="B237" s="280" t="s">
        <v>1014</v>
      </c>
      <c r="C237" s="281" t="s">
        <v>142</v>
      </c>
      <c r="D237" s="282">
        <v>1</v>
      </c>
      <c r="E237" s="283">
        <v>1890.5533297573372</v>
      </c>
      <c r="F237" s="283">
        <v>1890.5533297573372</v>
      </c>
      <c r="G237" s="284">
        <v>2.7121711171505764E-4</v>
      </c>
      <c r="H237" s="284">
        <f t="shared" si="3"/>
        <v>0.99026313699409263</v>
      </c>
    </row>
    <row r="238" spans="1:8" x14ac:dyDescent="0.2">
      <c r="A238" s="279">
        <v>0</v>
      </c>
      <c r="B238" s="280" t="s">
        <v>990</v>
      </c>
      <c r="C238" s="281" t="s">
        <v>170</v>
      </c>
      <c r="D238" s="282">
        <v>1</v>
      </c>
      <c r="E238" s="283">
        <v>1890.0901252411704</v>
      </c>
      <c r="F238" s="283">
        <v>1890.0901252411704</v>
      </c>
      <c r="G238" s="284">
        <v>2.7115066080408322E-4</v>
      </c>
      <c r="H238" s="284">
        <f t="shared" si="3"/>
        <v>0.99053428765489671</v>
      </c>
    </row>
    <row r="239" spans="1:8" x14ac:dyDescent="0.2">
      <c r="A239" s="279">
        <v>0</v>
      </c>
      <c r="B239" s="280" t="s">
        <v>818</v>
      </c>
      <c r="C239" s="281" t="s">
        <v>101</v>
      </c>
      <c r="D239" s="282">
        <v>22</v>
      </c>
      <c r="E239" s="283">
        <v>84</v>
      </c>
      <c r="F239" s="283">
        <v>1848</v>
      </c>
      <c r="G239" s="284">
        <v>2.6511244859395714E-4</v>
      </c>
      <c r="H239" s="284">
        <f t="shared" si="3"/>
        <v>0.99079940010349066</v>
      </c>
    </row>
    <row r="240" spans="1:8" x14ac:dyDescent="0.2">
      <c r="A240" s="279">
        <v>0</v>
      </c>
      <c r="B240" s="280" t="s">
        <v>872</v>
      </c>
      <c r="C240" s="281" t="s">
        <v>142</v>
      </c>
      <c r="D240" s="282">
        <v>3.3000000000000007</v>
      </c>
      <c r="E240" s="283">
        <v>550</v>
      </c>
      <c r="F240" s="283">
        <v>1815.0000000000005</v>
      </c>
      <c r="G240" s="284">
        <v>2.6037829772620797E-4</v>
      </c>
      <c r="H240" s="284">
        <f t="shared" si="3"/>
        <v>0.99105977840121684</v>
      </c>
    </row>
    <row r="241" spans="1:8" x14ac:dyDescent="0.2">
      <c r="A241" s="279">
        <v>0</v>
      </c>
      <c r="B241" s="280" t="s">
        <v>933</v>
      </c>
      <c r="C241" s="281" t="s">
        <v>170</v>
      </c>
      <c r="D241" s="282">
        <v>22</v>
      </c>
      <c r="E241" s="283">
        <v>78</v>
      </c>
      <c r="F241" s="283">
        <v>1716</v>
      </c>
      <c r="G241" s="284">
        <v>2.4617584512296017E-4</v>
      </c>
      <c r="H241" s="284">
        <f t="shared" si="3"/>
        <v>0.99130595424633983</v>
      </c>
    </row>
    <row r="242" spans="1:8" x14ac:dyDescent="0.2">
      <c r="A242" s="279">
        <v>0</v>
      </c>
      <c r="B242" s="280" t="s">
        <v>355</v>
      </c>
      <c r="C242" s="281" t="s">
        <v>159</v>
      </c>
      <c r="D242" s="282">
        <v>93.789000000000001</v>
      </c>
      <c r="E242" s="283">
        <v>17.990000000000002</v>
      </c>
      <c r="F242" s="283">
        <v>1687.2641100000003</v>
      </c>
      <c r="G242" s="284">
        <v>2.4205341971147396E-4</v>
      </c>
      <c r="H242" s="284">
        <f t="shared" si="3"/>
        <v>0.99154800766605133</v>
      </c>
    </row>
    <row r="243" spans="1:8" x14ac:dyDescent="0.2">
      <c r="A243" s="279">
        <v>0</v>
      </c>
      <c r="B243" s="280" t="s">
        <v>179</v>
      </c>
      <c r="C243" s="281" t="s">
        <v>159</v>
      </c>
      <c r="D243" s="282">
        <v>274.98309999999998</v>
      </c>
      <c r="E243" s="283">
        <v>6.11</v>
      </c>
      <c r="F243" s="283">
        <v>1680.146741</v>
      </c>
      <c r="G243" s="284">
        <v>2.4103236823791509E-4</v>
      </c>
      <c r="H243" s="284">
        <f t="shared" si="3"/>
        <v>0.99178904003428925</v>
      </c>
    </row>
    <row r="244" spans="1:8" x14ac:dyDescent="0.2">
      <c r="A244" s="279">
        <v>0</v>
      </c>
      <c r="B244" s="280" t="s">
        <v>1199</v>
      </c>
      <c r="C244" s="281" t="s">
        <v>170</v>
      </c>
      <c r="D244" s="282">
        <v>1</v>
      </c>
      <c r="E244" s="283">
        <v>1615</v>
      </c>
      <c r="F244" s="283">
        <v>1615</v>
      </c>
      <c r="G244" s="284">
        <v>2.3168647428530343E-4</v>
      </c>
      <c r="H244" s="284">
        <f t="shared" si="3"/>
        <v>0.99202072650857454</v>
      </c>
    </row>
    <row r="245" spans="1:8" x14ac:dyDescent="0.2">
      <c r="A245" s="279">
        <v>0</v>
      </c>
      <c r="B245" s="280" t="s">
        <v>976</v>
      </c>
      <c r="C245" s="281" t="s">
        <v>170</v>
      </c>
      <c r="D245" s="282">
        <v>1</v>
      </c>
      <c r="E245" s="283">
        <v>1560.4485511253404</v>
      </c>
      <c r="F245" s="283">
        <v>1560.4485511253404</v>
      </c>
      <c r="G245" s="284">
        <v>2.2386057158751713E-4</v>
      </c>
      <c r="H245" s="284">
        <f t="shared" si="3"/>
        <v>0.99224458708016205</v>
      </c>
    </row>
    <row r="246" spans="1:8" x14ac:dyDescent="0.2">
      <c r="A246" s="279">
        <v>0</v>
      </c>
      <c r="B246" s="280" t="s">
        <v>1015</v>
      </c>
      <c r="C246" s="281" t="s">
        <v>142</v>
      </c>
      <c r="D246" s="282">
        <v>1</v>
      </c>
      <c r="E246" s="283">
        <v>1552.7187727686842</v>
      </c>
      <c r="F246" s="283">
        <v>1552.7187727686842</v>
      </c>
      <c r="G246" s="284">
        <v>2.2275166440828461E-4</v>
      </c>
      <c r="H246" s="284">
        <f t="shared" si="3"/>
        <v>0.99246733874457038</v>
      </c>
    </row>
    <row r="247" spans="1:8" x14ac:dyDescent="0.2">
      <c r="A247" s="279">
        <v>0</v>
      </c>
      <c r="B247" s="280" t="s">
        <v>610</v>
      </c>
      <c r="C247" s="281" t="s">
        <v>159</v>
      </c>
      <c r="D247" s="282">
        <v>251.90000000000003</v>
      </c>
      <c r="E247" s="283">
        <v>6.1</v>
      </c>
      <c r="F247" s="283">
        <v>1536.5900000000001</v>
      </c>
      <c r="G247" s="284">
        <v>2.2043784490529685E-4</v>
      </c>
      <c r="H247" s="284">
        <f t="shared" si="3"/>
        <v>0.99268777658947571</v>
      </c>
    </row>
    <row r="248" spans="1:8" x14ac:dyDescent="0.2">
      <c r="A248" s="279">
        <v>0</v>
      </c>
      <c r="B248" s="280" t="s">
        <v>1189</v>
      </c>
      <c r="C248" s="281" t="s">
        <v>158</v>
      </c>
      <c r="D248" s="282">
        <v>24.05</v>
      </c>
      <c r="E248" s="283">
        <v>60</v>
      </c>
      <c r="F248" s="283">
        <v>1443</v>
      </c>
      <c r="G248" s="284">
        <v>2.070115061261256E-4</v>
      </c>
      <c r="H248" s="284">
        <f t="shared" si="3"/>
        <v>0.99289478809560183</v>
      </c>
    </row>
    <row r="249" spans="1:8" x14ac:dyDescent="0.2">
      <c r="A249" s="279">
        <v>0</v>
      </c>
      <c r="B249" s="280" t="s">
        <v>373</v>
      </c>
      <c r="C249" s="281" t="s">
        <v>140</v>
      </c>
      <c r="D249" s="282">
        <v>135.95999999999998</v>
      </c>
      <c r="E249" s="283">
        <v>10.5</v>
      </c>
      <c r="F249" s="283">
        <v>1427.5799999999997</v>
      </c>
      <c r="G249" s="284">
        <v>2.0479936653883184E-4</v>
      </c>
      <c r="H249" s="284">
        <f t="shared" si="3"/>
        <v>0.99309958746214066</v>
      </c>
    </row>
    <row r="250" spans="1:8" x14ac:dyDescent="0.2">
      <c r="A250" s="279">
        <v>0</v>
      </c>
      <c r="B250" s="280" t="s">
        <v>715</v>
      </c>
      <c r="C250" s="281" t="s">
        <v>142</v>
      </c>
      <c r="D250" s="282">
        <v>6435.6803799999989</v>
      </c>
      <c r="E250" s="283">
        <v>0.22</v>
      </c>
      <c r="F250" s="283">
        <v>1415.8496835999997</v>
      </c>
      <c r="G250" s="284">
        <v>2.0311654570355809E-4</v>
      </c>
      <c r="H250" s="284">
        <f t="shared" si="3"/>
        <v>0.99330270400784426</v>
      </c>
    </row>
    <row r="251" spans="1:8" x14ac:dyDescent="0.2">
      <c r="A251" s="279">
        <v>0</v>
      </c>
      <c r="B251" s="280" t="s">
        <v>228</v>
      </c>
      <c r="C251" s="281" t="s">
        <v>170</v>
      </c>
      <c r="D251" s="282">
        <v>1</v>
      </c>
      <c r="E251" s="283">
        <v>1400</v>
      </c>
      <c r="F251" s="283">
        <v>1400</v>
      </c>
      <c r="G251" s="284">
        <v>2.0084276408633114E-4</v>
      </c>
      <c r="H251" s="284">
        <f t="shared" si="3"/>
        <v>0.99350354677193065</v>
      </c>
    </row>
    <row r="252" spans="1:8" x14ac:dyDescent="0.2">
      <c r="A252" s="279">
        <v>0</v>
      </c>
      <c r="B252" s="280" t="s">
        <v>795</v>
      </c>
      <c r="C252" s="281" t="s">
        <v>142</v>
      </c>
      <c r="D252" s="282">
        <v>256</v>
      </c>
      <c r="E252" s="283">
        <v>5.17</v>
      </c>
      <c r="F252" s="283">
        <v>1323.52</v>
      </c>
      <c r="G252" s="284">
        <v>1.8987101080252929E-4</v>
      </c>
      <c r="H252" s="284">
        <f t="shared" si="3"/>
        <v>0.99369341778273312</v>
      </c>
    </row>
    <row r="253" spans="1:8" x14ac:dyDescent="0.2">
      <c r="A253" s="279">
        <v>0</v>
      </c>
      <c r="B253" s="280" t="s">
        <v>764</v>
      </c>
      <c r="C253" s="281" t="s">
        <v>140</v>
      </c>
      <c r="D253" s="282">
        <v>13.31085</v>
      </c>
      <c r="E253" s="283">
        <v>98</v>
      </c>
      <c r="F253" s="283">
        <v>1304.4633000000001</v>
      </c>
      <c r="G253" s="284">
        <v>1.8713715344369789E-4</v>
      </c>
      <c r="H253" s="284">
        <f t="shared" si="3"/>
        <v>0.99388055493617677</v>
      </c>
    </row>
    <row r="254" spans="1:8" x14ac:dyDescent="0.2">
      <c r="A254" s="279">
        <v>0</v>
      </c>
      <c r="B254" s="280" t="s">
        <v>977</v>
      </c>
      <c r="C254" s="281" t="s">
        <v>170</v>
      </c>
      <c r="D254" s="282">
        <v>1</v>
      </c>
      <c r="E254" s="283">
        <v>1281.602439420742</v>
      </c>
      <c r="F254" s="283">
        <v>1281.602439420742</v>
      </c>
      <c r="G254" s="284">
        <v>1.8385755456646184E-4</v>
      </c>
      <c r="H254" s="284">
        <f t="shared" si="3"/>
        <v>0.99406441249074329</v>
      </c>
    </row>
    <row r="255" spans="1:8" x14ac:dyDescent="0.2">
      <c r="A255" s="279">
        <v>0</v>
      </c>
      <c r="B255" s="280" t="s">
        <v>922</v>
      </c>
      <c r="C255" s="281" t="s">
        <v>142</v>
      </c>
      <c r="D255" s="282">
        <v>521.87301400000001</v>
      </c>
      <c r="E255" s="283">
        <v>2.2999999999999998</v>
      </c>
      <c r="F255" s="283">
        <v>1200.3079321999999</v>
      </c>
      <c r="G255" s="284">
        <v>1.7219511632699753E-4</v>
      </c>
      <c r="H255" s="284">
        <f t="shared" si="3"/>
        <v>0.99423660760707033</v>
      </c>
    </row>
    <row r="256" spans="1:8" x14ac:dyDescent="0.2">
      <c r="A256" s="279">
        <v>0</v>
      </c>
      <c r="B256" s="280" t="s">
        <v>296</v>
      </c>
      <c r="C256" s="281" t="s">
        <v>170</v>
      </c>
      <c r="D256" s="282">
        <v>1</v>
      </c>
      <c r="E256" s="283">
        <v>1200</v>
      </c>
      <c r="F256" s="283">
        <v>1200</v>
      </c>
      <c r="G256" s="284">
        <v>1.7215094064542669E-4</v>
      </c>
      <c r="H256" s="284">
        <f t="shared" si="3"/>
        <v>0.99440875854771571</v>
      </c>
    </row>
    <row r="257" spans="1:8" x14ac:dyDescent="0.2">
      <c r="A257" s="279">
        <v>0</v>
      </c>
      <c r="B257" s="280" t="s">
        <v>171</v>
      </c>
      <c r="C257" s="281" t="s">
        <v>176</v>
      </c>
      <c r="D257" s="282">
        <v>186.45333086809998</v>
      </c>
      <c r="E257" s="283">
        <v>6.34</v>
      </c>
      <c r="F257" s="283">
        <v>1182.1141177037539</v>
      </c>
      <c r="G257" s="284">
        <v>1.6958504776078324E-4</v>
      </c>
      <c r="H257" s="284">
        <f t="shared" si="3"/>
        <v>0.99457834359547648</v>
      </c>
    </row>
    <row r="258" spans="1:8" x14ac:dyDescent="0.2">
      <c r="A258" s="279">
        <v>0</v>
      </c>
      <c r="B258" s="280" t="s">
        <v>196</v>
      </c>
      <c r="C258" s="281" t="s">
        <v>159</v>
      </c>
      <c r="D258" s="282">
        <v>99.805194720461998</v>
      </c>
      <c r="E258" s="283">
        <v>11.5</v>
      </c>
      <c r="F258" s="283">
        <v>1147.7597392853129</v>
      </c>
      <c r="G258" s="284">
        <v>1.6465659896076359E-4</v>
      </c>
      <c r="H258" s="284">
        <f t="shared" si="3"/>
        <v>0.99474300019443729</v>
      </c>
    </row>
    <row r="259" spans="1:8" x14ac:dyDescent="0.2">
      <c r="A259" s="279">
        <v>0</v>
      </c>
      <c r="B259" s="280" t="s">
        <v>716</v>
      </c>
      <c r="C259" s="281" t="s">
        <v>142</v>
      </c>
      <c r="D259" s="282">
        <v>5145.8867999999993</v>
      </c>
      <c r="E259" s="283">
        <v>0.22</v>
      </c>
      <c r="F259" s="283">
        <v>1132.0950959999998</v>
      </c>
      <c r="G259" s="284">
        <v>1.6240936306372884E-4</v>
      </c>
      <c r="H259" s="284">
        <f t="shared" si="3"/>
        <v>0.99490540955750106</v>
      </c>
    </row>
    <row r="260" spans="1:8" x14ac:dyDescent="0.2">
      <c r="A260" s="279">
        <v>0</v>
      </c>
      <c r="B260" s="280" t="s">
        <v>915</v>
      </c>
      <c r="C260" s="281" t="s">
        <v>919</v>
      </c>
      <c r="D260" s="282">
        <v>132.02082399999998</v>
      </c>
      <c r="E260" s="283">
        <v>7.8</v>
      </c>
      <c r="F260" s="283">
        <v>1029.7624271999998</v>
      </c>
      <c r="G260" s="284">
        <v>1.4772880873649809E-4</v>
      </c>
      <c r="H260" s="284">
        <f t="shared" si="3"/>
        <v>0.99505313836623754</v>
      </c>
    </row>
    <row r="261" spans="1:8" x14ac:dyDescent="0.2">
      <c r="A261" s="279">
        <v>0</v>
      </c>
      <c r="B261" s="280" t="s">
        <v>762</v>
      </c>
      <c r="C261" s="281" t="s">
        <v>158</v>
      </c>
      <c r="D261" s="282">
        <v>33.575399999999995</v>
      </c>
      <c r="E261" s="283">
        <v>30</v>
      </c>
      <c r="F261" s="283">
        <v>1007.2619999999998</v>
      </c>
      <c r="G261" s="284">
        <v>1.4450091731366146E-4</v>
      </c>
      <c r="H261" s="284">
        <f t="shared" si="3"/>
        <v>0.99519763928355121</v>
      </c>
    </row>
    <row r="262" spans="1:8" x14ac:dyDescent="0.2">
      <c r="A262" s="279">
        <v>0</v>
      </c>
      <c r="B262" s="280" t="s">
        <v>1154</v>
      </c>
      <c r="C262" s="281" t="s">
        <v>159</v>
      </c>
      <c r="D262" s="282">
        <v>115.5</v>
      </c>
      <c r="E262" s="283">
        <v>8.33</v>
      </c>
      <c r="F262" s="283">
        <v>962.11500000000001</v>
      </c>
      <c r="G262" s="284">
        <v>1.3802416854922893E-4</v>
      </c>
      <c r="H262" s="284">
        <f t="shared" si="3"/>
        <v>0.99533566345210045</v>
      </c>
    </row>
    <row r="263" spans="1:8" x14ac:dyDescent="0.2">
      <c r="A263" s="279">
        <v>0</v>
      </c>
      <c r="B263" s="280" t="s">
        <v>369</v>
      </c>
      <c r="C263" s="281" t="s">
        <v>159</v>
      </c>
      <c r="D263" s="282">
        <v>29.553290000000001</v>
      </c>
      <c r="E263" s="283">
        <v>31.8</v>
      </c>
      <c r="F263" s="283">
        <v>939.794622</v>
      </c>
      <c r="G263" s="284">
        <v>1.3482210682567769E-4</v>
      </c>
      <c r="H263" s="284">
        <f t="shared" si="3"/>
        <v>0.99547048555892614</v>
      </c>
    </row>
    <row r="264" spans="1:8" x14ac:dyDescent="0.2">
      <c r="A264" s="279">
        <v>0</v>
      </c>
      <c r="B264" s="280" t="s">
        <v>1144</v>
      </c>
      <c r="C264" s="281" t="s">
        <v>142</v>
      </c>
      <c r="D264" s="282">
        <v>3088.38</v>
      </c>
      <c r="E264" s="283">
        <v>0.3</v>
      </c>
      <c r="F264" s="283">
        <v>926.51400000000001</v>
      </c>
      <c r="G264" s="284">
        <v>1.3291688051763072E-4</v>
      </c>
      <c r="H264" s="284">
        <f t="shared" ref="H264:H327" si="4">G264+H263</f>
        <v>0.99560340243944379</v>
      </c>
    </row>
    <row r="265" spans="1:8" x14ac:dyDescent="0.2">
      <c r="A265" s="279">
        <v>0</v>
      </c>
      <c r="B265" s="280" t="s">
        <v>391</v>
      </c>
      <c r="C265" s="281" t="s">
        <v>170</v>
      </c>
      <c r="D265" s="282">
        <v>1</v>
      </c>
      <c r="E265" s="283">
        <v>905.81</v>
      </c>
      <c r="F265" s="283">
        <v>905.81</v>
      </c>
      <c r="G265" s="284">
        <v>1.2994670295502829E-4</v>
      </c>
      <c r="H265" s="284">
        <f t="shared" si="4"/>
        <v>0.99573334914239886</v>
      </c>
    </row>
    <row r="266" spans="1:8" x14ac:dyDescent="0.2">
      <c r="A266" s="279">
        <v>0</v>
      </c>
      <c r="B266" s="280" t="s">
        <v>880</v>
      </c>
      <c r="C266" s="281" t="s">
        <v>681</v>
      </c>
      <c r="D266" s="282">
        <v>1</v>
      </c>
      <c r="E266" s="283">
        <v>889</v>
      </c>
      <c r="F266" s="283">
        <v>889</v>
      </c>
      <c r="G266" s="284">
        <v>1.2753515519482028E-4</v>
      </c>
      <c r="H266" s="284">
        <f t="shared" si="4"/>
        <v>0.99586088429759367</v>
      </c>
    </row>
    <row r="267" spans="1:8" x14ac:dyDescent="0.2">
      <c r="A267" s="279">
        <v>0</v>
      </c>
      <c r="B267" s="280" t="s">
        <v>312</v>
      </c>
      <c r="C267" s="281" t="s">
        <v>170</v>
      </c>
      <c r="D267" s="282">
        <v>1</v>
      </c>
      <c r="E267" s="283">
        <v>850</v>
      </c>
      <c r="F267" s="283">
        <v>850</v>
      </c>
      <c r="G267" s="284">
        <v>1.2194024962384391E-4</v>
      </c>
      <c r="H267" s="284">
        <f t="shared" si="4"/>
        <v>0.99598282454721754</v>
      </c>
    </row>
    <row r="268" spans="1:8" x14ac:dyDescent="0.2">
      <c r="A268" s="279">
        <v>0</v>
      </c>
      <c r="B268" s="280" t="s">
        <v>803</v>
      </c>
      <c r="C268" s="281" t="s">
        <v>142</v>
      </c>
      <c r="D268" s="282">
        <v>2</v>
      </c>
      <c r="E268" s="283">
        <v>420</v>
      </c>
      <c r="F268" s="283">
        <v>840</v>
      </c>
      <c r="G268" s="284">
        <v>1.2050565845179869E-4</v>
      </c>
      <c r="H268" s="284">
        <f t="shared" si="4"/>
        <v>0.99610333020566932</v>
      </c>
    </row>
    <row r="269" spans="1:8" x14ac:dyDescent="0.2">
      <c r="A269" s="279">
        <v>0</v>
      </c>
      <c r="B269" s="280" t="s">
        <v>886</v>
      </c>
      <c r="C269" s="281" t="s">
        <v>681</v>
      </c>
      <c r="D269" s="282">
        <v>2</v>
      </c>
      <c r="E269" s="283">
        <v>409.5</v>
      </c>
      <c r="F269" s="283">
        <v>819</v>
      </c>
      <c r="G269" s="284">
        <v>1.1749301699050373E-4</v>
      </c>
      <c r="H269" s="284">
        <f t="shared" si="4"/>
        <v>0.99622082322265981</v>
      </c>
    </row>
    <row r="270" spans="1:8" x14ac:dyDescent="0.2">
      <c r="A270" s="279">
        <v>0</v>
      </c>
      <c r="B270" s="280" t="s">
        <v>918</v>
      </c>
      <c r="C270" s="281" t="s">
        <v>681</v>
      </c>
      <c r="D270" s="282">
        <v>176.82351199999999</v>
      </c>
      <c r="E270" s="283">
        <v>4.5</v>
      </c>
      <c r="F270" s="283">
        <v>795.70580399999994</v>
      </c>
      <c r="G270" s="284">
        <v>1.1415125219635461E-4</v>
      </c>
      <c r="H270" s="284">
        <f t="shared" si="4"/>
        <v>0.99633497447485619</v>
      </c>
    </row>
    <row r="271" spans="1:8" x14ac:dyDescent="0.2">
      <c r="A271" s="279">
        <v>0</v>
      </c>
      <c r="B271" s="280" t="s">
        <v>691</v>
      </c>
      <c r="C271" s="281" t="s">
        <v>142</v>
      </c>
      <c r="D271" s="282">
        <v>484.38</v>
      </c>
      <c r="E271" s="283">
        <v>1.6420000000000001</v>
      </c>
      <c r="F271" s="283">
        <v>795.35196000000008</v>
      </c>
      <c r="G271" s="284">
        <v>1.141004900484865E-4</v>
      </c>
      <c r="H271" s="284">
        <f t="shared" si="4"/>
        <v>0.99644907496490465</v>
      </c>
    </row>
    <row r="272" spans="1:8" x14ac:dyDescent="0.2">
      <c r="A272" s="279">
        <v>0</v>
      </c>
      <c r="B272" s="280" t="s">
        <v>968</v>
      </c>
      <c r="C272" s="281" t="s">
        <v>170</v>
      </c>
      <c r="D272" s="282">
        <v>1</v>
      </c>
      <c r="E272" s="283">
        <v>779.87220899209137</v>
      </c>
      <c r="F272" s="283">
        <v>779.87220899209137</v>
      </c>
      <c r="G272" s="284">
        <v>1.118797786343461E-4</v>
      </c>
      <c r="H272" s="284">
        <f t="shared" si="4"/>
        <v>0.99656095474353901</v>
      </c>
    </row>
    <row r="273" spans="1:8" x14ac:dyDescent="0.2">
      <c r="A273" s="279">
        <v>0</v>
      </c>
      <c r="B273" s="280" t="s">
        <v>349</v>
      </c>
      <c r="C273" s="281" t="s">
        <v>140</v>
      </c>
      <c r="D273" s="282">
        <v>17.3124</v>
      </c>
      <c r="E273" s="283">
        <v>44.956704738697304</v>
      </c>
      <c r="F273" s="283">
        <v>778.30845511822326</v>
      </c>
      <c r="G273" s="284">
        <v>1.1165544388407583E-4</v>
      </c>
      <c r="H273" s="284">
        <f t="shared" si="4"/>
        <v>0.99667261018742304</v>
      </c>
    </row>
    <row r="274" spans="1:8" x14ac:dyDescent="0.2">
      <c r="A274" s="279">
        <v>0</v>
      </c>
      <c r="B274" s="280" t="s">
        <v>376</v>
      </c>
      <c r="C274" s="281" t="s">
        <v>142</v>
      </c>
      <c r="D274" s="282">
        <v>30.88</v>
      </c>
      <c r="E274" s="283">
        <v>24.69</v>
      </c>
      <c r="F274" s="283">
        <v>762.42719999999997</v>
      </c>
      <c r="G274" s="284">
        <v>1.0937713304471573E-4</v>
      </c>
      <c r="H274" s="284">
        <f t="shared" si="4"/>
        <v>0.99678198732046774</v>
      </c>
    </row>
    <row r="275" spans="1:8" x14ac:dyDescent="0.2">
      <c r="A275" s="279">
        <v>0</v>
      </c>
      <c r="B275" s="280" t="s">
        <v>214</v>
      </c>
      <c r="C275" s="281" t="s">
        <v>142</v>
      </c>
      <c r="D275" s="282">
        <v>2451</v>
      </c>
      <c r="E275" s="283">
        <v>0.3</v>
      </c>
      <c r="F275" s="283">
        <v>735.3</v>
      </c>
      <c r="G275" s="284">
        <v>1.054854888804852E-4</v>
      </c>
      <c r="H275" s="284">
        <f t="shared" si="4"/>
        <v>0.9968874728093482</v>
      </c>
    </row>
    <row r="276" spans="1:8" x14ac:dyDescent="0.2">
      <c r="A276" s="279">
        <v>0</v>
      </c>
      <c r="B276" s="280" t="s">
        <v>215</v>
      </c>
      <c r="C276" s="281" t="s">
        <v>142</v>
      </c>
      <c r="D276" s="282">
        <v>2451</v>
      </c>
      <c r="E276" s="283">
        <v>0.3</v>
      </c>
      <c r="F276" s="283">
        <v>735.3</v>
      </c>
      <c r="G276" s="284">
        <v>1.054854888804852E-4</v>
      </c>
      <c r="H276" s="284">
        <f t="shared" si="4"/>
        <v>0.99699295829822865</v>
      </c>
    </row>
    <row r="277" spans="1:8" x14ac:dyDescent="0.2">
      <c r="A277" s="279">
        <v>0</v>
      </c>
      <c r="B277" s="280" t="s">
        <v>794</v>
      </c>
      <c r="C277" s="281" t="s">
        <v>142</v>
      </c>
      <c r="D277" s="282">
        <v>256</v>
      </c>
      <c r="E277" s="283">
        <v>2.86</v>
      </c>
      <c r="F277" s="283">
        <v>732.16</v>
      </c>
      <c r="G277" s="284">
        <v>1.0503502725246301E-4</v>
      </c>
      <c r="H277" s="284">
        <f t="shared" si="4"/>
        <v>0.9970979933254811</v>
      </c>
    </row>
    <row r="278" spans="1:8" x14ac:dyDescent="0.2">
      <c r="A278" s="279">
        <v>0</v>
      </c>
      <c r="B278" s="280" t="s">
        <v>386</v>
      </c>
      <c r="C278" s="281" t="s">
        <v>166</v>
      </c>
      <c r="D278" s="282">
        <v>0.69423519999999994</v>
      </c>
      <c r="E278" s="283">
        <v>1050</v>
      </c>
      <c r="F278" s="283">
        <v>728.94695999999999</v>
      </c>
      <c r="G278" s="284">
        <v>1.0457408737052019E-4</v>
      </c>
      <c r="H278" s="284">
        <f t="shared" si="4"/>
        <v>0.99720256741285163</v>
      </c>
    </row>
    <row r="279" spans="1:8" x14ac:dyDescent="0.2">
      <c r="A279" s="279">
        <v>0</v>
      </c>
      <c r="B279" s="280" t="s">
        <v>380</v>
      </c>
      <c r="C279" s="281" t="s">
        <v>159</v>
      </c>
      <c r="D279" s="282">
        <v>28.110000000000003</v>
      </c>
      <c r="E279" s="283">
        <v>25.75</v>
      </c>
      <c r="F279" s="283">
        <v>723.8325000000001</v>
      </c>
      <c r="G279" s="284">
        <v>1.0384037145394236E-4</v>
      </c>
      <c r="H279" s="284">
        <f t="shared" si="4"/>
        <v>0.99730640778430557</v>
      </c>
    </row>
    <row r="280" spans="1:8" x14ac:dyDescent="0.2">
      <c r="A280" s="279">
        <v>0</v>
      </c>
      <c r="B280" s="280" t="s">
        <v>596</v>
      </c>
      <c r="C280" s="281" t="s">
        <v>170</v>
      </c>
      <c r="D280" s="282">
        <v>1</v>
      </c>
      <c r="E280" s="283">
        <v>720.02</v>
      </c>
      <c r="F280" s="283">
        <v>720.02</v>
      </c>
      <c r="G280" s="284">
        <v>1.0329343356960011E-4</v>
      </c>
      <c r="H280" s="284">
        <f t="shared" si="4"/>
        <v>0.9974097012178752</v>
      </c>
    </row>
    <row r="281" spans="1:8" x14ac:dyDescent="0.2">
      <c r="A281" s="279">
        <v>0</v>
      </c>
      <c r="B281" s="280" t="s">
        <v>749</v>
      </c>
      <c r="C281" s="281" t="s">
        <v>159</v>
      </c>
      <c r="D281" s="282">
        <v>66.810900000000004</v>
      </c>
      <c r="E281" s="283">
        <v>10.37</v>
      </c>
      <c r="F281" s="283">
        <v>692.82903299999998</v>
      </c>
      <c r="G281" s="284">
        <v>9.9392641447842813E-5</v>
      </c>
      <c r="H281" s="284">
        <f t="shared" si="4"/>
        <v>0.99750909385932307</v>
      </c>
    </row>
    <row r="282" spans="1:8" x14ac:dyDescent="0.2">
      <c r="A282" s="279">
        <v>0</v>
      </c>
      <c r="B282" s="280" t="s">
        <v>735</v>
      </c>
      <c r="C282" s="281" t="s">
        <v>159</v>
      </c>
      <c r="D282" s="282">
        <v>149.58499999999998</v>
      </c>
      <c r="E282" s="283">
        <v>4.45</v>
      </c>
      <c r="F282" s="283">
        <v>665.65324999999996</v>
      </c>
      <c r="G282" s="284">
        <v>9.5494027609321138E-5</v>
      </c>
      <c r="H282" s="284">
        <f t="shared" si="4"/>
        <v>0.9976045878869324</v>
      </c>
    </row>
    <row r="283" spans="1:8" x14ac:dyDescent="0.2">
      <c r="A283" s="279">
        <v>0</v>
      </c>
      <c r="B283" s="280" t="s">
        <v>368</v>
      </c>
      <c r="C283" s="281" t="s">
        <v>140</v>
      </c>
      <c r="D283" s="282">
        <v>30.24</v>
      </c>
      <c r="E283" s="283">
        <v>21.975617726721353</v>
      </c>
      <c r="F283" s="283">
        <v>664.54268005605365</v>
      </c>
      <c r="G283" s="284">
        <v>9.5334706225568726E-5</v>
      </c>
      <c r="H283" s="284">
        <f t="shared" si="4"/>
        <v>0.99769992259315798</v>
      </c>
    </row>
    <row r="284" spans="1:8" x14ac:dyDescent="0.2">
      <c r="A284" s="279">
        <v>0</v>
      </c>
      <c r="B284" s="280" t="s">
        <v>844</v>
      </c>
      <c r="C284" s="281" t="s">
        <v>681</v>
      </c>
      <c r="D284" s="282">
        <v>1</v>
      </c>
      <c r="E284" s="283">
        <v>652</v>
      </c>
      <c r="F284" s="283">
        <v>652</v>
      </c>
      <c r="G284" s="284">
        <v>9.3535344417348501E-5</v>
      </c>
      <c r="H284" s="284">
        <f t="shared" si="4"/>
        <v>0.99779345793757535</v>
      </c>
    </row>
    <row r="285" spans="1:8" x14ac:dyDescent="0.2">
      <c r="A285" s="279">
        <v>0</v>
      </c>
      <c r="B285" s="280" t="s">
        <v>837</v>
      </c>
      <c r="C285" s="281" t="s">
        <v>681</v>
      </c>
      <c r="D285" s="282">
        <v>41</v>
      </c>
      <c r="E285" s="283">
        <v>15.9</v>
      </c>
      <c r="F285" s="283">
        <v>651.9</v>
      </c>
      <c r="G285" s="284">
        <v>9.3520998505628047E-5</v>
      </c>
      <c r="H285" s="284">
        <f t="shared" si="4"/>
        <v>0.99788697893608103</v>
      </c>
    </row>
    <row r="286" spans="1:8" x14ac:dyDescent="0.2">
      <c r="A286" s="279">
        <v>0</v>
      </c>
      <c r="B286" s="280" t="s">
        <v>838</v>
      </c>
      <c r="C286" s="281" t="s">
        <v>681</v>
      </c>
      <c r="D286" s="282">
        <v>44</v>
      </c>
      <c r="E286" s="283">
        <v>14.75</v>
      </c>
      <c r="F286" s="283">
        <v>649</v>
      </c>
      <c r="G286" s="284">
        <v>9.3104967065734941E-5</v>
      </c>
      <c r="H286" s="284">
        <f t="shared" si="4"/>
        <v>0.99798008390314674</v>
      </c>
    </row>
    <row r="287" spans="1:8" x14ac:dyDescent="0.2">
      <c r="A287" s="279">
        <v>0</v>
      </c>
      <c r="B287" s="280" t="s">
        <v>756</v>
      </c>
      <c r="C287" s="281" t="s">
        <v>142</v>
      </c>
      <c r="D287" s="282">
        <v>39.464120000000001</v>
      </c>
      <c r="E287" s="283">
        <v>15.9</v>
      </c>
      <c r="F287" s="283">
        <v>627.47950800000001</v>
      </c>
      <c r="G287" s="284">
        <v>9.0017656281607958E-5</v>
      </c>
      <c r="H287" s="284">
        <f t="shared" si="4"/>
        <v>0.99807010155942832</v>
      </c>
    </row>
    <row r="288" spans="1:8" x14ac:dyDescent="0.2">
      <c r="A288" s="279">
        <v>0</v>
      </c>
      <c r="B288" s="280" t="s">
        <v>717</v>
      </c>
      <c r="C288" s="281" t="s">
        <v>142</v>
      </c>
      <c r="D288" s="282">
        <v>3079.8701899999996</v>
      </c>
      <c r="E288" s="283">
        <v>0.2</v>
      </c>
      <c r="F288" s="283">
        <v>615.97403799999995</v>
      </c>
      <c r="G288" s="284">
        <v>8.8367091712384827E-5</v>
      </c>
      <c r="H288" s="284">
        <f t="shared" si="4"/>
        <v>0.99815846865114066</v>
      </c>
    </row>
    <row r="289" spans="1:8" x14ac:dyDescent="0.2">
      <c r="A289" s="279">
        <v>0</v>
      </c>
      <c r="B289" s="280" t="s">
        <v>382</v>
      </c>
      <c r="C289" s="281" t="s">
        <v>140</v>
      </c>
      <c r="D289" s="282">
        <v>18.740000000000002</v>
      </c>
      <c r="E289" s="283">
        <v>32</v>
      </c>
      <c r="F289" s="283">
        <v>599.68000000000006</v>
      </c>
      <c r="G289" s="284">
        <v>8.6029563405207917E-5</v>
      </c>
      <c r="H289" s="284">
        <f t="shared" si="4"/>
        <v>0.99824449821454586</v>
      </c>
    </row>
    <row r="290" spans="1:8" x14ac:dyDescent="0.2">
      <c r="A290" s="279">
        <v>0</v>
      </c>
      <c r="B290" s="280" t="s">
        <v>841</v>
      </c>
      <c r="C290" s="281" t="s">
        <v>142</v>
      </c>
      <c r="D290" s="282">
        <v>46</v>
      </c>
      <c r="E290" s="283">
        <v>12.88</v>
      </c>
      <c r="F290" s="283">
        <v>592.48</v>
      </c>
      <c r="G290" s="284">
        <v>8.4996657761335346E-5</v>
      </c>
      <c r="H290" s="284">
        <f t="shared" si="4"/>
        <v>0.99832949487230715</v>
      </c>
    </row>
    <row r="291" spans="1:8" x14ac:dyDescent="0.2">
      <c r="A291" s="279">
        <v>0</v>
      </c>
      <c r="B291" s="280" t="s">
        <v>792</v>
      </c>
      <c r="C291" s="281" t="s">
        <v>793</v>
      </c>
      <c r="D291" s="282">
        <v>256</v>
      </c>
      <c r="E291" s="283">
        <v>2.31</v>
      </c>
      <c r="F291" s="283">
        <v>591.36</v>
      </c>
      <c r="G291" s="284">
        <v>8.4835983550066285E-5</v>
      </c>
      <c r="H291" s="284">
        <f t="shared" si="4"/>
        <v>0.99841433085585718</v>
      </c>
    </row>
    <row r="292" spans="1:8" x14ac:dyDescent="0.2">
      <c r="A292" s="279">
        <v>0</v>
      </c>
      <c r="B292" s="280" t="s">
        <v>917</v>
      </c>
      <c r="C292" s="281" t="s">
        <v>681</v>
      </c>
      <c r="D292" s="282">
        <v>58.945471999999995</v>
      </c>
      <c r="E292" s="283">
        <v>9.5</v>
      </c>
      <c r="F292" s="283">
        <v>559.98198400000001</v>
      </c>
      <c r="G292" s="284">
        <v>8.0334521075076906E-5</v>
      </c>
      <c r="H292" s="284">
        <f t="shared" si="4"/>
        <v>0.99849466537693221</v>
      </c>
    </row>
    <row r="293" spans="1:8" x14ac:dyDescent="0.2">
      <c r="A293" s="279">
        <v>0</v>
      </c>
      <c r="B293" s="280" t="s">
        <v>852</v>
      </c>
      <c r="C293" s="281" t="s">
        <v>681</v>
      </c>
      <c r="D293" s="282">
        <v>2</v>
      </c>
      <c r="E293" s="283">
        <v>265.89999999999998</v>
      </c>
      <c r="F293" s="283">
        <v>531.79999999999995</v>
      </c>
      <c r="G293" s="284">
        <v>7.6291558529364921E-5</v>
      </c>
      <c r="H293" s="284">
        <f t="shared" si="4"/>
        <v>0.99857095693546161</v>
      </c>
    </row>
    <row r="294" spans="1:8" x14ac:dyDescent="0.2">
      <c r="A294" s="279">
        <v>0</v>
      </c>
      <c r="B294" s="280" t="s">
        <v>969</v>
      </c>
      <c r="C294" s="281" t="s">
        <v>170</v>
      </c>
      <c r="D294" s="282">
        <v>1</v>
      </c>
      <c r="E294" s="283">
        <v>527.84324526153387</v>
      </c>
      <c r="F294" s="283">
        <v>527.84324526153387</v>
      </c>
      <c r="G294" s="284">
        <v>7.5723925987589768E-5</v>
      </c>
      <c r="H294" s="284">
        <f t="shared" si="4"/>
        <v>0.99864668086144914</v>
      </c>
    </row>
    <row r="295" spans="1:8" x14ac:dyDescent="0.2">
      <c r="A295" s="279">
        <v>0</v>
      </c>
      <c r="B295" s="280" t="s">
        <v>372</v>
      </c>
      <c r="C295" s="281" t="s">
        <v>140</v>
      </c>
      <c r="D295" s="282">
        <v>12.677</v>
      </c>
      <c r="E295" s="283">
        <v>41</v>
      </c>
      <c r="F295" s="283">
        <v>519.75699999999995</v>
      </c>
      <c r="G295" s="284">
        <v>7.4563880380870863E-5</v>
      </c>
      <c r="H295" s="284">
        <f t="shared" si="4"/>
        <v>0.99872124474182999</v>
      </c>
    </row>
    <row r="296" spans="1:8" x14ac:dyDescent="0.2">
      <c r="A296" s="279">
        <v>0</v>
      </c>
      <c r="B296" s="280" t="s">
        <v>379</v>
      </c>
      <c r="C296" s="281" t="s">
        <v>159</v>
      </c>
      <c r="D296" s="282">
        <v>187.578</v>
      </c>
      <c r="E296" s="283">
        <v>2.64</v>
      </c>
      <c r="F296" s="283">
        <v>495.20592000000005</v>
      </c>
      <c r="G296" s="284">
        <v>7.1041804117653268E-5</v>
      </c>
      <c r="H296" s="284">
        <f t="shared" si="4"/>
        <v>0.99879228654594765</v>
      </c>
    </row>
    <row r="297" spans="1:8" x14ac:dyDescent="0.2">
      <c r="A297" s="279">
        <v>0</v>
      </c>
      <c r="B297" s="280" t="s">
        <v>201</v>
      </c>
      <c r="C297" s="281" t="s">
        <v>159</v>
      </c>
      <c r="D297" s="282">
        <v>786.35559748419996</v>
      </c>
      <c r="E297" s="283">
        <v>0.6</v>
      </c>
      <c r="F297" s="283">
        <v>471.81335849051993</v>
      </c>
      <c r="G297" s="284">
        <v>6.7685927894350765E-5</v>
      </c>
      <c r="H297" s="284">
        <f t="shared" si="4"/>
        <v>0.99885997247384195</v>
      </c>
    </row>
    <row r="298" spans="1:8" x14ac:dyDescent="0.2">
      <c r="A298" s="279">
        <v>0</v>
      </c>
      <c r="B298" s="280" t="s">
        <v>612</v>
      </c>
      <c r="C298" s="281" t="s">
        <v>142</v>
      </c>
      <c r="D298" s="282">
        <v>1034</v>
      </c>
      <c r="E298" s="283">
        <v>0.45</v>
      </c>
      <c r="F298" s="283">
        <v>465.3</v>
      </c>
      <c r="G298" s="284">
        <v>6.6751527235264207E-5</v>
      </c>
      <c r="H298" s="284">
        <f t="shared" si="4"/>
        <v>0.99892672400107718</v>
      </c>
    </row>
    <row r="299" spans="1:8" x14ac:dyDescent="0.2">
      <c r="A299" s="279">
        <v>0</v>
      </c>
      <c r="B299" s="280" t="s">
        <v>849</v>
      </c>
      <c r="C299" s="281" t="s">
        <v>681</v>
      </c>
      <c r="D299" s="282">
        <v>2</v>
      </c>
      <c r="E299" s="283">
        <v>229.9</v>
      </c>
      <c r="F299" s="283">
        <v>459.8</v>
      </c>
      <c r="G299" s="284">
        <v>6.5962502090639332E-5</v>
      </c>
      <c r="H299" s="284">
        <f t="shared" si="4"/>
        <v>0.99899268650316786</v>
      </c>
    </row>
    <row r="300" spans="1:8" x14ac:dyDescent="0.2">
      <c r="A300" s="279">
        <v>0</v>
      </c>
      <c r="B300" s="280" t="s">
        <v>378</v>
      </c>
      <c r="C300" s="281" t="s">
        <v>166</v>
      </c>
      <c r="D300" s="282">
        <v>0.38711999999999996</v>
      </c>
      <c r="E300" s="283">
        <v>1050</v>
      </c>
      <c r="F300" s="283">
        <v>406.47599999999994</v>
      </c>
      <c r="G300" s="284">
        <v>5.8312688124825377E-5</v>
      </c>
      <c r="H300" s="284">
        <f t="shared" si="4"/>
        <v>0.9990509991912927</v>
      </c>
    </row>
    <row r="301" spans="1:8" x14ac:dyDescent="0.2">
      <c r="A301" s="279">
        <v>0</v>
      </c>
      <c r="B301" s="280" t="s">
        <v>389</v>
      </c>
      <c r="C301" s="281" t="s">
        <v>142</v>
      </c>
      <c r="D301" s="282">
        <v>342.00000000000006</v>
      </c>
      <c r="E301" s="283">
        <v>1.179</v>
      </c>
      <c r="F301" s="283">
        <v>403.21800000000007</v>
      </c>
      <c r="G301" s="284">
        <v>5.784529832097306E-5</v>
      </c>
      <c r="H301" s="284">
        <f t="shared" si="4"/>
        <v>0.99910884448961368</v>
      </c>
    </row>
    <row r="302" spans="1:8" x14ac:dyDescent="0.2">
      <c r="A302" s="279">
        <v>0</v>
      </c>
      <c r="B302" s="280" t="s">
        <v>760</v>
      </c>
      <c r="C302" s="281" t="s">
        <v>158</v>
      </c>
      <c r="D302" s="282">
        <v>22.383599999999998</v>
      </c>
      <c r="E302" s="283">
        <v>18</v>
      </c>
      <c r="F302" s="283">
        <v>402.90479999999997</v>
      </c>
      <c r="G302" s="284">
        <v>5.780036692546459E-5</v>
      </c>
      <c r="H302" s="284">
        <f t="shared" si="4"/>
        <v>0.99916664485653917</v>
      </c>
    </row>
    <row r="303" spans="1:8" x14ac:dyDescent="0.2">
      <c r="A303" s="279">
        <v>0</v>
      </c>
      <c r="B303" s="280" t="s">
        <v>971</v>
      </c>
      <c r="C303" s="281" t="s">
        <v>170</v>
      </c>
      <c r="D303" s="282">
        <v>1</v>
      </c>
      <c r="E303" s="283">
        <v>378.11066595146747</v>
      </c>
      <c r="F303" s="283">
        <v>378.11066595146747</v>
      </c>
      <c r="G303" s="284">
        <v>5.4243422343011532E-5</v>
      </c>
      <c r="H303" s="284">
        <f t="shared" si="4"/>
        <v>0.99922088827888222</v>
      </c>
    </row>
    <row r="304" spans="1:8" x14ac:dyDescent="0.2">
      <c r="A304" s="279">
        <v>0</v>
      </c>
      <c r="B304" s="280" t="s">
        <v>168</v>
      </c>
      <c r="C304" s="281" t="s">
        <v>169</v>
      </c>
      <c r="D304" s="282">
        <v>1.8632563847369037</v>
      </c>
      <c r="E304" s="283">
        <v>200</v>
      </c>
      <c r="F304" s="283">
        <v>372.65127694738072</v>
      </c>
      <c r="G304" s="284">
        <v>5.3460223216009173E-5</v>
      </c>
      <c r="H304" s="284">
        <f t="shared" si="4"/>
        <v>0.99927434850209829</v>
      </c>
    </row>
    <row r="305" spans="1:8" x14ac:dyDescent="0.2">
      <c r="A305" s="279">
        <v>0</v>
      </c>
      <c r="B305" s="280" t="s">
        <v>791</v>
      </c>
      <c r="C305" s="281" t="s">
        <v>142</v>
      </c>
      <c r="D305" s="282">
        <v>256</v>
      </c>
      <c r="E305" s="283">
        <v>1.43</v>
      </c>
      <c r="F305" s="283">
        <v>366.08</v>
      </c>
      <c r="G305" s="284">
        <v>5.2517513626231504E-5</v>
      </c>
      <c r="H305" s="284">
        <f t="shared" si="4"/>
        <v>0.99932686601572451</v>
      </c>
    </row>
    <row r="306" spans="1:8" x14ac:dyDescent="0.2">
      <c r="A306" s="279">
        <v>0</v>
      </c>
      <c r="B306" s="280" t="s">
        <v>972</v>
      </c>
      <c r="C306" s="281" t="s">
        <v>170</v>
      </c>
      <c r="D306" s="282">
        <v>1</v>
      </c>
      <c r="E306" s="283">
        <v>310.54375455373685</v>
      </c>
      <c r="F306" s="283">
        <v>310.54375455373685</v>
      </c>
      <c r="G306" s="284">
        <v>4.4550332881656924E-5</v>
      </c>
      <c r="H306" s="284">
        <f t="shared" si="4"/>
        <v>0.99937141634860616</v>
      </c>
    </row>
    <row r="307" spans="1:8" x14ac:dyDescent="0.2">
      <c r="A307" s="279">
        <v>0</v>
      </c>
      <c r="B307" s="280" t="s">
        <v>860</v>
      </c>
      <c r="C307" s="281" t="s">
        <v>681</v>
      </c>
      <c r="D307" s="282">
        <v>2</v>
      </c>
      <c r="E307" s="283">
        <v>152</v>
      </c>
      <c r="F307" s="283">
        <v>304</v>
      </c>
      <c r="G307" s="284">
        <v>4.3611571630174761E-5</v>
      </c>
      <c r="H307" s="284">
        <f t="shared" si="4"/>
        <v>0.99941502792023629</v>
      </c>
    </row>
    <row r="308" spans="1:8" x14ac:dyDescent="0.2">
      <c r="A308" s="279">
        <v>0</v>
      </c>
      <c r="B308" s="280" t="s">
        <v>576</v>
      </c>
      <c r="C308" s="281" t="s">
        <v>170</v>
      </c>
      <c r="D308" s="282">
        <v>1</v>
      </c>
      <c r="E308" s="283">
        <v>293.89</v>
      </c>
      <c r="F308" s="283">
        <v>293.89</v>
      </c>
      <c r="G308" s="284">
        <v>4.2161199955237038E-5</v>
      </c>
      <c r="H308" s="284">
        <f t="shared" si="4"/>
        <v>0.99945718912019155</v>
      </c>
    </row>
    <row r="309" spans="1:8" x14ac:dyDescent="0.2">
      <c r="A309" s="279">
        <v>0</v>
      </c>
      <c r="B309" s="280" t="s">
        <v>754</v>
      </c>
      <c r="C309" s="281" t="s">
        <v>142</v>
      </c>
      <c r="D309" s="282">
        <v>767.10799999999995</v>
      </c>
      <c r="E309" s="283">
        <v>0.35</v>
      </c>
      <c r="F309" s="283">
        <v>268.48779999999999</v>
      </c>
      <c r="G309" s="284">
        <v>3.8517022768184328E-5</v>
      </c>
      <c r="H309" s="284">
        <f t="shared" si="4"/>
        <v>0.99949570614295968</v>
      </c>
    </row>
    <row r="310" spans="1:8" x14ac:dyDescent="0.2">
      <c r="A310" s="279">
        <v>0</v>
      </c>
      <c r="B310" s="280" t="s">
        <v>840</v>
      </c>
      <c r="C310" s="281" t="s">
        <v>142</v>
      </c>
      <c r="D310" s="282">
        <v>38.640000000000008</v>
      </c>
      <c r="E310" s="283">
        <v>6.56</v>
      </c>
      <c r="F310" s="283">
        <v>253.47840000000002</v>
      </c>
      <c r="G310" s="284">
        <v>3.6363787494414775E-5</v>
      </c>
      <c r="H310" s="284">
        <f t="shared" si="4"/>
        <v>0.99953206993045407</v>
      </c>
    </row>
    <row r="311" spans="1:8" x14ac:dyDescent="0.2">
      <c r="A311" s="279">
        <v>0</v>
      </c>
      <c r="B311" s="280" t="s">
        <v>390</v>
      </c>
      <c r="C311" s="281" t="s">
        <v>142</v>
      </c>
      <c r="D311" s="282">
        <v>1595.75</v>
      </c>
      <c r="E311" s="283">
        <v>0.157</v>
      </c>
      <c r="F311" s="283">
        <v>250.53274999999999</v>
      </c>
      <c r="G311" s="284">
        <v>3.5941207145821269E-5</v>
      </c>
      <c r="H311" s="284">
        <f t="shared" si="4"/>
        <v>0.99956801113759985</v>
      </c>
    </row>
    <row r="312" spans="1:8" x14ac:dyDescent="0.2">
      <c r="A312" s="279">
        <v>0</v>
      </c>
      <c r="B312" s="280" t="s">
        <v>1143</v>
      </c>
      <c r="C312" s="281" t="s">
        <v>159</v>
      </c>
      <c r="D312" s="282">
        <v>8.2356800000000003</v>
      </c>
      <c r="E312" s="283">
        <v>29.26</v>
      </c>
      <c r="F312" s="283">
        <v>240.97599680000002</v>
      </c>
      <c r="G312" s="284">
        <v>3.4570203768407783E-5</v>
      </c>
      <c r="H312" s="284">
        <f t="shared" si="4"/>
        <v>0.99960258134136826</v>
      </c>
    </row>
    <row r="313" spans="1:8" x14ac:dyDescent="0.2">
      <c r="A313" s="279">
        <v>0</v>
      </c>
      <c r="B313" s="280" t="s">
        <v>839</v>
      </c>
      <c r="C313" s="281" t="s">
        <v>142</v>
      </c>
      <c r="D313" s="282">
        <v>172</v>
      </c>
      <c r="E313" s="283">
        <v>1.4</v>
      </c>
      <c r="F313" s="283">
        <v>240.79999999999998</v>
      </c>
      <c r="G313" s="284">
        <v>3.4544955422848956E-5</v>
      </c>
      <c r="H313" s="284">
        <f t="shared" si="4"/>
        <v>0.99963712629679113</v>
      </c>
    </row>
    <row r="314" spans="1:8" x14ac:dyDescent="0.2">
      <c r="A314" s="279">
        <v>0</v>
      </c>
      <c r="B314" s="280" t="s">
        <v>1155</v>
      </c>
      <c r="C314" s="281" t="s">
        <v>140</v>
      </c>
      <c r="D314" s="282">
        <v>64.574999999999989</v>
      </c>
      <c r="E314" s="283">
        <v>3.4</v>
      </c>
      <c r="F314" s="283">
        <v>219.55499999999995</v>
      </c>
      <c r="G314" s="284">
        <v>3.1497166477838873E-5</v>
      </c>
      <c r="H314" s="284">
        <f t="shared" si="4"/>
        <v>0.99966862346326901</v>
      </c>
    </row>
    <row r="315" spans="1:8" x14ac:dyDescent="0.2">
      <c r="A315" s="279">
        <v>0</v>
      </c>
      <c r="B315" s="280" t="s">
        <v>1145</v>
      </c>
      <c r="C315" s="281" t="s">
        <v>159</v>
      </c>
      <c r="D315" s="282">
        <v>20.589199999999998</v>
      </c>
      <c r="E315" s="283">
        <v>10.14</v>
      </c>
      <c r="F315" s="283">
        <v>208.77448799999999</v>
      </c>
      <c r="G315" s="284">
        <v>2.9950603743306122E-5</v>
      </c>
      <c r="H315" s="284">
        <f t="shared" si="4"/>
        <v>0.99969857406701235</v>
      </c>
    </row>
    <row r="316" spans="1:8" x14ac:dyDescent="0.2">
      <c r="A316" s="279">
        <v>0</v>
      </c>
      <c r="B316" s="280" t="s">
        <v>853</v>
      </c>
      <c r="C316" s="281" t="s">
        <v>681</v>
      </c>
      <c r="D316" s="282">
        <v>3</v>
      </c>
      <c r="E316" s="283">
        <v>66</v>
      </c>
      <c r="F316" s="283">
        <v>198</v>
      </c>
      <c r="G316" s="284">
        <v>2.8404905206495404E-5</v>
      </c>
      <c r="H316" s="284">
        <f t="shared" si="4"/>
        <v>0.99972697897221885</v>
      </c>
    </row>
    <row r="317" spans="1:8" x14ac:dyDescent="0.2">
      <c r="A317" s="279">
        <v>0</v>
      </c>
      <c r="B317" s="280" t="s">
        <v>611</v>
      </c>
      <c r="C317" s="281" t="s">
        <v>159</v>
      </c>
      <c r="D317" s="282">
        <v>20.900000000000002</v>
      </c>
      <c r="E317" s="283">
        <v>8.93</v>
      </c>
      <c r="F317" s="283">
        <v>186.637</v>
      </c>
      <c r="G317" s="284">
        <v>2.6774779257700419E-5</v>
      </c>
      <c r="H317" s="284">
        <f t="shared" si="4"/>
        <v>0.99975375375147657</v>
      </c>
    </row>
    <row r="318" spans="1:8" x14ac:dyDescent="0.2">
      <c r="A318" s="279">
        <v>0</v>
      </c>
      <c r="B318" s="280" t="s">
        <v>914</v>
      </c>
      <c r="C318" s="281" t="s">
        <v>681</v>
      </c>
      <c r="D318" s="282">
        <v>2.1033519999999997</v>
      </c>
      <c r="E318" s="283">
        <v>85</v>
      </c>
      <c r="F318" s="283">
        <v>178.78491999999997</v>
      </c>
      <c r="G318" s="284">
        <v>2.5648326792681131E-5</v>
      </c>
      <c r="H318" s="284">
        <f t="shared" si="4"/>
        <v>0.99977940207826921</v>
      </c>
    </row>
    <row r="319" spans="1:8" x14ac:dyDescent="0.2">
      <c r="A319" s="279">
        <v>0</v>
      </c>
      <c r="B319" s="280" t="s">
        <v>364</v>
      </c>
      <c r="C319" s="281" t="s">
        <v>140</v>
      </c>
      <c r="D319" s="282">
        <v>16.979999999999997</v>
      </c>
      <c r="E319" s="283">
        <v>10.4</v>
      </c>
      <c r="F319" s="283">
        <v>176.59199999999998</v>
      </c>
      <c r="G319" s="284">
        <v>2.5333732425380992E-5</v>
      </c>
      <c r="H319" s="284">
        <f t="shared" si="4"/>
        <v>0.99980473581069462</v>
      </c>
    </row>
    <row r="320" spans="1:8" x14ac:dyDescent="0.2">
      <c r="A320" s="279">
        <v>0</v>
      </c>
      <c r="B320" s="280" t="s">
        <v>399</v>
      </c>
      <c r="C320" s="281" t="s">
        <v>159</v>
      </c>
      <c r="D320" s="282">
        <v>13.8437</v>
      </c>
      <c r="E320" s="283">
        <v>12.120000000000001</v>
      </c>
      <c r="F320" s="283">
        <v>167.78564400000002</v>
      </c>
      <c r="G320" s="284">
        <v>2.4070380367832248E-5</v>
      </c>
      <c r="H320" s="284">
        <f t="shared" si="4"/>
        <v>0.9998288061910624</v>
      </c>
    </row>
    <row r="321" spans="1:8" x14ac:dyDescent="0.2">
      <c r="A321" s="279">
        <v>0</v>
      </c>
      <c r="B321" s="280" t="s">
        <v>847</v>
      </c>
      <c r="C321" s="281" t="s">
        <v>681</v>
      </c>
      <c r="D321" s="282">
        <v>1</v>
      </c>
      <c r="E321" s="283">
        <v>165</v>
      </c>
      <c r="F321" s="283">
        <v>165</v>
      </c>
      <c r="G321" s="284">
        <v>2.367075433874617E-5</v>
      </c>
      <c r="H321" s="284">
        <f t="shared" si="4"/>
        <v>0.99985247694540114</v>
      </c>
    </row>
    <row r="322" spans="1:8" x14ac:dyDescent="0.2">
      <c r="A322" s="279">
        <v>0</v>
      </c>
      <c r="B322" s="280" t="s">
        <v>885</v>
      </c>
      <c r="C322" s="281" t="s">
        <v>681</v>
      </c>
      <c r="D322" s="282">
        <v>4</v>
      </c>
      <c r="E322" s="283">
        <v>35</v>
      </c>
      <c r="F322" s="283">
        <v>140</v>
      </c>
      <c r="G322" s="284">
        <v>2.0084276408633113E-5</v>
      </c>
      <c r="H322" s="284">
        <f t="shared" si="4"/>
        <v>0.99987256122180979</v>
      </c>
    </row>
    <row r="323" spans="1:8" x14ac:dyDescent="0.2">
      <c r="A323" s="279">
        <v>0</v>
      </c>
      <c r="B323" s="280" t="s">
        <v>884</v>
      </c>
      <c r="C323" s="281" t="s">
        <v>681</v>
      </c>
      <c r="D323" s="282">
        <v>2</v>
      </c>
      <c r="E323" s="283">
        <v>45</v>
      </c>
      <c r="F323" s="283">
        <v>90</v>
      </c>
      <c r="G323" s="284">
        <v>1.2911320548407002E-5</v>
      </c>
      <c r="H323" s="284">
        <f t="shared" si="4"/>
        <v>0.99988547254235816</v>
      </c>
    </row>
    <row r="324" spans="1:8" x14ac:dyDescent="0.2">
      <c r="A324" s="279">
        <v>0</v>
      </c>
      <c r="B324" s="280" t="s">
        <v>377</v>
      </c>
      <c r="C324" s="281" t="s">
        <v>200</v>
      </c>
      <c r="D324" s="282">
        <v>0.76540800000000009</v>
      </c>
      <c r="E324" s="283">
        <v>110</v>
      </c>
      <c r="F324" s="283">
        <v>84.194880000000012</v>
      </c>
      <c r="G324" s="284">
        <v>1.2078523157940688E-5</v>
      </c>
      <c r="H324" s="284">
        <f t="shared" si="4"/>
        <v>0.99989755106551614</v>
      </c>
    </row>
    <row r="325" spans="1:8" x14ac:dyDescent="0.2">
      <c r="A325" s="279">
        <v>0</v>
      </c>
      <c r="B325" s="280" t="s">
        <v>383</v>
      </c>
      <c r="C325" s="281" t="s">
        <v>176</v>
      </c>
      <c r="D325" s="282">
        <v>7.3923947999999999</v>
      </c>
      <c r="E325" s="283">
        <v>10.91</v>
      </c>
      <c r="F325" s="283">
        <v>80.651027268000007</v>
      </c>
      <c r="G325" s="284">
        <v>1.1570125173505132E-5</v>
      </c>
      <c r="H325" s="284">
        <f t="shared" si="4"/>
        <v>0.99990912119068964</v>
      </c>
    </row>
    <row r="326" spans="1:8" x14ac:dyDescent="0.2">
      <c r="A326" s="279">
        <v>0</v>
      </c>
      <c r="B326" s="280" t="s">
        <v>859</v>
      </c>
      <c r="C326" s="281" t="s">
        <v>681</v>
      </c>
      <c r="D326" s="282">
        <v>2</v>
      </c>
      <c r="E326" s="283">
        <v>39.9</v>
      </c>
      <c r="F326" s="283">
        <v>79.8</v>
      </c>
      <c r="G326" s="284">
        <v>1.1448037552920876E-5</v>
      </c>
      <c r="H326" s="284">
        <f t="shared" si="4"/>
        <v>0.99992056922824257</v>
      </c>
    </row>
    <row r="327" spans="1:8" x14ac:dyDescent="0.2">
      <c r="A327" s="279">
        <v>0</v>
      </c>
      <c r="B327" s="280" t="s">
        <v>689</v>
      </c>
      <c r="C327" s="281" t="s">
        <v>681</v>
      </c>
      <c r="D327" s="282">
        <v>1</v>
      </c>
      <c r="E327" s="283">
        <v>75</v>
      </c>
      <c r="F327" s="283">
        <v>75</v>
      </c>
      <c r="G327" s="284">
        <v>1.0759433790339168E-5</v>
      </c>
      <c r="H327" s="284">
        <f t="shared" si="4"/>
        <v>0.99993132866203294</v>
      </c>
    </row>
    <row r="328" spans="1:8" x14ac:dyDescent="0.2">
      <c r="A328" s="279">
        <v>0</v>
      </c>
      <c r="B328" s="280" t="s">
        <v>845</v>
      </c>
      <c r="C328" s="281" t="s">
        <v>681</v>
      </c>
      <c r="D328" s="282">
        <v>5</v>
      </c>
      <c r="E328" s="283">
        <v>13.9</v>
      </c>
      <c r="F328" s="283">
        <v>69.5</v>
      </c>
      <c r="G328" s="284">
        <v>9.9704086457142955E-6</v>
      </c>
      <c r="H328" s="284">
        <f t="shared" ref="H328:H340" si="5">G328+H327</f>
        <v>0.99994129907067864</v>
      </c>
    </row>
    <row r="329" spans="1:8" x14ac:dyDescent="0.2">
      <c r="A329" s="279">
        <v>0</v>
      </c>
      <c r="B329" s="280" t="s">
        <v>842</v>
      </c>
      <c r="C329" s="281" t="s">
        <v>142</v>
      </c>
      <c r="D329" s="282">
        <v>3.8640000000000008</v>
      </c>
      <c r="E329" s="283">
        <v>15.9</v>
      </c>
      <c r="F329" s="283">
        <v>61.43760000000001</v>
      </c>
      <c r="G329" s="284">
        <v>8.8137838591645567E-6</v>
      </c>
      <c r="H329" s="284">
        <f t="shared" si="5"/>
        <v>0.99995011285453783</v>
      </c>
    </row>
    <row r="330" spans="1:8" x14ac:dyDescent="0.2">
      <c r="A330" s="279">
        <v>0</v>
      </c>
      <c r="B330" s="280" t="s">
        <v>172</v>
      </c>
      <c r="C330" s="281" t="s">
        <v>159</v>
      </c>
      <c r="D330" s="282">
        <v>4.7738548109999996</v>
      </c>
      <c r="E330" s="283">
        <v>12.8</v>
      </c>
      <c r="F330" s="283">
        <v>61.105341580800001</v>
      </c>
      <c r="G330" s="284">
        <v>8.7661183596623544E-6</v>
      </c>
      <c r="H330" s="284">
        <f t="shared" si="5"/>
        <v>0.99995887897289748</v>
      </c>
    </row>
    <row r="331" spans="1:8" x14ac:dyDescent="0.2">
      <c r="A331" s="279">
        <v>0</v>
      </c>
      <c r="B331" s="280" t="s">
        <v>851</v>
      </c>
      <c r="C331" s="281" t="s">
        <v>142</v>
      </c>
      <c r="D331" s="282">
        <v>2</v>
      </c>
      <c r="E331" s="283">
        <v>28.51</v>
      </c>
      <c r="F331" s="283">
        <v>57.02</v>
      </c>
      <c r="G331" s="284">
        <v>8.1800388630018597E-6</v>
      </c>
      <c r="H331" s="284">
        <f t="shared" si="5"/>
        <v>0.99996705901176053</v>
      </c>
    </row>
    <row r="332" spans="1:8" x14ac:dyDescent="0.2">
      <c r="A332" s="279">
        <v>0</v>
      </c>
      <c r="B332" s="280" t="s">
        <v>846</v>
      </c>
      <c r="C332" s="281" t="s">
        <v>142</v>
      </c>
      <c r="D332" s="282">
        <v>1</v>
      </c>
      <c r="E332" s="283">
        <v>54.25</v>
      </c>
      <c r="F332" s="283">
        <v>54.25</v>
      </c>
      <c r="G332" s="284">
        <v>7.7826571083453327E-6</v>
      </c>
      <c r="H332" s="284">
        <f t="shared" si="5"/>
        <v>0.99997484166886885</v>
      </c>
    </row>
    <row r="333" spans="1:8" x14ac:dyDescent="0.2">
      <c r="A333" s="279">
        <v>0</v>
      </c>
      <c r="B333" s="280" t="s">
        <v>850</v>
      </c>
      <c r="C333" s="281" t="s">
        <v>142</v>
      </c>
      <c r="D333" s="282">
        <v>2</v>
      </c>
      <c r="E333" s="283">
        <v>24.5</v>
      </c>
      <c r="F333" s="283">
        <v>49</v>
      </c>
      <c r="G333" s="284">
        <v>7.02949674302159E-6</v>
      </c>
      <c r="H333" s="284">
        <f t="shared" si="5"/>
        <v>0.99998187116561188</v>
      </c>
    </row>
    <row r="334" spans="1:8" x14ac:dyDescent="0.2">
      <c r="A334" s="279">
        <v>0</v>
      </c>
      <c r="B334" s="280" t="s">
        <v>856</v>
      </c>
      <c r="C334" s="281" t="s">
        <v>142</v>
      </c>
      <c r="D334" s="282">
        <v>2</v>
      </c>
      <c r="E334" s="283">
        <v>22</v>
      </c>
      <c r="F334" s="283">
        <v>44</v>
      </c>
      <c r="G334" s="284">
        <v>6.3122011569989786E-6</v>
      </c>
      <c r="H334" s="284">
        <f t="shared" si="5"/>
        <v>0.99998818336676887</v>
      </c>
    </row>
    <row r="335" spans="1:8" x14ac:dyDescent="0.2">
      <c r="A335" s="279">
        <v>0</v>
      </c>
      <c r="B335" s="280" t="s">
        <v>761</v>
      </c>
      <c r="C335" s="281" t="s">
        <v>142</v>
      </c>
      <c r="D335" s="282">
        <v>285.58799999999997</v>
      </c>
      <c r="E335" s="283">
        <v>0.12</v>
      </c>
      <c r="F335" s="283">
        <v>34.270559999999996</v>
      </c>
      <c r="G335" s="284">
        <v>4.9164242837046113E-6</v>
      </c>
      <c r="H335" s="284">
        <f t="shared" si="5"/>
        <v>0.99999309979105255</v>
      </c>
    </row>
    <row r="336" spans="1:8" x14ac:dyDescent="0.2">
      <c r="A336" s="279">
        <v>0</v>
      </c>
      <c r="B336" s="280" t="s">
        <v>1026</v>
      </c>
      <c r="C336" s="281" t="s">
        <v>176</v>
      </c>
      <c r="D336" s="282">
        <v>0.5</v>
      </c>
      <c r="E336" s="283">
        <v>44.68</v>
      </c>
      <c r="F336" s="283">
        <v>22.34</v>
      </c>
      <c r="G336" s="284">
        <v>3.204876678349027E-6</v>
      </c>
      <c r="H336" s="284">
        <f t="shared" si="5"/>
        <v>0.99999630466773093</v>
      </c>
    </row>
    <row r="337" spans="1:8" x14ac:dyDescent="0.2">
      <c r="A337" s="279">
        <v>0</v>
      </c>
      <c r="B337" s="280" t="s">
        <v>1152</v>
      </c>
      <c r="C337" s="281" t="s">
        <v>140</v>
      </c>
      <c r="D337" s="282">
        <v>1</v>
      </c>
      <c r="E337" s="283">
        <v>15</v>
      </c>
      <c r="F337" s="283">
        <v>15</v>
      </c>
      <c r="G337" s="284">
        <v>2.1518867580678339E-6</v>
      </c>
      <c r="H337" s="284">
        <f t="shared" si="5"/>
        <v>0.99999845655448905</v>
      </c>
    </row>
    <row r="338" spans="1:8" x14ac:dyDescent="0.2">
      <c r="A338" s="279">
        <v>0</v>
      </c>
      <c r="B338" s="280" t="s">
        <v>755</v>
      </c>
      <c r="C338" s="281" t="s">
        <v>142</v>
      </c>
      <c r="D338" s="282">
        <v>60.19</v>
      </c>
      <c r="E338" s="283">
        <v>0.14000000000000001</v>
      </c>
      <c r="F338" s="283">
        <v>8.4266000000000005</v>
      </c>
      <c r="G338" s="284">
        <v>1.2088725970356273E-6</v>
      </c>
      <c r="H338" s="284">
        <f t="shared" si="5"/>
        <v>0.99999966542708607</v>
      </c>
    </row>
    <row r="339" spans="1:8" x14ac:dyDescent="0.2">
      <c r="A339" s="279">
        <v>0</v>
      </c>
      <c r="B339" s="280" t="s">
        <v>765</v>
      </c>
      <c r="C339" s="281" t="s">
        <v>166</v>
      </c>
      <c r="D339" s="282">
        <v>1.3944700000000001E-2</v>
      </c>
      <c r="E339" s="283">
        <v>130</v>
      </c>
      <c r="F339" s="283">
        <v>1.8128110000000002</v>
      </c>
      <c r="G339" s="284">
        <v>2.6006426571864718E-7</v>
      </c>
      <c r="H339" s="284">
        <f t="shared" si="5"/>
        <v>0.99999992549135175</v>
      </c>
    </row>
    <row r="340" spans="1:8" x14ac:dyDescent="0.2">
      <c r="A340" s="279">
        <v>0</v>
      </c>
      <c r="B340" s="280" t="s">
        <v>401</v>
      </c>
      <c r="C340" s="281" t="s">
        <v>176</v>
      </c>
      <c r="D340" s="282">
        <v>0.173124</v>
      </c>
      <c r="E340" s="283">
        <v>3</v>
      </c>
      <c r="F340" s="283">
        <v>0.51937199999999994</v>
      </c>
      <c r="G340" s="284">
        <v>7.4508648620747119E-8</v>
      </c>
      <c r="H340" s="284">
        <f t="shared" si="5"/>
        <v>1.0000000000000004</v>
      </c>
    </row>
    <row r="341" spans="1:8" x14ac:dyDescent="0.2">
      <c r="A341" s="279"/>
      <c r="B341" s="280"/>
      <c r="C341" s="281"/>
      <c r="D341" s="282"/>
      <c r="E341" s="283"/>
      <c r="F341" s="283"/>
      <c r="G341" s="284"/>
      <c r="H341" s="284"/>
    </row>
    <row r="342" spans="1:8" x14ac:dyDescent="0.2">
      <c r="A342" s="279"/>
      <c r="B342" s="280"/>
      <c r="C342" s="281"/>
      <c r="D342" s="282"/>
      <c r="E342" s="283"/>
      <c r="F342" s="283"/>
      <c r="G342" s="284"/>
      <c r="H342" s="284"/>
    </row>
    <row r="343" spans="1:8" x14ac:dyDescent="0.2">
      <c r="A343" s="279"/>
      <c r="B343" s="280"/>
      <c r="C343" s="281"/>
      <c r="D343" s="282"/>
      <c r="E343" s="283"/>
      <c r="F343" s="283"/>
      <c r="G343" s="284"/>
      <c r="H343" s="284"/>
    </row>
  </sheetData>
  <sortState xmlns:xlrd2="http://schemas.microsoft.com/office/spreadsheetml/2017/richdata2" ref="A7:H340">
    <sortCondition descending="1" ref="F7:F340"/>
  </sortState>
  <conditionalFormatting sqref="G6:H6">
    <cfRule type="containsText" dxfId="30" priority="33" operator="containsText" text="ok">
      <formula>NOT(ISERROR(SEARCH("ok",G6)))</formula>
    </cfRule>
    <cfRule type="containsText" dxfId="29" priority="34" operator="containsText" text="VERIFICAR">
      <formula>NOT(ISERROR(SEARCH("VERIFICAR",G6)))</formula>
    </cfRule>
  </conditionalFormatting>
  <conditionalFormatting sqref="H7:H343">
    <cfRule type="cellIs" dxfId="28" priority="28" operator="between">
      <formula>0.91</formula>
      <formula>1</formula>
    </cfRule>
    <cfRule type="cellIs" dxfId="27" priority="29" operator="between">
      <formula>0.81</formula>
      <formula>0.91</formula>
    </cfRule>
    <cfRule type="cellIs" dxfId="26" priority="30" operator="between">
      <formula>0.00001</formula>
      <formula>0.81</formula>
    </cfRule>
  </conditionalFormatting>
  <conditionalFormatting sqref="G7">
    <cfRule type="containsText" dxfId="25" priority="22" operator="containsText" text="ok">
      <formula>NOT(ISERROR(SEARCH("ok",G7)))</formula>
    </cfRule>
    <cfRule type="containsText" dxfId="24" priority="23" operator="containsText" text="VERIFICAR">
      <formula>NOT(ISERROR(SEARCH("VERIFICAR",G7)))</formula>
    </cfRule>
  </conditionalFormatting>
  <conditionalFormatting sqref="H4">
    <cfRule type="containsText" dxfId="23" priority="18" operator="containsText" text="ok">
      <formula>NOT(ISERROR(SEARCH("ok",H4)))</formula>
    </cfRule>
    <cfRule type="containsText" dxfId="22" priority="19" operator="containsText" text="VERIFICAR">
      <formula>NOT(ISERROR(SEARCH("VERIFICAR",H4)))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768BD5B0-2ED4-423E-9EAE-09C06092D31E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A8:A15</xm:sqref>
        </x14:conditionalFormatting>
        <x14:conditionalFormatting xmlns:xm="http://schemas.microsoft.com/office/excel/2006/main">
          <x14:cfRule type="iconSet" priority="36046" id="{6E7C5E92-3A1A-4D36-BAC6-AACC7B478BEC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A344:A799</xm:sqref>
        </x14:conditionalFormatting>
        <x14:conditionalFormatting xmlns:xm="http://schemas.microsoft.com/office/excel/2006/main">
          <x14:cfRule type="iconSet" priority="39020" id="{C171AC00-FA88-45D6-9C70-5C126612504B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A16:A343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7177-392B-42D7-B4B5-671E62EFB39B}">
  <sheetPr codeName="Planilha13">
    <tabColor theme="6" tint="-0.249977111117893"/>
  </sheetPr>
  <dimension ref="A1:J286"/>
  <sheetViews>
    <sheetView showGridLines="0" zoomScale="115" zoomScaleNormal="115" workbookViewId="0">
      <pane ySplit="7" topLeftCell="A8" activePane="bottomLeft" state="frozen"/>
      <selection activeCell="H7" sqref="H7:H11"/>
      <selection pane="bottomLeft" activeCell="H8" sqref="H8"/>
    </sheetView>
  </sheetViews>
  <sheetFormatPr defaultColWidth="9.140625" defaultRowHeight="12.75" x14ac:dyDescent="0.2"/>
  <cols>
    <col min="1" max="1" width="6.28515625" style="11" customWidth="1"/>
    <col min="2" max="2" width="77" style="1" customWidth="1"/>
    <col min="3" max="3" width="9.140625" customWidth="1"/>
    <col min="4" max="4" width="13.5703125" style="3" customWidth="1"/>
    <col min="5" max="5" width="20.28515625" style="1" customWidth="1"/>
    <col min="6" max="6" width="18.28515625" style="2" customWidth="1"/>
    <col min="7" max="7" width="13.7109375" bestFit="1" customWidth="1"/>
    <col min="9" max="9" width="11" bestFit="1" customWidth="1"/>
    <col min="10" max="10" width="14.28515625" bestFit="1" customWidth="1"/>
    <col min="11" max="11" width="13.28515625" bestFit="1" customWidth="1"/>
  </cols>
  <sheetData>
    <row r="1" spans="1:10" x14ac:dyDescent="0.2">
      <c r="A1" s="495"/>
      <c r="B1" s="495"/>
      <c r="C1" s="495"/>
      <c r="D1" s="495"/>
      <c r="E1" s="495"/>
      <c r="F1" s="495"/>
      <c r="G1" s="495"/>
      <c r="H1" s="495"/>
    </row>
    <row r="2" spans="1:10" x14ac:dyDescent="0.2">
      <c r="A2" s="495"/>
      <c r="B2" s="495"/>
      <c r="C2" s="495"/>
      <c r="D2" s="495"/>
      <c r="E2" s="495"/>
      <c r="F2" s="495"/>
      <c r="G2" s="495"/>
      <c r="H2" s="495"/>
    </row>
    <row r="3" spans="1:10" x14ac:dyDescent="0.2">
      <c r="A3" s="495"/>
      <c r="B3" s="495"/>
      <c r="C3" s="495"/>
      <c r="D3" s="495"/>
      <c r="E3" s="495"/>
      <c r="F3" s="495"/>
      <c r="G3" s="495"/>
      <c r="H3" s="495"/>
    </row>
    <row r="4" spans="1:10" x14ac:dyDescent="0.2">
      <c r="A4" s="495"/>
      <c r="B4" s="495"/>
      <c r="C4" s="495"/>
      <c r="D4" s="495"/>
      <c r="E4" s="495"/>
      <c r="F4" s="495"/>
      <c r="G4" s="495"/>
      <c r="H4" s="495"/>
    </row>
    <row r="5" spans="1:10" x14ac:dyDescent="0.2">
      <c r="A5" s="495"/>
      <c r="B5" s="495"/>
      <c r="C5" s="495"/>
      <c r="D5" s="495"/>
      <c r="E5" s="495"/>
      <c r="F5" s="495"/>
      <c r="G5" s="495"/>
      <c r="H5" s="495"/>
    </row>
    <row r="6" spans="1:10" x14ac:dyDescent="0.2">
      <c r="A6" s="285"/>
      <c r="B6" s="262"/>
      <c r="C6" s="263"/>
      <c r="D6" s="264"/>
      <c r="E6" s="265"/>
      <c r="F6" s="266">
        <f>SUBTOTAL(9,F9:F286)</f>
        <v>6970627.0294020567</v>
      </c>
      <c r="G6" s="267">
        <f ca="1">F6-SUMIF(Orçamento!B:B,"SERVIÇO",Orçamento!Z:Z)</f>
        <v>0</v>
      </c>
      <c r="H6" s="268" t="str">
        <f ca="1">IF(G6&lt;&gt;0,"VERIFICAR","OK")</f>
        <v>VERIFICAR</v>
      </c>
    </row>
    <row r="7" spans="1:10" x14ac:dyDescent="0.2">
      <c r="A7" s="269" t="s">
        <v>96</v>
      </c>
      <c r="B7" s="270" t="s">
        <v>19</v>
      </c>
      <c r="C7" s="270" t="s">
        <v>12</v>
      </c>
      <c r="D7" s="270" t="s">
        <v>8</v>
      </c>
      <c r="E7" s="271" t="s">
        <v>559</v>
      </c>
      <c r="F7" s="271" t="s">
        <v>97</v>
      </c>
      <c r="G7" s="272" t="s">
        <v>560</v>
      </c>
      <c r="H7" s="272" t="s">
        <v>561</v>
      </c>
    </row>
    <row r="8" spans="1:10" s="426" customFormat="1" ht="5.25" x14ac:dyDescent="0.15">
      <c r="A8" s="420"/>
      <c r="B8" s="421"/>
      <c r="C8" s="421"/>
      <c r="D8" s="422"/>
      <c r="E8" s="423"/>
      <c r="F8" s="424"/>
      <c r="G8" s="425"/>
      <c r="H8" s="425"/>
    </row>
    <row r="9" spans="1:10" x14ac:dyDescent="0.2">
      <c r="A9" s="279">
        <v>0</v>
      </c>
      <c r="B9" s="280" t="s">
        <v>1167</v>
      </c>
      <c r="C9" s="281" t="s">
        <v>140</v>
      </c>
      <c r="D9" s="282">
        <v>2027.4636049999999</v>
      </c>
      <c r="E9" s="283">
        <v>328.98247759174944</v>
      </c>
      <c r="F9" s="283">
        <v>667000</v>
      </c>
      <c r="G9" s="284">
        <v>9.5687231175416346E-2</v>
      </c>
      <c r="H9" s="284">
        <f>G9+H8</f>
        <v>9.5687231175416346E-2</v>
      </c>
      <c r="J9" s="419"/>
    </row>
    <row r="10" spans="1:10" x14ac:dyDescent="0.2">
      <c r="A10" s="279">
        <v>0</v>
      </c>
      <c r="B10" s="280" t="s">
        <v>1222</v>
      </c>
      <c r="C10" s="281" t="s">
        <v>170</v>
      </c>
      <c r="D10" s="282">
        <v>1</v>
      </c>
      <c r="E10" s="283">
        <v>356636.125</v>
      </c>
      <c r="F10" s="283">
        <v>356636.125</v>
      </c>
      <c r="G10" s="284">
        <v>5.1162703655741645E-2</v>
      </c>
      <c r="H10" s="284">
        <f t="shared" ref="H10:H73" si="0">G10+H9</f>
        <v>0.14684993483115799</v>
      </c>
      <c r="J10" s="419"/>
    </row>
    <row r="11" spans="1:10" x14ac:dyDescent="0.2">
      <c r="A11" s="279">
        <v>0</v>
      </c>
      <c r="B11" s="280" t="s">
        <v>614</v>
      </c>
      <c r="C11" s="281" t="s">
        <v>166</v>
      </c>
      <c r="D11" s="282">
        <v>470.87161526</v>
      </c>
      <c r="E11" s="283">
        <v>510.25200000000001</v>
      </c>
      <c r="F11" s="283">
        <v>240263.18342964552</v>
      </c>
      <c r="G11" s="284">
        <v>3.4467944191565146E-2</v>
      </c>
      <c r="H11" s="284">
        <f t="shared" si="0"/>
        <v>0.18131787902272314</v>
      </c>
      <c r="J11" s="419"/>
    </row>
    <row r="12" spans="1:10" x14ac:dyDescent="0.2">
      <c r="A12" s="279">
        <v>0</v>
      </c>
      <c r="B12" s="280" t="s">
        <v>504</v>
      </c>
      <c r="C12" s="281" t="s">
        <v>140</v>
      </c>
      <c r="D12" s="282">
        <v>264.85000000000008</v>
      </c>
      <c r="E12" s="283">
        <v>830.73240202071486</v>
      </c>
      <c r="F12" s="283">
        <v>220019.47667518639</v>
      </c>
      <c r="G12" s="284">
        <v>3.1563799891623216E-2</v>
      </c>
      <c r="H12" s="284">
        <f t="shared" si="0"/>
        <v>0.21288167891434637</v>
      </c>
      <c r="J12" s="419"/>
    </row>
    <row r="13" spans="1:10" x14ac:dyDescent="0.2">
      <c r="A13" s="279">
        <v>0</v>
      </c>
      <c r="B13" s="280" t="s">
        <v>506</v>
      </c>
      <c r="C13" s="281" t="s">
        <v>140</v>
      </c>
      <c r="D13" s="282">
        <v>249.684</v>
      </c>
      <c r="E13" s="283">
        <v>830.94770876576717</v>
      </c>
      <c r="F13" s="283">
        <v>207474.34771547181</v>
      </c>
      <c r="G13" s="284">
        <v>2.9764086765845674E-2</v>
      </c>
      <c r="H13" s="284">
        <f t="shared" si="0"/>
        <v>0.24264576568019203</v>
      </c>
      <c r="J13" s="419"/>
    </row>
    <row r="14" spans="1:10" x14ac:dyDescent="0.2">
      <c r="A14" s="279">
        <v>0</v>
      </c>
      <c r="B14" s="280" t="s">
        <v>524</v>
      </c>
      <c r="C14" s="281" t="s">
        <v>142</v>
      </c>
      <c r="D14" s="282">
        <v>1</v>
      </c>
      <c r="E14" s="283">
        <v>187800</v>
      </c>
      <c r="F14" s="283">
        <v>187800</v>
      </c>
      <c r="G14" s="284">
        <v>2.6941622211009278E-2</v>
      </c>
      <c r="H14" s="284">
        <f t="shared" si="0"/>
        <v>0.26958738789120129</v>
      </c>
      <c r="J14" s="419"/>
    </row>
    <row r="15" spans="1:10" x14ac:dyDescent="0.2">
      <c r="A15" s="279">
        <v>0</v>
      </c>
      <c r="B15" s="280" t="s">
        <v>520</v>
      </c>
      <c r="C15" s="281" t="s">
        <v>140</v>
      </c>
      <c r="D15" s="282">
        <v>1878.05</v>
      </c>
      <c r="E15" s="283">
        <v>99.198636884002028</v>
      </c>
      <c r="F15" s="283">
        <v>186300</v>
      </c>
      <c r="G15" s="284">
        <v>2.6726433535202494E-2</v>
      </c>
      <c r="H15" s="284">
        <f t="shared" si="0"/>
        <v>0.29631382142640378</v>
      </c>
      <c r="J15" s="419"/>
    </row>
    <row r="16" spans="1:10" x14ac:dyDescent="0.2">
      <c r="A16" s="279">
        <v>0</v>
      </c>
      <c r="B16" s="280" t="s">
        <v>1166</v>
      </c>
      <c r="C16" s="281" t="s">
        <v>140</v>
      </c>
      <c r="D16" s="282">
        <v>1</v>
      </c>
      <c r="E16" s="283">
        <v>182850</v>
      </c>
      <c r="F16" s="283">
        <v>182850</v>
      </c>
      <c r="G16" s="284">
        <v>2.6231499580846893E-2</v>
      </c>
      <c r="H16" s="284">
        <f t="shared" si="0"/>
        <v>0.3225453210072507</v>
      </c>
      <c r="J16" s="419"/>
    </row>
    <row r="17" spans="1:10" x14ac:dyDescent="0.2">
      <c r="A17" s="279">
        <v>0</v>
      </c>
      <c r="B17" s="280" t="s">
        <v>483</v>
      </c>
      <c r="C17" s="281" t="s">
        <v>140</v>
      </c>
      <c r="D17" s="282">
        <v>3840.1949999999997</v>
      </c>
      <c r="E17" s="283">
        <v>40.637259305842548</v>
      </c>
      <c r="F17" s="283">
        <v>156055</v>
      </c>
      <c r="G17" s="284">
        <v>2.238751253535172E-2</v>
      </c>
      <c r="H17" s="284">
        <f t="shared" si="0"/>
        <v>0.3449328335426024</v>
      </c>
      <c r="J17" s="419"/>
    </row>
    <row r="18" spans="1:10" x14ac:dyDescent="0.2">
      <c r="A18" s="279">
        <v>0</v>
      </c>
      <c r="B18" s="280" t="s">
        <v>538</v>
      </c>
      <c r="C18" s="281" t="s">
        <v>170</v>
      </c>
      <c r="D18" s="282">
        <v>1</v>
      </c>
      <c r="E18" s="283">
        <v>139412.54058804107</v>
      </c>
      <c r="F18" s="283">
        <v>139412.54058804107</v>
      </c>
      <c r="G18" s="284">
        <v>1.9999999999999997E-2</v>
      </c>
      <c r="H18" s="284">
        <f t="shared" si="0"/>
        <v>0.36493283354260242</v>
      </c>
      <c r="J18" s="419"/>
    </row>
    <row r="19" spans="1:10" x14ac:dyDescent="0.2">
      <c r="A19" s="279">
        <v>0</v>
      </c>
      <c r="B19" s="280" t="s">
        <v>218</v>
      </c>
      <c r="C19" s="281" t="s">
        <v>140</v>
      </c>
      <c r="D19" s="282">
        <v>2341.7450000000003</v>
      </c>
      <c r="E19" s="283">
        <v>58.930413003977797</v>
      </c>
      <c r="F19" s="283">
        <v>138000</v>
      </c>
      <c r="G19" s="284">
        <v>1.979735817422407E-2</v>
      </c>
      <c r="H19" s="284">
        <f t="shared" si="0"/>
        <v>0.38473019171682649</v>
      </c>
      <c r="J19" s="419"/>
    </row>
    <row r="20" spans="1:10" x14ac:dyDescent="0.2">
      <c r="A20" s="279">
        <v>0</v>
      </c>
      <c r="B20" s="280" t="s">
        <v>875</v>
      </c>
      <c r="C20" s="281" t="s">
        <v>170</v>
      </c>
      <c r="D20" s="282">
        <v>1</v>
      </c>
      <c r="E20" s="283">
        <v>135260</v>
      </c>
      <c r="F20" s="283">
        <v>135260</v>
      </c>
      <c r="G20" s="284">
        <v>1.940428019308368E-2</v>
      </c>
      <c r="H20" s="284">
        <f t="shared" si="0"/>
        <v>0.40413447190991014</v>
      </c>
      <c r="J20" s="419"/>
    </row>
    <row r="21" spans="1:10" x14ac:dyDescent="0.2">
      <c r="A21" s="279">
        <v>0</v>
      </c>
      <c r="B21" s="280" t="s">
        <v>740</v>
      </c>
      <c r="C21" s="281" t="s">
        <v>140</v>
      </c>
      <c r="D21" s="282">
        <v>3396.9239999999995</v>
      </c>
      <c r="E21" s="283">
        <v>38.187489622964783</v>
      </c>
      <c r="F21" s="283">
        <v>129720</v>
      </c>
      <c r="G21" s="284">
        <v>1.8609516683770626E-2</v>
      </c>
      <c r="H21" s="284">
        <f t="shared" si="0"/>
        <v>0.42274398859368079</v>
      </c>
      <c r="J21" s="419"/>
    </row>
    <row r="22" spans="1:10" x14ac:dyDescent="0.2">
      <c r="A22" s="279">
        <v>0</v>
      </c>
      <c r="B22" s="280" t="s">
        <v>813</v>
      </c>
      <c r="C22" s="281" t="s">
        <v>260</v>
      </c>
      <c r="D22" s="282">
        <v>22</v>
      </c>
      <c r="E22" s="283">
        <v>5100</v>
      </c>
      <c r="F22" s="283">
        <v>112200</v>
      </c>
      <c r="G22" s="284">
        <v>1.6096112950347397E-2</v>
      </c>
      <c r="H22" s="284">
        <f t="shared" si="0"/>
        <v>0.43884010154402819</v>
      </c>
      <c r="J22" s="419"/>
    </row>
    <row r="23" spans="1:10" x14ac:dyDescent="0.2">
      <c r="A23" s="279">
        <v>0</v>
      </c>
      <c r="B23" s="280" t="s">
        <v>831</v>
      </c>
      <c r="C23" s="281" t="s">
        <v>592</v>
      </c>
      <c r="D23" s="282">
        <v>2407.19884</v>
      </c>
      <c r="E23" s="283">
        <v>36.785494629101763</v>
      </c>
      <c r="F23" s="283">
        <v>88550</v>
      </c>
      <c r="G23" s="284">
        <v>1.2703304828460445E-2</v>
      </c>
      <c r="H23" s="284">
        <f t="shared" si="0"/>
        <v>0.45154340637248863</v>
      </c>
      <c r="J23" s="419"/>
    </row>
    <row r="24" spans="1:10" x14ac:dyDescent="0.2">
      <c r="A24" s="279">
        <v>0</v>
      </c>
      <c r="B24" s="280" t="s">
        <v>447</v>
      </c>
      <c r="C24" s="281" t="s">
        <v>140</v>
      </c>
      <c r="D24" s="282">
        <v>2407.19884</v>
      </c>
      <c r="E24" s="283">
        <v>36.785494629101763</v>
      </c>
      <c r="F24" s="283">
        <v>88550</v>
      </c>
      <c r="G24" s="284">
        <v>1.2703304828460445E-2</v>
      </c>
      <c r="H24" s="284">
        <f t="shared" si="0"/>
        <v>0.46424671120094907</v>
      </c>
      <c r="J24" s="419"/>
    </row>
    <row r="25" spans="1:10" x14ac:dyDescent="0.2">
      <c r="A25" s="279">
        <v>0</v>
      </c>
      <c r="B25" s="280" t="s">
        <v>781</v>
      </c>
      <c r="C25" s="281" t="s">
        <v>140</v>
      </c>
      <c r="D25" s="282">
        <v>1197.21</v>
      </c>
      <c r="E25" s="283">
        <v>73.511069535391329</v>
      </c>
      <c r="F25" s="283">
        <v>88008.187558465856</v>
      </c>
      <c r="G25" s="284">
        <v>1.2625576893907529E-2</v>
      </c>
      <c r="H25" s="284">
        <f t="shared" si="0"/>
        <v>0.4768722880948566</v>
      </c>
      <c r="J25" s="419"/>
    </row>
    <row r="26" spans="1:10" x14ac:dyDescent="0.2">
      <c r="A26" s="279">
        <v>0</v>
      </c>
      <c r="B26" s="280" t="s">
        <v>741</v>
      </c>
      <c r="C26" s="281" t="s">
        <v>140</v>
      </c>
      <c r="D26" s="282">
        <v>1560.13</v>
      </c>
      <c r="E26" s="283">
        <v>53.07250036855902</v>
      </c>
      <c r="F26" s="283">
        <v>82799.999999999985</v>
      </c>
      <c r="G26" s="284">
        <v>1.1878414904534441E-2</v>
      </c>
      <c r="H26" s="284">
        <f t="shared" si="0"/>
        <v>0.48875070299939105</v>
      </c>
      <c r="J26" s="419"/>
    </row>
    <row r="27" spans="1:10" x14ac:dyDescent="0.2">
      <c r="A27" s="279">
        <v>0</v>
      </c>
      <c r="B27" s="280" t="s">
        <v>745</v>
      </c>
      <c r="C27" s="281" t="s">
        <v>140</v>
      </c>
      <c r="D27" s="282">
        <v>1703.3500000000001</v>
      </c>
      <c r="E27" s="283">
        <v>47.55</v>
      </c>
      <c r="F27" s="283">
        <v>80994.292499999996</v>
      </c>
      <c r="G27" s="284">
        <v>1.1619369700654856E-2</v>
      </c>
      <c r="H27" s="284">
        <f t="shared" si="0"/>
        <v>0.50037007270004585</v>
      </c>
      <c r="J27" s="419"/>
    </row>
    <row r="28" spans="1:10" x14ac:dyDescent="0.2">
      <c r="A28" s="279">
        <v>0</v>
      </c>
      <c r="B28" s="280" t="s">
        <v>208</v>
      </c>
      <c r="C28" s="281" t="s">
        <v>140</v>
      </c>
      <c r="D28" s="282">
        <v>2042.5099999999998</v>
      </c>
      <c r="E28" s="283">
        <v>37.181699999999999</v>
      </c>
      <c r="F28" s="283">
        <v>75943.994066999992</v>
      </c>
      <c r="G28" s="284">
        <v>1.0894858345837295E-2</v>
      </c>
      <c r="H28" s="284">
        <f t="shared" si="0"/>
        <v>0.51126493104588311</v>
      </c>
      <c r="J28" s="419"/>
    </row>
    <row r="29" spans="1:10" x14ac:dyDescent="0.2">
      <c r="A29" s="279">
        <v>0</v>
      </c>
      <c r="B29" s="280" t="s">
        <v>1207</v>
      </c>
      <c r="C29" s="281" t="s">
        <v>170</v>
      </c>
      <c r="D29" s="282">
        <v>1</v>
      </c>
      <c r="E29" s="283">
        <v>75566.564785471885</v>
      </c>
      <c r="F29" s="283">
        <v>75566.564785471885</v>
      </c>
      <c r="G29" s="284">
        <v>1.0840712674302134E-2</v>
      </c>
      <c r="H29" s="284">
        <f t="shared" si="0"/>
        <v>0.5221056437201852</v>
      </c>
      <c r="J29" s="419"/>
    </row>
    <row r="30" spans="1:10" x14ac:dyDescent="0.2">
      <c r="A30" s="279">
        <v>0</v>
      </c>
      <c r="B30" s="280" t="s">
        <v>952</v>
      </c>
      <c r="C30" s="281" t="s">
        <v>140</v>
      </c>
      <c r="D30" s="282">
        <v>846.21202274399991</v>
      </c>
      <c r="E30" s="283">
        <v>88.057400000000001</v>
      </c>
      <c r="F30" s="283">
        <v>74515.2305715775</v>
      </c>
      <c r="G30" s="284">
        <v>1.0689889196089935E-2</v>
      </c>
      <c r="H30" s="284">
        <f t="shared" si="0"/>
        <v>0.53279553291627513</v>
      </c>
      <c r="J30" s="419"/>
    </row>
    <row r="31" spans="1:10" x14ac:dyDescent="0.2">
      <c r="A31" s="279">
        <v>0</v>
      </c>
      <c r="B31" s="280" t="s">
        <v>481</v>
      </c>
      <c r="C31" s="281" t="s">
        <v>140</v>
      </c>
      <c r="D31" s="282">
        <v>3840.1949999999997</v>
      </c>
      <c r="E31" s="283">
        <v>19.008000000000003</v>
      </c>
      <c r="F31" s="283">
        <v>72994.426560000007</v>
      </c>
      <c r="G31" s="284">
        <v>1.0471715995147932E-2</v>
      </c>
      <c r="H31" s="284">
        <f t="shared" si="0"/>
        <v>0.54326724891142308</v>
      </c>
      <c r="J31" s="419"/>
    </row>
    <row r="32" spans="1:10" x14ac:dyDescent="0.2">
      <c r="A32" s="279">
        <v>0</v>
      </c>
      <c r="B32" s="280" t="s">
        <v>993</v>
      </c>
      <c r="C32" s="281" t="s">
        <v>170</v>
      </c>
      <c r="D32" s="282">
        <v>1</v>
      </c>
      <c r="E32" s="283">
        <v>72883.04738651494</v>
      </c>
      <c r="F32" s="283">
        <v>72883.04738651494</v>
      </c>
      <c r="G32" s="284">
        <v>1.0455737637244795E-2</v>
      </c>
      <c r="H32" s="284">
        <f t="shared" si="0"/>
        <v>0.55372298654866792</v>
      </c>
      <c r="J32" s="419"/>
    </row>
    <row r="33" spans="1:10" x14ac:dyDescent="0.2">
      <c r="A33" s="279">
        <v>0</v>
      </c>
      <c r="B33" s="280" t="s">
        <v>1148</v>
      </c>
      <c r="C33" s="281" t="s">
        <v>140</v>
      </c>
      <c r="D33" s="282">
        <v>1029.46</v>
      </c>
      <c r="E33" s="283">
        <v>69.505843999999996</v>
      </c>
      <c r="F33" s="283">
        <v>71553.486164239992</v>
      </c>
      <c r="G33" s="284">
        <v>1.0264999958027866E-2</v>
      </c>
      <c r="H33" s="284">
        <f t="shared" si="0"/>
        <v>0.56398798650669579</v>
      </c>
      <c r="J33" s="419"/>
    </row>
    <row r="34" spans="1:10" x14ac:dyDescent="0.2">
      <c r="A34" s="279">
        <v>0</v>
      </c>
      <c r="B34" s="280" t="s">
        <v>1165</v>
      </c>
      <c r="C34" s="281" t="s">
        <v>140</v>
      </c>
      <c r="D34" s="282">
        <v>216.99340049999998</v>
      </c>
      <c r="E34" s="283">
        <v>317.98202084030663</v>
      </c>
      <c r="F34" s="283">
        <v>69000</v>
      </c>
      <c r="G34" s="284">
        <v>9.8986790871120351E-3</v>
      </c>
      <c r="H34" s="284">
        <f t="shared" si="0"/>
        <v>0.57388666559380785</v>
      </c>
      <c r="J34" s="419"/>
    </row>
    <row r="35" spans="1:10" x14ac:dyDescent="0.2">
      <c r="A35" s="279">
        <v>0</v>
      </c>
      <c r="B35" s="280" t="s">
        <v>1122</v>
      </c>
      <c r="C35" s="281" t="s">
        <v>140</v>
      </c>
      <c r="D35" s="282">
        <v>901.1</v>
      </c>
      <c r="E35" s="283">
        <v>75.704999999999998</v>
      </c>
      <c r="F35" s="283">
        <v>68217.775500000003</v>
      </c>
      <c r="G35" s="284">
        <v>9.7864618508862865E-3</v>
      </c>
      <c r="H35" s="284">
        <f t="shared" si="0"/>
        <v>0.58367312744469413</v>
      </c>
      <c r="J35" s="419"/>
    </row>
    <row r="36" spans="1:10" x14ac:dyDescent="0.2">
      <c r="A36" s="279">
        <v>0</v>
      </c>
      <c r="B36" s="280" t="s">
        <v>878</v>
      </c>
      <c r="C36" s="281" t="s">
        <v>142</v>
      </c>
      <c r="D36" s="282">
        <v>1</v>
      </c>
      <c r="E36" s="283">
        <v>63245</v>
      </c>
      <c r="F36" s="283">
        <v>63245</v>
      </c>
      <c r="G36" s="284">
        <v>9.0730718676000095E-3</v>
      </c>
      <c r="H36" s="284">
        <f t="shared" si="0"/>
        <v>0.59274619931229411</v>
      </c>
      <c r="J36" s="419"/>
    </row>
    <row r="37" spans="1:10" x14ac:dyDescent="0.2">
      <c r="A37" s="279">
        <v>0</v>
      </c>
      <c r="B37" s="280" t="s">
        <v>521</v>
      </c>
      <c r="C37" s="281" t="s">
        <v>140</v>
      </c>
      <c r="D37" s="282">
        <v>1624.8700000000001</v>
      </c>
      <c r="E37" s="283">
        <v>37.369143377624056</v>
      </c>
      <c r="F37" s="283">
        <v>60720.000000000007</v>
      </c>
      <c r="G37" s="284">
        <v>8.7108375966585914E-3</v>
      </c>
      <c r="H37" s="284">
        <f t="shared" si="0"/>
        <v>0.60145703690895269</v>
      </c>
      <c r="J37" s="419"/>
    </row>
    <row r="38" spans="1:10" x14ac:dyDescent="0.2">
      <c r="A38" s="279">
        <v>0</v>
      </c>
      <c r="B38" s="280" t="s">
        <v>950</v>
      </c>
      <c r="C38" s="281" t="s">
        <v>140</v>
      </c>
      <c r="D38" s="282">
        <v>535.48219999999992</v>
      </c>
      <c r="E38" s="283">
        <v>108.24439999999998</v>
      </c>
      <c r="F38" s="283">
        <v>57962.949449679982</v>
      </c>
      <c r="G38" s="284">
        <v>8.3153135586214386E-3</v>
      </c>
      <c r="H38" s="284">
        <f t="shared" si="0"/>
        <v>0.60977235046757416</v>
      </c>
      <c r="J38" s="419"/>
    </row>
    <row r="39" spans="1:10" x14ac:dyDescent="0.2">
      <c r="A39" s="279">
        <v>0</v>
      </c>
      <c r="B39" s="280" t="s">
        <v>1191</v>
      </c>
      <c r="C39" s="281" t="s">
        <v>170</v>
      </c>
      <c r="D39" s="282">
        <v>1</v>
      </c>
      <c r="E39" s="283">
        <v>56000</v>
      </c>
      <c r="F39" s="283">
        <v>56000</v>
      </c>
      <c r="G39" s="284">
        <v>8.0337105634532453E-3</v>
      </c>
      <c r="H39" s="284">
        <f t="shared" si="0"/>
        <v>0.61780606103102742</v>
      </c>
      <c r="J39" s="419"/>
    </row>
    <row r="40" spans="1:10" x14ac:dyDescent="0.2">
      <c r="A40" s="279">
        <v>0</v>
      </c>
      <c r="B40" s="280" t="s">
        <v>782</v>
      </c>
      <c r="C40" s="281" t="s">
        <v>140</v>
      </c>
      <c r="D40" s="282">
        <v>691.62</v>
      </c>
      <c r="E40" s="283">
        <v>73.511069535391343</v>
      </c>
      <c r="F40" s="283">
        <v>50841.725912067363</v>
      </c>
      <c r="G40" s="284">
        <v>7.2937091164994678E-3</v>
      </c>
      <c r="H40" s="284">
        <f t="shared" si="0"/>
        <v>0.62509977014752693</v>
      </c>
      <c r="J40" s="419"/>
    </row>
    <row r="41" spans="1:10" x14ac:dyDescent="0.2">
      <c r="A41" s="279">
        <v>0</v>
      </c>
      <c r="B41" s="280" t="s">
        <v>452</v>
      </c>
      <c r="C41" s="281" t="s">
        <v>170</v>
      </c>
      <c r="D41" s="282">
        <v>1</v>
      </c>
      <c r="E41" s="283">
        <v>50600</v>
      </c>
      <c r="F41" s="283">
        <v>50600</v>
      </c>
      <c r="G41" s="284">
        <v>7.2590313305488261E-3</v>
      </c>
      <c r="H41" s="284">
        <f t="shared" si="0"/>
        <v>0.63235880147807577</v>
      </c>
      <c r="J41" s="419"/>
    </row>
    <row r="42" spans="1:10" x14ac:dyDescent="0.2">
      <c r="A42" s="279">
        <v>0</v>
      </c>
      <c r="B42" s="280" t="s">
        <v>1208</v>
      </c>
      <c r="C42" s="281" t="s">
        <v>170</v>
      </c>
      <c r="D42" s="282">
        <v>1</v>
      </c>
      <c r="E42" s="283">
        <v>46260.671085225476</v>
      </c>
      <c r="F42" s="283">
        <v>46260.671085225476</v>
      </c>
      <c r="G42" s="284">
        <v>6.6365150351752151E-3</v>
      </c>
      <c r="H42" s="284">
        <f t="shared" si="0"/>
        <v>0.63899531651325103</v>
      </c>
      <c r="J42" s="419"/>
    </row>
    <row r="43" spans="1:10" x14ac:dyDescent="0.2">
      <c r="A43" s="279">
        <v>0</v>
      </c>
      <c r="B43" s="280" t="s">
        <v>732</v>
      </c>
      <c r="C43" s="281" t="s">
        <v>140</v>
      </c>
      <c r="D43" s="282">
        <v>691.62</v>
      </c>
      <c r="E43" s="283">
        <v>66.510999999999981</v>
      </c>
      <c r="F43" s="283">
        <v>46000.337819999986</v>
      </c>
      <c r="G43" s="284">
        <v>6.5991678547669954E-3</v>
      </c>
      <c r="H43" s="284">
        <f t="shared" si="0"/>
        <v>0.64559448436801803</v>
      </c>
      <c r="J43" s="419"/>
    </row>
    <row r="44" spans="1:10" x14ac:dyDescent="0.2">
      <c r="A44" s="279">
        <v>0</v>
      </c>
      <c r="B44" s="280" t="s">
        <v>1209</v>
      </c>
      <c r="C44" s="281" t="s">
        <v>170</v>
      </c>
      <c r="D44" s="282">
        <v>1</v>
      </c>
      <c r="E44" s="283">
        <v>43781.855390624762</v>
      </c>
      <c r="F44" s="283">
        <v>43781.855390624762</v>
      </c>
      <c r="G44" s="284">
        <v>6.2809063239150816E-3</v>
      </c>
      <c r="H44" s="284">
        <f t="shared" si="0"/>
        <v>0.65187539069193312</v>
      </c>
      <c r="J44" s="419"/>
    </row>
    <row r="45" spans="1:10" x14ac:dyDescent="0.2">
      <c r="A45" s="279">
        <v>0</v>
      </c>
      <c r="B45" s="280" t="s">
        <v>798</v>
      </c>
      <c r="C45" s="281" t="s">
        <v>142</v>
      </c>
      <c r="D45" s="282">
        <v>512</v>
      </c>
      <c r="E45" s="283">
        <v>84.511399999999995</v>
      </c>
      <c r="F45" s="283">
        <v>43269.836799999997</v>
      </c>
      <c r="G45" s="284">
        <v>6.2074525889117497E-3</v>
      </c>
      <c r="H45" s="284">
        <f t="shared" si="0"/>
        <v>0.65808284328084488</v>
      </c>
      <c r="J45" s="419"/>
    </row>
    <row r="46" spans="1:10" x14ac:dyDescent="0.2">
      <c r="A46" s="279">
        <v>0</v>
      </c>
      <c r="B46" s="280" t="s">
        <v>1159</v>
      </c>
      <c r="C46" s="281" t="s">
        <v>170</v>
      </c>
      <c r="D46" s="282">
        <v>1</v>
      </c>
      <c r="E46" s="283">
        <v>41400</v>
      </c>
      <c r="F46" s="283">
        <v>41400</v>
      </c>
      <c r="G46" s="284">
        <v>5.9392074522672212E-3</v>
      </c>
      <c r="H46" s="284">
        <f t="shared" si="0"/>
        <v>0.66402205073311205</v>
      </c>
      <c r="J46" s="419"/>
    </row>
    <row r="47" spans="1:10" x14ac:dyDescent="0.2">
      <c r="A47" s="279">
        <v>0</v>
      </c>
      <c r="B47" s="280" t="s">
        <v>221</v>
      </c>
      <c r="C47" s="281" t="s">
        <v>170</v>
      </c>
      <c r="D47" s="282">
        <v>1</v>
      </c>
      <c r="E47" s="283">
        <v>40816</v>
      </c>
      <c r="F47" s="283">
        <v>40816</v>
      </c>
      <c r="G47" s="284">
        <v>5.8554273278197799E-3</v>
      </c>
      <c r="H47" s="284">
        <f t="shared" si="0"/>
        <v>0.66987747806093179</v>
      </c>
      <c r="J47" s="419"/>
    </row>
    <row r="48" spans="1:10" x14ac:dyDescent="0.2">
      <c r="A48" s="279">
        <v>0</v>
      </c>
      <c r="B48" s="280" t="s">
        <v>921</v>
      </c>
      <c r="C48" s="281" t="s">
        <v>260</v>
      </c>
      <c r="D48" s="282">
        <v>6</v>
      </c>
      <c r="E48" s="283">
        <v>6800</v>
      </c>
      <c r="F48" s="283">
        <v>40800</v>
      </c>
      <c r="G48" s="284">
        <v>5.8531319819445076E-3</v>
      </c>
      <c r="H48" s="284">
        <f t="shared" si="0"/>
        <v>0.67573061004287627</v>
      </c>
      <c r="J48" s="419"/>
    </row>
    <row r="49" spans="1:10" x14ac:dyDescent="0.2">
      <c r="A49" s="279">
        <v>0</v>
      </c>
      <c r="B49" s="280" t="s">
        <v>617</v>
      </c>
      <c r="C49" s="281" t="s">
        <v>159</v>
      </c>
      <c r="D49" s="282">
        <v>3592</v>
      </c>
      <c r="E49" s="283">
        <v>11.303809243964421</v>
      </c>
      <c r="F49" s="283">
        <v>40603.282804320203</v>
      </c>
      <c r="G49" s="284">
        <v>5.8249111067133347E-3</v>
      </c>
      <c r="H49" s="284">
        <f t="shared" si="0"/>
        <v>0.68155552114958962</v>
      </c>
      <c r="J49" s="419"/>
    </row>
    <row r="50" spans="1:10" x14ac:dyDescent="0.2">
      <c r="A50" s="279">
        <v>0</v>
      </c>
      <c r="B50" s="280" t="s">
        <v>712</v>
      </c>
      <c r="C50" s="281" t="s">
        <v>140</v>
      </c>
      <c r="D50" s="282">
        <v>253.17999999999998</v>
      </c>
      <c r="E50" s="283">
        <v>159.39249999999998</v>
      </c>
      <c r="F50" s="283">
        <v>40354.993149999995</v>
      </c>
      <c r="G50" s="284">
        <v>5.7892916920935416E-3</v>
      </c>
      <c r="H50" s="284">
        <f t="shared" si="0"/>
        <v>0.68734481284168314</v>
      </c>
      <c r="J50" s="419"/>
    </row>
    <row r="51" spans="1:10" x14ac:dyDescent="0.2">
      <c r="A51" s="279">
        <v>0</v>
      </c>
      <c r="B51" s="280" t="s">
        <v>811</v>
      </c>
      <c r="C51" s="281" t="s">
        <v>260</v>
      </c>
      <c r="D51" s="282">
        <v>22</v>
      </c>
      <c r="E51" s="283">
        <v>1800</v>
      </c>
      <c r="F51" s="283">
        <v>39600</v>
      </c>
      <c r="G51" s="284">
        <v>5.6809810412990812E-3</v>
      </c>
      <c r="H51" s="284">
        <f t="shared" si="0"/>
        <v>0.69302579388298224</v>
      </c>
      <c r="J51" s="419"/>
    </row>
    <row r="52" spans="1:10" x14ac:dyDescent="0.2">
      <c r="A52" s="279">
        <v>0</v>
      </c>
      <c r="B52" s="280" t="s">
        <v>484</v>
      </c>
      <c r="C52" s="281" t="s">
        <v>140</v>
      </c>
      <c r="D52" s="282">
        <v>1775.17</v>
      </c>
      <c r="E52" s="283">
        <v>21.975617726721353</v>
      </c>
      <c r="F52" s="283">
        <v>39010.457319943947</v>
      </c>
      <c r="G52" s="284">
        <v>5.5964057688638515E-3</v>
      </c>
      <c r="H52" s="284">
        <f t="shared" si="0"/>
        <v>0.69862219965184613</v>
      </c>
      <c r="J52" s="419"/>
    </row>
    <row r="53" spans="1:10" x14ac:dyDescent="0.2">
      <c r="A53" s="279">
        <v>0</v>
      </c>
      <c r="B53" s="280" t="s">
        <v>1044</v>
      </c>
      <c r="C53" s="281" t="s">
        <v>140</v>
      </c>
      <c r="D53" s="282">
        <v>217.21999999999997</v>
      </c>
      <c r="E53" s="283">
        <v>170.47233219777189</v>
      </c>
      <c r="F53" s="283">
        <v>37030.000000000007</v>
      </c>
      <c r="G53" s="284">
        <v>5.3122911100834599E-3</v>
      </c>
      <c r="H53" s="284">
        <f t="shared" si="0"/>
        <v>0.7039344907619296</v>
      </c>
      <c r="J53" s="419"/>
    </row>
    <row r="54" spans="1:10" x14ac:dyDescent="0.2">
      <c r="A54" s="279">
        <v>0</v>
      </c>
      <c r="B54" s="280" t="s">
        <v>514</v>
      </c>
      <c r="C54" s="281" t="s">
        <v>140</v>
      </c>
      <c r="D54" s="282">
        <v>1878.05</v>
      </c>
      <c r="E54" s="283">
        <v>19.2</v>
      </c>
      <c r="F54" s="283">
        <v>36058.559999999998</v>
      </c>
      <c r="G54" s="284">
        <v>5.1729291852662977E-3</v>
      </c>
      <c r="H54" s="284">
        <f t="shared" si="0"/>
        <v>0.70910741994719595</v>
      </c>
      <c r="J54" s="419"/>
    </row>
    <row r="55" spans="1:10" x14ac:dyDescent="0.2">
      <c r="A55" s="279">
        <v>0</v>
      </c>
      <c r="B55" s="280" t="s">
        <v>780</v>
      </c>
      <c r="C55" s="281" t="s">
        <v>140</v>
      </c>
      <c r="D55" s="282">
        <v>489.35999999999996</v>
      </c>
      <c r="E55" s="283">
        <v>73.511069535391329</v>
      </c>
      <c r="F55" s="283">
        <v>35973.376987839096</v>
      </c>
      <c r="G55" s="284">
        <v>5.1607089055408723E-3</v>
      </c>
      <c r="H55" s="284">
        <f t="shared" si="0"/>
        <v>0.71426812885273683</v>
      </c>
      <c r="J55" s="419"/>
    </row>
    <row r="56" spans="1:10" x14ac:dyDescent="0.2">
      <c r="A56" s="279">
        <v>0</v>
      </c>
      <c r="B56" s="280" t="s">
        <v>458</v>
      </c>
      <c r="C56" s="281" t="s">
        <v>142</v>
      </c>
      <c r="D56" s="282">
        <v>40</v>
      </c>
      <c r="E56" s="283">
        <v>890</v>
      </c>
      <c r="F56" s="283">
        <v>35600</v>
      </c>
      <c r="G56" s="284">
        <v>5.1071445724809924E-3</v>
      </c>
      <c r="H56" s="284">
        <f t="shared" si="0"/>
        <v>0.71937527342521779</v>
      </c>
      <c r="J56" s="419"/>
    </row>
    <row r="57" spans="1:10" x14ac:dyDescent="0.2">
      <c r="A57" s="279">
        <v>0</v>
      </c>
      <c r="B57" s="280" t="s">
        <v>738</v>
      </c>
      <c r="C57" s="281" t="s">
        <v>140</v>
      </c>
      <c r="D57" s="282">
        <v>1862.4540000000002</v>
      </c>
      <c r="E57" s="283">
        <v>17.975370000000002</v>
      </c>
      <c r="F57" s="283">
        <v>33478.299757980007</v>
      </c>
      <c r="G57" s="284">
        <v>4.8027673287881828E-3</v>
      </c>
      <c r="H57" s="284">
        <f t="shared" si="0"/>
        <v>0.72417804075400594</v>
      </c>
      <c r="J57" s="419"/>
    </row>
    <row r="58" spans="1:10" x14ac:dyDescent="0.2">
      <c r="A58" s="279">
        <v>0</v>
      </c>
      <c r="B58" s="280" t="s">
        <v>188</v>
      </c>
      <c r="C58" s="281" t="s">
        <v>159</v>
      </c>
      <c r="D58" s="282">
        <v>5037.6540799999993</v>
      </c>
      <c r="E58" s="283">
        <v>6.5920300000000012</v>
      </c>
      <c r="F58" s="283">
        <v>33208.366824982404</v>
      </c>
      <c r="G58" s="284">
        <v>4.7640429885159189E-3</v>
      </c>
      <c r="H58" s="284">
        <f t="shared" si="0"/>
        <v>0.7289420837425219</v>
      </c>
      <c r="J58" s="419"/>
    </row>
    <row r="59" spans="1:10" x14ac:dyDescent="0.2">
      <c r="A59" s="279">
        <v>0</v>
      </c>
      <c r="B59" s="280" t="s">
        <v>827</v>
      </c>
      <c r="C59" s="281" t="s">
        <v>592</v>
      </c>
      <c r="D59" s="282">
        <v>58.040000000000013</v>
      </c>
      <c r="E59" s="283">
        <v>568.53463128876638</v>
      </c>
      <c r="F59" s="283">
        <v>32997.750000000007</v>
      </c>
      <c r="G59" s="284">
        <v>4.7338280847355248E-3</v>
      </c>
      <c r="H59" s="284">
        <f t="shared" si="0"/>
        <v>0.73367591182725744</v>
      </c>
      <c r="J59" s="419"/>
    </row>
    <row r="60" spans="1:10" x14ac:dyDescent="0.2">
      <c r="A60" s="279">
        <v>0</v>
      </c>
      <c r="B60" s="280" t="s">
        <v>473</v>
      </c>
      <c r="C60" s="281" t="s">
        <v>140</v>
      </c>
      <c r="D60" s="282">
        <v>484.89</v>
      </c>
      <c r="E60" s="283">
        <v>65.19</v>
      </c>
      <c r="F60" s="283">
        <v>31609.979099999997</v>
      </c>
      <c r="G60" s="284">
        <v>4.5347396965393985E-3</v>
      </c>
      <c r="H60" s="284">
        <f t="shared" si="0"/>
        <v>0.73821065152379683</v>
      </c>
      <c r="J60" s="419"/>
    </row>
    <row r="61" spans="1:10" x14ac:dyDescent="0.2">
      <c r="A61" s="279">
        <v>0</v>
      </c>
      <c r="B61" s="280" t="s">
        <v>980</v>
      </c>
      <c r="C61" s="281" t="s">
        <v>170</v>
      </c>
      <c r="D61" s="282">
        <v>1</v>
      </c>
      <c r="E61" s="283">
        <v>30072.356023839933</v>
      </c>
      <c r="F61" s="283">
        <v>30072.356023839933</v>
      </c>
      <c r="G61" s="284">
        <v>4.3141536474401738E-3</v>
      </c>
      <c r="H61" s="284">
        <f t="shared" si="0"/>
        <v>0.74252480517123698</v>
      </c>
      <c r="J61" s="419"/>
    </row>
    <row r="62" spans="1:10" x14ac:dyDescent="0.2">
      <c r="A62" s="279">
        <v>0</v>
      </c>
      <c r="B62" s="280" t="s">
        <v>223</v>
      </c>
      <c r="C62" s="281" t="s">
        <v>170</v>
      </c>
      <c r="D62" s="282">
        <v>1</v>
      </c>
      <c r="E62" s="283">
        <v>29900</v>
      </c>
      <c r="F62" s="283">
        <v>29900</v>
      </c>
      <c r="G62" s="284">
        <v>4.2894276044152151E-3</v>
      </c>
      <c r="H62" s="284">
        <f t="shared" si="0"/>
        <v>0.74681423277565218</v>
      </c>
      <c r="J62" s="419"/>
    </row>
    <row r="63" spans="1:10" x14ac:dyDescent="0.2">
      <c r="A63" s="279">
        <v>0</v>
      </c>
      <c r="B63" s="280" t="s">
        <v>824</v>
      </c>
      <c r="C63" s="281" t="s">
        <v>142</v>
      </c>
      <c r="D63" s="282">
        <v>19</v>
      </c>
      <c r="E63" s="283">
        <v>1569.69</v>
      </c>
      <c r="F63" s="283">
        <v>29824.11</v>
      </c>
      <c r="G63" s="284">
        <v>4.2785404920105642E-3</v>
      </c>
      <c r="H63" s="284">
        <f t="shared" si="0"/>
        <v>0.75109277326766277</v>
      </c>
      <c r="J63" s="419"/>
    </row>
    <row r="64" spans="1:10" x14ac:dyDescent="0.2">
      <c r="A64" s="279">
        <v>0</v>
      </c>
      <c r="B64" s="280" t="s">
        <v>535</v>
      </c>
      <c r="C64" s="281" t="s">
        <v>170</v>
      </c>
      <c r="D64" s="282">
        <v>1</v>
      </c>
      <c r="E64" s="283">
        <v>29148.45</v>
      </c>
      <c r="F64" s="283">
        <v>29148.45</v>
      </c>
      <c r="G64" s="284">
        <v>4.1816109048801566E-3</v>
      </c>
      <c r="H64" s="284">
        <f t="shared" si="0"/>
        <v>0.75527438417254289</v>
      </c>
      <c r="J64" s="419"/>
    </row>
    <row r="65" spans="1:10" x14ac:dyDescent="0.2">
      <c r="A65" s="279">
        <v>0</v>
      </c>
      <c r="B65" s="280" t="s">
        <v>469</v>
      </c>
      <c r="C65" s="281" t="s">
        <v>140</v>
      </c>
      <c r="D65" s="282">
        <v>798.43</v>
      </c>
      <c r="E65" s="283">
        <v>36.256</v>
      </c>
      <c r="F65" s="283">
        <v>28947.878079999999</v>
      </c>
      <c r="G65" s="284">
        <v>4.1528370343009401E-3</v>
      </c>
      <c r="H65" s="284">
        <f t="shared" si="0"/>
        <v>0.75942722120684381</v>
      </c>
      <c r="J65" s="419"/>
    </row>
    <row r="66" spans="1:10" x14ac:dyDescent="0.2">
      <c r="A66" s="279">
        <v>0</v>
      </c>
      <c r="B66" s="280" t="s">
        <v>190</v>
      </c>
      <c r="C66" s="281" t="s">
        <v>159</v>
      </c>
      <c r="D66" s="282">
        <v>4373.3681299999998</v>
      </c>
      <c r="E66" s="283">
        <v>6.3602700000000008</v>
      </c>
      <c r="F66" s="283">
        <v>27815.802116195104</v>
      </c>
      <c r="G66" s="284">
        <v>3.9904304159250311E-3</v>
      </c>
      <c r="H66" s="284">
        <f t="shared" si="0"/>
        <v>0.76341765162276887</v>
      </c>
      <c r="J66" s="419"/>
    </row>
    <row r="67" spans="1:10" x14ac:dyDescent="0.2">
      <c r="A67" s="279">
        <v>0</v>
      </c>
      <c r="B67" s="280" t="s">
        <v>739</v>
      </c>
      <c r="C67" s="281" t="s">
        <v>140</v>
      </c>
      <c r="D67" s="282">
        <v>1534.4699999999998</v>
      </c>
      <c r="E67" s="283">
        <v>17.975370000000002</v>
      </c>
      <c r="F67" s="283">
        <v>27582.666003899998</v>
      </c>
      <c r="G67" s="284">
        <v>3.9569849150666815E-3</v>
      </c>
      <c r="H67" s="284">
        <f t="shared" si="0"/>
        <v>0.76737463653783555</v>
      </c>
      <c r="J67" s="419"/>
    </row>
    <row r="68" spans="1:10" x14ac:dyDescent="0.2">
      <c r="A68" s="279">
        <v>0</v>
      </c>
      <c r="B68" s="280" t="s">
        <v>187</v>
      </c>
      <c r="C68" s="281" t="s">
        <v>159</v>
      </c>
      <c r="D68" s="282">
        <v>3856.2422000000001</v>
      </c>
      <c r="E68" s="283">
        <v>7.0889300000000004</v>
      </c>
      <c r="F68" s="283">
        <v>27336.631018846001</v>
      </c>
      <c r="G68" s="284">
        <v>3.9216889533094067E-3</v>
      </c>
      <c r="H68" s="284">
        <f t="shared" si="0"/>
        <v>0.77129632549114491</v>
      </c>
      <c r="J68" s="419"/>
    </row>
    <row r="69" spans="1:10" x14ac:dyDescent="0.2">
      <c r="A69" s="279">
        <v>0</v>
      </c>
      <c r="B69" s="280" t="s">
        <v>927</v>
      </c>
      <c r="C69" s="281" t="s">
        <v>170</v>
      </c>
      <c r="D69" s="282">
        <v>1</v>
      </c>
      <c r="E69" s="283">
        <v>27000</v>
      </c>
      <c r="F69" s="283">
        <v>27000</v>
      </c>
      <c r="G69" s="284">
        <v>3.8733961645221007E-3</v>
      </c>
      <c r="H69" s="284">
        <f t="shared" si="0"/>
        <v>0.775169721655667</v>
      </c>
      <c r="J69" s="419"/>
    </row>
    <row r="70" spans="1:10" x14ac:dyDescent="0.2">
      <c r="A70" s="279">
        <v>0</v>
      </c>
      <c r="B70" s="280" t="s">
        <v>598</v>
      </c>
      <c r="C70" s="281" t="s">
        <v>170</v>
      </c>
      <c r="D70" s="282">
        <v>1</v>
      </c>
      <c r="E70" s="283">
        <v>26970</v>
      </c>
      <c r="F70" s="283">
        <v>26970</v>
      </c>
      <c r="G70" s="284">
        <v>3.8690923910059652E-3</v>
      </c>
      <c r="H70" s="284">
        <f t="shared" si="0"/>
        <v>0.77903881404667297</v>
      </c>
      <c r="J70" s="419"/>
    </row>
    <row r="71" spans="1:10" x14ac:dyDescent="0.2">
      <c r="A71" s="279">
        <v>0</v>
      </c>
      <c r="B71" s="280" t="s">
        <v>474</v>
      </c>
      <c r="C71" s="281" t="s">
        <v>140</v>
      </c>
      <c r="D71" s="282">
        <v>798.43</v>
      </c>
      <c r="E71" s="283">
        <v>33.74</v>
      </c>
      <c r="F71" s="283">
        <v>26939.028200000001</v>
      </c>
      <c r="G71" s="284">
        <v>3.86464920391973E-3</v>
      </c>
      <c r="H71" s="284">
        <f t="shared" si="0"/>
        <v>0.78290346325059268</v>
      </c>
      <c r="J71" s="419"/>
    </row>
    <row r="72" spans="1:10" x14ac:dyDescent="0.2">
      <c r="A72" s="279">
        <v>0</v>
      </c>
      <c r="B72" s="280" t="s">
        <v>490</v>
      </c>
      <c r="C72" s="281" t="s">
        <v>158</v>
      </c>
      <c r="D72" s="282">
        <v>559.41999999999996</v>
      </c>
      <c r="E72" s="283">
        <v>46.634840000000011</v>
      </c>
      <c r="F72" s="283">
        <v>26088.462192800005</v>
      </c>
      <c r="G72" s="284">
        <v>3.7426277554026433E-3</v>
      </c>
      <c r="H72" s="284">
        <f t="shared" si="0"/>
        <v>0.78664609100599536</v>
      </c>
      <c r="J72" s="419"/>
    </row>
    <row r="73" spans="1:10" x14ac:dyDescent="0.2">
      <c r="A73" s="279">
        <v>0</v>
      </c>
      <c r="B73" s="280" t="s">
        <v>189</v>
      </c>
      <c r="C73" s="281" t="s">
        <v>159</v>
      </c>
      <c r="D73" s="282">
        <v>4084.28</v>
      </c>
      <c r="E73" s="283">
        <v>6.3411700000000009</v>
      </c>
      <c r="F73" s="283">
        <v>25899.113807600006</v>
      </c>
      <c r="G73" s="284">
        <v>3.7154640032177498E-3</v>
      </c>
      <c r="H73" s="284">
        <f t="shared" si="0"/>
        <v>0.79036155500921312</v>
      </c>
      <c r="J73" s="419"/>
    </row>
    <row r="74" spans="1:10" x14ac:dyDescent="0.2">
      <c r="A74" s="279">
        <v>0</v>
      </c>
      <c r="B74" s="280" t="s">
        <v>210</v>
      </c>
      <c r="C74" s="281" t="s">
        <v>158</v>
      </c>
      <c r="D74" s="282">
        <v>561.18999999999994</v>
      </c>
      <c r="E74" s="283">
        <v>44.891940000000005</v>
      </c>
      <c r="F74" s="283">
        <v>25192.907808600001</v>
      </c>
      <c r="G74" s="284">
        <v>3.614152314036671E-3</v>
      </c>
      <c r="H74" s="284">
        <f t="shared" ref="H74:H137" si="1">G74+H73</f>
        <v>0.79397570732324985</v>
      </c>
      <c r="J74" s="419"/>
    </row>
    <row r="75" spans="1:10" x14ac:dyDescent="0.2">
      <c r="A75" s="279">
        <v>0</v>
      </c>
      <c r="B75" s="280" t="s">
        <v>501</v>
      </c>
      <c r="C75" s="281" t="s">
        <v>140</v>
      </c>
      <c r="D75" s="282">
        <v>1560.13</v>
      </c>
      <c r="E75" s="283">
        <v>15.778202000000002</v>
      </c>
      <c r="F75" s="283">
        <v>24616.046286260003</v>
      </c>
      <c r="G75" s="284">
        <v>3.5313962692925184E-3</v>
      </c>
      <c r="H75" s="284">
        <f t="shared" si="1"/>
        <v>0.7975071035925424</v>
      </c>
      <c r="J75" s="419"/>
    </row>
    <row r="76" spans="1:10" x14ac:dyDescent="0.2">
      <c r="A76" s="279">
        <v>0</v>
      </c>
      <c r="B76" s="280" t="s">
        <v>951</v>
      </c>
      <c r="C76" s="281" t="s">
        <v>140</v>
      </c>
      <c r="D76" s="282">
        <v>130.92838</v>
      </c>
      <c r="E76" s="283">
        <v>186.96039999999999</v>
      </c>
      <c r="F76" s="283">
        <v>24478.422296151999</v>
      </c>
      <c r="G76" s="284">
        <v>3.5116528531654602E-3</v>
      </c>
      <c r="H76" s="284">
        <f t="shared" si="1"/>
        <v>0.80101875644570786</v>
      </c>
      <c r="J76" s="419"/>
    </row>
    <row r="77" spans="1:10" x14ac:dyDescent="0.2">
      <c r="A77" s="279">
        <v>0</v>
      </c>
      <c r="B77" s="280" t="s">
        <v>992</v>
      </c>
      <c r="C77" s="281" t="s">
        <v>170</v>
      </c>
      <c r="D77" s="282">
        <v>1</v>
      </c>
      <c r="E77" s="283">
        <v>24258.952557144221</v>
      </c>
      <c r="F77" s="283">
        <v>24258.952557144221</v>
      </c>
      <c r="G77" s="284">
        <v>3.4801679181542975E-3</v>
      </c>
      <c r="H77" s="284">
        <f t="shared" si="1"/>
        <v>0.80449892436386217</v>
      </c>
      <c r="J77" s="419"/>
    </row>
    <row r="78" spans="1:10" x14ac:dyDescent="0.2">
      <c r="A78" s="279">
        <v>0</v>
      </c>
      <c r="B78" s="280" t="s">
        <v>830</v>
      </c>
      <c r="C78" s="281" t="s">
        <v>140</v>
      </c>
      <c r="D78" s="282">
        <v>65.67</v>
      </c>
      <c r="E78" s="283">
        <v>367.74783005938787</v>
      </c>
      <c r="F78" s="283">
        <v>24150</v>
      </c>
      <c r="G78" s="284">
        <v>3.4645376804892125E-3</v>
      </c>
      <c r="H78" s="284">
        <f t="shared" si="1"/>
        <v>0.80796346204435143</v>
      </c>
      <c r="J78" s="419"/>
    </row>
    <row r="79" spans="1:10" x14ac:dyDescent="0.2">
      <c r="A79" s="279">
        <v>0</v>
      </c>
      <c r="B79" s="280" t="s">
        <v>467</v>
      </c>
      <c r="C79" s="281" t="s">
        <v>140</v>
      </c>
      <c r="D79" s="282">
        <v>484.89</v>
      </c>
      <c r="E79" s="283">
        <v>48.632000000000005</v>
      </c>
      <c r="F79" s="283">
        <v>23581.170480000001</v>
      </c>
      <c r="G79" s="284">
        <v>3.3829338997101405E-3</v>
      </c>
      <c r="H79" s="284">
        <f t="shared" si="1"/>
        <v>0.81134639594406155</v>
      </c>
      <c r="J79" s="419"/>
    </row>
    <row r="80" spans="1:10" x14ac:dyDescent="0.2">
      <c r="A80" s="279">
        <v>0</v>
      </c>
      <c r="B80" s="280" t="s">
        <v>480</v>
      </c>
      <c r="C80" s="281" t="s">
        <v>140</v>
      </c>
      <c r="D80" s="282">
        <v>2958.84</v>
      </c>
      <c r="E80" s="283">
        <v>7.93</v>
      </c>
      <c r="F80" s="283">
        <v>23463.601200000001</v>
      </c>
      <c r="G80" s="284">
        <v>3.3660675145909692E-3</v>
      </c>
      <c r="H80" s="284">
        <f t="shared" si="1"/>
        <v>0.81471246345865256</v>
      </c>
      <c r="J80" s="419"/>
    </row>
    <row r="81" spans="1:10" x14ac:dyDescent="0.2">
      <c r="A81" s="279">
        <v>0</v>
      </c>
      <c r="B81" s="280" t="s">
        <v>1109</v>
      </c>
      <c r="C81" s="281" t="s">
        <v>140</v>
      </c>
      <c r="D81" s="282">
        <v>309.43</v>
      </c>
      <c r="E81" s="283">
        <v>75.704999999999998</v>
      </c>
      <c r="F81" s="283">
        <v>23425.398150000001</v>
      </c>
      <c r="G81" s="284">
        <v>3.360586938763449E-3</v>
      </c>
      <c r="H81" s="284">
        <f t="shared" si="1"/>
        <v>0.81807305039741596</v>
      </c>
      <c r="J81" s="419"/>
    </row>
    <row r="82" spans="1:10" x14ac:dyDescent="0.2">
      <c r="A82" s="279">
        <v>0</v>
      </c>
      <c r="B82" s="280" t="s">
        <v>472</v>
      </c>
      <c r="C82" s="281" t="s">
        <v>140</v>
      </c>
      <c r="D82" s="282">
        <v>1278.1400000000001</v>
      </c>
      <c r="E82" s="283">
        <v>18</v>
      </c>
      <c r="F82" s="283">
        <v>23006.52</v>
      </c>
      <c r="G82" s="284">
        <v>3.3004950491481852E-3</v>
      </c>
      <c r="H82" s="284">
        <f t="shared" si="1"/>
        <v>0.82137354544656416</v>
      </c>
      <c r="J82" s="419"/>
    </row>
    <row r="83" spans="1:10" x14ac:dyDescent="0.2">
      <c r="A83" s="279">
        <v>0</v>
      </c>
      <c r="B83" s="280" t="s">
        <v>1168</v>
      </c>
      <c r="C83" s="281" t="s">
        <v>170</v>
      </c>
      <c r="D83" s="282">
        <v>1</v>
      </c>
      <c r="E83" s="283">
        <v>23000</v>
      </c>
      <c r="F83" s="283">
        <v>23000</v>
      </c>
      <c r="G83" s="284">
        <v>3.2995596957040118E-3</v>
      </c>
      <c r="H83" s="284">
        <f t="shared" si="1"/>
        <v>0.82467310514226821</v>
      </c>
      <c r="J83" s="419"/>
    </row>
    <row r="84" spans="1:10" x14ac:dyDescent="0.2">
      <c r="A84" s="279">
        <v>0</v>
      </c>
      <c r="B84" s="280" t="s">
        <v>1215</v>
      </c>
      <c r="C84" s="281" t="s">
        <v>170</v>
      </c>
      <c r="D84" s="282">
        <v>1</v>
      </c>
      <c r="E84" s="283">
        <v>22633.375214528114</v>
      </c>
      <c r="F84" s="283">
        <v>22633.375214528114</v>
      </c>
      <c r="G84" s="284">
        <v>3.2469640276349175E-3</v>
      </c>
      <c r="H84" s="284">
        <f t="shared" si="1"/>
        <v>0.82792006916990313</v>
      </c>
      <c r="J84" s="419"/>
    </row>
    <row r="85" spans="1:10" x14ac:dyDescent="0.2">
      <c r="A85" s="279">
        <v>0</v>
      </c>
      <c r="B85" s="280" t="s">
        <v>869</v>
      </c>
      <c r="C85" s="281" t="s">
        <v>260</v>
      </c>
      <c r="D85" s="282">
        <v>22</v>
      </c>
      <c r="E85" s="283">
        <v>989.99999999999989</v>
      </c>
      <c r="F85" s="283">
        <v>21779.999999999996</v>
      </c>
      <c r="G85" s="284">
        <v>3.1245395727144938E-3</v>
      </c>
      <c r="H85" s="284">
        <f t="shared" si="1"/>
        <v>0.83104460874261765</v>
      </c>
      <c r="J85" s="419"/>
    </row>
    <row r="86" spans="1:10" x14ac:dyDescent="0.2">
      <c r="A86" s="279">
        <v>0</v>
      </c>
      <c r="B86" s="280" t="s">
        <v>186</v>
      </c>
      <c r="C86" s="281" t="s">
        <v>159</v>
      </c>
      <c r="D86" s="282">
        <v>2870.0830000000001</v>
      </c>
      <c r="E86" s="283">
        <v>7.56555</v>
      </c>
      <c r="F86" s="283">
        <v>21713.756440650002</v>
      </c>
      <c r="G86" s="284">
        <v>3.1150363301696584E-3</v>
      </c>
      <c r="H86" s="284">
        <f t="shared" si="1"/>
        <v>0.83415964507278728</v>
      </c>
      <c r="J86" s="419"/>
    </row>
    <row r="87" spans="1:10" x14ac:dyDescent="0.2">
      <c r="A87" s="279">
        <v>0</v>
      </c>
      <c r="B87" s="280" t="s">
        <v>868</v>
      </c>
      <c r="C87" s="281" t="s">
        <v>260</v>
      </c>
      <c r="D87" s="282">
        <v>22</v>
      </c>
      <c r="E87" s="283">
        <v>981.81818181818187</v>
      </c>
      <c r="F87" s="283">
        <v>21600</v>
      </c>
      <c r="G87" s="284">
        <v>3.0987169316176806E-3</v>
      </c>
      <c r="H87" s="284">
        <f t="shared" si="1"/>
        <v>0.83725836200440495</v>
      </c>
      <c r="J87" s="419"/>
    </row>
    <row r="88" spans="1:10" x14ac:dyDescent="0.2">
      <c r="A88" s="279">
        <v>0</v>
      </c>
      <c r="B88" s="280" t="s">
        <v>229</v>
      </c>
      <c r="C88" s="281" t="s">
        <v>170</v>
      </c>
      <c r="D88" s="282">
        <v>1</v>
      </c>
      <c r="E88" s="283">
        <v>21000</v>
      </c>
      <c r="F88" s="283">
        <v>21000</v>
      </c>
      <c r="G88" s="284">
        <v>3.012641461294967E-3</v>
      </c>
      <c r="H88" s="284">
        <f t="shared" si="1"/>
        <v>0.84027100346569994</v>
      </c>
      <c r="J88" s="419"/>
    </row>
    <row r="89" spans="1:10" x14ac:dyDescent="0.2">
      <c r="A89" s="279">
        <v>0</v>
      </c>
      <c r="B89" s="280" t="s">
        <v>984</v>
      </c>
      <c r="C89" s="281" t="s">
        <v>170</v>
      </c>
      <c r="D89" s="282">
        <v>1</v>
      </c>
      <c r="E89" s="283">
        <v>20353.962884251054</v>
      </c>
      <c r="F89" s="283">
        <v>20353.962884251054</v>
      </c>
      <c r="G89" s="284">
        <v>2.9199615469882676E-3</v>
      </c>
      <c r="H89" s="284">
        <f t="shared" si="1"/>
        <v>0.8431909650126882</v>
      </c>
      <c r="J89" s="419"/>
    </row>
    <row r="90" spans="1:10" x14ac:dyDescent="0.2">
      <c r="A90" s="279">
        <v>0</v>
      </c>
      <c r="B90" s="280" t="s">
        <v>508</v>
      </c>
      <c r="C90" s="281" t="s">
        <v>142</v>
      </c>
      <c r="D90" s="282">
        <v>42</v>
      </c>
      <c r="E90" s="283">
        <v>483.03584000000001</v>
      </c>
      <c r="F90" s="283">
        <v>20287.505280000001</v>
      </c>
      <c r="G90" s="284">
        <v>2.9104275977508841E-3</v>
      </c>
      <c r="H90" s="284">
        <f t="shared" si="1"/>
        <v>0.84610139261043904</v>
      </c>
      <c r="J90" s="419"/>
    </row>
    <row r="91" spans="1:10" x14ac:dyDescent="0.2">
      <c r="A91" s="279">
        <v>0</v>
      </c>
      <c r="B91" s="280" t="s">
        <v>194</v>
      </c>
      <c r="C91" s="281" t="s">
        <v>140</v>
      </c>
      <c r="D91" s="282">
        <v>335.9348</v>
      </c>
      <c r="E91" s="283">
        <v>59.341799999999999</v>
      </c>
      <c r="F91" s="283">
        <v>19934.975714640001</v>
      </c>
      <c r="G91" s="284">
        <v>2.8598540175158445E-3</v>
      </c>
      <c r="H91" s="284">
        <f t="shared" si="1"/>
        <v>0.84896124662795491</v>
      </c>
      <c r="J91" s="419"/>
    </row>
    <row r="92" spans="1:10" x14ac:dyDescent="0.2">
      <c r="A92" s="279">
        <v>0</v>
      </c>
      <c r="B92" s="280" t="s">
        <v>531</v>
      </c>
      <c r="C92" s="281" t="s">
        <v>170</v>
      </c>
      <c r="D92" s="282">
        <v>1</v>
      </c>
      <c r="E92" s="283">
        <v>19432.3</v>
      </c>
      <c r="F92" s="283">
        <v>19432.3</v>
      </c>
      <c r="G92" s="284">
        <v>2.7877406032534376E-3</v>
      </c>
      <c r="H92" s="284">
        <f t="shared" si="1"/>
        <v>0.8517489872312084</v>
      </c>
      <c r="J92" s="419"/>
    </row>
    <row r="93" spans="1:10" x14ac:dyDescent="0.2">
      <c r="A93" s="279">
        <v>0</v>
      </c>
      <c r="B93" s="280" t="s">
        <v>471</v>
      </c>
      <c r="C93" s="281" t="s">
        <v>140</v>
      </c>
      <c r="D93" s="282">
        <v>484.89</v>
      </c>
      <c r="E93" s="283">
        <v>40.044499999999999</v>
      </c>
      <c r="F93" s="283">
        <v>19417.177605000001</v>
      </c>
      <c r="G93" s="284">
        <v>2.7855711578167199E-3</v>
      </c>
      <c r="H93" s="284">
        <f t="shared" si="1"/>
        <v>0.85453455838902515</v>
      </c>
      <c r="J93" s="419"/>
    </row>
    <row r="94" spans="1:10" x14ac:dyDescent="0.2">
      <c r="A94" s="279">
        <v>0</v>
      </c>
      <c r="B94" s="280" t="s">
        <v>834</v>
      </c>
      <c r="C94" s="281" t="s">
        <v>142</v>
      </c>
      <c r="D94" s="282">
        <v>41</v>
      </c>
      <c r="E94" s="283">
        <v>471.46600000000001</v>
      </c>
      <c r="F94" s="283">
        <v>19330.106</v>
      </c>
      <c r="G94" s="284">
        <v>2.7730799422298388E-3</v>
      </c>
      <c r="H94" s="284">
        <f t="shared" si="1"/>
        <v>0.85730763833125501</v>
      </c>
      <c r="J94" s="419"/>
    </row>
    <row r="95" spans="1:10" x14ac:dyDescent="0.2">
      <c r="A95" s="279">
        <v>0</v>
      </c>
      <c r="B95" s="280" t="s">
        <v>191</v>
      </c>
      <c r="C95" s="281" t="s">
        <v>159</v>
      </c>
      <c r="D95" s="282">
        <v>3095.4704000000002</v>
      </c>
      <c r="E95" s="283">
        <v>6.148130000000001</v>
      </c>
      <c r="F95" s="283">
        <v>19031.354430352003</v>
      </c>
      <c r="G95" s="284">
        <v>2.7302213057846716E-3</v>
      </c>
      <c r="H95" s="284">
        <f t="shared" si="1"/>
        <v>0.86003785963703971</v>
      </c>
      <c r="J95" s="419"/>
    </row>
    <row r="96" spans="1:10" x14ac:dyDescent="0.2">
      <c r="A96" s="279">
        <v>0</v>
      </c>
      <c r="B96" s="280" t="s">
        <v>1076</v>
      </c>
      <c r="C96" s="281" t="s">
        <v>170</v>
      </c>
      <c r="D96" s="282">
        <v>1</v>
      </c>
      <c r="E96" s="283">
        <v>18900.901252411702</v>
      </c>
      <c r="F96" s="283">
        <v>18900.901252411702</v>
      </c>
      <c r="G96" s="284">
        <v>2.7115066080408319E-3</v>
      </c>
      <c r="H96" s="284">
        <f t="shared" si="1"/>
        <v>0.86274936624508058</v>
      </c>
      <c r="J96" s="419"/>
    </row>
    <row r="97" spans="1:10" x14ac:dyDescent="0.2">
      <c r="A97" s="279">
        <v>0</v>
      </c>
      <c r="B97" s="280" t="s">
        <v>320</v>
      </c>
      <c r="C97" s="281" t="s">
        <v>142</v>
      </c>
      <c r="D97" s="282">
        <v>2</v>
      </c>
      <c r="E97" s="283">
        <v>8920</v>
      </c>
      <c r="F97" s="283">
        <v>17840</v>
      </c>
      <c r="G97" s="284">
        <v>2.5593106509286768E-3</v>
      </c>
      <c r="H97" s="284">
        <f t="shared" si="1"/>
        <v>0.86530867689600921</v>
      </c>
      <c r="J97" s="419"/>
    </row>
    <row r="98" spans="1:10" x14ac:dyDescent="0.2">
      <c r="A98" s="279">
        <v>0</v>
      </c>
      <c r="B98" s="280" t="s">
        <v>1110</v>
      </c>
      <c r="C98" s="281" t="s">
        <v>140</v>
      </c>
      <c r="D98" s="282">
        <v>301.72999999999996</v>
      </c>
      <c r="E98" s="283">
        <v>58.695000000000007</v>
      </c>
      <c r="F98" s="283">
        <v>17710.04235</v>
      </c>
      <c r="G98" s="284">
        <v>2.5406670411857028E-3</v>
      </c>
      <c r="H98" s="284">
        <f t="shared" si="1"/>
        <v>0.86784934393719493</v>
      </c>
      <c r="J98" s="419"/>
    </row>
    <row r="99" spans="1:10" x14ac:dyDescent="0.2">
      <c r="A99" s="279">
        <v>0</v>
      </c>
      <c r="B99" s="280" t="s">
        <v>417</v>
      </c>
      <c r="C99" s="281" t="s">
        <v>158</v>
      </c>
      <c r="D99" s="282">
        <v>64.52</v>
      </c>
      <c r="E99" s="283">
        <v>266.56772000000007</v>
      </c>
      <c r="F99" s="283">
        <v>17198.949294400005</v>
      </c>
      <c r="G99" s="284">
        <v>2.4673460826199656E-3</v>
      </c>
      <c r="H99" s="284">
        <f t="shared" si="1"/>
        <v>0.87031669001981493</v>
      </c>
      <c r="J99" s="419"/>
    </row>
    <row r="100" spans="1:10" x14ac:dyDescent="0.2">
      <c r="A100" s="279">
        <v>0</v>
      </c>
      <c r="B100" s="280" t="s">
        <v>1163</v>
      </c>
      <c r="C100" s="281" t="s">
        <v>140</v>
      </c>
      <c r="D100" s="282">
        <v>311.82</v>
      </c>
      <c r="E100" s="283">
        <v>50.894746969405425</v>
      </c>
      <c r="F100" s="283">
        <v>15870</v>
      </c>
      <c r="G100" s="284">
        <v>2.2766961900357679E-3</v>
      </c>
      <c r="H100" s="284">
        <f t="shared" si="1"/>
        <v>0.87259338620985072</v>
      </c>
      <c r="J100" s="419"/>
    </row>
    <row r="101" spans="1:10" x14ac:dyDescent="0.2">
      <c r="A101" s="279">
        <v>0</v>
      </c>
      <c r="B101" s="280" t="s">
        <v>1045</v>
      </c>
      <c r="C101" s="281" t="s">
        <v>140</v>
      </c>
      <c r="D101" s="282">
        <v>313.44</v>
      </c>
      <c r="E101" s="283">
        <v>50.631699846860634</v>
      </c>
      <c r="F101" s="283">
        <v>15869.999999999996</v>
      </c>
      <c r="G101" s="284">
        <v>2.2766961900357674E-3</v>
      </c>
      <c r="H101" s="284">
        <f t="shared" si="1"/>
        <v>0.87487008239988651</v>
      </c>
      <c r="J101" s="419"/>
    </row>
    <row r="102" spans="1:10" x14ac:dyDescent="0.2">
      <c r="A102" s="279">
        <v>0</v>
      </c>
      <c r="B102" s="280" t="s">
        <v>991</v>
      </c>
      <c r="C102" s="281" t="s">
        <v>170</v>
      </c>
      <c r="D102" s="282">
        <v>1</v>
      </c>
      <c r="E102" s="283">
        <v>15728.259120650528</v>
      </c>
      <c r="F102" s="283">
        <v>15728.259120650528</v>
      </c>
      <c r="G102" s="284">
        <v>2.2563621686124999E-3</v>
      </c>
      <c r="H102" s="284">
        <f t="shared" si="1"/>
        <v>0.87712644456849898</v>
      </c>
      <c r="J102" s="419"/>
    </row>
    <row r="103" spans="1:10" x14ac:dyDescent="0.2">
      <c r="A103" s="279">
        <v>0</v>
      </c>
      <c r="B103" s="280" t="s">
        <v>601</v>
      </c>
      <c r="C103" s="281" t="s">
        <v>140</v>
      </c>
      <c r="D103" s="282">
        <v>216.99340049999998</v>
      </c>
      <c r="E103" s="283">
        <v>67.746380000000002</v>
      </c>
      <c r="F103" s="283">
        <v>14700.517367765189</v>
      </c>
      <c r="G103" s="284">
        <v>2.108923244029341E-3</v>
      </c>
      <c r="H103" s="284">
        <f t="shared" si="1"/>
        <v>0.87923536781252831</v>
      </c>
      <c r="J103" s="419"/>
    </row>
    <row r="104" spans="1:10" x14ac:dyDescent="0.2">
      <c r="A104" s="279">
        <v>0</v>
      </c>
      <c r="B104" s="280" t="s">
        <v>998</v>
      </c>
      <c r="C104" s="281" t="s">
        <v>170</v>
      </c>
      <c r="D104" s="282">
        <v>1</v>
      </c>
      <c r="E104" s="283">
        <v>14580.181767983799</v>
      </c>
      <c r="F104" s="283">
        <v>14580.181767983799</v>
      </c>
      <c r="G104" s="284">
        <v>2.0916600051164263E-3</v>
      </c>
      <c r="H104" s="284">
        <f t="shared" si="1"/>
        <v>0.88132702781764471</v>
      </c>
      <c r="J104" s="419"/>
    </row>
    <row r="105" spans="1:10" x14ac:dyDescent="0.2">
      <c r="A105" s="279">
        <v>0</v>
      </c>
      <c r="B105" s="280" t="s">
        <v>1085</v>
      </c>
      <c r="C105" s="281" t="s">
        <v>170</v>
      </c>
      <c r="D105" s="282">
        <v>1</v>
      </c>
      <c r="E105" s="283">
        <v>14175.675939308778</v>
      </c>
      <c r="F105" s="283">
        <v>14175.675939308778</v>
      </c>
      <c r="G105" s="284">
        <v>2.0336299560306239E-3</v>
      </c>
      <c r="H105" s="284">
        <f t="shared" si="1"/>
        <v>0.88336065777367534</v>
      </c>
      <c r="J105" s="419"/>
    </row>
    <row r="106" spans="1:10" x14ac:dyDescent="0.2">
      <c r="A106" s="279">
        <v>0</v>
      </c>
      <c r="B106" s="280" t="s">
        <v>1078</v>
      </c>
      <c r="C106" s="281" t="s">
        <v>170</v>
      </c>
      <c r="D106" s="282">
        <v>1</v>
      </c>
      <c r="E106" s="283">
        <v>14175.675939308778</v>
      </c>
      <c r="F106" s="283">
        <v>14175.675939308778</v>
      </c>
      <c r="G106" s="284">
        <v>2.0336299560306239E-3</v>
      </c>
      <c r="H106" s="284">
        <f t="shared" si="1"/>
        <v>0.88539428772970596</v>
      </c>
      <c r="J106" s="419"/>
    </row>
    <row r="107" spans="1:10" x14ac:dyDescent="0.2">
      <c r="A107" s="279">
        <v>0</v>
      </c>
      <c r="B107" s="280" t="s">
        <v>495</v>
      </c>
      <c r="C107" s="281" t="s">
        <v>158</v>
      </c>
      <c r="D107" s="282">
        <v>638.30000000000007</v>
      </c>
      <c r="E107" s="283">
        <v>22</v>
      </c>
      <c r="F107" s="283">
        <v>14042.600000000002</v>
      </c>
      <c r="G107" s="284">
        <v>2.0145389992562244E-3</v>
      </c>
      <c r="H107" s="284">
        <f t="shared" si="1"/>
        <v>0.88740882672896215</v>
      </c>
      <c r="J107" s="419"/>
    </row>
    <row r="108" spans="1:10" x14ac:dyDescent="0.2">
      <c r="A108" s="279">
        <v>0</v>
      </c>
      <c r="B108" s="280" t="s">
        <v>1214</v>
      </c>
      <c r="C108" s="281" t="s">
        <v>170</v>
      </c>
      <c r="D108" s="282">
        <v>1</v>
      </c>
      <c r="E108" s="283">
        <v>13855.798914774519</v>
      </c>
      <c r="F108" s="283">
        <v>13855.798914774519</v>
      </c>
      <c r="G108" s="284">
        <v>1.98774068047693E-3</v>
      </c>
      <c r="H108" s="284">
        <f t="shared" si="1"/>
        <v>0.88939656740943906</v>
      </c>
      <c r="J108" s="419"/>
    </row>
    <row r="109" spans="1:10" x14ac:dyDescent="0.2">
      <c r="A109" s="279">
        <v>0</v>
      </c>
      <c r="B109" s="280" t="s">
        <v>494</v>
      </c>
      <c r="C109" s="281" t="s">
        <v>158</v>
      </c>
      <c r="D109" s="282">
        <v>135.95999999999998</v>
      </c>
      <c r="E109" s="283">
        <v>96.893250000000009</v>
      </c>
      <c r="F109" s="283">
        <v>13173.606269999998</v>
      </c>
      <c r="G109" s="284">
        <v>1.8898739258941589E-3</v>
      </c>
      <c r="H109" s="284">
        <f t="shared" si="1"/>
        <v>0.89128644133533319</v>
      </c>
      <c r="J109" s="419"/>
    </row>
    <row r="110" spans="1:10" x14ac:dyDescent="0.2">
      <c r="A110" s="279">
        <v>0</v>
      </c>
      <c r="B110" s="280" t="s">
        <v>1213</v>
      </c>
      <c r="C110" s="281" t="s">
        <v>170</v>
      </c>
      <c r="D110" s="282">
        <v>1</v>
      </c>
      <c r="E110" s="283">
        <v>13113.354609375243</v>
      </c>
      <c r="F110" s="283">
        <v>13113.354609375243</v>
      </c>
      <c r="G110" s="284">
        <v>1.881230275850825E-3</v>
      </c>
      <c r="H110" s="284">
        <f t="shared" si="1"/>
        <v>0.89316767161118404</v>
      </c>
      <c r="J110" s="419"/>
    </row>
    <row r="111" spans="1:10" x14ac:dyDescent="0.2">
      <c r="A111" s="279">
        <v>0</v>
      </c>
      <c r="B111" s="280" t="s">
        <v>941</v>
      </c>
      <c r="C111" s="281" t="s">
        <v>142</v>
      </c>
      <c r="D111" s="282">
        <v>566</v>
      </c>
      <c r="E111" s="283">
        <v>23.07</v>
      </c>
      <c r="F111" s="283">
        <v>13057.62</v>
      </c>
      <c r="G111" s="284">
        <v>1.8732346379921139E-3</v>
      </c>
      <c r="H111" s="284">
        <f t="shared" si="1"/>
        <v>0.8950409062491762</v>
      </c>
      <c r="J111" s="419"/>
    </row>
    <row r="112" spans="1:10" x14ac:dyDescent="0.2">
      <c r="A112" s="279">
        <v>0</v>
      </c>
      <c r="B112" s="280" t="s">
        <v>1139</v>
      </c>
      <c r="C112" s="281" t="s">
        <v>166</v>
      </c>
      <c r="D112" s="282">
        <v>25.335445679999999</v>
      </c>
      <c r="E112" s="283">
        <v>509.25</v>
      </c>
      <c r="F112" s="283">
        <v>12902.07571254</v>
      </c>
      <c r="G112" s="284">
        <v>1.8509203918268956E-3</v>
      </c>
      <c r="H112" s="284">
        <f t="shared" si="1"/>
        <v>0.89689182664100309</v>
      </c>
      <c r="J112" s="419"/>
    </row>
    <row r="113" spans="1:10" x14ac:dyDescent="0.2">
      <c r="A113" s="279">
        <v>0</v>
      </c>
      <c r="B113" s="280" t="s">
        <v>606</v>
      </c>
      <c r="C113" s="281" t="s">
        <v>159</v>
      </c>
      <c r="D113" s="282">
        <v>1820</v>
      </c>
      <c r="E113" s="283">
        <v>7.0718999999999994</v>
      </c>
      <c r="F113" s="283">
        <v>12870.857999999998</v>
      </c>
      <c r="G113" s="284">
        <v>1.8464419263447625E-3</v>
      </c>
      <c r="H113" s="284">
        <f t="shared" si="1"/>
        <v>0.89873826856734784</v>
      </c>
      <c r="J113" s="419"/>
    </row>
    <row r="114" spans="1:10" x14ac:dyDescent="0.2">
      <c r="A114" s="279">
        <v>0</v>
      </c>
      <c r="B114" s="280" t="s">
        <v>843</v>
      </c>
      <c r="C114" s="281" t="s">
        <v>142</v>
      </c>
      <c r="D114" s="282">
        <v>24</v>
      </c>
      <c r="E114" s="283">
        <v>523.41999999999996</v>
      </c>
      <c r="F114" s="283">
        <v>12562.079999999998</v>
      </c>
      <c r="G114" s="284">
        <v>1.8021449070525846E-3</v>
      </c>
      <c r="H114" s="284">
        <f t="shared" si="1"/>
        <v>0.90054041347440039</v>
      </c>
      <c r="J114" s="419"/>
    </row>
    <row r="115" spans="1:10" x14ac:dyDescent="0.2">
      <c r="A115" s="279">
        <v>0</v>
      </c>
      <c r="B115" s="280" t="s">
        <v>205</v>
      </c>
      <c r="C115" s="281" t="s">
        <v>140</v>
      </c>
      <c r="D115" s="282">
        <v>253.32500000000002</v>
      </c>
      <c r="E115" s="283">
        <v>48.809699999999999</v>
      </c>
      <c r="F115" s="283">
        <v>12364.717252500001</v>
      </c>
      <c r="G115" s="284">
        <v>1.7738314215271758E-3</v>
      </c>
      <c r="H115" s="284">
        <f t="shared" si="1"/>
        <v>0.9023142448959276</v>
      </c>
      <c r="J115" s="419"/>
    </row>
    <row r="116" spans="1:10" x14ac:dyDescent="0.2">
      <c r="A116" s="279">
        <v>0</v>
      </c>
      <c r="B116" s="280" t="s">
        <v>928</v>
      </c>
      <c r="C116" s="281" t="s">
        <v>170</v>
      </c>
      <c r="D116" s="282">
        <v>1</v>
      </c>
      <c r="E116" s="283">
        <v>12200</v>
      </c>
      <c r="F116" s="283">
        <v>12200</v>
      </c>
      <c r="G116" s="284">
        <v>1.7502012298951713E-3</v>
      </c>
      <c r="H116" s="284">
        <f t="shared" si="1"/>
        <v>0.90406444612582282</v>
      </c>
      <c r="J116" s="419"/>
    </row>
    <row r="117" spans="1:10" x14ac:dyDescent="0.2">
      <c r="A117" s="279">
        <v>0</v>
      </c>
      <c r="B117" s="280" t="s">
        <v>156</v>
      </c>
      <c r="C117" s="281" t="s">
        <v>140</v>
      </c>
      <c r="D117" s="282">
        <v>1735.5879999999997</v>
      </c>
      <c r="E117" s="283">
        <v>7.0024999999999995</v>
      </c>
      <c r="F117" s="283">
        <v>12153.454969999997</v>
      </c>
      <c r="G117" s="284">
        <v>1.7435239209811131E-3</v>
      </c>
      <c r="H117" s="284">
        <f t="shared" si="1"/>
        <v>0.90580797004680391</v>
      </c>
      <c r="J117" s="419"/>
    </row>
    <row r="118" spans="1:10" x14ac:dyDescent="0.2">
      <c r="A118" s="279">
        <v>0</v>
      </c>
      <c r="B118" s="280" t="s">
        <v>1003</v>
      </c>
      <c r="C118" s="281" t="s">
        <v>170</v>
      </c>
      <c r="D118" s="282">
        <v>1</v>
      </c>
      <c r="E118" s="283">
        <v>11974.759762230022</v>
      </c>
      <c r="F118" s="283">
        <v>11974.759762230022</v>
      </c>
      <c r="G118" s="284">
        <v>1.7178884642257536E-3</v>
      </c>
      <c r="H118" s="284">
        <f t="shared" si="1"/>
        <v>0.90752585851102963</v>
      </c>
      <c r="J118" s="419"/>
    </row>
    <row r="119" spans="1:10" x14ac:dyDescent="0.2">
      <c r="A119" s="279">
        <v>0</v>
      </c>
      <c r="B119" s="280" t="s">
        <v>718</v>
      </c>
      <c r="C119" s="281" t="s">
        <v>140</v>
      </c>
      <c r="D119" s="282">
        <v>253.17999999999998</v>
      </c>
      <c r="E119" s="283">
        <v>45.422229244016116</v>
      </c>
      <c r="F119" s="283">
        <v>11500</v>
      </c>
      <c r="G119" s="284">
        <v>1.6497798478520059E-3</v>
      </c>
      <c r="H119" s="284">
        <f t="shared" si="1"/>
        <v>0.9091756383588816</v>
      </c>
      <c r="J119" s="419"/>
    </row>
    <row r="120" spans="1:10" x14ac:dyDescent="0.2">
      <c r="A120" s="279">
        <v>0</v>
      </c>
      <c r="B120" s="280" t="s">
        <v>518</v>
      </c>
      <c r="C120" s="281" t="s">
        <v>140</v>
      </c>
      <c r="D120" s="282">
        <v>1624.8700000000001</v>
      </c>
      <c r="E120" s="283">
        <v>7.0007999999999999</v>
      </c>
      <c r="F120" s="283">
        <v>11375.389896000001</v>
      </c>
      <c r="G120" s="284">
        <v>1.6319033923374022E-3</v>
      </c>
      <c r="H120" s="284">
        <f t="shared" si="1"/>
        <v>0.91080754175121903</v>
      </c>
      <c r="J120" s="419"/>
    </row>
    <row r="121" spans="1:10" x14ac:dyDescent="0.2">
      <c r="A121" s="279">
        <v>0</v>
      </c>
      <c r="B121" s="280" t="s">
        <v>513</v>
      </c>
      <c r="C121" s="281" t="s">
        <v>140</v>
      </c>
      <c r="D121" s="282">
        <v>1227.8999999999999</v>
      </c>
      <c r="E121" s="283">
        <v>9.24</v>
      </c>
      <c r="F121" s="283">
        <v>11345.795999999998</v>
      </c>
      <c r="G121" s="284">
        <v>1.6276578781425995E-3</v>
      </c>
      <c r="H121" s="284">
        <f t="shared" si="1"/>
        <v>0.91243519962936159</v>
      </c>
      <c r="J121" s="419"/>
    </row>
    <row r="122" spans="1:10" x14ac:dyDescent="0.2">
      <c r="A122" s="279">
        <v>0</v>
      </c>
      <c r="B122" s="280" t="s">
        <v>492</v>
      </c>
      <c r="C122" s="281" t="s">
        <v>140</v>
      </c>
      <c r="D122" s="282">
        <v>16.979999999999997</v>
      </c>
      <c r="E122" s="283">
        <v>649.35</v>
      </c>
      <c r="F122" s="283">
        <v>11025.962999999998</v>
      </c>
      <c r="G122" s="284">
        <v>1.5817749183097253E-3</v>
      </c>
      <c r="H122" s="284">
        <f t="shared" si="1"/>
        <v>0.91401697454767128</v>
      </c>
      <c r="J122" s="419"/>
    </row>
    <row r="123" spans="1:10" x14ac:dyDescent="0.2">
      <c r="A123" s="279">
        <v>0</v>
      </c>
      <c r="B123" s="280" t="s">
        <v>1121</v>
      </c>
      <c r="C123" s="281" t="s">
        <v>140</v>
      </c>
      <c r="D123" s="282">
        <v>187.63</v>
      </c>
      <c r="E123" s="283">
        <v>58.695000000000007</v>
      </c>
      <c r="F123" s="283">
        <v>11012.942850000001</v>
      </c>
      <c r="G123" s="284">
        <v>1.5799070590848555E-3</v>
      </c>
      <c r="H123" s="284">
        <f t="shared" si="1"/>
        <v>0.91559688160675612</v>
      </c>
      <c r="J123" s="419"/>
    </row>
    <row r="124" spans="1:10" x14ac:dyDescent="0.2">
      <c r="A124" s="279">
        <v>0</v>
      </c>
      <c r="B124" s="280" t="s">
        <v>828</v>
      </c>
      <c r="C124" s="281" t="s">
        <v>142</v>
      </c>
      <c r="D124" s="282">
        <v>2</v>
      </c>
      <c r="E124" s="283">
        <v>5445.82</v>
      </c>
      <c r="F124" s="283">
        <v>10891.64</v>
      </c>
      <c r="G124" s="284">
        <v>1.5625050593094626E-3</v>
      </c>
      <c r="H124" s="284">
        <f t="shared" si="1"/>
        <v>0.91715938666606556</v>
      </c>
      <c r="J124" s="419"/>
    </row>
    <row r="125" spans="1:10" x14ac:dyDescent="0.2">
      <c r="A125" s="279">
        <v>0</v>
      </c>
      <c r="B125" s="280" t="s">
        <v>510</v>
      </c>
      <c r="C125" s="281" t="s">
        <v>142</v>
      </c>
      <c r="D125" s="282">
        <v>80</v>
      </c>
      <c r="E125" s="283">
        <v>130</v>
      </c>
      <c r="F125" s="283">
        <v>10400</v>
      </c>
      <c r="G125" s="284">
        <v>1.4919748189270313E-3</v>
      </c>
      <c r="H125" s="284">
        <f t="shared" si="1"/>
        <v>0.9186513614849926</v>
      </c>
      <c r="J125" s="419"/>
    </row>
    <row r="126" spans="1:10" x14ac:dyDescent="0.2">
      <c r="A126" s="279">
        <v>0</v>
      </c>
      <c r="B126" s="280" t="s">
        <v>981</v>
      </c>
      <c r="C126" s="281" t="s">
        <v>170</v>
      </c>
      <c r="D126" s="282">
        <v>1</v>
      </c>
      <c r="E126" s="283">
        <v>10009.513655419161</v>
      </c>
      <c r="F126" s="283">
        <v>10009.513655419161</v>
      </c>
      <c r="G126" s="284">
        <v>1.4359559926530434E-3</v>
      </c>
      <c r="H126" s="284">
        <f t="shared" si="1"/>
        <v>0.92008731747764561</v>
      </c>
      <c r="J126" s="419"/>
    </row>
    <row r="127" spans="1:10" x14ac:dyDescent="0.2">
      <c r="A127" s="279">
        <v>0</v>
      </c>
      <c r="B127" s="280" t="s">
        <v>181</v>
      </c>
      <c r="C127" s="281" t="s">
        <v>166</v>
      </c>
      <c r="D127" s="282">
        <v>26.883100000000006</v>
      </c>
      <c r="E127" s="283">
        <v>369.6</v>
      </c>
      <c r="F127" s="283">
        <v>9935.993760000003</v>
      </c>
      <c r="G127" s="284">
        <v>1.425408893359242E-3</v>
      </c>
      <c r="H127" s="284">
        <f t="shared" si="1"/>
        <v>0.9215127263710049</v>
      </c>
      <c r="J127" s="419"/>
    </row>
    <row r="128" spans="1:10" x14ac:dyDescent="0.2">
      <c r="A128" s="279">
        <v>0</v>
      </c>
      <c r="B128" s="280" t="s">
        <v>940</v>
      </c>
      <c r="C128" s="281" t="s">
        <v>170</v>
      </c>
      <c r="D128" s="282">
        <v>1</v>
      </c>
      <c r="E128" s="283">
        <v>9756</v>
      </c>
      <c r="F128" s="283">
        <v>9756</v>
      </c>
      <c r="G128" s="284">
        <v>1.399587147447319E-3</v>
      </c>
      <c r="H128" s="284">
        <f t="shared" si="1"/>
        <v>0.92291231351845227</v>
      </c>
      <c r="J128" s="419"/>
    </row>
    <row r="129" spans="1:10" x14ac:dyDescent="0.2">
      <c r="A129" s="279">
        <v>0</v>
      </c>
      <c r="B129" s="280" t="s">
        <v>456</v>
      </c>
      <c r="C129" s="281" t="s">
        <v>170</v>
      </c>
      <c r="D129" s="282">
        <v>1</v>
      </c>
      <c r="E129" s="283">
        <v>9716.15</v>
      </c>
      <c r="F129" s="283">
        <v>9716.15</v>
      </c>
      <c r="G129" s="284">
        <v>1.3938703016267188E-3</v>
      </c>
      <c r="H129" s="284">
        <f t="shared" si="1"/>
        <v>0.92430618382007901</v>
      </c>
      <c r="J129" s="419"/>
    </row>
    <row r="130" spans="1:10" x14ac:dyDescent="0.2">
      <c r="A130" s="279">
        <v>0</v>
      </c>
      <c r="B130" s="280" t="s">
        <v>536</v>
      </c>
      <c r="C130" s="281" t="s">
        <v>170</v>
      </c>
      <c r="D130" s="282">
        <v>1</v>
      </c>
      <c r="E130" s="283">
        <v>9716.15</v>
      </c>
      <c r="F130" s="283">
        <v>9716.15</v>
      </c>
      <c r="G130" s="284">
        <v>1.3938703016267188E-3</v>
      </c>
      <c r="H130" s="284">
        <f t="shared" si="1"/>
        <v>0.92570005412170575</v>
      </c>
      <c r="J130" s="419"/>
    </row>
    <row r="131" spans="1:10" x14ac:dyDescent="0.2">
      <c r="A131" s="279">
        <v>0</v>
      </c>
      <c r="B131" s="280" t="s">
        <v>226</v>
      </c>
      <c r="C131" s="281" t="s">
        <v>170</v>
      </c>
      <c r="D131" s="282">
        <v>1</v>
      </c>
      <c r="E131" s="283">
        <v>9500</v>
      </c>
      <c r="F131" s="283">
        <v>9500</v>
      </c>
      <c r="G131" s="284">
        <v>1.3628616134429613E-3</v>
      </c>
      <c r="H131" s="284">
        <f t="shared" si="1"/>
        <v>0.92706291573514876</v>
      </c>
      <c r="J131" s="419"/>
    </row>
    <row r="132" spans="1:10" x14ac:dyDescent="0.2">
      <c r="A132" s="279">
        <v>0</v>
      </c>
      <c r="B132" s="280" t="s">
        <v>587</v>
      </c>
      <c r="C132" s="281" t="s">
        <v>170</v>
      </c>
      <c r="D132" s="282">
        <v>1</v>
      </c>
      <c r="E132" s="283">
        <v>9500</v>
      </c>
      <c r="F132" s="283">
        <v>9500</v>
      </c>
      <c r="G132" s="284">
        <v>1.3628616134429613E-3</v>
      </c>
      <c r="H132" s="284">
        <f t="shared" si="1"/>
        <v>0.92842577734859177</v>
      </c>
      <c r="J132" s="419"/>
    </row>
    <row r="133" spans="1:10" x14ac:dyDescent="0.2">
      <c r="A133" s="279">
        <v>0</v>
      </c>
      <c r="B133" s="280" t="s">
        <v>1077</v>
      </c>
      <c r="C133" s="281" t="s">
        <v>170</v>
      </c>
      <c r="D133" s="282">
        <v>1</v>
      </c>
      <c r="E133" s="283">
        <v>9450.4506262058512</v>
      </c>
      <c r="F133" s="283">
        <v>9450.4506262058512</v>
      </c>
      <c r="G133" s="284">
        <v>1.355753304020416E-3</v>
      </c>
      <c r="H133" s="284">
        <f t="shared" si="1"/>
        <v>0.92978153065261215</v>
      </c>
      <c r="J133" s="419"/>
    </row>
    <row r="134" spans="1:10" x14ac:dyDescent="0.2">
      <c r="A134" s="279">
        <v>0</v>
      </c>
      <c r="B134" s="280" t="s">
        <v>1111</v>
      </c>
      <c r="C134" s="281" t="s">
        <v>158</v>
      </c>
      <c r="D134" s="282">
        <v>453.83849999999995</v>
      </c>
      <c r="E134" s="283">
        <v>20.778316515676838</v>
      </c>
      <c r="F134" s="283">
        <v>9430.0000000000018</v>
      </c>
      <c r="G134" s="284">
        <v>1.352819475238645E-3</v>
      </c>
      <c r="H134" s="284">
        <f t="shared" si="1"/>
        <v>0.93113435012785084</v>
      </c>
      <c r="J134" s="419"/>
    </row>
    <row r="135" spans="1:10" x14ac:dyDescent="0.2">
      <c r="A135" s="279">
        <v>0</v>
      </c>
      <c r="B135" s="280" t="s">
        <v>920</v>
      </c>
      <c r="C135" s="281" t="s">
        <v>260</v>
      </c>
      <c r="D135" s="282">
        <v>6</v>
      </c>
      <c r="E135" s="283">
        <v>1500</v>
      </c>
      <c r="F135" s="283">
        <v>9000</v>
      </c>
      <c r="G135" s="284">
        <v>1.2911320548407003E-3</v>
      </c>
      <c r="H135" s="284">
        <f t="shared" si="1"/>
        <v>0.9324254821826915</v>
      </c>
      <c r="J135" s="419"/>
    </row>
    <row r="136" spans="1:10" x14ac:dyDescent="0.2">
      <c r="A136" s="279">
        <v>0</v>
      </c>
      <c r="B136" s="280" t="s">
        <v>507</v>
      </c>
      <c r="C136" s="281" t="s">
        <v>142</v>
      </c>
      <c r="D136" s="282">
        <v>20</v>
      </c>
      <c r="E136" s="283">
        <v>447.39584000000002</v>
      </c>
      <c r="F136" s="283">
        <v>8947.9168000000009</v>
      </c>
      <c r="G136" s="284">
        <v>1.2836602449475137E-3</v>
      </c>
      <c r="H136" s="284">
        <f t="shared" si="1"/>
        <v>0.93370914242763903</v>
      </c>
      <c r="J136" s="419"/>
    </row>
    <row r="137" spans="1:10" x14ac:dyDescent="0.2">
      <c r="A137" s="279">
        <v>0</v>
      </c>
      <c r="B137" s="280" t="s">
        <v>134</v>
      </c>
      <c r="C137" s="281" t="s">
        <v>170</v>
      </c>
      <c r="D137" s="282">
        <v>1</v>
      </c>
      <c r="E137" s="283">
        <v>8900</v>
      </c>
      <c r="F137" s="283">
        <v>8900</v>
      </c>
      <c r="G137" s="284">
        <v>1.2767861431202481E-3</v>
      </c>
      <c r="H137" s="284">
        <f t="shared" si="1"/>
        <v>0.93498592857075924</v>
      </c>
      <c r="J137" s="419"/>
    </row>
    <row r="138" spans="1:10" x14ac:dyDescent="0.2">
      <c r="A138" s="279">
        <v>0</v>
      </c>
      <c r="B138" s="280" t="s">
        <v>925</v>
      </c>
      <c r="C138" s="281" t="s">
        <v>260</v>
      </c>
      <c r="D138" s="282">
        <v>22</v>
      </c>
      <c r="E138" s="283">
        <v>400</v>
      </c>
      <c r="F138" s="283">
        <v>8800</v>
      </c>
      <c r="G138" s="284">
        <v>1.2624402313997957E-3</v>
      </c>
      <c r="H138" s="284">
        <f t="shared" ref="H138:H201" si="2">G138+H137</f>
        <v>0.936248368802159</v>
      </c>
      <c r="J138" s="419"/>
    </row>
    <row r="139" spans="1:10" x14ac:dyDescent="0.2">
      <c r="A139" s="279">
        <v>0</v>
      </c>
      <c r="B139" s="280" t="s">
        <v>465</v>
      </c>
      <c r="C139" s="281" t="s">
        <v>140</v>
      </c>
      <c r="D139" s="282">
        <v>1278.1400000000001</v>
      </c>
      <c r="E139" s="283">
        <v>6.6615000000000002</v>
      </c>
      <c r="F139" s="283">
        <v>8514.3296100000007</v>
      </c>
      <c r="G139" s="284">
        <v>1.2214582094389242E-3</v>
      </c>
      <c r="H139" s="284">
        <f t="shared" si="2"/>
        <v>0.93746982701159798</v>
      </c>
      <c r="J139" s="419"/>
    </row>
    <row r="140" spans="1:10" x14ac:dyDescent="0.2">
      <c r="A140" s="279">
        <v>0</v>
      </c>
      <c r="B140" s="280" t="s">
        <v>1156</v>
      </c>
      <c r="C140" s="281" t="s">
        <v>140</v>
      </c>
      <c r="D140" s="282">
        <v>105</v>
      </c>
      <c r="E140" s="283">
        <v>80</v>
      </c>
      <c r="F140" s="283">
        <v>8400</v>
      </c>
      <c r="G140" s="284">
        <v>1.2050565845179869E-3</v>
      </c>
      <c r="H140" s="284">
        <f t="shared" si="2"/>
        <v>0.93867488359611595</v>
      </c>
      <c r="J140" s="419"/>
    </row>
    <row r="141" spans="1:10" x14ac:dyDescent="0.2">
      <c r="A141" s="279">
        <v>0</v>
      </c>
      <c r="B141" s="280" t="s">
        <v>825</v>
      </c>
      <c r="C141" s="281" t="s">
        <v>142</v>
      </c>
      <c r="D141" s="282">
        <v>10</v>
      </c>
      <c r="E141" s="283">
        <v>826.51</v>
      </c>
      <c r="F141" s="283">
        <v>8265.1</v>
      </c>
      <c r="G141" s="284">
        <v>1.1857039496070969E-3</v>
      </c>
      <c r="H141" s="284">
        <f t="shared" si="2"/>
        <v>0.93986058754572299</v>
      </c>
      <c r="J141" s="419"/>
    </row>
    <row r="142" spans="1:10" x14ac:dyDescent="0.2">
      <c r="A142" s="279">
        <v>0</v>
      </c>
      <c r="B142" s="280" t="s">
        <v>425</v>
      </c>
      <c r="C142" s="281" t="s">
        <v>170</v>
      </c>
      <c r="D142" s="282">
        <v>1</v>
      </c>
      <c r="E142" s="283">
        <v>8129.21</v>
      </c>
      <c r="F142" s="283">
        <v>8129.21</v>
      </c>
      <c r="G142" s="284">
        <v>1.1662092901701742E-3</v>
      </c>
      <c r="H142" s="284">
        <f t="shared" si="2"/>
        <v>0.94102679683589319</v>
      </c>
      <c r="J142" s="419"/>
    </row>
    <row r="143" spans="1:10" x14ac:dyDescent="0.2">
      <c r="A143" s="279">
        <v>0</v>
      </c>
      <c r="B143" s="280" t="s">
        <v>479</v>
      </c>
      <c r="C143" s="281" t="s">
        <v>140</v>
      </c>
      <c r="D143" s="282">
        <v>1473.085</v>
      </c>
      <c r="E143" s="283">
        <v>5.5020000000000007</v>
      </c>
      <c r="F143" s="283">
        <v>8104.9136700000008</v>
      </c>
      <c r="G143" s="284">
        <v>1.1627237601170646E-3</v>
      </c>
      <c r="H143" s="284">
        <f t="shared" si="2"/>
        <v>0.94218952059601024</v>
      </c>
      <c r="J143" s="419"/>
    </row>
    <row r="144" spans="1:10" x14ac:dyDescent="0.2">
      <c r="A144" s="279">
        <v>0</v>
      </c>
      <c r="B144" s="280" t="s">
        <v>705</v>
      </c>
      <c r="C144" s="281" t="s">
        <v>142</v>
      </c>
      <c r="D144" s="282">
        <v>17</v>
      </c>
      <c r="E144" s="283">
        <v>467.52584000000002</v>
      </c>
      <c r="F144" s="283">
        <v>7947.9392800000005</v>
      </c>
      <c r="G144" s="284">
        <v>1.1402043527039463E-3</v>
      </c>
      <c r="H144" s="284">
        <f t="shared" si="2"/>
        <v>0.94332972494871414</v>
      </c>
      <c r="J144" s="419"/>
    </row>
    <row r="145" spans="1:10" x14ac:dyDescent="0.2">
      <c r="A145" s="279">
        <v>0</v>
      </c>
      <c r="B145" s="280" t="s">
        <v>994</v>
      </c>
      <c r="C145" s="281" t="s">
        <v>170</v>
      </c>
      <c r="D145" s="282">
        <v>1</v>
      </c>
      <c r="E145" s="283">
        <v>7800.3311279440804</v>
      </c>
      <c r="F145" s="283">
        <v>7800.3311279440804</v>
      </c>
      <c r="G145" s="284">
        <v>1.1190286175178131E-3</v>
      </c>
      <c r="H145" s="284">
        <f t="shared" si="2"/>
        <v>0.94444875356623192</v>
      </c>
      <c r="J145" s="419"/>
    </row>
    <row r="146" spans="1:10" x14ac:dyDescent="0.2">
      <c r="A146" s="279">
        <v>0</v>
      </c>
      <c r="B146" s="280" t="s">
        <v>1216</v>
      </c>
      <c r="C146" s="281" t="s">
        <v>170</v>
      </c>
      <c r="D146" s="282">
        <v>1</v>
      </c>
      <c r="E146" s="283">
        <v>7800</v>
      </c>
      <c r="F146" s="283">
        <v>7800</v>
      </c>
      <c r="G146" s="284">
        <v>1.1189811141952735E-3</v>
      </c>
      <c r="H146" s="284">
        <f t="shared" si="2"/>
        <v>0.94556773468042721</v>
      </c>
      <c r="J146" s="419"/>
    </row>
    <row r="147" spans="1:10" x14ac:dyDescent="0.2">
      <c r="A147" s="279">
        <v>0</v>
      </c>
      <c r="B147" s="280" t="s">
        <v>1068</v>
      </c>
      <c r="C147" s="281" t="s">
        <v>170</v>
      </c>
      <c r="D147" s="282">
        <v>1</v>
      </c>
      <c r="E147" s="283">
        <v>7798.7220899209133</v>
      </c>
      <c r="F147" s="283">
        <v>7798.7220899209133</v>
      </c>
      <c r="G147" s="284">
        <v>1.118797786343461E-3</v>
      </c>
      <c r="H147" s="284">
        <f t="shared" si="2"/>
        <v>0.9466865324667707</v>
      </c>
      <c r="J147" s="419"/>
    </row>
    <row r="148" spans="1:10" x14ac:dyDescent="0.2">
      <c r="A148" s="279">
        <v>0</v>
      </c>
      <c r="B148" s="280" t="s">
        <v>926</v>
      </c>
      <c r="C148" s="281" t="s">
        <v>260</v>
      </c>
      <c r="D148" s="282">
        <v>22</v>
      </c>
      <c r="E148" s="283">
        <v>350</v>
      </c>
      <c r="F148" s="283">
        <v>7700</v>
      </c>
      <c r="G148" s="284">
        <v>1.1046352024748213E-3</v>
      </c>
      <c r="H148" s="284">
        <f t="shared" si="2"/>
        <v>0.94779116766924554</v>
      </c>
      <c r="J148" s="419"/>
    </row>
    <row r="149" spans="1:10" x14ac:dyDescent="0.2">
      <c r="A149" s="279">
        <v>0</v>
      </c>
      <c r="B149" s="280" t="s">
        <v>421</v>
      </c>
      <c r="C149" s="281" t="s">
        <v>158</v>
      </c>
      <c r="D149" s="282">
        <v>129.04</v>
      </c>
      <c r="E149" s="283">
        <v>59.164380000000001</v>
      </c>
      <c r="F149" s="283">
        <v>7634.5715952</v>
      </c>
      <c r="G149" s="284">
        <v>1.0952489012821132E-3</v>
      </c>
      <c r="H149" s="284">
        <f t="shared" si="2"/>
        <v>0.94888641657052764</v>
      </c>
      <c r="J149" s="419"/>
    </row>
    <row r="150" spans="1:10" x14ac:dyDescent="0.2">
      <c r="A150" s="279">
        <v>0</v>
      </c>
      <c r="B150" s="280" t="s">
        <v>579</v>
      </c>
      <c r="C150" s="281" t="s">
        <v>170</v>
      </c>
      <c r="D150" s="282">
        <v>1</v>
      </c>
      <c r="E150" s="283">
        <v>7600</v>
      </c>
      <c r="F150" s="283">
        <v>7600</v>
      </c>
      <c r="G150" s="284">
        <v>1.0902892907543691E-3</v>
      </c>
      <c r="H150" s="284">
        <f t="shared" si="2"/>
        <v>0.94997670586128202</v>
      </c>
      <c r="J150" s="419"/>
    </row>
    <row r="151" spans="1:10" x14ac:dyDescent="0.2">
      <c r="A151" s="279">
        <v>0</v>
      </c>
      <c r="B151" s="280" t="s">
        <v>1053</v>
      </c>
      <c r="C151" s="281" t="s">
        <v>142</v>
      </c>
      <c r="D151" s="282">
        <v>1</v>
      </c>
      <c r="E151" s="283">
        <v>7363</v>
      </c>
      <c r="F151" s="283">
        <v>7363</v>
      </c>
      <c r="G151" s="284">
        <v>1.0562894799768974E-3</v>
      </c>
      <c r="H151" s="284">
        <f t="shared" si="2"/>
        <v>0.95103299534125896</v>
      </c>
      <c r="J151" s="419"/>
    </row>
    <row r="152" spans="1:10" x14ac:dyDescent="0.2">
      <c r="A152" s="279">
        <v>0</v>
      </c>
      <c r="B152" s="280" t="s">
        <v>192</v>
      </c>
      <c r="C152" s="281" t="s">
        <v>159</v>
      </c>
      <c r="D152" s="282">
        <v>954.54737</v>
      </c>
      <c r="E152" s="283">
        <v>7.4571300000000003</v>
      </c>
      <c r="F152" s="283">
        <v>7118.1838292481007</v>
      </c>
      <c r="G152" s="284">
        <v>1.0211683682434382E-3</v>
      </c>
      <c r="H152" s="284">
        <f t="shared" si="2"/>
        <v>0.95205416370950235</v>
      </c>
      <c r="J152" s="419"/>
    </row>
    <row r="153" spans="1:10" x14ac:dyDescent="0.2">
      <c r="A153" s="279">
        <v>0</v>
      </c>
      <c r="B153" s="280" t="s">
        <v>939</v>
      </c>
      <c r="C153" s="281" t="s">
        <v>170</v>
      </c>
      <c r="D153" s="282">
        <v>1</v>
      </c>
      <c r="E153" s="283">
        <v>7000</v>
      </c>
      <c r="F153" s="283">
        <v>7000</v>
      </c>
      <c r="G153" s="284">
        <v>1.0042138204316557E-3</v>
      </c>
      <c r="H153" s="284">
        <f t="shared" si="2"/>
        <v>0.95305837752993405</v>
      </c>
      <c r="J153" s="419"/>
    </row>
    <row r="154" spans="1:10" x14ac:dyDescent="0.2">
      <c r="A154" s="279">
        <v>0</v>
      </c>
      <c r="B154" s="280" t="s">
        <v>145</v>
      </c>
      <c r="C154" s="281" t="s">
        <v>170</v>
      </c>
      <c r="D154" s="282">
        <v>1</v>
      </c>
      <c r="E154" s="283">
        <v>7000</v>
      </c>
      <c r="F154" s="283">
        <v>7000</v>
      </c>
      <c r="G154" s="284">
        <v>1.0042138204316557E-3</v>
      </c>
      <c r="H154" s="284">
        <f t="shared" si="2"/>
        <v>0.95406259135036575</v>
      </c>
      <c r="J154" s="419"/>
    </row>
    <row r="155" spans="1:10" x14ac:dyDescent="0.2">
      <c r="A155" s="279">
        <v>0</v>
      </c>
      <c r="B155" s="280" t="s">
        <v>402</v>
      </c>
      <c r="C155" s="281" t="s">
        <v>170</v>
      </c>
      <c r="D155" s="282">
        <v>1</v>
      </c>
      <c r="E155" s="283">
        <v>6916.85</v>
      </c>
      <c r="F155" s="283">
        <v>6916.85</v>
      </c>
      <c r="G155" s="284">
        <v>9.9228519483609981E-4</v>
      </c>
      <c r="H155" s="284">
        <f t="shared" si="2"/>
        <v>0.95505487654520183</v>
      </c>
      <c r="J155" s="419"/>
    </row>
    <row r="156" spans="1:10" x14ac:dyDescent="0.2">
      <c r="A156" s="279">
        <v>0</v>
      </c>
      <c r="B156" s="280" t="s">
        <v>983</v>
      </c>
      <c r="C156" s="281" t="s">
        <v>170</v>
      </c>
      <c r="D156" s="282">
        <v>1</v>
      </c>
      <c r="E156" s="283">
        <v>6774.769135823467</v>
      </c>
      <c r="F156" s="283">
        <v>6774.769135823467</v>
      </c>
      <c r="G156" s="284">
        <v>9.7190239948967861E-4</v>
      </c>
      <c r="H156" s="284">
        <f t="shared" si="2"/>
        <v>0.95602677894469146</v>
      </c>
      <c r="J156" s="419"/>
    </row>
    <row r="157" spans="1:10" x14ac:dyDescent="0.2">
      <c r="A157" s="279">
        <v>0</v>
      </c>
      <c r="B157" s="280" t="s">
        <v>1217</v>
      </c>
      <c r="C157" s="281" t="s">
        <v>170</v>
      </c>
      <c r="D157" s="282">
        <v>1</v>
      </c>
      <c r="E157" s="283">
        <v>6489.6546573177948</v>
      </c>
      <c r="F157" s="283">
        <v>6489.6546573177948</v>
      </c>
      <c r="G157" s="284">
        <v>9.3100012810102715E-4</v>
      </c>
      <c r="H157" s="284">
        <f t="shared" si="2"/>
        <v>0.95695777907279245</v>
      </c>
      <c r="J157" s="419"/>
    </row>
    <row r="158" spans="1:10" x14ac:dyDescent="0.2">
      <c r="A158" s="279">
        <v>0</v>
      </c>
      <c r="B158" s="280" t="s">
        <v>1218</v>
      </c>
      <c r="C158" s="281" t="s">
        <v>260</v>
      </c>
      <c r="D158" s="282">
        <v>7</v>
      </c>
      <c r="E158" s="283">
        <v>900</v>
      </c>
      <c r="F158" s="283">
        <v>6300</v>
      </c>
      <c r="G158" s="284">
        <v>9.0379243838849016E-4</v>
      </c>
      <c r="H158" s="284">
        <f t="shared" si="2"/>
        <v>0.9578615715111809</v>
      </c>
      <c r="J158" s="419"/>
    </row>
    <row r="159" spans="1:10" x14ac:dyDescent="0.2">
      <c r="A159" s="279">
        <v>0</v>
      </c>
      <c r="B159" s="280" t="s">
        <v>751</v>
      </c>
      <c r="C159" s="281" t="s">
        <v>140</v>
      </c>
      <c r="D159" s="282">
        <v>60.19</v>
      </c>
      <c r="E159" s="283">
        <v>104.2983</v>
      </c>
      <c r="F159" s="283">
        <v>6277.7146769999999</v>
      </c>
      <c r="G159" s="284">
        <v>9.0059540562429253E-4</v>
      </c>
      <c r="H159" s="284">
        <f t="shared" si="2"/>
        <v>0.95876216691680516</v>
      </c>
      <c r="J159" s="419"/>
    </row>
    <row r="160" spans="1:10" x14ac:dyDescent="0.2">
      <c r="A160" s="279">
        <v>0</v>
      </c>
      <c r="B160" s="280" t="s">
        <v>736</v>
      </c>
      <c r="C160" s="281" t="s">
        <v>140</v>
      </c>
      <c r="D160" s="282">
        <v>45.99</v>
      </c>
      <c r="E160" s="283">
        <v>134.14749999999998</v>
      </c>
      <c r="F160" s="283">
        <v>6169.4435249999997</v>
      </c>
      <c r="G160" s="284">
        <v>8.8506292173965578E-4</v>
      </c>
      <c r="H160" s="284">
        <f t="shared" si="2"/>
        <v>0.95964722983854478</v>
      </c>
      <c r="J160" s="419"/>
    </row>
    <row r="161" spans="1:10" x14ac:dyDescent="0.2">
      <c r="A161" s="279">
        <v>0</v>
      </c>
      <c r="B161" s="280" t="s">
        <v>1064</v>
      </c>
      <c r="C161" s="281" t="s">
        <v>142</v>
      </c>
      <c r="D161" s="282">
        <v>43</v>
      </c>
      <c r="E161" s="283">
        <v>140</v>
      </c>
      <c r="F161" s="283">
        <v>6020</v>
      </c>
      <c r="G161" s="284">
        <v>8.6362388557122388E-4</v>
      </c>
      <c r="H161" s="284">
        <f t="shared" si="2"/>
        <v>0.96051085372411604</v>
      </c>
      <c r="J161" s="419"/>
    </row>
    <row r="162" spans="1:10" x14ac:dyDescent="0.2">
      <c r="A162" s="279">
        <v>0</v>
      </c>
      <c r="B162" s="280" t="s">
        <v>216</v>
      </c>
      <c r="C162" s="281" t="s">
        <v>158</v>
      </c>
      <c r="D162" s="282">
        <v>1327.4699999999998</v>
      </c>
      <c r="E162" s="283">
        <v>4.5200000000000005</v>
      </c>
      <c r="F162" s="283">
        <v>6000.1643999999997</v>
      </c>
      <c r="G162" s="284">
        <v>8.6077828790600186E-4</v>
      </c>
      <c r="H162" s="284">
        <f t="shared" si="2"/>
        <v>0.96137163201202203</v>
      </c>
      <c r="J162" s="419"/>
    </row>
    <row r="163" spans="1:10" x14ac:dyDescent="0.2">
      <c r="A163" s="279">
        <v>0</v>
      </c>
      <c r="B163" s="280" t="s">
        <v>1219</v>
      </c>
      <c r="C163" s="281" t="s">
        <v>170</v>
      </c>
      <c r="D163" s="282">
        <v>1</v>
      </c>
      <c r="E163" s="283">
        <v>5936</v>
      </c>
      <c r="F163" s="283">
        <v>5936</v>
      </c>
      <c r="G163" s="284">
        <v>8.5157331972604403E-4</v>
      </c>
      <c r="H163" s="284">
        <f t="shared" si="2"/>
        <v>0.9622232053317481</v>
      </c>
      <c r="J163" s="419"/>
    </row>
    <row r="164" spans="1:10" x14ac:dyDescent="0.2">
      <c r="A164" s="279">
        <v>0</v>
      </c>
      <c r="B164" s="280" t="s">
        <v>1220</v>
      </c>
      <c r="C164" s="281" t="s">
        <v>170</v>
      </c>
      <c r="D164" s="282">
        <v>1</v>
      </c>
      <c r="E164" s="283">
        <v>5923.6399999999994</v>
      </c>
      <c r="F164" s="283">
        <v>5923.6399999999994</v>
      </c>
      <c r="G164" s="284">
        <v>8.4980016503739613E-4</v>
      </c>
      <c r="H164" s="284">
        <f t="shared" si="2"/>
        <v>0.96307300549678554</v>
      </c>
      <c r="J164" s="419"/>
    </row>
    <row r="165" spans="1:10" x14ac:dyDescent="0.2">
      <c r="A165" s="279">
        <v>0</v>
      </c>
      <c r="B165" s="280" t="s">
        <v>1083</v>
      </c>
      <c r="C165" s="281" t="s">
        <v>170</v>
      </c>
      <c r="D165" s="282">
        <v>1</v>
      </c>
      <c r="E165" s="283">
        <v>5849.041567440685</v>
      </c>
      <c r="F165" s="283">
        <v>5849.041567440685</v>
      </c>
      <c r="G165" s="284">
        <v>8.3909833975759579E-4</v>
      </c>
      <c r="H165" s="284">
        <f t="shared" si="2"/>
        <v>0.96391210383654313</v>
      </c>
      <c r="J165" s="419"/>
    </row>
    <row r="166" spans="1:10" x14ac:dyDescent="0.2">
      <c r="A166" s="279">
        <v>0</v>
      </c>
      <c r="B166" s="280" t="s">
        <v>1082</v>
      </c>
      <c r="C166" s="281" t="s">
        <v>170</v>
      </c>
      <c r="D166" s="282">
        <v>1</v>
      </c>
      <c r="E166" s="283">
        <v>5849.041567440685</v>
      </c>
      <c r="F166" s="283">
        <v>5849.041567440685</v>
      </c>
      <c r="G166" s="284">
        <v>8.3909833975759579E-4</v>
      </c>
      <c r="H166" s="284">
        <f t="shared" si="2"/>
        <v>0.96475120217630073</v>
      </c>
      <c r="J166" s="419"/>
    </row>
    <row r="167" spans="1:10" x14ac:dyDescent="0.2">
      <c r="A167" s="279">
        <v>0</v>
      </c>
      <c r="B167" s="280" t="s">
        <v>1067</v>
      </c>
      <c r="C167" s="281" t="s">
        <v>142</v>
      </c>
      <c r="D167" s="282">
        <v>1</v>
      </c>
      <c r="E167" s="283">
        <v>5829.6900000000005</v>
      </c>
      <c r="F167" s="283">
        <v>5829.6900000000005</v>
      </c>
      <c r="G167" s="284">
        <v>8.3632218097603138E-4</v>
      </c>
      <c r="H167" s="284">
        <f t="shared" si="2"/>
        <v>0.96558752435727679</v>
      </c>
      <c r="J167" s="419"/>
    </row>
    <row r="168" spans="1:10" x14ac:dyDescent="0.2">
      <c r="A168" s="279">
        <v>0</v>
      </c>
      <c r="B168" s="280" t="s">
        <v>589</v>
      </c>
      <c r="C168" s="281" t="s">
        <v>170</v>
      </c>
      <c r="D168" s="282">
        <v>1</v>
      </c>
      <c r="E168" s="283">
        <v>5700</v>
      </c>
      <c r="F168" s="283">
        <v>5700</v>
      </c>
      <c r="G168" s="284">
        <v>8.1771696806577686E-4</v>
      </c>
      <c r="H168" s="284">
        <f t="shared" si="2"/>
        <v>0.96640524132534256</v>
      </c>
      <c r="J168" s="419"/>
    </row>
    <row r="169" spans="1:10" x14ac:dyDescent="0.2">
      <c r="A169" s="279">
        <v>0</v>
      </c>
      <c r="B169" s="280" t="s">
        <v>747</v>
      </c>
      <c r="C169" s="281" t="s">
        <v>158</v>
      </c>
      <c r="D169" s="282">
        <v>78.88000000000001</v>
      </c>
      <c r="E169" s="283">
        <v>69.019840000000016</v>
      </c>
      <c r="F169" s="283">
        <v>5444.2849792000015</v>
      </c>
      <c r="G169" s="284">
        <v>7.81032316925873E-4</v>
      </c>
      <c r="H169" s="284">
        <f t="shared" si="2"/>
        <v>0.96718627364226839</v>
      </c>
      <c r="J169" s="419"/>
    </row>
    <row r="170" spans="1:10" x14ac:dyDescent="0.2">
      <c r="A170" s="279">
        <v>0</v>
      </c>
      <c r="B170" s="280" t="s">
        <v>1069</v>
      </c>
      <c r="C170" s="281" t="s">
        <v>170</v>
      </c>
      <c r="D170" s="282">
        <v>1</v>
      </c>
      <c r="E170" s="283">
        <v>5278.4324526153387</v>
      </c>
      <c r="F170" s="283">
        <v>5278.4324526153387</v>
      </c>
      <c r="G170" s="284">
        <v>7.5723925987589765E-4</v>
      </c>
      <c r="H170" s="284">
        <f t="shared" si="2"/>
        <v>0.96794351290214431</v>
      </c>
      <c r="J170" s="419"/>
    </row>
    <row r="171" spans="1:10" x14ac:dyDescent="0.2">
      <c r="A171" s="279">
        <v>0</v>
      </c>
      <c r="B171" s="280" t="s">
        <v>1135</v>
      </c>
      <c r="C171" s="281" t="s">
        <v>159</v>
      </c>
      <c r="D171" s="282">
        <v>795.6</v>
      </c>
      <c r="E171" s="283">
        <v>6.5920300000000012</v>
      </c>
      <c r="F171" s="283">
        <v>5244.6190680000009</v>
      </c>
      <c r="G171" s="284">
        <v>7.5238842156928436E-4</v>
      </c>
      <c r="H171" s="284">
        <f t="shared" si="2"/>
        <v>0.96869590132371364</v>
      </c>
      <c r="J171" s="419"/>
    </row>
    <row r="172" spans="1:10" x14ac:dyDescent="0.2">
      <c r="A172" s="279">
        <v>0</v>
      </c>
      <c r="B172" s="280" t="s">
        <v>597</v>
      </c>
      <c r="C172" s="281" t="s">
        <v>170</v>
      </c>
      <c r="D172" s="282">
        <v>1</v>
      </c>
      <c r="E172" s="283">
        <v>5220.0200000000004</v>
      </c>
      <c r="F172" s="283">
        <v>5220.0200000000004</v>
      </c>
      <c r="G172" s="284">
        <v>7.4885946098995025E-4</v>
      </c>
      <c r="H172" s="284">
        <f t="shared" si="2"/>
        <v>0.96944476078470354</v>
      </c>
      <c r="J172" s="419"/>
    </row>
    <row r="173" spans="1:10" x14ac:dyDescent="0.2">
      <c r="A173" s="279">
        <v>0</v>
      </c>
      <c r="B173" s="280" t="s">
        <v>997</v>
      </c>
      <c r="C173" s="281" t="s">
        <v>170</v>
      </c>
      <c r="D173" s="282">
        <v>1</v>
      </c>
      <c r="E173" s="283">
        <v>4852.9795400610647</v>
      </c>
      <c r="F173" s="283">
        <v>4852.9795400610647</v>
      </c>
      <c r="G173" s="284">
        <v>6.9620416062876871E-4</v>
      </c>
      <c r="H173" s="284">
        <f t="shared" si="2"/>
        <v>0.97014096494533231</v>
      </c>
      <c r="J173" s="419"/>
    </row>
    <row r="174" spans="1:10" x14ac:dyDescent="0.2">
      <c r="A174" s="279">
        <v>0</v>
      </c>
      <c r="B174" s="280" t="s">
        <v>1065</v>
      </c>
      <c r="C174" s="281" t="s">
        <v>142</v>
      </c>
      <c r="D174" s="282">
        <v>37</v>
      </c>
      <c r="E174" s="283">
        <v>130</v>
      </c>
      <c r="F174" s="283">
        <v>4810</v>
      </c>
      <c r="G174" s="284">
        <v>6.9003835375375201E-4</v>
      </c>
      <c r="H174" s="284">
        <f t="shared" si="2"/>
        <v>0.970831003299086</v>
      </c>
      <c r="J174" s="419"/>
    </row>
    <row r="175" spans="1:10" x14ac:dyDescent="0.2">
      <c r="A175" s="279">
        <v>0</v>
      </c>
      <c r="B175" s="280" t="s">
        <v>1131</v>
      </c>
      <c r="C175" s="281" t="s">
        <v>140</v>
      </c>
      <c r="D175" s="282">
        <v>36.799999999999997</v>
      </c>
      <c r="E175" s="283">
        <v>121.62600000000002</v>
      </c>
      <c r="F175" s="283">
        <v>4475.8368</v>
      </c>
      <c r="G175" s="284">
        <v>6.420995960795138E-4</v>
      </c>
      <c r="H175" s="284">
        <f t="shared" si="2"/>
        <v>0.97147310289516553</v>
      </c>
      <c r="J175" s="419"/>
    </row>
    <row r="176" spans="1:10" x14ac:dyDescent="0.2">
      <c r="A176" s="279">
        <v>0</v>
      </c>
      <c r="B176" s="280" t="s">
        <v>746</v>
      </c>
      <c r="C176" s="281" t="s">
        <v>140</v>
      </c>
      <c r="D176" s="282">
        <v>71.819999999999993</v>
      </c>
      <c r="E176" s="283">
        <v>61.624999999999993</v>
      </c>
      <c r="F176" s="283">
        <v>4425.9074999999993</v>
      </c>
      <c r="G176" s="284">
        <v>6.3493678277887395E-4</v>
      </c>
      <c r="H176" s="284">
        <f t="shared" si="2"/>
        <v>0.97210803967794446</v>
      </c>
      <c r="J176" s="419"/>
    </row>
    <row r="177" spans="1:10" x14ac:dyDescent="0.2">
      <c r="A177" s="279">
        <v>0</v>
      </c>
      <c r="B177" s="280" t="s">
        <v>982</v>
      </c>
      <c r="C177" s="281" t="s">
        <v>170</v>
      </c>
      <c r="D177" s="282">
        <v>1</v>
      </c>
      <c r="E177" s="283">
        <v>4392.4124176349396</v>
      </c>
      <c r="F177" s="283">
        <v>4392.4124176349396</v>
      </c>
      <c r="G177" s="284">
        <v>6.301316078320897E-4</v>
      </c>
      <c r="H177" s="284">
        <f t="shared" si="2"/>
        <v>0.97273817128577655</v>
      </c>
      <c r="J177" s="419"/>
    </row>
    <row r="178" spans="1:10" x14ac:dyDescent="0.2">
      <c r="A178" s="279">
        <v>0</v>
      </c>
      <c r="B178" s="280" t="s">
        <v>788</v>
      </c>
      <c r="C178" s="281" t="s">
        <v>140</v>
      </c>
      <c r="D178" s="282">
        <v>59.13</v>
      </c>
      <c r="E178" s="283">
        <v>73.511069535391343</v>
      </c>
      <c r="F178" s="283">
        <v>4346.7095416276907</v>
      </c>
      <c r="G178" s="284">
        <v>6.2357511358638207E-4</v>
      </c>
      <c r="H178" s="284">
        <f t="shared" si="2"/>
        <v>0.9733617463993629</v>
      </c>
      <c r="J178" s="419"/>
    </row>
    <row r="179" spans="1:10" x14ac:dyDescent="0.2">
      <c r="A179" s="279">
        <v>0</v>
      </c>
      <c r="B179" s="280" t="s">
        <v>1002</v>
      </c>
      <c r="C179" s="281" t="s">
        <v>170</v>
      </c>
      <c r="D179" s="282">
        <v>1</v>
      </c>
      <c r="E179" s="283">
        <v>3985.7708942187569</v>
      </c>
      <c r="F179" s="283">
        <v>3985.7708942187569</v>
      </c>
      <c r="G179" s="284">
        <v>5.7179517386410209E-4</v>
      </c>
      <c r="H179" s="284">
        <f t="shared" si="2"/>
        <v>0.97393354157322698</v>
      </c>
      <c r="J179" s="419"/>
    </row>
    <row r="180" spans="1:10" x14ac:dyDescent="0.2">
      <c r="A180" s="279">
        <v>0</v>
      </c>
      <c r="B180" s="280" t="s">
        <v>1084</v>
      </c>
      <c r="C180" s="281" t="s">
        <v>170</v>
      </c>
      <c r="D180" s="282">
        <v>1</v>
      </c>
      <c r="E180" s="283">
        <v>3958.8243394615042</v>
      </c>
      <c r="F180" s="283">
        <v>3958.8243394615042</v>
      </c>
      <c r="G180" s="284">
        <v>5.6792944490692326E-4</v>
      </c>
      <c r="H180" s="284">
        <f t="shared" si="2"/>
        <v>0.97450147101813389</v>
      </c>
      <c r="J180" s="419"/>
    </row>
    <row r="181" spans="1:10" x14ac:dyDescent="0.2">
      <c r="A181" s="279">
        <v>0</v>
      </c>
      <c r="B181" s="280" t="s">
        <v>1080</v>
      </c>
      <c r="C181" s="281" t="s">
        <v>170</v>
      </c>
      <c r="D181" s="282">
        <v>1</v>
      </c>
      <c r="E181" s="283">
        <v>3958.8243394615042</v>
      </c>
      <c r="F181" s="283">
        <v>3958.8243394615042</v>
      </c>
      <c r="G181" s="284">
        <v>5.6792944490692326E-4</v>
      </c>
      <c r="H181" s="284">
        <f t="shared" si="2"/>
        <v>0.9750694004630408</v>
      </c>
      <c r="J181" s="419"/>
    </row>
    <row r="182" spans="1:10" x14ac:dyDescent="0.2">
      <c r="A182" s="279">
        <v>0</v>
      </c>
      <c r="B182" s="280" t="s">
        <v>1081</v>
      </c>
      <c r="C182" s="281" t="s">
        <v>170</v>
      </c>
      <c r="D182" s="282">
        <v>1</v>
      </c>
      <c r="E182" s="283">
        <v>3899.3610449604566</v>
      </c>
      <c r="F182" s="283">
        <v>3899.3610449604566</v>
      </c>
      <c r="G182" s="284">
        <v>5.5939889317173049E-4</v>
      </c>
      <c r="H182" s="284">
        <f t="shared" si="2"/>
        <v>0.97562879935621249</v>
      </c>
      <c r="J182" s="419"/>
    </row>
    <row r="183" spans="1:10" x14ac:dyDescent="0.2">
      <c r="A183" s="279">
        <v>0</v>
      </c>
      <c r="B183" s="280" t="s">
        <v>1060</v>
      </c>
      <c r="C183" s="281" t="s">
        <v>142</v>
      </c>
      <c r="D183" s="282">
        <v>1</v>
      </c>
      <c r="E183" s="283">
        <v>3886.46</v>
      </c>
      <c r="F183" s="283">
        <v>3886.46</v>
      </c>
      <c r="G183" s="284">
        <v>5.5754812065068752E-4</v>
      </c>
      <c r="H183" s="284">
        <f t="shared" si="2"/>
        <v>0.97618634747686317</v>
      </c>
      <c r="J183" s="419"/>
    </row>
    <row r="184" spans="1:10" x14ac:dyDescent="0.2">
      <c r="A184" s="279">
        <v>0</v>
      </c>
      <c r="B184" s="280" t="s">
        <v>1221</v>
      </c>
      <c r="C184" s="281" t="s">
        <v>140</v>
      </c>
      <c r="D184" s="282">
        <v>5.48</v>
      </c>
      <c r="E184" s="283">
        <v>700.88</v>
      </c>
      <c r="F184" s="283">
        <v>3840.8224000000005</v>
      </c>
      <c r="G184" s="284">
        <v>5.5100099084335447E-4</v>
      </c>
      <c r="H184" s="284">
        <f t="shared" si="2"/>
        <v>0.97673734846770655</v>
      </c>
      <c r="J184" s="419"/>
    </row>
    <row r="185" spans="1:10" x14ac:dyDescent="0.2">
      <c r="A185" s="279">
        <v>0</v>
      </c>
      <c r="B185" s="280" t="s">
        <v>1070</v>
      </c>
      <c r="C185" s="281" t="s">
        <v>170</v>
      </c>
      <c r="D185" s="282">
        <v>1</v>
      </c>
      <c r="E185" s="283">
        <v>3781.1066595146744</v>
      </c>
      <c r="F185" s="283">
        <v>3781.1066595146744</v>
      </c>
      <c r="G185" s="284">
        <v>5.4243422343011529E-4</v>
      </c>
      <c r="H185" s="284">
        <f t="shared" si="2"/>
        <v>0.97727978269113669</v>
      </c>
      <c r="J185" s="419"/>
    </row>
    <row r="186" spans="1:10" x14ac:dyDescent="0.2">
      <c r="A186" s="279">
        <v>0</v>
      </c>
      <c r="B186" s="280" t="s">
        <v>942</v>
      </c>
      <c r="C186" s="281" t="s">
        <v>170</v>
      </c>
      <c r="D186" s="282">
        <v>1</v>
      </c>
      <c r="E186" s="283">
        <v>3772</v>
      </c>
      <c r="F186" s="283">
        <v>3772</v>
      </c>
      <c r="G186" s="284">
        <v>5.4112779009545789E-4</v>
      </c>
      <c r="H186" s="284">
        <f t="shared" si="2"/>
        <v>0.9778209104812321</v>
      </c>
      <c r="J186" s="419"/>
    </row>
    <row r="187" spans="1:10" x14ac:dyDescent="0.2">
      <c r="A187" s="279">
        <v>0</v>
      </c>
      <c r="B187" s="280" t="s">
        <v>198</v>
      </c>
      <c r="C187" s="281" t="s">
        <v>140</v>
      </c>
      <c r="D187" s="282">
        <v>1325.6879976600001</v>
      </c>
      <c r="E187" s="283">
        <v>2.8129500000000003</v>
      </c>
      <c r="F187" s="283">
        <v>3729.0940530176977</v>
      </c>
      <c r="G187" s="284">
        <v>5.349725408185528E-4</v>
      </c>
      <c r="H187" s="284">
        <f t="shared" si="2"/>
        <v>0.97835588302205068</v>
      </c>
      <c r="J187" s="419"/>
    </row>
    <row r="188" spans="1:10" x14ac:dyDescent="0.2">
      <c r="A188" s="279">
        <v>0</v>
      </c>
      <c r="B188" s="280" t="s">
        <v>418</v>
      </c>
      <c r="C188" s="281" t="s">
        <v>158</v>
      </c>
      <c r="D188" s="282">
        <v>258.08</v>
      </c>
      <c r="E188" s="283">
        <v>13.68</v>
      </c>
      <c r="F188" s="283">
        <v>3530.5343999999996</v>
      </c>
      <c r="G188" s="284">
        <v>5.0648734828419762E-4</v>
      </c>
      <c r="H188" s="284">
        <f t="shared" si="2"/>
        <v>0.97886237037033486</v>
      </c>
      <c r="J188" s="419"/>
    </row>
    <row r="189" spans="1:10" x14ac:dyDescent="0.2">
      <c r="A189" s="279">
        <v>0</v>
      </c>
      <c r="B189" s="280" t="s">
        <v>593</v>
      </c>
      <c r="C189" s="281" t="s">
        <v>170</v>
      </c>
      <c r="D189" s="282">
        <v>1</v>
      </c>
      <c r="E189" s="283">
        <v>3500</v>
      </c>
      <c r="F189" s="283">
        <v>3500</v>
      </c>
      <c r="G189" s="284">
        <v>5.0210691021582783E-4</v>
      </c>
      <c r="H189" s="284">
        <f t="shared" si="2"/>
        <v>0.97936447728055065</v>
      </c>
      <c r="J189" s="419"/>
    </row>
    <row r="190" spans="1:10" x14ac:dyDescent="0.2">
      <c r="A190" s="279">
        <v>0</v>
      </c>
      <c r="B190" s="280" t="s">
        <v>533</v>
      </c>
      <c r="C190" s="281" t="s">
        <v>170</v>
      </c>
      <c r="D190" s="282">
        <v>1</v>
      </c>
      <c r="E190" s="283">
        <v>3420.2999999999997</v>
      </c>
      <c r="F190" s="283">
        <v>3420.2999999999997</v>
      </c>
      <c r="G190" s="284">
        <v>4.9067321857462743E-4</v>
      </c>
      <c r="H190" s="284">
        <f t="shared" si="2"/>
        <v>0.9798551504991253</v>
      </c>
      <c r="J190" s="419"/>
    </row>
    <row r="191" spans="1:10" x14ac:dyDescent="0.2">
      <c r="A191" s="279">
        <v>0</v>
      </c>
      <c r="B191" s="280" t="s">
        <v>924</v>
      </c>
      <c r="C191" s="281" t="s">
        <v>260</v>
      </c>
      <c r="D191" s="282">
        <v>22</v>
      </c>
      <c r="E191" s="283">
        <v>150</v>
      </c>
      <c r="F191" s="283">
        <v>3300</v>
      </c>
      <c r="G191" s="284">
        <v>4.7341508677492344E-4</v>
      </c>
      <c r="H191" s="284">
        <f t="shared" si="2"/>
        <v>0.9803285655859002</v>
      </c>
      <c r="J191" s="419"/>
    </row>
    <row r="192" spans="1:10" x14ac:dyDescent="0.2">
      <c r="A192" s="279">
        <v>0</v>
      </c>
      <c r="B192" s="280" t="s">
        <v>979</v>
      </c>
      <c r="C192" s="281" t="s">
        <v>170</v>
      </c>
      <c r="D192" s="282">
        <v>1</v>
      </c>
      <c r="E192" s="283">
        <v>3218.5033858336856</v>
      </c>
      <c r="F192" s="283">
        <v>3218.5033858336856</v>
      </c>
      <c r="G192" s="284">
        <v>4.6172365445146637E-4</v>
      </c>
      <c r="H192" s="284">
        <f t="shared" si="2"/>
        <v>0.98079028924035172</v>
      </c>
      <c r="J192" s="419"/>
    </row>
    <row r="193" spans="1:10" x14ac:dyDescent="0.2">
      <c r="A193" s="279">
        <v>0</v>
      </c>
      <c r="B193" s="280" t="s">
        <v>996</v>
      </c>
      <c r="C193" s="281" t="s">
        <v>170</v>
      </c>
      <c r="D193" s="282">
        <v>1</v>
      </c>
      <c r="E193" s="283">
        <v>3146.4227292376281</v>
      </c>
      <c r="F193" s="283">
        <v>3146.4227292376281</v>
      </c>
      <c r="G193" s="284">
        <v>4.5138302708867367E-4</v>
      </c>
      <c r="H193" s="284">
        <f t="shared" si="2"/>
        <v>0.98124167226744041</v>
      </c>
      <c r="J193" s="419"/>
    </row>
    <row r="194" spans="1:10" x14ac:dyDescent="0.2">
      <c r="A194" s="279">
        <v>0</v>
      </c>
      <c r="B194" s="280" t="s">
        <v>752</v>
      </c>
      <c r="C194" s="281" t="s">
        <v>140</v>
      </c>
      <c r="D194" s="282">
        <v>60.19</v>
      </c>
      <c r="E194" s="283">
        <v>51.972999999999999</v>
      </c>
      <c r="F194" s="283">
        <v>3128.2548699999998</v>
      </c>
      <c r="G194" s="284">
        <v>4.487766820409475E-4</v>
      </c>
      <c r="H194" s="284">
        <f t="shared" si="2"/>
        <v>0.98169044894948132</v>
      </c>
      <c r="J194" s="419"/>
    </row>
    <row r="195" spans="1:10" x14ac:dyDescent="0.2">
      <c r="A195" s="279">
        <v>0</v>
      </c>
      <c r="B195" s="280" t="s">
        <v>1071</v>
      </c>
      <c r="C195" s="281" t="s">
        <v>170</v>
      </c>
      <c r="D195" s="282">
        <v>1</v>
      </c>
      <c r="E195" s="283">
        <v>3105.4375455373684</v>
      </c>
      <c r="F195" s="283">
        <v>3105.4375455373684</v>
      </c>
      <c r="G195" s="284">
        <v>4.4550332881656922E-4</v>
      </c>
      <c r="H195" s="284">
        <f t="shared" si="2"/>
        <v>0.98213595227829786</v>
      </c>
      <c r="J195" s="419"/>
    </row>
    <row r="196" spans="1:10" x14ac:dyDescent="0.2">
      <c r="A196" s="279">
        <v>0</v>
      </c>
      <c r="B196" s="280" t="s">
        <v>829</v>
      </c>
      <c r="C196" s="281" t="s">
        <v>142</v>
      </c>
      <c r="D196" s="282">
        <v>2</v>
      </c>
      <c r="E196" s="283">
        <v>1533.99</v>
      </c>
      <c r="F196" s="283">
        <v>3067.98</v>
      </c>
      <c r="G196" s="284">
        <v>4.4012970240113019E-4</v>
      </c>
      <c r="H196" s="284">
        <f t="shared" si="2"/>
        <v>0.98257608198069901</v>
      </c>
      <c r="J196" s="419"/>
    </row>
    <row r="197" spans="1:10" x14ac:dyDescent="0.2">
      <c r="A197" s="279">
        <v>0</v>
      </c>
      <c r="B197" s="280" t="s">
        <v>586</v>
      </c>
      <c r="C197" s="281" t="s">
        <v>170</v>
      </c>
      <c r="D197" s="282">
        <v>1</v>
      </c>
      <c r="E197" s="283">
        <v>2967</v>
      </c>
      <c r="F197" s="283">
        <v>2967</v>
      </c>
      <c r="G197" s="284">
        <v>4.256432007458175E-4</v>
      </c>
      <c r="H197" s="284">
        <f t="shared" si="2"/>
        <v>0.9830017251814448</v>
      </c>
      <c r="J197" s="419"/>
    </row>
    <row r="198" spans="1:10" x14ac:dyDescent="0.2">
      <c r="A198" s="279">
        <v>0</v>
      </c>
      <c r="B198" s="280" t="s">
        <v>573</v>
      </c>
      <c r="C198" s="281" t="s">
        <v>170</v>
      </c>
      <c r="D198" s="282">
        <v>1</v>
      </c>
      <c r="E198" s="283">
        <v>2967</v>
      </c>
      <c r="F198" s="283">
        <v>2967</v>
      </c>
      <c r="G198" s="284">
        <v>4.256432007458175E-4</v>
      </c>
      <c r="H198" s="284">
        <f t="shared" si="2"/>
        <v>0.98342736838219058</v>
      </c>
      <c r="J198" s="419"/>
    </row>
    <row r="199" spans="1:10" x14ac:dyDescent="0.2">
      <c r="A199" s="279">
        <v>0</v>
      </c>
      <c r="B199" s="280" t="s">
        <v>930</v>
      </c>
      <c r="C199" s="281" t="s">
        <v>260</v>
      </c>
      <c r="D199" s="282">
        <v>22</v>
      </c>
      <c r="E199" s="283">
        <v>130</v>
      </c>
      <c r="F199" s="283">
        <v>2860</v>
      </c>
      <c r="G199" s="284">
        <v>4.1029307520493364E-4</v>
      </c>
      <c r="H199" s="284">
        <f t="shared" si="2"/>
        <v>0.98383766145739548</v>
      </c>
      <c r="J199" s="419"/>
    </row>
    <row r="200" spans="1:10" x14ac:dyDescent="0.2">
      <c r="A200" s="279">
        <v>0</v>
      </c>
      <c r="B200" s="280" t="s">
        <v>509</v>
      </c>
      <c r="C200" s="281" t="s">
        <v>142</v>
      </c>
      <c r="D200" s="282">
        <v>1</v>
      </c>
      <c r="E200" s="283">
        <v>2836.4303399999999</v>
      </c>
      <c r="F200" s="283">
        <v>2836.4303399999999</v>
      </c>
      <c r="G200" s="284">
        <v>4.069117925885229E-4</v>
      </c>
      <c r="H200" s="284">
        <f t="shared" si="2"/>
        <v>0.98424457324998404</v>
      </c>
      <c r="J200" s="419"/>
    </row>
    <row r="201" spans="1:10" x14ac:dyDescent="0.2">
      <c r="A201" s="279">
        <v>0</v>
      </c>
      <c r="B201" s="280" t="s">
        <v>1086</v>
      </c>
      <c r="C201" s="281" t="s">
        <v>170</v>
      </c>
      <c r="D201" s="282">
        <v>1</v>
      </c>
      <c r="E201" s="283">
        <v>2835.8299946360062</v>
      </c>
      <c r="F201" s="283">
        <v>2835.8299946360062</v>
      </c>
      <c r="G201" s="284">
        <v>4.0682566757258649E-4</v>
      </c>
      <c r="H201" s="284">
        <f t="shared" si="2"/>
        <v>0.9846513989175566</v>
      </c>
      <c r="J201" s="419"/>
    </row>
    <row r="202" spans="1:10" x14ac:dyDescent="0.2">
      <c r="A202" s="279">
        <v>0</v>
      </c>
      <c r="B202" s="280" t="s">
        <v>1075</v>
      </c>
      <c r="C202" s="281" t="s">
        <v>170</v>
      </c>
      <c r="D202" s="282">
        <v>1</v>
      </c>
      <c r="E202" s="283">
        <v>2835.8299946360062</v>
      </c>
      <c r="F202" s="283">
        <v>2835.8299946360062</v>
      </c>
      <c r="G202" s="284">
        <v>4.0682566757258649E-4</v>
      </c>
      <c r="H202" s="284">
        <f t="shared" ref="H202:H265" si="3">G202+H201</f>
        <v>0.98505822458512915</v>
      </c>
      <c r="J202" s="419"/>
    </row>
    <row r="203" spans="1:10" x14ac:dyDescent="0.2">
      <c r="A203" s="279">
        <v>0</v>
      </c>
      <c r="B203" s="280" t="s">
        <v>826</v>
      </c>
      <c r="C203" s="281" t="s">
        <v>140</v>
      </c>
      <c r="D203" s="282">
        <v>6.2099999999999991</v>
      </c>
      <c r="E203" s="283">
        <v>425.63123993558781</v>
      </c>
      <c r="F203" s="283">
        <v>2643.17</v>
      </c>
      <c r="G203" s="284">
        <v>3.7918683482147708E-4</v>
      </c>
      <c r="H203" s="284">
        <f t="shared" si="3"/>
        <v>0.98543741141995067</v>
      </c>
      <c r="J203" s="419"/>
    </row>
    <row r="204" spans="1:10" x14ac:dyDescent="0.2">
      <c r="A204" s="279">
        <v>0</v>
      </c>
      <c r="B204" s="280" t="s">
        <v>1079</v>
      </c>
      <c r="C204" s="281" t="s">
        <v>170</v>
      </c>
      <c r="D204" s="282">
        <v>1</v>
      </c>
      <c r="E204" s="283">
        <v>2639.2162263076693</v>
      </c>
      <c r="F204" s="283">
        <v>2639.2162263076693</v>
      </c>
      <c r="G204" s="284">
        <v>3.7861962993794882E-4</v>
      </c>
      <c r="H204" s="284">
        <f t="shared" si="3"/>
        <v>0.98581603104988857</v>
      </c>
      <c r="J204" s="419"/>
    </row>
    <row r="205" spans="1:10" x14ac:dyDescent="0.2">
      <c r="A205" s="279">
        <v>0</v>
      </c>
      <c r="B205" s="280" t="s">
        <v>1107</v>
      </c>
      <c r="C205" s="281" t="s">
        <v>158</v>
      </c>
      <c r="D205" s="282">
        <v>148.28</v>
      </c>
      <c r="E205" s="283">
        <v>17.608499999999999</v>
      </c>
      <c r="F205" s="283">
        <v>2610.9883799999998</v>
      </c>
      <c r="G205" s="284">
        <v>3.7457008802606562E-4</v>
      </c>
      <c r="H205" s="284">
        <f t="shared" si="3"/>
        <v>0.98619060113791468</v>
      </c>
      <c r="J205" s="419"/>
    </row>
    <row r="206" spans="1:10" x14ac:dyDescent="0.2">
      <c r="A206" s="279">
        <v>0</v>
      </c>
      <c r="B206" s="280" t="s">
        <v>405</v>
      </c>
      <c r="C206" s="281" t="s">
        <v>170</v>
      </c>
      <c r="D206" s="282">
        <v>1</v>
      </c>
      <c r="E206" s="283">
        <v>2588.5732803442297</v>
      </c>
      <c r="F206" s="283">
        <v>2588.5732803442297</v>
      </c>
      <c r="G206" s="284">
        <v>3.7135443761739746E-4</v>
      </c>
      <c r="H206" s="284">
        <f t="shared" si="3"/>
        <v>0.98656195557553206</v>
      </c>
      <c r="J206" s="419"/>
    </row>
    <row r="207" spans="1:10" x14ac:dyDescent="0.2">
      <c r="A207" s="279">
        <v>0</v>
      </c>
      <c r="B207" s="280" t="s">
        <v>1001</v>
      </c>
      <c r="C207" s="281" t="s">
        <v>170</v>
      </c>
      <c r="D207" s="282">
        <v>1</v>
      </c>
      <c r="E207" s="283">
        <v>2584.1691751591188</v>
      </c>
      <c r="F207" s="283">
        <v>2584.1691751591188</v>
      </c>
      <c r="G207" s="284">
        <v>3.7072262857546558E-4</v>
      </c>
      <c r="H207" s="284">
        <f t="shared" si="3"/>
        <v>0.98693267820410757</v>
      </c>
      <c r="J207" s="419"/>
    </row>
    <row r="208" spans="1:10" x14ac:dyDescent="0.2">
      <c r="A208" s="279">
        <v>0</v>
      </c>
      <c r="B208" s="280" t="s">
        <v>580</v>
      </c>
      <c r="C208" s="281" t="s">
        <v>170</v>
      </c>
      <c r="D208" s="282">
        <v>1</v>
      </c>
      <c r="E208" s="283">
        <v>2528.2336255662462</v>
      </c>
      <c r="F208" s="283">
        <v>2528.2336255662462</v>
      </c>
      <c r="G208" s="284">
        <v>3.6269816401052234E-4</v>
      </c>
      <c r="H208" s="284">
        <f t="shared" si="3"/>
        <v>0.98729537636811815</v>
      </c>
      <c r="J208" s="419"/>
    </row>
    <row r="209" spans="1:10" x14ac:dyDescent="0.2">
      <c r="A209" s="279">
        <v>0</v>
      </c>
      <c r="B209" s="280" t="s">
        <v>938</v>
      </c>
      <c r="C209" s="281" t="s">
        <v>260</v>
      </c>
      <c r="D209" s="282">
        <v>8</v>
      </c>
      <c r="E209" s="283">
        <v>301.94215024203669</v>
      </c>
      <c r="F209" s="283">
        <v>2415.5372019362935</v>
      </c>
      <c r="G209" s="284">
        <v>3.4653083456446246E-4</v>
      </c>
      <c r="H209" s="284">
        <f t="shared" si="3"/>
        <v>0.98764190720268263</v>
      </c>
      <c r="J209" s="419"/>
    </row>
    <row r="210" spans="1:10" x14ac:dyDescent="0.2">
      <c r="A210" s="279">
        <v>0</v>
      </c>
      <c r="B210" s="280" t="s">
        <v>615</v>
      </c>
      <c r="C210" s="281" t="s">
        <v>140</v>
      </c>
      <c r="D210" s="282">
        <v>1457.1850000000002</v>
      </c>
      <c r="E210" s="283">
        <v>1.6575200000000001</v>
      </c>
      <c r="F210" s="283">
        <v>2415.3132812000003</v>
      </c>
      <c r="G210" s="284">
        <v>3.4649871109331004E-4</v>
      </c>
      <c r="H210" s="284">
        <f t="shared" si="3"/>
        <v>0.9879884059137759</v>
      </c>
      <c r="J210" s="419"/>
    </row>
    <row r="211" spans="1:10" x14ac:dyDescent="0.2">
      <c r="A211" s="279">
        <v>0</v>
      </c>
      <c r="B211" s="280" t="s">
        <v>428</v>
      </c>
      <c r="C211" s="281" t="s">
        <v>170</v>
      </c>
      <c r="D211" s="282">
        <v>1</v>
      </c>
      <c r="E211" s="283">
        <v>2332.5602176638477</v>
      </c>
      <c r="F211" s="283">
        <v>2332.5602176638477</v>
      </c>
      <c r="G211" s="284">
        <v>3.3462702965244385E-4</v>
      </c>
      <c r="H211" s="284">
        <f t="shared" si="3"/>
        <v>0.98832303294342838</v>
      </c>
      <c r="J211" s="419"/>
    </row>
    <row r="212" spans="1:10" x14ac:dyDescent="0.2">
      <c r="A212" s="279">
        <v>0</v>
      </c>
      <c r="B212" s="280" t="s">
        <v>1087</v>
      </c>
      <c r="C212" s="281" t="s">
        <v>170</v>
      </c>
      <c r="D212" s="282">
        <v>1</v>
      </c>
      <c r="E212" s="283">
        <v>2329.0781591530267</v>
      </c>
      <c r="F212" s="283">
        <v>2329.0781591530267</v>
      </c>
      <c r="G212" s="284">
        <v>3.34127496612427E-4</v>
      </c>
      <c r="H212" s="284">
        <f t="shared" si="3"/>
        <v>0.98865716044004082</v>
      </c>
      <c r="J212" s="419"/>
    </row>
    <row r="213" spans="1:10" x14ac:dyDescent="0.2">
      <c r="A213" s="279">
        <v>0</v>
      </c>
      <c r="B213" s="280" t="s">
        <v>1073</v>
      </c>
      <c r="C213" s="281" t="s">
        <v>170</v>
      </c>
      <c r="D213" s="282">
        <v>1</v>
      </c>
      <c r="E213" s="283">
        <v>2329.0781591530267</v>
      </c>
      <c r="F213" s="283">
        <v>2329.0781591530267</v>
      </c>
      <c r="G213" s="284">
        <v>3.34127496612427E-4</v>
      </c>
      <c r="H213" s="284">
        <f t="shared" si="3"/>
        <v>0.98899128793665325</v>
      </c>
      <c r="J213" s="419"/>
    </row>
    <row r="214" spans="1:10" x14ac:dyDescent="0.2">
      <c r="A214" s="279">
        <v>0</v>
      </c>
      <c r="B214" s="280" t="s">
        <v>212</v>
      </c>
      <c r="C214" s="281" t="s">
        <v>142</v>
      </c>
      <c r="D214" s="282">
        <v>1361</v>
      </c>
      <c r="E214" s="283">
        <v>1.7000000000000002</v>
      </c>
      <c r="F214" s="283">
        <v>2313.7000000000003</v>
      </c>
      <c r="G214" s="284">
        <v>3.3192135947610318E-4</v>
      </c>
      <c r="H214" s="284">
        <f t="shared" si="3"/>
        <v>0.98932320929612938</v>
      </c>
      <c r="J214" s="419"/>
    </row>
    <row r="215" spans="1:10" x14ac:dyDescent="0.2">
      <c r="A215" s="279">
        <v>0</v>
      </c>
      <c r="B215" s="280" t="s">
        <v>517</v>
      </c>
      <c r="C215" s="281" t="s">
        <v>140</v>
      </c>
      <c r="D215" s="282">
        <v>1624.8700000000001</v>
      </c>
      <c r="E215" s="283">
        <v>1.4159999999999999</v>
      </c>
      <c r="F215" s="283">
        <v>2300.81592</v>
      </c>
      <c r="G215" s="284">
        <v>3.3007302073331069E-4</v>
      </c>
      <c r="H215" s="284">
        <f t="shared" si="3"/>
        <v>0.98965328231686267</v>
      </c>
      <c r="J215" s="419"/>
    </row>
    <row r="216" spans="1:10" x14ac:dyDescent="0.2">
      <c r="A216" s="279">
        <v>0</v>
      </c>
      <c r="B216" s="280" t="s">
        <v>1134</v>
      </c>
      <c r="C216" s="281" t="s">
        <v>159</v>
      </c>
      <c r="D216" s="282">
        <v>343.2</v>
      </c>
      <c r="E216" s="283">
        <v>6.6564399999999999</v>
      </c>
      <c r="F216" s="283">
        <v>2284.4902079999997</v>
      </c>
      <c r="G216" s="284">
        <v>3.2773094850205536E-4</v>
      </c>
      <c r="H216" s="284">
        <f t="shared" si="3"/>
        <v>0.9899810132653647</v>
      </c>
      <c r="J216" s="419"/>
    </row>
    <row r="217" spans="1:10" x14ac:dyDescent="0.2">
      <c r="A217" s="279">
        <v>0</v>
      </c>
      <c r="B217" s="280" t="s">
        <v>381</v>
      </c>
      <c r="C217" s="281" t="s">
        <v>170</v>
      </c>
      <c r="D217" s="282">
        <v>1</v>
      </c>
      <c r="E217" s="283">
        <v>2250</v>
      </c>
      <c r="F217" s="283">
        <v>2250</v>
      </c>
      <c r="G217" s="284">
        <v>3.2278301371017507E-4</v>
      </c>
      <c r="H217" s="284">
        <f t="shared" si="3"/>
        <v>0.99030379627907483</v>
      </c>
      <c r="J217" s="419"/>
    </row>
    <row r="218" spans="1:10" x14ac:dyDescent="0.2">
      <c r="A218" s="279">
        <v>0</v>
      </c>
      <c r="B218" s="280" t="s">
        <v>475</v>
      </c>
      <c r="C218" s="281" t="s">
        <v>140</v>
      </c>
      <c r="D218" s="282">
        <v>484.89</v>
      </c>
      <c r="E218" s="283">
        <v>4.5</v>
      </c>
      <c r="F218" s="283">
        <v>2182.0050000000001</v>
      </c>
      <c r="G218" s="284">
        <v>3.1302851103585358E-4</v>
      </c>
      <c r="H218" s="284">
        <f t="shared" si="3"/>
        <v>0.99061682479011071</v>
      </c>
      <c r="J218" s="419"/>
    </row>
    <row r="219" spans="1:10" x14ac:dyDescent="0.2">
      <c r="A219" s="279">
        <v>0</v>
      </c>
      <c r="B219" s="280" t="s">
        <v>985</v>
      </c>
      <c r="C219" s="281" t="s">
        <v>170</v>
      </c>
      <c r="D219" s="282">
        <v>1</v>
      </c>
      <c r="E219" s="283">
        <v>2178.3892956761529</v>
      </c>
      <c r="F219" s="283">
        <v>2178.3892956761529</v>
      </c>
      <c r="G219" s="284">
        <v>3.1250980528548189E-4</v>
      </c>
      <c r="H219" s="284">
        <f t="shared" si="3"/>
        <v>0.99092933459539623</v>
      </c>
      <c r="J219" s="419"/>
    </row>
    <row r="220" spans="1:10" x14ac:dyDescent="0.2">
      <c r="A220" s="279">
        <v>0</v>
      </c>
      <c r="B220" s="280" t="s">
        <v>588</v>
      </c>
      <c r="C220" s="281" t="s">
        <v>170</v>
      </c>
      <c r="D220" s="282">
        <v>1</v>
      </c>
      <c r="E220" s="283">
        <v>2111.2724197693183</v>
      </c>
      <c r="F220" s="283">
        <v>2111.2724197693183</v>
      </c>
      <c r="G220" s="284">
        <v>3.0288127751836193E-4</v>
      </c>
      <c r="H220" s="284">
        <f t="shared" si="3"/>
        <v>0.99123221587291455</v>
      </c>
      <c r="J220" s="419"/>
    </row>
    <row r="221" spans="1:10" x14ac:dyDescent="0.2">
      <c r="A221" s="279">
        <v>0</v>
      </c>
      <c r="B221" s="280" t="s">
        <v>527</v>
      </c>
      <c r="C221" s="281" t="s">
        <v>142</v>
      </c>
      <c r="D221" s="282">
        <v>1</v>
      </c>
      <c r="E221" s="283">
        <v>2050</v>
      </c>
      <c r="F221" s="283">
        <v>2050</v>
      </c>
      <c r="G221" s="284">
        <v>2.9409119026927062E-4</v>
      </c>
      <c r="H221" s="284">
        <f t="shared" si="3"/>
        <v>0.99152630706318379</v>
      </c>
      <c r="J221" s="419"/>
    </row>
    <row r="222" spans="1:10" x14ac:dyDescent="0.2">
      <c r="A222" s="279">
        <v>0</v>
      </c>
      <c r="B222" s="280" t="s">
        <v>429</v>
      </c>
      <c r="C222" s="281" t="s">
        <v>170</v>
      </c>
      <c r="D222" s="282">
        <v>1</v>
      </c>
      <c r="E222" s="283">
        <v>2043.1499684351852</v>
      </c>
      <c r="F222" s="283">
        <v>2043.1499684351852</v>
      </c>
      <c r="G222" s="284">
        <v>2.9310849078815918E-4</v>
      </c>
      <c r="H222" s="284">
        <f t="shared" si="3"/>
        <v>0.99181941555397191</v>
      </c>
      <c r="J222" s="419"/>
    </row>
    <row r="223" spans="1:10" x14ac:dyDescent="0.2">
      <c r="A223" s="279">
        <v>0</v>
      </c>
      <c r="B223" s="280" t="s">
        <v>744</v>
      </c>
      <c r="C223" s="281" t="s">
        <v>140</v>
      </c>
      <c r="D223" s="282">
        <v>217.21999999999997</v>
      </c>
      <c r="E223" s="283">
        <v>9.3120000000000012</v>
      </c>
      <c r="F223" s="283">
        <v>2022.7526399999999</v>
      </c>
      <c r="G223" s="284">
        <v>2.9018230805751677E-4</v>
      </c>
      <c r="H223" s="284">
        <f t="shared" si="3"/>
        <v>0.99210959786202946</v>
      </c>
      <c r="J223" s="419"/>
    </row>
    <row r="224" spans="1:10" x14ac:dyDescent="0.2">
      <c r="A224" s="279">
        <v>0</v>
      </c>
      <c r="B224" s="280" t="s">
        <v>583</v>
      </c>
      <c r="C224" s="281" t="s">
        <v>170</v>
      </c>
      <c r="D224" s="282">
        <v>1</v>
      </c>
      <c r="E224" s="283">
        <v>2000</v>
      </c>
      <c r="F224" s="283">
        <v>2000</v>
      </c>
      <c r="G224" s="284">
        <v>2.8691823440904447E-4</v>
      </c>
      <c r="H224" s="284">
        <f t="shared" si="3"/>
        <v>0.99239651609643853</v>
      </c>
      <c r="J224" s="419"/>
    </row>
    <row r="225" spans="1:10" x14ac:dyDescent="0.2">
      <c r="A225" s="279">
        <v>0</v>
      </c>
      <c r="B225" s="280" t="s">
        <v>1177</v>
      </c>
      <c r="C225" s="281" t="s">
        <v>140</v>
      </c>
      <c r="D225" s="282">
        <v>44.08</v>
      </c>
      <c r="E225" s="283">
        <v>44.956704738697304</v>
      </c>
      <c r="F225" s="283">
        <v>1981.6915448817772</v>
      </c>
      <c r="G225" s="284">
        <v>2.8429171960040562E-4</v>
      </c>
      <c r="H225" s="284">
        <f t="shared" si="3"/>
        <v>0.99268080781603896</v>
      </c>
      <c r="J225" s="419"/>
    </row>
    <row r="226" spans="1:10" x14ac:dyDescent="0.2">
      <c r="A226" s="279">
        <v>0</v>
      </c>
      <c r="B226" s="280" t="s">
        <v>1074</v>
      </c>
      <c r="C226" s="281" t="s">
        <v>170</v>
      </c>
      <c r="D226" s="282">
        <v>1</v>
      </c>
      <c r="E226" s="283">
        <v>1890.5533297573372</v>
      </c>
      <c r="F226" s="283">
        <v>1890.5533297573372</v>
      </c>
      <c r="G226" s="284">
        <v>2.7121711171505764E-4</v>
      </c>
      <c r="H226" s="284">
        <f t="shared" si="3"/>
        <v>0.99295202492775403</v>
      </c>
      <c r="J226" s="419"/>
    </row>
    <row r="227" spans="1:10" x14ac:dyDescent="0.2">
      <c r="A227" s="279">
        <v>0</v>
      </c>
      <c r="B227" s="280" t="s">
        <v>995</v>
      </c>
      <c r="C227" s="281" t="s">
        <v>170</v>
      </c>
      <c r="D227" s="282">
        <v>1</v>
      </c>
      <c r="E227" s="283">
        <v>1890.0901252411704</v>
      </c>
      <c r="F227" s="283">
        <v>1890.0901252411704</v>
      </c>
      <c r="G227" s="284">
        <v>2.7115066080408322E-4</v>
      </c>
      <c r="H227" s="284">
        <f t="shared" si="3"/>
        <v>0.9932231755885581</v>
      </c>
      <c r="J227" s="419"/>
    </row>
    <row r="228" spans="1:10" x14ac:dyDescent="0.2">
      <c r="A228" s="279">
        <v>0</v>
      </c>
      <c r="B228" s="280" t="s">
        <v>515</v>
      </c>
      <c r="C228" s="281" t="s">
        <v>142</v>
      </c>
      <c r="D228" s="282">
        <v>1090</v>
      </c>
      <c r="E228" s="283">
        <v>1.7000000000000002</v>
      </c>
      <c r="F228" s="283">
        <v>1853.0000000000002</v>
      </c>
      <c r="G228" s="284">
        <v>2.6582974417997977E-4</v>
      </c>
      <c r="H228" s="284">
        <f t="shared" si="3"/>
        <v>0.9934890053327381</v>
      </c>
      <c r="J228" s="419"/>
    </row>
    <row r="229" spans="1:10" x14ac:dyDescent="0.2">
      <c r="A229" s="279">
        <v>0</v>
      </c>
      <c r="B229" s="280" t="s">
        <v>929</v>
      </c>
      <c r="C229" s="281" t="s">
        <v>260</v>
      </c>
      <c r="D229" s="282">
        <v>22</v>
      </c>
      <c r="E229" s="283">
        <v>84</v>
      </c>
      <c r="F229" s="283">
        <v>1848</v>
      </c>
      <c r="G229" s="284">
        <v>2.6511244859395714E-4</v>
      </c>
      <c r="H229" s="284">
        <f t="shared" si="3"/>
        <v>0.99375411778133205</v>
      </c>
      <c r="J229" s="419"/>
    </row>
    <row r="230" spans="1:10" x14ac:dyDescent="0.2">
      <c r="A230" s="279">
        <v>0</v>
      </c>
      <c r="B230" s="280" t="s">
        <v>1119</v>
      </c>
      <c r="C230" s="281" t="s">
        <v>158</v>
      </c>
      <c r="D230" s="282">
        <v>76.150000000000006</v>
      </c>
      <c r="E230" s="283">
        <v>22.711500000000001</v>
      </c>
      <c r="F230" s="283">
        <v>1729.4807250000001</v>
      </c>
      <c r="G230" s="284">
        <v>2.4810977803073711E-4</v>
      </c>
      <c r="H230" s="284">
        <f t="shared" si="3"/>
        <v>0.99400222755936274</v>
      </c>
      <c r="J230" s="419"/>
    </row>
    <row r="231" spans="1:10" x14ac:dyDescent="0.2">
      <c r="A231" s="279">
        <v>0</v>
      </c>
      <c r="B231" s="280" t="s">
        <v>932</v>
      </c>
      <c r="C231" s="281" t="s">
        <v>260</v>
      </c>
      <c r="D231" s="282">
        <v>22</v>
      </c>
      <c r="E231" s="283">
        <v>78</v>
      </c>
      <c r="F231" s="283">
        <v>1716</v>
      </c>
      <c r="G231" s="284">
        <v>2.4617584512296017E-4</v>
      </c>
      <c r="H231" s="284">
        <f t="shared" si="3"/>
        <v>0.99424840340448573</v>
      </c>
      <c r="J231" s="419"/>
    </row>
    <row r="232" spans="1:10" x14ac:dyDescent="0.2">
      <c r="A232" s="279">
        <v>0</v>
      </c>
      <c r="B232" s="280" t="s">
        <v>607</v>
      </c>
      <c r="C232" s="281" t="s">
        <v>159</v>
      </c>
      <c r="D232" s="282">
        <v>229</v>
      </c>
      <c r="E232" s="283">
        <v>7.0718999999999994</v>
      </c>
      <c r="F232" s="283">
        <v>1619.4650999999999</v>
      </c>
      <c r="G232" s="284">
        <v>2.3232703358953334E-4</v>
      </c>
      <c r="H232" s="284">
        <f t="shared" si="3"/>
        <v>0.99448073043807528</v>
      </c>
      <c r="J232" s="419"/>
    </row>
    <row r="233" spans="1:10" x14ac:dyDescent="0.2">
      <c r="A233" s="279">
        <v>0</v>
      </c>
      <c r="B233" s="280" t="s">
        <v>430</v>
      </c>
      <c r="C233" s="281" t="s">
        <v>140</v>
      </c>
      <c r="D233" s="282">
        <v>1</v>
      </c>
      <c r="E233" s="283">
        <v>1615</v>
      </c>
      <c r="F233" s="283">
        <v>1615</v>
      </c>
      <c r="G233" s="284">
        <v>2.3168647428530343E-4</v>
      </c>
      <c r="H233" s="284">
        <f t="shared" si="3"/>
        <v>0.99471241691236056</v>
      </c>
      <c r="J233" s="419"/>
    </row>
    <row r="234" spans="1:10" x14ac:dyDescent="0.2">
      <c r="A234" s="279">
        <v>0</v>
      </c>
      <c r="B234" s="280" t="s">
        <v>999</v>
      </c>
      <c r="C234" s="281" t="s">
        <v>170</v>
      </c>
      <c r="D234" s="282">
        <v>1</v>
      </c>
      <c r="E234" s="283">
        <v>1560.4485511253404</v>
      </c>
      <c r="F234" s="283">
        <v>1560.4485511253404</v>
      </c>
      <c r="G234" s="284">
        <v>2.2386057158751713E-4</v>
      </c>
      <c r="H234" s="284">
        <f t="shared" si="3"/>
        <v>0.99493627748394808</v>
      </c>
      <c r="J234" s="419"/>
    </row>
    <row r="235" spans="1:10" x14ac:dyDescent="0.2">
      <c r="A235" s="279">
        <v>0</v>
      </c>
      <c r="B235" s="280" t="s">
        <v>1072</v>
      </c>
      <c r="C235" s="281" t="s">
        <v>170</v>
      </c>
      <c r="D235" s="282">
        <v>1</v>
      </c>
      <c r="E235" s="283">
        <v>1552.7187727686842</v>
      </c>
      <c r="F235" s="283">
        <v>1552.7187727686842</v>
      </c>
      <c r="G235" s="284">
        <v>2.2275166440828461E-4</v>
      </c>
      <c r="H235" s="284">
        <f t="shared" si="3"/>
        <v>0.99515902914835641</v>
      </c>
      <c r="J235" s="419"/>
    </row>
    <row r="236" spans="1:10" x14ac:dyDescent="0.2">
      <c r="A236" s="279">
        <v>0</v>
      </c>
      <c r="B236" s="280" t="s">
        <v>1176</v>
      </c>
      <c r="C236" s="281" t="s">
        <v>140</v>
      </c>
      <c r="D236" s="282">
        <v>30.3</v>
      </c>
      <c r="E236" s="283">
        <v>49.227359999999997</v>
      </c>
      <c r="F236" s="283">
        <v>1491.5890079999999</v>
      </c>
      <c r="G236" s="284">
        <v>2.1398204231964907E-4</v>
      </c>
      <c r="H236" s="284">
        <f t="shared" si="3"/>
        <v>0.995373011190676</v>
      </c>
      <c r="J236" s="419"/>
    </row>
    <row r="237" spans="1:10" x14ac:dyDescent="0.2">
      <c r="A237" s="279">
        <v>0</v>
      </c>
      <c r="B237" s="280" t="s">
        <v>1188</v>
      </c>
      <c r="C237" s="281" t="s">
        <v>158</v>
      </c>
      <c r="D237" s="282">
        <v>24.05</v>
      </c>
      <c r="E237" s="283">
        <v>60</v>
      </c>
      <c r="F237" s="283">
        <v>1443</v>
      </c>
      <c r="G237" s="284">
        <v>2.070115061261256E-4</v>
      </c>
      <c r="H237" s="284">
        <f t="shared" si="3"/>
        <v>0.99558002269680212</v>
      </c>
      <c r="J237" s="419"/>
    </row>
    <row r="238" spans="1:10" x14ac:dyDescent="0.2">
      <c r="A238" s="279">
        <v>0</v>
      </c>
      <c r="B238" s="280" t="s">
        <v>497</v>
      </c>
      <c r="C238" s="281" t="s">
        <v>158</v>
      </c>
      <c r="D238" s="282">
        <v>135.95999999999998</v>
      </c>
      <c r="E238" s="283">
        <v>10.5</v>
      </c>
      <c r="F238" s="283">
        <v>1427.5799999999997</v>
      </c>
      <c r="G238" s="284">
        <v>2.0479936653883184E-4</v>
      </c>
      <c r="H238" s="284">
        <f t="shared" si="3"/>
        <v>0.99578482206334096</v>
      </c>
      <c r="J238" s="419"/>
    </row>
    <row r="239" spans="1:10" x14ac:dyDescent="0.2">
      <c r="A239" s="279">
        <v>0</v>
      </c>
      <c r="B239" s="280" t="s">
        <v>135</v>
      </c>
      <c r="C239" s="281" t="s">
        <v>170</v>
      </c>
      <c r="D239" s="282">
        <v>1</v>
      </c>
      <c r="E239" s="283">
        <v>1400</v>
      </c>
      <c r="F239" s="283">
        <v>1400</v>
      </c>
      <c r="G239" s="284">
        <v>2.0084276408633114E-4</v>
      </c>
      <c r="H239" s="284">
        <f t="shared" si="3"/>
        <v>0.99598566482742734</v>
      </c>
      <c r="J239" s="419"/>
    </row>
    <row r="240" spans="1:10" x14ac:dyDescent="0.2">
      <c r="A240" s="279">
        <v>0</v>
      </c>
      <c r="B240" s="280" t="s">
        <v>763</v>
      </c>
      <c r="C240" s="281" t="s">
        <v>140</v>
      </c>
      <c r="D240" s="282">
        <v>12.677</v>
      </c>
      <c r="E240" s="283">
        <v>110.37020000000001</v>
      </c>
      <c r="F240" s="283">
        <v>1399.1630254000002</v>
      </c>
      <c r="G240" s="284">
        <v>2.0072269244909255E-4</v>
      </c>
      <c r="H240" s="284">
        <f t="shared" si="3"/>
        <v>0.99618638751987643</v>
      </c>
      <c r="J240" s="419"/>
    </row>
    <row r="241" spans="1:10" x14ac:dyDescent="0.2">
      <c r="A241" s="279">
        <v>0</v>
      </c>
      <c r="B241" s="280" t="s">
        <v>419</v>
      </c>
      <c r="C241" s="281" t="s">
        <v>158</v>
      </c>
      <c r="D241" s="282">
        <v>98.805499999999995</v>
      </c>
      <c r="E241" s="283">
        <v>13.68</v>
      </c>
      <c r="F241" s="283">
        <v>1351.65924</v>
      </c>
      <c r="G241" s="284">
        <v>1.9390784133173545E-4</v>
      </c>
      <c r="H241" s="284">
        <f t="shared" si="3"/>
        <v>0.9963802953612082</v>
      </c>
      <c r="J241" s="419"/>
    </row>
    <row r="242" spans="1:10" x14ac:dyDescent="0.2">
      <c r="A242" s="279">
        <v>0</v>
      </c>
      <c r="B242" s="280" t="s">
        <v>1004</v>
      </c>
      <c r="C242" s="281" t="s">
        <v>170</v>
      </c>
      <c r="D242" s="282">
        <v>1</v>
      </c>
      <c r="E242" s="283">
        <v>1281.602439420742</v>
      </c>
      <c r="F242" s="283">
        <v>1281.602439420742</v>
      </c>
      <c r="G242" s="284">
        <v>1.8385755456646184E-4</v>
      </c>
      <c r="H242" s="284">
        <f t="shared" si="3"/>
        <v>0.99656415291577471</v>
      </c>
      <c r="J242" s="419"/>
    </row>
    <row r="243" spans="1:10" x14ac:dyDescent="0.2">
      <c r="A243" s="279">
        <v>0</v>
      </c>
      <c r="B243" s="280" t="s">
        <v>486</v>
      </c>
      <c r="C243" s="281" t="s">
        <v>140</v>
      </c>
      <c r="D243" s="282">
        <v>313.44</v>
      </c>
      <c r="E243" s="283">
        <v>4.0495000000000001</v>
      </c>
      <c r="F243" s="283">
        <v>1269.2752800000001</v>
      </c>
      <c r="G243" s="284">
        <v>1.8208911115832281E-4</v>
      </c>
      <c r="H243" s="284">
        <f t="shared" si="3"/>
        <v>0.99674624202693307</v>
      </c>
      <c r="J243" s="419"/>
    </row>
    <row r="244" spans="1:10" x14ac:dyDescent="0.2">
      <c r="A244" s="279">
        <v>0</v>
      </c>
      <c r="B244" s="280" t="s">
        <v>482</v>
      </c>
      <c r="C244" s="281" t="s">
        <v>140</v>
      </c>
      <c r="D244" s="282">
        <v>311.82</v>
      </c>
      <c r="E244" s="283">
        <v>4.0495000000000001</v>
      </c>
      <c r="F244" s="283">
        <v>1262.7150899999999</v>
      </c>
      <c r="G244" s="284">
        <v>1.8114799209222884E-4</v>
      </c>
      <c r="H244" s="284">
        <f t="shared" si="3"/>
        <v>0.99692739001902531</v>
      </c>
      <c r="J244" s="419"/>
    </row>
    <row r="245" spans="1:10" x14ac:dyDescent="0.2">
      <c r="A245" s="279">
        <v>0</v>
      </c>
      <c r="B245" s="280" t="s">
        <v>743</v>
      </c>
      <c r="C245" s="281" t="s">
        <v>140</v>
      </c>
      <c r="D245" s="282">
        <v>217.21999999999997</v>
      </c>
      <c r="E245" s="283">
        <v>5.5020000000000007</v>
      </c>
      <c r="F245" s="283">
        <v>1195.14444</v>
      </c>
      <c r="G245" s="284">
        <v>1.714543662942931E-4</v>
      </c>
      <c r="H245" s="284">
        <f t="shared" si="3"/>
        <v>0.99709884438531959</v>
      </c>
      <c r="J245" s="419"/>
    </row>
    <row r="246" spans="1:10" x14ac:dyDescent="0.2">
      <c r="A246" s="279">
        <v>0</v>
      </c>
      <c r="B246" s="280" t="s">
        <v>1153</v>
      </c>
      <c r="C246" s="281" t="s">
        <v>142</v>
      </c>
      <c r="D246" s="282">
        <v>105</v>
      </c>
      <c r="E246" s="283">
        <v>11.254</v>
      </c>
      <c r="F246" s="283">
        <v>1181.6699999999998</v>
      </c>
      <c r="G246" s="284">
        <v>1.6952133502706778E-4</v>
      </c>
      <c r="H246" s="284">
        <f t="shared" si="3"/>
        <v>0.99726836572034672</v>
      </c>
      <c r="J246" s="419"/>
    </row>
    <row r="247" spans="1:10" x14ac:dyDescent="0.2">
      <c r="A247" s="279">
        <v>0</v>
      </c>
      <c r="B247" s="280" t="s">
        <v>854</v>
      </c>
      <c r="C247" s="281" t="s">
        <v>142</v>
      </c>
      <c r="D247" s="282">
        <v>2</v>
      </c>
      <c r="E247" s="283">
        <v>568.67599999999993</v>
      </c>
      <c r="F247" s="283">
        <v>1137.3519999999999</v>
      </c>
      <c r="G247" s="284">
        <v>1.6316351387079777E-4</v>
      </c>
      <c r="H247" s="284">
        <f t="shared" si="3"/>
        <v>0.99743152923421752</v>
      </c>
      <c r="J247" s="419"/>
    </row>
    <row r="248" spans="1:10" x14ac:dyDescent="0.2">
      <c r="A248" s="279">
        <v>0</v>
      </c>
      <c r="B248" s="280" t="s">
        <v>733</v>
      </c>
      <c r="C248" s="281" t="s">
        <v>158</v>
      </c>
      <c r="D248" s="282">
        <v>13.14</v>
      </c>
      <c r="E248" s="283">
        <v>83.875999999999976</v>
      </c>
      <c r="F248" s="283">
        <v>1102.1306399999996</v>
      </c>
      <c r="G248" s="284">
        <v>1.5811068865845507E-4</v>
      </c>
      <c r="H248" s="284">
        <f t="shared" si="3"/>
        <v>0.99758963992287597</v>
      </c>
      <c r="J248" s="419"/>
    </row>
    <row r="249" spans="1:10" x14ac:dyDescent="0.2">
      <c r="A249" s="279">
        <v>0</v>
      </c>
      <c r="B249" s="280" t="s">
        <v>758</v>
      </c>
      <c r="C249" s="281" t="s">
        <v>158</v>
      </c>
      <c r="D249" s="282">
        <v>29.195999999999998</v>
      </c>
      <c r="E249" s="283">
        <v>35.081299999999999</v>
      </c>
      <c r="F249" s="283">
        <v>1024.2336347999999</v>
      </c>
      <c r="G249" s="284">
        <v>1.4693565305958701E-4</v>
      </c>
      <c r="H249" s="284">
        <f t="shared" si="3"/>
        <v>0.99773657557593554</v>
      </c>
      <c r="J249" s="419"/>
    </row>
    <row r="250" spans="1:10" x14ac:dyDescent="0.2">
      <c r="A250" s="279">
        <v>0</v>
      </c>
      <c r="B250" s="280" t="s">
        <v>692</v>
      </c>
      <c r="C250" s="281" t="s">
        <v>140</v>
      </c>
      <c r="D250" s="282">
        <v>26.91</v>
      </c>
      <c r="E250" s="283">
        <v>38.055999999999997</v>
      </c>
      <c r="F250" s="283">
        <v>1024.0869599999999</v>
      </c>
      <c r="G250" s="284">
        <v>1.4691461122226288E-4</v>
      </c>
      <c r="H250" s="284">
        <f t="shared" si="3"/>
        <v>0.99788349018715783</v>
      </c>
      <c r="J250" s="419"/>
    </row>
    <row r="251" spans="1:10" x14ac:dyDescent="0.2">
      <c r="A251" s="279">
        <v>0</v>
      </c>
      <c r="B251" s="280" t="s">
        <v>197</v>
      </c>
      <c r="C251" s="281" t="s">
        <v>140</v>
      </c>
      <c r="D251" s="282">
        <v>811.89559999999983</v>
      </c>
      <c r="E251" s="283">
        <v>1.14195</v>
      </c>
      <c r="F251" s="283">
        <v>927.14418041999977</v>
      </c>
      <c r="G251" s="284">
        <v>1.3300728564436348E-4</v>
      </c>
      <c r="H251" s="284">
        <f t="shared" si="3"/>
        <v>0.99801649747280219</v>
      </c>
      <c r="J251" s="419"/>
    </row>
    <row r="252" spans="1:10" x14ac:dyDescent="0.2">
      <c r="A252" s="279">
        <v>0</v>
      </c>
      <c r="B252" s="280" t="s">
        <v>848</v>
      </c>
      <c r="C252" s="281" t="s">
        <v>142</v>
      </c>
      <c r="D252" s="282">
        <v>1</v>
      </c>
      <c r="E252" s="283">
        <v>919.62599999999998</v>
      </c>
      <c r="F252" s="283">
        <v>919.62599999999998</v>
      </c>
      <c r="G252" s="284">
        <v>1.3192873411832599E-4</v>
      </c>
      <c r="H252" s="284">
        <f t="shared" si="3"/>
        <v>0.99814842620692057</v>
      </c>
      <c r="J252" s="419"/>
    </row>
    <row r="253" spans="1:10" x14ac:dyDescent="0.2">
      <c r="A253" s="279">
        <v>0</v>
      </c>
      <c r="B253" s="280" t="s">
        <v>403</v>
      </c>
      <c r="C253" s="281" t="s">
        <v>170</v>
      </c>
      <c r="D253" s="282">
        <v>1</v>
      </c>
      <c r="E253" s="283">
        <v>905.81</v>
      </c>
      <c r="F253" s="283">
        <v>905.81</v>
      </c>
      <c r="G253" s="284">
        <v>1.2994670295502829E-4</v>
      </c>
      <c r="H253" s="284">
        <f t="shared" si="3"/>
        <v>0.99827837290987564</v>
      </c>
      <c r="J253" s="419"/>
    </row>
    <row r="254" spans="1:10" x14ac:dyDescent="0.2">
      <c r="A254" s="279">
        <v>0</v>
      </c>
      <c r="B254" s="280" t="s">
        <v>978</v>
      </c>
      <c r="C254" s="281" t="s">
        <v>170</v>
      </c>
      <c r="D254" s="282">
        <v>1</v>
      </c>
      <c r="E254" s="283">
        <v>779.87220899209137</v>
      </c>
      <c r="F254" s="283">
        <v>779.87220899209137</v>
      </c>
      <c r="G254" s="284">
        <v>1.118797786343461E-4</v>
      </c>
      <c r="H254" s="284">
        <f t="shared" si="3"/>
        <v>0.99839025268851</v>
      </c>
      <c r="J254" s="419"/>
    </row>
    <row r="255" spans="1:10" x14ac:dyDescent="0.2">
      <c r="A255" s="279">
        <v>0</v>
      </c>
      <c r="B255" s="280" t="s">
        <v>1178</v>
      </c>
      <c r="C255" s="281" t="s">
        <v>140</v>
      </c>
      <c r="D255" s="282">
        <v>17.3124</v>
      </c>
      <c r="E255" s="283">
        <v>44.956704738697304</v>
      </c>
      <c r="F255" s="283">
        <v>778.30845511822326</v>
      </c>
      <c r="G255" s="284">
        <v>1.1165544388407583E-4</v>
      </c>
      <c r="H255" s="284">
        <f t="shared" si="3"/>
        <v>0.99850190813239403</v>
      </c>
      <c r="J255" s="419"/>
    </row>
    <row r="256" spans="1:10" x14ac:dyDescent="0.2">
      <c r="A256" s="279">
        <v>0</v>
      </c>
      <c r="B256" s="280" t="s">
        <v>461</v>
      </c>
      <c r="C256" s="281" t="s">
        <v>140</v>
      </c>
      <c r="D256" s="282">
        <v>18.740000000000002</v>
      </c>
      <c r="E256" s="283">
        <v>38.625</v>
      </c>
      <c r="F256" s="283">
        <v>723.8325000000001</v>
      </c>
      <c r="G256" s="284">
        <v>1.0384037145394236E-4</v>
      </c>
      <c r="H256" s="284">
        <f t="shared" si="3"/>
        <v>0.99860574850384798</v>
      </c>
      <c r="J256" s="419"/>
    </row>
    <row r="257" spans="1:10" x14ac:dyDescent="0.2">
      <c r="A257" s="279">
        <v>0</v>
      </c>
      <c r="B257" s="280" t="s">
        <v>1140</v>
      </c>
      <c r="C257" s="281" t="s">
        <v>140</v>
      </c>
      <c r="D257" s="282">
        <v>13.78</v>
      </c>
      <c r="E257" s="283">
        <v>49.227359999999997</v>
      </c>
      <c r="F257" s="283">
        <v>678.35302079999997</v>
      </c>
      <c r="G257" s="284">
        <v>9.7315925516988907E-5</v>
      </c>
      <c r="H257" s="284">
        <f t="shared" si="3"/>
        <v>0.99870306442936496</v>
      </c>
      <c r="J257" s="419"/>
    </row>
    <row r="258" spans="1:10" x14ac:dyDescent="0.2">
      <c r="A258" s="279">
        <v>0</v>
      </c>
      <c r="B258" s="280" t="s">
        <v>1164</v>
      </c>
      <c r="C258" s="281" t="s">
        <v>140</v>
      </c>
      <c r="D258" s="282">
        <v>30.24</v>
      </c>
      <c r="E258" s="283">
        <v>21.975617726721353</v>
      </c>
      <c r="F258" s="283">
        <v>664.54268005605365</v>
      </c>
      <c r="G258" s="284">
        <v>9.5334706225568726E-5</v>
      </c>
      <c r="H258" s="284">
        <f t="shared" si="3"/>
        <v>0.99879839913559054</v>
      </c>
      <c r="J258" s="419"/>
    </row>
    <row r="259" spans="1:10" x14ac:dyDescent="0.2">
      <c r="A259" s="279">
        <v>0</v>
      </c>
      <c r="B259" s="280" t="s">
        <v>1108</v>
      </c>
      <c r="C259" s="281" t="s">
        <v>158</v>
      </c>
      <c r="D259" s="282">
        <v>158.10999999999999</v>
      </c>
      <c r="E259" s="283">
        <v>4.1086499999999999</v>
      </c>
      <c r="F259" s="283">
        <v>649.61865149999994</v>
      </c>
      <c r="G259" s="284">
        <v>9.3193718263782178E-5</v>
      </c>
      <c r="H259" s="284">
        <f t="shared" si="3"/>
        <v>0.99889159285385432</v>
      </c>
      <c r="J259" s="419"/>
    </row>
    <row r="260" spans="1:10" x14ac:dyDescent="0.2">
      <c r="A260" s="279">
        <v>0</v>
      </c>
      <c r="B260" s="280" t="s">
        <v>463</v>
      </c>
      <c r="C260" s="281" t="s">
        <v>140</v>
      </c>
      <c r="D260" s="282">
        <v>18.740000000000002</v>
      </c>
      <c r="E260" s="283">
        <v>32</v>
      </c>
      <c r="F260" s="283">
        <v>599.68000000000006</v>
      </c>
      <c r="G260" s="284">
        <v>8.6029563405207917E-5</v>
      </c>
      <c r="H260" s="284">
        <f t="shared" si="3"/>
        <v>0.99897762241725951</v>
      </c>
      <c r="J260" s="419"/>
    </row>
    <row r="261" spans="1:10" x14ac:dyDescent="0.2">
      <c r="A261" s="279">
        <v>0</v>
      </c>
      <c r="B261" s="280" t="s">
        <v>690</v>
      </c>
      <c r="C261" s="281" t="s">
        <v>140</v>
      </c>
      <c r="D261" s="282">
        <v>19.000000000000004</v>
      </c>
      <c r="E261" s="283">
        <v>29.162700000000001</v>
      </c>
      <c r="F261" s="283">
        <v>554.09130000000016</v>
      </c>
      <c r="G261" s="284">
        <v>7.948944874870612E-5</v>
      </c>
      <c r="H261" s="284">
        <f t="shared" si="3"/>
        <v>0.99905711186600821</v>
      </c>
      <c r="J261" s="419"/>
    </row>
    <row r="262" spans="1:10" x14ac:dyDescent="0.2">
      <c r="A262" s="279">
        <v>0</v>
      </c>
      <c r="B262" s="280" t="s">
        <v>986</v>
      </c>
      <c r="C262" s="281" t="s">
        <v>170</v>
      </c>
      <c r="D262" s="282">
        <v>1</v>
      </c>
      <c r="E262" s="283">
        <v>527.84324526153387</v>
      </c>
      <c r="F262" s="283">
        <v>527.84324526153387</v>
      </c>
      <c r="G262" s="284">
        <v>7.5723925987589768E-5</v>
      </c>
      <c r="H262" s="284">
        <f t="shared" si="3"/>
        <v>0.99913283579199574</v>
      </c>
      <c r="J262" s="419"/>
    </row>
    <row r="263" spans="1:10" x14ac:dyDescent="0.2">
      <c r="A263" s="279">
        <v>0</v>
      </c>
      <c r="B263" s="280" t="s">
        <v>767</v>
      </c>
      <c r="C263" s="281" t="s">
        <v>140</v>
      </c>
      <c r="D263" s="282">
        <v>12.677</v>
      </c>
      <c r="E263" s="283">
        <v>41</v>
      </c>
      <c r="F263" s="283">
        <v>519.75699999999995</v>
      </c>
      <c r="G263" s="284">
        <v>7.4563880380870863E-5</v>
      </c>
      <c r="H263" s="284">
        <f t="shared" si="3"/>
        <v>0.99920739967237659</v>
      </c>
      <c r="J263" s="419"/>
    </row>
    <row r="264" spans="1:10" x14ac:dyDescent="0.2">
      <c r="A264" s="279">
        <v>0</v>
      </c>
      <c r="B264" s="280" t="s">
        <v>858</v>
      </c>
      <c r="C264" s="281" t="s">
        <v>142</v>
      </c>
      <c r="D264" s="282">
        <v>2</v>
      </c>
      <c r="E264" s="283">
        <v>259.63600000000002</v>
      </c>
      <c r="F264" s="283">
        <v>519.27200000000005</v>
      </c>
      <c r="G264" s="284">
        <v>7.4494302709026677E-5</v>
      </c>
      <c r="H264" s="284">
        <f t="shared" si="3"/>
        <v>0.9992818939750856</v>
      </c>
      <c r="J264" s="419"/>
    </row>
    <row r="265" spans="1:10" x14ac:dyDescent="0.2">
      <c r="A265" s="279">
        <v>0</v>
      </c>
      <c r="B265" s="280" t="s">
        <v>855</v>
      </c>
      <c r="C265" s="281" t="s">
        <v>140</v>
      </c>
      <c r="D265" s="282">
        <v>0.72</v>
      </c>
      <c r="E265" s="283">
        <v>638</v>
      </c>
      <c r="F265" s="283">
        <v>459.35999999999996</v>
      </c>
      <c r="G265" s="284">
        <v>6.5899380079069333E-5</v>
      </c>
      <c r="H265" s="284">
        <f t="shared" si="3"/>
        <v>0.99934779335516466</v>
      </c>
      <c r="J265" s="419"/>
    </row>
    <row r="266" spans="1:10" x14ac:dyDescent="0.2">
      <c r="A266" s="279">
        <v>0</v>
      </c>
      <c r="B266" s="280" t="s">
        <v>759</v>
      </c>
      <c r="C266" s="281" t="s">
        <v>158</v>
      </c>
      <c r="D266" s="282">
        <v>19.463999999999999</v>
      </c>
      <c r="E266" s="283">
        <v>22.221299999999999</v>
      </c>
      <c r="F266" s="283">
        <v>432.51538319999997</v>
      </c>
      <c r="G266" s="284">
        <v>6.2048275051247647E-5</v>
      </c>
      <c r="H266" s="284">
        <f t="shared" ref="H266:H286" si="4">G266+H265</f>
        <v>0.99940984163021596</v>
      </c>
      <c r="J266" s="419"/>
    </row>
    <row r="267" spans="1:10" x14ac:dyDescent="0.2">
      <c r="A267" s="279">
        <v>0</v>
      </c>
      <c r="B267" s="280" t="s">
        <v>503</v>
      </c>
      <c r="C267" s="281" t="s">
        <v>158</v>
      </c>
      <c r="D267" s="282">
        <v>468.78</v>
      </c>
      <c r="E267" s="283">
        <v>0.85</v>
      </c>
      <c r="F267" s="283">
        <v>398.46299999999997</v>
      </c>
      <c r="G267" s="284">
        <v>5.7163150218665545E-5</v>
      </c>
      <c r="H267" s="284">
        <f t="shared" si="4"/>
        <v>0.9994670047804346</v>
      </c>
      <c r="J267" s="419"/>
    </row>
    <row r="268" spans="1:10" x14ac:dyDescent="0.2">
      <c r="A268" s="279">
        <v>0</v>
      </c>
      <c r="B268" s="280" t="s">
        <v>1000</v>
      </c>
      <c r="C268" s="281" t="s">
        <v>170</v>
      </c>
      <c r="D268" s="282">
        <v>1</v>
      </c>
      <c r="E268" s="283">
        <v>378.11066595146747</v>
      </c>
      <c r="F268" s="283">
        <v>378.11066595146747</v>
      </c>
      <c r="G268" s="284">
        <v>5.4243422343011532E-5</v>
      </c>
      <c r="H268" s="284">
        <f t="shared" si="4"/>
        <v>0.99952124820277766</v>
      </c>
      <c r="J268" s="419"/>
    </row>
    <row r="269" spans="1:10" x14ac:dyDescent="0.2">
      <c r="A269" s="279">
        <v>0</v>
      </c>
      <c r="B269" s="280" t="s">
        <v>195</v>
      </c>
      <c r="C269" s="281" t="s">
        <v>140</v>
      </c>
      <c r="D269" s="282">
        <v>466.97593999999998</v>
      </c>
      <c r="E269" s="283">
        <v>0.79095000000000004</v>
      </c>
      <c r="F269" s="283">
        <v>369.354619743</v>
      </c>
      <c r="G269" s="284">
        <v>5.2987287683742787E-5</v>
      </c>
      <c r="H269" s="284">
        <f t="shared" si="4"/>
        <v>0.99957423549046143</v>
      </c>
      <c r="J269" s="419"/>
    </row>
    <row r="270" spans="1:10" x14ac:dyDescent="0.2">
      <c r="A270" s="279">
        <v>0</v>
      </c>
      <c r="B270" s="280" t="s">
        <v>1124</v>
      </c>
      <c r="C270" s="281" t="s">
        <v>158</v>
      </c>
      <c r="D270" s="282">
        <v>29.99</v>
      </c>
      <c r="E270" s="283">
        <v>11.35575</v>
      </c>
      <c r="F270" s="283">
        <v>340.5589425</v>
      </c>
      <c r="G270" s="284">
        <v>4.885628524715565E-5</v>
      </c>
      <c r="H270" s="284">
        <f t="shared" si="4"/>
        <v>0.99962309177570863</v>
      </c>
      <c r="J270" s="419"/>
    </row>
    <row r="271" spans="1:10" x14ac:dyDescent="0.2">
      <c r="A271" s="279">
        <v>0</v>
      </c>
      <c r="B271" s="280" t="s">
        <v>199</v>
      </c>
      <c r="C271" s="281" t="s">
        <v>140</v>
      </c>
      <c r="D271" s="282">
        <v>191.10418000000001</v>
      </c>
      <c r="E271" s="283">
        <v>1.6489499999999999</v>
      </c>
      <c r="F271" s="283">
        <v>315.12123761100003</v>
      </c>
      <c r="G271" s="284">
        <v>4.5207014560070559E-5</v>
      </c>
      <c r="H271" s="284">
        <f t="shared" si="4"/>
        <v>0.99966829879026875</v>
      </c>
      <c r="J271" s="419"/>
    </row>
    <row r="272" spans="1:10" x14ac:dyDescent="0.2">
      <c r="A272" s="279">
        <v>0</v>
      </c>
      <c r="B272" s="280" t="s">
        <v>1005</v>
      </c>
      <c r="C272" s="281" t="s">
        <v>170</v>
      </c>
      <c r="D272" s="282">
        <v>1</v>
      </c>
      <c r="E272" s="283">
        <v>310.54375455373685</v>
      </c>
      <c r="F272" s="283">
        <v>310.54375455373685</v>
      </c>
      <c r="G272" s="284">
        <v>4.4550332881656924E-5</v>
      </c>
      <c r="H272" s="284">
        <f t="shared" si="4"/>
        <v>0.99971284912315039</v>
      </c>
      <c r="J272" s="419"/>
    </row>
    <row r="273" spans="1:10" x14ac:dyDescent="0.2">
      <c r="A273" s="279">
        <v>0</v>
      </c>
      <c r="B273" s="280" t="s">
        <v>404</v>
      </c>
      <c r="C273" s="281" t="s">
        <v>170</v>
      </c>
      <c r="D273" s="282">
        <v>1</v>
      </c>
      <c r="E273" s="283">
        <v>293.89</v>
      </c>
      <c r="F273" s="283">
        <v>293.89</v>
      </c>
      <c r="G273" s="284">
        <v>4.2161199955237038E-5</v>
      </c>
      <c r="H273" s="284">
        <f t="shared" si="4"/>
        <v>0.99975501032310565</v>
      </c>
      <c r="J273" s="419"/>
    </row>
    <row r="274" spans="1:10" x14ac:dyDescent="0.2">
      <c r="A274" s="279">
        <v>0</v>
      </c>
      <c r="B274" s="280" t="s">
        <v>1132</v>
      </c>
      <c r="C274" s="281" t="s">
        <v>166</v>
      </c>
      <c r="D274" s="282">
        <v>190.77569999999997</v>
      </c>
      <c r="E274" s="283">
        <v>1.2</v>
      </c>
      <c r="F274" s="283">
        <v>228.93083999999996</v>
      </c>
      <c r="G274" s="284">
        <v>3.2842216207289724E-5</v>
      </c>
      <c r="H274" s="284">
        <f t="shared" si="4"/>
        <v>0.9997878525393129</v>
      </c>
      <c r="J274" s="419"/>
    </row>
    <row r="275" spans="1:10" x14ac:dyDescent="0.2">
      <c r="A275" s="279">
        <v>0</v>
      </c>
      <c r="B275" s="280" t="s">
        <v>1120</v>
      </c>
      <c r="C275" s="281" t="s">
        <v>158</v>
      </c>
      <c r="D275" s="282">
        <v>41.308500000000002</v>
      </c>
      <c r="E275" s="283">
        <v>5.2993500000000004</v>
      </c>
      <c r="F275" s="283">
        <v>218.90819947500003</v>
      </c>
      <c r="G275" s="284">
        <v>3.1404377045514967E-5</v>
      </c>
      <c r="H275" s="284">
        <f t="shared" si="4"/>
        <v>0.99981925691635842</v>
      </c>
      <c r="J275" s="419"/>
    </row>
    <row r="276" spans="1:10" x14ac:dyDescent="0.2">
      <c r="A276" s="279">
        <v>0</v>
      </c>
      <c r="B276" s="280" t="s">
        <v>687</v>
      </c>
      <c r="C276" s="281" t="s">
        <v>142</v>
      </c>
      <c r="D276" s="282">
        <v>3</v>
      </c>
      <c r="E276" s="283">
        <v>66</v>
      </c>
      <c r="F276" s="283">
        <v>198</v>
      </c>
      <c r="G276" s="284">
        <v>2.8404905206495404E-5</v>
      </c>
      <c r="H276" s="284">
        <f t="shared" si="4"/>
        <v>0.99984766182156493</v>
      </c>
      <c r="J276" s="419"/>
    </row>
    <row r="277" spans="1:10" x14ac:dyDescent="0.2">
      <c r="A277" s="279">
        <v>0</v>
      </c>
      <c r="B277" s="280" t="s">
        <v>477</v>
      </c>
      <c r="C277" s="281" t="s">
        <v>140</v>
      </c>
      <c r="D277" s="282">
        <v>30.24</v>
      </c>
      <c r="E277" s="283">
        <v>6.4122000000000003</v>
      </c>
      <c r="F277" s="283">
        <v>193.90492800000001</v>
      </c>
      <c r="G277" s="284">
        <v>2.781742979248645E-5</v>
      </c>
      <c r="H277" s="284">
        <f t="shared" si="4"/>
        <v>0.99987547925135745</v>
      </c>
      <c r="J277" s="419"/>
    </row>
    <row r="278" spans="1:10" x14ac:dyDescent="0.2">
      <c r="A278" s="279">
        <v>0</v>
      </c>
      <c r="B278" s="280" t="s">
        <v>608</v>
      </c>
      <c r="C278" s="281" t="s">
        <v>159</v>
      </c>
      <c r="D278" s="282">
        <v>19</v>
      </c>
      <c r="E278" s="283">
        <v>10.184900000000001</v>
      </c>
      <c r="F278" s="283">
        <v>193.51310000000001</v>
      </c>
      <c r="G278" s="284">
        <v>2.7761218493510435E-5</v>
      </c>
      <c r="H278" s="284">
        <f t="shared" si="4"/>
        <v>0.99990324046985091</v>
      </c>
      <c r="J278" s="419"/>
    </row>
    <row r="279" spans="1:10" x14ac:dyDescent="0.2">
      <c r="A279" s="279">
        <v>0</v>
      </c>
      <c r="B279" s="280" t="s">
        <v>496</v>
      </c>
      <c r="C279" s="281" t="s">
        <v>158</v>
      </c>
      <c r="D279" s="282">
        <v>16.979999999999997</v>
      </c>
      <c r="E279" s="283">
        <v>10.4</v>
      </c>
      <c r="F279" s="283">
        <v>176.59199999999998</v>
      </c>
      <c r="G279" s="284">
        <v>2.5333732425380992E-5</v>
      </c>
      <c r="H279" s="284">
        <f t="shared" si="4"/>
        <v>0.99992857420227632</v>
      </c>
      <c r="J279" s="419"/>
    </row>
    <row r="280" spans="1:10" x14ac:dyDescent="0.2">
      <c r="A280" s="279">
        <v>0</v>
      </c>
      <c r="B280" s="280" t="s">
        <v>1133</v>
      </c>
      <c r="C280" s="281" t="s">
        <v>166</v>
      </c>
      <c r="D280" s="282">
        <v>119.76703078948395</v>
      </c>
      <c r="E280" s="283">
        <v>1.2</v>
      </c>
      <c r="F280" s="283">
        <v>143.72043694738073</v>
      </c>
      <c r="G280" s="284">
        <v>2.0618007008719442E-5</v>
      </c>
      <c r="H280" s="284">
        <f t="shared" si="4"/>
        <v>0.99994919220928502</v>
      </c>
      <c r="J280" s="419"/>
    </row>
    <row r="281" spans="1:10" x14ac:dyDescent="0.2">
      <c r="A281" s="279">
        <v>0</v>
      </c>
      <c r="B281" s="280" t="s">
        <v>420</v>
      </c>
      <c r="C281" s="281" t="s">
        <v>158</v>
      </c>
      <c r="D281" s="282">
        <v>1.6800000000000002</v>
      </c>
      <c r="E281" s="283">
        <v>67.757000000000005</v>
      </c>
      <c r="F281" s="283">
        <v>113.83176000000002</v>
      </c>
      <c r="G281" s="284">
        <v>1.6330203799437051E-5</v>
      </c>
      <c r="H281" s="284">
        <f t="shared" si="4"/>
        <v>0.99996552241308445</v>
      </c>
      <c r="J281" s="419"/>
    </row>
    <row r="282" spans="1:10" x14ac:dyDescent="0.2">
      <c r="A282" s="279">
        <v>0</v>
      </c>
      <c r="B282" s="280" t="s">
        <v>737</v>
      </c>
      <c r="C282" s="281" t="s">
        <v>140</v>
      </c>
      <c r="D282" s="282">
        <v>17.3124</v>
      </c>
      <c r="E282" s="283">
        <v>4.6885700000000003</v>
      </c>
      <c r="F282" s="283">
        <v>81.170399268000011</v>
      </c>
      <c r="G282" s="284">
        <v>1.164463382212588E-5</v>
      </c>
      <c r="H282" s="284">
        <f t="shared" si="4"/>
        <v>0.99997716704690653</v>
      </c>
      <c r="J282" s="419"/>
    </row>
    <row r="283" spans="1:10" x14ac:dyDescent="0.2">
      <c r="A283" s="279">
        <v>0</v>
      </c>
      <c r="B283" s="280" t="s">
        <v>861</v>
      </c>
      <c r="C283" s="281" t="s">
        <v>170</v>
      </c>
      <c r="D283" s="282">
        <v>1</v>
      </c>
      <c r="E283" s="283">
        <v>75</v>
      </c>
      <c r="F283" s="283">
        <v>75</v>
      </c>
      <c r="G283" s="284">
        <v>1.0759433790339168E-5</v>
      </c>
      <c r="H283" s="284">
        <f t="shared" si="4"/>
        <v>0.9999879264806969</v>
      </c>
      <c r="J283" s="419"/>
    </row>
    <row r="284" spans="1:10" x14ac:dyDescent="0.2">
      <c r="A284" s="279">
        <v>0</v>
      </c>
      <c r="B284" s="280" t="s">
        <v>857</v>
      </c>
      <c r="C284" s="281" t="s">
        <v>142</v>
      </c>
      <c r="D284" s="282">
        <v>1</v>
      </c>
      <c r="E284" s="283">
        <v>46.82</v>
      </c>
      <c r="F284" s="283">
        <v>46.82</v>
      </c>
      <c r="G284" s="284">
        <v>6.716755867515732E-6</v>
      </c>
      <c r="H284" s="284">
        <f t="shared" si="4"/>
        <v>0.9999946432365644</v>
      </c>
      <c r="J284" s="419"/>
    </row>
    <row r="285" spans="1:10" x14ac:dyDescent="0.2">
      <c r="A285" s="279">
        <v>0</v>
      </c>
      <c r="B285" s="280" t="s">
        <v>1150</v>
      </c>
      <c r="C285" s="281" t="s">
        <v>140</v>
      </c>
      <c r="D285" s="282">
        <v>1</v>
      </c>
      <c r="E285" s="283">
        <v>22.34</v>
      </c>
      <c r="F285" s="283">
        <v>22.34</v>
      </c>
      <c r="G285" s="284">
        <v>3.204876678349027E-6</v>
      </c>
      <c r="H285" s="284">
        <f t="shared" si="4"/>
        <v>0.99999784811324277</v>
      </c>
      <c r="J285" s="419"/>
    </row>
    <row r="286" spans="1:10" x14ac:dyDescent="0.2">
      <c r="A286" s="279">
        <v>0</v>
      </c>
      <c r="B286" s="280" t="s">
        <v>1151</v>
      </c>
      <c r="C286" s="281" t="s">
        <v>140</v>
      </c>
      <c r="D286" s="282">
        <v>1</v>
      </c>
      <c r="E286" s="283">
        <v>15</v>
      </c>
      <c r="F286" s="283">
        <v>15</v>
      </c>
      <c r="G286" s="284">
        <v>2.1518867580678339E-6</v>
      </c>
      <c r="H286" s="284">
        <f t="shared" si="4"/>
        <v>1.0000000000000009</v>
      </c>
      <c r="J286" s="419"/>
    </row>
  </sheetData>
  <autoFilter ref="A7:H286" xr:uid="{804257D8-33D7-414F-9109-069517D80B15}"/>
  <sortState xmlns:xlrd2="http://schemas.microsoft.com/office/spreadsheetml/2017/richdata2" ref="A9:G286">
    <sortCondition descending="1" ref="F9:F286"/>
  </sortState>
  <mergeCells count="1">
    <mergeCell ref="A1:H5"/>
  </mergeCells>
  <conditionalFormatting sqref="G8 H6">
    <cfRule type="containsText" dxfId="21" priority="8" operator="containsText" text="ok">
      <formula>NOT(ISERROR(SEARCH("ok",G6)))</formula>
    </cfRule>
    <cfRule type="containsText" dxfId="20" priority="9" operator="containsText" text="VERIFICAR">
      <formula>NOT(ISERROR(SEARCH("VERIFICAR",G6)))</formula>
    </cfRule>
  </conditionalFormatting>
  <conditionalFormatting sqref="H9:H286">
    <cfRule type="cellIs" dxfId="19" priority="1" operator="between">
      <formula>0.91</formula>
      <formula>1</formula>
    </cfRule>
    <cfRule type="cellIs" dxfId="18" priority="2" operator="between">
      <formula>0.81</formula>
      <formula>0.91</formula>
    </cfRule>
    <cfRule type="cellIs" dxfId="17" priority="3" operator="between">
      <formula>0.00001</formula>
      <formula>0.81</formula>
    </cfRule>
  </conditionalFormatting>
  <pageMargins left="0.52999994886203072" right="0.52999994886203072" top="0.52999994886203072" bottom="0.68999998212799307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74EEB0CB-0067-4D74-BFEA-8303FCE75135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A227:A235</xm:sqref>
        </x14:conditionalFormatting>
        <x14:conditionalFormatting xmlns:xm="http://schemas.microsoft.com/office/excel/2006/main">
          <x14:cfRule type="iconSet" priority="39010" id="{6B7621EC-DB0B-4025-B5F2-79583AA2B2D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A236:A281 A9:A226</xm:sqref>
        </x14:conditionalFormatting>
        <x14:conditionalFormatting xmlns:xm="http://schemas.microsoft.com/office/excel/2006/main">
          <x14:cfRule type="iconSet" priority="39012" id="{E81D17D7-6BA7-4A38-8E9A-B4E338541771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A282:A286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EEAC-5267-4705-97E7-E3EC55E4A5D0}">
  <sheetPr codeName="Planilha12">
    <tabColor theme="6" tint="-0.249977111117893"/>
  </sheetPr>
  <dimension ref="A1:M316"/>
  <sheetViews>
    <sheetView showGridLines="0" topLeftCell="D1" workbookViewId="0">
      <pane ySplit="7" topLeftCell="A8" activePane="bottomLeft" state="frozen"/>
      <selection activeCell="D7" sqref="D7:K286"/>
      <selection pane="bottomLeft" activeCell="K286" sqref="D9:K286"/>
    </sheetView>
  </sheetViews>
  <sheetFormatPr defaultColWidth="9.140625" defaultRowHeight="12.75" outlineLevelCol="1" x14ac:dyDescent="0.2"/>
  <cols>
    <col min="1" max="1" width="53.5703125" style="10" hidden="1" customWidth="1" outlineLevel="1"/>
    <col min="2" max="2" width="4.85546875" style="10" hidden="1" customWidth="1" outlineLevel="1"/>
    <col min="3" max="3" width="0.5703125" style="1" hidden="1" customWidth="1" outlineLevel="1" collapsed="1"/>
    <col min="4" max="4" width="6.28515625" style="11" customWidth="1" collapsed="1"/>
    <col min="5" max="5" width="40.7109375" style="1" customWidth="1"/>
    <col min="6" max="6" width="9.140625" customWidth="1"/>
    <col min="7" max="7" width="13.5703125" style="3" customWidth="1"/>
    <col min="8" max="8" width="20.28515625" style="1" customWidth="1"/>
    <col min="9" max="9" width="18.28515625" style="2" customWidth="1"/>
    <col min="10" max="10" width="13.7109375" bestFit="1" customWidth="1"/>
    <col min="12" max="12" width="11" bestFit="1" customWidth="1"/>
    <col min="13" max="13" width="14.28515625" bestFit="1" customWidth="1"/>
    <col min="14" max="14" width="13.28515625" bestFit="1" customWidth="1"/>
  </cols>
  <sheetData>
    <row r="1" spans="1:13" x14ac:dyDescent="0.2">
      <c r="C1" s="495" t="s">
        <v>563</v>
      </c>
      <c r="D1" s="495"/>
      <c r="E1" s="495"/>
      <c r="F1" s="495"/>
      <c r="G1" s="495"/>
      <c r="H1" s="495"/>
      <c r="I1" s="495"/>
      <c r="J1" s="495"/>
      <c r="K1" s="495"/>
    </row>
    <row r="2" spans="1:13" x14ac:dyDescent="0.2">
      <c r="C2" s="495"/>
      <c r="D2" s="495"/>
      <c r="E2" s="495"/>
      <c r="F2" s="495"/>
      <c r="G2" s="495"/>
      <c r="H2" s="495"/>
      <c r="I2" s="495"/>
      <c r="J2" s="495"/>
      <c r="K2" s="495"/>
    </row>
    <row r="3" spans="1:13" x14ac:dyDescent="0.2">
      <c r="C3" s="495"/>
      <c r="D3" s="495"/>
      <c r="E3" s="495"/>
      <c r="F3" s="495"/>
      <c r="G3" s="495"/>
      <c r="H3" s="495"/>
      <c r="I3" s="495"/>
      <c r="J3" s="495"/>
      <c r="K3" s="495"/>
    </row>
    <row r="4" spans="1:13" x14ac:dyDescent="0.2">
      <c r="C4" s="495"/>
      <c r="D4" s="495"/>
      <c r="E4" s="495"/>
      <c r="F4" s="495"/>
      <c r="G4" s="495"/>
      <c r="H4" s="495"/>
      <c r="I4" s="495"/>
      <c r="J4" s="495"/>
      <c r="K4" s="495"/>
    </row>
    <row r="5" spans="1:13" x14ac:dyDescent="0.2">
      <c r="C5" s="495"/>
      <c r="D5" s="495"/>
      <c r="E5" s="495"/>
      <c r="F5" s="495"/>
      <c r="G5" s="495"/>
      <c r="H5" s="495"/>
      <c r="I5" s="495"/>
      <c r="J5" s="495"/>
      <c r="K5" s="495"/>
    </row>
    <row r="6" spans="1:13" x14ac:dyDescent="0.2">
      <c r="A6" s="256"/>
      <c r="B6" s="257"/>
      <c r="C6" s="254"/>
      <c r="D6" s="285"/>
      <c r="E6" s="262"/>
      <c r="F6" s="263"/>
      <c r="G6" s="264">
        <f ca="1">SUBTOTAL(9,G9:G948)</f>
        <v>373112.42892448057</v>
      </c>
      <c r="H6" s="265"/>
      <c r="I6" s="266">
        <f ca="1">SUBTOTAL(9,I9:I948)</f>
        <v>6970627.0294020539</v>
      </c>
      <c r="J6" s="267">
        <f ca="1">I6-SUMIF(Orçamento!B:B,"SERVIÇO",Orçamento!Z:Z)</f>
        <v>0</v>
      </c>
      <c r="K6" s="268" t="str">
        <f ca="1">IF(J6&lt;&gt;0,"VERIFICAR","OK")</f>
        <v>OK</v>
      </c>
    </row>
    <row r="7" spans="1:13" x14ac:dyDescent="0.2">
      <c r="A7" s="249" t="s">
        <v>98</v>
      </c>
      <c r="B7" s="249" t="s">
        <v>13</v>
      </c>
      <c r="C7" s="255" t="s">
        <v>95</v>
      </c>
      <c r="D7" s="269" t="s">
        <v>96</v>
      </c>
      <c r="E7" s="270" t="s">
        <v>19</v>
      </c>
      <c r="F7" s="270" t="s">
        <v>12</v>
      </c>
      <c r="G7" s="270" t="s">
        <v>8</v>
      </c>
      <c r="H7" s="271" t="s">
        <v>559</v>
      </c>
      <c r="I7" s="271" t="s">
        <v>97</v>
      </c>
      <c r="J7" s="272" t="s">
        <v>560</v>
      </c>
      <c r="K7" s="272" t="s">
        <v>561</v>
      </c>
    </row>
    <row r="8" spans="1:13" x14ac:dyDescent="0.2">
      <c r="B8" s="10">
        <v>0</v>
      </c>
      <c r="C8" s="12"/>
      <c r="D8" s="273"/>
      <c r="E8" s="274"/>
      <c r="F8" s="274"/>
      <c r="G8" s="275"/>
      <c r="H8" s="276"/>
      <c r="I8" s="277"/>
      <c r="J8" s="278"/>
      <c r="K8" s="278"/>
    </row>
    <row r="9" spans="1:13" x14ac:dyDescent="0.2">
      <c r="A9" s="10" t="str" cm="1">
        <f t="array" aca="1" ref="A9:A289" ca="1">_xlfn._xlws.SORT(_xlfn.UNIQUE('ABC Serviços Apoio'!C2:C3000),1,-1)</f>
        <v>9935,99376 - Lastro de concreto magro-aplicado em blocos-espessura 5cm</v>
      </c>
      <c r="B9" s="10">
        <f ca="1">IF(OR(A9="",A9=0),"",LARGE($B$8:B8,1)+1)</f>
        <v>1</v>
      </c>
      <c r="C9" s="7"/>
      <c r="D9" s="279">
        <f ca="1">IF(A9="","",COUNTIF(Orçamento!P:P,A9))</f>
        <v>0</v>
      </c>
      <c r="E9" s="280" t="str">
        <f ca="1">IFERROR(IF(A9="","",_xlfn.XLOOKUP(A9,'ABC Serviços Apoio'!C:C,'ABC Serviços Apoio'!A:A)),"")</f>
        <v>Lastro de concreto magro-aplicado em blocos-espessura 5cm</v>
      </c>
      <c r="F9" s="281" t="str">
        <f ca="1">IFERROR(IF(A9="","",_xlfn.XLOOKUP(E9,Orçamento!Q:Q,Orçamento!T:T)),"")</f>
        <v>M3</v>
      </c>
      <c r="G9" s="282">
        <f ca="1">IFERROR(IF(A9="","",SUMIF(Orçamento!Q:Q,E9,Orçamento!X:X)),"")</f>
        <v>26.883100000000006</v>
      </c>
      <c r="H9" s="283">
        <f ca="1">IFERROR(IF(A9="","",_xlfn.XLOOKUP(E9,Orçamento!Q:Q,Orçamento!Y:Y)),"")</f>
        <v>369.6</v>
      </c>
      <c r="I9" s="283">
        <f t="shared" ref="I9:I72" ca="1" si="0">IFERROR(IF(E9="","",G9*H9),"")</f>
        <v>9935.993760000003</v>
      </c>
      <c r="J9" s="284">
        <f t="shared" ref="J9:J72" ca="1" si="1">IFERROR(IF(I9="","",I9/$I$6),0)</f>
        <v>1.425408893359242E-3</v>
      </c>
      <c r="K9" s="284">
        <f ca="1">J9+K8</f>
        <v>1.425408893359242E-3</v>
      </c>
      <c r="M9" s="419"/>
    </row>
    <row r="10" spans="1:13" x14ac:dyDescent="0.2">
      <c r="A10" s="10" t="str">
        <f ca="1"/>
        <v>9756 - Mobilização e desmobilização - Mini-grua</v>
      </c>
      <c r="B10" s="10">
        <f ca="1">IF(OR(A10="",A10=0),"",LARGE($B$8:B9,1)+1)</f>
        <v>2</v>
      </c>
      <c r="C10" s="7"/>
      <c r="D10" s="279">
        <f ca="1">IF(A10="","",COUNTIF(Orçamento!P:P,A10))</f>
        <v>0</v>
      </c>
      <c r="E10" s="280" t="str">
        <f ca="1">IFERROR(IF(A10="","",_xlfn.XLOOKUP(A10,'ABC Serviços Apoio'!C:C,'ABC Serviços Apoio'!A:A)),"")</f>
        <v>Mobilização e desmobilização - Mini-grua</v>
      </c>
      <c r="F10" s="281" t="str">
        <f ca="1">IFERROR(IF(A10="","",_xlfn.XLOOKUP(E10,Orçamento!Q:Q,Orçamento!T:T)),"")</f>
        <v>VB</v>
      </c>
      <c r="G10" s="282">
        <f ca="1">IFERROR(IF(A10="","",SUMIF(Orçamento!Q:Q,E10,Orçamento!X:X)),"")</f>
        <v>1</v>
      </c>
      <c r="H10" s="283">
        <f ca="1">IFERROR(IF(A10="","",_xlfn.XLOOKUP(E10,Orçamento!Q:Q,Orçamento!Y:Y)),"")</f>
        <v>9756</v>
      </c>
      <c r="I10" s="283">
        <f t="shared" ca="1" si="0"/>
        <v>9756</v>
      </c>
      <c r="J10" s="284">
        <f t="shared" ca="1" si="1"/>
        <v>1.399587147447319E-3</v>
      </c>
      <c r="K10" s="284">
        <f t="shared" ref="K10:K73" ca="1" si="2">J10+K9</f>
        <v>2.824996040806561E-3</v>
      </c>
      <c r="M10" s="419"/>
    </row>
    <row r="11" spans="1:13" x14ac:dyDescent="0.2">
      <c r="A11" s="10" t="str">
        <f ca="1"/>
        <v>9716,15 - Instalacoes de Protecao e Aterramento - SPDA</v>
      </c>
      <c r="B11" s="10">
        <f ca="1">IF(OR(A11="",A11=0),"",LARGE($B$8:B10,1)+1)</f>
        <v>3</v>
      </c>
      <c r="C11" s="7"/>
      <c r="D11" s="279">
        <f ca="1">IF(A11="","",COUNTIF(Orçamento!P:P,A11))</f>
        <v>0</v>
      </c>
      <c r="E11" s="280" t="str">
        <f ca="1">IFERROR(IF(A11="","",_xlfn.XLOOKUP(A11,'ABC Serviços Apoio'!C:C,'ABC Serviços Apoio'!A:A)),"")</f>
        <v>Instalacoes de Protecao e Aterramento - SPDA</v>
      </c>
      <c r="F11" s="281" t="str">
        <f ca="1">IFERROR(IF(A11="","",_xlfn.XLOOKUP(E11,Orçamento!Q:Q,Orçamento!T:T)),"")</f>
        <v>VB</v>
      </c>
      <c r="G11" s="282">
        <f ca="1">IFERROR(IF(A11="","",SUMIF(Orçamento!Q:Q,E11,Orçamento!X:X)),"")</f>
        <v>1</v>
      </c>
      <c r="H11" s="283">
        <f ca="1">IFERROR(IF(A11="","",_xlfn.XLOOKUP(E11,Orçamento!Q:Q,Orçamento!Y:Y)),"")</f>
        <v>9716.15</v>
      </c>
      <c r="I11" s="283">
        <f t="shared" ca="1" si="0"/>
        <v>9716.15</v>
      </c>
      <c r="J11" s="284">
        <f t="shared" ca="1" si="1"/>
        <v>1.3938703016267188E-3</v>
      </c>
      <c r="K11" s="284">
        <f t="shared" ca="1" si="2"/>
        <v>4.2188663424332796E-3</v>
      </c>
      <c r="M11" s="419"/>
    </row>
    <row r="12" spans="1:13" x14ac:dyDescent="0.2">
      <c r="A12" s="10" t="str">
        <f ca="1"/>
        <v>9716,15 - Desmobilizacao de pessoal, maquinas e equipamentos</v>
      </c>
      <c r="B12" s="10">
        <f ca="1">IF(OR(A12="",A12=0),"",LARGE($B$8:B11,1)+1)</f>
        <v>4</v>
      </c>
      <c r="C12" s="7"/>
      <c r="D12" s="279">
        <f ca="1">IF(A12="","",COUNTIF(Orçamento!P:P,A12))</f>
        <v>0</v>
      </c>
      <c r="E12" s="280" t="str">
        <f ca="1">IFERROR(IF(A12="","",_xlfn.XLOOKUP(A12,'ABC Serviços Apoio'!C:C,'ABC Serviços Apoio'!A:A)),"")</f>
        <v>Desmobilizacao de pessoal, maquinas e equipamentos</v>
      </c>
      <c r="F12" s="281" t="str">
        <f ca="1">IFERROR(IF(A12="","",_xlfn.XLOOKUP(E12,Orçamento!Q:Q,Orçamento!T:T)),"")</f>
        <v>VB</v>
      </c>
      <c r="G12" s="282">
        <f ca="1">IFERROR(IF(A12="","",SUMIF(Orçamento!Q:Q,E12,Orçamento!X:X)),"")</f>
        <v>1</v>
      </c>
      <c r="H12" s="283">
        <f ca="1">IFERROR(IF(A12="","",_xlfn.XLOOKUP(E12,Orçamento!Q:Q,Orçamento!Y:Y)),"")</f>
        <v>9716.15</v>
      </c>
      <c r="I12" s="283">
        <f t="shared" ca="1" si="0"/>
        <v>9716.15</v>
      </c>
      <c r="J12" s="284">
        <f t="shared" ca="1" si="1"/>
        <v>1.3938703016267188E-3</v>
      </c>
      <c r="K12" s="284">
        <f t="shared" ca="1" si="2"/>
        <v>5.6127366440599982E-3</v>
      </c>
      <c r="M12" s="419"/>
    </row>
    <row r="13" spans="1:13" x14ac:dyDescent="0.2">
      <c r="A13" s="10" t="str">
        <f ca="1"/>
        <v>9500 - Projeto hidrossanitário</v>
      </c>
      <c r="B13" s="10">
        <f ca="1">IF(OR(A13="",A13=0),"",LARGE($B$8:B12,1)+1)</f>
        <v>5</v>
      </c>
      <c r="C13" s="7"/>
      <c r="D13" s="279">
        <f ca="1">IF(A13="","",COUNTIF(Orçamento!P:P,A13))</f>
        <v>0</v>
      </c>
      <c r="E13" s="280" t="str">
        <f ca="1">IFERROR(IF(A13="","",_xlfn.XLOOKUP(A13,'ABC Serviços Apoio'!C:C,'ABC Serviços Apoio'!A:A)),"")</f>
        <v>Projeto hidrossanitário</v>
      </c>
      <c r="F13" s="281" t="str">
        <f ca="1">IFERROR(IF(A13="","",_xlfn.XLOOKUP(E13,Orçamento!Q:Q,Orçamento!T:T)),"")</f>
        <v>VB</v>
      </c>
      <c r="G13" s="282">
        <f ca="1">IFERROR(IF(A13="","",SUMIF(Orçamento!Q:Q,E13,Orçamento!X:X)),"")</f>
        <v>1</v>
      </c>
      <c r="H13" s="283">
        <f ca="1">IFERROR(IF(A13="","",_xlfn.XLOOKUP(E13,Orçamento!Q:Q,Orçamento!Y:Y)),"")</f>
        <v>9500</v>
      </c>
      <c r="I13" s="283">
        <f t="shared" ca="1" si="0"/>
        <v>9500</v>
      </c>
      <c r="J13" s="284">
        <f t="shared" ca="1" si="1"/>
        <v>1.3628616134429613E-3</v>
      </c>
      <c r="K13" s="284">
        <f t="shared" ca="1" si="2"/>
        <v>6.9755982575029594E-3</v>
      </c>
      <c r="M13" s="419"/>
    </row>
    <row r="14" spans="1:13" x14ac:dyDescent="0.2">
      <c r="A14" s="10" t="str">
        <f ca="1"/>
        <v>9500 - Projeto de Prevenção Combate a Incêndio</v>
      </c>
      <c r="B14" s="10">
        <f ca="1">IF(OR(A14="",A14=0),"",LARGE($B$8:B13,1)+1)</f>
        <v>6</v>
      </c>
      <c r="C14" s="7"/>
      <c r="D14" s="279">
        <f ca="1">IF(A14="","",COUNTIF(Orçamento!P:P,A14))</f>
        <v>0</v>
      </c>
      <c r="E14" s="280" t="str">
        <f ca="1">IFERROR(IF(A14="","",_xlfn.XLOOKUP(A14,'ABC Serviços Apoio'!C:C,'ABC Serviços Apoio'!A:A)),"")</f>
        <v>Projeto de Prevenção Combate a Incêndio</v>
      </c>
      <c r="F14" s="281" t="str">
        <f ca="1">IFERROR(IF(A14="","",_xlfn.XLOOKUP(E14,Orçamento!Q:Q,Orçamento!T:T)),"")</f>
        <v>VB</v>
      </c>
      <c r="G14" s="282">
        <f ca="1">IFERROR(IF(A14="","",SUMIF(Orçamento!Q:Q,E14,Orçamento!X:X)),"")</f>
        <v>1</v>
      </c>
      <c r="H14" s="283">
        <f ca="1">IFERROR(IF(A14="","",_xlfn.XLOOKUP(E14,Orçamento!Q:Q,Orçamento!Y:Y)),"")</f>
        <v>9500</v>
      </c>
      <c r="I14" s="283">
        <f t="shared" ca="1" si="0"/>
        <v>9500</v>
      </c>
      <c r="J14" s="284">
        <f t="shared" ca="1" si="1"/>
        <v>1.3628616134429613E-3</v>
      </c>
      <c r="K14" s="284">
        <f t="shared" ca="1" si="2"/>
        <v>8.3384598709459207E-3</v>
      </c>
      <c r="M14" s="419"/>
    </row>
    <row r="15" spans="1:13" x14ac:dyDescent="0.2">
      <c r="A15" s="10" t="str">
        <f ca="1"/>
        <v>9450,45062620585 - Instalacoes de Aguas Pluviais - Tipo (5X)</v>
      </c>
      <c r="B15" s="10">
        <f ca="1">IF(OR(A15="",A15=0),"",LARGE($B$8:B14,1)+1)</f>
        <v>7</v>
      </c>
      <c r="C15" s="7"/>
      <c r="D15" s="279">
        <f ca="1">IF(A15="","",COUNTIF(Orçamento!P:P,A15))</f>
        <v>0</v>
      </c>
      <c r="E15" s="280" t="str">
        <f ca="1">IFERROR(IF(A15="","",_xlfn.XLOOKUP(A15,'ABC Serviços Apoio'!C:C,'ABC Serviços Apoio'!A:A)),"")</f>
        <v>Instalacoes de Aguas Pluviais - Tipo (5X)</v>
      </c>
      <c r="F15" s="281" t="str">
        <f ca="1">IFERROR(IF(A15="","",_xlfn.XLOOKUP(E15,Orçamento!Q:Q,Orçamento!T:T)),"")</f>
        <v>VB</v>
      </c>
      <c r="G15" s="282">
        <f ca="1">IFERROR(IF(A15="","",SUMIF(Orçamento!Q:Q,E15,Orçamento!X:X)),"")</f>
        <v>1</v>
      </c>
      <c r="H15" s="283">
        <f ca="1">IFERROR(IF(A15="","",_xlfn.XLOOKUP(E15,Orçamento!Q:Q,Orçamento!Y:Y)),"")</f>
        <v>9450.4506262058512</v>
      </c>
      <c r="I15" s="283">
        <f t="shared" ca="1" si="0"/>
        <v>9450.4506262058512</v>
      </c>
      <c r="J15" s="284">
        <f t="shared" ca="1" si="1"/>
        <v>1.355753304020416E-3</v>
      </c>
      <c r="K15" s="284">
        <f t="shared" ca="1" si="2"/>
        <v>9.6942131749663367E-3</v>
      </c>
      <c r="M15" s="419"/>
    </row>
    <row r="16" spans="1:13" x14ac:dyDescent="0.2">
      <c r="A16" s="10" t="str">
        <f ca="1"/>
        <v>9430 - Mao de obra para colocacao de rodape cerâmico e porcelanato</v>
      </c>
      <c r="B16" s="10">
        <f ca="1">IF(OR(A16="",A16=0),"",LARGE($B$8:B15,1)+1)</f>
        <v>8</v>
      </c>
      <c r="C16" s="7"/>
      <c r="D16" s="279">
        <f ca="1">IF(A16="","",COUNTIF(Orçamento!P:P,A16))</f>
        <v>0</v>
      </c>
      <c r="E16" s="280" t="str">
        <f ca="1">IFERROR(IF(A16="","",_xlfn.XLOOKUP(A16,'ABC Serviços Apoio'!C:C,'ABC Serviços Apoio'!A:A)),"")</f>
        <v>Mao de obra para colocacao de rodape cerâmico e porcelanato</v>
      </c>
      <c r="F16" s="281" t="str">
        <f ca="1">IFERROR(IF(A16="","",_xlfn.XLOOKUP(E16,Orçamento!Q:Q,Orçamento!T:T)),"")</f>
        <v>M</v>
      </c>
      <c r="G16" s="282">
        <f ca="1">IFERROR(IF(A16="","",SUMIF(Orçamento!Q:Q,E16,Orçamento!X:X)),"")</f>
        <v>453.83849999999995</v>
      </c>
      <c r="H16" s="283">
        <f ca="1">IFERROR(IF(A16="","",_xlfn.XLOOKUP(E16,Orçamento!Q:Q,Orçamento!Y:Y)),"")</f>
        <v>20.778316515676838</v>
      </c>
      <c r="I16" s="283">
        <f t="shared" ca="1" si="0"/>
        <v>9430.0000000000018</v>
      </c>
      <c r="J16" s="284">
        <f t="shared" ca="1" si="1"/>
        <v>1.352819475238645E-3</v>
      </c>
      <c r="K16" s="284">
        <f t="shared" ca="1" si="2"/>
        <v>1.1047032650204982E-2</v>
      </c>
      <c r="M16" s="419"/>
    </row>
    <row r="17" spans="1:13" x14ac:dyDescent="0.2">
      <c r="A17" s="10" t="str">
        <f ca="1"/>
        <v>927,14418042 - Montagem e desmontagem de fôrma para pilares em chapa de madeira compensada plastificada</v>
      </c>
      <c r="B17" s="10">
        <f ca="1">IF(OR(A17="",A17=0),"",LARGE($B$8:B16,1)+1)</f>
        <v>9</v>
      </c>
      <c r="C17" s="7"/>
      <c r="D17" s="279">
        <f ca="1">IF(A17="","",COUNTIF(Orçamento!P:P,A17))</f>
        <v>0</v>
      </c>
      <c r="E17" s="280" t="str">
        <f ca="1">IFERROR(IF(A17="","",_xlfn.XLOOKUP(A17,'ABC Serviços Apoio'!C:C,'ABC Serviços Apoio'!A:A)),"")</f>
        <v>Montagem e desmontagem de fôrma para pilares em chapa de madeira compensada plastificada</v>
      </c>
      <c r="F17" s="281" t="str">
        <f ca="1">IFERROR(IF(A17="","",_xlfn.XLOOKUP(E17,Orçamento!Q:Q,Orçamento!T:T)),"")</f>
        <v>M2</v>
      </c>
      <c r="G17" s="282">
        <f ca="1">IFERROR(IF(A17="","",SUMIF(Orçamento!Q:Q,E17,Orçamento!X:X)),"")</f>
        <v>811.89559999999983</v>
      </c>
      <c r="H17" s="283">
        <f ca="1">IFERROR(IF(A17="","",_xlfn.XLOOKUP(E17,Orçamento!Q:Q,Orçamento!Y:Y)),"")</f>
        <v>1.14195</v>
      </c>
      <c r="I17" s="283">
        <f t="shared" ca="1" si="0"/>
        <v>927.14418041999977</v>
      </c>
      <c r="J17" s="284">
        <f t="shared" ca="1" si="1"/>
        <v>1.3300728564436348E-4</v>
      </c>
      <c r="K17" s="284">
        <f t="shared" ca="1" si="2"/>
        <v>1.1180039935849345E-2</v>
      </c>
      <c r="M17" s="419"/>
    </row>
    <row r="18" spans="1:13" x14ac:dyDescent="0.2">
      <c r="A18" s="10" t="str">
        <f ca="1"/>
        <v>919,626 - Cuba simples em Inox / Metais</v>
      </c>
      <c r="B18" s="10">
        <f ca="1">IF(OR(A18="",A18=0),"",LARGE($B$8:B17,1)+1)</f>
        <v>10</v>
      </c>
      <c r="C18" s="7"/>
      <c r="D18" s="279">
        <f ca="1">IF(A18="","",COUNTIF(Orçamento!P:P,A18))</f>
        <v>0</v>
      </c>
      <c r="E18" s="280" t="str">
        <f ca="1">IFERROR(IF(A18="","",_xlfn.XLOOKUP(A18,'ABC Serviços Apoio'!C:C,'ABC Serviços Apoio'!A:A)),"")</f>
        <v>Cuba simples em Inox / Metais</v>
      </c>
      <c r="F18" s="281" t="str">
        <f ca="1">IFERROR(IF(A18="","",_xlfn.XLOOKUP(E18,Orçamento!Q:Q,Orçamento!T:T)),"")</f>
        <v>UN</v>
      </c>
      <c r="G18" s="282">
        <f ca="1">IFERROR(IF(A18="","",SUMIF(Orçamento!Q:Q,E18,Orçamento!X:X)),"")</f>
        <v>1</v>
      </c>
      <c r="H18" s="283">
        <f ca="1">IFERROR(IF(A18="","",_xlfn.XLOOKUP(E18,Orçamento!Q:Q,Orçamento!Y:Y)),"")</f>
        <v>919.62599999999998</v>
      </c>
      <c r="I18" s="283">
        <f t="shared" ca="1" si="0"/>
        <v>919.62599999999998</v>
      </c>
      <c r="J18" s="284">
        <f t="shared" ca="1" si="1"/>
        <v>1.3192873411832599E-4</v>
      </c>
      <c r="K18" s="284">
        <f t="shared" ca="1" si="2"/>
        <v>1.1311968669967672E-2</v>
      </c>
      <c r="M18" s="419"/>
    </row>
    <row r="19" spans="1:13" x14ac:dyDescent="0.2">
      <c r="A19" s="10" t="str">
        <f ca="1"/>
        <v>905,81 - Taxa de Aprovação Ambiental</v>
      </c>
      <c r="B19" s="10">
        <f ca="1">IF(OR(A19="",A19=0),"",LARGE($B$8:B18,1)+1)</f>
        <v>11</v>
      </c>
      <c r="C19" s="7"/>
      <c r="D19" s="279">
        <f ca="1">IF(A19="","",COUNTIF(Orçamento!P:P,A19))</f>
        <v>0</v>
      </c>
      <c r="E19" s="280" t="str">
        <f ca="1">IFERROR(IF(A19="","",_xlfn.XLOOKUP(A19,'ABC Serviços Apoio'!C:C,'ABC Serviços Apoio'!A:A)),"")</f>
        <v>Taxa de Aprovação Ambiental</v>
      </c>
      <c r="F19" s="281" t="str">
        <f ca="1">IFERROR(IF(A19="","",_xlfn.XLOOKUP(E19,Orçamento!Q:Q,Orçamento!T:T)),"")</f>
        <v>VB</v>
      </c>
      <c r="G19" s="282">
        <f ca="1">IFERROR(IF(A19="","",SUMIF(Orçamento!Q:Q,E19,Orçamento!X:X)),"")</f>
        <v>1</v>
      </c>
      <c r="H19" s="283">
        <f ca="1">IFERROR(IF(A19="","",_xlfn.XLOOKUP(E19,Orçamento!Q:Q,Orçamento!Y:Y)),"")</f>
        <v>905.81</v>
      </c>
      <c r="I19" s="283">
        <f t="shared" ca="1" si="0"/>
        <v>905.81</v>
      </c>
      <c r="J19" s="284">
        <f t="shared" ca="1" si="1"/>
        <v>1.2994670295502829E-4</v>
      </c>
      <c r="K19" s="284">
        <f t="shared" ca="1" si="2"/>
        <v>1.14419153729227E-2</v>
      </c>
      <c r="M19" s="419"/>
    </row>
    <row r="20" spans="1:13" x14ac:dyDescent="0.2">
      <c r="A20" s="10" t="str">
        <f ca="1"/>
        <v>9000 - Locacao Equipamentos - Andaime</v>
      </c>
      <c r="B20" s="10">
        <f ca="1">IF(OR(A20="",A20=0),"",LARGE($B$8:B19,1)+1)</f>
        <v>12</v>
      </c>
      <c r="C20" s="7"/>
      <c r="D20" s="279">
        <f ca="1">IF(A20="","",COUNTIF(Orçamento!P:P,A20))</f>
        <v>0</v>
      </c>
      <c r="E20" s="280" t="str">
        <f ca="1">IFERROR(IF(A20="","",_xlfn.XLOOKUP(A20,'ABC Serviços Apoio'!C:C,'ABC Serviços Apoio'!A:A)),"")</f>
        <v>Locacao Equipamentos - Andaime</v>
      </c>
      <c r="F20" s="281" t="str">
        <f ca="1">IFERROR(IF(A20="","",_xlfn.XLOOKUP(E20,Orçamento!Q:Q,Orçamento!T:T)),"")</f>
        <v>MES</v>
      </c>
      <c r="G20" s="282">
        <f ca="1">IFERROR(IF(A20="","",SUMIF(Orçamento!Q:Q,E20,Orçamento!X:X)),"")</f>
        <v>6</v>
      </c>
      <c r="H20" s="283">
        <f ca="1">IFERROR(IF(A20="","",_xlfn.XLOOKUP(E20,Orçamento!Q:Q,Orçamento!Y:Y)),"")</f>
        <v>1500</v>
      </c>
      <c r="I20" s="283">
        <f t="shared" ca="1" si="0"/>
        <v>9000</v>
      </c>
      <c r="J20" s="284">
        <f t="shared" ca="1" si="1"/>
        <v>1.2911320548407003E-3</v>
      </c>
      <c r="K20" s="284">
        <f t="shared" ca="1" si="2"/>
        <v>1.27330474277634E-2</v>
      </c>
      <c r="M20" s="419"/>
    </row>
    <row r="21" spans="1:13" x14ac:dyDescent="0.2">
      <c r="A21" s="10" t="str">
        <f ca="1"/>
        <v>8947,9168 - Porta de madeira- folha leve/média - 60x210cm- fixacao com espuma expansiva</v>
      </c>
      <c r="B21" s="10">
        <f ca="1">IF(OR(A21="",A21=0),"",LARGE($B$8:B20,1)+1)</f>
        <v>13</v>
      </c>
      <c r="C21" s="7"/>
      <c r="D21" s="279">
        <f ca="1">IF(A21="","",COUNTIF(Orçamento!P:P,A21))</f>
        <v>0</v>
      </c>
      <c r="E21" s="280" t="str">
        <f ca="1">IFERROR(IF(A21="","",_xlfn.XLOOKUP(A21,'ABC Serviços Apoio'!C:C,'ABC Serviços Apoio'!A:A)),"")</f>
        <v>Porta de madeira- folha leve/média - 60x210cm- fixacao com espuma expansiva</v>
      </c>
      <c r="F21" s="281" t="str">
        <f ca="1">IFERROR(IF(A21="","",_xlfn.XLOOKUP(E21,Orçamento!Q:Q,Orçamento!T:T)),"")</f>
        <v>UN</v>
      </c>
      <c r="G21" s="282">
        <f ca="1">IFERROR(IF(A21="","",SUMIF(Orçamento!Q:Q,E21,Orçamento!X:X)),"")</f>
        <v>20</v>
      </c>
      <c r="H21" s="283">
        <f ca="1">IFERROR(IF(A21="","",_xlfn.XLOOKUP(E21,Orçamento!Q:Q,Orçamento!Y:Y)),"")</f>
        <v>447.39584000000002</v>
      </c>
      <c r="I21" s="283">
        <f t="shared" ca="1" si="0"/>
        <v>8947.9168000000009</v>
      </c>
      <c r="J21" s="284">
        <f t="shared" ca="1" si="1"/>
        <v>1.2836602449475137E-3</v>
      </c>
      <c r="K21" s="284">
        <f t="shared" ca="1" si="2"/>
        <v>1.4016707672710915E-2</v>
      </c>
      <c r="M21" s="419"/>
    </row>
    <row r="22" spans="1:13" x14ac:dyDescent="0.2">
      <c r="A22" s="10" t="str">
        <f ca="1"/>
        <v>8900 - Sondagem do terreno</v>
      </c>
      <c r="B22" s="10">
        <f ca="1">IF(OR(A22="",A22=0),"",LARGE($B$8:B21,1)+1)</f>
        <v>14</v>
      </c>
      <c r="C22" s="7"/>
      <c r="D22" s="279">
        <f ca="1">IF(A22="","",COUNTIF(Orçamento!P:P,A22))</f>
        <v>0</v>
      </c>
      <c r="E22" s="280" t="str">
        <f ca="1">IFERROR(IF(A22="","",_xlfn.XLOOKUP(A22,'ABC Serviços Apoio'!C:C,'ABC Serviços Apoio'!A:A)),"")</f>
        <v>Sondagem do terreno</v>
      </c>
      <c r="F22" s="281" t="str">
        <f ca="1">IFERROR(IF(A22="","",_xlfn.XLOOKUP(E22,Orçamento!Q:Q,Orçamento!T:T)),"")</f>
        <v>VB</v>
      </c>
      <c r="G22" s="282">
        <f ca="1">IFERROR(IF(A22="","",SUMIF(Orçamento!Q:Q,E22,Orçamento!X:X)),"")</f>
        <v>1</v>
      </c>
      <c r="H22" s="283">
        <f ca="1">IFERROR(IF(A22="","",_xlfn.XLOOKUP(E22,Orçamento!Q:Q,Orçamento!Y:Y)),"")</f>
        <v>8900</v>
      </c>
      <c r="I22" s="283">
        <f t="shared" ca="1" si="0"/>
        <v>8900</v>
      </c>
      <c r="J22" s="284">
        <f t="shared" ca="1" si="1"/>
        <v>1.2767861431202481E-3</v>
      </c>
      <c r="K22" s="284">
        <f t="shared" ca="1" si="2"/>
        <v>1.5293493815831163E-2</v>
      </c>
      <c r="M22" s="419"/>
    </row>
    <row r="23" spans="1:13" x14ac:dyDescent="0.2">
      <c r="A23" s="10" t="str">
        <f ca="1"/>
        <v>88550 - Mao de obra de instalacoes hidrossanitárias</v>
      </c>
      <c r="B23" s="10">
        <f ca="1">IF(OR(A23="",A23=0),"",LARGE($B$8:B22,1)+1)</f>
        <v>15</v>
      </c>
      <c r="C23" s="7"/>
      <c r="D23" s="279">
        <f ca="1">IF(A23="","",COUNTIF(Orçamento!P:P,A23))</f>
        <v>0</v>
      </c>
      <c r="E23" s="280" t="str">
        <f ca="1">IFERROR(IF(A23="","",_xlfn.XLOOKUP(A23,'ABC Serviços Apoio'!C:C,'ABC Serviços Apoio'!A:A)),"")</f>
        <v>Mao de obra de instalacoes hidrossanitárias</v>
      </c>
      <c r="F23" s="281" t="str">
        <f ca="1">IFERROR(IF(A23="","",_xlfn.XLOOKUP(E23,Orçamento!Q:Q,Orçamento!T:T)),"")</f>
        <v>m2</v>
      </c>
      <c r="G23" s="282">
        <f ca="1">IFERROR(IF(A23="","",SUMIF(Orçamento!Q:Q,E23,Orçamento!X:X)),"")</f>
        <v>2407.19884</v>
      </c>
      <c r="H23" s="283">
        <f ca="1">IFERROR(IF(A23="","",_xlfn.XLOOKUP(E23,Orçamento!Q:Q,Orçamento!Y:Y)),"")</f>
        <v>36.785494629101763</v>
      </c>
      <c r="I23" s="283">
        <f t="shared" ca="1" si="0"/>
        <v>88550</v>
      </c>
      <c r="J23" s="284">
        <f t="shared" ca="1" si="1"/>
        <v>1.2703304828460445E-2</v>
      </c>
      <c r="K23" s="284">
        <f t="shared" ca="1" si="2"/>
        <v>2.7996798644291609E-2</v>
      </c>
      <c r="M23" s="419"/>
    </row>
    <row r="24" spans="1:13" x14ac:dyDescent="0.2">
      <c r="A24" s="10" t="str">
        <f ca="1"/>
        <v>88550 - Mao de obra de instalacoes eletricas</v>
      </c>
      <c r="B24" s="10">
        <f ca="1">IF(OR(A24="",A24=0),"",LARGE($B$8:B23,1)+1)</f>
        <v>16</v>
      </c>
      <c r="C24" s="7"/>
      <c r="D24" s="279">
        <f ca="1">IF(A24="","",COUNTIF(Orçamento!P:P,A24))</f>
        <v>0</v>
      </c>
      <c r="E24" s="280" t="str">
        <f ca="1">IFERROR(IF(A24="","",_xlfn.XLOOKUP(A24,'ABC Serviços Apoio'!C:C,'ABC Serviços Apoio'!A:A)),"")</f>
        <v>Mao de obra de instalacoes eletricas</v>
      </c>
      <c r="F24" s="281" t="str">
        <f ca="1">IFERROR(IF(A24="","",_xlfn.XLOOKUP(E24,Orçamento!Q:Q,Orçamento!T:T)),"")</f>
        <v>M2</v>
      </c>
      <c r="G24" s="282">
        <f ca="1">IFERROR(IF(A24="","",SUMIF(Orçamento!Q:Q,E24,Orçamento!X:X)),"")</f>
        <v>2407.19884</v>
      </c>
      <c r="H24" s="283">
        <f ca="1">IFERROR(IF(A24="","",_xlfn.XLOOKUP(E24,Orçamento!Q:Q,Orçamento!Y:Y)),"")</f>
        <v>36.785494629101763</v>
      </c>
      <c r="I24" s="283">
        <f t="shared" ca="1" si="0"/>
        <v>88550</v>
      </c>
      <c r="J24" s="284">
        <f t="shared" ca="1" si="1"/>
        <v>1.2703304828460445E-2</v>
      </c>
      <c r="K24" s="284">
        <f t="shared" ca="1" si="2"/>
        <v>4.0700103472752054E-2</v>
      </c>
      <c r="M24" s="419"/>
    </row>
    <row r="25" spans="1:13" x14ac:dyDescent="0.2">
      <c r="A25" s="10" t="str">
        <f ca="1"/>
        <v>88008,1875584659 - Mao de obra para colocacao e rejuntamento de piso porcelanato</v>
      </c>
      <c r="B25" s="10">
        <f ca="1">IF(OR(A25="",A25=0),"",LARGE($B$8:B24,1)+1)</f>
        <v>17</v>
      </c>
      <c r="C25" s="7"/>
      <c r="D25" s="279">
        <f ca="1">IF(A25="","",COUNTIF(Orçamento!P:P,A25))</f>
        <v>0</v>
      </c>
      <c r="E25" s="280" t="str">
        <f ca="1">IFERROR(IF(A25="","",_xlfn.XLOOKUP(A25,'ABC Serviços Apoio'!C:C,'ABC Serviços Apoio'!A:A)),"")</f>
        <v>Mao de obra para colocacao e rejuntamento de piso porcelanato</v>
      </c>
      <c r="F25" s="281" t="str">
        <f ca="1">IFERROR(IF(A25="","",_xlfn.XLOOKUP(E25,Orçamento!Q:Q,Orçamento!T:T)),"")</f>
        <v>M2</v>
      </c>
      <c r="G25" s="282">
        <f ca="1">IFERROR(IF(A25="","",SUMIF(Orçamento!Q:Q,E25,Orçamento!X:X)),"")</f>
        <v>1197.21</v>
      </c>
      <c r="H25" s="283">
        <f ca="1">IFERROR(IF(A25="","",_xlfn.XLOOKUP(E25,Orçamento!Q:Q,Orçamento!Y:Y)),"")</f>
        <v>73.511069535391329</v>
      </c>
      <c r="I25" s="283">
        <f t="shared" ca="1" si="0"/>
        <v>88008.187558465856</v>
      </c>
      <c r="J25" s="284">
        <f t="shared" ca="1" si="1"/>
        <v>1.2625576893907529E-2</v>
      </c>
      <c r="K25" s="284">
        <f t="shared" ca="1" si="2"/>
        <v>5.3325680366659585E-2</v>
      </c>
      <c r="M25" s="419"/>
    </row>
    <row r="26" spans="1:13" x14ac:dyDescent="0.2">
      <c r="A26" s="10" t="str">
        <f ca="1"/>
        <v>8800 - Despesas de consumo - Energia</v>
      </c>
      <c r="B26" s="10">
        <f ca="1">IF(OR(A26="",A26=0),"",LARGE($B$8:B25,1)+1)</f>
        <v>18</v>
      </c>
      <c r="C26" s="7"/>
      <c r="D26" s="279">
        <f ca="1">IF(A26="","",COUNTIF(Orçamento!P:P,A26))</f>
        <v>0</v>
      </c>
      <c r="E26" s="280" t="str">
        <f ca="1">IFERROR(IF(A26="","",_xlfn.XLOOKUP(A26,'ABC Serviços Apoio'!C:C,'ABC Serviços Apoio'!A:A)),"")</f>
        <v>Despesas de consumo - Energia</v>
      </c>
      <c r="F26" s="281" t="str">
        <f ca="1">IFERROR(IF(A26="","",_xlfn.XLOOKUP(E26,Orçamento!Q:Q,Orçamento!T:T)),"")</f>
        <v>MES</v>
      </c>
      <c r="G26" s="282">
        <f ca="1">IFERROR(IF(A26="","",SUMIF(Orçamento!Q:Q,E26,Orçamento!X:X)),"")</f>
        <v>22</v>
      </c>
      <c r="H26" s="283">
        <f ca="1">IFERROR(IF(A26="","",_xlfn.XLOOKUP(E26,Orçamento!Q:Q,Orçamento!Y:Y)),"")</f>
        <v>400</v>
      </c>
      <c r="I26" s="283">
        <f t="shared" ca="1" si="0"/>
        <v>8800</v>
      </c>
      <c r="J26" s="284">
        <f t="shared" ca="1" si="1"/>
        <v>1.2624402313997957E-3</v>
      </c>
      <c r="K26" s="284">
        <f t="shared" ca="1" si="2"/>
        <v>5.4588120598059384E-2</v>
      </c>
      <c r="M26" s="419"/>
    </row>
    <row r="27" spans="1:13" x14ac:dyDescent="0.2">
      <c r="A27" s="10" t="str">
        <f ca="1"/>
        <v>8514,32961 - Regularizacao de superficie para impermeabilizacao</v>
      </c>
      <c r="B27" s="10">
        <f ca="1">IF(OR(A27="",A27=0),"",LARGE($B$8:B26,1)+1)</f>
        <v>19</v>
      </c>
      <c r="C27" s="7"/>
      <c r="D27" s="279">
        <f ca="1">IF(A27="","",COUNTIF(Orçamento!P:P,A27))</f>
        <v>0</v>
      </c>
      <c r="E27" s="280" t="str">
        <f ca="1">IFERROR(IF(A27="","",_xlfn.XLOOKUP(A27,'ABC Serviços Apoio'!C:C,'ABC Serviços Apoio'!A:A)),"")</f>
        <v>Regularizacao de superficie para impermeabilizacao</v>
      </c>
      <c r="F27" s="281" t="str">
        <f ca="1">IFERROR(IF(A27="","",_xlfn.XLOOKUP(E27,Orçamento!Q:Q,Orçamento!T:T)),"")</f>
        <v>M2</v>
      </c>
      <c r="G27" s="282">
        <f ca="1">IFERROR(IF(A27="","",SUMIF(Orçamento!Q:Q,E27,Orçamento!X:X)),"")</f>
        <v>1278.1400000000001</v>
      </c>
      <c r="H27" s="283">
        <f ca="1">IFERROR(IF(A27="","",_xlfn.XLOOKUP(E27,Orçamento!Q:Q,Orçamento!Y:Y)),"")</f>
        <v>6.6615000000000002</v>
      </c>
      <c r="I27" s="283">
        <f t="shared" ca="1" si="0"/>
        <v>8514.3296100000007</v>
      </c>
      <c r="J27" s="284">
        <f t="shared" ca="1" si="1"/>
        <v>1.2214582094389242E-3</v>
      </c>
      <c r="K27" s="284">
        <f t="shared" ca="1" si="2"/>
        <v>5.580957880749831E-2</v>
      </c>
      <c r="M27" s="419"/>
    </row>
    <row r="28" spans="1:13" x14ac:dyDescent="0.2">
      <c r="A28" s="10" t="str">
        <f ca="1"/>
        <v>8400 - Mão de obra para tratamento de ralos</v>
      </c>
      <c r="B28" s="10">
        <f ca="1">IF(OR(A28="",A28=0),"",LARGE($B$8:B27,1)+1)</f>
        <v>20</v>
      </c>
      <c r="C28" s="7"/>
      <c r="D28" s="279">
        <f ca="1">IF(A28="","",COUNTIF(Orçamento!P:P,A28))</f>
        <v>0</v>
      </c>
      <c r="E28" s="280" t="str">
        <f ca="1">IFERROR(IF(A28="","",_xlfn.XLOOKUP(A28,'ABC Serviços Apoio'!C:C,'ABC Serviços Apoio'!A:A)),"")</f>
        <v>Mão de obra para tratamento de ralos</v>
      </c>
      <c r="F28" s="281" t="str">
        <f ca="1">IFERROR(IF(A28="","",_xlfn.XLOOKUP(E28,Orçamento!Q:Q,Orçamento!T:T)),"")</f>
        <v>M2</v>
      </c>
      <c r="G28" s="282">
        <f ca="1">IFERROR(IF(A28="","",SUMIF(Orçamento!Q:Q,E28,Orçamento!X:X)),"")</f>
        <v>105</v>
      </c>
      <c r="H28" s="283">
        <f ca="1">IFERROR(IF(A28="","",_xlfn.XLOOKUP(E28,Orçamento!Q:Q,Orçamento!Y:Y)),"")</f>
        <v>80</v>
      </c>
      <c r="I28" s="283">
        <f t="shared" ca="1" si="0"/>
        <v>8400</v>
      </c>
      <c r="J28" s="284">
        <f t="shared" ca="1" si="1"/>
        <v>1.2050565845179869E-3</v>
      </c>
      <c r="K28" s="284">
        <f t="shared" ca="1" si="2"/>
        <v>5.7014635392016295E-2</v>
      </c>
      <c r="M28" s="419"/>
    </row>
    <row r="29" spans="1:13" x14ac:dyDescent="0.2">
      <c r="A29" s="10" t="str">
        <f ca="1"/>
        <v>82800 - Mao de obra para pintura acrílica em teto</v>
      </c>
      <c r="B29" s="10">
        <f ca="1">IF(OR(A29="",A29=0),"",LARGE($B$8:B28,1)+1)</f>
        <v>21</v>
      </c>
      <c r="C29" s="7"/>
      <c r="D29" s="279">
        <f ca="1">IF(A29="","",COUNTIF(Orçamento!P:P,A29))</f>
        <v>0</v>
      </c>
      <c r="E29" s="280" t="str">
        <f ca="1">IFERROR(IF(A29="","",_xlfn.XLOOKUP(A29,'ABC Serviços Apoio'!C:C,'ABC Serviços Apoio'!A:A)),"")</f>
        <v>Mao de obra para pintura acrílica em teto</v>
      </c>
      <c r="F29" s="281" t="str">
        <f ca="1">IFERROR(IF(A29="","",_xlfn.XLOOKUP(E29,Orçamento!Q:Q,Orçamento!T:T)),"")</f>
        <v>M2</v>
      </c>
      <c r="G29" s="282">
        <f ca="1">IFERROR(IF(A29="","",SUMIF(Orçamento!Q:Q,E29,Orçamento!X:X)),"")</f>
        <v>1560.13</v>
      </c>
      <c r="H29" s="283">
        <f ca="1">IFERROR(IF(A29="","",_xlfn.XLOOKUP(E29,Orçamento!Q:Q,Orçamento!Y:Y)),"")</f>
        <v>53.07250036855902</v>
      </c>
      <c r="I29" s="283">
        <f t="shared" ca="1" si="0"/>
        <v>82799.999999999985</v>
      </c>
      <c r="J29" s="284">
        <f t="shared" ca="1" si="1"/>
        <v>1.1878414904534441E-2</v>
      </c>
      <c r="K29" s="284">
        <f t="shared" ca="1" si="2"/>
        <v>6.889305029655074E-2</v>
      </c>
      <c r="M29" s="419"/>
    </row>
    <row r="30" spans="1:13" x14ac:dyDescent="0.2">
      <c r="A30" s="10" t="str">
        <f ca="1"/>
        <v>8265,1 - Esquadrias Metálicas - Janela Fixa - fornecimento e instalacao</v>
      </c>
      <c r="B30" s="10">
        <f ca="1">IF(OR(A30="",A30=0),"",LARGE($B$8:B29,1)+1)</f>
        <v>22</v>
      </c>
      <c r="C30" s="7"/>
      <c r="D30" s="279">
        <f ca="1">IF(A30="","",COUNTIF(Orçamento!P:P,A30))</f>
        <v>0</v>
      </c>
      <c r="E30" s="280" t="str">
        <f ca="1">IFERROR(IF(A30="","",_xlfn.XLOOKUP(A30,'ABC Serviços Apoio'!C:C,'ABC Serviços Apoio'!A:A)),"")</f>
        <v>Esquadrias Metálicas - Janela Fixa - fornecimento e instalacao</v>
      </c>
      <c r="F30" s="281" t="str">
        <f ca="1">IFERROR(IF(A30="","",_xlfn.XLOOKUP(E30,Orçamento!Q:Q,Orçamento!T:T)),"")</f>
        <v>UN</v>
      </c>
      <c r="G30" s="282">
        <f ca="1">IFERROR(IF(A30="","",SUMIF(Orçamento!Q:Q,E30,Orçamento!X:X)),"")</f>
        <v>10</v>
      </c>
      <c r="H30" s="283">
        <f ca="1">IFERROR(IF(A30="","",_xlfn.XLOOKUP(E30,Orçamento!Q:Q,Orçamento!Y:Y)),"")</f>
        <v>826.51</v>
      </c>
      <c r="I30" s="283">
        <f t="shared" ca="1" si="0"/>
        <v>8265.1</v>
      </c>
      <c r="J30" s="284">
        <f t="shared" ca="1" si="1"/>
        <v>1.1857039496070969E-3</v>
      </c>
      <c r="K30" s="284">
        <f t="shared" ca="1" si="2"/>
        <v>7.0078754246157837E-2</v>
      </c>
      <c r="M30" s="419"/>
    </row>
    <row r="31" spans="1:13" x14ac:dyDescent="0.2">
      <c r="A31" s="10" t="str">
        <f ca="1"/>
        <v>8129,21 - Demolições</v>
      </c>
      <c r="B31" s="10">
        <f ca="1">IF(OR(A31="",A31=0),"",LARGE($B$8:B30,1)+1)</f>
        <v>23</v>
      </c>
      <c r="C31" s="7"/>
      <c r="D31" s="279">
        <f ca="1">IF(A31="","",COUNTIF(Orçamento!P:P,A31))</f>
        <v>0</v>
      </c>
      <c r="E31" s="280" t="str">
        <f ca="1">IFERROR(IF(A31="","",_xlfn.XLOOKUP(A31,'ABC Serviços Apoio'!C:C,'ABC Serviços Apoio'!A:A)),"")</f>
        <v>Demolições</v>
      </c>
      <c r="F31" s="281" t="str">
        <f ca="1">IFERROR(IF(A31="","",_xlfn.XLOOKUP(E31,Orçamento!Q:Q,Orçamento!T:T)),"")</f>
        <v>VB</v>
      </c>
      <c r="G31" s="282">
        <f ca="1">IFERROR(IF(A31="","",SUMIF(Orçamento!Q:Q,E31,Orçamento!X:X)),"")</f>
        <v>1</v>
      </c>
      <c r="H31" s="283">
        <f ca="1">IFERROR(IF(A31="","",_xlfn.XLOOKUP(E31,Orçamento!Q:Q,Orçamento!Y:Y)),"")</f>
        <v>8129.21</v>
      </c>
      <c r="I31" s="283">
        <f t="shared" ca="1" si="0"/>
        <v>8129.21</v>
      </c>
      <c r="J31" s="284">
        <f t="shared" ca="1" si="1"/>
        <v>1.1662092901701742E-3</v>
      </c>
      <c r="K31" s="284">
        <f t="shared" ca="1" si="2"/>
        <v>7.1244963536328018E-2</v>
      </c>
      <c r="M31" s="419"/>
    </row>
    <row r="32" spans="1:13" x14ac:dyDescent="0.2">
      <c r="A32" s="10" t="str">
        <f ca="1"/>
        <v>8104,91367 - Chapisco aplicado em estruturas de concreto, com desempenadeira dentada, de argamassa industrializada</v>
      </c>
      <c r="B32" s="10">
        <f ca="1">IF(OR(A32="",A32=0),"",LARGE($B$8:B31,1)+1)</f>
        <v>24</v>
      </c>
      <c r="C32" s="7"/>
      <c r="D32" s="279">
        <f ca="1">IF(A32="","",COUNTIF(Orçamento!P:P,A32))</f>
        <v>0</v>
      </c>
      <c r="E32" s="280" t="str">
        <f ca="1">IFERROR(IF(A32="","",_xlfn.XLOOKUP(A32,'ABC Serviços Apoio'!C:C,'ABC Serviços Apoio'!A:A)),"")</f>
        <v>Chapisco aplicado em estruturas de concreto, com desempenadeira dentada, de argamassa industrializada</v>
      </c>
      <c r="F32" s="281" t="str">
        <f ca="1">IFERROR(IF(A32="","",_xlfn.XLOOKUP(E32,Orçamento!Q:Q,Orçamento!T:T)),"")</f>
        <v>M2</v>
      </c>
      <c r="G32" s="282">
        <f ca="1">IFERROR(IF(A32="","",SUMIF(Orçamento!Q:Q,E32,Orçamento!X:X)),"")</f>
        <v>1473.085</v>
      </c>
      <c r="H32" s="283">
        <f ca="1">IFERROR(IF(A32="","",_xlfn.XLOOKUP(E32,Orçamento!Q:Q,Orçamento!Y:Y)),"")</f>
        <v>5.5020000000000007</v>
      </c>
      <c r="I32" s="283">
        <f t="shared" ca="1" si="0"/>
        <v>8104.9136700000008</v>
      </c>
      <c r="J32" s="284">
        <f t="shared" ca="1" si="1"/>
        <v>1.1627237601170646E-3</v>
      </c>
      <c r="K32" s="284">
        <f t="shared" ca="1" si="2"/>
        <v>7.2407687296445089E-2</v>
      </c>
      <c r="M32" s="419"/>
    </row>
    <row r="33" spans="1:13" x14ac:dyDescent="0.2">
      <c r="A33" s="10" t="str">
        <f ca="1"/>
        <v>81,170399268 - Pintura acrilica em piso e rodapé de 7cm, 2 demaos, aplicacao em antecamara e escadaria</v>
      </c>
      <c r="B33" s="10">
        <f ca="1">IF(OR(A33="",A33=0),"",LARGE($B$8:B32,1)+1)</f>
        <v>25</v>
      </c>
      <c r="C33" s="7"/>
      <c r="D33" s="279">
        <f ca="1">IF(A33="","",COUNTIF(Orçamento!P:P,A33))</f>
        <v>0</v>
      </c>
      <c r="E33" s="280" t="str">
        <f ca="1">IFERROR(IF(A33="","",_xlfn.XLOOKUP(A33,'ABC Serviços Apoio'!C:C,'ABC Serviços Apoio'!A:A)),"")</f>
        <v>Pintura acrilica em piso e rodapé de 7cm, 2 demaos, aplicacao em antecamara e escadaria</v>
      </c>
      <c r="F33" s="281" t="str">
        <f ca="1">IFERROR(IF(A33="","",_xlfn.XLOOKUP(E33,Orçamento!Q:Q,Orçamento!T:T)),"")</f>
        <v>M2</v>
      </c>
      <c r="G33" s="282">
        <f ca="1">IFERROR(IF(A33="","",SUMIF(Orçamento!Q:Q,E33,Orçamento!X:X)),"")</f>
        <v>17.3124</v>
      </c>
      <c r="H33" s="283">
        <f ca="1">IFERROR(IF(A33="","",_xlfn.XLOOKUP(E33,Orçamento!Q:Q,Orçamento!Y:Y)),"")</f>
        <v>4.6885700000000003</v>
      </c>
      <c r="I33" s="283">
        <f t="shared" ca="1" si="0"/>
        <v>81.170399268000011</v>
      </c>
      <c r="J33" s="284">
        <f t="shared" ca="1" si="1"/>
        <v>1.164463382212588E-5</v>
      </c>
      <c r="K33" s="284">
        <f t="shared" ca="1" si="2"/>
        <v>7.2419331930267214E-2</v>
      </c>
      <c r="M33" s="419"/>
    </row>
    <row r="34" spans="1:13" x14ac:dyDescent="0.2">
      <c r="A34" s="10" t="str">
        <f ca="1"/>
        <v>80994,2925 - Contrapiso comum em argamassa estabilizada, nao aderido, espessura 8cm</v>
      </c>
      <c r="B34" s="10">
        <f ca="1">IF(OR(A34="",A34=0),"",LARGE($B$8:B33,1)+1)</f>
        <v>26</v>
      </c>
      <c r="C34" s="7"/>
      <c r="D34" s="279">
        <f ca="1">IF(A34="","",COUNTIF(Orçamento!P:P,A34))</f>
        <v>0</v>
      </c>
      <c r="E34" s="280" t="str">
        <f ca="1">IFERROR(IF(A34="","",_xlfn.XLOOKUP(A34,'ABC Serviços Apoio'!C:C,'ABC Serviços Apoio'!A:A)),"")</f>
        <v>Contrapiso comum em argamassa estabilizada, nao aderido, espessura 8cm</v>
      </c>
      <c r="F34" s="281" t="str">
        <f ca="1">IFERROR(IF(A34="","",_xlfn.XLOOKUP(E34,Orçamento!Q:Q,Orçamento!T:T)),"")</f>
        <v>M2</v>
      </c>
      <c r="G34" s="282">
        <f ca="1">IFERROR(IF(A34="","",SUMIF(Orçamento!Q:Q,E34,Orçamento!X:X)),"")</f>
        <v>1703.3500000000001</v>
      </c>
      <c r="H34" s="283">
        <f ca="1">IFERROR(IF(A34="","",_xlfn.XLOOKUP(E34,Orçamento!Q:Q,Orçamento!Y:Y)),"")</f>
        <v>47.55</v>
      </c>
      <c r="I34" s="283">
        <f t="shared" ca="1" si="0"/>
        <v>80994.292499999996</v>
      </c>
      <c r="J34" s="284">
        <f t="shared" ca="1" si="1"/>
        <v>1.1619369700654856E-2</v>
      </c>
      <c r="K34" s="284">
        <f t="shared" ca="1" si="2"/>
        <v>8.4038701630922072E-2</v>
      </c>
      <c r="M34" s="419"/>
    </row>
    <row r="35" spans="1:13" x14ac:dyDescent="0.2">
      <c r="A35" s="10" t="str">
        <f ca="1"/>
        <v>7947,93928 - Porta de madeira- folha leve/média - 70x210cm- fixacao com espuma expansiva</v>
      </c>
      <c r="B35" s="10">
        <f ca="1">IF(OR(A35="",A35=0),"",LARGE($B$8:B34,1)+1)</f>
        <v>27</v>
      </c>
      <c r="C35" s="7"/>
      <c r="D35" s="279">
        <f ca="1">IF(A35="","",COUNTIF(Orçamento!P:P,A35))</f>
        <v>0</v>
      </c>
      <c r="E35" s="280" t="str">
        <f ca="1">IFERROR(IF(A35="","",_xlfn.XLOOKUP(A35,'ABC Serviços Apoio'!C:C,'ABC Serviços Apoio'!A:A)),"")</f>
        <v>Porta de madeira- folha leve/média - 70x210cm- fixacao com espuma expansiva</v>
      </c>
      <c r="F35" s="281" t="str">
        <f ca="1">IFERROR(IF(A35="","",_xlfn.XLOOKUP(E35,Orçamento!Q:Q,Orçamento!T:T)),"")</f>
        <v>UN</v>
      </c>
      <c r="G35" s="282">
        <f ca="1">IFERROR(IF(A35="","",SUMIF(Orçamento!Q:Q,E35,Orçamento!X:X)),"")</f>
        <v>17</v>
      </c>
      <c r="H35" s="283">
        <f ca="1">IFERROR(IF(A35="","",_xlfn.XLOOKUP(E35,Orçamento!Q:Q,Orçamento!Y:Y)),"")</f>
        <v>467.52584000000002</v>
      </c>
      <c r="I35" s="283">
        <f t="shared" ca="1" si="0"/>
        <v>7947.9392800000005</v>
      </c>
      <c r="J35" s="284">
        <f t="shared" ca="1" si="1"/>
        <v>1.1402043527039463E-3</v>
      </c>
      <c r="K35" s="284">
        <f t="shared" ca="1" si="2"/>
        <v>8.5178905983626013E-2</v>
      </c>
      <c r="M35" s="419"/>
    </row>
    <row r="36" spans="1:13" x14ac:dyDescent="0.2">
      <c r="A36" s="10" t="str">
        <f ca="1"/>
        <v>7800,33112794408 - Pontos de Tomadas e Interruptores - Tipo (x5)</v>
      </c>
      <c r="B36" s="10">
        <f ca="1">IF(OR(A36="",A36=0),"",LARGE($B$8:B35,1)+1)</f>
        <v>28</v>
      </c>
      <c r="C36" s="7"/>
      <c r="D36" s="279">
        <f ca="1">IF(A36="","",COUNTIF(Orçamento!P:P,A36))</f>
        <v>0</v>
      </c>
      <c r="E36" s="280" t="str">
        <f ca="1">IFERROR(IF(A36="","",_xlfn.XLOOKUP(A36,'ABC Serviços Apoio'!C:C,'ABC Serviços Apoio'!A:A)),"")</f>
        <v>Pontos de Tomadas e Interruptores - Tipo (x5)</v>
      </c>
      <c r="F36" s="281" t="str">
        <f ca="1">IFERROR(IF(A36="","",_xlfn.XLOOKUP(E36,Orçamento!Q:Q,Orçamento!T:T)),"")</f>
        <v>VB</v>
      </c>
      <c r="G36" s="282">
        <f ca="1">IFERROR(IF(A36="","",SUMIF(Orçamento!Q:Q,E36,Orçamento!X:X)),"")</f>
        <v>1</v>
      </c>
      <c r="H36" s="283">
        <f ca="1">IFERROR(IF(A36="","",_xlfn.XLOOKUP(E36,Orçamento!Q:Q,Orçamento!Y:Y)),"")</f>
        <v>7800.3311279440804</v>
      </c>
      <c r="I36" s="283">
        <f t="shared" ca="1" si="0"/>
        <v>7800.3311279440804</v>
      </c>
      <c r="J36" s="284">
        <f t="shared" ca="1" si="1"/>
        <v>1.1190286175178131E-3</v>
      </c>
      <c r="K36" s="284">
        <f t="shared" ca="1" si="2"/>
        <v>8.6297934601143822E-2</v>
      </c>
      <c r="M36" s="419"/>
    </row>
    <row r="37" spans="1:13" x14ac:dyDescent="0.2">
      <c r="A37" s="10" t="str">
        <f ca="1"/>
        <v>7800 - Serviço Levantamento Topografico</v>
      </c>
      <c r="B37" s="10">
        <f ca="1">IF(OR(A37="",A37=0),"",LARGE($B$8:B36,1)+1)</f>
        <v>29</v>
      </c>
      <c r="C37" s="7"/>
      <c r="D37" s="279">
        <f ca="1">IF(A37="","",COUNTIF(Orçamento!P:P,A37))</f>
        <v>0</v>
      </c>
      <c r="E37" s="280" t="str">
        <f ca="1">IFERROR(IF(A37="","",_xlfn.XLOOKUP(A37,'ABC Serviços Apoio'!C:C,'ABC Serviços Apoio'!A:A)),"")</f>
        <v>Serviço Levantamento Topografico</v>
      </c>
      <c r="F37" s="281" t="str">
        <f ca="1">IFERROR(IF(A37="","",_xlfn.XLOOKUP(E37,Orçamento!Q:Q,Orçamento!T:T)),"")</f>
        <v>VB</v>
      </c>
      <c r="G37" s="282">
        <f ca="1">IFERROR(IF(A37="","",SUMIF(Orçamento!Q:Q,E37,Orçamento!X:X)),"")</f>
        <v>1</v>
      </c>
      <c r="H37" s="283">
        <f ca="1">IFERROR(IF(A37="","",_xlfn.XLOOKUP(E37,Orçamento!Q:Q,Orçamento!Y:Y)),"")</f>
        <v>7800</v>
      </c>
      <c r="I37" s="283">
        <f t="shared" ca="1" si="0"/>
        <v>7800</v>
      </c>
      <c r="J37" s="284">
        <f t="shared" ca="1" si="1"/>
        <v>1.1189811141952735E-3</v>
      </c>
      <c r="K37" s="284">
        <f t="shared" ca="1" si="2"/>
        <v>8.7416915715339091E-2</v>
      </c>
      <c r="M37" s="419"/>
    </row>
    <row r="38" spans="1:13" x14ac:dyDescent="0.2">
      <c r="A38" s="10" t="str">
        <f ca="1"/>
        <v>7798,72208992091 - Instalacoes de Agua Fria - Sub Solo</v>
      </c>
      <c r="B38" s="10">
        <f ca="1">IF(OR(A38="",A38=0),"",LARGE($B$8:B37,1)+1)</f>
        <v>30</v>
      </c>
      <c r="C38" s="7"/>
      <c r="D38" s="279">
        <f ca="1">IF(A38="","",COUNTIF(Orçamento!P:P,A38))</f>
        <v>0</v>
      </c>
      <c r="E38" s="280" t="str">
        <f ca="1">IFERROR(IF(A38="","",_xlfn.XLOOKUP(A38,'ABC Serviços Apoio'!C:C,'ABC Serviços Apoio'!A:A)),"")</f>
        <v>Instalacoes de Agua Fria - Sub Solo</v>
      </c>
      <c r="F38" s="281" t="str">
        <f ca="1">IFERROR(IF(A38="","",_xlfn.XLOOKUP(E38,Orçamento!Q:Q,Orçamento!T:T)),"")</f>
        <v>VB</v>
      </c>
      <c r="G38" s="282">
        <f ca="1">IFERROR(IF(A38="","",SUMIF(Orçamento!Q:Q,E38,Orçamento!X:X)),"")</f>
        <v>1</v>
      </c>
      <c r="H38" s="283">
        <f ca="1">IFERROR(IF(A38="","",_xlfn.XLOOKUP(E38,Orçamento!Q:Q,Orçamento!Y:Y)),"")</f>
        <v>7798.7220899209133</v>
      </c>
      <c r="I38" s="283">
        <f t="shared" ca="1" si="0"/>
        <v>7798.7220899209133</v>
      </c>
      <c r="J38" s="284">
        <f t="shared" ca="1" si="1"/>
        <v>1.118797786343461E-3</v>
      </c>
      <c r="K38" s="284">
        <f t="shared" ca="1" si="2"/>
        <v>8.8535713501682559E-2</v>
      </c>
      <c r="M38" s="419"/>
    </row>
    <row r="39" spans="1:13" x14ac:dyDescent="0.2">
      <c r="A39" s="10" t="str">
        <f ca="1"/>
        <v>779,872208992091 - Luminárias e Acessorios - Subsolo</v>
      </c>
      <c r="B39" s="10">
        <f ca="1">IF(OR(A39="",A39=0),"",LARGE($B$8:B38,1)+1)</f>
        <v>31</v>
      </c>
      <c r="C39" s="7"/>
      <c r="D39" s="279">
        <f ca="1">IF(A39="","",COUNTIF(Orçamento!P:P,A39))</f>
        <v>0</v>
      </c>
      <c r="E39" s="280" t="str">
        <f ca="1">IFERROR(IF(A39="","",_xlfn.XLOOKUP(A39,'ABC Serviços Apoio'!C:C,'ABC Serviços Apoio'!A:A)),"")</f>
        <v>Luminárias e Acessorios - Subsolo</v>
      </c>
      <c r="F39" s="281" t="str">
        <f ca="1">IFERROR(IF(A39="","",_xlfn.XLOOKUP(E39,Orçamento!Q:Q,Orçamento!T:T)),"")</f>
        <v>VB</v>
      </c>
      <c r="G39" s="282">
        <f ca="1">IFERROR(IF(A39="","",SUMIF(Orçamento!Q:Q,E39,Orçamento!X:X)),"")</f>
        <v>1</v>
      </c>
      <c r="H39" s="283">
        <f ca="1">IFERROR(IF(A39="","",_xlfn.XLOOKUP(E39,Orçamento!Q:Q,Orçamento!Y:Y)),"")</f>
        <v>779.87220899209137</v>
      </c>
      <c r="I39" s="283">
        <f t="shared" ca="1" si="0"/>
        <v>779.87220899209137</v>
      </c>
      <c r="J39" s="284">
        <f t="shared" ca="1" si="1"/>
        <v>1.118797786343461E-4</v>
      </c>
      <c r="K39" s="284">
        <f t="shared" ca="1" si="2"/>
        <v>8.8647593280316905E-2</v>
      </c>
      <c r="M39" s="419"/>
    </row>
    <row r="40" spans="1:13" x14ac:dyDescent="0.2">
      <c r="A40" s="10" t="str">
        <f ca="1"/>
        <v>778,308455118223 - Mao de obra - para pintura acrilica em piso</v>
      </c>
      <c r="B40" s="10">
        <f ca="1">IF(OR(A40="",A40=0),"",LARGE($B$8:B39,1)+1)</f>
        <v>32</v>
      </c>
      <c r="C40" s="7"/>
      <c r="D40" s="279">
        <f ca="1">IF(A40="","",COUNTIF(Orçamento!P:P,A40))</f>
        <v>0</v>
      </c>
      <c r="E40" s="280" t="str">
        <f ca="1">IFERROR(IF(A40="","",_xlfn.XLOOKUP(A40,'ABC Serviços Apoio'!C:C,'ABC Serviços Apoio'!A:A)),"")</f>
        <v>Mao de obra - para pintura acrilica em piso</v>
      </c>
      <c r="F40" s="281" t="str">
        <f ca="1">IFERROR(IF(A40="","",_xlfn.XLOOKUP(E40,Orçamento!Q:Q,Orçamento!T:T)),"")</f>
        <v>M2</v>
      </c>
      <c r="G40" s="282">
        <f ca="1">IFERROR(IF(A40="","",SUMIF(Orçamento!Q:Q,E40,Orçamento!X:X)),"")</f>
        <v>17.3124</v>
      </c>
      <c r="H40" s="283">
        <f ca="1">IFERROR(IF(A40="","",_xlfn.XLOOKUP(E40,Orçamento!Q:Q,Orçamento!Y:Y)),"")</f>
        <v>44.956704738697304</v>
      </c>
      <c r="I40" s="283">
        <f t="shared" ca="1" si="0"/>
        <v>778.30845511822326</v>
      </c>
      <c r="J40" s="284">
        <f t="shared" ca="1" si="1"/>
        <v>1.1165544388407583E-4</v>
      </c>
      <c r="K40" s="284">
        <f t="shared" ca="1" si="2"/>
        <v>8.8759248724200976E-2</v>
      </c>
      <c r="M40" s="419"/>
    </row>
    <row r="41" spans="1:13" x14ac:dyDescent="0.2">
      <c r="A41" s="10" t="str">
        <f ca="1"/>
        <v>7700 - Despesas de consumo - Água</v>
      </c>
      <c r="B41" s="10">
        <f ca="1">IF(OR(A41="",A41=0),"",LARGE($B$8:B40,1)+1)</f>
        <v>33</v>
      </c>
      <c r="C41" s="7"/>
      <c r="D41" s="279">
        <f ca="1">IF(A41="","",COUNTIF(Orçamento!P:P,A41))</f>
        <v>0</v>
      </c>
      <c r="E41" s="280" t="str">
        <f ca="1">IFERROR(IF(A41="","",_xlfn.XLOOKUP(A41,'ABC Serviços Apoio'!C:C,'ABC Serviços Apoio'!A:A)),"")</f>
        <v>Despesas de consumo - Água</v>
      </c>
      <c r="F41" s="281" t="str">
        <f ca="1">IFERROR(IF(A41="","",_xlfn.XLOOKUP(E41,Orçamento!Q:Q,Orçamento!T:T)),"")</f>
        <v>MES</v>
      </c>
      <c r="G41" s="282">
        <f ca="1">IFERROR(IF(A41="","",SUMIF(Orçamento!Q:Q,E41,Orçamento!X:X)),"")</f>
        <v>22</v>
      </c>
      <c r="H41" s="283">
        <f ca="1">IFERROR(IF(A41="","",_xlfn.XLOOKUP(E41,Orçamento!Q:Q,Orçamento!Y:Y)),"")</f>
        <v>350</v>
      </c>
      <c r="I41" s="283">
        <f t="shared" ca="1" si="0"/>
        <v>7700</v>
      </c>
      <c r="J41" s="284">
        <f t="shared" ca="1" si="1"/>
        <v>1.1046352024748213E-3</v>
      </c>
      <c r="K41" s="284">
        <f t="shared" ca="1" si="2"/>
        <v>8.9863883926675797E-2</v>
      </c>
      <c r="M41" s="419"/>
    </row>
    <row r="42" spans="1:13" x14ac:dyDescent="0.2">
      <c r="A42" s="10" t="str">
        <f ca="1"/>
        <v>7634,5715952 - Varal de seguranca com cabo de aco</v>
      </c>
      <c r="B42" s="10">
        <f ca="1">IF(OR(A42="",A42=0),"",LARGE($B$8:B41,1)+1)</f>
        <v>34</v>
      </c>
      <c r="C42" s="7"/>
      <c r="D42" s="279">
        <f ca="1">IF(A42="","",COUNTIF(Orçamento!P:P,A42))</f>
        <v>0</v>
      </c>
      <c r="E42" s="280" t="str">
        <f ca="1">IFERROR(IF(A42="","",_xlfn.XLOOKUP(A42,'ABC Serviços Apoio'!C:C,'ABC Serviços Apoio'!A:A)),"")</f>
        <v>Varal de seguranca com cabo de aco</v>
      </c>
      <c r="F42" s="281" t="str">
        <f ca="1">IFERROR(IF(A42="","",_xlfn.XLOOKUP(E42,Orçamento!Q:Q,Orçamento!T:T)),"")</f>
        <v>M</v>
      </c>
      <c r="G42" s="282">
        <f ca="1">IFERROR(IF(A42="","",SUMIF(Orçamento!Q:Q,E42,Orçamento!X:X)),"")</f>
        <v>129.04</v>
      </c>
      <c r="H42" s="283">
        <f ca="1">IFERROR(IF(A42="","",_xlfn.XLOOKUP(E42,Orçamento!Q:Q,Orçamento!Y:Y)),"")</f>
        <v>59.164380000000001</v>
      </c>
      <c r="I42" s="283">
        <f t="shared" ca="1" si="0"/>
        <v>7634.5715952</v>
      </c>
      <c r="J42" s="284">
        <f t="shared" ca="1" si="1"/>
        <v>1.0952489012821132E-3</v>
      </c>
      <c r="K42" s="284">
        <f t="shared" ca="1" si="2"/>
        <v>9.0959132827957909E-2</v>
      </c>
      <c r="M42" s="419"/>
    </row>
    <row r="43" spans="1:13" x14ac:dyDescent="0.2">
      <c r="A43" s="10" t="str">
        <f ca="1"/>
        <v>7600 - Taxa de As Built</v>
      </c>
      <c r="B43" s="10">
        <f ca="1">IF(OR(A43="",A43=0),"",LARGE($B$8:B42,1)+1)</f>
        <v>35</v>
      </c>
      <c r="C43" s="7"/>
      <c r="D43" s="279">
        <f ca="1">IF(A43="","",COUNTIF(Orçamento!P:P,A43))</f>
        <v>0</v>
      </c>
      <c r="E43" s="280" t="str">
        <f ca="1">IFERROR(IF(A43="","",_xlfn.XLOOKUP(A43,'ABC Serviços Apoio'!C:C,'ABC Serviços Apoio'!A:A)),"")</f>
        <v>Taxa de As Built</v>
      </c>
      <c r="F43" s="281" t="str">
        <f ca="1">IFERROR(IF(A43="","",_xlfn.XLOOKUP(E43,Orçamento!Q:Q,Orçamento!T:T)),"")</f>
        <v>VB</v>
      </c>
      <c r="G43" s="282">
        <f ca="1">IFERROR(IF(A43="","",SUMIF(Orçamento!Q:Q,E43,Orçamento!X:X)),"")</f>
        <v>1</v>
      </c>
      <c r="H43" s="283">
        <f ca="1">IFERROR(IF(A43="","",_xlfn.XLOOKUP(E43,Orçamento!Q:Q,Orçamento!Y:Y)),"")</f>
        <v>7600</v>
      </c>
      <c r="I43" s="283">
        <f t="shared" ca="1" si="0"/>
        <v>7600</v>
      </c>
      <c r="J43" s="284">
        <f t="shared" ca="1" si="1"/>
        <v>1.0902892907543691E-3</v>
      </c>
      <c r="K43" s="284">
        <f t="shared" ca="1" si="2"/>
        <v>9.2049422118712282E-2</v>
      </c>
      <c r="M43" s="419"/>
    </row>
    <row r="44" spans="1:13" x14ac:dyDescent="0.2">
      <c r="A44" s="10" t="str">
        <f ca="1"/>
        <v>75943,994067 - Alvenaria de vedacao de blocos ceramicos furados na horizontal de 14x19x29cm (espessura 14cm) com argamassa industrializada de assentamento</v>
      </c>
      <c r="B44" s="10">
        <f ca="1">IF(OR(A44="",A44=0),"",LARGE($B$8:B43,1)+1)</f>
        <v>36</v>
      </c>
      <c r="C44" s="7"/>
      <c r="D44" s="279">
        <f ca="1">IF(A44="","",COUNTIF(Orçamento!P:P,A44))</f>
        <v>0</v>
      </c>
      <c r="E44" s="280" t="str">
        <f ca="1">IFERROR(IF(A44="","",_xlfn.XLOOKUP(A44,'ABC Serviços Apoio'!C:C,'ABC Serviços Apoio'!A:A)),"")</f>
        <v>Alvenaria de vedacao de blocos ceramicos furados na horizontal de 14x19x29cm (espessura 14cm) com argamassa industrializada de assentamento</v>
      </c>
      <c r="F44" s="281" t="str">
        <f ca="1">IFERROR(IF(A44="","",_xlfn.XLOOKUP(E44,Orçamento!Q:Q,Orçamento!T:T)),"")</f>
        <v>M2</v>
      </c>
      <c r="G44" s="282">
        <f ca="1">IFERROR(IF(A44="","",SUMIF(Orçamento!Q:Q,E44,Orçamento!X:X)),"")</f>
        <v>2042.5099999999998</v>
      </c>
      <c r="H44" s="283">
        <f ca="1">IFERROR(IF(A44="","",_xlfn.XLOOKUP(E44,Orçamento!Q:Q,Orçamento!Y:Y)),"")</f>
        <v>37.181699999999999</v>
      </c>
      <c r="I44" s="283">
        <f t="shared" ca="1" si="0"/>
        <v>75943.994066999992</v>
      </c>
      <c r="J44" s="284">
        <f t="shared" ca="1" si="1"/>
        <v>1.0894858345837295E-2</v>
      </c>
      <c r="K44" s="284">
        <f t="shared" ca="1" si="2"/>
        <v>0.10294428046454958</v>
      </c>
      <c r="M44" s="419"/>
    </row>
    <row r="45" spans="1:13" x14ac:dyDescent="0.2">
      <c r="A45" s="10" t="str">
        <f ca="1"/>
        <v>75566,5647854719 - Concreto usinado Para Infraestrututera</v>
      </c>
      <c r="B45" s="10">
        <f ca="1">IF(OR(A45="",A45=0),"",LARGE($B$8:B44,1)+1)</f>
        <v>37</v>
      </c>
      <c r="C45" s="7"/>
      <c r="D45" s="279">
        <f ca="1">IF(A45="","",COUNTIF(Orçamento!P:P,A45))</f>
        <v>0</v>
      </c>
      <c r="E45" s="280" t="str">
        <f ca="1">IFERROR(IF(A45="","",_xlfn.XLOOKUP(A45,'ABC Serviços Apoio'!C:C,'ABC Serviços Apoio'!A:A)),"")</f>
        <v>Concreto usinado Para Infraestrututera</v>
      </c>
      <c r="F45" s="281" t="str">
        <f ca="1">IFERROR(IF(A45="","",_xlfn.XLOOKUP(E45,Orçamento!Q:Q,Orçamento!T:T)),"")</f>
        <v>VB</v>
      </c>
      <c r="G45" s="282">
        <f ca="1">IFERROR(IF(A45="","",SUMIF(Orçamento!Q:Q,E45,Orçamento!X:X)),"")</f>
        <v>1</v>
      </c>
      <c r="H45" s="283">
        <f ca="1">IFERROR(IF(A45="","",_xlfn.XLOOKUP(E45,Orçamento!Q:Q,Orçamento!Y:Y)),"")</f>
        <v>75566.564785471885</v>
      </c>
      <c r="I45" s="283">
        <f t="shared" ca="1" si="0"/>
        <v>75566.564785471885</v>
      </c>
      <c r="J45" s="284">
        <f t="shared" ca="1" si="1"/>
        <v>1.0840712674302134E-2</v>
      </c>
      <c r="K45" s="284">
        <f t="shared" ca="1" si="2"/>
        <v>0.11378499313885171</v>
      </c>
      <c r="M45" s="419"/>
    </row>
    <row r="46" spans="1:13" x14ac:dyDescent="0.2">
      <c r="A46" s="10" t="str">
        <f ca="1"/>
        <v>75 - Torneira de Jardim</v>
      </c>
      <c r="B46" s="10">
        <f ca="1">IF(OR(A46="",A46=0),"",LARGE($B$8:B45,1)+1)</f>
        <v>38</v>
      </c>
      <c r="C46" s="7"/>
      <c r="D46" s="279">
        <f ca="1">IF(A46="","",COUNTIF(Orçamento!P:P,A46))</f>
        <v>0</v>
      </c>
      <c r="E46" s="280" t="str">
        <f ca="1">IFERROR(IF(A46="","",_xlfn.XLOOKUP(A46,'ABC Serviços Apoio'!C:C,'ABC Serviços Apoio'!A:A)),"")</f>
        <v>Torneira de Jardim</v>
      </c>
      <c r="F46" s="281" t="str">
        <f ca="1">IFERROR(IF(A46="","",_xlfn.XLOOKUP(E46,Orçamento!Q:Q,Orçamento!T:T)),"")</f>
        <v>VB</v>
      </c>
      <c r="G46" s="282">
        <f ca="1">IFERROR(IF(A46="","",SUMIF(Orçamento!Q:Q,E46,Orçamento!X:X)),"")</f>
        <v>1</v>
      </c>
      <c r="H46" s="283">
        <f ca="1">IFERROR(IF(A46="","",_xlfn.XLOOKUP(E46,Orçamento!Q:Q,Orçamento!Y:Y)),"")</f>
        <v>75</v>
      </c>
      <c r="I46" s="283">
        <f t="shared" ca="1" si="0"/>
        <v>75</v>
      </c>
      <c r="J46" s="284">
        <f t="shared" ca="1" si="1"/>
        <v>1.0759433790339168E-5</v>
      </c>
      <c r="K46" s="284">
        <f t="shared" ca="1" si="2"/>
        <v>0.11379575257264204</v>
      </c>
      <c r="M46" s="419"/>
    </row>
    <row r="47" spans="1:13" x14ac:dyDescent="0.2">
      <c r="A47" s="10" t="str">
        <f ca="1"/>
        <v>74515,2305715775 - Fabricação de fôrma para vigas em chapa de madeira compensada plastificada e=14 mm - 2 jogos</v>
      </c>
      <c r="B47" s="10">
        <f ca="1">IF(OR(A47="",A47=0),"",LARGE($B$8:B46,1)+1)</f>
        <v>39</v>
      </c>
      <c r="C47" s="7"/>
      <c r="D47" s="279">
        <f ca="1">IF(A47="","",COUNTIF(Orçamento!P:P,A47))</f>
        <v>0</v>
      </c>
      <c r="E47" s="280" t="str">
        <f ca="1">IFERROR(IF(A47="","",_xlfn.XLOOKUP(A47,'ABC Serviços Apoio'!C:C,'ABC Serviços Apoio'!A:A)),"")</f>
        <v>Fabricação de fôrma para vigas em chapa de madeira compensada plastificada e=14 mm - 2 jogos</v>
      </c>
      <c r="F47" s="281" t="str">
        <f ca="1">IFERROR(IF(A47="","",_xlfn.XLOOKUP(E47,Orçamento!Q:Q,Orçamento!T:T)),"")</f>
        <v>M2</v>
      </c>
      <c r="G47" s="282">
        <f ca="1">IFERROR(IF(A47="","",SUMIF(Orçamento!Q:Q,E47,Orçamento!X:X)),"")</f>
        <v>846.21202274399991</v>
      </c>
      <c r="H47" s="283">
        <f ca="1">IFERROR(IF(A47="","",_xlfn.XLOOKUP(E47,Orçamento!Q:Q,Orçamento!Y:Y)),"")</f>
        <v>88.057400000000001</v>
      </c>
      <c r="I47" s="283">
        <f t="shared" ca="1" si="0"/>
        <v>74515.2305715775</v>
      </c>
      <c r="J47" s="284">
        <f t="shared" ca="1" si="1"/>
        <v>1.0689889196089935E-2</v>
      </c>
      <c r="K47" s="284">
        <f t="shared" ca="1" si="2"/>
        <v>0.12448564176873197</v>
      </c>
      <c r="M47" s="419"/>
    </row>
    <row r="48" spans="1:13" x14ac:dyDescent="0.2">
      <c r="A48" s="10" t="str">
        <f ca="1"/>
        <v>7363 - Sistema de interfone / controle de acesso</v>
      </c>
      <c r="B48" s="10">
        <f ca="1">IF(OR(A48="",A48=0),"",LARGE($B$8:B47,1)+1)</f>
        <v>40</v>
      </c>
      <c r="C48" s="7"/>
      <c r="D48" s="279">
        <f ca="1">IF(A48="","",COUNTIF(Orçamento!P:P,A48))</f>
        <v>0</v>
      </c>
      <c r="E48" s="280" t="str">
        <f ca="1">IFERROR(IF(A48="","",_xlfn.XLOOKUP(A48,'ABC Serviços Apoio'!C:C,'ABC Serviços Apoio'!A:A)),"")</f>
        <v>Sistema de interfone / controle de acesso</v>
      </c>
      <c r="F48" s="281" t="str">
        <f ca="1">IFERROR(IF(A48="","",_xlfn.XLOOKUP(E48,Orçamento!Q:Q,Orçamento!T:T)),"")</f>
        <v>UN</v>
      </c>
      <c r="G48" s="282">
        <f ca="1">IFERROR(IF(A48="","",SUMIF(Orçamento!Q:Q,E48,Orçamento!X:X)),"")</f>
        <v>1</v>
      </c>
      <c r="H48" s="283">
        <f ca="1">IFERROR(IF(A48="","",_xlfn.XLOOKUP(E48,Orçamento!Q:Q,Orçamento!Y:Y)),"")</f>
        <v>7363</v>
      </c>
      <c r="I48" s="283">
        <f t="shared" ca="1" si="0"/>
        <v>7363</v>
      </c>
      <c r="J48" s="284">
        <f t="shared" ca="1" si="1"/>
        <v>1.0562894799768974E-3</v>
      </c>
      <c r="K48" s="284">
        <f t="shared" ca="1" si="2"/>
        <v>0.12554193124870888</v>
      </c>
      <c r="M48" s="419"/>
    </row>
    <row r="49" spans="1:13" x14ac:dyDescent="0.2">
      <c r="A49" s="10" t="str">
        <f ca="1"/>
        <v>72994,42656 - Massa unica para reboco interno em argamassa estabilizada, espessura de 20mm, com execucao de taliscas</v>
      </c>
      <c r="B49" s="10">
        <f ca="1">IF(OR(A49="",A49=0),"",LARGE($B$8:B48,1)+1)</f>
        <v>41</v>
      </c>
      <c r="C49" s="7"/>
      <c r="D49" s="279">
        <f ca="1">IF(A49="","",COUNTIF(Orçamento!P:P,A49))</f>
        <v>0</v>
      </c>
      <c r="E49" s="280" t="str">
        <f ca="1">IFERROR(IF(A49="","",_xlfn.XLOOKUP(A49,'ABC Serviços Apoio'!C:C,'ABC Serviços Apoio'!A:A)),"")</f>
        <v>Massa unica para reboco interno em argamassa estabilizada, espessura de 20mm, com execucao de taliscas</v>
      </c>
      <c r="F49" s="281" t="str">
        <f ca="1">IFERROR(IF(A49="","",_xlfn.XLOOKUP(E49,Orçamento!Q:Q,Orçamento!T:T)),"")</f>
        <v>M2</v>
      </c>
      <c r="G49" s="282">
        <f ca="1">IFERROR(IF(A49="","",SUMIF(Orçamento!Q:Q,E49,Orçamento!X:X)),"")</f>
        <v>3840.1949999999997</v>
      </c>
      <c r="H49" s="283">
        <f ca="1">IFERROR(IF(A49="","",_xlfn.XLOOKUP(E49,Orçamento!Q:Q,Orçamento!Y:Y)),"")</f>
        <v>19.008000000000003</v>
      </c>
      <c r="I49" s="283">
        <f t="shared" ca="1" si="0"/>
        <v>72994.426560000007</v>
      </c>
      <c r="J49" s="284">
        <f t="shared" ca="1" si="1"/>
        <v>1.0471715995147932E-2</v>
      </c>
      <c r="K49" s="284">
        <f t="shared" ca="1" si="2"/>
        <v>0.13601364724385681</v>
      </c>
      <c r="M49" s="419"/>
    </row>
    <row r="50" spans="1:13" x14ac:dyDescent="0.2">
      <c r="A50" s="10" t="str">
        <f ca="1"/>
        <v>72883,0473865149 - Cabos e Fiacoes - Tipo (x5)</v>
      </c>
      <c r="B50" s="10">
        <f ca="1">IF(OR(A50="",A50=0),"",LARGE($B$8:B49,1)+1)</f>
        <v>42</v>
      </c>
      <c r="C50" s="7"/>
      <c r="D50" s="279">
        <f ca="1">IF(A50="","",COUNTIF(Orçamento!P:P,A50))</f>
        <v>0</v>
      </c>
      <c r="E50" s="280" t="str">
        <f ca="1">IFERROR(IF(A50="","",_xlfn.XLOOKUP(A50,'ABC Serviços Apoio'!C:C,'ABC Serviços Apoio'!A:A)),"")</f>
        <v>Cabos e Fiacoes - Tipo (x5)</v>
      </c>
      <c r="F50" s="281" t="str">
        <f ca="1">IFERROR(IF(A50="","",_xlfn.XLOOKUP(E50,Orçamento!Q:Q,Orçamento!T:T)),"")</f>
        <v>VB</v>
      </c>
      <c r="G50" s="282">
        <f ca="1">IFERROR(IF(A50="","",SUMIF(Orçamento!Q:Q,E50,Orçamento!X:X)),"")</f>
        <v>1</v>
      </c>
      <c r="H50" s="283">
        <f ca="1">IFERROR(IF(A50="","",_xlfn.XLOOKUP(E50,Orçamento!Q:Q,Orçamento!Y:Y)),"")</f>
        <v>72883.04738651494</v>
      </c>
      <c r="I50" s="283">
        <f t="shared" ca="1" si="0"/>
        <v>72883.04738651494</v>
      </c>
      <c r="J50" s="284">
        <f t="shared" ca="1" si="1"/>
        <v>1.0455737637244795E-2</v>
      </c>
      <c r="K50" s="284">
        <f t="shared" ca="1" si="2"/>
        <v>0.14646938488110162</v>
      </c>
      <c r="M50" s="419"/>
    </row>
    <row r="51" spans="1:13" x14ac:dyDescent="0.2">
      <c r="A51" s="10" t="str">
        <f ca="1"/>
        <v>723,8325 - Impermeabilizacao com manta liquida em peitoris</v>
      </c>
      <c r="B51" s="10">
        <f ca="1">IF(OR(A51="",A51=0),"",LARGE($B$8:B50,1)+1)</f>
        <v>43</v>
      </c>
      <c r="C51" s="7"/>
      <c r="D51" s="279">
        <f ca="1">IF(A51="","",COUNTIF(Orçamento!P:P,A51))</f>
        <v>0</v>
      </c>
      <c r="E51" s="280" t="str">
        <f ca="1">IFERROR(IF(A51="","",_xlfn.XLOOKUP(A51,'ABC Serviços Apoio'!C:C,'ABC Serviços Apoio'!A:A)),"")</f>
        <v>Impermeabilizacao com manta liquida em peitoris</v>
      </c>
      <c r="F51" s="281" t="str">
        <f ca="1">IFERROR(IF(A51="","",_xlfn.XLOOKUP(E51,Orçamento!Q:Q,Orçamento!T:T)),"")</f>
        <v>M2</v>
      </c>
      <c r="G51" s="282">
        <f ca="1">IFERROR(IF(A51="","",SUMIF(Orçamento!Q:Q,E51,Orçamento!X:X)),"")</f>
        <v>18.740000000000002</v>
      </c>
      <c r="H51" s="283">
        <f ca="1">IFERROR(IF(A51="","",_xlfn.XLOOKUP(E51,Orçamento!Q:Q,Orçamento!Y:Y)),"")</f>
        <v>38.625</v>
      </c>
      <c r="I51" s="283">
        <f t="shared" ca="1" si="0"/>
        <v>723.8325000000001</v>
      </c>
      <c r="J51" s="284">
        <f t="shared" ca="1" si="1"/>
        <v>1.0384037145394236E-4</v>
      </c>
      <c r="K51" s="284">
        <f t="shared" ca="1" si="2"/>
        <v>0.14657322525255556</v>
      </c>
      <c r="M51" s="419"/>
    </row>
    <row r="52" spans="1:13" x14ac:dyDescent="0.2">
      <c r="A52" s="10" t="str">
        <f ca="1"/>
        <v>71553,48616424 - Forro de Gesso em Placa - material e mao de obra</v>
      </c>
      <c r="B52" s="10">
        <f ca="1">IF(OR(A52="",A52=0),"",LARGE($B$8:B51,1)+1)</f>
        <v>44</v>
      </c>
      <c r="C52" s="7"/>
      <c r="D52" s="279">
        <f ca="1">IF(A52="","",COUNTIF(Orçamento!P:P,A52))</f>
        <v>0</v>
      </c>
      <c r="E52" s="280" t="str">
        <f ca="1">IFERROR(IF(A52="","",_xlfn.XLOOKUP(A52,'ABC Serviços Apoio'!C:C,'ABC Serviços Apoio'!A:A)),"")</f>
        <v>Forro de Gesso em Placa - material e mao de obra</v>
      </c>
      <c r="F52" s="281" t="str">
        <f ca="1">IFERROR(IF(A52="","",_xlfn.XLOOKUP(E52,Orçamento!Q:Q,Orçamento!T:T)),"")</f>
        <v>M2</v>
      </c>
      <c r="G52" s="282">
        <f ca="1">IFERROR(IF(A52="","",SUMIF(Orçamento!Q:Q,E52,Orçamento!X:X)),"")</f>
        <v>1029.46</v>
      </c>
      <c r="H52" s="283">
        <f ca="1">IFERROR(IF(A52="","",_xlfn.XLOOKUP(E52,Orçamento!Q:Q,Orçamento!Y:Y)),"")</f>
        <v>69.505843999999996</v>
      </c>
      <c r="I52" s="283">
        <f t="shared" ca="1" si="0"/>
        <v>71553.486164239992</v>
      </c>
      <c r="J52" s="284">
        <f t="shared" ca="1" si="1"/>
        <v>1.0264999958027866E-2</v>
      </c>
      <c r="K52" s="284">
        <f t="shared" ca="1" si="2"/>
        <v>0.15683822521058344</v>
      </c>
      <c r="M52" s="419"/>
    </row>
    <row r="53" spans="1:13" x14ac:dyDescent="0.2">
      <c r="A53" s="10" t="str">
        <f ca="1"/>
        <v>7118,1838292481 - Armacao aco CA-50 ø 25.0mm para supraestrutura corte e dobra em indústria</v>
      </c>
      <c r="B53" s="10">
        <f ca="1">IF(OR(A53="",A53=0),"",LARGE($B$8:B52,1)+1)</f>
        <v>45</v>
      </c>
      <c r="C53" s="7"/>
      <c r="D53" s="279">
        <f ca="1">IF(A53="","",COUNTIF(Orçamento!P:P,A53))</f>
        <v>0</v>
      </c>
      <c r="E53" s="280" t="str">
        <f ca="1">IFERROR(IF(A53="","",_xlfn.XLOOKUP(A53,'ABC Serviços Apoio'!C:C,'ABC Serviços Apoio'!A:A)),"")</f>
        <v>Armacao aco CA-50 ø 25.0mm para supraestrutura corte e dobra em indústria</v>
      </c>
      <c r="F53" s="281" t="str">
        <f ca="1">IFERROR(IF(A53="","",_xlfn.XLOOKUP(E53,Orçamento!Q:Q,Orçamento!T:T)),"")</f>
        <v>KG</v>
      </c>
      <c r="G53" s="282">
        <f ca="1">IFERROR(IF(A53="","",SUMIF(Orçamento!Q:Q,E53,Orçamento!X:X)),"")</f>
        <v>954.54737</v>
      </c>
      <c r="H53" s="283">
        <f ca="1">IFERROR(IF(A53="","",_xlfn.XLOOKUP(E53,Orçamento!Q:Q,Orçamento!Y:Y)),"")</f>
        <v>7.4571300000000003</v>
      </c>
      <c r="I53" s="283">
        <f t="shared" ca="1" si="0"/>
        <v>7118.1838292481007</v>
      </c>
      <c r="J53" s="284">
        <f t="shared" ca="1" si="1"/>
        <v>1.0211683682434382E-3</v>
      </c>
      <c r="K53" s="284">
        <f t="shared" ca="1" si="2"/>
        <v>0.15785939357882686</v>
      </c>
      <c r="M53" s="419"/>
    </row>
    <row r="54" spans="1:13" x14ac:dyDescent="0.2">
      <c r="A54" s="10" t="str">
        <f ca="1"/>
        <v>7000 - Montagem e Desmontagem - Mini Grua</v>
      </c>
      <c r="B54" s="10">
        <f ca="1">IF(OR(A54="",A54=0),"",LARGE($B$8:B53,1)+1)</f>
        <v>46</v>
      </c>
      <c r="C54" s="7"/>
      <c r="D54" s="279">
        <f ca="1">IF(A54="","",COUNTIF(Orçamento!P:P,A54))</f>
        <v>0</v>
      </c>
      <c r="E54" s="280" t="str">
        <f ca="1">IFERROR(IF(A54="","",_xlfn.XLOOKUP(A54,'ABC Serviços Apoio'!C:C,'ABC Serviços Apoio'!A:A)),"")</f>
        <v>Montagem e Desmontagem - Mini Grua</v>
      </c>
      <c r="F54" s="281" t="str">
        <f ca="1">IFERROR(IF(A54="","",_xlfn.XLOOKUP(E54,Orçamento!Q:Q,Orçamento!T:T)),"")</f>
        <v>VB</v>
      </c>
      <c r="G54" s="282">
        <f ca="1">IFERROR(IF(A54="","",SUMIF(Orçamento!Q:Q,E54,Orçamento!X:X)),"")</f>
        <v>1</v>
      </c>
      <c r="H54" s="283">
        <f ca="1">IFERROR(IF(A54="","",_xlfn.XLOOKUP(E54,Orçamento!Q:Q,Orçamento!Y:Y)),"")</f>
        <v>7000</v>
      </c>
      <c r="I54" s="283">
        <f t="shared" ca="1" si="0"/>
        <v>7000</v>
      </c>
      <c r="J54" s="284">
        <f t="shared" ca="1" si="1"/>
        <v>1.0042138204316557E-3</v>
      </c>
      <c r="K54" s="284">
        <f t="shared" ca="1" si="2"/>
        <v>0.15886360739925851</v>
      </c>
      <c r="M54" s="419"/>
    </row>
    <row r="55" spans="1:13" x14ac:dyDescent="0.2">
      <c r="A55" s="10" t="str">
        <f ca="1"/>
        <v>7000 - IPTU</v>
      </c>
      <c r="B55" s="10">
        <f ca="1">IF(OR(A55="",A55=0),"",LARGE($B$8:B54,1)+1)</f>
        <v>47</v>
      </c>
      <c r="C55" s="7"/>
      <c r="D55" s="279">
        <f ca="1">IF(A55="","",COUNTIF(Orçamento!P:P,A55))</f>
        <v>0</v>
      </c>
      <c r="E55" s="280" t="str">
        <f ca="1">IFERROR(IF(A55="","",_xlfn.XLOOKUP(A55,'ABC Serviços Apoio'!C:C,'ABC Serviços Apoio'!A:A)),"")</f>
        <v>IPTU</v>
      </c>
      <c r="F55" s="281" t="str">
        <f ca="1">IFERROR(IF(A55="","",_xlfn.XLOOKUP(E55,Orçamento!Q:Q,Orçamento!T:T)),"")</f>
        <v>VB</v>
      </c>
      <c r="G55" s="282">
        <f ca="1">IFERROR(IF(A55="","",SUMIF(Orçamento!Q:Q,E55,Orçamento!X:X)),"")</f>
        <v>1</v>
      </c>
      <c r="H55" s="283">
        <f ca="1">IFERROR(IF(A55="","",_xlfn.XLOOKUP(E55,Orçamento!Q:Q,Orçamento!Y:Y)),"")</f>
        <v>7000</v>
      </c>
      <c r="I55" s="283">
        <f t="shared" ca="1" si="0"/>
        <v>7000</v>
      </c>
      <c r="J55" s="284">
        <f t="shared" ca="1" si="1"/>
        <v>1.0042138204316557E-3</v>
      </c>
      <c r="K55" s="284">
        <f t="shared" ca="1" si="2"/>
        <v>0.15986782121969015</v>
      </c>
      <c r="M55" s="419"/>
    </row>
    <row r="56" spans="1:13" x14ac:dyDescent="0.2">
      <c r="A56" s="10" t="str">
        <f ca="1"/>
        <v>6916,85 - Despesas cartorio e juridicas</v>
      </c>
      <c r="B56" s="10">
        <f ca="1">IF(OR(A56="",A56=0),"",LARGE($B$8:B55,1)+1)</f>
        <v>48</v>
      </c>
      <c r="C56" s="7"/>
      <c r="D56" s="279">
        <f ca="1">IF(A56="","",COUNTIF(Orçamento!P:P,A56))</f>
        <v>0</v>
      </c>
      <c r="E56" s="280" t="str">
        <f ca="1">IFERROR(IF(A56="","",_xlfn.XLOOKUP(A56,'ABC Serviços Apoio'!C:C,'ABC Serviços Apoio'!A:A)),"")</f>
        <v>Despesas cartorio e juridicas</v>
      </c>
      <c r="F56" s="281" t="str">
        <f ca="1">IFERROR(IF(A56="","",_xlfn.XLOOKUP(E56,Orçamento!Q:Q,Orçamento!T:T)),"")</f>
        <v>VB</v>
      </c>
      <c r="G56" s="282">
        <f ca="1">IFERROR(IF(A56="","",SUMIF(Orçamento!Q:Q,E56,Orçamento!X:X)),"")</f>
        <v>1</v>
      </c>
      <c r="H56" s="283">
        <f ca="1">IFERROR(IF(A56="","",_xlfn.XLOOKUP(E56,Orçamento!Q:Q,Orçamento!Y:Y)),"")</f>
        <v>6916.85</v>
      </c>
      <c r="I56" s="283">
        <f t="shared" ca="1" si="0"/>
        <v>6916.85</v>
      </c>
      <c r="J56" s="284">
        <f t="shared" ca="1" si="1"/>
        <v>9.9228519483609981E-4</v>
      </c>
      <c r="K56" s="284">
        <f t="shared" ca="1" si="2"/>
        <v>0.16086010641452625</v>
      </c>
      <c r="M56" s="419"/>
    </row>
    <row r="57" spans="1:13" x14ac:dyDescent="0.2">
      <c r="A57" s="10" t="str">
        <f ca="1"/>
        <v>69000 - Mao de obra - para execucao de Contenção</v>
      </c>
      <c r="B57" s="10">
        <f ca="1">IF(OR(A57="",A57=0),"",LARGE($B$8:B56,1)+1)</f>
        <v>49</v>
      </c>
      <c r="C57" s="7"/>
      <c r="D57" s="279">
        <f ca="1">IF(A57="","",COUNTIF(Orçamento!P:P,A57))</f>
        <v>0</v>
      </c>
      <c r="E57" s="280" t="str">
        <f ca="1">IFERROR(IF(A57="","",_xlfn.XLOOKUP(A57,'ABC Serviços Apoio'!C:C,'ABC Serviços Apoio'!A:A)),"")</f>
        <v>Mao de obra - para execucao de Contenção</v>
      </c>
      <c r="F57" s="281" t="str">
        <f ca="1">IFERROR(IF(A57="","",_xlfn.XLOOKUP(E57,Orçamento!Q:Q,Orçamento!T:T)),"")</f>
        <v>M2</v>
      </c>
      <c r="G57" s="282">
        <f ca="1">IFERROR(IF(A57="","",SUMIF(Orçamento!Q:Q,E57,Orçamento!X:X)),"")</f>
        <v>216.99340049999998</v>
      </c>
      <c r="H57" s="283">
        <f ca="1">IFERROR(IF(A57="","",_xlfn.XLOOKUP(E57,Orçamento!Q:Q,Orçamento!Y:Y)),"")</f>
        <v>317.98202084030663</v>
      </c>
      <c r="I57" s="283">
        <f t="shared" ca="1" si="0"/>
        <v>69000</v>
      </c>
      <c r="J57" s="284">
        <f t="shared" ca="1" si="1"/>
        <v>9.8986790871120351E-3</v>
      </c>
      <c r="K57" s="284">
        <f t="shared" ca="1" si="2"/>
        <v>0.17075878550163828</v>
      </c>
      <c r="M57" s="419"/>
    </row>
    <row r="58" spans="1:13" x14ac:dyDescent="0.2">
      <c r="A58" s="10" t="str">
        <f ca="1"/>
        <v>68217,7755 - Revestimento interno de piso porcelanato placa 80x80cm - áreas internas</v>
      </c>
      <c r="B58" s="10">
        <f ca="1">IF(OR(A58="",A58=0),"",LARGE($B$8:B57,1)+1)</f>
        <v>50</v>
      </c>
      <c r="C58" s="7"/>
      <c r="D58" s="279">
        <f ca="1">IF(A58="","",COUNTIF(Orçamento!P:P,A58))</f>
        <v>0</v>
      </c>
      <c r="E58" s="280" t="str">
        <f ca="1">IFERROR(IF(A58="","",_xlfn.XLOOKUP(A58,'ABC Serviços Apoio'!C:C,'ABC Serviços Apoio'!A:A)),"")</f>
        <v>Revestimento interno de piso porcelanato placa 80x80cm - áreas internas</v>
      </c>
      <c r="F58" s="281" t="str">
        <f ca="1">IFERROR(IF(A58="","",_xlfn.XLOOKUP(E58,Orçamento!Q:Q,Orçamento!T:T)),"")</f>
        <v>M2</v>
      </c>
      <c r="G58" s="282">
        <f ca="1">IFERROR(IF(A58="","",SUMIF(Orçamento!Q:Q,E58,Orçamento!X:X)),"")</f>
        <v>901.1</v>
      </c>
      <c r="H58" s="283">
        <f ca="1">IFERROR(IF(A58="","",_xlfn.XLOOKUP(E58,Orçamento!Q:Q,Orçamento!Y:Y)),"")</f>
        <v>75.704999999999998</v>
      </c>
      <c r="I58" s="283">
        <f t="shared" ca="1" si="0"/>
        <v>68217.775500000003</v>
      </c>
      <c r="J58" s="284">
        <f t="shared" ca="1" si="1"/>
        <v>9.7864618508862865E-3</v>
      </c>
      <c r="K58" s="284">
        <f t="shared" ca="1" si="2"/>
        <v>0.18054524735252456</v>
      </c>
      <c r="M58" s="419"/>
    </row>
    <row r="59" spans="1:13" x14ac:dyDescent="0.2">
      <c r="A59" s="10" t="str">
        <f ca="1"/>
        <v xml:space="preserve">678,3530208 - Pintura epoxi em piso 2 demaos - aplicacao em faixas demarcatorias de garagens </v>
      </c>
      <c r="B59" s="10">
        <f ca="1">IF(OR(A59="",A59=0),"",LARGE($B$8:B58,1)+1)</f>
        <v>51</v>
      </c>
      <c r="C59" s="7"/>
      <c r="D59" s="279">
        <f ca="1">IF(A59="","",COUNTIF(Orçamento!P:P,A59))</f>
        <v>0</v>
      </c>
      <c r="E59" s="280" t="str">
        <f ca="1">IFERROR(IF(A59="","",_xlfn.XLOOKUP(A59,'ABC Serviços Apoio'!C:C,'ABC Serviços Apoio'!A:A)),"")</f>
        <v xml:space="preserve">Pintura epoxi em piso 2 demaos - aplicacao em faixas demarcatorias de garagens </v>
      </c>
      <c r="F59" s="281" t="str">
        <f ca="1">IFERROR(IF(A59="","",_xlfn.XLOOKUP(E59,Orçamento!Q:Q,Orçamento!T:T)),"")</f>
        <v>M2</v>
      </c>
      <c r="G59" s="282">
        <f ca="1">IFERROR(IF(A59="","",SUMIF(Orçamento!Q:Q,E59,Orçamento!X:X)),"")</f>
        <v>13.78</v>
      </c>
      <c r="H59" s="283">
        <f ca="1">IFERROR(IF(A59="","",_xlfn.XLOOKUP(E59,Orçamento!Q:Q,Orçamento!Y:Y)),"")</f>
        <v>49.227359999999997</v>
      </c>
      <c r="I59" s="283">
        <f t="shared" ca="1" si="0"/>
        <v>678.35302079999997</v>
      </c>
      <c r="J59" s="284">
        <f t="shared" ca="1" si="1"/>
        <v>9.7315925516988907E-5</v>
      </c>
      <c r="K59" s="284">
        <f t="shared" ca="1" si="2"/>
        <v>0.18064256327804154</v>
      </c>
      <c r="M59" s="419"/>
    </row>
    <row r="60" spans="1:13" x14ac:dyDescent="0.2">
      <c r="A60" s="10" t="str">
        <f ca="1"/>
        <v>6774,76913582347 - Eletrodutos e Eletrocalhas - Térreo</v>
      </c>
      <c r="B60" s="10">
        <f ca="1">IF(OR(A60="",A60=0),"",LARGE($B$8:B59,1)+1)</f>
        <v>52</v>
      </c>
      <c r="C60" s="7"/>
      <c r="D60" s="279">
        <f ca="1">IF(A60="","",COUNTIF(Orçamento!P:P,A60))</f>
        <v>0</v>
      </c>
      <c r="E60" s="280" t="str">
        <f ca="1">IFERROR(IF(A60="","",_xlfn.XLOOKUP(A60,'ABC Serviços Apoio'!C:C,'ABC Serviços Apoio'!A:A)),"")</f>
        <v>Eletrodutos e Eletrocalhas - Térreo</v>
      </c>
      <c r="F60" s="281" t="str">
        <f ca="1">IFERROR(IF(A60="","",_xlfn.XLOOKUP(E60,Orçamento!Q:Q,Orçamento!T:T)),"")</f>
        <v>VB</v>
      </c>
      <c r="G60" s="282">
        <f ca="1">IFERROR(IF(A60="","",SUMIF(Orçamento!Q:Q,E60,Orçamento!X:X)),"")</f>
        <v>1</v>
      </c>
      <c r="H60" s="283">
        <f ca="1">IFERROR(IF(A60="","",_xlfn.XLOOKUP(E60,Orçamento!Q:Q,Orçamento!Y:Y)),"")</f>
        <v>6774.769135823467</v>
      </c>
      <c r="I60" s="283">
        <f t="shared" ca="1" si="0"/>
        <v>6774.769135823467</v>
      </c>
      <c r="J60" s="284">
        <f t="shared" ca="1" si="1"/>
        <v>9.7190239948967861E-4</v>
      </c>
      <c r="K60" s="284">
        <f t="shared" ca="1" si="2"/>
        <v>0.18161446567753123</v>
      </c>
      <c r="M60" s="419"/>
    </row>
    <row r="61" spans="1:13" x14ac:dyDescent="0.2">
      <c r="A61" s="10" t="str">
        <f ca="1"/>
        <v>667000 - Mao de obra  - para execucacao de estrutura de concreto armado em supraestrutura</v>
      </c>
      <c r="B61" s="10">
        <f ca="1">IF(OR(A61="",A61=0),"",LARGE($B$8:B60,1)+1)</f>
        <v>53</v>
      </c>
      <c r="C61" s="7"/>
      <c r="D61" s="279">
        <f ca="1">IF(A61="","",COUNTIF(Orçamento!P:P,A61))</f>
        <v>0</v>
      </c>
      <c r="E61" s="280" t="str">
        <f ca="1">IFERROR(IF(A61="","",_xlfn.XLOOKUP(A61,'ABC Serviços Apoio'!C:C,'ABC Serviços Apoio'!A:A)),"")</f>
        <v>Mao de obra  - para execucacao de estrutura de concreto armado em supraestrutura</v>
      </c>
      <c r="F61" s="281" t="str">
        <f ca="1">IFERROR(IF(A61="","",_xlfn.XLOOKUP(E61,Orçamento!Q:Q,Orçamento!T:T)),"")</f>
        <v>M2</v>
      </c>
      <c r="G61" s="282">
        <f ca="1">IFERROR(IF(A61="","",SUMIF(Orçamento!Q:Q,E61,Orçamento!X:X)),"")</f>
        <v>2027.4636049999999</v>
      </c>
      <c r="H61" s="283">
        <f ca="1">IFERROR(IF(A61="","",_xlfn.XLOOKUP(E61,Orçamento!Q:Q,Orçamento!Y:Y)),"")</f>
        <v>328.98247759174944</v>
      </c>
      <c r="I61" s="283">
        <f t="shared" ca="1" si="0"/>
        <v>667000</v>
      </c>
      <c r="J61" s="284">
        <f t="shared" ca="1" si="1"/>
        <v>9.5687231175416346E-2</v>
      </c>
      <c r="K61" s="284">
        <f t="shared" ca="1" si="2"/>
        <v>0.27730169685294759</v>
      </c>
      <c r="M61" s="419"/>
    </row>
    <row r="62" spans="1:13" x14ac:dyDescent="0.2">
      <c r="A62" s="10" t="str">
        <f ca="1"/>
        <v>664,542680056054 - Mao de obra para execucao em piso cimentado</v>
      </c>
      <c r="B62" s="10">
        <f ca="1">IF(OR(A62="",A62=0),"",LARGE($B$8:B61,1)+1)</f>
        <v>54</v>
      </c>
      <c r="C62" s="7"/>
      <c r="D62" s="279">
        <f ca="1">IF(A62="","",COUNTIF(Orçamento!P:P,A62))</f>
        <v>0</v>
      </c>
      <c r="E62" s="280" t="str">
        <f ca="1">IFERROR(IF(A62="","",_xlfn.XLOOKUP(A62,'ABC Serviços Apoio'!C:C,'ABC Serviços Apoio'!A:A)),"")</f>
        <v>Mao de obra para execucao em piso cimentado</v>
      </c>
      <c r="F62" s="281" t="str">
        <f ca="1">IFERROR(IF(A62="","",_xlfn.XLOOKUP(E62,Orçamento!Q:Q,Orçamento!T:T)),"")</f>
        <v>M2</v>
      </c>
      <c r="G62" s="282">
        <f ca="1">IFERROR(IF(A62="","",SUMIF(Orçamento!Q:Q,E62,Orçamento!X:X)),"")</f>
        <v>30.24</v>
      </c>
      <c r="H62" s="283">
        <f ca="1">IFERROR(IF(A62="","",_xlfn.XLOOKUP(E62,Orçamento!Q:Q,Orçamento!Y:Y)),"")</f>
        <v>21.975617726721353</v>
      </c>
      <c r="I62" s="283">
        <f t="shared" ca="1" si="0"/>
        <v>664.54268005605365</v>
      </c>
      <c r="J62" s="284">
        <f t="shared" ca="1" si="1"/>
        <v>9.5334706225568726E-5</v>
      </c>
      <c r="K62" s="284">
        <f t="shared" ca="1" si="2"/>
        <v>0.27739703155917317</v>
      </c>
      <c r="M62" s="419"/>
    </row>
    <row r="63" spans="1:13" x14ac:dyDescent="0.2">
      <c r="A63" s="10" t="str">
        <f ca="1"/>
        <v>649,6186515 - Revestimento interno de Rodapé Cerâmico h=0,07cm</v>
      </c>
      <c r="B63" s="10">
        <f ca="1">IF(OR(A63="",A63=0),"",LARGE($B$8:B62,1)+1)</f>
        <v>55</v>
      </c>
      <c r="C63" s="7"/>
      <c r="D63" s="279">
        <f ca="1">IF(A63="","",COUNTIF(Orçamento!P:P,A63))</f>
        <v>0</v>
      </c>
      <c r="E63" s="280" t="str">
        <f ca="1">IFERROR(IF(A63="","",_xlfn.XLOOKUP(A63,'ABC Serviços Apoio'!C:C,'ABC Serviços Apoio'!A:A)),"")</f>
        <v>Revestimento interno de Rodapé Cerâmico h=0,07cm</v>
      </c>
      <c r="F63" s="281" t="str">
        <f ca="1">IFERROR(IF(A63="","",_xlfn.XLOOKUP(E63,Orçamento!Q:Q,Orçamento!T:T)),"")</f>
        <v>M</v>
      </c>
      <c r="G63" s="282">
        <f ca="1">IFERROR(IF(A63="","",SUMIF(Orçamento!Q:Q,E63,Orçamento!X:X)),"")</f>
        <v>158.10999999999999</v>
      </c>
      <c r="H63" s="283">
        <f ca="1">IFERROR(IF(A63="","",_xlfn.XLOOKUP(E63,Orçamento!Q:Q,Orçamento!Y:Y)),"")</f>
        <v>4.1086499999999999</v>
      </c>
      <c r="I63" s="283">
        <f t="shared" ca="1" si="0"/>
        <v>649.61865149999994</v>
      </c>
      <c r="J63" s="284">
        <f t="shared" ca="1" si="1"/>
        <v>9.3193718263782178E-5</v>
      </c>
      <c r="K63" s="284">
        <f t="shared" ca="1" si="2"/>
        <v>0.27749022527743694</v>
      </c>
      <c r="M63" s="419"/>
    </row>
    <row r="64" spans="1:13" x14ac:dyDescent="0.2">
      <c r="A64" s="10" t="str">
        <f ca="1"/>
        <v xml:space="preserve">6489,65465731779 - Quadros e Disjuntores - Subsolo </v>
      </c>
      <c r="B64" s="10">
        <f ca="1">IF(OR(A64="",A64=0),"",LARGE($B$8:B63,1)+1)</f>
        <v>56</v>
      </c>
      <c r="C64" s="7"/>
      <c r="D64" s="279">
        <f ca="1">IF(A64="","",COUNTIF(Orçamento!P:P,A64))</f>
        <v>0</v>
      </c>
      <c r="E64" s="280" t="str">
        <f ca="1">IFERROR(IF(A64="","",_xlfn.XLOOKUP(A64,'ABC Serviços Apoio'!C:C,'ABC Serviços Apoio'!A:A)),"")</f>
        <v xml:space="preserve">Quadros e Disjuntores - Subsolo </v>
      </c>
      <c r="F64" s="281" t="str">
        <f ca="1">IFERROR(IF(A64="","",_xlfn.XLOOKUP(E64,Orçamento!Q:Q,Orçamento!T:T)),"")</f>
        <v>VB</v>
      </c>
      <c r="G64" s="282">
        <f ca="1">IFERROR(IF(A64="","",SUMIF(Orçamento!Q:Q,E64,Orçamento!X:X)),"")</f>
        <v>1</v>
      </c>
      <c r="H64" s="283">
        <f ca="1">IFERROR(IF(A64="","",_xlfn.XLOOKUP(E64,Orçamento!Q:Q,Orçamento!Y:Y)),"")</f>
        <v>6489.6546573177948</v>
      </c>
      <c r="I64" s="283">
        <f t="shared" ca="1" si="0"/>
        <v>6489.6546573177948</v>
      </c>
      <c r="J64" s="284">
        <f t="shared" ca="1" si="1"/>
        <v>9.3100012810102715E-4</v>
      </c>
      <c r="K64" s="284">
        <f t="shared" ca="1" si="2"/>
        <v>0.27842122540553799</v>
      </c>
      <c r="M64" s="419"/>
    </row>
    <row r="65" spans="1:13" x14ac:dyDescent="0.2">
      <c r="A65" s="10" t="str">
        <f ca="1"/>
        <v>63245 - Instalação de Equipamentos de Piscina</v>
      </c>
      <c r="B65" s="10">
        <f ca="1">IF(OR(A65="",A65=0),"",LARGE($B$8:B64,1)+1)</f>
        <v>57</v>
      </c>
      <c r="C65" s="7"/>
      <c r="D65" s="279">
        <f ca="1">IF(A65="","",COUNTIF(Orçamento!P:P,A65))</f>
        <v>0</v>
      </c>
      <c r="E65" s="280" t="str">
        <f ca="1">IFERROR(IF(A65="","",_xlfn.XLOOKUP(A65,'ABC Serviços Apoio'!C:C,'ABC Serviços Apoio'!A:A)),"")</f>
        <v>Instalação de Equipamentos de Piscina</v>
      </c>
      <c r="F65" s="281" t="str">
        <f ca="1">IFERROR(IF(A65="","",_xlfn.XLOOKUP(E65,Orçamento!Q:Q,Orçamento!T:T)),"")</f>
        <v>UN</v>
      </c>
      <c r="G65" s="282">
        <f ca="1">IFERROR(IF(A65="","",SUMIF(Orçamento!Q:Q,E65,Orçamento!X:X)),"")</f>
        <v>1</v>
      </c>
      <c r="H65" s="283">
        <f ca="1">IFERROR(IF(A65="","",_xlfn.XLOOKUP(E65,Orçamento!Q:Q,Orçamento!Y:Y)),"")</f>
        <v>63245</v>
      </c>
      <c r="I65" s="283">
        <f t="shared" ca="1" si="0"/>
        <v>63245</v>
      </c>
      <c r="J65" s="284">
        <f t="shared" ca="1" si="1"/>
        <v>9.0730718676000095E-3</v>
      </c>
      <c r="K65" s="284">
        <f t="shared" ca="1" si="2"/>
        <v>0.28749429727313802</v>
      </c>
      <c r="M65" s="419"/>
    </row>
    <row r="66" spans="1:13" x14ac:dyDescent="0.2">
      <c r="A66" s="10" t="str">
        <f ca="1"/>
        <v xml:space="preserve">6300 - Locacao de banheiro quimico </v>
      </c>
      <c r="B66" s="10">
        <f ca="1">IF(OR(A66="",A66=0),"",LARGE($B$8:B65,1)+1)</f>
        <v>58</v>
      </c>
      <c r="C66" s="7"/>
      <c r="D66" s="279">
        <f ca="1">IF(A66="","",COUNTIF(Orçamento!P:P,A66))</f>
        <v>0</v>
      </c>
      <c r="E66" s="280" t="str">
        <f ca="1">IFERROR(IF(A66="","",_xlfn.XLOOKUP(A66,'ABC Serviços Apoio'!C:C,'ABC Serviços Apoio'!A:A)),"")</f>
        <v xml:space="preserve">Locacao de banheiro quimico </v>
      </c>
      <c r="F66" s="281" t="str">
        <f ca="1">IFERROR(IF(A66="","",_xlfn.XLOOKUP(E66,Orçamento!Q:Q,Orçamento!T:T)),"")</f>
        <v>MES</v>
      </c>
      <c r="G66" s="282">
        <f ca="1">IFERROR(IF(A66="","",SUMIF(Orçamento!Q:Q,E66,Orçamento!X:X)),"")</f>
        <v>7</v>
      </c>
      <c r="H66" s="283">
        <f ca="1">IFERROR(IF(A66="","",_xlfn.XLOOKUP(E66,Orçamento!Q:Q,Orçamento!Y:Y)),"")</f>
        <v>900</v>
      </c>
      <c r="I66" s="283">
        <f t="shared" ca="1" si="0"/>
        <v>6300</v>
      </c>
      <c r="J66" s="284">
        <f t="shared" ca="1" si="1"/>
        <v>9.0379243838849016E-4</v>
      </c>
      <c r="K66" s="284">
        <f t="shared" ca="1" si="2"/>
        <v>0.28839808971152653</v>
      </c>
      <c r="M66" s="419"/>
    </row>
    <row r="67" spans="1:13" x14ac:dyDescent="0.2">
      <c r="A67" s="10" t="str">
        <f ca="1"/>
        <v>6277,714677 - Estrutura de Madeira Apoiada em Parede</v>
      </c>
      <c r="B67" s="10">
        <f ca="1">IF(OR(A67="",A67=0),"",LARGE($B$8:B66,1)+1)</f>
        <v>59</v>
      </c>
      <c r="C67" s="7"/>
      <c r="D67" s="279">
        <f ca="1">IF(A67="","",COUNTIF(Orçamento!P:P,A67))</f>
        <v>0</v>
      </c>
      <c r="E67" s="280" t="str">
        <f ca="1">IFERROR(IF(A67="","",_xlfn.XLOOKUP(A67,'ABC Serviços Apoio'!C:C,'ABC Serviços Apoio'!A:A)),"")</f>
        <v>Estrutura de Madeira Apoiada em Parede</v>
      </c>
      <c r="F67" s="281" t="str">
        <f ca="1">IFERROR(IF(A67="","",_xlfn.XLOOKUP(E67,Orçamento!Q:Q,Orçamento!T:T)),"")</f>
        <v>M2</v>
      </c>
      <c r="G67" s="282">
        <f ca="1">IFERROR(IF(A67="","",SUMIF(Orçamento!Q:Q,E67,Orçamento!X:X)),"")</f>
        <v>60.19</v>
      </c>
      <c r="H67" s="283">
        <f ca="1">IFERROR(IF(A67="","",_xlfn.XLOOKUP(E67,Orçamento!Q:Q,Orçamento!Y:Y)),"")</f>
        <v>104.2983</v>
      </c>
      <c r="I67" s="283">
        <f t="shared" ca="1" si="0"/>
        <v>6277.7146769999999</v>
      </c>
      <c r="J67" s="284">
        <f t="shared" ca="1" si="1"/>
        <v>9.0059540562429253E-4</v>
      </c>
      <c r="K67" s="284">
        <f t="shared" ca="1" si="2"/>
        <v>0.28929868511715084</v>
      </c>
      <c r="M67" s="419"/>
    </row>
    <row r="68" spans="1:13" x14ac:dyDescent="0.2">
      <c r="A68" s="10" t="str">
        <f ca="1"/>
        <v>6169,443525 - Revestimento em Pastilhas para Piscina</v>
      </c>
      <c r="B68" s="10">
        <f ca="1">IF(OR(A68="",A68=0),"",LARGE($B$8:B67,1)+1)</f>
        <v>60</v>
      </c>
      <c r="C68" s="7"/>
      <c r="D68" s="279">
        <f ca="1">IF(A68="","",COUNTIF(Orçamento!P:P,A68))</f>
        <v>0</v>
      </c>
      <c r="E68" s="280" t="str">
        <f ca="1">IFERROR(IF(A68="","",_xlfn.XLOOKUP(A68,'ABC Serviços Apoio'!C:C,'ABC Serviços Apoio'!A:A)),"")</f>
        <v>Revestimento em Pastilhas para Piscina</v>
      </c>
      <c r="F68" s="281" t="str">
        <f ca="1">IFERROR(IF(A68="","",_xlfn.XLOOKUP(E68,Orçamento!Q:Q,Orçamento!T:T)),"")</f>
        <v>M2</v>
      </c>
      <c r="G68" s="282">
        <f ca="1">IFERROR(IF(A68="","",SUMIF(Orçamento!Q:Q,E68,Orçamento!X:X)),"")</f>
        <v>45.99</v>
      </c>
      <c r="H68" s="283">
        <f ca="1">IFERROR(IF(A68="","",_xlfn.XLOOKUP(E68,Orçamento!Q:Q,Orçamento!Y:Y)),"")</f>
        <v>134.14749999999998</v>
      </c>
      <c r="I68" s="283">
        <f t="shared" ca="1" si="0"/>
        <v>6169.4435249999997</v>
      </c>
      <c r="J68" s="284">
        <f t="shared" ca="1" si="1"/>
        <v>8.8506292173965578E-4</v>
      </c>
      <c r="K68" s="284">
        <f t="shared" ca="1" si="2"/>
        <v>0.29018374803889052</v>
      </c>
      <c r="M68" s="419"/>
    </row>
    <row r="69" spans="1:13" x14ac:dyDescent="0.2">
      <c r="A69" s="10" t="str">
        <f ca="1"/>
        <v>60720 - Mao de obra para pintura acrilica em paredes externas, 2 demaos</v>
      </c>
      <c r="B69" s="10">
        <f ca="1">IF(OR(A69="",A69=0),"",LARGE($B$8:B68,1)+1)</f>
        <v>61</v>
      </c>
      <c r="C69" s="7"/>
      <c r="D69" s="279">
        <f ca="1">IF(A69="","",COUNTIF(Orçamento!P:P,A69))</f>
        <v>0</v>
      </c>
      <c r="E69" s="280" t="str">
        <f ca="1">IFERROR(IF(A69="","",_xlfn.XLOOKUP(A69,'ABC Serviços Apoio'!C:C,'ABC Serviços Apoio'!A:A)),"")</f>
        <v>Mao de obra para pintura acrilica em paredes externas, 2 demaos</v>
      </c>
      <c r="F69" s="281" t="str">
        <f ca="1">IFERROR(IF(A69="","",_xlfn.XLOOKUP(E69,Orçamento!Q:Q,Orçamento!T:T)),"")</f>
        <v>M2</v>
      </c>
      <c r="G69" s="282">
        <f ca="1">IFERROR(IF(A69="","",SUMIF(Orçamento!Q:Q,E69,Orçamento!X:X)),"")</f>
        <v>1624.8700000000001</v>
      </c>
      <c r="H69" s="283">
        <f ca="1">IFERROR(IF(A69="","",_xlfn.XLOOKUP(E69,Orçamento!Q:Q,Orçamento!Y:Y)),"")</f>
        <v>37.369143377624056</v>
      </c>
      <c r="I69" s="283">
        <f t="shared" ca="1" si="0"/>
        <v>60720.000000000007</v>
      </c>
      <c r="J69" s="284">
        <f t="shared" ca="1" si="1"/>
        <v>8.7108375966585914E-3</v>
      </c>
      <c r="K69" s="284">
        <f t="shared" ca="1" si="2"/>
        <v>0.2988945856355491</v>
      </c>
      <c r="M69" s="419"/>
    </row>
    <row r="70" spans="1:13" x14ac:dyDescent="0.2">
      <c r="A70" s="10" t="str">
        <f ca="1"/>
        <v>6020 - Fechadura (c/ chave) + Dobradiça / Portas Maciças</v>
      </c>
      <c r="B70" s="10">
        <f ca="1">IF(OR(A70="",A70=0),"",LARGE($B$8:B69,1)+1)</f>
        <v>62</v>
      </c>
      <c r="C70" s="7"/>
      <c r="D70" s="279">
        <f ca="1">IF(A70="","",COUNTIF(Orçamento!P:P,A70))</f>
        <v>0</v>
      </c>
      <c r="E70" s="280" t="str">
        <f ca="1">IFERROR(IF(A70="","",_xlfn.XLOOKUP(A70,'ABC Serviços Apoio'!C:C,'ABC Serviços Apoio'!A:A)),"")</f>
        <v>Fechadura (c/ chave) + Dobradiça / Portas Maciças</v>
      </c>
      <c r="F70" s="281" t="str">
        <f ca="1">IFERROR(IF(A70="","",_xlfn.XLOOKUP(E70,Orçamento!Q:Q,Orçamento!T:T)),"")</f>
        <v>UN</v>
      </c>
      <c r="G70" s="282">
        <f ca="1">IFERROR(IF(A70="","",SUMIF(Orçamento!Q:Q,E70,Orçamento!X:X)),"")</f>
        <v>43</v>
      </c>
      <c r="H70" s="283">
        <f ca="1">IFERROR(IF(A70="","",_xlfn.XLOOKUP(E70,Orçamento!Q:Q,Orçamento!Y:Y)),"")</f>
        <v>140</v>
      </c>
      <c r="I70" s="283">
        <f t="shared" ca="1" si="0"/>
        <v>6020</v>
      </c>
      <c r="J70" s="284">
        <f t="shared" ca="1" si="1"/>
        <v>8.6362388557122388E-4</v>
      </c>
      <c r="K70" s="284">
        <f t="shared" ca="1" si="2"/>
        <v>0.29975820952112031</v>
      </c>
      <c r="M70" s="419"/>
    </row>
    <row r="71" spans="1:13" x14ac:dyDescent="0.2">
      <c r="A71" s="10" t="str">
        <f ca="1"/>
        <v>6000,1644 - Encunhamento de alvenaria de vedacao com argamassa expansiva</v>
      </c>
      <c r="B71" s="10">
        <f ca="1">IF(OR(A71="",A71=0),"",LARGE($B$8:B70,1)+1)</f>
        <v>63</v>
      </c>
      <c r="C71" s="7"/>
      <c r="D71" s="279">
        <f ca="1">IF(A71="","",COUNTIF(Orçamento!P:P,A71))</f>
        <v>0</v>
      </c>
      <c r="E71" s="280" t="str">
        <f ca="1">IFERROR(IF(A71="","",_xlfn.XLOOKUP(A71,'ABC Serviços Apoio'!C:C,'ABC Serviços Apoio'!A:A)),"")</f>
        <v>Encunhamento de alvenaria de vedacao com argamassa expansiva</v>
      </c>
      <c r="F71" s="281" t="str">
        <f ca="1">IFERROR(IF(A71="","",_xlfn.XLOOKUP(E71,Orçamento!Q:Q,Orçamento!T:T)),"")</f>
        <v>M</v>
      </c>
      <c r="G71" s="282">
        <f ca="1">IFERROR(IF(A71="","",SUMIF(Orçamento!Q:Q,E71,Orçamento!X:X)),"")</f>
        <v>1327.4699999999998</v>
      </c>
      <c r="H71" s="283">
        <f ca="1">IFERROR(IF(A71="","",_xlfn.XLOOKUP(E71,Orçamento!Q:Q,Orçamento!Y:Y)),"")</f>
        <v>4.5200000000000005</v>
      </c>
      <c r="I71" s="283">
        <f t="shared" ca="1" si="0"/>
        <v>6000.1643999999997</v>
      </c>
      <c r="J71" s="284">
        <f t="shared" ca="1" si="1"/>
        <v>8.6077828790600186E-4</v>
      </c>
      <c r="K71" s="284">
        <f t="shared" ca="1" si="2"/>
        <v>0.30061898780902629</v>
      </c>
      <c r="M71" s="419"/>
    </row>
    <row r="72" spans="1:13" x14ac:dyDescent="0.2">
      <c r="A72" s="10" t="str">
        <f ca="1"/>
        <v>599,68 - Mao de obra para impermeabilizacao de peitoris</v>
      </c>
      <c r="B72" s="10">
        <f ca="1">IF(OR(A72="",A72=0),"",LARGE($B$8:B71,1)+1)</f>
        <v>64</v>
      </c>
      <c r="C72" s="7"/>
      <c r="D72" s="279">
        <f ca="1">IF(A72="","",COUNTIF(Orçamento!P:P,A72))</f>
        <v>0</v>
      </c>
      <c r="E72" s="280" t="str">
        <f ca="1">IFERROR(IF(A72="","",_xlfn.XLOOKUP(A72,'ABC Serviços Apoio'!C:C,'ABC Serviços Apoio'!A:A)),"")</f>
        <v>Mao de obra para impermeabilizacao de peitoris</v>
      </c>
      <c r="F72" s="281" t="str">
        <f ca="1">IFERROR(IF(A72="","",_xlfn.XLOOKUP(E72,Orçamento!Q:Q,Orçamento!T:T)),"")</f>
        <v>M2</v>
      </c>
      <c r="G72" s="282">
        <f ca="1">IFERROR(IF(A72="","",SUMIF(Orçamento!Q:Q,E72,Orçamento!X:X)),"")</f>
        <v>18.740000000000002</v>
      </c>
      <c r="H72" s="283">
        <f ca="1">IFERROR(IF(A72="","",_xlfn.XLOOKUP(E72,Orçamento!Q:Q,Orçamento!Y:Y)),"")</f>
        <v>32</v>
      </c>
      <c r="I72" s="283">
        <f t="shared" ca="1" si="0"/>
        <v>599.68000000000006</v>
      </c>
      <c r="J72" s="284">
        <f t="shared" ca="1" si="1"/>
        <v>8.6029563405207917E-5</v>
      </c>
      <c r="K72" s="284">
        <f t="shared" ca="1" si="2"/>
        <v>0.30070501737243149</v>
      </c>
      <c r="M72" s="419"/>
    </row>
    <row r="73" spans="1:13" x14ac:dyDescent="0.2">
      <c r="A73" s="10" t="str">
        <f ca="1"/>
        <v xml:space="preserve">5936 - Projeto eletrico </v>
      </c>
      <c r="B73" s="10">
        <f ca="1">IF(OR(A73="",A73=0),"",LARGE($B$8:B72,1)+1)</f>
        <v>65</v>
      </c>
      <c r="C73" s="7"/>
      <c r="D73" s="279">
        <f ca="1">IF(A73="","",COUNTIF(Orçamento!P:P,A73))</f>
        <v>0</v>
      </c>
      <c r="E73" s="280" t="str">
        <f ca="1">IFERROR(IF(A73="","",_xlfn.XLOOKUP(A73,'ABC Serviços Apoio'!C:C,'ABC Serviços Apoio'!A:A)),"")</f>
        <v xml:space="preserve">Projeto eletrico </v>
      </c>
      <c r="F73" s="281" t="str">
        <f ca="1">IFERROR(IF(A73="","",_xlfn.XLOOKUP(E73,Orçamento!Q:Q,Orçamento!T:T)),"")</f>
        <v>VB</v>
      </c>
      <c r="G73" s="282">
        <f ca="1">IFERROR(IF(A73="","",SUMIF(Orçamento!Q:Q,E73,Orçamento!X:X)),"")</f>
        <v>1</v>
      </c>
      <c r="H73" s="283">
        <f ca="1">IFERROR(IF(A73="","",_xlfn.XLOOKUP(E73,Orçamento!Q:Q,Orçamento!Y:Y)),"")</f>
        <v>5936</v>
      </c>
      <c r="I73" s="283">
        <f t="shared" ref="I73:I136" ca="1" si="3">IFERROR(IF(E73="","",G73*H73),"")</f>
        <v>5936</v>
      </c>
      <c r="J73" s="284">
        <f t="shared" ref="J73:J136" ca="1" si="4">IFERROR(IF(I73="","",I73/$I$6),0)</f>
        <v>8.5157331972604403E-4</v>
      </c>
      <c r="K73" s="284">
        <f t="shared" ca="1" si="2"/>
        <v>0.30155659069215751</v>
      </c>
      <c r="M73" s="419"/>
    </row>
    <row r="74" spans="1:13" x14ac:dyDescent="0.2">
      <c r="A74" s="10" t="str">
        <f ca="1"/>
        <v xml:space="preserve">5923,64 - Taxas de Aprovação de Projetos e Alvarás (Prefeituras/Bombeiro) </v>
      </c>
      <c r="B74" s="10">
        <f ca="1">IF(OR(A74="",A74=0),"",LARGE($B$8:B73,1)+1)</f>
        <v>66</v>
      </c>
      <c r="C74" s="7"/>
      <c r="D74" s="279">
        <f ca="1">IF(A74="","",COUNTIF(Orçamento!P:P,A74))</f>
        <v>0</v>
      </c>
      <c r="E74" s="280" t="str">
        <f ca="1">IFERROR(IF(A74="","",_xlfn.XLOOKUP(A74,'ABC Serviços Apoio'!C:C,'ABC Serviços Apoio'!A:A)),"")</f>
        <v xml:space="preserve">Taxas de Aprovação de Projetos e Alvarás (Prefeituras/Bombeiro) </v>
      </c>
      <c r="F74" s="281" t="str">
        <f ca="1">IFERROR(IF(A74="","",_xlfn.XLOOKUP(E74,Orçamento!Q:Q,Orçamento!T:T)),"")</f>
        <v>VB</v>
      </c>
      <c r="G74" s="282">
        <f ca="1">IFERROR(IF(A74="","",SUMIF(Orçamento!Q:Q,E74,Orçamento!X:X)),"")</f>
        <v>1</v>
      </c>
      <c r="H74" s="283">
        <f ca="1">IFERROR(IF(A74="","",_xlfn.XLOOKUP(E74,Orçamento!Q:Q,Orçamento!Y:Y)),"")</f>
        <v>5923.6399999999994</v>
      </c>
      <c r="I74" s="283">
        <f t="shared" ca="1" si="3"/>
        <v>5923.6399999999994</v>
      </c>
      <c r="J74" s="284">
        <f t="shared" ca="1" si="4"/>
        <v>8.4980016503739613E-4</v>
      </c>
      <c r="K74" s="284">
        <f t="shared" ref="K74:K137" ca="1" si="5">J74+K73</f>
        <v>0.3024063908571949</v>
      </c>
      <c r="M74" s="419"/>
    </row>
    <row r="75" spans="1:13" x14ac:dyDescent="0.2">
      <c r="A75" s="10" t="str">
        <f ca="1"/>
        <v>5849,04156744068 - Instalacos do Sistema Preventivo de Incendio - Sub Solo</v>
      </c>
      <c r="B75" s="10">
        <f ca="1">IF(OR(A75="",A75=0),"",LARGE($B$8:B74,1)+1)</f>
        <v>67</v>
      </c>
      <c r="C75" s="7"/>
      <c r="D75" s="279">
        <f ca="1">IF(A75="","",COUNTIF(Orçamento!P:P,A75))</f>
        <v>0</v>
      </c>
      <c r="E75" s="280" t="str">
        <f ca="1">IFERROR(IF(A75="","",_xlfn.XLOOKUP(A75,'ABC Serviços Apoio'!C:C,'ABC Serviços Apoio'!A:A)),"")</f>
        <v>Instalacos do Sistema Preventivo de Incendio - Sub Solo</v>
      </c>
      <c r="F75" s="281" t="str">
        <f ca="1">IFERROR(IF(A75="","",_xlfn.XLOOKUP(E75,Orçamento!Q:Q,Orçamento!T:T)),"")</f>
        <v>VB</v>
      </c>
      <c r="G75" s="282">
        <f ca="1">IFERROR(IF(A75="","",SUMIF(Orçamento!Q:Q,E75,Orçamento!X:X)),"")</f>
        <v>1</v>
      </c>
      <c r="H75" s="283">
        <f ca="1">IFERROR(IF(A75="","",_xlfn.XLOOKUP(E75,Orçamento!Q:Q,Orçamento!Y:Y)),"")</f>
        <v>5849.041567440685</v>
      </c>
      <c r="I75" s="283">
        <f t="shared" ca="1" si="3"/>
        <v>5849.041567440685</v>
      </c>
      <c r="J75" s="284">
        <f t="shared" ca="1" si="4"/>
        <v>8.3909833975759579E-4</v>
      </c>
      <c r="K75" s="284">
        <f t="shared" ca="1" si="5"/>
        <v>0.30324548919695249</v>
      </c>
      <c r="M75" s="419"/>
    </row>
    <row r="76" spans="1:13" x14ac:dyDescent="0.2">
      <c r="A76" s="10" t="str">
        <f ca="1"/>
        <v>5849,04156744068 - Instalacoes de Esgoto - Sub Solo</v>
      </c>
      <c r="B76" s="10">
        <f ca="1">IF(OR(A76="",A76=0),"",LARGE($B$8:B75,1)+1)</f>
        <v>68</v>
      </c>
      <c r="C76" s="7"/>
      <c r="D76" s="279">
        <f ca="1">IF(A76="","",COUNTIF(Orçamento!P:P,A76))</f>
        <v>0</v>
      </c>
      <c r="E76" s="280" t="str">
        <f ca="1">IFERROR(IF(A76="","",_xlfn.XLOOKUP(A76,'ABC Serviços Apoio'!C:C,'ABC Serviços Apoio'!A:A)),"")</f>
        <v>Instalacoes de Esgoto - Sub Solo</v>
      </c>
      <c r="F76" s="281" t="str">
        <f ca="1">IFERROR(IF(A76="","",_xlfn.XLOOKUP(E76,Orçamento!Q:Q,Orçamento!T:T)),"")</f>
        <v>VB</v>
      </c>
      <c r="G76" s="282">
        <f ca="1">IFERROR(IF(A76="","",SUMIF(Orçamento!Q:Q,E76,Orçamento!X:X)),"")</f>
        <v>1</v>
      </c>
      <c r="H76" s="283">
        <f ca="1">IFERROR(IF(A76="","",_xlfn.XLOOKUP(E76,Orçamento!Q:Q,Orçamento!Y:Y)),"")</f>
        <v>5849.041567440685</v>
      </c>
      <c r="I76" s="283">
        <f t="shared" ca="1" si="3"/>
        <v>5849.041567440685</v>
      </c>
      <c r="J76" s="284">
        <f t="shared" ca="1" si="4"/>
        <v>8.3909833975759579E-4</v>
      </c>
      <c r="K76" s="284">
        <f t="shared" ca="1" si="5"/>
        <v>0.30408458753671008</v>
      </c>
      <c r="M76" s="419"/>
    </row>
    <row r="77" spans="1:13" x14ac:dyDescent="0.2">
      <c r="A77" s="10" t="str">
        <f ca="1"/>
        <v>5829,69 - Instalação de Equipamentos de Telefonia/lógica/internet</v>
      </c>
      <c r="B77" s="10">
        <f ca="1">IF(OR(A77="",A77=0),"",LARGE($B$8:B76,1)+1)</f>
        <v>69</v>
      </c>
      <c r="C77" s="7"/>
      <c r="D77" s="279">
        <f ca="1">IF(A77="","",COUNTIF(Orçamento!P:P,A77))</f>
        <v>0</v>
      </c>
      <c r="E77" s="280" t="str">
        <f ca="1">IFERROR(IF(A77="","",_xlfn.XLOOKUP(A77,'ABC Serviços Apoio'!C:C,'ABC Serviços Apoio'!A:A)),"")</f>
        <v>Instalação de Equipamentos de Telefonia/lógica/internet</v>
      </c>
      <c r="F77" s="281" t="str">
        <f ca="1">IFERROR(IF(A77="","",_xlfn.XLOOKUP(E77,Orçamento!Q:Q,Orçamento!T:T)),"")</f>
        <v>UN</v>
      </c>
      <c r="G77" s="282">
        <f ca="1">IFERROR(IF(A77="","",SUMIF(Orçamento!Q:Q,E77,Orçamento!X:X)),"")</f>
        <v>1</v>
      </c>
      <c r="H77" s="283">
        <f ca="1">IFERROR(IF(A77="","",_xlfn.XLOOKUP(E77,Orçamento!Q:Q,Orçamento!Y:Y)),"")</f>
        <v>5829.6900000000005</v>
      </c>
      <c r="I77" s="283">
        <f t="shared" ca="1" si="3"/>
        <v>5829.6900000000005</v>
      </c>
      <c r="J77" s="284">
        <f t="shared" ca="1" si="4"/>
        <v>8.3632218097603138E-4</v>
      </c>
      <c r="K77" s="284">
        <f t="shared" ca="1" si="5"/>
        <v>0.30492090971768609</v>
      </c>
      <c r="M77" s="419"/>
    </row>
    <row r="78" spans="1:13" x14ac:dyDescent="0.2">
      <c r="A78" s="10" t="str">
        <f ca="1"/>
        <v>57962,94944968 - Fabricação de fôrma para Pilares em chapa de madeira compensada plastificada e=14 mm - 2 jogos</v>
      </c>
      <c r="B78" s="10">
        <f ca="1">IF(OR(A78="",A78=0),"",LARGE($B$8:B77,1)+1)</f>
        <v>70</v>
      </c>
      <c r="C78" s="7"/>
      <c r="D78" s="279">
        <f ca="1">IF(A78="","",COUNTIF(Orçamento!P:P,A78))</f>
        <v>0</v>
      </c>
      <c r="E78" s="280" t="str">
        <f ca="1">IFERROR(IF(A78="","",_xlfn.XLOOKUP(A78,'ABC Serviços Apoio'!C:C,'ABC Serviços Apoio'!A:A)),"")</f>
        <v>Fabricação de fôrma para Pilares em chapa de madeira compensada plastificada e=14 mm - 2 jogos</v>
      </c>
      <c r="F78" s="281" t="str">
        <f ca="1">IFERROR(IF(A78="","",_xlfn.XLOOKUP(E78,Orçamento!Q:Q,Orçamento!T:T)),"")</f>
        <v>M2</v>
      </c>
      <c r="G78" s="282">
        <f ca="1">IFERROR(IF(A78="","",SUMIF(Orçamento!Q:Q,E78,Orçamento!X:X)),"")</f>
        <v>535.48219999999992</v>
      </c>
      <c r="H78" s="283">
        <f ca="1">IFERROR(IF(A78="","",_xlfn.XLOOKUP(E78,Orçamento!Q:Q,Orçamento!Y:Y)),"")</f>
        <v>108.24439999999998</v>
      </c>
      <c r="I78" s="283">
        <f t="shared" ca="1" si="3"/>
        <v>57962.949449679982</v>
      </c>
      <c r="J78" s="284">
        <f t="shared" ca="1" si="4"/>
        <v>8.3153135586214386E-3</v>
      </c>
      <c r="K78" s="284">
        <f t="shared" ca="1" si="5"/>
        <v>0.31323622327630751</v>
      </c>
      <c r="M78" s="419"/>
    </row>
    <row r="79" spans="1:13" x14ac:dyDescent="0.2">
      <c r="A79" s="10" t="str">
        <f ca="1"/>
        <v>5700 - Manuais Técnicos</v>
      </c>
      <c r="B79" s="10">
        <f ca="1">IF(OR(A79="",A79=0),"",LARGE($B$8:B78,1)+1)</f>
        <v>71</v>
      </c>
      <c r="C79" s="7"/>
      <c r="D79" s="279">
        <f ca="1">IF(A79="","",COUNTIF(Orçamento!P:P,A79))</f>
        <v>0</v>
      </c>
      <c r="E79" s="280" t="str">
        <f ca="1">IFERROR(IF(A79="","",_xlfn.XLOOKUP(A79,'ABC Serviços Apoio'!C:C,'ABC Serviços Apoio'!A:A)),"")</f>
        <v>Manuais Técnicos</v>
      </c>
      <c r="F79" s="281" t="str">
        <f ca="1">IFERROR(IF(A79="","",_xlfn.XLOOKUP(E79,Orçamento!Q:Q,Orçamento!T:T)),"")</f>
        <v>VB</v>
      </c>
      <c r="G79" s="282">
        <f ca="1">IFERROR(IF(A79="","",SUMIF(Orçamento!Q:Q,E79,Orçamento!X:X)),"")</f>
        <v>1</v>
      </c>
      <c r="H79" s="283">
        <f ca="1">IFERROR(IF(A79="","",_xlfn.XLOOKUP(E79,Orçamento!Q:Q,Orçamento!Y:Y)),"")</f>
        <v>5700</v>
      </c>
      <c r="I79" s="283">
        <f t="shared" ca="1" si="3"/>
        <v>5700</v>
      </c>
      <c r="J79" s="284">
        <f t="shared" ca="1" si="4"/>
        <v>8.1771696806577686E-4</v>
      </c>
      <c r="K79" s="284">
        <f t="shared" ca="1" si="5"/>
        <v>0.31405394024437328</v>
      </c>
      <c r="M79" s="419"/>
    </row>
    <row r="80" spans="1:13" x14ac:dyDescent="0.2">
      <c r="A80" s="10" t="str">
        <f ca="1"/>
        <v>56000 - Aquisição Equipamentos - Mini Grua 500g</v>
      </c>
      <c r="B80" s="10">
        <f ca="1">IF(OR(A80="",A80=0),"",LARGE($B$8:B79,1)+1)</f>
        <v>72</v>
      </c>
      <c r="C80" s="7"/>
      <c r="D80" s="279">
        <f ca="1">IF(A80="","",COUNTIF(Orçamento!P:P,A80))</f>
        <v>0</v>
      </c>
      <c r="E80" s="280" t="str">
        <f ca="1">IFERROR(IF(A80="","",_xlfn.XLOOKUP(A80,'ABC Serviços Apoio'!C:C,'ABC Serviços Apoio'!A:A)),"")</f>
        <v>Aquisição Equipamentos - Mini Grua 500g</v>
      </c>
      <c r="F80" s="281" t="str">
        <f ca="1">IFERROR(IF(A80="","",_xlfn.XLOOKUP(E80,Orçamento!Q:Q,Orçamento!T:T)),"")</f>
        <v>VB</v>
      </c>
      <c r="G80" s="282">
        <f ca="1">IFERROR(IF(A80="","",SUMIF(Orçamento!Q:Q,E80,Orçamento!X:X)),"")</f>
        <v>1</v>
      </c>
      <c r="H80" s="283">
        <f ca="1">IFERROR(IF(A80="","",_xlfn.XLOOKUP(E80,Orçamento!Q:Q,Orçamento!Y:Y)),"")</f>
        <v>56000</v>
      </c>
      <c r="I80" s="283">
        <f t="shared" ca="1" si="3"/>
        <v>56000</v>
      </c>
      <c r="J80" s="284">
        <f t="shared" ca="1" si="4"/>
        <v>8.0337105634532453E-3</v>
      </c>
      <c r="K80" s="284">
        <f t="shared" ca="1" si="5"/>
        <v>0.32208765080782653</v>
      </c>
      <c r="M80" s="419"/>
    </row>
    <row r="81" spans="1:13" x14ac:dyDescent="0.2">
      <c r="A81" s="10" t="str">
        <f ca="1"/>
        <v>554,0913 - Alvenaria de vedacao de blocos ceramicos furados na horizontal de  9 X 19 X 29 cm (espessura 9cm) com argamassa industrializada de assentamento</v>
      </c>
      <c r="B81" s="10">
        <f ca="1">IF(OR(A81="",A81=0),"",LARGE($B$8:B80,1)+1)</f>
        <v>73</v>
      </c>
      <c r="C81" s="7"/>
      <c r="D81" s="279">
        <f ca="1">IF(A81="","",COUNTIF(Orçamento!P:P,A81))</f>
        <v>0</v>
      </c>
      <c r="E81" s="280" t="str">
        <f ca="1">IFERROR(IF(A81="","",_xlfn.XLOOKUP(A81,'ABC Serviços Apoio'!C:C,'ABC Serviços Apoio'!A:A)),"")</f>
        <v>Alvenaria de vedacao de blocos ceramicos furados na horizontal de  9 X 19 X 29 cm (espessura 9cm) com argamassa industrializada de assentamento</v>
      </c>
      <c r="F81" s="281" t="str">
        <f ca="1">IFERROR(IF(A81="","",_xlfn.XLOOKUP(E81,Orçamento!Q:Q,Orçamento!T:T)),"")</f>
        <v>M2</v>
      </c>
      <c r="G81" s="282">
        <f ca="1">IFERROR(IF(A81="","",SUMIF(Orçamento!Q:Q,E81,Orçamento!X:X)),"")</f>
        <v>19.000000000000004</v>
      </c>
      <c r="H81" s="283">
        <f ca="1">IFERROR(IF(A81="","",_xlfn.XLOOKUP(E81,Orçamento!Q:Q,Orçamento!Y:Y)),"")</f>
        <v>29.162700000000001</v>
      </c>
      <c r="I81" s="283">
        <f t="shared" ca="1" si="3"/>
        <v>554.09130000000016</v>
      </c>
      <c r="J81" s="284">
        <f t="shared" ca="1" si="4"/>
        <v>7.948944874870612E-5</v>
      </c>
      <c r="K81" s="284">
        <f t="shared" ca="1" si="5"/>
        <v>0.32216714025657522</v>
      </c>
      <c r="M81" s="419"/>
    </row>
    <row r="82" spans="1:13" x14ac:dyDescent="0.2">
      <c r="A82" s="10" t="str">
        <f ca="1"/>
        <v>5444,2849792 - Rodape de poliestireno 15cm</v>
      </c>
      <c r="B82" s="10">
        <f ca="1">IF(OR(A82="",A82=0),"",LARGE($B$8:B81,1)+1)</f>
        <v>74</v>
      </c>
      <c r="C82" s="7"/>
      <c r="D82" s="279">
        <f ca="1">IF(A82="","",COUNTIF(Orçamento!P:P,A82))</f>
        <v>0</v>
      </c>
      <c r="E82" s="280" t="str">
        <f ca="1">IFERROR(IF(A82="","",_xlfn.XLOOKUP(A82,'ABC Serviços Apoio'!C:C,'ABC Serviços Apoio'!A:A)),"")</f>
        <v>Rodape de poliestireno 15cm</v>
      </c>
      <c r="F82" s="281" t="str">
        <f ca="1">IFERROR(IF(A82="","",_xlfn.XLOOKUP(E82,Orçamento!Q:Q,Orçamento!T:T)),"")</f>
        <v>M</v>
      </c>
      <c r="G82" s="282">
        <f ca="1">IFERROR(IF(A82="","",SUMIF(Orçamento!Q:Q,E82,Orçamento!X:X)),"")</f>
        <v>78.88000000000001</v>
      </c>
      <c r="H82" s="283">
        <f ca="1">IFERROR(IF(A82="","",_xlfn.XLOOKUP(E82,Orçamento!Q:Q,Orçamento!Y:Y)),"")</f>
        <v>69.019840000000016</v>
      </c>
      <c r="I82" s="283">
        <f t="shared" ca="1" si="3"/>
        <v>5444.2849792000015</v>
      </c>
      <c r="J82" s="284">
        <f t="shared" ca="1" si="4"/>
        <v>7.81032316925873E-4</v>
      </c>
      <c r="K82" s="284">
        <f t="shared" ca="1" si="5"/>
        <v>0.32294817257350111</v>
      </c>
      <c r="M82" s="419"/>
    </row>
    <row r="83" spans="1:13" x14ac:dyDescent="0.2">
      <c r="A83" s="10" t="str">
        <f ca="1"/>
        <v>5278,43245261534 - Instalacoes de Agua Fria - Térreo</v>
      </c>
      <c r="B83" s="10">
        <f ca="1">IF(OR(A83="",A83=0),"",LARGE($B$8:B82,1)+1)</f>
        <v>75</v>
      </c>
      <c r="C83" s="7"/>
      <c r="D83" s="279">
        <f ca="1">IF(A83="","",COUNTIF(Orçamento!P:P,A83))</f>
        <v>0</v>
      </c>
      <c r="E83" s="280" t="str">
        <f ca="1">IFERROR(IF(A83="","",_xlfn.XLOOKUP(A83,'ABC Serviços Apoio'!C:C,'ABC Serviços Apoio'!A:A)),"")</f>
        <v>Instalacoes de Agua Fria - Térreo</v>
      </c>
      <c r="F83" s="281" t="str">
        <f ca="1">IFERROR(IF(A83="","",_xlfn.XLOOKUP(E83,Orçamento!Q:Q,Orçamento!T:T)),"")</f>
        <v>VB</v>
      </c>
      <c r="G83" s="282">
        <f ca="1">IFERROR(IF(A83="","",SUMIF(Orçamento!Q:Q,E83,Orçamento!X:X)),"")</f>
        <v>1</v>
      </c>
      <c r="H83" s="283">
        <f ca="1">IFERROR(IF(A83="","",_xlfn.XLOOKUP(E83,Orçamento!Q:Q,Orçamento!Y:Y)),"")</f>
        <v>5278.4324526153387</v>
      </c>
      <c r="I83" s="283">
        <f t="shared" ca="1" si="3"/>
        <v>5278.4324526153387</v>
      </c>
      <c r="J83" s="284">
        <f t="shared" ca="1" si="4"/>
        <v>7.5723925987589765E-4</v>
      </c>
      <c r="K83" s="284">
        <f t="shared" ca="1" si="5"/>
        <v>0.32370541183337703</v>
      </c>
      <c r="M83" s="419"/>
    </row>
    <row r="84" spans="1:13" x14ac:dyDescent="0.2">
      <c r="A84" s="10" t="str">
        <f ca="1"/>
        <v>527,843245261534 - Luminárias e Acessorios - Térreo</v>
      </c>
      <c r="B84" s="10">
        <f ca="1">IF(OR(A84="",A84=0),"",LARGE($B$8:B83,1)+1)</f>
        <v>76</v>
      </c>
      <c r="C84" s="7"/>
      <c r="D84" s="279">
        <f ca="1">IF(A84="","",COUNTIF(Orçamento!P:P,A84))</f>
        <v>0</v>
      </c>
      <c r="E84" s="280" t="str">
        <f ca="1">IFERROR(IF(A84="","",_xlfn.XLOOKUP(A84,'ABC Serviços Apoio'!C:C,'ABC Serviços Apoio'!A:A)),"")</f>
        <v>Luminárias e Acessorios - Térreo</v>
      </c>
      <c r="F84" s="281" t="str">
        <f ca="1">IFERROR(IF(A84="","",_xlfn.XLOOKUP(E84,Orçamento!Q:Q,Orçamento!T:T)),"")</f>
        <v>VB</v>
      </c>
      <c r="G84" s="282">
        <f ca="1">IFERROR(IF(A84="","",SUMIF(Orçamento!Q:Q,E84,Orçamento!X:X)),"")</f>
        <v>1</v>
      </c>
      <c r="H84" s="283">
        <f ca="1">IFERROR(IF(A84="","",_xlfn.XLOOKUP(E84,Orçamento!Q:Q,Orçamento!Y:Y)),"")</f>
        <v>527.84324526153387</v>
      </c>
      <c r="I84" s="283">
        <f t="shared" ca="1" si="3"/>
        <v>527.84324526153387</v>
      </c>
      <c r="J84" s="284">
        <f t="shared" ca="1" si="4"/>
        <v>7.5723925987589768E-5</v>
      </c>
      <c r="K84" s="284">
        <f t="shared" ca="1" si="5"/>
        <v>0.32378113575936462</v>
      </c>
      <c r="M84" s="419"/>
    </row>
    <row r="85" spans="1:13" x14ac:dyDescent="0.2">
      <c r="A85" s="10" t="str">
        <f ca="1"/>
        <v>5244,619068 - Armacao aco CA-50 ø 10.0mm para Contenções- cortado e dobrado em industria</v>
      </c>
      <c r="B85" s="10">
        <f ca="1">IF(OR(A85="",A85=0),"",LARGE($B$8:B84,1)+1)</f>
        <v>77</v>
      </c>
      <c r="C85" s="7"/>
      <c r="D85" s="279">
        <f ca="1">IF(A85="","",COUNTIF(Orçamento!P:P,A85))</f>
        <v>0</v>
      </c>
      <c r="E85" s="280" t="str">
        <f ca="1">IFERROR(IF(A85="","",_xlfn.XLOOKUP(A85,'ABC Serviços Apoio'!C:C,'ABC Serviços Apoio'!A:A)),"")</f>
        <v>Armacao aco CA-50 ø 10.0mm para Contenções- cortado e dobrado em industria</v>
      </c>
      <c r="F85" s="281" t="str">
        <f ca="1">IFERROR(IF(A85="","",_xlfn.XLOOKUP(E85,Orçamento!Q:Q,Orçamento!T:T)),"")</f>
        <v>KG</v>
      </c>
      <c r="G85" s="282">
        <f ca="1">IFERROR(IF(A85="","",SUMIF(Orçamento!Q:Q,E85,Orçamento!X:X)),"")</f>
        <v>795.6</v>
      </c>
      <c r="H85" s="283">
        <f ca="1">IFERROR(IF(A85="","",_xlfn.XLOOKUP(E85,Orçamento!Q:Q,Orçamento!Y:Y)),"")</f>
        <v>6.5920300000000012</v>
      </c>
      <c r="I85" s="283">
        <f t="shared" ca="1" si="3"/>
        <v>5244.6190680000009</v>
      </c>
      <c r="J85" s="284">
        <f t="shared" ca="1" si="4"/>
        <v>7.5238842156928436E-4</v>
      </c>
      <c r="K85" s="284">
        <f t="shared" ca="1" si="5"/>
        <v>0.3245335241809339</v>
      </c>
      <c r="M85" s="419"/>
    </row>
    <row r="86" spans="1:13" x14ac:dyDescent="0.2">
      <c r="A86" s="10" t="str">
        <f ca="1"/>
        <v>5220,02 - Elaboracao do Programa PPRA e PCMAT</v>
      </c>
      <c r="B86" s="10">
        <f ca="1">IF(OR(A86="",A86=0),"",LARGE($B$8:B85,1)+1)</f>
        <v>78</v>
      </c>
      <c r="C86" s="7"/>
      <c r="D86" s="279">
        <f ca="1">IF(A86="","",COUNTIF(Orçamento!P:P,A86))</f>
        <v>0</v>
      </c>
      <c r="E86" s="280" t="str">
        <f ca="1">IFERROR(IF(A86="","",_xlfn.XLOOKUP(A86,'ABC Serviços Apoio'!C:C,'ABC Serviços Apoio'!A:A)),"")</f>
        <v>Elaboracao do Programa PPRA e PCMAT</v>
      </c>
      <c r="F86" s="281" t="str">
        <f ca="1">IFERROR(IF(A86="","",_xlfn.XLOOKUP(E86,Orçamento!Q:Q,Orçamento!T:T)),"")</f>
        <v>VB</v>
      </c>
      <c r="G86" s="282">
        <f ca="1">IFERROR(IF(A86="","",SUMIF(Orçamento!Q:Q,E86,Orçamento!X:X)),"")</f>
        <v>1</v>
      </c>
      <c r="H86" s="283">
        <f ca="1">IFERROR(IF(A86="","",_xlfn.XLOOKUP(E86,Orçamento!Q:Q,Orçamento!Y:Y)),"")</f>
        <v>5220.0200000000004</v>
      </c>
      <c r="I86" s="283">
        <f t="shared" ca="1" si="3"/>
        <v>5220.0200000000004</v>
      </c>
      <c r="J86" s="284">
        <f t="shared" ca="1" si="4"/>
        <v>7.4885946098995025E-4</v>
      </c>
      <c r="K86" s="284">
        <f t="shared" ca="1" si="5"/>
        <v>0.32528238364192386</v>
      </c>
      <c r="M86" s="419"/>
    </row>
    <row r="87" spans="1:13" x14ac:dyDescent="0.2">
      <c r="A87" s="10" t="str">
        <f ca="1"/>
        <v>519,757 - Mao de obra para execucao de piso de concretograma</v>
      </c>
      <c r="B87" s="10">
        <f ca="1">IF(OR(A87="",A87=0),"",LARGE($B$8:B86,1)+1)</f>
        <v>79</v>
      </c>
      <c r="C87" s="7"/>
      <c r="D87" s="279">
        <f ca="1">IF(A87="","",COUNTIF(Orçamento!P:P,A87))</f>
        <v>0</v>
      </c>
      <c r="E87" s="280" t="str">
        <f ca="1">IFERROR(IF(A87="","",_xlfn.XLOOKUP(A87,'ABC Serviços Apoio'!C:C,'ABC Serviços Apoio'!A:A)),"")</f>
        <v>Mao de obra para execucao de piso de concretograma</v>
      </c>
      <c r="F87" s="281" t="str">
        <f ca="1">IFERROR(IF(A87="","",_xlfn.XLOOKUP(E87,Orçamento!Q:Q,Orçamento!T:T)),"")</f>
        <v>M2</v>
      </c>
      <c r="G87" s="282">
        <f ca="1">IFERROR(IF(A87="","",SUMIF(Orçamento!Q:Q,E87,Orçamento!X:X)),"")</f>
        <v>12.677</v>
      </c>
      <c r="H87" s="283">
        <f ca="1">IFERROR(IF(A87="","",_xlfn.XLOOKUP(E87,Orçamento!Q:Q,Orçamento!Y:Y)),"")</f>
        <v>41</v>
      </c>
      <c r="I87" s="283">
        <f t="shared" ca="1" si="3"/>
        <v>519.75699999999995</v>
      </c>
      <c r="J87" s="284">
        <f t="shared" ca="1" si="4"/>
        <v>7.4563880380870863E-5</v>
      </c>
      <c r="K87" s="284">
        <f t="shared" ca="1" si="5"/>
        <v>0.32535694752230471</v>
      </c>
      <c r="M87" s="419"/>
    </row>
    <row r="88" spans="1:13" x14ac:dyDescent="0.2">
      <c r="A88" s="10" t="str">
        <f ca="1"/>
        <v>519,272 - Tanque de Louça</v>
      </c>
      <c r="B88" s="10">
        <f ca="1">IF(OR(A88="",A88=0),"",LARGE($B$8:B87,1)+1)</f>
        <v>80</v>
      </c>
      <c r="C88" s="7"/>
      <c r="D88" s="279">
        <f ca="1">IF(A88="","",COUNTIF(Orçamento!P:P,A88))</f>
        <v>0</v>
      </c>
      <c r="E88" s="280" t="str">
        <f ca="1">IFERROR(IF(A88="","",_xlfn.XLOOKUP(A88,'ABC Serviços Apoio'!C:C,'ABC Serviços Apoio'!A:A)),"")</f>
        <v>Tanque de Louça</v>
      </c>
      <c r="F88" s="281" t="str">
        <f ca="1">IFERROR(IF(A88="","",_xlfn.XLOOKUP(E88,Orçamento!Q:Q,Orçamento!T:T)),"")</f>
        <v>UN</v>
      </c>
      <c r="G88" s="282">
        <f ca="1">IFERROR(IF(A88="","",SUMIF(Orçamento!Q:Q,E88,Orçamento!X:X)),"")</f>
        <v>2</v>
      </c>
      <c r="H88" s="283">
        <f ca="1">IFERROR(IF(A88="","",_xlfn.XLOOKUP(E88,Orçamento!Q:Q,Orçamento!Y:Y)),"")</f>
        <v>259.63600000000002</v>
      </c>
      <c r="I88" s="283">
        <f t="shared" ca="1" si="3"/>
        <v>519.27200000000005</v>
      </c>
      <c r="J88" s="284">
        <f t="shared" ca="1" si="4"/>
        <v>7.4494302709026677E-5</v>
      </c>
      <c r="K88" s="284">
        <f t="shared" ca="1" si="5"/>
        <v>0.32543144182501371</v>
      </c>
      <c r="M88" s="419"/>
    </row>
    <row r="89" spans="1:13" x14ac:dyDescent="0.2">
      <c r="A89" s="10" t="str">
        <f ca="1"/>
        <v>50841,7259120674 - Mao de obra para colocacao e rejuntamento de Azulejo Cerâmico</v>
      </c>
      <c r="B89" s="10">
        <f ca="1">IF(OR(A89="",A89=0),"",LARGE($B$8:B88,1)+1)</f>
        <v>81</v>
      </c>
      <c r="C89" s="7"/>
      <c r="D89" s="279">
        <f ca="1">IF(A89="","",COUNTIF(Orçamento!P:P,A89))</f>
        <v>0</v>
      </c>
      <c r="E89" s="280" t="str">
        <f ca="1">IFERROR(IF(A89="","",_xlfn.XLOOKUP(A89,'ABC Serviços Apoio'!C:C,'ABC Serviços Apoio'!A:A)),"")</f>
        <v>Mao de obra para colocacao e rejuntamento de Azulejo Cerâmico</v>
      </c>
      <c r="F89" s="281" t="str">
        <f ca="1">IFERROR(IF(A89="","",_xlfn.XLOOKUP(E89,Orçamento!Q:Q,Orçamento!T:T)),"")</f>
        <v>M2</v>
      </c>
      <c r="G89" s="282">
        <f ca="1">IFERROR(IF(A89="","",SUMIF(Orçamento!Q:Q,E89,Orçamento!X:X)),"")</f>
        <v>691.62</v>
      </c>
      <c r="H89" s="283">
        <f ca="1">IFERROR(IF(A89="","",_xlfn.XLOOKUP(E89,Orçamento!Q:Q,Orçamento!Y:Y)),"")</f>
        <v>73.511069535391343</v>
      </c>
      <c r="I89" s="283">
        <f t="shared" ca="1" si="3"/>
        <v>50841.725912067363</v>
      </c>
      <c r="J89" s="284">
        <f t="shared" ca="1" si="4"/>
        <v>7.2937091164994678E-3</v>
      </c>
      <c r="K89" s="284">
        <f t="shared" ca="1" si="5"/>
        <v>0.33272515094151317</v>
      </c>
      <c r="M89" s="419"/>
    </row>
    <row r="90" spans="1:13" x14ac:dyDescent="0.2">
      <c r="A90" s="10" t="str">
        <f ca="1"/>
        <v>50600 - Loucas e metais</v>
      </c>
      <c r="B90" s="10">
        <f ca="1">IF(OR(A90="",A90=0),"",LARGE($B$8:B89,1)+1)</f>
        <v>82</v>
      </c>
      <c r="C90" s="7"/>
      <c r="D90" s="279">
        <f ca="1">IF(A90="","",COUNTIF(Orçamento!P:P,A90))</f>
        <v>0</v>
      </c>
      <c r="E90" s="280" t="str">
        <f ca="1">IFERROR(IF(A90="","",_xlfn.XLOOKUP(A90,'ABC Serviços Apoio'!C:C,'ABC Serviços Apoio'!A:A)),"")</f>
        <v>Loucas e metais</v>
      </c>
      <c r="F90" s="281" t="str">
        <f ca="1">IFERROR(IF(A90="","",_xlfn.XLOOKUP(E90,Orçamento!Q:Q,Orçamento!T:T)),"")</f>
        <v>VB</v>
      </c>
      <c r="G90" s="282">
        <f ca="1">IFERROR(IF(A90="","",SUMIF(Orçamento!Q:Q,E90,Orçamento!X:X)),"")</f>
        <v>1</v>
      </c>
      <c r="H90" s="283">
        <f ca="1">IFERROR(IF(A90="","",_xlfn.XLOOKUP(E90,Orçamento!Q:Q,Orçamento!Y:Y)),"")</f>
        <v>50600</v>
      </c>
      <c r="I90" s="283">
        <f t="shared" ca="1" si="3"/>
        <v>50600</v>
      </c>
      <c r="J90" s="284">
        <f t="shared" ca="1" si="4"/>
        <v>7.2590313305488261E-3</v>
      </c>
      <c r="K90" s="284">
        <f t="shared" ca="1" si="5"/>
        <v>0.33998418227206201</v>
      </c>
      <c r="M90" s="419"/>
    </row>
    <row r="91" spans="1:13" x14ac:dyDescent="0.2">
      <c r="A91" s="10" t="str">
        <f ca="1"/>
        <v>4852,97954006106 - Eletrodutos e Eletrocalhas - Cobertura</v>
      </c>
      <c r="B91" s="10">
        <f ca="1">IF(OR(A91="",A91=0),"",LARGE($B$8:B90,1)+1)</f>
        <v>83</v>
      </c>
      <c r="C91" s="7"/>
      <c r="D91" s="279">
        <f ca="1">IF(A91="","",COUNTIF(Orçamento!P:P,A91))</f>
        <v>0</v>
      </c>
      <c r="E91" s="280" t="str">
        <f ca="1">IFERROR(IF(A91="","",_xlfn.XLOOKUP(A91,'ABC Serviços Apoio'!C:C,'ABC Serviços Apoio'!A:A)),"")</f>
        <v>Eletrodutos e Eletrocalhas - Cobertura</v>
      </c>
      <c r="F91" s="281" t="str">
        <f ca="1">IFERROR(IF(A91="","",_xlfn.XLOOKUP(E91,Orçamento!Q:Q,Orçamento!T:T)),"")</f>
        <v>VB</v>
      </c>
      <c r="G91" s="282">
        <f ca="1">IFERROR(IF(A91="","",SUMIF(Orçamento!Q:Q,E91,Orçamento!X:X)),"")</f>
        <v>1</v>
      </c>
      <c r="H91" s="283">
        <f ca="1">IFERROR(IF(A91="","",_xlfn.XLOOKUP(E91,Orçamento!Q:Q,Orçamento!Y:Y)),"")</f>
        <v>4852.9795400610647</v>
      </c>
      <c r="I91" s="283">
        <f t="shared" ca="1" si="3"/>
        <v>4852.9795400610647</v>
      </c>
      <c r="J91" s="284">
        <f t="shared" ca="1" si="4"/>
        <v>6.9620416062876871E-4</v>
      </c>
      <c r="K91" s="284">
        <f t="shared" ca="1" si="5"/>
        <v>0.34068038643269077</v>
      </c>
      <c r="M91" s="419"/>
    </row>
    <row r="92" spans="1:13" x14ac:dyDescent="0.2">
      <c r="A92" s="10" t="str">
        <f ca="1"/>
        <v>4810 - Fechadura (c/ chave) + Dobradiça / Portas Internas</v>
      </c>
      <c r="B92" s="10">
        <f ca="1">IF(OR(A92="",A92=0),"",LARGE($B$8:B91,1)+1)</f>
        <v>84</v>
      </c>
      <c r="C92" s="7"/>
      <c r="D92" s="279">
        <f ca="1">IF(A92="","",COUNTIF(Orçamento!P:P,A92))</f>
        <v>0</v>
      </c>
      <c r="E92" s="280" t="str">
        <f ca="1">IFERROR(IF(A92="","",_xlfn.XLOOKUP(A92,'ABC Serviços Apoio'!C:C,'ABC Serviços Apoio'!A:A)),"")</f>
        <v>Fechadura (c/ chave) + Dobradiça / Portas Internas</v>
      </c>
      <c r="F92" s="281" t="str">
        <f ca="1">IFERROR(IF(A92="","",_xlfn.XLOOKUP(E92,Orçamento!Q:Q,Orçamento!T:T)),"")</f>
        <v>UN</v>
      </c>
      <c r="G92" s="282">
        <f ca="1">IFERROR(IF(A92="","",SUMIF(Orçamento!Q:Q,E92,Orçamento!X:X)),"")</f>
        <v>37</v>
      </c>
      <c r="H92" s="283">
        <f ca="1">IFERROR(IF(A92="","",_xlfn.XLOOKUP(E92,Orçamento!Q:Q,Orçamento!Y:Y)),"")</f>
        <v>130</v>
      </c>
      <c r="I92" s="283">
        <f t="shared" ca="1" si="3"/>
        <v>4810</v>
      </c>
      <c r="J92" s="284">
        <f t="shared" ca="1" si="4"/>
        <v>6.9003835375375201E-4</v>
      </c>
      <c r="K92" s="284">
        <f t="shared" ca="1" si="5"/>
        <v>0.34137042478644453</v>
      </c>
      <c r="M92" s="419"/>
    </row>
    <row r="93" spans="1:13" x14ac:dyDescent="0.2">
      <c r="A93" s="10" t="str">
        <f ca="1"/>
        <v>46260,6710852255 - Armacao Média para Infraestrutura</v>
      </c>
      <c r="B93" s="10">
        <f ca="1">IF(OR(A93="",A93=0),"",LARGE($B$8:B92,1)+1)</f>
        <v>85</v>
      </c>
      <c r="C93" s="7"/>
      <c r="D93" s="279">
        <f ca="1">IF(A93="","",COUNTIF(Orçamento!P:P,A93))</f>
        <v>0</v>
      </c>
      <c r="E93" s="280" t="str">
        <f ca="1">IFERROR(IF(A93="","",_xlfn.XLOOKUP(A93,'ABC Serviços Apoio'!C:C,'ABC Serviços Apoio'!A:A)),"")</f>
        <v>Armacao Média para Infraestrutura</v>
      </c>
      <c r="F93" s="281" t="str">
        <f ca="1">IFERROR(IF(A93="","",_xlfn.XLOOKUP(E93,Orçamento!Q:Q,Orçamento!T:T)),"")</f>
        <v>VB</v>
      </c>
      <c r="G93" s="282">
        <f ca="1">IFERROR(IF(A93="","",SUMIF(Orçamento!Q:Q,E93,Orçamento!X:X)),"")</f>
        <v>1</v>
      </c>
      <c r="H93" s="283">
        <f ca="1">IFERROR(IF(A93="","",_xlfn.XLOOKUP(E93,Orçamento!Q:Q,Orçamento!Y:Y)),"")</f>
        <v>46260.671085225476</v>
      </c>
      <c r="I93" s="283">
        <f t="shared" ca="1" si="3"/>
        <v>46260.671085225476</v>
      </c>
      <c r="J93" s="284">
        <f t="shared" ca="1" si="4"/>
        <v>6.6365150351752151E-3</v>
      </c>
      <c r="K93" s="284">
        <f t="shared" ca="1" si="5"/>
        <v>0.34800693982161973</v>
      </c>
      <c r="M93" s="419"/>
    </row>
    <row r="94" spans="1:13" x14ac:dyDescent="0.2">
      <c r="A94" s="10" t="str">
        <f ca="1"/>
        <v>46000,33782 - Revestimento em Cerâmica 60x60cm interno</v>
      </c>
      <c r="B94" s="10">
        <f ca="1">IF(OR(A94="",A94=0),"",LARGE($B$8:B93,1)+1)</f>
        <v>86</v>
      </c>
      <c r="C94" s="7"/>
      <c r="D94" s="279">
        <f ca="1">IF(A94="","",COUNTIF(Orçamento!P:P,A94))</f>
        <v>0</v>
      </c>
      <c r="E94" s="280" t="str">
        <f ca="1">IFERROR(IF(A94="","",_xlfn.XLOOKUP(A94,'ABC Serviços Apoio'!C:C,'ABC Serviços Apoio'!A:A)),"")</f>
        <v>Revestimento em Cerâmica 60x60cm interno</v>
      </c>
      <c r="F94" s="281" t="str">
        <f ca="1">IFERROR(IF(A94="","",_xlfn.XLOOKUP(E94,Orçamento!Q:Q,Orçamento!T:T)),"")</f>
        <v>M2</v>
      </c>
      <c r="G94" s="282">
        <f ca="1">IFERROR(IF(A94="","",SUMIF(Orçamento!Q:Q,E94,Orçamento!X:X)),"")</f>
        <v>691.62</v>
      </c>
      <c r="H94" s="283">
        <f ca="1">IFERROR(IF(A94="","",_xlfn.XLOOKUP(E94,Orçamento!Q:Q,Orçamento!Y:Y)),"")</f>
        <v>66.510999999999981</v>
      </c>
      <c r="I94" s="283">
        <f t="shared" ca="1" si="3"/>
        <v>46000.337819999986</v>
      </c>
      <c r="J94" s="284">
        <f t="shared" ca="1" si="4"/>
        <v>6.5991678547669954E-3</v>
      </c>
      <c r="K94" s="284">
        <f t="shared" ca="1" si="5"/>
        <v>0.35460610767638673</v>
      </c>
      <c r="M94" s="419"/>
    </row>
    <row r="95" spans="1:13" x14ac:dyDescent="0.2">
      <c r="A95" s="10" t="str">
        <f ca="1"/>
        <v>46,82 - Acessórios - Instalação de Bancada Pia Cozinha</v>
      </c>
      <c r="B95" s="10">
        <f ca="1">IF(OR(A95="",A95=0),"",LARGE($B$8:B94,1)+1)</f>
        <v>87</v>
      </c>
      <c r="C95" s="7"/>
      <c r="D95" s="279">
        <f ca="1">IF(A95="","",COUNTIF(Orçamento!P:P,A95))</f>
        <v>0</v>
      </c>
      <c r="E95" s="280" t="str">
        <f ca="1">IFERROR(IF(A95="","",_xlfn.XLOOKUP(A95,'ABC Serviços Apoio'!C:C,'ABC Serviços Apoio'!A:A)),"")</f>
        <v>Acessórios - Instalação de Bancada Pia Cozinha</v>
      </c>
      <c r="F95" s="281" t="str">
        <f ca="1">IFERROR(IF(A95="","",_xlfn.XLOOKUP(E95,Orçamento!Q:Q,Orçamento!T:T)),"")</f>
        <v>UN</v>
      </c>
      <c r="G95" s="282">
        <f ca="1">IFERROR(IF(A95="","",SUMIF(Orçamento!Q:Q,E95,Orçamento!X:X)),"")</f>
        <v>1</v>
      </c>
      <c r="H95" s="283">
        <f ca="1">IFERROR(IF(A95="","",_xlfn.XLOOKUP(E95,Orçamento!Q:Q,Orçamento!Y:Y)),"")</f>
        <v>46.82</v>
      </c>
      <c r="I95" s="283">
        <f t="shared" ca="1" si="3"/>
        <v>46.82</v>
      </c>
      <c r="J95" s="284">
        <f t="shared" ca="1" si="4"/>
        <v>6.716755867515732E-6</v>
      </c>
      <c r="K95" s="284">
        <f t="shared" ca="1" si="5"/>
        <v>0.35461282443225423</v>
      </c>
      <c r="M95" s="419"/>
    </row>
    <row r="96" spans="1:13" x14ac:dyDescent="0.2">
      <c r="A96" s="10" t="str">
        <f ca="1"/>
        <v>459,36 - Bancada Pia Cozinha - Granito Comercial</v>
      </c>
      <c r="B96" s="10">
        <f ca="1">IF(OR(A96="",A96=0),"",LARGE($B$8:B95,1)+1)</f>
        <v>88</v>
      </c>
      <c r="C96" s="7"/>
      <c r="D96" s="279">
        <f ca="1">IF(A96="","",COUNTIF(Orçamento!P:P,A96))</f>
        <v>0</v>
      </c>
      <c r="E96" s="280" t="str">
        <f ca="1">IFERROR(IF(A96="","",_xlfn.XLOOKUP(A96,'ABC Serviços Apoio'!C:C,'ABC Serviços Apoio'!A:A)),"")</f>
        <v>Bancada Pia Cozinha - Granito Comercial</v>
      </c>
      <c r="F96" s="281" t="str">
        <f ca="1">IFERROR(IF(A96="","",_xlfn.XLOOKUP(E96,Orçamento!Q:Q,Orçamento!T:T)),"")</f>
        <v>M2</v>
      </c>
      <c r="G96" s="282">
        <f ca="1">IFERROR(IF(A96="","",SUMIF(Orçamento!Q:Q,E96,Orçamento!X:X)),"")</f>
        <v>0.72</v>
      </c>
      <c r="H96" s="283">
        <f ca="1">IFERROR(IF(A96="","",_xlfn.XLOOKUP(E96,Orçamento!Q:Q,Orçamento!Y:Y)),"")</f>
        <v>638</v>
      </c>
      <c r="I96" s="283">
        <f t="shared" ca="1" si="3"/>
        <v>459.35999999999996</v>
      </c>
      <c r="J96" s="284">
        <f t="shared" ca="1" si="4"/>
        <v>6.5899380079069333E-5</v>
      </c>
      <c r="K96" s="284">
        <f t="shared" ca="1" si="5"/>
        <v>0.35467872381233329</v>
      </c>
      <c r="M96" s="419"/>
    </row>
    <row r="97" spans="1:13" x14ac:dyDescent="0.2">
      <c r="A97" s="10" t="str">
        <f ca="1"/>
        <v>4475,8368 - Revestimento interno de piso Ladrilho Piscina - áreas Externas</v>
      </c>
      <c r="B97" s="10">
        <f ca="1">IF(OR(A97="",A97=0),"",LARGE($B$8:B96,1)+1)</f>
        <v>89</v>
      </c>
      <c r="C97" s="7"/>
      <c r="D97" s="279">
        <f ca="1">IF(A97="","",COUNTIF(Orçamento!P:P,A97))</f>
        <v>0</v>
      </c>
      <c r="E97" s="280" t="str">
        <f ca="1">IFERROR(IF(A97="","",_xlfn.XLOOKUP(A97,'ABC Serviços Apoio'!C:C,'ABC Serviços Apoio'!A:A)),"")</f>
        <v>Revestimento interno de piso Ladrilho Piscina - áreas Externas</v>
      </c>
      <c r="F97" s="281" t="str">
        <f ca="1">IFERROR(IF(A97="","",_xlfn.XLOOKUP(E97,Orçamento!Q:Q,Orçamento!T:T)),"")</f>
        <v>M2</v>
      </c>
      <c r="G97" s="282">
        <f ca="1">IFERROR(IF(A97="","",SUMIF(Orçamento!Q:Q,E97,Orçamento!X:X)),"")</f>
        <v>36.799999999999997</v>
      </c>
      <c r="H97" s="283">
        <f ca="1">IFERROR(IF(A97="","",_xlfn.XLOOKUP(E97,Orçamento!Q:Q,Orçamento!Y:Y)),"")</f>
        <v>121.62600000000002</v>
      </c>
      <c r="I97" s="283">
        <f t="shared" ca="1" si="3"/>
        <v>4475.8368</v>
      </c>
      <c r="J97" s="284">
        <f t="shared" ca="1" si="4"/>
        <v>6.420995960795138E-4</v>
      </c>
      <c r="K97" s="284">
        <f t="shared" ca="1" si="5"/>
        <v>0.35532082340841281</v>
      </c>
      <c r="M97" s="419"/>
    </row>
    <row r="98" spans="1:13" x14ac:dyDescent="0.2">
      <c r="A98" s="10" t="str">
        <f ca="1"/>
        <v>4425,9075 - Contrapiso comum em argamassa estabilizada, nao aderido, espessura 14cm</v>
      </c>
      <c r="B98" s="10">
        <f ca="1">IF(OR(A98="",A98=0),"",LARGE($B$8:B97,1)+1)</f>
        <v>90</v>
      </c>
      <c r="C98" s="7"/>
      <c r="D98" s="279">
        <f ca="1">IF(A98="","",COUNTIF(Orçamento!P:P,A98))</f>
        <v>0</v>
      </c>
      <c r="E98" s="280" t="str">
        <f ca="1">IFERROR(IF(A98="","",_xlfn.XLOOKUP(A98,'ABC Serviços Apoio'!C:C,'ABC Serviços Apoio'!A:A)),"")</f>
        <v>Contrapiso comum em argamassa estabilizada, nao aderido, espessura 14cm</v>
      </c>
      <c r="F98" s="281" t="str">
        <f ca="1">IFERROR(IF(A98="","",_xlfn.XLOOKUP(E98,Orçamento!Q:Q,Orçamento!T:T)),"")</f>
        <v>M2</v>
      </c>
      <c r="G98" s="282">
        <f ca="1">IFERROR(IF(A98="","",SUMIF(Orçamento!Q:Q,E98,Orçamento!X:X)),"")</f>
        <v>71.819999999999993</v>
      </c>
      <c r="H98" s="283">
        <f ca="1">IFERROR(IF(A98="","",_xlfn.XLOOKUP(E98,Orçamento!Q:Q,Orçamento!Y:Y)),"")</f>
        <v>61.624999999999993</v>
      </c>
      <c r="I98" s="283">
        <f t="shared" ca="1" si="3"/>
        <v>4425.9074999999993</v>
      </c>
      <c r="J98" s="284">
        <f t="shared" ca="1" si="4"/>
        <v>6.3493678277887395E-4</v>
      </c>
      <c r="K98" s="284">
        <f t="shared" ca="1" si="5"/>
        <v>0.35595576019119168</v>
      </c>
      <c r="M98" s="419"/>
    </row>
    <row r="99" spans="1:13" x14ac:dyDescent="0.2">
      <c r="A99" s="10" t="str">
        <f ca="1"/>
        <v>4392,41241763494 - Quadros e Disjuntores - Térreo</v>
      </c>
      <c r="B99" s="10">
        <f ca="1">IF(OR(A99="",A99=0),"",LARGE($B$8:B98,1)+1)</f>
        <v>91</v>
      </c>
      <c r="C99" s="7"/>
      <c r="D99" s="279">
        <f ca="1">IF(A99="","",COUNTIF(Orçamento!P:P,A99))</f>
        <v>0</v>
      </c>
      <c r="E99" s="280" t="str">
        <f ca="1">IFERROR(IF(A99="","",_xlfn.XLOOKUP(A99,'ABC Serviços Apoio'!C:C,'ABC Serviços Apoio'!A:A)),"")</f>
        <v>Quadros e Disjuntores - Térreo</v>
      </c>
      <c r="F99" s="281" t="str">
        <f ca="1">IFERROR(IF(A99="","",_xlfn.XLOOKUP(E99,Orçamento!Q:Q,Orçamento!T:T)),"")</f>
        <v>VB</v>
      </c>
      <c r="G99" s="282">
        <f ca="1">IFERROR(IF(A99="","",SUMIF(Orçamento!Q:Q,E99,Orçamento!X:X)),"")</f>
        <v>1</v>
      </c>
      <c r="H99" s="283">
        <f ca="1">IFERROR(IF(A99="","",_xlfn.XLOOKUP(E99,Orçamento!Q:Q,Orçamento!Y:Y)),"")</f>
        <v>4392.4124176349396</v>
      </c>
      <c r="I99" s="283">
        <f t="shared" ca="1" si="3"/>
        <v>4392.4124176349396</v>
      </c>
      <c r="J99" s="284">
        <f t="shared" ca="1" si="4"/>
        <v>6.301316078320897E-4</v>
      </c>
      <c r="K99" s="284">
        <f t="shared" ca="1" si="5"/>
        <v>0.35658589179902378</v>
      </c>
      <c r="M99" s="419"/>
    </row>
    <row r="100" spans="1:13" x14ac:dyDescent="0.2">
      <c r="A100" s="10" t="str">
        <f ca="1"/>
        <v>43781,8553906248 - Forma para Infraestrutura</v>
      </c>
      <c r="B100" s="10">
        <f ca="1">IF(OR(A100="",A100=0),"",LARGE($B$8:B99,1)+1)</f>
        <v>92</v>
      </c>
      <c r="C100" s="7"/>
      <c r="D100" s="279">
        <f ca="1">IF(A100="","",COUNTIF(Orçamento!P:P,A100))</f>
        <v>0</v>
      </c>
      <c r="E100" s="280" t="str">
        <f ca="1">IFERROR(IF(A100="","",_xlfn.XLOOKUP(A100,'ABC Serviços Apoio'!C:C,'ABC Serviços Apoio'!A:A)),"")</f>
        <v>Forma para Infraestrutura</v>
      </c>
      <c r="F100" s="281" t="str">
        <f ca="1">IFERROR(IF(A100="","",_xlfn.XLOOKUP(E100,Orçamento!Q:Q,Orçamento!T:T)),"")</f>
        <v>VB</v>
      </c>
      <c r="G100" s="282">
        <f ca="1">IFERROR(IF(A100="","",SUMIF(Orçamento!Q:Q,E100,Orçamento!X:X)),"")</f>
        <v>1</v>
      </c>
      <c r="H100" s="283">
        <f ca="1">IFERROR(IF(A100="","",_xlfn.XLOOKUP(E100,Orçamento!Q:Q,Orçamento!Y:Y)),"")</f>
        <v>43781.855390624762</v>
      </c>
      <c r="I100" s="283">
        <f t="shared" ca="1" si="3"/>
        <v>43781.855390624762</v>
      </c>
      <c r="J100" s="284">
        <f t="shared" ca="1" si="4"/>
        <v>6.2809063239150816E-3</v>
      </c>
      <c r="K100" s="284">
        <f t="shared" ca="1" si="5"/>
        <v>0.36286679812293887</v>
      </c>
      <c r="M100" s="419"/>
    </row>
    <row r="101" spans="1:13" x14ac:dyDescent="0.2">
      <c r="A101" s="10" t="str">
        <f ca="1"/>
        <v>4346,70954162769 - Mao de obra para colocacao e rejuntamento de Azulejo Cerâmico e Porcelanato</v>
      </c>
      <c r="B101" s="10">
        <f ca="1">IF(OR(A101="",A101=0),"",LARGE($B$8:B100,1)+1)</f>
        <v>93</v>
      </c>
      <c r="C101" s="7"/>
      <c r="D101" s="279">
        <f ca="1">IF(A101="","",COUNTIF(Orçamento!P:P,A101))</f>
        <v>0</v>
      </c>
      <c r="E101" s="280" t="str">
        <f ca="1">IFERROR(IF(A101="","",_xlfn.XLOOKUP(A101,'ABC Serviços Apoio'!C:C,'ABC Serviços Apoio'!A:A)),"")</f>
        <v>Mao de obra para colocacao e rejuntamento de Azulejo Cerâmico e Porcelanato</v>
      </c>
      <c r="F101" s="281" t="str">
        <f ca="1">IFERROR(IF(A101="","",_xlfn.XLOOKUP(E101,Orçamento!Q:Q,Orçamento!T:T)),"")</f>
        <v>M2</v>
      </c>
      <c r="G101" s="282">
        <f ca="1">IFERROR(IF(A101="","",SUMIF(Orçamento!Q:Q,E101,Orçamento!X:X)),"")</f>
        <v>59.13</v>
      </c>
      <c r="H101" s="283">
        <f ca="1">IFERROR(IF(A101="","",_xlfn.XLOOKUP(E101,Orçamento!Q:Q,Orçamento!Y:Y)),"")</f>
        <v>73.511069535391343</v>
      </c>
      <c r="I101" s="283">
        <f t="shared" ca="1" si="3"/>
        <v>4346.7095416276907</v>
      </c>
      <c r="J101" s="284">
        <f t="shared" ca="1" si="4"/>
        <v>6.2357511358638207E-4</v>
      </c>
      <c r="K101" s="284">
        <f t="shared" ca="1" si="5"/>
        <v>0.36349037323652528</v>
      </c>
      <c r="M101" s="419"/>
    </row>
    <row r="102" spans="1:13" x14ac:dyDescent="0.2">
      <c r="A102" s="10" t="str">
        <f ca="1"/>
        <v xml:space="preserve">43269,8368 - Ancoragem Para Cordoalha </v>
      </c>
      <c r="B102" s="10">
        <f ca="1">IF(OR(A102="",A102=0),"",LARGE($B$8:B101,1)+1)</f>
        <v>94</v>
      </c>
      <c r="C102" s="7"/>
      <c r="D102" s="279">
        <f ca="1">IF(A102="","",COUNTIF(Orçamento!P:P,A102))</f>
        <v>0</v>
      </c>
      <c r="E102" s="280" t="str">
        <f ca="1">IFERROR(IF(A102="","",_xlfn.XLOOKUP(A102,'ABC Serviços Apoio'!C:C,'ABC Serviços Apoio'!A:A)),"")</f>
        <v xml:space="preserve">Ancoragem Para Cordoalha </v>
      </c>
      <c r="F102" s="281" t="str">
        <f ca="1">IFERROR(IF(A102="","",_xlfn.XLOOKUP(E102,Orçamento!Q:Q,Orçamento!T:T)),"")</f>
        <v>UN</v>
      </c>
      <c r="G102" s="282">
        <f ca="1">IFERROR(IF(A102="","",SUMIF(Orçamento!Q:Q,E102,Orçamento!X:X)),"")</f>
        <v>512</v>
      </c>
      <c r="H102" s="283">
        <f ca="1">IFERROR(IF(A102="","",_xlfn.XLOOKUP(E102,Orçamento!Q:Q,Orçamento!Y:Y)),"")</f>
        <v>84.511399999999995</v>
      </c>
      <c r="I102" s="283">
        <f t="shared" ca="1" si="3"/>
        <v>43269.836799999997</v>
      </c>
      <c r="J102" s="284">
        <f t="shared" ca="1" si="4"/>
        <v>6.2074525889117497E-3</v>
      </c>
      <c r="K102" s="284">
        <f t="shared" ca="1" si="5"/>
        <v>0.36969782582543703</v>
      </c>
      <c r="M102" s="419"/>
    </row>
    <row r="103" spans="1:13" x14ac:dyDescent="0.2">
      <c r="A103" s="10" t="str">
        <f ca="1"/>
        <v>432,5153832 - Rufo de Manta Aluminizada larg 30 cm</v>
      </c>
      <c r="B103" s="10">
        <f ca="1">IF(OR(A103="",A103=0),"",LARGE($B$8:B102,1)+1)</f>
        <v>95</v>
      </c>
      <c r="C103" s="7"/>
      <c r="D103" s="279">
        <f ca="1">IF(A103="","",COUNTIF(Orçamento!P:P,A103))</f>
        <v>0</v>
      </c>
      <c r="E103" s="280" t="str">
        <f ca="1">IFERROR(IF(A103="","",_xlfn.XLOOKUP(A103,'ABC Serviços Apoio'!C:C,'ABC Serviços Apoio'!A:A)),"")</f>
        <v>Rufo de Manta Aluminizada larg 30 cm</v>
      </c>
      <c r="F103" s="281" t="str">
        <f ca="1">IFERROR(IF(A103="","",_xlfn.XLOOKUP(E103,Orçamento!Q:Q,Orçamento!T:T)),"")</f>
        <v>M</v>
      </c>
      <c r="G103" s="282">
        <f ca="1">IFERROR(IF(A103="","",SUMIF(Orçamento!Q:Q,E103,Orçamento!X:X)),"")</f>
        <v>19.463999999999999</v>
      </c>
      <c r="H103" s="283">
        <f ca="1">IFERROR(IF(A103="","",_xlfn.XLOOKUP(E103,Orçamento!Q:Q,Orçamento!Y:Y)),"")</f>
        <v>22.221299999999999</v>
      </c>
      <c r="I103" s="283">
        <f t="shared" ca="1" si="3"/>
        <v>432.51538319999997</v>
      </c>
      <c r="J103" s="284">
        <f t="shared" ca="1" si="4"/>
        <v>6.2048275051247647E-5</v>
      </c>
      <c r="K103" s="284">
        <f t="shared" ca="1" si="5"/>
        <v>0.36975987410048827</v>
      </c>
      <c r="M103" s="419"/>
    </row>
    <row r="104" spans="1:13" x14ac:dyDescent="0.2">
      <c r="A104" s="10" t="str">
        <f ca="1"/>
        <v>41400 - Mão de Obra Operações de Canteiro</v>
      </c>
      <c r="B104" s="10">
        <f ca="1">IF(OR(A104="",A104=0),"",LARGE($B$8:B103,1)+1)</f>
        <v>96</v>
      </c>
      <c r="C104" s="7"/>
      <c r="D104" s="279">
        <f ca="1">IF(A104="","",COUNTIF(Orçamento!P:P,A104))</f>
        <v>0</v>
      </c>
      <c r="E104" s="280" t="str">
        <f ca="1">IFERROR(IF(A104="","",_xlfn.XLOOKUP(A104,'ABC Serviços Apoio'!C:C,'ABC Serviços Apoio'!A:A)),"")</f>
        <v>Mão de Obra Operações de Canteiro</v>
      </c>
      <c r="F104" s="281" t="str">
        <f ca="1">IFERROR(IF(A104="","",_xlfn.XLOOKUP(E104,Orçamento!Q:Q,Orçamento!T:T)),"")</f>
        <v>VB</v>
      </c>
      <c r="G104" s="282">
        <f ca="1">IFERROR(IF(A104="","",SUMIF(Orçamento!Q:Q,E104,Orçamento!X:X)),"")</f>
        <v>1</v>
      </c>
      <c r="H104" s="283">
        <f ca="1">IFERROR(IF(A104="","",_xlfn.XLOOKUP(E104,Orçamento!Q:Q,Orçamento!Y:Y)),"")</f>
        <v>41400</v>
      </c>
      <c r="I104" s="283">
        <f t="shared" ca="1" si="3"/>
        <v>41400</v>
      </c>
      <c r="J104" s="284">
        <f t="shared" ca="1" si="4"/>
        <v>5.9392074522672212E-3</v>
      </c>
      <c r="K104" s="284">
        <f t="shared" ca="1" si="5"/>
        <v>0.3756990815527555</v>
      </c>
      <c r="M104" s="419"/>
    </row>
    <row r="105" spans="1:13" x14ac:dyDescent="0.2">
      <c r="A105" s="10" t="str">
        <f ca="1"/>
        <v>40816 - Projeto Arquitetônico</v>
      </c>
      <c r="B105" s="10">
        <f ca="1">IF(OR(A105="",A105=0),"",LARGE($B$8:B104,1)+1)</f>
        <v>97</v>
      </c>
      <c r="C105" s="7"/>
      <c r="D105" s="279">
        <f ca="1">IF(A105="","",COUNTIF(Orçamento!P:P,A105))</f>
        <v>0</v>
      </c>
      <c r="E105" s="280" t="str">
        <f ca="1">IFERROR(IF(A105="","",_xlfn.XLOOKUP(A105,'ABC Serviços Apoio'!C:C,'ABC Serviços Apoio'!A:A)),"")</f>
        <v>Projeto Arquitetônico</v>
      </c>
      <c r="F105" s="281" t="str">
        <f ca="1">IFERROR(IF(A105="","",_xlfn.XLOOKUP(E105,Orçamento!Q:Q,Orçamento!T:T)),"")</f>
        <v>VB</v>
      </c>
      <c r="G105" s="282">
        <f ca="1">IFERROR(IF(A105="","",SUMIF(Orçamento!Q:Q,E105,Orçamento!X:X)),"")</f>
        <v>1</v>
      </c>
      <c r="H105" s="283">
        <f ca="1">IFERROR(IF(A105="","",_xlfn.XLOOKUP(E105,Orçamento!Q:Q,Orçamento!Y:Y)),"")</f>
        <v>40816</v>
      </c>
      <c r="I105" s="283">
        <f t="shared" ca="1" si="3"/>
        <v>40816</v>
      </c>
      <c r="J105" s="284">
        <f t="shared" ca="1" si="4"/>
        <v>5.8554273278197799E-3</v>
      </c>
      <c r="K105" s="284">
        <f t="shared" ca="1" si="5"/>
        <v>0.38155450888057529</v>
      </c>
      <c r="M105" s="419"/>
    </row>
    <row r="106" spans="1:13" x14ac:dyDescent="0.2">
      <c r="A106" s="10" t="str">
        <f ca="1"/>
        <v>40800 - Locacao Equipamentos - Balancim</v>
      </c>
      <c r="B106" s="10">
        <f ca="1">IF(OR(A106="",A106=0),"",LARGE($B$8:B105,1)+1)</f>
        <v>98</v>
      </c>
      <c r="C106" s="7"/>
      <c r="D106" s="279">
        <f ca="1">IF(A106="","",COUNTIF(Orçamento!P:P,A106))</f>
        <v>0</v>
      </c>
      <c r="E106" s="280" t="str">
        <f ca="1">IFERROR(IF(A106="","",_xlfn.XLOOKUP(A106,'ABC Serviços Apoio'!C:C,'ABC Serviços Apoio'!A:A)),"")</f>
        <v>Locacao Equipamentos - Balancim</v>
      </c>
      <c r="F106" s="281" t="str">
        <f ca="1">IFERROR(IF(A106="","",_xlfn.XLOOKUP(E106,Orçamento!Q:Q,Orçamento!T:T)),"")</f>
        <v>MES</v>
      </c>
      <c r="G106" s="282">
        <f ca="1">IFERROR(IF(A106="","",SUMIF(Orçamento!Q:Q,E106,Orçamento!X:X)),"")</f>
        <v>6</v>
      </c>
      <c r="H106" s="283">
        <f ca="1">IFERROR(IF(A106="","",_xlfn.XLOOKUP(E106,Orçamento!Q:Q,Orçamento!Y:Y)),"")</f>
        <v>6800</v>
      </c>
      <c r="I106" s="283">
        <f t="shared" ca="1" si="3"/>
        <v>40800</v>
      </c>
      <c r="J106" s="284">
        <f t="shared" ca="1" si="4"/>
        <v>5.8531319819445076E-3</v>
      </c>
      <c r="K106" s="284">
        <f t="shared" ca="1" si="5"/>
        <v>0.38740764086251978</v>
      </c>
      <c r="M106" s="419"/>
    </row>
    <row r="107" spans="1:13" x14ac:dyDescent="0.2">
      <c r="A107" s="10" t="str">
        <f ca="1"/>
        <v>40603,2828043202 - Cordoalha CP-190 RB 12,7</v>
      </c>
      <c r="B107" s="10">
        <f ca="1">IF(OR(A107="",A107=0),"",LARGE($B$8:B106,1)+1)</f>
        <v>99</v>
      </c>
      <c r="C107" s="7"/>
      <c r="D107" s="279">
        <f ca="1">IF(A107="","",COUNTIF(Orçamento!P:P,A107))</f>
        <v>0</v>
      </c>
      <c r="E107" s="280" t="str">
        <f ca="1">IFERROR(IF(A107="","",_xlfn.XLOOKUP(A107,'ABC Serviços Apoio'!C:C,'ABC Serviços Apoio'!A:A)),"")</f>
        <v>Cordoalha CP-190 RB 12,7</v>
      </c>
      <c r="F107" s="281" t="str">
        <f ca="1">IFERROR(IF(A107="","",_xlfn.XLOOKUP(E107,Orçamento!Q:Q,Orçamento!T:T)),"")</f>
        <v>KG</v>
      </c>
      <c r="G107" s="282">
        <f ca="1">IFERROR(IF(A107="","",SUMIF(Orçamento!Q:Q,E107,Orçamento!X:X)),"")</f>
        <v>3592</v>
      </c>
      <c r="H107" s="283">
        <f ca="1">IFERROR(IF(A107="","",_xlfn.XLOOKUP(E107,Orçamento!Q:Q,Orçamento!Y:Y)),"")</f>
        <v>11.303809243964421</v>
      </c>
      <c r="I107" s="283">
        <f t="shared" ca="1" si="3"/>
        <v>40603.282804320203</v>
      </c>
      <c r="J107" s="284">
        <f t="shared" ca="1" si="4"/>
        <v>5.8249111067133347E-3</v>
      </c>
      <c r="K107" s="284">
        <f t="shared" ca="1" si="5"/>
        <v>0.39323255196923312</v>
      </c>
      <c r="M107" s="419"/>
    </row>
    <row r="108" spans="1:13" x14ac:dyDescent="0.2">
      <c r="A108" s="10" t="str">
        <f ca="1"/>
        <v>40354,9931499999 - Revestimento Porcelanato - aplicacao em paredes externas</v>
      </c>
      <c r="B108" s="10">
        <f ca="1">IF(OR(A108="",A108=0),"",LARGE($B$8:B107,1)+1)</f>
        <v>100</v>
      </c>
      <c r="C108" s="7"/>
      <c r="D108" s="279">
        <f ca="1">IF(A108="","",COUNTIF(Orçamento!P:P,A108))</f>
        <v>0</v>
      </c>
      <c r="E108" s="280" t="str">
        <f ca="1">IFERROR(IF(A108="","",_xlfn.XLOOKUP(A108,'ABC Serviços Apoio'!C:C,'ABC Serviços Apoio'!A:A)),"")</f>
        <v>Revestimento Porcelanato - aplicacao em paredes externas</v>
      </c>
      <c r="F108" s="281" t="str">
        <f ca="1">IFERROR(IF(A108="","",_xlfn.XLOOKUP(E108,Orçamento!Q:Q,Orçamento!T:T)),"")</f>
        <v>M2</v>
      </c>
      <c r="G108" s="282">
        <f ca="1">IFERROR(IF(A108="","",SUMIF(Orçamento!Q:Q,E108,Orçamento!X:X)),"")</f>
        <v>253.17999999999998</v>
      </c>
      <c r="H108" s="283">
        <f ca="1">IFERROR(IF(A108="","",_xlfn.XLOOKUP(E108,Orçamento!Q:Q,Orçamento!Y:Y)),"")</f>
        <v>159.39249999999998</v>
      </c>
      <c r="I108" s="283">
        <f t="shared" ca="1" si="3"/>
        <v>40354.993149999995</v>
      </c>
      <c r="J108" s="284">
        <f t="shared" ca="1" si="4"/>
        <v>5.7892916920935416E-3</v>
      </c>
      <c r="K108" s="284">
        <f t="shared" ca="1" si="5"/>
        <v>0.39902184366132665</v>
      </c>
      <c r="M108" s="419"/>
    </row>
    <row r="109" spans="1:13" x14ac:dyDescent="0.2">
      <c r="A109" s="10" t="str">
        <f ca="1"/>
        <v>3985,77089421876 - Eletrodutos e Eletrocalhas - Pavimento Técnico</v>
      </c>
      <c r="B109" s="10">
        <f ca="1">IF(OR(A109="",A109=0),"",LARGE($B$8:B108,1)+1)</f>
        <v>101</v>
      </c>
      <c r="C109" s="7"/>
      <c r="D109" s="279">
        <f ca="1">IF(A109="","",COUNTIF(Orçamento!P:P,A109))</f>
        <v>0</v>
      </c>
      <c r="E109" s="280" t="str">
        <f ca="1">IFERROR(IF(A109="","",_xlfn.XLOOKUP(A109,'ABC Serviços Apoio'!C:C,'ABC Serviços Apoio'!A:A)),"")</f>
        <v>Eletrodutos e Eletrocalhas - Pavimento Técnico</v>
      </c>
      <c r="F109" s="281" t="str">
        <f ca="1">IFERROR(IF(A109="","",_xlfn.XLOOKUP(E109,Orçamento!Q:Q,Orçamento!T:T)),"")</f>
        <v>VB</v>
      </c>
      <c r="G109" s="282">
        <f ca="1">IFERROR(IF(A109="","",SUMIF(Orçamento!Q:Q,E109,Orçamento!X:X)),"")</f>
        <v>1</v>
      </c>
      <c r="H109" s="283">
        <f ca="1">IFERROR(IF(A109="","",_xlfn.XLOOKUP(E109,Orçamento!Q:Q,Orçamento!Y:Y)),"")</f>
        <v>3985.7708942187569</v>
      </c>
      <c r="I109" s="283">
        <f t="shared" ca="1" si="3"/>
        <v>3985.7708942187569</v>
      </c>
      <c r="J109" s="284">
        <f t="shared" ca="1" si="4"/>
        <v>5.7179517386410209E-4</v>
      </c>
      <c r="K109" s="284">
        <f t="shared" ca="1" si="5"/>
        <v>0.39959363883519072</v>
      </c>
      <c r="M109" s="419"/>
    </row>
    <row r="110" spans="1:13" x14ac:dyDescent="0.2">
      <c r="A110" s="10" t="str">
        <f ca="1"/>
        <v>398,463 - Fixacao de de contramarcos com argamassa</v>
      </c>
      <c r="B110" s="10">
        <f ca="1">IF(OR(A110="",A110=0),"",LARGE($B$8:B109,1)+1)</f>
        <v>102</v>
      </c>
      <c r="C110" s="7"/>
      <c r="D110" s="279">
        <f ca="1">IF(A110="","",COUNTIF(Orçamento!P:P,A110))</f>
        <v>0</v>
      </c>
      <c r="E110" s="280" t="str">
        <f ca="1">IFERROR(IF(A110="","",_xlfn.XLOOKUP(A110,'ABC Serviços Apoio'!C:C,'ABC Serviços Apoio'!A:A)),"")</f>
        <v>Fixacao de de contramarcos com argamassa</v>
      </c>
      <c r="F110" s="281" t="str">
        <f ca="1">IFERROR(IF(A110="","",_xlfn.XLOOKUP(E110,Orçamento!Q:Q,Orçamento!T:T)),"")</f>
        <v>M</v>
      </c>
      <c r="G110" s="282">
        <f ca="1">IFERROR(IF(A110="","",SUMIF(Orçamento!Q:Q,E110,Orçamento!X:X)),"")</f>
        <v>468.78</v>
      </c>
      <c r="H110" s="283">
        <f ca="1">IFERROR(IF(A110="","",_xlfn.XLOOKUP(E110,Orçamento!Q:Q,Orçamento!Y:Y)),"")</f>
        <v>0.85</v>
      </c>
      <c r="I110" s="283">
        <f t="shared" ca="1" si="3"/>
        <v>398.46299999999997</v>
      </c>
      <c r="J110" s="284">
        <f t="shared" ca="1" si="4"/>
        <v>5.7163150218665545E-5</v>
      </c>
      <c r="K110" s="284">
        <f t="shared" ca="1" si="5"/>
        <v>0.39965080198540937</v>
      </c>
      <c r="M110" s="419"/>
    </row>
    <row r="111" spans="1:13" x14ac:dyDescent="0.2">
      <c r="A111" s="10" t="str">
        <f ca="1"/>
        <v>39600 - Manutenção de Canteiro provisório</v>
      </c>
      <c r="B111" s="10">
        <f ca="1">IF(OR(A111="",A111=0),"",LARGE($B$8:B110,1)+1)</f>
        <v>103</v>
      </c>
      <c r="C111" s="7"/>
      <c r="D111" s="279">
        <f ca="1">IF(A111="","",COUNTIF(Orçamento!P:P,A111))</f>
        <v>0</v>
      </c>
      <c r="E111" s="280" t="str">
        <f ca="1">IFERROR(IF(A111="","",_xlfn.XLOOKUP(A111,'ABC Serviços Apoio'!C:C,'ABC Serviços Apoio'!A:A)),"")</f>
        <v>Manutenção de Canteiro provisório</v>
      </c>
      <c r="F111" s="281" t="str">
        <f ca="1">IFERROR(IF(A111="","",_xlfn.XLOOKUP(E111,Orçamento!Q:Q,Orçamento!T:T)),"")</f>
        <v>MES</v>
      </c>
      <c r="G111" s="282">
        <f ca="1">IFERROR(IF(A111="","",SUMIF(Orçamento!Q:Q,E111,Orçamento!X:X)),"")</f>
        <v>22</v>
      </c>
      <c r="H111" s="283">
        <f ca="1">IFERROR(IF(A111="","",_xlfn.XLOOKUP(E111,Orçamento!Q:Q,Orçamento!Y:Y)),"")</f>
        <v>1800</v>
      </c>
      <c r="I111" s="283">
        <f t="shared" ca="1" si="3"/>
        <v>39600</v>
      </c>
      <c r="J111" s="284">
        <f t="shared" ca="1" si="4"/>
        <v>5.6809810412990812E-3</v>
      </c>
      <c r="K111" s="284">
        <f t="shared" ca="1" si="5"/>
        <v>0.40533178302670847</v>
      </c>
      <c r="M111" s="419"/>
    </row>
    <row r="112" spans="1:13" x14ac:dyDescent="0.2">
      <c r="A112" s="10" t="str">
        <f ca="1"/>
        <v>3958,8243394615 - Instalacos do Sistema Preventivo de Incendio - Térreo</v>
      </c>
      <c r="B112" s="10">
        <f ca="1">IF(OR(A112="",A112=0),"",LARGE($B$8:B111,1)+1)</f>
        <v>104</v>
      </c>
      <c r="C112" s="7"/>
      <c r="D112" s="279">
        <f ca="1">IF(A112="","",COUNTIF(Orçamento!P:P,A112))</f>
        <v>0</v>
      </c>
      <c r="E112" s="280" t="str">
        <f ca="1">IFERROR(IF(A112="","",_xlfn.XLOOKUP(A112,'ABC Serviços Apoio'!C:C,'ABC Serviços Apoio'!A:A)),"")</f>
        <v>Instalacos do Sistema Preventivo de Incendio - Térreo</v>
      </c>
      <c r="F112" s="281" t="str">
        <f ca="1">IFERROR(IF(A112="","",_xlfn.XLOOKUP(E112,Orçamento!Q:Q,Orçamento!T:T)),"")</f>
        <v>VB</v>
      </c>
      <c r="G112" s="282">
        <f ca="1">IFERROR(IF(A112="","",SUMIF(Orçamento!Q:Q,E112,Orçamento!X:X)),"")</f>
        <v>1</v>
      </c>
      <c r="H112" s="283">
        <f ca="1">IFERROR(IF(A112="","",_xlfn.XLOOKUP(E112,Orçamento!Q:Q,Orçamento!Y:Y)),"")</f>
        <v>3958.8243394615042</v>
      </c>
      <c r="I112" s="283">
        <f t="shared" ca="1" si="3"/>
        <v>3958.8243394615042</v>
      </c>
      <c r="J112" s="284">
        <f t="shared" ca="1" si="4"/>
        <v>5.6792944490692326E-4</v>
      </c>
      <c r="K112" s="284">
        <f t="shared" ca="1" si="5"/>
        <v>0.40589971247161538</v>
      </c>
      <c r="M112" s="419"/>
    </row>
    <row r="113" spans="1:13" x14ac:dyDescent="0.2">
      <c r="A113" s="10" t="str">
        <f ca="1"/>
        <v>3958,8243394615 - Instalacoes de Esgoto - Térreo</v>
      </c>
      <c r="B113" s="10">
        <f ca="1">IF(OR(A113="",A113=0),"",LARGE($B$8:B112,1)+1)</f>
        <v>105</v>
      </c>
      <c r="C113" s="7"/>
      <c r="D113" s="279">
        <f ca="1">IF(A113="","",COUNTIF(Orçamento!P:P,A113))</f>
        <v>0</v>
      </c>
      <c r="E113" s="280" t="str">
        <f ca="1">IFERROR(IF(A113="","",_xlfn.XLOOKUP(A113,'ABC Serviços Apoio'!C:C,'ABC Serviços Apoio'!A:A)),"")</f>
        <v>Instalacoes de Esgoto - Térreo</v>
      </c>
      <c r="F113" s="281" t="str">
        <f ca="1">IFERROR(IF(A113="","",_xlfn.XLOOKUP(E113,Orçamento!Q:Q,Orçamento!T:T)),"")</f>
        <v>VB</v>
      </c>
      <c r="G113" s="282">
        <f ca="1">IFERROR(IF(A113="","",SUMIF(Orçamento!Q:Q,E113,Orçamento!X:X)),"")</f>
        <v>1</v>
      </c>
      <c r="H113" s="283">
        <f ca="1">IFERROR(IF(A113="","",_xlfn.XLOOKUP(E113,Orçamento!Q:Q,Orçamento!Y:Y)),"")</f>
        <v>3958.8243394615042</v>
      </c>
      <c r="I113" s="283">
        <f t="shared" ca="1" si="3"/>
        <v>3958.8243394615042</v>
      </c>
      <c r="J113" s="284">
        <f t="shared" ca="1" si="4"/>
        <v>5.6792944490692326E-4</v>
      </c>
      <c r="K113" s="284">
        <f t="shared" ca="1" si="5"/>
        <v>0.40646764191652229</v>
      </c>
      <c r="M113" s="419"/>
    </row>
    <row r="114" spans="1:13" x14ac:dyDescent="0.2">
      <c r="A114" s="10" t="str">
        <f ca="1"/>
        <v>39010,4573199439 - Mao de obra para execucao de contrapiso comum e acústico</v>
      </c>
      <c r="B114" s="10">
        <f ca="1">IF(OR(A114="",A114=0),"",LARGE($B$8:B113,1)+1)</f>
        <v>106</v>
      </c>
      <c r="C114" s="7"/>
      <c r="D114" s="279">
        <f ca="1">IF(A114="","",COUNTIF(Orçamento!P:P,A114))</f>
        <v>0</v>
      </c>
      <c r="E114" s="280" t="str">
        <f ca="1">IFERROR(IF(A114="","",_xlfn.XLOOKUP(A114,'ABC Serviços Apoio'!C:C,'ABC Serviços Apoio'!A:A)),"")</f>
        <v>Mao de obra para execucao de contrapiso comum e acústico</v>
      </c>
      <c r="F114" s="281" t="str">
        <f ca="1">IFERROR(IF(A114="","",_xlfn.XLOOKUP(E114,Orçamento!Q:Q,Orçamento!T:T)),"")</f>
        <v>M2</v>
      </c>
      <c r="G114" s="282">
        <f ca="1">IFERROR(IF(A114="","",SUMIF(Orçamento!Q:Q,E114,Orçamento!X:X)),"")</f>
        <v>1775.17</v>
      </c>
      <c r="H114" s="283">
        <f ca="1">IFERROR(IF(A114="","",_xlfn.XLOOKUP(E114,Orçamento!Q:Q,Orçamento!Y:Y)),"")</f>
        <v>21.975617726721353</v>
      </c>
      <c r="I114" s="283">
        <f t="shared" ca="1" si="3"/>
        <v>39010.457319943947</v>
      </c>
      <c r="J114" s="284">
        <f t="shared" ca="1" si="4"/>
        <v>5.5964057688638515E-3</v>
      </c>
      <c r="K114" s="284">
        <f t="shared" ca="1" si="5"/>
        <v>0.41206404768538613</v>
      </c>
      <c r="M114" s="419"/>
    </row>
    <row r="115" spans="1:13" x14ac:dyDescent="0.2">
      <c r="A115" s="10" t="str">
        <f ca="1"/>
        <v>3899,36104496046 - Instalacoes de Aguas Pluviais - Sub Solo</v>
      </c>
      <c r="B115" s="10">
        <f ca="1">IF(OR(A115="",A115=0),"",LARGE($B$8:B114,1)+1)</f>
        <v>107</v>
      </c>
      <c r="C115" s="7"/>
      <c r="D115" s="279">
        <f ca="1">IF(A115="","",COUNTIF(Orçamento!P:P,A115))</f>
        <v>0</v>
      </c>
      <c r="E115" s="280" t="str">
        <f ca="1">IFERROR(IF(A115="","",_xlfn.XLOOKUP(A115,'ABC Serviços Apoio'!C:C,'ABC Serviços Apoio'!A:A)),"")</f>
        <v>Instalacoes de Aguas Pluviais - Sub Solo</v>
      </c>
      <c r="F115" s="281" t="str">
        <f ca="1">IFERROR(IF(A115="","",_xlfn.XLOOKUP(E115,Orçamento!Q:Q,Orçamento!T:T)),"")</f>
        <v>VB</v>
      </c>
      <c r="G115" s="282">
        <f ca="1">IFERROR(IF(A115="","",SUMIF(Orçamento!Q:Q,E115,Orçamento!X:X)),"")</f>
        <v>1</v>
      </c>
      <c r="H115" s="283">
        <f ca="1">IFERROR(IF(A115="","",_xlfn.XLOOKUP(E115,Orçamento!Q:Q,Orçamento!Y:Y)),"")</f>
        <v>3899.3610449604566</v>
      </c>
      <c r="I115" s="283">
        <f t="shared" ca="1" si="3"/>
        <v>3899.3610449604566</v>
      </c>
      <c r="J115" s="284">
        <f t="shared" ca="1" si="4"/>
        <v>5.5939889317173049E-4</v>
      </c>
      <c r="K115" s="284">
        <f t="shared" ca="1" si="5"/>
        <v>0.41262344657855787</v>
      </c>
      <c r="M115" s="419"/>
    </row>
    <row r="116" spans="1:13" x14ac:dyDescent="0.2">
      <c r="A116" s="10" t="str">
        <f ca="1"/>
        <v>3886,46 - Sistema de CFTV</v>
      </c>
      <c r="B116" s="10">
        <f ca="1">IF(OR(A116="",A116=0),"",LARGE($B$8:B115,1)+1)</f>
        <v>108</v>
      </c>
      <c r="C116" s="7"/>
      <c r="D116" s="279">
        <f ca="1">IF(A116="","",COUNTIF(Orçamento!P:P,A116))</f>
        <v>0</v>
      </c>
      <c r="E116" s="280" t="str">
        <f ca="1">IFERROR(IF(A116="","",_xlfn.XLOOKUP(A116,'ABC Serviços Apoio'!C:C,'ABC Serviços Apoio'!A:A)),"")</f>
        <v>Sistema de CFTV</v>
      </c>
      <c r="F116" s="281" t="str">
        <f ca="1">IFERROR(IF(A116="","",_xlfn.XLOOKUP(E116,Orçamento!Q:Q,Orçamento!T:T)),"")</f>
        <v>UN</v>
      </c>
      <c r="G116" s="282">
        <f ca="1">IFERROR(IF(A116="","",SUMIF(Orçamento!Q:Q,E116,Orçamento!X:X)),"")</f>
        <v>1</v>
      </c>
      <c r="H116" s="283">
        <f ca="1">IFERROR(IF(A116="","",_xlfn.XLOOKUP(E116,Orçamento!Q:Q,Orçamento!Y:Y)),"")</f>
        <v>3886.46</v>
      </c>
      <c r="I116" s="283">
        <f t="shared" ca="1" si="3"/>
        <v>3886.46</v>
      </c>
      <c r="J116" s="284">
        <f t="shared" ca="1" si="4"/>
        <v>5.5754812065068752E-4</v>
      </c>
      <c r="K116" s="284">
        <f t="shared" ca="1" si="5"/>
        <v>0.41318099469920855</v>
      </c>
      <c r="M116" s="419"/>
    </row>
    <row r="117" spans="1:13" x14ac:dyDescent="0.2">
      <c r="A117" s="10" t="str">
        <f ca="1"/>
        <v xml:space="preserve">3840,8224 - Pergolado de madeira </v>
      </c>
      <c r="B117" s="10">
        <f ca="1">IF(OR(A117="",A117=0),"",LARGE($B$8:B116,1)+1)</f>
        <v>109</v>
      </c>
      <c r="C117" s="7"/>
      <c r="D117" s="279">
        <f ca="1">IF(A117="","",COUNTIF(Orçamento!P:P,A117))</f>
        <v>0</v>
      </c>
      <c r="E117" s="280" t="str">
        <f ca="1">IFERROR(IF(A117="","",_xlfn.XLOOKUP(A117,'ABC Serviços Apoio'!C:C,'ABC Serviços Apoio'!A:A)),"")</f>
        <v xml:space="preserve">Pergolado de madeira </v>
      </c>
      <c r="F117" s="281" t="str">
        <f ca="1">IFERROR(IF(A117="","",_xlfn.XLOOKUP(E117,Orçamento!Q:Q,Orçamento!T:T)),"")</f>
        <v>M2</v>
      </c>
      <c r="G117" s="282">
        <f ca="1">IFERROR(IF(A117="","",SUMIF(Orçamento!Q:Q,E117,Orçamento!X:X)),"")</f>
        <v>5.48</v>
      </c>
      <c r="H117" s="283">
        <f ca="1">IFERROR(IF(A117="","",_xlfn.XLOOKUP(E117,Orçamento!Q:Q,Orçamento!Y:Y)),"")</f>
        <v>700.88</v>
      </c>
      <c r="I117" s="283">
        <f t="shared" ca="1" si="3"/>
        <v>3840.8224000000005</v>
      </c>
      <c r="J117" s="284">
        <f t="shared" ca="1" si="4"/>
        <v>5.5100099084335447E-4</v>
      </c>
      <c r="K117" s="284">
        <f t="shared" ca="1" si="5"/>
        <v>0.41373199569005192</v>
      </c>
      <c r="M117" s="419"/>
    </row>
    <row r="118" spans="1:13" x14ac:dyDescent="0.2">
      <c r="A118" s="10" t="str">
        <f ca="1"/>
        <v>3781,10665951467 - Instalacoes de Agua Fria - Cobertura</v>
      </c>
      <c r="B118" s="10">
        <f ca="1">IF(OR(A118="",A118=0),"",LARGE($B$8:B117,1)+1)</f>
        <v>110</v>
      </c>
      <c r="C118" s="7"/>
      <c r="D118" s="279">
        <f ca="1">IF(A118="","",COUNTIF(Orçamento!P:P,A118))</f>
        <v>0</v>
      </c>
      <c r="E118" s="280" t="str">
        <f ca="1">IFERROR(IF(A118="","",_xlfn.XLOOKUP(A118,'ABC Serviços Apoio'!C:C,'ABC Serviços Apoio'!A:A)),"")</f>
        <v>Instalacoes de Agua Fria - Cobertura</v>
      </c>
      <c r="F118" s="281" t="str">
        <f ca="1">IFERROR(IF(A118="","",_xlfn.XLOOKUP(E118,Orçamento!Q:Q,Orçamento!T:T)),"")</f>
        <v>VB</v>
      </c>
      <c r="G118" s="282">
        <f ca="1">IFERROR(IF(A118="","",SUMIF(Orçamento!Q:Q,E118,Orçamento!X:X)),"")</f>
        <v>1</v>
      </c>
      <c r="H118" s="283">
        <f ca="1">IFERROR(IF(A118="","",_xlfn.XLOOKUP(E118,Orçamento!Q:Q,Orçamento!Y:Y)),"")</f>
        <v>3781.1066595146744</v>
      </c>
      <c r="I118" s="283">
        <f t="shared" ca="1" si="3"/>
        <v>3781.1066595146744</v>
      </c>
      <c r="J118" s="284">
        <f t="shared" ca="1" si="4"/>
        <v>5.4243422343011529E-4</v>
      </c>
      <c r="K118" s="284">
        <f t="shared" ca="1" si="5"/>
        <v>0.41427442991348201</v>
      </c>
      <c r="M118" s="419"/>
    </row>
    <row r="119" spans="1:13" x14ac:dyDescent="0.2">
      <c r="A119" s="10" t="str">
        <f ca="1"/>
        <v>378,110665951467 - Luminárias e Acessorios - Cobertura</v>
      </c>
      <c r="B119" s="10">
        <f ca="1">IF(OR(A119="",A119=0),"",LARGE($B$8:B118,1)+1)</f>
        <v>111</v>
      </c>
      <c r="C119" s="7"/>
      <c r="D119" s="279">
        <f ca="1">IF(A119="","",COUNTIF(Orçamento!P:P,A119))</f>
        <v>0</v>
      </c>
      <c r="E119" s="280" t="str">
        <f ca="1">IFERROR(IF(A119="","",_xlfn.XLOOKUP(A119,'ABC Serviços Apoio'!C:C,'ABC Serviços Apoio'!A:A)),"")</f>
        <v>Luminárias e Acessorios - Cobertura</v>
      </c>
      <c r="F119" s="281" t="str">
        <f ca="1">IFERROR(IF(A119="","",_xlfn.XLOOKUP(E119,Orçamento!Q:Q,Orçamento!T:T)),"")</f>
        <v>VB</v>
      </c>
      <c r="G119" s="282">
        <f ca="1">IFERROR(IF(A119="","",SUMIF(Orçamento!Q:Q,E119,Orçamento!X:X)),"")</f>
        <v>1</v>
      </c>
      <c r="H119" s="283">
        <f ca="1">IFERROR(IF(A119="","",_xlfn.XLOOKUP(E119,Orçamento!Q:Q,Orçamento!Y:Y)),"")</f>
        <v>378.11066595146747</v>
      </c>
      <c r="I119" s="283">
        <f t="shared" ca="1" si="3"/>
        <v>378.11066595146747</v>
      </c>
      <c r="J119" s="284">
        <f t="shared" ca="1" si="4"/>
        <v>5.4243422343011532E-5</v>
      </c>
      <c r="K119" s="284">
        <f t="shared" ca="1" si="5"/>
        <v>0.41432867333582502</v>
      </c>
      <c r="M119" s="419"/>
    </row>
    <row r="120" spans="1:13" x14ac:dyDescent="0.2">
      <c r="A120" s="10" t="str">
        <f ca="1"/>
        <v>3772 - Controle Tecnológico de Concreto - Infraestrura e Contenção</v>
      </c>
      <c r="B120" s="10">
        <f ca="1">IF(OR(A120="",A120=0),"",LARGE($B$8:B119,1)+1)</f>
        <v>112</v>
      </c>
      <c r="C120" s="7"/>
      <c r="D120" s="279">
        <f ca="1">IF(A120="","",COUNTIF(Orçamento!P:P,A120))</f>
        <v>0</v>
      </c>
      <c r="E120" s="280" t="str">
        <f ca="1">IFERROR(IF(A120="","",_xlfn.XLOOKUP(A120,'ABC Serviços Apoio'!C:C,'ABC Serviços Apoio'!A:A)),"")</f>
        <v>Controle Tecnológico de Concreto - Infraestrura e Contenção</v>
      </c>
      <c r="F120" s="281" t="str">
        <f ca="1">IFERROR(IF(A120="","",_xlfn.XLOOKUP(E120,Orçamento!Q:Q,Orçamento!T:T)),"")</f>
        <v>VB</v>
      </c>
      <c r="G120" s="282">
        <f ca="1">IFERROR(IF(A120="","",SUMIF(Orçamento!Q:Q,E120,Orçamento!X:X)),"")</f>
        <v>1</v>
      </c>
      <c r="H120" s="283">
        <f ca="1">IFERROR(IF(A120="","",_xlfn.XLOOKUP(E120,Orçamento!Q:Q,Orçamento!Y:Y)),"")</f>
        <v>3772</v>
      </c>
      <c r="I120" s="283">
        <f t="shared" ca="1" si="3"/>
        <v>3772</v>
      </c>
      <c r="J120" s="284">
        <f t="shared" ca="1" si="4"/>
        <v>5.4112779009545789E-4</v>
      </c>
      <c r="K120" s="284">
        <f t="shared" ca="1" si="5"/>
        <v>0.41486980112592048</v>
      </c>
      <c r="M120" s="419"/>
    </row>
    <row r="121" spans="1:13" x14ac:dyDescent="0.2">
      <c r="A121" s="10" t="str">
        <f ca="1"/>
        <v>3729,0940530177 - Montagem e desmontagem de fôrma para vigas em chapa de madeira compensada plastificada</v>
      </c>
      <c r="B121" s="10">
        <f ca="1">IF(OR(A121="",A121=0),"",LARGE($B$8:B120,1)+1)</f>
        <v>113</v>
      </c>
      <c r="C121" s="7"/>
      <c r="D121" s="279">
        <f ca="1">IF(A121="","",COUNTIF(Orçamento!P:P,A121))</f>
        <v>0</v>
      </c>
      <c r="E121" s="280" t="str">
        <f ca="1">IFERROR(IF(A121="","",_xlfn.XLOOKUP(A121,'ABC Serviços Apoio'!C:C,'ABC Serviços Apoio'!A:A)),"")</f>
        <v>Montagem e desmontagem de fôrma para vigas em chapa de madeira compensada plastificada</v>
      </c>
      <c r="F121" s="281" t="str">
        <f ca="1">IFERROR(IF(A121="","",_xlfn.XLOOKUP(E121,Orçamento!Q:Q,Orçamento!T:T)),"")</f>
        <v>M2</v>
      </c>
      <c r="G121" s="282">
        <f ca="1">IFERROR(IF(A121="","",SUMIF(Orçamento!Q:Q,E121,Orçamento!X:X)),"")</f>
        <v>1325.6879976600001</v>
      </c>
      <c r="H121" s="283">
        <f ca="1">IFERROR(IF(A121="","",_xlfn.XLOOKUP(E121,Orçamento!Q:Q,Orçamento!Y:Y)),"")</f>
        <v>2.8129500000000003</v>
      </c>
      <c r="I121" s="283">
        <f t="shared" ca="1" si="3"/>
        <v>3729.0940530176977</v>
      </c>
      <c r="J121" s="284">
        <f t="shared" ca="1" si="4"/>
        <v>5.349725408185528E-4</v>
      </c>
      <c r="K121" s="284">
        <f t="shared" ca="1" si="5"/>
        <v>0.41540477366673906</v>
      </c>
      <c r="M121" s="419"/>
    </row>
    <row r="122" spans="1:13" x14ac:dyDescent="0.2">
      <c r="A122" s="10" t="str">
        <f ca="1"/>
        <v>37030 - Mao De Obra Acabamento Em Massa Teto</v>
      </c>
      <c r="B122" s="10">
        <f ca="1">IF(OR(A122="",A122=0),"",LARGE($B$8:B121,1)+1)</f>
        <v>114</v>
      </c>
      <c r="C122" s="7"/>
      <c r="D122" s="279">
        <f ca="1">IF(A122="","",COUNTIF(Orçamento!P:P,A122))</f>
        <v>0</v>
      </c>
      <c r="E122" s="280" t="str">
        <f ca="1">IFERROR(IF(A122="","",_xlfn.XLOOKUP(A122,'ABC Serviços Apoio'!C:C,'ABC Serviços Apoio'!A:A)),"")</f>
        <v>Mao De Obra Acabamento Em Massa Teto</v>
      </c>
      <c r="F122" s="281" t="str">
        <f ca="1">IFERROR(IF(A122="","",_xlfn.XLOOKUP(E122,Orçamento!Q:Q,Orçamento!T:T)),"")</f>
        <v>M2</v>
      </c>
      <c r="G122" s="282">
        <f ca="1">IFERROR(IF(A122="","",SUMIF(Orçamento!Q:Q,E122,Orçamento!X:X)),"")</f>
        <v>217.21999999999997</v>
      </c>
      <c r="H122" s="283">
        <f ca="1">IFERROR(IF(A122="","",_xlfn.XLOOKUP(E122,Orçamento!Q:Q,Orçamento!Y:Y)),"")</f>
        <v>170.47233219777189</v>
      </c>
      <c r="I122" s="283">
        <f t="shared" ca="1" si="3"/>
        <v>37030.000000000007</v>
      </c>
      <c r="J122" s="284">
        <f t="shared" ca="1" si="4"/>
        <v>5.3122911100834599E-3</v>
      </c>
      <c r="K122" s="284">
        <f t="shared" ca="1" si="5"/>
        <v>0.42071706477682252</v>
      </c>
      <c r="M122" s="419"/>
    </row>
    <row r="123" spans="1:13" x14ac:dyDescent="0.2">
      <c r="A123" s="10" t="str">
        <f ca="1"/>
        <v>369,354619743 - Montagem e desmontagem de fôrma para laje em chapa de madeira compensada plastificada</v>
      </c>
      <c r="B123" s="10">
        <f ca="1">IF(OR(A123="",A123=0),"",LARGE($B$8:B122,1)+1)</f>
        <v>115</v>
      </c>
      <c r="C123" s="7"/>
      <c r="D123" s="279">
        <f ca="1">IF(A123="","",COUNTIF(Orçamento!P:P,A123))</f>
        <v>0</v>
      </c>
      <c r="E123" s="280" t="str">
        <f ca="1">IFERROR(IF(A123="","",_xlfn.XLOOKUP(A123,'ABC Serviços Apoio'!C:C,'ABC Serviços Apoio'!A:A)),"")</f>
        <v>Montagem e desmontagem de fôrma para laje em chapa de madeira compensada plastificada</v>
      </c>
      <c r="F123" s="281" t="str">
        <f ca="1">IFERROR(IF(A123="","",_xlfn.XLOOKUP(E123,Orçamento!Q:Q,Orçamento!T:T)),"")</f>
        <v>M2</v>
      </c>
      <c r="G123" s="282">
        <f ca="1">IFERROR(IF(A123="","",SUMIF(Orçamento!Q:Q,E123,Orçamento!X:X)),"")</f>
        <v>466.97593999999998</v>
      </c>
      <c r="H123" s="283">
        <f ca="1">IFERROR(IF(A123="","",_xlfn.XLOOKUP(E123,Orçamento!Q:Q,Orçamento!Y:Y)),"")</f>
        <v>0.79095000000000004</v>
      </c>
      <c r="I123" s="283">
        <f t="shared" ca="1" si="3"/>
        <v>369.354619743</v>
      </c>
      <c r="J123" s="284">
        <f t="shared" ca="1" si="4"/>
        <v>5.2987287683742787E-5</v>
      </c>
      <c r="K123" s="284">
        <f t="shared" ca="1" si="5"/>
        <v>0.42077005206450629</v>
      </c>
      <c r="M123" s="419"/>
    </row>
    <row r="124" spans="1:13" x14ac:dyDescent="0.2">
      <c r="A124" s="10" t="str">
        <f ca="1"/>
        <v>36058,56 - Massa unica para reboco externo em argamassa estabilizada, espessura de 35mm</v>
      </c>
      <c r="B124" s="10">
        <f ca="1">IF(OR(A124="",A124=0),"",LARGE($B$8:B123,1)+1)</f>
        <v>116</v>
      </c>
      <c r="C124" s="7"/>
      <c r="D124" s="279">
        <f ca="1">IF(A124="","",COUNTIF(Orçamento!P:P,A124))</f>
        <v>0</v>
      </c>
      <c r="E124" s="280" t="str">
        <f ca="1">IFERROR(IF(A124="","",_xlfn.XLOOKUP(A124,'ABC Serviços Apoio'!C:C,'ABC Serviços Apoio'!A:A)),"")</f>
        <v>Massa unica para reboco externo em argamassa estabilizada, espessura de 35mm</v>
      </c>
      <c r="F124" s="281" t="str">
        <f ca="1">IFERROR(IF(A124="","",_xlfn.XLOOKUP(E124,Orçamento!Q:Q,Orçamento!T:T)),"")</f>
        <v>M2</v>
      </c>
      <c r="G124" s="282">
        <f ca="1">IFERROR(IF(A124="","",SUMIF(Orçamento!Q:Q,E124,Orçamento!X:X)),"")</f>
        <v>1878.05</v>
      </c>
      <c r="H124" s="283">
        <f ca="1">IFERROR(IF(A124="","",_xlfn.XLOOKUP(E124,Orçamento!Q:Q,Orçamento!Y:Y)),"")</f>
        <v>19.2</v>
      </c>
      <c r="I124" s="283">
        <f t="shared" ca="1" si="3"/>
        <v>36058.559999999998</v>
      </c>
      <c r="J124" s="284">
        <f t="shared" ca="1" si="4"/>
        <v>5.1729291852662977E-3</v>
      </c>
      <c r="K124" s="284">
        <f t="shared" ca="1" si="5"/>
        <v>0.42594298124977259</v>
      </c>
      <c r="M124" s="419"/>
    </row>
    <row r="125" spans="1:13" x14ac:dyDescent="0.2">
      <c r="A125" s="10" t="str">
        <f ca="1"/>
        <v>35973,3769878391 - Mao de obra para colocacao e rejuntamento de piso Cerâmico</v>
      </c>
      <c r="B125" s="10">
        <f ca="1">IF(OR(A125="",A125=0),"",LARGE($B$8:B124,1)+1)</f>
        <v>117</v>
      </c>
      <c r="C125" s="7"/>
      <c r="D125" s="279">
        <f ca="1">IF(A125="","",COUNTIF(Orçamento!P:P,A125))</f>
        <v>0</v>
      </c>
      <c r="E125" s="280" t="str">
        <f ca="1">IFERROR(IF(A125="","",_xlfn.XLOOKUP(A125,'ABC Serviços Apoio'!C:C,'ABC Serviços Apoio'!A:A)),"")</f>
        <v>Mao de obra para colocacao e rejuntamento de piso Cerâmico</v>
      </c>
      <c r="F125" s="281" t="str">
        <f ca="1">IFERROR(IF(A125="","",_xlfn.XLOOKUP(E125,Orçamento!Q:Q,Orçamento!T:T)),"")</f>
        <v>M2</v>
      </c>
      <c r="G125" s="282">
        <f ca="1">IFERROR(IF(A125="","",SUMIF(Orçamento!Q:Q,E125,Orçamento!X:X)),"")</f>
        <v>489.35999999999996</v>
      </c>
      <c r="H125" s="283">
        <f ca="1">IFERROR(IF(A125="","",_xlfn.XLOOKUP(E125,Orçamento!Q:Q,Orçamento!Y:Y)),"")</f>
        <v>73.511069535391329</v>
      </c>
      <c r="I125" s="283">
        <f t="shared" ca="1" si="3"/>
        <v>35973.376987839096</v>
      </c>
      <c r="J125" s="284">
        <f t="shared" ca="1" si="4"/>
        <v>5.1607089055408723E-3</v>
      </c>
      <c r="K125" s="284">
        <f t="shared" ca="1" si="5"/>
        <v>0.43110369015531347</v>
      </c>
      <c r="M125" s="419"/>
    </row>
    <row r="126" spans="1:13" x14ac:dyDescent="0.2">
      <c r="A126" s="10" t="str">
        <f ca="1"/>
        <v xml:space="preserve">356636,125 - Mobiliario e decoracoes para areas comuns </v>
      </c>
      <c r="B126" s="10">
        <f ca="1">IF(OR(A126="",A126=0),"",LARGE($B$8:B125,1)+1)</f>
        <v>118</v>
      </c>
      <c r="C126" s="7"/>
      <c r="D126" s="279">
        <f ca="1">IF(A126="","",COUNTIF(Orçamento!P:P,A126))</f>
        <v>0</v>
      </c>
      <c r="E126" s="280" t="str">
        <f ca="1">IFERROR(IF(A126="","",_xlfn.XLOOKUP(A126,'ABC Serviços Apoio'!C:C,'ABC Serviços Apoio'!A:A)),"")</f>
        <v xml:space="preserve">Mobiliario e decoracoes para areas comuns </v>
      </c>
      <c r="F126" s="281" t="str">
        <f ca="1">IFERROR(IF(A126="","",_xlfn.XLOOKUP(E126,Orçamento!Q:Q,Orçamento!T:T)),"")</f>
        <v>VB</v>
      </c>
      <c r="G126" s="282">
        <f ca="1">IFERROR(IF(A126="","",SUMIF(Orçamento!Q:Q,E126,Orçamento!X:X)),"")</f>
        <v>1</v>
      </c>
      <c r="H126" s="283">
        <f ca="1">IFERROR(IF(A126="","",_xlfn.XLOOKUP(E126,Orçamento!Q:Q,Orçamento!Y:Y)),"")</f>
        <v>356636.125</v>
      </c>
      <c r="I126" s="283">
        <f t="shared" ca="1" si="3"/>
        <v>356636.125</v>
      </c>
      <c r="J126" s="284">
        <f t="shared" ca="1" si="4"/>
        <v>5.1162703655741645E-2</v>
      </c>
      <c r="K126" s="284">
        <f t="shared" ca="1" si="5"/>
        <v>0.48226639381105513</v>
      </c>
      <c r="M126" s="419"/>
    </row>
    <row r="127" spans="1:13" x14ac:dyDescent="0.2">
      <c r="A127" s="10" t="str">
        <f ca="1"/>
        <v>35600 - Infraestrutura para instalacao de ar condicionado</v>
      </c>
      <c r="B127" s="10">
        <f ca="1">IF(OR(A127="",A127=0),"",LARGE($B$8:B126,1)+1)</f>
        <v>119</v>
      </c>
      <c r="C127" s="7"/>
      <c r="D127" s="279">
        <f ca="1">IF(A127="","",COUNTIF(Orçamento!P:P,A127))</f>
        <v>0</v>
      </c>
      <c r="E127" s="280" t="str">
        <f ca="1">IFERROR(IF(A127="","",_xlfn.XLOOKUP(A127,'ABC Serviços Apoio'!C:C,'ABC Serviços Apoio'!A:A)),"")</f>
        <v>Infraestrutura para instalacao de ar condicionado</v>
      </c>
      <c r="F127" s="281" t="str">
        <f ca="1">IFERROR(IF(A127="","",_xlfn.XLOOKUP(E127,Orçamento!Q:Q,Orçamento!T:T)),"")</f>
        <v>UN</v>
      </c>
      <c r="G127" s="282">
        <f ca="1">IFERROR(IF(A127="","",SUMIF(Orçamento!Q:Q,E127,Orçamento!X:X)),"")</f>
        <v>40</v>
      </c>
      <c r="H127" s="283">
        <f ca="1">IFERROR(IF(A127="","",_xlfn.XLOOKUP(E127,Orçamento!Q:Q,Orçamento!Y:Y)),"")</f>
        <v>890</v>
      </c>
      <c r="I127" s="283">
        <f t="shared" ca="1" si="3"/>
        <v>35600</v>
      </c>
      <c r="J127" s="284">
        <f t="shared" ca="1" si="4"/>
        <v>5.1071445724809924E-3</v>
      </c>
      <c r="K127" s="284">
        <f t="shared" ca="1" si="5"/>
        <v>0.48737353838353614</v>
      </c>
      <c r="M127" s="419"/>
    </row>
    <row r="128" spans="1:13" x14ac:dyDescent="0.2">
      <c r="A128" s="10" t="str">
        <f ca="1"/>
        <v>3530,5344 - Guarda-corpo de laje apos desforma</v>
      </c>
      <c r="B128" s="10">
        <f ca="1">IF(OR(A128="",A128=0),"",LARGE($B$8:B127,1)+1)</f>
        <v>120</v>
      </c>
      <c r="C128" s="7"/>
      <c r="D128" s="279">
        <f ca="1">IF(A128="","",COUNTIF(Orçamento!P:P,A128))</f>
        <v>0</v>
      </c>
      <c r="E128" s="280" t="str">
        <f ca="1">IFERROR(IF(A128="","",_xlfn.XLOOKUP(A128,'ABC Serviços Apoio'!C:C,'ABC Serviços Apoio'!A:A)),"")</f>
        <v>Guarda-corpo de laje apos desforma</v>
      </c>
      <c r="F128" s="281" t="str">
        <f ca="1">IFERROR(IF(A128="","",_xlfn.XLOOKUP(E128,Orçamento!Q:Q,Orçamento!T:T)),"")</f>
        <v>M</v>
      </c>
      <c r="G128" s="282">
        <f ca="1">IFERROR(IF(A128="","",SUMIF(Orçamento!Q:Q,E128,Orçamento!X:X)),"")</f>
        <v>258.08</v>
      </c>
      <c r="H128" s="283">
        <f ca="1">IFERROR(IF(A128="","",_xlfn.XLOOKUP(E128,Orçamento!Q:Q,Orçamento!Y:Y)),"")</f>
        <v>13.68</v>
      </c>
      <c r="I128" s="283">
        <f t="shared" ca="1" si="3"/>
        <v>3530.5343999999996</v>
      </c>
      <c r="J128" s="284">
        <f t="shared" ca="1" si="4"/>
        <v>5.0648734828419762E-4</v>
      </c>
      <c r="K128" s="284">
        <f t="shared" ca="1" si="5"/>
        <v>0.48788002573182032</v>
      </c>
      <c r="M128" s="419"/>
    </row>
    <row r="129" spans="1:13" x14ac:dyDescent="0.2">
      <c r="A129" s="10" t="str">
        <f ca="1"/>
        <v>3500 - Projeto de Segurança do Trabalho</v>
      </c>
      <c r="B129" s="10">
        <f ca="1">IF(OR(A129="",A129=0),"",LARGE($B$8:B128,1)+1)</f>
        <v>121</v>
      </c>
      <c r="C129" s="7"/>
      <c r="D129" s="279">
        <f ca="1">IF(A129="","",COUNTIF(Orçamento!P:P,A129))</f>
        <v>0</v>
      </c>
      <c r="E129" s="280" t="str">
        <f ca="1">IFERROR(IF(A129="","",_xlfn.XLOOKUP(A129,'ABC Serviços Apoio'!C:C,'ABC Serviços Apoio'!A:A)),"")</f>
        <v>Projeto de Segurança do Trabalho</v>
      </c>
      <c r="F129" s="281" t="str">
        <f ca="1">IFERROR(IF(A129="","",_xlfn.XLOOKUP(E129,Orçamento!Q:Q,Orçamento!T:T)),"")</f>
        <v>VB</v>
      </c>
      <c r="G129" s="282">
        <f ca="1">IFERROR(IF(A129="","",SUMIF(Orçamento!Q:Q,E129,Orçamento!X:X)),"")</f>
        <v>1</v>
      </c>
      <c r="H129" s="283">
        <f ca="1">IFERROR(IF(A129="","",_xlfn.XLOOKUP(E129,Orçamento!Q:Q,Orçamento!Y:Y)),"")</f>
        <v>3500</v>
      </c>
      <c r="I129" s="283">
        <f t="shared" ca="1" si="3"/>
        <v>3500</v>
      </c>
      <c r="J129" s="284">
        <f t="shared" ca="1" si="4"/>
        <v>5.0210691021582783E-4</v>
      </c>
      <c r="K129" s="284">
        <f t="shared" ca="1" si="5"/>
        <v>0.48838213264203617</v>
      </c>
      <c r="M129" s="419"/>
    </row>
    <row r="130" spans="1:13" x14ac:dyDescent="0.2">
      <c r="A130" s="10" t="str">
        <f ca="1"/>
        <v>3420,3 - Paisagismo</v>
      </c>
      <c r="B130" s="10">
        <f ca="1">IF(OR(A130="",A130=0),"",LARGE($B$8:B129,1)+1)</f>
        <v>122</v>
      </c>
      <c r="C130" s="7"/>
      <c r="D130" s="279">
        <f ca="1">IF(A130="","",COUNTIF(Orçamento!P:P,A130))</f>
        <v>0</v>
      </c>
      <c r="E130" s="280" t="str">
        <f ca="1">IFERROR(IF(A130="","",_xlfn.XLOOKUP(A130,'ABC Serviços Apoio'!C:C,'ABC Serviços Apoio'!A:A)),"")</f>
        <v>Paisagismo</v>
      </c>
      <c r="F130" s="281" t="str">
        <f ca="1">IFERROR(IF(A130="","",_xlfn.XLOOKUP(E130,Orçamento!Q:Q,Orçamento!T:T)),"")</f>
        <v>VB</v>
      </c>
      <c r="G130" s="282">
        <f ca="1">IFERROR(IF(A130="","",SUMIF(Orçamento!Q:Q,E130,Orçamento!X:X)),"")</f>
        <v>1</v>
      </c>
      <c r="H130" s="283">
        <f ca="1">IFERROR(IF(A130="","",_xlfn.XLOOKUP(E130,Orçamento!Q:Q,Orçamento!Y:Y)),"")</f>
        <v>3420.2999999999997</v>
      </c>
      <c r="I130" s="283">
        <f t="shared" ca="1" si="3"/>
        <v>3420.2999999999997</v>
      </c>
      <c r="J130" s="284">
        <f t="shared" ca="1" si="4"/>
        <v>4.9067321857462743E-4</v>
      </c>
      <c r="K130" s="284">
        <f t="shared" ca="1" si="5"/>
        <v>0.48887280586061077</v>
      </c>
      <c r="M130" s="419"/>
    </row>
    <row r="131" spans="1:13" x14ac:dyDescent="0.2">
      <c r="A131" s="10" t="str">
        <f ca="1"/>
        <v>340,5589425 - Revestimento interno de Rodapé Porcelanato h=0,15cm</v>
      </c>
      <c r="B131" s="10">
        <f ca="1">IF(OR(A131="",A131=0),"",LARGE($B$8:B130,1)+1)</f>
        <v>123</v>
      </c>
      <c r="C131" s="7"/>
      <c r="D131" s="279">
        <f ca="1">IF(A131="","",COUNTIF(Orçamento!P:P,A131))</f>
        <v>0</v>
      </c>
      <c r="E131" s="280" t="str">
        <f ca="1">IFERROR(IF(A131="","",_xlfn.XLOOKUP(A131,'ABC Serviços Apoio'!C:C,'ABC Serviços Apoio'!A:A)),"")</f>
        <v>Revestimento interno de Rodapé Porcelanato h=0,15cm</v>
      </c>
      <c r="F131" s="281" t="str">
        <f ca="1">IFERROR(IF(A131="","",_xlfn.XLOOKUP(E131,Orçamento!Q:Q,Orçamento!T:T)),"")</f>
        <v>M</v>
      </c>
      <c r="G131" s="282">
        <f ca="1">IFERROR(IF(A131="","",SUMIF(Orçamento!Q:Q,E131,Orçamento!X:X)),"")</f>
        <v>29.99</v>
      </c>
      <c r="H131" s="283">
        <f ca="1">IFERROR(IF(A131="","",_xlfn.XLOOKUP(E131,Orçamento!Q:Q,Orçamento!Y:Y)),"")</f>
        <v>11.35575</v>
      </c>
      <c r="I131" s="283">
        <f t="shared" ca="1" si="3"/>
        <v>340.5589425</v>
      </c>
      <c r="J131" s="284">
        <f t="shared" ca="1" si="4"/>
        <v>4.885628524715565E-5</v>
      </c>
      <c r="K131" s="284">
        <f t="shared" ca="1" si="5"/>
        <v>0.48892166214585792</v>
      </c>
      <c r="M131" s="419"/>
    </row>
    <row r="132" spans="1:13" x14ac:dyDescent="0.2">
      <c r="A132" s="10" t="str">
        <f ca="1"/>
        <v>33478,29975798 - Pintura com tinta latex acrilica, acabamento fosco em paredes internas, 3 demaos Áreas Comuns</v>
      </c>
      <c r="B132" s="10">
        <f ca="1">IF(OR(A132="",A132=0),"",LARGE($B$8:B131,1)+1)</f>
        <v>124</v>
      </c>
      <c r="C132" s="7"/>
      <c r="D132" s="279">
        <f ca="1">IF(A132="","",COUNTIF(Orçamento!P:P,A132))</f>
        <v>0</v>
      </c>
      <c r="E132" s="280" t="str">
        <f ca="1">IFERROR(IF(A132="","",_xlfn.XLOOKUP(A132,'ABC Serviços Apoio'!C:C,'ABC Serviços Apoio'!A:A)),"")</f>
        <v>Pintura com tinta latex acrilica, acabamento fosco em paredes internas, 3 demaos Áreas Comuns</v>
      </c>
      <c r="F132" s="281" t="str">
        <f ca="1">IFERROR(IF(A132="","",_xlfn.XLOOKUP(E132,Orçamento!Q:Q,Orçamento!T:T)),"")</f>
        <v>M2</v>
      </c>
      <c r="G132" s="282">
        <f ca="1">IFERROR(IF(A132="","",SUMIF(Orçamento!Q:Q,E132,Orçamento!X:X)),"")</f>
        <v>1862.4540000000002</v>
      </c>
      <c r="H132" s="283">
        <f ca="1">IFERROR(IF(A132="","",_xlfn.XLOOKUP(E132,Orçamento!Q:Q,Orçamento!Y:Y)),"")</f>
        <v>17.975370000000002</v>
      </c>
      <c r="I132" s="283">
        <f t="shared" ca="1" si="3"/>
        <v>33478.299757980007</v>
      </c>
      <c r="J132" s="284">
        <f t="shared" ca="1" si="4"/>
        <v>4.8027673287881828E-3</v>
      </c>
      <c r="K132" s="284">
        <f t="shared" ca="1" si="5"/>
        <v>0.49372442947464612</v>
      </c>
      <c r="M132" s="419"/>
    </row>
    <row r="133" spans="1:13" x14ac:dyDescent="0.2">
      <c r="A133" s="10" t="str">
        <f ca="1"/>
        <v>33208,3668249824 - Armacao aco CA-50 ø 10.0mm para supraestrutura corte e dobra em indústria</v>
      </c>
      <c r="B133" s="10">
        <f ca="1">IF(OR(A133="",A133=0),"",LARGE($B$8:B132,1)+1)</f>
        <v>125</v>
      </c>
      <c r="C133" s="7"/>
      <c r="D133" s="279">
        <f ca="1">IF(A133="","",COUNTIF(Orçamento!P:P,A133))</f>
        <v>0</v>
      </c>
      <c r="E133" s="280" t="str">
        <f ca="1">IFERROR(IF(A133="","",_xlfn.XLOOKUP(A133,'ABC Serviços Apoio'!C:C,'ABC Serviços Apoio'!A:A)),"")</f>
        <v>Armacao aco CA-50 ø 10.0mm para supraestrutura corte e dobra em indústria</v>
      </c>
      <c r="F133" s="281" t="str">
        <f ca="1">IFERROR(IF(A133="","",_xlfn.XLOOKUP(E133,Orçamento!Q:Q,Orçamento!T:T)),"")</f>
        <v>KG</v>
      </c>
      <c r="G133" s="282">
        <f ca="1">IFERROR(IF(A133="","",SUMIF(Orçamento!Q:Q,E133,Orçamento!X:X)),"")</f>
        <v>5037.6540799999993</v>
      </c>
      <c r="H133" s="283">
        <f ca="1">IFERROR(IF(A133="","",_xlfn.XLOOKUP(E133,Orçamento!Q:Q,Orçamento!Y:Y)),"")</f>
        <v>6.5920300000000012</v>
      </c>
      <c r="I133" s="283">
        <f t="shared" ca="1" si="3"/>
        <v>33208.366824982404</v>
      </c>
      <c r="J133" s="284">
        <f t="shared" ca="1" si="4"/>
        <v>4.7640429885159189E-3</v>
      </c>
      <c r="K133" s="284">
        <f t="shared" ca="1" si="5"/>
        <v>0.49848847246316202</v>
      </c>
      <c r="M133" s="419"/>
    </row>
    <row r="134" spans="1:13" x14ac:dyDescent="0.2">
      <c r="A134" s="10" t="str">
        <f ca="1"/>
        <v>3300 - Despesas de consumo - Internet</v>
      </c>
      <c r="B134" s="10">
        <f ca="1">IF(OR(A134="",A134=0),"",LARGE($B$8:B133,1)+1)</f>
        <v>126</v>
      </c>
      <c r="C134" s="7"/>
      <c r="D134" s="279">
        <f ca="1">IF(A134="","",COUNTIF(Orçamento!P:P,A134))</f>
        <v>0</v>
      </c>
      <c r="E134" s="280" t="str">
        <f ca="1">IFERROR(IF(A134="","",_xlfn.XLOOKUP(A134,'ABC Serviços Apoio'!C:C,'ABC Serviços Apoio'!A:A)),"")</f>
        <v>Despesas de consumo - Internet</v>
      </c>
      <c r="F134" s="281" t="str">
        <f ca="1">IFERROR(IF(A134="","",_xlfn.XLOOKUP(E134,Orçamento!Q:Q,Orçamento!T:T)),"")</f>
        <v>MES</v>
      </c>
      <c r="G134" s="282">
        <f ca="1">IFERROR(IF(A134="","",SUMIF(Orçamento!Q:Q,E134,Orçamento!X:X)),"")</f>
        <v>22</v>
      </c>
      <c r="H134" s="283">
        <f ca="1">IFERROR(IF(A134="","",_xlfn.XLOOKUP(E134,Orçamento!Q:Q,Orçamento!Y:Y)),"")</f>
        <v>150</v>
      </c>
      <c r="I134" s="283">
        <f t="shared" ca="1" si="3"/>
        <v>3300</v>
      </c>
      <c r="J134" s="284">
        <f t="shared" ca="1" si="4"/>
        <v>4.7341508677492344E-4</v>
      </c>
      <c r="K134" s="284">
        <f t="shared" ca="1" si="5"/>
        <v>0.49896188754993692</v>
      </c>
      <c r="M134" s="419"/>
    </row>
    <row r="135" spans="1:13" x14ac:dyDescent="0.2">
      <c r="A135" s="10" t="str">
        <f ca="1"/>
        <v>32997,75 - Esquadrias Metálicas - Gaiola Fachadas - fornecimento e instalacao</v>
      </c>
      <c r="B135" s="10">
        <f ca="1">IF(OR(A135="",A135=0),"",LARGE($B$8:B134,1)+1)</f>
        <v>127</v>
      </c>
      <c r="C135" s="7"/>
      <c r="D135" s="279">
        <f ca="1">IF(A135="","",COUNTIF(Orçamento!P:P,A135))</f>
        <v>0</v>
      </c>
      <c r="E135" s="280" t="str">
        <f ca="1">IFERROR(IF(A135="","",_xlfn.XLOOKUP(A135,'ABC Serviços Apoio'!C:C,'ABC Serviços Apoio'!A:A)),"")</f>
        <v>Esquadrias Metálicas - Gaiola Fachadas - fornecimento e instalacao</v>
      </c>
      <c r="F135" s="281" t="str">
        <f ca="1">IFERROR(IF(A135="","",_xlfn.XLOOKUP(E135,Orçamento!Q:Q,Orçamento!T:T)),"")</f>
        <v>m2</v>
      </c>
      <c r="G135" s="282">
        <f ca="1">IFERROR(IF(A135="","",SUMIF(Orçamento!Q:Q,E135,Orçamento!X:X)),"")</f>
        <v>58.040000000000013</v>
      </c>
      <c r="H135" s="283">
        <f ca="1">IFERROR(IF(A135="","",_xlfn.XLOOKUP(E135,Orçamento!Q:Q,Orçamento!Y:Y)),"")</f>
        <v>568.53463128876638</v>
      </c>
      <c r="I135" s="283">
        <f t="shared" ca="1" si="3"/>
        <v>32997.750000000007</v>
      </c>
      <c r="J135" s="284">
        <f t="shared" ca="1" si="4"/>
        <v>4.7338280847355248E-3</v>
      </c>
      <c r="K135" s="284">
        <f t="shared" ca="1" si="5"/>
        <v>0.50369571563467241</v>
      </c>
      <c r="M135" s="419"/>
    </row>
    <row r="136" spans="1:13" x14ac:dyDescent="0.2">
      <c r="A136" s="10" t="str">
        <f ca="1"/>
        <v>3218,50338583369 - Pontos de Tomadas e Interruptores - Subsolo</v>
      </c>
      <c r="B136" s="10">
        <f ca="1">IF(OR(A136="",A136=0),"",LARGE($B$8:B135,1)+1)</f>
        <v>128</v>
      </c>
      <c r="C136" s="7"/>
      <c r="D136" s="279">
        <f ca="1">IF(A136="","",COUNTIF(Orçamento!P:P,A136))</f>
        <v>0</v>
      </c>
      <c r="E136" s="280" t="str">
        <f ca="1">IFERROR(IF(A136="","",_xlfn.XLOOKUP(A136,'ABC Serviços Apoio'!C:C,'ABC Serviços Apoio'!A:A)),"")</f>
        <v>Pontos de Tomadas e Interruptores - Subsolo</v>
      </c>
      <c r="F136" s="281" t="str">
        <f ca="1">IFERROR(IF(A136="","",_xlfn.XLOOKUP(E136,Orçamento!Q:Q,Orçamento!T:T)),"")</f>
        <v>VB</v>
      </c>
      <c r="G136" s="282">
        <f ca="1">IFERROR(IF(A136="","",SUMIF(Orçamento!Q:Q,E136,Orçamento!X:X)),"")</f>
        <v>1</v>
      </c>
      <c r="H136" s="283">
        <f ca="1">IFERROR(IF(A136="","",_xlfn.XLOOKUP(E136,Orçamento!Q:Q,Orçamento!Y:Y)),"")</f>
        <v>3218.5033858336856</v>
      </c>
      <c r="I136" s="283">
        <f t="shared" ca="1" si="3"/>
        <v>3218.5033858336856</v>
      </c>
      <c r="J136" s="284">
        <f t="shared" ca="1" si="4"/>
        <v>4.6172365445146637E-4</v>
      </c>
      <c r="K136" s="284">
        <f t="shared" ca="1" si="5"/>
        <v>0.50415743928912393</v>
      </c>
      <c r="M136" s="419"/>
    </row>
    <row r="137" spans="1:13" x14ac:dyDescent="0.2">
      <c r="A137" s="10" t="str">
        <f ca="1"/>
        <v>31609,9791 - Mao de obra para impermeabilizacao de manta asfaltica</v>
      </c>
      <c r="B137" s="10">
        <f ca="1">IF(OR(A137="",A137=0),"",LARGE($B$8:B136,1)+1)</f>
        <v>129</v>
      </c>
      <c r="C137" s="7"/>
      <c r="D137" s="279">
        <f ca="1">IF(A137="","",COUNTIF(Orçamento!P:P,A137))</f>
        <v>0</v>
      </c>
      <c r="E137" s="280" t="str">
        <f ca="1">IFERROR(IF(A137="","",_xlfn.XLOOKUP(A137,'ABC Serviços Apoio'!C:C,'ABC Serviços Apoio'!A:A)),"")</f>
        <v>Mao de obra para impermeabilizacao de manta asfaltica</v>
      </c>
      <c r="F137" s="281" t="str">
        <f ca="1">IFERROR(IF(A137="","",_xlfn.XLOOKUP(E137,Orçamento!Q:Q,Orçamento!T:T)),"")</f>
        <v>M2</v>
      </c>
      <c r="G137" s="282">
        <f ca="1">IFERROR(IF(A137="","",SUMIF(Orçamento!Q:Q,E137,Orçamento!X:X)),"")</f>
        <v>484.89</v>
      </c>
      <c r="H137" s="283">
        <f ca="1">IFERROR(IF(A137="","",_xlfn.XLOOKUP(E137,Orçamento!Q:Q,Orçamento!Y:Y)),"")</f>
        <v>65.19</v>
      </c>
      <c r="I137" s="283">
        <f t="shared" ref="I137:I200" ca="1" si="6">IFERROR(IF(E137="","",G137*H137),"")</f>
        <v>31609.979099999997</v>
      </c>
      <c r="J137" s="284">
        <f t="shared" ref="J137:J200" ca="1" si="7">IFERROR(IF(I137="","",I137/$I$6),0)</f>
        <v>4.5347396965393985E-3</v>
      </c>
      <c r="K137" s="284">
        <f t="shared" ca="1" si="5"/>
        <v>0.50869217898566332</v>
      </c>
      <c r="M137" s="419"/>
    </row>
    <row r="138" spans="1:13" x14ac:dyDescent="0.2">
      <c r="A138" s="10" t="str">
        <f ca="1"/>
        <v>315,121237611 - Montagem de fôrma para escadarias em chapa de madeira compensada plastificada e=14 mm - 2 jogos</v>
      </c>
      <c r="B138" s="10">
        <f ca="1">IF(OR(A138="",A138=0),"",LARGE($B$8:B137,1)+1)</f>
        <v>130</v>
      </c>
      <c r="C138" s="7"/>
      <c r="D138" s="279">
        <f ca="1">IF(A138="","",COUNTIF(Orçamento!P:P,A138))</f>
        <v>0</v>
      </c>
      <c r="E138" s="280" t="str">
        <f ca="1">IFERROR(IF(A138="","",_xlfn.XLOOKUP(A138,'ABC Serviços Apoio'!C:C,'ABC Serviços Apoio'!A:A)),"")</f>
        <v>Montagem de fôrma para escadarias em chapa de madeira compensada plastificada e=14 mm - 2 jogos</v>
      </c>
      <c r="F138" s="281" t="str">
        <f ca="1">IFERROR(IF(A138="","",_xlfn.XLOOKUP(E138,Orçamento!Q:Q,Orçamento!T:T)),"")</f>
        <v>M2</v>
      </c>
      <c r="G138" s="282">
        <f ca="1">IFERROR(IF(A138="","",SUMIF(Orçamento!Q:Q,E138,Orçamento!X:X)),"")</f>
        <v>191.10418000000001</v>
      </c>
      <c r="H138" s="283">
        <f ca="1">IFERROR(IF(A138="","",_xlfn.XLOOKUP(E138,Orçamento!Q:Q,Orçamento!Y:Y)),"")</f>
        <v>1.6489499999999999</v>
      </c>
      <c r="I138" s="283">
        <f t="shared" ca="1" si="6"/>
        <v>315.12123761100003</v>
      </c>
      <c r="J138" s="284">
        <f t="shared" ca="1" si="7"/>
        <v>4.5207014560070559E-5</v>
      </c>
      <c r="K138" s="284">
        <f t="shared" ref="K138:K201" ca="1" si="8">J138+K137</f>
        <v>0.50873738600022345</v>
      </c>
      <c r="M138" s="419"/>
    </row>
    <row r="139" spans="1:13" x14ac:dyDescent="0.2">
      <c r="A139" s="10" t="str">
        <f ca="1"/>
        <v>3146,42272923763 - Quadros e Disjuntores - Cobertura</v>
      </c>
      <c r="B139" s="10">
        <f ca="1">IF(OR(A139="",A139=0),"",LARGE($B$8:B138,1)+1)</f>
        <v>131</v>
      </c>
      <c r="C139" s="7"/>
      <c r="D139" s="279">
        <f ca="1">IF(A139="","",COUNTIF(Orçamento!P:P,A139))</f>
        <v>0</v>
      </c>
      <c r="E139" s="280" t="str">
        <f ca="1">IFERROR(IF(A139="","",_xlfn.XLOOKUP(A139,'ABC Serviços Apoio'!C:C,'ABC Serviços Apoio'!A:A)),"")</f>
        <v>Quadros e Disjuntores - Cobertura</v>
      </c>
      <c r="F139" s="281" t="str">
        <f ca="1">IFERROR(IF(A139="","",_xlfn.XLOOKUP(E139,Orçamento!Q:Q,Orçamento!T:T)),"")</f>
        <v>VB</v>
      </c>
      <c r="G139" s="282">
        <f ca="1">IFERROR(IF(A139="","",SUMIF(Orçamento!Q:Q,E139,Orçamento!X:X)),"")</f>
        <v>1</v>
      </c>
      <c r="H139" s="283">
        <f ca="1">IFERROR(IF(A139="","",_xlfn.XLOOKUP(E139,Orçamento!Q:Q,Orçamento!Y:Y)),"")</f>
        <v>3146.4227292376281</v>
      </c>
      <c r="I139" s="283">
        <f t="shared" ca="1" si="6"/>
        <v>3146.4227292376281</v>
      </c>
      <c r="J139" s="284">
        <f t="shared" ca="1" si="7"/>
        <v>4.5138302708867367E-4</v>
      </c>
      <c r="K139" s="284">
        <f t="shared" ca="1" si="8"/>
        <v>0.50918876902731214</v>
      </c>
      <c r="M139" s="419"/>
    </row>
    <row r="140" spans="1:13" x14ac:dyDescent="0.2">
      <c r="A140" s="10" t="str">
        <f ca="1"/>
        <v>3128,25487 - Cobertura Telha Fibrocimento</v>
      </c>
      <c r="B140" s="10">
        <f ca="1">IF(OR(A140="",A140=0),"",LARGE($B$8:B139,1)+1)</f>
        <v>132</v>
      </c>
      <c r="C140" s="7"/>
      <c r="D140" s="279">
        <f ca="1">IF(A140="","",COUNTIF(Orçamento!P:P,A140))</f>
        <v>0</v>
      </c>
      <c r="E140" s="280" t="str">
        <f ca="1">IFERROR(IF(A140="","",_xlfn.XLOOKUP(A140,'ABC Serviços Apoio'!C:C,'ABC Serviços Apoio'!A:A)),"")</f>
        <v>Cobertura Telha Fibrocimento</v>
      </c>
      <c r="F140" s="281" t="str">
        <f ca="1">IFERROR(IF(A140="","",_xlfn.XLOOKUP(E140,Orçamento!Q:Q,Orçamento!T:T)),"")</f>
        <v>M2</v>
      </c>
      <c r="G140" s="282">
        <f ca="1">IFERROR(IF(A140="","",SUMIF(Orçamento!Q:Q,E140,Orçamento!X:X)),"")</f>
        <v>60.19</v>
      </c>
      <c r="H140" s="283">
        <f ca="1">IFERROR(IF(A140="","",_xlfn.XLOOKUP(E140,Orçamento!Q:Q,Orçamento!Y:Y)),"")</f>
        <v>51.972999999999999</v>
      </c>
      <c r="I140" s="283">
        <f t="shared" ca="1" si="6"/>
        <v>3128.2548699999998</v>
      </c>
      <c r="J140" s="284">
        <f t="shared" ca="1" si="7"/>
        <v>4.487766820409475E-4</v>
      </c>
      <c r="K140" s="284">
        <f t="shared" ca="1" si="8"/>
        <v>0.50963754570935305</v>
      </c>
      <c r="M140" s="419"/>
    </row>
    <row r="141" spans="1:13" x14ac:dyDescent="0.2">
      <c r="A141" s="10" t="str">
        <f ca="1"/>
        <v>3105,43754553737 - Instalacoes de Agua Fria - Pavimento Técnico</v>
      </c>
      <c r="B141" s="10">
        <f ca="1">IF(OR(A141="",A141=0),"",LARGE($B$8:B140,1)+1)</f>
        <v>133</v>
      </c>
      <c r="C141" s="7"/>
      <c r="D141" s="279">
        <f ca="1">IF(A141="","",COUNTIF(Orçamento!P:P,A141))</f>
        <v>0</v>
      </c>
      <c r="E141" s="280" t="str">
        <f ca="1">IFERROR(IF(A141="","",_xlfn.XLOOKUP(A141,'ABC Serviços Apoio'!C:C,'ABC Serviços Apoio'!A:A)),"")</f>
        <v>Instalacoes de Agua Fria - Pavimento Técnico</v>
      </c>
      <c r="F141" s="281" t="str">
        <f ca="1">IFERROR(IF(A141="","",_xlfn.XLOOKUP(E141,Orçamento!Q:Q,Orçamento!T:T)),"")</f>
        <v>VB</v>
      </c>
      <c r="G141" s="282">
        <f ca="1">IFERROR(IF(A141="","",SUMIF(Orçamento!Q:Q,E141,Orçamento!X:X)),"")</f>
        <v>1</v>
      </c>
      <c r="H141" s="283">
        <f ca="1">IFERROR(IF(A141="","",_xlfn.XLOOKUP(E141,Orçamento!Q:Q,Orçamento!Y:Y)),"")</f>
        <v>3105.4375455373684</v>
      </c>
      <c r="I141" s="283">
        <f t="shared" ca="1" si="6"/>
        <v>3105.4375455373684</v>
      </c>
      <c r="J141" s="284">
        <f t="shared" ca="1" si="7"/>
        <v>4.4550332881656922E-4</v>
      </c>
      <c r="K141" s="284">
        <f t="shared" ca="1" si="8"/>
        <v>0.51008304903816959</v>
      </c>
      <c r="M141" s="419"/>
    </row>
    <row r="142" spans="1:13" x14ac:dyDescent="0.2">
      <c r="A142" s="10" t="str">
        <f ca="1"/>
        <v>310,543754553737 - Luminárias e Acessorios - Pavimento Técnico</v>
      </c>
      <c r="B142" s="10">
        <f ca="1">IF(OR(A142="",A142=0),"",LARGE($B$8:B141,1)+1)</f>
        <v>134</v>
      </c>
      <c r="C142" s="7"/>
      <c r="D142" s="279">
        <f ca="1">IF(A142="","",COUNTIF(Orçamento!P:P,A142))</f>
        <v>0</v>
      </c>
      <c r="E142" s="280" t="str">
        <f ca="1">IFERROR(IF(A142="","",_xlfn.XLOOKUP(A142,'ABC Serviços Apoio'!C:C,'ABC Serviços Apoio'!A:A)),"")</f>
        <v>Luminárias e Acessorios - Pavimento Técnico</v>
      </c>
      <c r="F142" s="281" t="str">
        <f ca="1">IFERROR(IF(A142="","",_xlfn.XLOOKUP(E142,Orçamento!Q:Q,Orçamento!T:T)),"")</f>
        <v>VB</v>
      </c>
      <c r="G142" s="282">
        <f ca="1">IFERROR(IF(A142="","",SUMIF(Orçamento!Q:Q,E142,Orçamento!X:X)),"")</f>
        <v>1</v>
      </c>
      <c r="H142" s="283">
        <f ca="1">IFERROR(IF(A142="","",_xlfn.XLOOKUP(E142,Orçamento!Q:Q,Orçamento!Y:Y)),"")</f>
        <v>310.54375455373685</v>
      </c>
      <c r="I142" s="283">
        <f t="shared" ca="1" si="6"/>
        <v>310.54375455373685</v>
      </c>
      <c r="J142" s="284">
        <f t="shared" ca="1" si="7"/>
        <v>4.4550332881656924E-5</v>
      </c>
      <c r="K142" s="284">
        <f t="shared" ca="1" si="8"/>
        <v>0.51012759937105123</v>
      </c>
      <c r="M142" s="419"/>
    </row>
    <row r="143" spans="1:13" x14ac:dyDescent="0.2">
      <c r="A143" s="10" t="str">
        <f ca="1"/>
        <v>3067,98 - Esquadrias Metálicas - Alçapão 70x70 - fornecimento e instalacao</v>
      </c>
      <c r="B143" s="10">
        <f ca="1">IF(OR(A143="",A143=0),"",LARGE($B$8:B142,1)+1)</f>
        <v>135</v>
      </c>
      <c r="C143" s="7"/>
      <c r="D143" s="279">
        <f ca="1">IF(A143="","",COUNTIF(Orçamento!P:P,A143))</f>
        <v>0</v>
      </c>
      <c r="E143" s="280" t="str">
        <f ca="1">IFERROR(IF(A143="","",_xlfn.XLOOKUP(A143,'ABC Serviços Apoio'!C:C,'ABC Serviços Apoio'!A:A)),"")</f>
        <v>Esquadrias Metálicas - Alçapão 70x70 - fornecimento e instalacao</v>
      </c>
      <c r="F143" s="281" t="str">
        <f ca="1">IFERROR(IF(A143="","",_xlfn.XLOOKUP(E143,Orçamento!Q:Q,Orçamento!T:T)),"")</f>
        <v>UN</v>
      </c>
      <c r="G143" s="282">
        <f ca="1">IFERROR(IF(A143="","",SUMIF(Orçamento!Q:Q,E143,Orçamento!X:X)),"")</f>
        <v>2</v>
      </c>
      <c r="H143" s="283">
        <f ca="1">IFERROR(IF(A143="","",_xlfn.XLOOKUP(E143,Orçamento!Q:Q,Orçamento!Y:Y)),"")</f>
        <v>1533.99</v>
      </c>
      <c r="I143" s="283">
        <f t="shared" ca="1" si="6"/>
        <v>3067.98</v>
      </c>
      <c r="J143" s="284">
        <f t="shared" ca="1" si="7"/>
        <v>4.4012970240113019E-4</v>
      </c>
      <c r="K143" s="284">
        <f t="shared" ca="1" si="8"/>
        <v>0.51056772907345238</v>
      </c>
      <c r="M143" s="419"/>
    </row>
    <row r="144" spans="1:13" x14ac:dyDescent="0.2">
      <c r="A144" s="10" t="str">
        <f ca="1"/>
        <v>30072,3560238399 - Cabos e Fiacoes - Subsolo</v>
      </c>
      <c r="B144" s="10">
        <f ca="1">IF(OR(A144="",A144=0),"",LARGE($B$8:B143,1)+1)</f>
        <v>136</v>
      </c>
      <c r="C144" s="7"/>
      <c r="D144" s="279">
        <f ca="1">IF(A144="","",COUNTIF(Orçamento!P:P,A144))</f>
        <v>0</v>
      </c>
      <c r="E144" s="280" t="str">
        <f ca="1">IFERROR(IF(A144="","",_xlfn.XLOOKUP(A144,'ABC Serviços Apoio'!C:C,'ABC Serviços Apoio'!A:A)),"")</f>
        <v>Cabos e Fiacoes - Subsolo</v>
      </c>
      <c r="F144" s="281" t="str">
        <f ca="1">IFERROR(IF(A144="","",_xlfn.XLOOKUP(E144,Orçamento!Q:Q,Orçamento!T:T)),"")</f>
        <v>VB</v>
      </c>
      <c r="G144" s="282">
        <f ca="1">IFERROR(IF(A144="","",SUMIF(Orçamento!Q:Q,E144,Orçamento!X:X)),"")</f>
        <v>1</v>
      </c>
      <c r="H144" s="283">
        <f ca="1">IFERROR(IF(A144="","",_xlfn.XLOOKUP(E144,Orçamento!Q:Q,Orçamento!Y:Y)),"")</f>
        <v>30072.356023839933</v>
      </c>
      <c r="I144" s="283">
        <f t="shared" ca="1" si="6"/>
        <v>30072.356023839933</v>
      </c>
      <c r="J144" s="284">
        <f t="shared" ca="1" si="7"/>
        <v>4.3141536474401738E-3</v>
      </c>
      <c r="K144" s="284">
        <f t="shared" ca="1" si="8"/>
        <v>0.51488188272089253</v>
      </c>
      <c r="M144" s="419"/>
    </row>
    <row r="145" spans="1:13" x14ac:dyDescent="0.2">
      <c r="A145" s="10" t="str">
        <f ca="1"/>
        <v>29900 - Projeto Estrutural</v>
      </c>
      <c r="B145" s="10">
        <f ca="1">IF(OR(A145="",A145=0),"",LARGE($B$8:B144,1)+1)</f>
        <v>137</v>
      </c>
      <c r="C145" s="7"/>
      <c r="D145" s="279">
        <f ca="1">IF(A145="","",COUNTIF(Orçamento!P:P,A145))</f>
        <v>0</v>
      </c>
      <c r="E145" s="280" t="str">
        <f ca="1">IFERROR(IF(A145="","",_xlfn.XLOOKUP(A145,'ABC Serviços Apoio'!C:C,'ABC Serviços Apoio'!A:A)),"")</f>
        <v>Projeto Estrutural</v>
      </c>
      <c r="F145" s="281" t="str">
        <f ca="1">IFERROR(IF(A145="","",_xlfn.XLOOKUP(E145,Orçamento!Q:Q,Orçamento!T:T)),"")</f>
        <v>VB</v>
      </c>
      <c r="G145" s="282">
        <f ca="1">IFERROR(IF(A145="","",SUMIF(Orçamento!Q:Q,E145,Orçamento!X:X)),"")</f>
        <v>1</v>
      </c>
      <c r="H145" s="283">
        <f ca="1">IFERROR(IF(A145="","",_xlfn.XLOOKUP(E145,Orçamento!Q:Q,Orçamento!Y:Y)),"")</f>
        <v>29900</v>
      </c>
      <c r="I145" s="283">
        <f t="shared" ca="1" si="6"/>
        <v>29900</v>
      </c>
      <c r="J145" s="284">
        <f t="shared" ca="1" si="7"/>
        <v>4.2894276044152151E-3</v>
      </c>
      <c r="K145" s="284">
        <f t="shared" ca="1" si="8"/>
        <v>0.51917131032530772</v>
      </c>
      <c r="M145" s="419"/>
    </row>
    <row r="146" spans="1:13" x14ac:dyDescent="0.2">
      <c r="A146" s="10" t="str">
        <f ca="1"/>
        <v>29824,11 - Esquadrias Metálicas - Porta Corta Fogo - fornecimento e instalacao</v>
      </c>
      <c r="B146" s="10">
        <f ca="1">IF(OR(A146="",A146=0),"",LARGE($B$8:B145,1)+1)</f>
        <v>138</v>
      </c>
      <c r="C146" s="7"/>
      <c r="D146" s="279">
        <f ca="1">IF(A146="","",COUNTIF(Orçamento!P:P,A146))</f>
        <v>0</v>
      </c>
      <c r="E146" s="280" t="str">
        <f ca="1">IFERROR(IF(A146="","",_xlfn.XLOOKUP(A146,'ABC Serviços Apoio'!C:C,'ABC Serviços Apoio'!A:A)),"")</f>
        <v>Esquadrias Metálicas - Porta Corta Fogo - fornecimento e instalacao</v>
      </c>
      <c r="F146" s="281" t="str">
        <f ca="1">IFERROR(IF(A146="","",_xlfn.XLOOKUP(E146,Orçamento!Q:Q,Orçamento!T:T)),"")</f>
        <v>UN</v>
      </c>
      <c r="G146" s="282">
        <f ca="1">IFERROR(IF(A146="","",SUMIF(Orçamento!Q:Q,E146,Orçamento!X:X)),"")</f>
        <v>19</v>
      </c>
      <c r="H146" s="283">
        <f ca="1">IFERROR(IF(A146="","",_xlfn.XLOOKUP(E146,Orçamento!Q:Q,Orçamento!Y:Y)),"")</f>
        <v>1569.69</v>
      </c>
      <c r="I146" s="283">
        <f t="shared" ca="1" si="6"/>
        <v>29824.11</v>
      </c>
      <c r="J146" s="284">
        <f t="shared" ca="1" si="7"/>
        <v>4.2785404920105642E-3</v>
      </c>
      <c r="K146" s="284">
        <f t="shared" ca="1" si="8"/>
        <v>0.52344985081731832</v>
      </c>
      <c r="M146" s="419"/>
    </row>
    <row r="147" spans="1:13" x14ac:dyDescent="0.2">
      <c r="A147" s="10" t="str">
        <f ca="1"/>
        <v>2967 - Projeto de Telefonia</v>
      </c>
      <c r="B147" s="10">
        <f ca="1">IF(OR(A147="",A147=0),"",LARGE($B$8:B146,1)+1)</f>
        <v>139</v>
      </c>
      <c r="C147" s="7"/>
      <c r="D147" s="279">
        <f ca="1">IF(A147="","",COUNTIF(Orçamento!P:P,A147))</f>
        <v>0</v>
      </c>
      <c r="E147" s="280" t="str">
        <f ca="1">IFERROR(IF(A147="","",_xlfn.XLOOKUP(A147,'ABC Serviços Apoio'!C:C,'ABC Serviços Apoio'!A:A)),"")</f>
        <v>Projeto de Telefonia</v>
      </c>
      <c r="F147" s="281" t="str">
        <f ca="1">IFERROR(IF(A147="","",_xlfn.XLOOKUP(E147,Orçamento!Q:Q,Orçamento!T:T)),"")</f>
        <v>VB</v>
      </c>
      <c r="G147" s="282">
        <f ca="1">IFERROR(IF(A147="","",SUMIF(Orçamento!Q:Q,E147,Orçamento!X:X)),"")</f>
        <v>1</v>
      </c>
      <c r="H147" s="283">
        <f ca="1">IFERROR(IF(A147="","",_xlfn.XLOOKUP(E147,Orçamento!Q:Q,Orçamento!Y:Y)),"")</f>
        <v>2967</v>
      </c>
      <c r="I147" s="283">
        <f t="shared" ca="1" si="6"/>
        <v>2967</v>
      </c>
      <c r="J147" s="284">
        <f t="shared" ca="1" si="7"/>
        <v>4.256432007458175E-4</v>
      </c>
      <c r="K147" s="284">
        <f t="shared" ca="1" si="8"/>
        <v>0.5238754940180641</v>
      </c>
      <c r="M147" s="419"/>
    </row>
    <row r="148" spans="1:13" x14ac:dyDescent="0.2">
      <c r="A148" s="10" t="str">
        <f ca="1"/>
        <v>2967 - Projeto Comunicação e Dados</v>
      </c>
      <c r="B148" s="10">
        <f ca="1">IF(OR(A148="",A148=0),"",LARGE($B$8:B147,1)+1)</f>
        <v>140</v>
      </c>
      <c r="C148" s="7"/>
      <c r="D148" s="279">
        <f ca="1">IF(A148="","",COUNTIF(Orçamento!P:P,A148))</f>
        <v>0</v>
      </c>
      <c r="E148" s="280" t="str">
        <f ca="1">IFERROR(IF(A148="","",_xlfn.XLOOKUP(A148,'ABC Serviços Apoio'!C:C,'ABC Serviços Apoio'!A:A)),"")</f>
        <v>Projeto Comunicação e Dados</v>
      </c>
      <c r="F148" s="281" t="str">
        <f ca="1">IFERROR(IF(A148="","",_xlfn.XLOOKUP(E148,Orçamento!Q:Q,Orçamento!T:T)),"")</f>
        <v>VB</v>
      </c>
      <c r="G148" s="282">
        <f ca="1">IFERROR(IF(A148="","",SUMIF(Orçamento!Q:Q,E148,Orçamento!X:X)),"")</f>
        <v>1</v>
      </c>
      <c r="H148" s="283">
        <f ca="1">IFERROR(IF(A148="","",_xlfn.XLOOKUP(E148,Orçamento!Q:Q,Orçamento!Y:Y)),"")</f>
        <v>2967</v>
      </c>
      <c r="I148" s="283">
        <f t="shared" ca="1" si="6"/>
        <v>2967</v>
      </c>
      <c r="J148" s="284">
        <f t="shared" ca="1" si="7"/>
        <v>4.256432007458175E-4</v>
      </c>
      <c r="K148" s="284">
        <f t="shared" ca="1" si="8"/>
        <v>0.52430113721880989</v>
      </c>
      <c r="M148" s="419"/>
    </row>
    <row r="149" spans="1:13" x14ac:dyDescent="0.2">
      <c r="A149" s="10" t="str">
        <f ca="1"/>
        <v>293,89 - Taxas de Aprovação de Projetos (Hidrossanitário)</v>
      </c>
      <c r="B149" s="10">
        <f ca="1">IF(OR(A149="",A149=0),"",LARGE($B$8:B148,1)+1)</f>
        <v>141</v>
      </c>
      <c r="C149" s="7"/>
      <c r="D149" s="279">
        <f ca="1">IF(A149="","",COUNTIF(Orçamento!P:P,A149))</f>
        <v>0</v>
      </c>
      <c r="E149" s="280" t="str">
        <f ca="1">IFERROR(IF(A149="","",_xlfn.XLOOKUP(A149,'ABC Serviços Apoio'!C:C,'ABC Serviços Apoio'!A:A)),"")</f>
        <v>Taxas de Aprovação de Projetos (Hidrossanitário)</v>
      </c>
      <c r="F149" s="281" t="str">
        <f ca="1">IFERROR(IF(A149="","",_xlfn.XLOOKUP(E149,Orçamento!Q:Q,Orçamento!T:T)),"")</f>
        <v>VB</v>
      </c>
      <c r="G149" s="282">
        <f ca="1">IFERROR(IF(A149="","",SUMIF(Orçamento!Q:Q,E149,Orçamento!X:X)),"")</f>
        <v>1</v>
      </c>
      <c r="H149" s="283">
        <f ca="1">IFERROR(IF(A149="","",_xlfn.XLOOKUP(E149,Orçamento!Q:Q,Orçamento!Y:Y)),"")</f>
        <v>293.89</v>
      </c>
      <c r="I149" s="283">
        <f t="shared" ca="1" si="6"/>
        <v>293.89</v>
      </c>
      <c r="J149" s="284">
        <f t="shared" ca="1" si="7"/>
        <v>4.2161199955237038E-5</v>
      </c>
      <c r="K149" s="284">
        <f t="shared" ca="1" si="8"/>
        <v>0.52434329841876515</v>
      </c>
      <c r="M149" s="419"/>
    </row>
    <row r="150" spans="1:13" x14ac:dyDescent="0.2">
      <c r="A150" s="10" t="str">
        <f ca="1"/>
        <v>29148,45 - Limpeza final da obra</v>
      </c>
      <c r="B150" s="10">
        <f ca="1">IF(OR(A150="",A150=0),"",LARGE($B$8:B149,1)+1)</f>
        <v>142</v>
      </c>
      <c r="C150" s="7"/>
      <c r="D150" s="279">
        <f ca="1">IF(A150="","",COUNTIF(Orçamento!P:P,A150))</f>
        <v>0</v>
      </c>
      <c r="E150" s="280" t="str">
        <f ca="1">IFERROR(IF(A150="","",_xlfn.XLOOKUP(A150,'ABC Serviços Apoio'!C:C,'ABC Serviços Apoio'!A:A)),"")</f>
        <v>Limpeza final da obra</v>
      </c>
      <c r="F150" s="281" t="str">
        <f ca="1">IFERROR(IF(A150="","",_xlfn.XLOOKUP(E150,Orçamento!Q:Q,Orçamento!T:T)),"")</f>
        <v>VB</v>
      </c>
      <c r="G150" s="282">
        <f ca="1">IFERROR(IF(A150="","",SUMIF(Orçamento!Q:Q,E150,Orçamento!X:X)),"")</f>
        <v>1</v>
      </c>
      <c r="H150" s="283">
        <f ca="1">IFERROR(IF(A150="","",_xlfn.XLOOKUP(E150,Orçamento!Q:Q,Orçamento!Y:Y)),"")</f>
        <v>29148.45</v>
      </c>
      <c r="I150" s="283">
        <f t="shared" ca="1" si="6"/>
        <v>29148.45</v>
      </c>
      <c r="J150" s="284">
        <f t="shared" ca="1" si="7"/>
        <v>4.1816109048801566E-3</v>
      </c>
      <c r="K150" s="284">
        <f t="shared" ca="1" si="8"/>
        <v>0.52852490932364526</v>
      </c>
      <c r="M150" s="419"/>
    </row>
    <row r="151" spans="1:13" x14ac:dyDescent="0.2">
      <c r="A151" s="10" t="str">
        <f ca="1"/>
        <v>28947,87808 - Impermeabilizacao com argamassa polimerica impermeabilizante</v>
      </c>
      <c r="B151" s="10">
        <f ca="1">IF(OR(A151="",A151=0),"",LARGE($B$8:B150,1)+1)</f>
        <v>143</v>
      </c>
      <c r="C151" s="7"/>
      <c r="D151" s="279">
        <f ca="1">IF(A151="","",COUNTIF(Orçamento!P:P,A151))</f>
        <v>0</v>
      </c>
      <c r="E151" s="280" t="str">
        <f ca="1">IFERROR(IF(A151="","",_xlfn.XLOOKUP(A151,'ABC Serviços Apoio'!C:C,'ABC Serviços Apoio'!A:A)),"")</f>
        <v>Impermeabilizacao com argamassa polimerica impermeabilizante</v>
      </c>
      <c r="F151" s="281" t="str">
        <f ca="1">IFERROR(IF(A151="","",_xlfn.XLOOKUP(E151,Orçamento!Q:Q,Orçamento!T:T)),"")</f>
        <v>M2</v>
      </c>
      <c r="G151" s="282">
        <f ca="1">IFERROR(IF(A151="","",SUMIF(Orçamento!Q:Q,E151,Orçamento!X:X)),"")</f>
        <v>798.43</v>
      </c>
      <c r="H151" s="283">
        <f ca="1">IFERROR(IF(A151="","",_xlfn.XLOOKUP(E151,Orçamento!Q:Q,Orçamento!Y:Y)),"")</f>
        <v>36.256</v>
      </c>
      <c r="I151" s="283">
        <f t="shared" ca="1" si="6"/>
        <v>28947.878079999999</v>
      </c>
      <c r="J151" s="284">
        <f t="shared" ca="1" si="7"/>
        <v>4.1528370343009401E-3</v>
      </c>
      <c r="K151" s="284">
        <f t="shared" ca="1" si="8"/>
        <v>0.53267774635794618</v>
      </c>
      <c r="M151" s="419"/>
    </row>
    <row r="152" spans="1:13" x14ac:dyDescent="0.2">
      <c r="A152" s="10" t="str">
        <f ca="1"/>
        <v>2860 - Despesas de consumo - Gerenciamento Eletronico</v>
      </c>
      <c r="B152" s="10">
        <f ca="1">IF(OR(A152="",A152=0),"",LARGE($B$8:B151,1)+1)</f>
        <v>144</v>
      </c>
      <c r="C152" s="7"/>
      <c r="D152" s="279">
        <f ca="1">IF(A152="","",COUNTIF(Orçamento!P:P,A152))</f>
        <v>0</v>
      </c>
      <c r="E152" s="280" t="str">
        <f ca="1">IFERROR(IF(A152="","",_xlfn.XLOOKUP(A152,'ABC Serviços Apoio'!C:C,'ABC Serviços Apoio'!A:A)),"")</f>
        <v>Despesas de consumo - Gerenciamento Eletronico</v>
      </c>
      <c r="F152" s="281" t="str">
        <f ca="1">IFERROR(IF(A152="","",_xlfn.XLOOKUP(E152,Orçamento!Q:Q,Orçamento!T:T)),"")</f>
        <v>MES</v>
      </c>
      <c r="G152" s="282">
        <f ca="1">IFERROR(IF(A152="","",SUMIF(Orçamento!Q:Q,E152,Orçamento!X:X)),"")</f>
        <v>22</v>
      </c>
      <c r="H152" s="283">
        <f ca="1">IFERROR(IF(A152="","",_xlfn.XLOOKUP(E152,Orçamento!Q:Q,Orçamento!Y:Y)),"")</f>
        <v>130</v>
      </c>
      <c r="I152" s="283">
        <f t="shared" ca="1" si="6"/>
        <v>2860</v>
      </c>
      <c r="J152" s="284">
        <f t="shared" ca="1" si="7"/>
        <v>4.1029307520493364E-4</v>
      </c>
      <c r="K152" s="284">
        <f t="shared" ca="1" si="8"/>
        <v>0.53308803943315108</v>
      </c>
      <c r="M152" s="419"/>
    </row>
    <row r="153" spans="1:13" x14ac:dyDescent="0.2">
      <c r="A153" s="10" t="str">
        <f ca="1"/>
        <v>2836,43034 - Porta de madeira, folha leve/média, 90x210cm, fixacao com espuma expansiva - fornecimento e instalacao</v>
      </c>
      <c r="B153" s="10">
        <f ca="1">IF(OR(A153="",A153=0),"",LARGE($B$8:B152,1)+1)</f>
        <v>145</v>
      </c>
      <c r="C153" s="7"/>
      <c r="D153" s="279">
        <f ca="1">IF(A153="","",COUNTIF(Orçamento!P:P,A153))</f>
        <v>0</v>
      </c>
      <c r="E153" s="280" t="str">
        <f ca="1">IFERROR(IF(A153="","",_xlfn.XLOOKUP(A153,'ABC Serviços Apoio'!C:C,'ABC Serviços Apoio'!A:A)),"")</f>
        <v>Porta de madeira, folha leve/média, 90x210cm, fixacao com espuma expansiva - fornecimento e instalacao</v>
      </c>
      <c r="F153" s="281" t="str">
        <f ca="1">IFERROR(IF(A153="","",_xlfn.XLOOKUP(E153,Orçamento!Q:Q,Orçamento!T:T)),"")</f>
        <v>UN</v>
      </c>
      <c r="G153" s="282">
        <f ca="1">IFERROR(IF(A153="","",SUMIF(Orçamento!Q:Q,E153,Orçamento!X:X)),"")</f>
        <v>1</v>
      </c>
      <c r="H153" s="283">
        <f ca="1">IFERROR(IF(A153="","",_xlfn.XLOOKUP(E153,Orçamento!Q:Q,Orçamento!Y:Y)),"")</f>
        <v>2836.4303399999999</v>
      </c>
      <c r="I153" s="283">
        <f t="shared" ca="1" si="6"/>
        <v>2836.4303399999999</v>
      </c>
      <c r="J153" s="284">
        <f t="shared" ca="1" si="7"/>
        <v>4.069117925885229E-4</v>
      </c>
      <c r="K153" s="284">
        <f t="shared" ca="1" si="8"/>
        <v>0.53349495122573964</v>
      </c>
      <c r="M153" s="419"/>
    </row>
    <row r="154" spans="1:13" x14ac:dyDescent="0.2">
      <c r="A154" s="10" t="str">
        <f ca="1"/>
        <v>2835,82999463601 - Instalacos do Sistema Preventivo de Incendio - Cobertura</v>
      </c>
      <c r="B154" s="10">
        <f ca="1">IF(OR(A154="",A154=0),"",LARGE($B$8:B153,1)+1)</f>
        <v>146</v>
      </c>
      <c r="C154" s="7"/>
      <c r="D154" s="279">
        <f ca="1">IF(A154="","",COUNTIF(Orçamento!P:P,A154))</f>
        <v>0</v>
      </c>
      <c r="E154" s="280" t="str">
        <f ca="1">IFERROR(IF(A154="","",_xlfn.XLOOKUP(A154,'ABC Serviços Apoio'!C:C,'ABC Serviços Apoio'!A:A)),"")</f>
        <v>Instalacos do Sistema Preventivo de Incendio - Cobertura</v>
      </c>
      <c r="F154" s="281" t="str">
        <f ca="1">IFERROR(IF(A154="","",_xlfn.XLOOKUP(E154,Orçamento!Q:Q,Orçamento!T:T)),"")</f>
        <v>VB</v>
      </c>
      <c r="G154" s="282">
        <f ca="1">IFERROR(IF(A154="","",SUMIF(Orçamento!Q:Q,E154,Orçamento!X:X)),"")</f>
        <v>1</v>
      </c>
      <c r="H154" s="283">
        <f ca="1">IFERROR(IF(A154="","",_xlfn.XLOOKUP(E154,Orçamento!Q:Q,Orçamento!Y:Y)),"")</f>
        <v>2835.8299946360062</v>
      </c>
      <c r="I154" s="283">
        <f t="shared" ca="1" si="6"/>
        <v>2835.8299946360062</v>
      </c>
      <c r="J154" s="284">
        <f t="shared" ca="1" si="7"/>
        <v>4.0682566757258649E-4</v>
      </c>
      <c r="K154" s="284">
        <f t="shared" ca="1" si="8"/>
        <v>0.5339017768933122</v>
      </c>
      <c r="M154" s="419"/>
    </row>
    <row r="155" spans="1:13" x14ac:dyDescent="0.2">
      <c r="A155" s="10" t="str">
        <f ca="1"/>
        <v>2835,82999463601 - Instalacoes de Esgoto - Cobertura</v>
      </c>
      <c r="B155" s="10">
        <f ca="1">IF(OR(A155="",A155=0),"",LARGE($B$8:B154,1)+1)</f>
        <v>147</v>
      </c>
      <c r="C155" s="7"/>
      <c r="D155" s="279">
        <f ca="1">IF(A155="","",COUNTIF(Orçamento!P:P,A155))</f>
        <v>0</v>
      </c>
      <c r="E155" s="280" t="str">
        <f ca="1">IFERROR(IF(A155="","",_xlfn.XLOOKUP(A155,'ABC Serviços Apoio'!C:C,'ABC Serviços Apoio'!A:A)),"")</f>
        <v>Instalacoes de Esgoto - Cobertura</v>
      </c>
      <c r="F155" s="281" t="str">
        <f ca="1">IFERROR(IF(A155="","",_xlfn.XLOOKUP(E155,Orçamento!Q:Q,Orçamento!T:T)),"")</f>
        <v>VB</v>
      </c>
      <c r="G155" s="282">
        <f ca="1">IFERROR(IF(A155="","",SUMIF(Orçamento!Q:Q,E155,Orçamento!X:X)),"")</f>
        <v>1</v>
      </c>
      <c r="H155" s="283">
        <f ca="1">IFERROR(IF(A155="","",_xlfn.XLOOKUP(E155,Orçamento!Q:Q,Orçamento!Y:Y)),"")</f>
        <v>2835.8299946360062</v>
      </c>
      <c r="I155" s="283">
        <f t="shared" ca="1" si="6"/>
        <v>2835.8299946360062</v>
      </c>
      <c r="J155" s="284">
        <f t="shared" ca="1" si="7"/>
        <v>4.0682566757258649E-4</v>
      </c>
      <c r="K155" s="284">
        <f t="shared" ca="1" si="8"/>
        <v>0.53430860256088475</v>
      </c>
      <c r="M155" s="419"/>
    </row>
    <row r="156" spans="1:13" x14ac:dyDescent="0.2">
      <c r="A156" s="10" t="str">
        <f ca="1"/>
        <v>27815,8021161951 - Armacao aco CA-50 ø 16.0mm para supraestrutura corte e dobra em indústria</v>
      </c>
      <c r="B156" s="10">
        <f ca="1">IF(OR(A156="",A156=0),"",LARGE($B$8:B155,1)+1)</f>
        <v>148</v>
      </c>
      <c r="C156" s="7"/>
      <c r="D156" s="279">
        <f ca="1">IF(A156="","",COUNTIF(Orçamento!P:P,A156))</f>
        <v>0</v>
      </c>
      <c r="E156" s="280" t="str">
        <f ca="1">IFERROR(IF(A156="","",_xlfn.XLOOKUP(A156,'ABC Serviços Apoio'!C:C,'ABC Serviços Apoio'!A:A)),"")</f>
        <v>Armacao aco CA-50 ø 16.0mm para supraestrutura corte e dobra em indústria</v>
      </c>
      <c r="F156" s="281" t="str">
        <f ca="1">IFERROR(IF(A156="","",_xlfn.XLOOKUP(E156,Orçamento!Q:Q,Orçamento!T:T)),"")</f>
        <v>KG</v>
      </c>
      <c r="G156" s="282">
        <f ca="1">IFERROR(IF(A156="","",SUMIF(Orçamento!Q:Q,E156,Orçamento!X:X)),"")</f>
        <v>4373.3681299999998</v>
      </c>
      <c r="H156" s="283">
        <f ca="1">IFERROR(IF(A156="","",_xlfn.XLOOKUP(E156,Orçamento!Q:Q,Orçamento!Y:Y)),"")</f>
        <v>6.3602700000000008</v>
      </c>
      <c r="I156" s="283">
        <f t="shared" ca="1" si="6"/>
        <v>27815.802116195104</v>
      </c>
      <c r="J156" s="284">
        <f t="shared" ca="1" si="7"/>
        <v>3.9904304159250311E-3</v>
      </c>
      <c r="K156" s="284">
        <f t="shared" ca="1" si="8"/>
        <v>0.53829903297680981</v>
      </c>
      <c r="M156" s="419"/>
    </row>
    <row r="157" spans="1:13" x14ac:dyDescent="0.2">
      <c r="A157" s="10" t="str">
        <f ca="1"/>
        <v>27582,6660039 - Pintura com tinta latex acrilica, acabamento fosco em paredes internas, 3 demaos Áreas Privativas</v>
      </c>
      <c r="B157" s="10">
        <f ca="1">IF(OR(A157="",A157=0),"",LARGE($B$8:B156,1)+1)</f>
        <v>149</v>
      </c>
      <c r="C157" s="7"/>
      <c r="D157" s="279">
        <f ca="1">IF(A157="","",COUNTIF(Orçamento!P:P,A157))</f>
        <v>0</v>
      </c>
      <c r="E157" s="280" t="str">
        <f ca="1">IFERROR(IF(A157="","",_xlfn.XLOOKUP(A157,'ABC Serviços Apoio'!C:C,'ABC Serviços Apoio'!A:A)),"")</f>
        <v>Pintura com tinta latex acrilica, acabamento fosco em paredes internas, 3 demaos Áreas Privativas</v>
      </c>
      <c r="F157" s="281" t="str">
        <f ca="1">IFERROR(IF(A157="","",_xlfn.XLOOKUP(E157,Orçamento!Q:Q,Orçamento!T:T)),"")</f>
        <v>M2</v>
      </c>
      <c r="G157" s="282">
        <f ca="1">IFERROR(IF(A157="","",SUMIF(Orçamento!Q:Q,E157,Orçamento!X:X)),"")</f>
        <v>1534.4699999999998</v>
      </c>
      <c r="H157" s="283">
        <f ca="1">IFERROR(IF(A157="","",_xlfn.XLOOKUP(E157,Orçamento!Q:Q,Orçamento!Y:Y)),"")</f>
        <v>17.975370000000002</v>
      </c>
      <c r="I157" s="283">
        <f t="shared" ca="1" si="6"/>
        <v>27582.666003899998</v>
      </c>
      <c r="J157" s="284">
        <f t="shared" ca="1" si="7"/>
        <v>3.9569849150666815E-3</v>
      </c>
      <c r="K157" s="284">
        <f t="shared" ca="1" si="8"/>
        <v>0.5422560178918765</v>
      </c>
      <c r="M157" s="419"/>
    </row>
    <row r="158" spans="1:13" x14ac:dyDescent="0.2">
      <c r="A158" s="10" t="str">
        <f ca="1"/>
        <v>27336,631018846 - Armacao aco CA-50 ø 8.0mm para supraestrutura corte e dobra em indústria</v>
      </c>
      <c r="B158" s="10">
        <f ca="1">IF(OR(A158="",A158=0),"",LARGE($B$8:B157,1)+1)</f>
        <v>150</v>
      </c>
      <c r="C158" s="7"/>
      <c r="D158" s="279">
        <f ca="1">IF(A158="","",COUNTIF(Orçamento!P:P,A158))</f>
        <v>0</v>
      </c>
      <c r="E158" s="280" t="str">
        <f ca="1">IFERROR(IF(A158="","",_xlfn.XLOOKUP(A158,'ABC Serviços Apoio'!C:C,'ABC Serviços Apoio'!A:A)),"")</f>
        <v>Armacao aco CA-50 ø 8.0mm para supraestrutura corte e dobra em indústria</v>
      </c>
      <c r="F158" s="281" t="str">
        <f ca="1">IFERROR(IF(A158="","",_xlfn.XLOOKUP(E158,Orçamento!Q:Q,Orçamento!T:T)),"")</f>
        <v>KG</v>
      </c>
      <c r="G158" s="282">
        <f ca="1">IFERROR(IF(A158="","",SUMIF(Orçamento!Q:Q,E158,Orçamento!X:X)),"")</f>
        <v>3856.2422000000001</v>
      </c>
      <c r="H158" s="283">
        <f ca="1">IFERROR(IF(A158="","",_xlfn.XLOOKUP(E158,Orçamento!Q:Q,Orçamento!Y:Y)),"")</f>
        <v>7.0889300000000004</v>
      </c>
      <c r="I158" s="283">
        <f t="shared" ca="1" si="6"/>
        <v>27336.631018846001</v>
      </c>
      <c r="J158" s="284">
        <f t="shared" ca="1" si="7"/>
        <v>3.9216889533094067E-3</v>
      </c>
      <c r="K158" s="284">
        <f t="shared" ca="1" si="8"/>
        <v>0.54617770684518585</v>
      </c>
      <c r="M158" s="419"/>
    </row>
    <row r="159" spans="1:13" x14ac:dyDescent="0.2">
      <c r="A159" s="10" t="str">
        <f ca="1"/>
        <v>27000 - Despesas de consumo - Equipamentos de Escritório</v>
      </c>
      <c r="B159" s="10">
        <f ca="1">IF(OR(A159="",A159=0),"",LARGE($B$8:B158,1)+1)</f>
        <v>151</v>
      </c>
      <c r="C159" s="7"/>
      <c r="D159" s="279">
        <f ca="1">IF(A159="","",COUNTIF(Orçamento!P:P,A159))</f>
        <v>0</v>
      </c>
      <c r="E159" s="280" t="str">
        <f ca="1">IFERROR(IF(A159="","",_xlfn.XLOOKUP(A159,'ABC Serviços Apoio'!C:C,'ABC Serviços Apoio'!A:A)),"")</f>
        <v>Despesas de consumo - Equipamentos de Escritório</v>
      </c>
      <c r="F159" s="281" t="str">
        <f ca="1">IFERROR(IF(A159="","",_xlfn.XLOOKUP(E159,Orçamento!Q:Q,Orçamento!T:T)),"")</f>
        <v>VB</v>
      </c>
      <c r="G159" s="282">
        <f ca="1">IFERROR(IF(A159="","",SUMIF(Orçamento!Q:Q,E159,Orçamento!X:X)),"")</f>
        <v>1</v>
      </c>
      <c r="H159" s="283">
        <f ca="1">IFERROR(IF(A159="","",_xlfn.XLOOKUP(E159,Orçamento!Q:Q,Orçamento!Y:Y)),"")</f>
        <v>27000</v>
      </c>
      <c r="I159" s="283">
        <f t="shared" ca="1" si="6"/>
        <v>27000</v>
      </c>
      <c r="J159" s="284">
        <f t="shared" ca="1" si="7"/>
        <v>3.8733961645221007E-3</v>
      </c>
      <c r="K159" s="284">
        <f t="shared" ca="1" si="8"/>
        <v>0.55005110300970794</v>
      </c>
      <c r="M159" s="419"/>
    </row>
    <row r="160" spans="1:13" x14ac:dyDescent="0.2">
      <c r="A160" s="10" t="str">
        <f ca="1"/>
        <v>26970 - Instalacoes provisorias de canteiro - Baias, Almoxarifado e Escritório</v>
      </c>
      <c r="B160" s="10">
        <f ca="1">IF(OR(A160="",A160=0),"",LARGE($B$8:B159,1)+1)</f>
        <v>152</v>
      </c>
      <c r="C160" s="7"/>
      <c r="D160" s="279">
        <f ca="1">IF(A160="","",COUNTIF(Orçamento!P:P,A160))</f>
        <v>0</v>
      </c>
      <c r="E160" s="280" t="str">
        <f ca="1">IFERROR(IF(A160="","",_xlfn.XLOOKUP(A160,'ABC Serviços Apoio'!C:C,'ABC Serviços Apoio'!A:A)),"")</f>
        <v>Instalacoes provisorias de canteiro - Baias, Almoxarifado e Escritório</v>
      </c>
      <c r="F160" s="281" t="str">
        <f ca="1">IFERROR(IF(A160="","",_xlfn.XLOOKUP(E160,Orçamento!Q:Q,Orçamento!T:T)),"")</f>
        <v>VB</v>
      </c>
      <c r="G160" s="282">
        <f ca="1">IFERROR(IF(A160="","",SUMIF(Orçamento!Q:Q,E160,Orçamento!X:X)),"")</f>
        <v>1</v>
      </c>
      <c r="H160" s="283">
        <f ca="1">IFERROR(IF(A160="","",_xlfn.XLOOKUP(E160,Orçamento!Q:Q,Orçamento!Y:Y)),"")</f>
        <v>26970</v>
      </c>
      <c r="I160" s="283">
        <f t="shared" ca="1" si="6"/>
        <v>26970</v>
      </c>
      <c r="J160" s="284">
        <f t="shared" ca="1" si="7"/>
        <v>3.8690923910059652E-3</v>
      </c>
      <c r="K160" s="284">
        <f t="shared" ca="1" si="8"/>
        <v>0.55392019540071391</v>
      </c>
      <c r="M160" s="419"/>
    </row>
    <row r="161" spans="1:13" x14ac:dyDescent="0.2">
      <c r="A161" s="10" t="str">
        <f ca="1"/>
        <v>26939,0282 - Mao de obra para impermeabilizacao com argamassa polimerica</v>
      </c>
      <c r="B161" s="10">
        <f ca="1">IF(OR(A161="",A161=0),"",LARGE($B$8:B160,1)+1)</f>
        <v>153</v>
      </c>
      <c r="C161" s="7"/>
      <c r="D161" s="279">
        <f ca="1">IF(A161="","",COUNTIF(Orçamento!P:P,A161))</f>
        <v>0</v>
      </c>
      <c r="E161" s="280" t="str">
        <f ca="1">IFERROR(IF(A161="","",_xlfn.XLOOKUP(A161,'ABC Serviços Apoio'!C:C,'ABC Serviços Apoio'!A:A)),"")</f>
        <v>Mao de obra para impermeabilizacao com argamassa polimerica</v>
      </c>
      <c r="F161" s="281" t="str">
        <f ca="1">IFERROR(IF(A161="","",_xlfn.XLOOKUP(E161,Orçamento!Q:Q,Orçamento!T:T)),"")</f>
        <v>M2</v>
      </c>
      <c r="G161" s="282">
        <f ca="1">IFERROR(IF(A161="","",SUMIF(Orçamento!Q:Q,E161,Orçamento!X:X)),"")</f>
        <v>798.43</v>
      </c>
      <c r="H161" s="283">
        <f ca="1">IFERROR(IF(A161="","",_xlfn.XLOOKUP(E161,Orçamento!Q:Q,Orçamento!Y:Y)),"")</f>
        <v>33.74</v>
      </c>
      <c r="I161" s="283">
        <f t="shared" ca="1" si="6"/>
        <v>26939.028200000001</v>
      </c>
      <c r="J161" s="284">
        <f t="shared" ca="1" si="7"/>
        <v>3.86464920391973E-3</v>
      </c>
      <c r="K161" s="284">
        <f t="shared" ca="1" si="8"/>
        <v>0.55778484460463362</v>
      </c>
      <c r="M161" s="419"/>
    </row>
    <row r="162" spans="1:13" x14ac:dyDescent="0.2">
      <c r="A162" s="10" t="str">
        <f ca="1"/>
        <v>2643,17 - Esquadrias Metálicas - Gradil Entrada - fornecimento e instalacao</v>
      </c>
      <c r="B162" s="10">
        <f ca="1">IF(OR(A162="",A162=0),"",LARGE($B$8:B161,1)+1)</f>
        <v>154</v>
      </c>
      <c r="C162" s="7"/>
      <c r="D162" s="279">
        <f ca="1">IF(A162="","",COUNTIF(Orçamento!P:P,A162))</f>
        <v>0</v>
      </c>
      <c r="E162" s="280" t="str">
        <f ca="1">IFERROR(IF(A162="","",_xlfn.XLOOKUP(A162,'ABC Serviços Apoio'!C:C,'ABC Serviços Apoio'!A:A)),"")</f>
        <v>Esquadrias Metálicas - Gradil Entrada - fornecimento e instalacao</v>
      </c>
      <c r="F162" s="281" t="str">
        <f ca="1">IFERROR(IF(A162="","",_xlfn.XLOOKUP(E162,Orçamento!Q:Q,Orçamento!T:T)),"")</f>
        <v>M2</v>
      </c>
      <c r="G162" s="282">
        <f ca="1">IFERROR(IF(A162="","",SUMIF(Orçamento!Q:Q,E162,Orçamento!X:X)),"")</f>
        <v>6.2099999999999991</v>
      </c>
      <c r="H162" s="283">
        <f ca="1">IFERROR(IF(A162="","",_xlfn.XLOOKUP(E162,Orçamento!Q:Q,Orçamento!Y:Y)),"")</f>
        <v>425.63123993558781</v>
      </c>
      <c r="I162" s="283">
        <f t="shared" ca="1" si="6"/>
        <v>2643.17</v>
      </c>
      <c r="J162" s="284">
        <f t="shared" ca="1" si="7"/>
        <v>3.7918683482147708E-4</v>
      </c>
      <c r="K162" s="284">
        <f t="shared" ca="1" si="8"/>
        <v>0.55816403143945514</v>
      </c>
      <c r="M162" s="419"/>
    </row>
    <row r="163" spans="1:13" x14ac:dyDescent="0.2">
      <c r="A163" s="10" t="str">
        <f ca="1"/>
        <v>2639,21622630767 - Instalacoes de Aguas Pluviais - Térreo</v>
      </c>
      <c r="B163" s="10">
        <f ca="1">IF(OR(A163="",A163=0),"",LARGE($B$8:B162,1)+1)</f>
        <v>155</v>
      </c>
      <c r="C163" s="7"/>
      <c r="D163" s="279">
        <f ca="1">IF(A163="","",COUNTIF(Orçamento!P:P,A163))</f>
        <v>0</v>
      </c>
      <c r="E163" s="280" t="str">
        <f ca="1">IFERROR(IF(A163="","",_xlfn.XLOOKUP(A163,'ABC Serviços Apoio'!C:C,'ABC Serviços Apoio'!A:A)),"")</f>
        <v>Instalacoes de Aguas Pluviais - Térreo</v>
      </c>
      <c r="F163" s="281" t="str">
        <f ca="1">IFERROR(IF(A163="","",_xlfn.XLOOKUP(E163,Orçamento!Q:Q,Orçamento!T:T)),"")</f>
        <v>VB</v>
      </c>
      <c r="G163" s="282">
        <f ca="1">IFERROR(IF(A163="","",SUMIF(Orçamento!Q:Q,E163,Orçamento!X:X)),"")</f>
        <v>1</v>
      </c>
      <c r="H163" s="283">
        <f ca="1">IFERROR(IF(A163="","",_xlfn.XLOOKUP(E163,Orçamento!Q:Q,Orçamento!Y:Y)),"")</f>
        <v>2639.2162263076693</v>
      </c>
      <c r="I163" s="283">
        <f t="shared" ca="1" si="6"/>
        <v>2639.2162263076693</v>
      </c>
      <c r="J163" s="284">
        <f t="shared" ca="1" si="7"/>
        <v>3.7861962993794882E-4</v>
      </c>
      <c r="K163" s="284">
        <f t="shared" ca="1" si="8"/>
        <v>0.55854265106939305</v>
      </c>
      <c r="M163" s="419"/>
    </row>
    <row r="164" spans="1:13" x14ac:dyDescent="0.2">
      <c r="A164" s="10" t="str">
        <f ca="1"/>
        <v>2610,98838 - Revestimento interno de Rodapé Cerâmico h=0,30cm</v>
      </c>
      <c r="B164" s="10">
        <f ca="1">IF(OR(A164="",A164=0),"",LARGE($B$8:B163,1)+1)</f>
        <v>156</v>
      </c>
      <c r="C164" s="7"/>
      <c r="D164" s="279">
        <f ca="1">IF(A164="","",COUNTIF(Orçamento!P:P,A164))</f>
        <v>0</v>
      </c>
      <c r="E164" s="280" t="str">
        <f ca="1">IFERROR(IF(A164="","",_xlfn.XLOOKUP(A164,'ABC Serviços Apoio'!C:C,'ABC Serviços Apoio'!A:A)),"")</f>
        <v>Revestimento interno de Rodapé Cerâmico h=0,30cm</v>
      </c>
      <c r="F164" s="281" t="str">
        <f ca="1">IFERROR(IF(A164="","",_xlfn.XLOOKUP(E164,Orçamento!Q:Q,Orçamento!T:T)),"")</f>
        <v>M</v>
      </c>
      <c r="G164" s="282">
        <f ca="1">IFERROR(IF(A164="","",SUMIF(Orçamento!Q:Q,E164,Orçamento!X:X)),"")</f>
        <v>148.28</v>
      </c>
      <c r="H164" s="283">
        <f ca="1">IFERROR(IF(A164="","",_xlfn.XLOOKUP(E164,Orçamento!Q:Q,Orçamento!Y:Y)),"")</f>
        <v>17.608499999999999</v>
      </c>
      <c r="I164" s="283">
        <f t="shared" ca="1" si="6"/>
        <v>2610.9883799999998</v>
      </c>
      <c r="J164" s="284">
        <f t="shared" ca="1" si="7"/>
        <v>3.7457008802606562E-4</v>
      </c>
      <c r="K164" s="284">
        <f t="shared" ca="1" si="8"/>
        <v>0.55891722115741915</v>
      </c>
      <c r="M164" s="419"/>
    </row>
    <row r="165" spans="1:13" x14ac:dyDescent="0.2">
      <c r="A165" s="10" t="str">
        <f ca="1"/>
        <v>26088,4621928 - Rodape de poliestireno 10cm</v>
      </c>
      <c r="B165" s="10">
        <f ca="1">IF(OR(A165="",A165=0),"",LARGE($B$8:B164,1)+1)</f>
        <v>157</v>
      </c>
      <c r="C165" s="7"/>
      <c r="D165" s="279">
        <f ca="1">IF(A165="","",COUNTIF(Orçamento!P:P,A165))</f>
        <v>0</v>
      </c>
      <c r="E165" s="280" t="str">
        <f ca="1">IFERROR(IF(A165="","",_xlfn.XLOOKUP(A165,'ABC Serviços Apoio'!C:C,'ABC Serviços Apoio'!A:A)),"")</f>
        <v>Rodape de poliestireno 10cm</v>
      </c>
      <c r="F165" s="281" t="str">
        <f ca="1">IFERROR(IF(A165="","",_xlfn.XLOOKUP(E165,Orçamento!Q:Q,Orçamento!T:T)),"")</f>
        <v>M</v>
      </c>
      <c r="G165" s="282">
        <f ca="1">IFERROR(IF(A165="","",SUMIF(Orçamento!Q:Q,E165,Orçamento!X:X)),"")</f>
        <v>559.41999999999996</v>
      </c>
      <c r="H165" s="283">
        <f ca="1">IFERROR(IF(A165="","",_xlfn.XLOOKUP(E165,Orçamento!Q:Q,Orçamento!Y:Y)),"")</f>
        <v>46.634840000000011</v>
      </c>
      <c r="I165" s="283">
        <f t="shared" ca="1" si="6"/>
        <v>26088.462192800005</v>
      </c>
      <c r="J165" s="284">
        <f t="shared" ca="1" si="7"/>
        <v>3.7426277554026433E-3</v>
      </c>
      <c r="K165" s="284">
        <f t="shared" ca="1" si="8"/>
        <v>0.56265984891282184</v>
      </c>
      <c r="M165" s="419"/>
    </row>
    <row r="166" spans="1:13" x14ac:dyDescent="0.2">
      <c r="A166" s="10" t="str">
        <f ca="1"/>
        <v>25899,1138076 - Armacao aco CA-50 ø 12.5mm para supraestrutura corte e dobra em indústria</v>
      </c>
      <c r="B166" s="10">
        <f ca="1">IF(OR(A166="",A166=0),"",LARGE($B$8:B165,1)+1)</f>
        <v>158</v>
      </c>
      <c r="C166" s="7"/>
      <c r="D166" s="279">
        <f ca="1">IF(A166="","",COUNTIF(Orçamento!P:P,A166))</f>
        <v>0</v>
      </c>
      <c r="E166" s="280" t="str">
        <f ca="1">IFERROR(IF(A166="","",_xlfn.XLOOKUP(A166,'ABC Serviços Apoio'!C:C,'ABC Serviços Apoio'!A:A)),"")</f>
        <v>Armacao aco CA-50 ø 12.5mm para supraestrutura corte e dobra em indústria</v>
      </c>
      <c r="F166" s="281" t="str">
        <f ca="1">IFERROR(IF(A166="","",_xlfn.XLOOKUP(E166,Orçamento!Q:Q,Orçamento!T:T)),"")</f>
        <v>KG</v>
      </c>
      <c r="G166" s="282">
        <f ca="1">IFERROR(IF(A166="","",SUMIF(Orçamento!Q:Q,E166,Orçamento!X:X)),"")</f>
        <v>4084.28</v>
      </c>
      <c r="H166" s="283">
        <f ca="1">IFERROR(IF(A166="","",_xlfn.XLOOKUP(E166,Orçamento!Q:Q,Orçamento!Y:Y)),"")</f>
        <v>6.3411700000000009</v>
      </c>
      <c r="I166" s="283">
        <f t="shared" ca="1" si="6"/>
        <v>25899.113807600006</v>
      </c>
      <c r="J166" s="284">
        <f t="shared" ca="1" si="7"/>
        <v>3.7154640032177498E-3</v>
      </c>
      <c r="K166" s="284">
        <f t="shared" ca="1" si="8"/>
        <v>0.5663753129160396</v>
      </c>
      <c r="M166" s="419"/>
    </row>
    <row r="167" spans="1:13" x14ac:dyDescent="0.2">
      <c r="A167" s="10" t="str">
        <f ca="1"/>
        <v>2588,57328034423 - Taxa de Aprovação de Projetos (Elétrico)</v>
      </c>
      <c r="B167" s="10">
        <f ca="1">IF(OR(A167="",A167=0),"",LARGE($B$8:B166,1)+1)</f>
        <v>159</v>
      </c>
      <c r="C167" s="7"/>
      <c r="D167" s="279">
        <f ca="1">IF(A167="","",COUNTIF(Orçamento!P:P,A167))</f>
        <v>0</v>
      </c>
      <c r="E167" s="280" t="str">
        <f ca="1">IFERROR(IF(A167="","",_xlfn.XLOOKUP(A167,'ABC Serviços Apoio'!C:C,'ABC Serviços Apoio'!A:A)),"")</f>
        <v>Taxa de Aprovação de Projetos (Elétrico)</v>
      </c>
      <c r="F167" s="281" t="str">
        <f ca="1">IFERROR(IF(A167="","",_xlfn.XLOOKUP(E167,Orçamento!Q:Q,Orçamento!T:T)),"")</f>
        <v>VB</v>
      </c>
      <c r="G167" s="282">
        <f ca="1">IFERROR(IF(A167="","",SUMIF(Orçamento!Q:Q,E167,Orçamento!X:X)),"")</f>
        <v>1</v>
      </c>
      <c r="H167" s="283">
        <f ca="1">IFERROR(IF(A167="","",_xlfn.XLOOKUP(E167,Orçamento!Q:Q,Orçamento!Y:Y)),"")</f>
        <v>2588.5732803442297</v>
      </c>
      <c r="I167" s="283">
        <f t="shared" ca="1" si="6"/>
        <v>2588.5732803442297</v>
      </c>
      <c r="J167" s="284">
        <f t="shared" ca="1" si="7"/>
        <v>3.7135443761739746E-4</v>
      </c>
      <c r="K167" s="284">
        <f t="shared" ca="1" si="8"/>
        <v>0.56674666735365697</v>
      </c>
      <c r="M167" s="419"/>
    </row>
    <row r="168" spans="1:13" x14ac:dyDescent="0.2">
      <c r="A168" s="10" t="str">
        <f ca="1"/>
        <v>2584,16917515912 - Quadros e Disjuntores - Pavimento Técnico</v>
      </c>
      <c r="B168" s="10">
        <f ca="1">IF(OR(A168="",A168=0),"",LARGE($B$8:B167,1)+1)</f>
        <v>160</v>
      </c>
      <c r="C168" s="7"/>
      <c r="D168" s="279">
        <f ca="1">IF(A168="","",COUNTIF(Orçamento!P:P,A168))</f>
        <v>0</v>
      </c>
      <c r="E168" s="280" t="str">
        <f ca="1">IFERROR(IF(A168="","",_xlfn.XLOOKUP(A168,'ABC Serviços Apoio'!C:C,'ABC Serviços Apoio'!A:A)),"")</f>
        <v>Quadros e Disjuntores - Pavimento Técnico</v>
      </c>
      <c r="F168" s="281" t="str">
        <f ca="1">IFERROR(IF(A168="","",_xlfn.XLOOKUP(E168,Orçamento!Q:Q,Orçamento!T:T)),"")</f>
        <v>VB</v>
      </c>
      <c r="G168" s="282">
        <f ca="1">IFERROR(IF(A168="","",SUMIF(Orçamento!Q:Q,E168,Orçamento!X:X)),"")</f>
        <v>1</v>
      </c>
      <c r="H168" s="283">
        <f ca="1">IFERROR(IF(A168="","",_xlfn.XLOOKUP(E168,Orçamento!Q:Q,Orçamento!Y:Y)),"")</f>
        <v>2584.1691751591188</v>
      </c>
      <c r="I168" s="283">
        <f t="shared" ca="1" si="6"/>
        <v>2584.1691751591188</v>
      </c>
      <c r="J168" s="284">
        <f t="shared" ca="1" si="7"/>
        <v>3.7072262857546558E-4</v>
      </c>
      <c r="K168" s="284">
        <f t="shared" ca="1" si="8"/>
        <v>0.56711738998223249</v>
      </c>
      <c r="M168" s="419"/>
    </row>
    <row r="169" spans="1:13" x14ac:dyDescent="0.2">
      <c r="A169" s="10" t="str">
        <f ca="1"/>
        <v>2528,23362556625 - Taxa de Habite-se</v>
      </c>
      <c r="B169" s="10">
        <f ca="1">IF(OR(A169="",A169=0),"",LARGE($B$8:B168,1)+1)</f>
        <v>161</v>
      </c>
      <c r="C169" s="7"/>
      <c r="D169" s="279">
        <f ca="1">IF(A169="","",COUNTIF(Orçamento!P:P,A169))</f>
        <v>0</v>
      </c>
      <c r="E169" s="280" t="str">
        <f ca="1">IFERROR(IF(A169="","",_xlfn.XLOOKUP(A169,'ABC Serviços Apoio'!C:C,'ABC Serviços Apoio'!A:A)),"")</f>
        <v>Taxa de Habite-se</v>
      </c>
      <c r="F169" s="281" t="str">
        <f ca="1">IFERROR(IF(A169="","",_xlfn.XLOOKUP(E169,Orçamento!Q:Q,Orçamento!T:T)),"")</f>
        <v>VB</v>
      </c>
      <c r="G169" s="282">
        <f ca="1">IFERROR(IF(A169="","",SUMIF(Orçamento!Q:Q,E169,Orçamento!X:X)),"")</f>
        <v>1</v>
      </c>
      <c r="H169" s="283">
        <f ca="1">IFERROR(IF(A169="","",_xlfn.XLOOKUP(E169,Orçamento!Q:Q,Orçamento!Y:Y)),"")</f>
        <v>2528.2336255662462</v>
      </c>
      <c r="I169" s="283">
        <f t="shared" ca="1" si="6"/>
        <v>2528.2336255662462</v>
      </c>
      <c r="J169" s="284">
        <f t="shared" ca="1" si="7"/>
        <v>3.6269816401052234E-4</v>
      </c>
      <c r="K169" s="284">
        <f t="shared" ca="1" si="8"/>
        <v>0.56748008814624307</v>
      </c>
      <c r="M169" s="419"/>
    </row>
    <row r="170" spans="1:13" x14ac:dyDescent="0.2">
      <c r="A170" s="10" t="str">
        <f ca="1"/>
        <v>25192,9078086 - Verga/contraverga de concreto, moldada in loco</v>
      </c>
      <c r="B170" s="10">
        <f ca="1">IF(OR(A170="",A170=0),"",LARGE($B$8:B169,1)+1)</f>
        <v>162</v>
      </c>
      <c r="C170" s="7"/>
      <c r="D170" s="279">
        <f ca="1">IF(A170="","",COUNTIF(Orçamento!P:P,A170))</f>
        <v>0</v>
      </c>
      <c r="E170" s="280" t="str">
        <f ca="1">IFERROR(IF(A170="","",_xlfn.XLOOKUP(A170,'ABC Serviços Apoio'!C:C,'ABC Serviços Apoio'!A:A)),"")</f>
        <v>Verga/contraverga de concreto, moldada in loco</v>
      </c>
      <c r="F170" s="281" t="str">
        <f ca="1">IFERROR(IF(A170="","",_xlfn.XLOOKUP(E170,Orçamento!Q:Q,Orçamento!T:T)),"")</f>
        <v>M</v>
      </c>
      <c r="G170" s="282">
        <f ca="1">IFERROR(IF(A170="","",SUMIF(Orçamento!Q:Q,E170,Orçamento!X:X)),"")</f>
        <v>561.18999999999994</v>
      </c>
      <c r="H170" s="283">
        <f ca="1">IFERROR(IF(A170="","",_xlfn.XLOOKUP(E170,Orçamento!Q:Q,Orçamento!Y:Y)),"")</f>
        <v>44.891940000000005</v>
      </c>
      <c r="I170" s="283">
        <f t="shared" ca="1" si="6"/>
        <v>25192.907808600001</v>
      </c>
      <c r="J170" s="284">
        <f t="shared" ca="1" si="7"/>
        <v>3.614152314036671E-3</v>
      </c>
      <c r="K170" s="284">
        <f t="shared" ca="1" si="8"/>
        <v>0.57109424046027979</v>
      </c>
      <c r="M170" s="419"/>
    </row>
    <row r="171" spans="1:13" x14ac:dyDescent="0.2">
      <c r="A171" s="10" t="str">
        <f ca="1"/>
        <v>24616,04628626 - Pintura com tinta latex acrilica, acabamento fosco em teto, 3 demaos</v>
      </c>
      <c r="B171" s="10">
        <f ca="1">IF(OR(A171="",A171=0),"",LARGE($B$8:B170,1)+1)</f>
        <v>163</v>
      </c>
      <c r="C171" s="7"/>
      <c r="D171" s="279">
        <f ca="1">IF(A171="","",COUNTIF(Orçamento!P:P,A171))</f>
        <v>0</v>
      </c>
      <c r="E171" s="280" t="str">
        <f ca="1">IFERROR(IF(A171="","",_xlfn.XLOOKUP(A171,'ABC Serviços Apoio'!C:C,'ABC Serviços Apoio'!A:A)),"")</f>
        <v>Pintura com tinta latex acrilica, acabamento fosco em teto, 3 demaos</v>
      </c>
      <c r="F171" s="281" t="str">
        <f ca="1">IFERROR(IF(A171="","",_xlfn.XLOOKUP(E171,Orçamento!Q:Q,Orçamento!T:T)),"")</f>
        <v>M2</v>
      </c>
      <c r="G171" s="282">
        <f ca="1">IFERROR(IF(A171="","",SUMIF(Orçamento!Q:Q,E171,Orçamento!X:X)),"")</f>
        <v>1560.13</v>
      </c>
      <c r="H171" s="283">
        <f ca="1">IFERROR(IF(A171="","",_xlfn.XLOOKUP(E171,Orçamento!Q:Q,Orçamento!Y:Y)),"")</f>
        <v>15.778202000000002</v>
      </c>
      <c r="I171" s="283">
        <f t="shared" ca="1" si="6"/>
        <v>24616.046286260003</v>
      </c>
      <c r="J171" s="284">
        <f t="shared" ca="1" si="7"/>
        <v>3.5313962692925184E-3</v>
      </c>
      <c r="K171" s="284">
        <f t="shared" ca="1" si="8"/>
        <v>0.57462563672957234</v>
      </c>
      <c r="M171" s="419"/>
    </row>
    <row r="172" spans="1:13" x14ac:dyDescent="0.2">
      <c r="A172" s="10" t="str">
        <f ca="1"/>
        <v>24478,422296152 - Fabricação de fôrma para Escadas em chapa de madeira compensada plastificada e=14 mm - 2 jogos</v>
      </c>
      <c r="B172" s="10">
        <f ca="1">IF(OR(A172="",A172=0),"",LARGE($B$8:B171,1)+1)</f>
        <v>164</v>
      </c>
      <c r="C172" s="7"/>
      <c r="D172" s="279">
        <f ca="1">IF(A172="","",COUNTIF(Orçamento!P:P,A172))</f>
        <v>0</v>
      </c>
      <c r="E172" s="280" t="str">
        <f ca="1">IFERROR(IF(A172="","",_xlfn.XLOOKUP(A172,'ABC Serviços Apoio'!C:C,'ABC Serviços Apoio'!A:A)),"")</f>
        <v>Fabricação de fôrma para Escadas em chapa de madeira compensada plastificada e=14 mm - 2 jogos</v>
      </c>
      <c r="F172" s="281" t="str">
        <f ca="1">IFERROR(IF(A172="","",_xlfn.XLOOKUP(E172,Orçamento!Q:Q,Orçamento!T:T)),"")</f>
        <v>M2</v>
      </c>
      <c r="G172" s="282">
        <f ca="1">IFERROR(IF(A172="","",SUMIF(Orçamento!Q:Q,E172,Orçamento!X:X)),"")</f>
        <v>130.92838</v>
      </c>
      <c r="H172" s="283">
        <f ca="1">IFERROR(IF(A172="","",_xlfn.XLOOKUP(E172,Orçamento!Q:Q,Orçamento!Y:Y)),"")</f>
        <v>186.96039999999999</v>
      </c>
      <c r="I172" s="283">
        <f t="shared" ca="1" si="6"/>
        <v>24478.422296151999</v>
      </c>
      <c r="J172" s="284">
        <f t="shared" ca="1" si="7"/>
        <v>3.5116528531654602E-3</v>
      </c>
      <c r="K172" s="284">
        <f t="shared" ca="1" si="8"/>
        <v>0.5781372895827378</v>
      </c>
      <c r="M172" s="419"/>
    </row>
    <row r="173" spans="1:13" x14ac:dyDescent="0.2">
      <c r="A173" s="10" t="str">
        <f ca="1"/>
        <v>24258,9525571442 - Eletrodutos e Eletrocalhas - Tipo (x5)</v>
      </c>
      <c r="B173" s="10">
        <f ca="1">IF(OR(A173="",A173=0),"",LARGE($B$8:B172,1)+1)</f>
        <v>165</v>
      </c>
      <c r="C173" s="7"/>
      <c r="D173" s="279">
        <f ca="1">IF(A173="","",COUNTIF(Orçamento!P:P,A173))</f>
        <v>0</v>
      </c>
      <c r="E173" s="280" t="str">
        <f ca="1">IFERROR(IF(A173="","",_xlfn.XLOOKUP(A173,'ABC Serviços Apoio'!C:C,'ABC Serviços Apoio'!A:A)),"")</f>
        <v>Eletrodutos e Eletrocalhas - Tipo (x5)</v>
      </c>
      <c r="F173" s="281" t="str">
        <f ca="1">IFERROR(IF(A173="","",_xlfn.XLOOKUP(E173,Orçamento!Q:Q,Orçamento!T:T)),"")</f>
        <v>VB</v>
      </c>
      <c r="G173" s="282">
        <f ca="1">IFERROR(IF(A173="","",SUMIF(Orçamento!Q:Q,E173,Orçamento!X:X)),"")</f>
        <v>1</v>
      </c>
      <c r="H173" s="283">
        <f ca="1">IFERROR(IF(A173="","",_xlfn.XLOOKUP(E173,Orçamento!Q:Q,Orçamento!Y:Y)),"")</f>
        <v>24258.952557144221</v>
      </c>
      <c r="I173" s="283">
        <f t="shared" ca="1" si="6"/>
        <v>24258.952557144221</v>
      </c>
      <c r="J173" s="284">
        <f t="shared" ca="1" si="7"/>
        <v>3.4801679181542975E-3</v>
      </c>
      <c r="K173" s="284">
        <f t="shared" ca="1" si="8"/>
        <v>0.58161745750089211</v>
      </c>
      <c r="M173" s="419"/>
    </row>
    <row r="174" spans="1:13" x14ac:dyDescent="0.2">
      <c r="A174" s="10" t="str">
        <f ca="1"/>
        <v>24150 - Mao de obra para fixacao de Telhados</v>
      </c>
      <c r="B174" s="10">
        <f ca="1">IF(OR(A174="",A174=0),"",LARGE($B$8:B173,1)+1)</f>
        <v>166</v>
      </c>
      <c r="C174" s="7"/>
      <c r="D174" s="279">
        <f ca="1">IF(A174="","",COUNTIF(Orçamento!P:P,A174))</f>
        <v>0</v>
      </c>
      <c r="E174" s="280" t="str">
        <f ca="1">IFERROR(IF(A174="","",_xlfn.XLOOKUP(A174,'ABC Serviços Apoio'!C:C,'ABC Serviços Apoio'!A:A)),"")</f>
        <v>Mao de obra para fixacao de Telhados</v>
      </c>
      <c r="F174" s="281" t="str">
        <f ca="1">IFERROR(IF(A174="","",_xlfn.XLOOKUP(E174,Orçamento!Q:Q,Orçamento!T:T)),"")</f>
        <v>M2</v>
      </c>
      <c r="G174" s="282">
        <f ca="1">IFERROR(IF(A174="","",SUMIF(Orçamento!Q:Q,E174,Orçamento!X:X)),"")</f>
        <v>65.67</v>
      </c>
      <c r="H174" s="283">
        <f ca="1">IFERROR(IF(A174="","",_xlfn.XLOOKUP(E174,Orçamento!Q:Q,Orçamento!Y:Y)),"")</f>
        <v>367.74783005938787</v>
      </c>
      <c r="I174" s="283">
        <f t="shared" ca="1" si="6"/>
        <v>24150</v>
      </c>
      <c r="J174" s="284">
        <f t="shared" ca="1" si="7"/>
        <v>3.4645376804892125E-3</v>
      </c>
      <c r="K174" s="284">
        <f t="shared" ca="1" si="8"/>
        <v>0.58508199518138138</v>
      </c>
      <c r="M174" s="419"/>
    </row>
    <row r="175" spans="1:13" x14ac:dyDescent="0.2">
      <c r="A175" s="10" t="str">
        <f ca="1"/>
        <v>2415,53720193629 - Manutencao para Equipamentos proprios - Mini Grua</v>
      </c>
      <c r="B175" s="10">
        <f ca="1">IF(OR(A175="",A175=0),"",LARGE($B$8:B174,1)+1)</f>
        <v>167</v>
      </c>
      <c r="C175" s="7"/>
      <c r="D175" s="279">
        <f ca="1">IF(A175="","",COUNTIF(Orçamento!P:P,A175))</f>
        <v>0</v>
      </c>
      <c r="E175" s="280" t="str">
        <f ca="1">IFERROR(IF(A175="","",_xlfn.XLOOKUP(A175,'ABC Serviços Apoio'!C:C,'ABC Serviços Apoio'!A:A)),"")</f>
        <v>Manutencao para Equipamentos proprios - Mini Grua</v>
      </c>
      <c r="F175" s="281" t="str">
        <f ca="1">IFERROR(IF(A175="","",_xlfn.XLOOKUP(E175,Orçamento!Q:Q,Orçamento!T:T)),"")</f>
        <v>MES</v>
      </c>
      <c r="G175" s="282">
        <f ca="1">IFERROR(IF(A175="","",SUMIF(Orçamento!Q:Q,E175,Orçamento!X:X)),"")</f>
        <v>8</v>
      </c>
      <c r="H175" s="283">
        <f ca="1">IFERROR(IF(A175="","",_xlfn.XLOOKUP(E175,Orçamento!Q:Q,Orçamento!Y:Y)),"")</f>
        <v>301.94215024203669</v>
      </c>
      <c r="I175" s="283">
        <f t="shared" ca="1" si="6"/>
        <v>2415.5372019362935</v>
      </c>
      <c r="J175" s="284">
        <f t="shared" ca="1" si="7"/>
        <v>3.4653083456446246E-4</v>
      </c>
      <c r="K175" s="284">
        <f t="shared" ca="1" si="8"/>
        <v>0.58542852601594586</v>
      </c>
      <c r="M175" s="419"/>
    </row>
    <row r="176" spans="1:13" x14ac:dyDescent="0.2">
      <c r="A176" s="10" t="str">
        <f ca="1"/>
        <v>2415,3132812 - Montagem E Desmontagem De Fôrma De Laje Nervurada Com Cubeta E Assoalho, Pé-Direito Simples, Em Chapa De Madeira Compensada Resinada, 8 Utilizações. Af_09/2020</v>
      </c>
      <c r="B176" s="10">
        <f ca="1">IF(OR(A176="",A176=0),"",LARGE($B$8:B175,1)+1)</f>
        <v>168</v>
      </c>
      <c r="C176" s="7"/>
      <c r="D176" s="279">
        <f ca="1">IF(A176="","",COUNTIF(Orçamento!P:P,A176))</f>
        <v>0</v>
      </c>
      <c r="E176" s="280" t="str">
        <f ca="1">IFERROR(IF(A176="","",_xlfn.XLOOKUP(A176,'ABC Serviços Apoio'!C:C,'ABC Serviços Apoio'!A:A)),"")</f>
        <v>Montagem E Desmontagem De Fôrma De Laje Nervurada Com Cubeta E Assoalho, Pé-Direito Simples, Em Chapa De Madeira Compensada Resinada, 8 Utilizações. Af_09/2020</v>
      </c>
      <c r="F176" s="281" t="str">
        <f ca="1">IFERROR(IF(A176="","",_xlfn.XLOOKUP(E176,Orçamento!Q:Q,Orçamento!T:T)),"")</f>
        <v>M2</v>
      </c>
      <c r="G176" s="282">
        <f ca="1">IFERROR(IF(A176="","",SUMIF(Orçamento!Q:Q,E176,Orçamento!X:X)),"")</f>
        <v>1457.1850000000002</v>
      </c>
      <c r="H176" s="283">
        <f ca="1">IFERROR(IF(A176="","",_xlfn.XLOOKUP(E176,Orçamento!Q:Q,Orçamento!Y:Y)),"")</f>
        <v>1.6575200000000001</v>
      </c>
      <c r="I176" s="283">
        <f t="shared" ca="1" si="6"/>
        <v>2415.3132812000003</v>
      </c>
      <c r="J176" s="284">
        <f t="shared" ca="1" si="7"/>
        <v>3.4649871109331004E-4</v>
      </c>
      <c r="K176" s="284">
        <f t="shared" ca="1" si="8"/>
        <v>0.58577502472703913</v>
      </c>
      <c r="M176" s="419"/>
    </row>
    <row r="177" spans="1:13" x14ac:dyDescent="0.2">
      <c r="A177" s="10" t="str">
        <f ca="1"/>
        <v>240263,183429646 - Concreto usinado bombeavel para supraestrutura Fck 35MPa com Brita 0 SLUMP = 12 +/- 2 incluindo servico de bombeamento</v>
      </c>
      <c r="B177" s="10">
        <f ca="1">IF(OR(A177="",A177=0),"",LARGE($B$8:B176,1)+1)</f>
        <v>169</v>
      </c>
      <c r="C177" s="7"/>
      <c r="D177" s="279">
        <f ca="1">IF(A177="","",COUNTIF(Orçamento!P:P,A177))</f>
        <v>0</v>
      </c>
      <c r="E177" s="280" t="str">
        <f ca="1">IFERROR(IF(A177="","",_xlfn.XLOOKUP(A177,'ABC Serviços Apoio'!C:C,'ABC Serviços Apoio'!A:A)),"")</f>
        <v>Concreto usinado bombeavel para supraestrutura Fck 35MPa com Brita 0 SLUMP = 12 +/- 2 incluindo servico de bombeamento</v>
      </c>
      <c r="F177" s="281" t="str">
        <f ca="1">IFERROR(IF(A177="","",_xlfn.XLOOKUP(E177,Orçamento!Q:Q,Orçamento!T:T)),"")</f>
        <v>M3</v>
      </c>
      <c r="G177" s="282">
        <f ca="1">IFERROR(IF(A177="","",SUMIF(Orçamento!Q:Q,E177,Orçamento!X:X)),"")</f>
        <v>470.87161526</v>
      </c>
      <c r="H177" s="283">
        <f ca="1">IFERROR(IF(A177="","",_xlfn.XLOOKUP(E177,Orçamento!Q:Q,Orçamento!Y:Y)),"")</f>
        <v>510.25200000000001</v>
      </c>
      <c r="I177" s="283">
        <f t="shared" ca="1" si="6"/>
        <v>240263.18342964552</v>
      </c>
      <c r="J177" s="284">
        <f t="shared" ca="1" si="7"/>
        <v>3.4467944191565146E-2</v>
      </c>
      <c r="K177" s="284">
        <f t="shared" ca="1" si="8"/>
        <v>0.62024296891860431</v>
      </c>
      <c r="M177" s="419"/>
    </row>
    <row r="178" spans="1:13" x14ac:dyDescent="0.2">
      <c r="A178" s="10" t="str">
        <f ca="1"/>
        <v>23581,17048 - Impermeabilizacao com manta asfaltica espessura 4mm, uma camada, aplicacao com primer asfaltico</v>
      </c>
      <c r="B178" s="10">
        <f ca="1">IF(OR(A178="",A178=0),"",LARGE($B$8:B177,1)+1)</f>
        <v>170</v>
      </c>
      <c r="C178" s="7"/>
      <c r="D178" s="279">
        <f ca="1">IF(A178="","",COUNTIF(Orçamento!P:P,A178))</f>
        <v>0</v>
      </c>
      <c r="E178" s="280" t="str">
        <f ca="1">IFERROR(IF(A178="","",_xlfn.XLOOKUP(A178,'ABC Serviços Apoio'!C:C,'ABC Serviços Apoio'!A:A)),"")</f>
        <v>Impermeabilizacao com manta asfaltica espessura 4mm, uma camada, aplicacao com primer asfaltico</v>
      </c>
      <c r="F178" s="281" t="str">
        <f ca="1">IFERROR(IF(A178="","",_xlfn.XLOOKUP(E178,Orçamento!Q:Q,Orçamento!T:T)),"")</f>
        <v>M2</v>
      </c>
      <c r="G178" s="282">
        <f ca="1">IFERROR(IF(A178="","",SUMIF(Orçamento!Q:Q,E178,Orçamento!X:X)),"")</f>
        <v>484.89</v>
      </c>
      <c r="H178" s="283">
        <f ca="1">IFERROR(IF(A178="","",_xlfn.XLOOKUP(E178,Orçamento!Q:Q,Orçamento!Y:Y)),"")</f>
        <v>48.632000000000005</v>
      </c>
      <c r="I178" s="283">
        <f t="shared" ca="1" si="6"/>
        <v>23581.170480000001</v>
      </c>
      <c r="J178" s="284">
        <f t="shared" ca="1" si="7"/>
        <v>3.3829338997101405E-3</v>
      </c>
      <c r="K178" s="284">
        <f t="shared" ca="1" si="8"/>
        <v>0.62362590281831443</v>
      </c>
      <c r="M178" s="419"/>
    </row>
    <row r="179" spans="1:13" x14ac:dyDescent="0.2">
      <c r="A179" s="10" t="str">
        <f ca="1"/>
        <v>23463,6012 - Chapisco aplicado em alvenarias internas, com colher de pedreiro, de argamassa estabilizada</v>
      </c>
      <c r="B179" s="10">
        <f ca="1">IF(OR(A179="",A179=0),"",LARGE($B$8:B178,1)+1)</f>
        <v>171</v>
      </c>
      <c r="C179" s="7"/>
      <c r="D179" s="279">
        <f ca="1">IF(A179="","",COUNTIF(Orçamento!P:P,A179))</f>
        <v>0</v>
      </c>
      <c r="E179" s="280" t="str">
        <f ca="1">IFERROR(IF(A179="","",_xlfn.XLOOKUP(A179,'ABC Serviços Apoio'!C:C,'ABC Serviços Apoio'!A:A)),"")</f>
        <v>Chapisco aplicado em alvenarias internas, com colher de pedreiro, de argamassa estabilizada</v>
      </c>
      <c r="F179" s="281" t="str">
        <f ca="1">IFERROR(IF(A179="","",_xlfn.XLOOKUP(E179,Orçamento!Q:Q,Orçamento!T:T)),"")</f>
        <v>M2</v>
      </c>
      <c r="G179" s="282">
        <f ca="1">IFERROR(IF(A179="","",SUMIF(Orçamento!Q:Q,E179,Orçamento!X:X)),"")</f>
        <v>2958.84</v>
      </c>
      <c r="H179" s="283">
        <f ca="1">IFERROR(IF(A179="","",_xlfn.XLOOKUP(E179,Orçamento!Q:Q,Orçamento!Y:Y)),"")</f>
        <v>7.93</v>
      </c>
      <c r="I179" s="283">
        <f t="shared" ca="1" si="6"/>
        <v>23463.601200000001</v>
      </c>
      <c r="J179" s="284">
        <f t="shared" ca="1" si="7"/>
        <v>3.3660675145909692E-3</v>
      </c>
      <c r="K179" s="284">
        <f t="shared" ca="1" si="8"/>
        <v>0.62699197033290544</v>
      </c>
      <c r="M179" s="419"/>
    </row>
    <row r="180" spans="1:13" x14ac:dyDescent="0.2">
      <c r="A180" s="10" t="str">
        <f ca="1"/>
        <v>23425,39815 - Revestimento interno de piso porcelanato placa 80x80cm - áreas externas</v>
      </c>
      <c r="B180" s="10">
        <f ca="1">IF(OR(A180="",A180=0),"",LARGE($B$8:B179,1)+1)</f>
        <v>172</v>
      </c>
      <c r="C180" s="7"/>
      <c r="D180" s="279">
        <f ca="1">IF(A180="","",COUNTIF(Orçamento!P:P,A180))</f>
        <v>0</v>
      </c>
      <c r="E180" s="280" t="str">
        <f ca="1">IFERROR(IF(A180="","",_xlfn.XLOOKUP(A180,'ABC Serviços Apoio'!C:C,'ABC Serviços Apoio'!A:A)),"")</f>
        <v>Revestimento interno de piso porcelanato placa 80x80cm - áreas externas</v>
      </c>
      <c r="F180" s="281" t="str">
        <f ca="1">IFERROR(IF(A180="","",_xlfn.XLOOKUP(E180,Orçamento!Q:Q,Orçamento!T:T)),"")</f>
        <v>M2</v>
      </c>
      <c r="G180" s="282">
        <f ca="1">IFERROR(IF(A180="","",SUMIF(Orçamento!Q:Q,E180,Orçamento!X:X)),"")</f>
        <v>309.43</v>
      </c>
      <c r="H180" s="283">
        <f ca="1">IFERROR(IF(A180="","",_xlfn.XLOOKUP(E180,Orçamento!Q:Q,Orçamento!Y:Y)),"")</f>
        <v>75.704999999999998</v>
      </c>
      <c r="I180" s="283">
        <f t="shared" ca="1" si="6"/>
        <v>23425.398150000001</v>
      </c>
      <c r="J180" s="284">
        <f t="shared" ca="1" si="7"/>
        <v>3.360586938763449E-3</v>
      </c>
      <c r="K180" s="284">
        <f t="shared" ca="1" si="8"/>
        <v>0.63035255727166883</v>
      </c>
      <c r="M180" s="419"/>
    </row>
    <row r="181" spans="1:13" x14ac:dyDescent="0.2">
      <c r="A181" s="10" t="str">
        <f ca="1"/>
        <v>2332,56021766385 - Instalacoes provisorias de rede de água</v>
      </c>
      <c r="B181" s="10">
        <f ca="1">IF(OR(A181="",A181=0),"",LARGE($B$8:B180,1)+1)</f>
        <v>173</v>
      </c>
      <c r="C181" s="7"/>
      <c r="D181" s="279">
        <f ca="1">IF(A181="","",COUNTIF(Orçamento!P:P,A181))</f>
        <v>0</v>
      </c>
      <c r="E181" s="280" t="str">
        <f ca="1">IFERROR(IF(A181="","",_xlfn.XLOOKUP(A181,'ABC Serviços Apoio'!C:C,'ABC Serviços Apoio'!A:A)),"")</f>
        <v>Instalacoes provisorias de rede de água</v>
      </c>
      <c r="F181" s="281" t="str">
        <f ca="1">IFERROR(IF(A181="","",_xlfn.XLOOKUP(E181,Orçamento!Q:Q,Orçamento!T:T)),"")</f>
        <v>VB</v>
      </c>
      <c r="G181" s="282">
        <f ca="1">IFERROR(IF(A181="","",SUMIF(Orçamento!Q:Q,E181,Orçamento!X:X)),"")</f>
        <v>1</v>
      </c>
      <c r="H181" s="283">
        <f ca="1">IFERROR(IF(A181="","",_xlfn.XLOOKUP(E181,Orçamento!Q:Q,Orçamento!Y:Y)),"")</f>
        <v>2332.5602176638477</v>
      </c>
      <c r="I181" s="283">
        <f t="shared" ca="1" si="6"/>
        <v>2332.5602176638477</v>
      </c>
      <c r="J181" s="284">
        <f t="shared" ca="1" si="7"/>
        <v>3.3462702965244385E-4</v>
      </c>
      <c r="K181" s="284">
        <f t="shared" ca="1" si="8"/>
        <v>0.63068718430132131</v>
      </c>
      <c r="M181" s="419"/>
    </row>
    <row r="182" spans="1:13" x14ac:dyDescent="0.2">
      <c r="A182" s="10" t="str">
        <f ca="1"/>
        <v>2329,07815915303 - Instalacos do Sistema Preventivo de Incendio - Pavimento Técnico</v>
      </c>
      <c r="B182" s="10">
        <f ca="1">IF(OR(A182="",A182=0),"",LARGE($B$8:B181,1)+1)</f>
        <v>174</v>
      </c>
      <c r="C182" s="7"/>
      <c r="D182" s="279">
        <f ca="1">IF(A182="","",COUNTIF(Orçamento!P:P,A182))</f>
        <v>0</v>
      </c>
      <c r="E182" s="280" t="str">
        <f ca="1">IFERROR(IF(A182="","",_xlfn.XLOOKUP(A182,'ABC Serviços Apoio'!C:C,'ABC Serviços Apoio'!A:A)),"")</f>
        <v>Instalacos do Sistema Preventivo de Incendio - Pavimento Técnico</v>
      </c>
      <c r="F182" s="281" t="str">
        <f ca="1">IFERROR(IF(A182="","",_xlfn.XLOOKUP(E182,Orçamento!Q:Q,Orçamento!T:T)),"")</f>
        <v>VB</v>
      </c>
      <c r="G182" s="282">
        <f ca="1">IFERROR(IF(A182="","",SUMIF(Orçamento!Q:Q,E182,Orçamento!X:X)),"")</f>
        <v>1</v>
      </c>
      <c r="H182" s="283">
        <f ca="1">IFERROR(IF(A182="","",_xlfn.XLOOKUP(E182,Orçamento!Q:Q,Orçamento!Y:Y)),"")</f>
        <v>2329.0781591530267</v>
      </c>
      <c r="I182" s="283">
        <f t="shared" ca="1" si="6"/>
        <v>2329.0781591530267</v>
      </c>
      <c r="J182" s="284">
        <f t="shared" ca="1" si="7"/>
        <v>3.34127496612427E-4</v>
      </c>
      <c r="K182" s="284">
        <f t="shared" ca="1" si="8"/>
        <v>0.63102131179793375</v>
      </c>
      <c r="M182" s="419"/>
    </row>
    <row r="183" spans="1:13" x14ac:dyDescent="0.2">
      <c r="A183" s="10" t="str">
        <f ca="1"/>
        <v>2329,07815915303 - Instalacoes de Esgoto - Pavimento Técnico</v>
      </c>
      <c r="B183" s="10">
        <f ca="1">IF(OR(A183="",A183=0),"",LARGE($B$8:B182,1)+1)</f>
        <v>175</v>
      </c>
      <c r="C183" s="7"/>
      <c r="D183" s="279">
        <f ca="1">IF(A183="","",COUNTIF(Orçamento!P:P,A183))</f>
        <v>0</v>
      </c>
      <c r="E183" s="280" t="str">
        <f ca="1">IFERROR(IF(A183="","",_xlfn.XLOOKUP(A183,'ABC Serviços Apoio'!C:C,'ABC Serviços Apoio'!A:A)),"")</f>
        <v>Instalacoes de Esgoto - Pavimento Técnico</v>
      </c>
      <c r="F183" s="281" t="str">
        <f ca="1">IFERROR(IF(A183="","",_xlfn.XLOOKUP(E183,Orçamento!Q:Q,Orçamento!T:T)),"")</f>
        <v>VB</v>
      </c>
      <c r="G183" s="282">
        <f ca="1">IFERROR(IF(A183="","",SUMIF(Orçamento!Q:Q,E183,Orçamento!X:X)),"")</f>
        <v>1</v>
      </c>
      <c r="H183" s="283">
        <f ca="1">IFERROR(IF(A183="","",_xlfn.XLOOKUP(E183,Orçamento!Q:Q,Orçamento!Y:Y)),"")</f>
        <v>2329.0781591530267</v>
      </c>
      <c r="I183" s="283">
        <f t="shared" ca="1" si="6"/>
        <v>2329.0781591530267</v>
      </c>
      <c r="J183" s="284">
        <f t="shared" ca="1" si="7"/>
        <v>3.34127496612427E-4</v>
      </c>
      <c r="K183" s="284">
        <f t="shared" ca="1" si="8"/>
        <v>0.63135543929454618</v>
      </c>
      <c r="M183" s="419"/>
    </row>
    <row r="184" spans="1:13" x14ac:dyDescent="0.2">
      <c r="A184" s="10" t="str">
        <f ca="1"/>
        <v>2313,7 - Tela soldada para ligacao alvenaria/estrutura - para blocos de 9 a 14cm</v>
      </c>
      <c r="B184" s="10">
        <f ca="1">IF(OR(A184="",A184=0),"",LARGE($B$8:B183,1)+1)</f>
        <v>176</v>
      </c>
      <c r="C184" s="7"/>
      <c r="D184" s="279">
        <f ca="1">IF(A184="","",COUNTIF(Orçamento!P:P,A184))</f>
        <v>0</v>
      </c>
      <c r="E184" s="280" t="str">
        <f ca="1">IFERROR(IF(A184="","",_xlfn.XLOOKUP(A184,'ABC Serviços Apoio'!C:C,'ABC Serviços Apoio'!A:A)),"")</f>
        <v>Tela soldada para ligacao alvenaria/estrutura - para blocos de 9 a 14cm</v>
      </c>
      <c r="F184" s="281" t="str">
        <f ca="1">IFERROR(IF(A184="","",_xlfn.XLOOKUP(E184,Orçamento!Q:Q,Orçamento!T:T)),"")</f>
        <v>UN</v>
      </c>
      <c r="G184" s="282">
        <f ca="1">IFERROR(IF(A184="","",SUMIF(Orçamento!Q:Q,E184,Orçamento!X:X)),"")</f>
        <v>1361</v>
      </c>
      <c r="H184" s="283">
        <f ca="1">IFERROR(IF(A184="","",_xlfn.XLOOKUP(E184,Orçamento!Q:Q,Orçamento!Y:Y)),"")</f>
        <v>1.7000000000000002</v>
      </c>
      <c r="I184" s="283">
        <f t="shared" ca="1" si="6"/>
        <v>2313.7000000000003</v>
      </c>
      <c r="J184" s="284">
        <f t="shared" ca="1" si="7"/>
        <v>3.3192135947610318E-4</v>
      </c>
      <c r="K184" s="284">
        <f t="shared" ca="1" si="8"/>
        <v>0.63168736065402231</v>
      </c>
      <c r="M184" s="419"/>
    </row>
    <row r="185" spans="1:13" x14ac:dyDescent="0.2">
      <c r="A185" s="10" t="str">
        <f ca="1"/>
        <v>23006,52 - Mao de obra para regularizacao de superficie</v>
      </c>
      <c r="B185" s="10">
        <f ca="1">IF(OR(A185="",A185=0),"",LARGE($B$8:B184,1)+1)</f>
        <v>177</v>
      </c>
      <c r="C185" s="7"/>
      <c r="D185" s="279">
        <f ca="1">IF(A185="","",COUNTIF(Orçamento!P:P,A185))</f>
        <v>0</v>
      </c>
      <c r="E185" s="280" t="str">
        <f ca="1">IFERROR(IF(A185="","",_xlfn.XLOOKUP(A185,'ABC Serviços Apoio'!C:C,'ABC Serviços Apoio'!A:A)),"")</f>
        <v>Mao de obra para regularizacao de superficie</v>
      </c>
      <c r="F185" s="281" t="str">
        <f ca="1">IFERROR(IF(A185="","",_xlfn.XLOOKUP(E185,Orçamento!Q:Q,Orçamento!T:T)),"")</f>
        <v>M2</v>
      </c>
      <c r="G185" s="282">
        <f ca="1">IFERROR(IF(A185="","",SUMIF(Orçamento!Q:Q,E185,Orçamento!X:X)),"")</f>
        <v>1278.1400000000001</v>
      </c>
      <c r="H185" s="283">
        <f ca="1">IFERROR(IF(A185="","",_xlfn.XLOOKUP(E185,Orçamento!Q:Q,Orçamento!Y:Y)),"")</f>
        <v>18</v>
      </c>
      <c r="I185" s="283">
        <f t="shared" ca="1" si="6"/>
        <v>23006.52</v>
      </c>
      <c r="J185" s="284">
        <f t="shared" ca="1" si="7"/>
        <v>3.3004950491481852E-3</v>
      </c>
      <c r="K185" s="284">
        <f t="shared" ca="1" si="8"/>
        <v>0.63498785570317051</v>
      </c>
      <c r="M185" s="419"/>
    </row>
    <row r="186" spans="1:13" x14ac:dyDescent="0.2">
      <c r="A186" s="10" t="str">
        <f ca="1"/>
        <v xml:space="preserve">23000 - Serviços Complementares e Finais </v>
      </c>
      <c r="B186" s="10">
        <f ca="1">IF(OR(A186="",A186=0),"",LARGE($B$8:B185,1)+1)</f>
        <v>178</v>
      </c>
      <c r="C186" s="7"/>
      <c r="D186" s="279">
        <f ca="1">IF(A186="","",COUNTIF(Orçamento!P:P,A186))</f>
        <v>0</v>
      </c>
      <c r="E186" s="280" t="str">
        <f ca="1">IFERROR(IF(A186="","",_xlfn.XLOOKUP(A186,'ABC Serviços Apoio'!C:C,'ABC Serviços Apoio'!A:A)),"")</f>
        <v xml:space="preserve">Serviços Complementares e Finais </v>
      </c>
      <c r="F186" s="281" t="str">
        <f ca="1">IFERROR(IF(A186="","",_xlfn.XLOOKUP(E186,Orçamento!Q:Q,Orçamento!T:T)),"")</f>
        <v>VB</v>
      </c>
      <c r="G186" s="282">
        <f ca="1">IFERROR(IF(A186="","",SUMIF(Orçamento!Q:Q,E186,Orçamento!X:X)),"")</f>
        <v>1</v>
      </c>
      <c r="H186" s="283">
        <f ca="1">IFERROR(IF(A186="","",_xlfn.XLOOKUP(E186,Orçamento!Q:Q,Orçamento!Y:Y)),"")</f>
        <v>23000</v>
      </c>
      <c r="I186" s="283">
        <f t="shared" ca="1" si="6"/>
        <v>23000</v>
      </c>
      <c r="J186" s="284">
        <f t="shared" ca="1" si="7"/>
        <v>3.2995596957040118E-3</v>
      </c>
      <c r="K186" s="284">
        <f t="shared" ca="1" si="8"/>
        <v>0.63828741539887457</v>
      </c>
      <c r="M186" s="419"/>
    </row>
    <row r="187" spans="1:13" x14ac:dyDescent="0.2">
      <c r="A187" s="10" t="str">
        <f ca="1"/>
        <v>2300,81592 - Fundo selador latex acrilico em paredes externas, 1 demao</v>
      </c>
      <c r="B187" s="10">
        <f ca="1">IF(OR(A187="",A187=0),"",LARGE($B$8:B186,1)+1)</f>
        <v>179</v>
      </c>
      <c r="C187" s="7"/>
      <c r="D187" s="279">
        <f ca="1">IF(A187="","",COUNTIF(Orçamento!P:P,A187))</f>
        <v>0</v>
      </c>
      <c r="E187" s="280" t="str">
        <f ca="1">IFERROR(IF(A187="","",_xlfn.XLOOKUP(A187,'ABC Serviços Apoio'!C:C,'ABC Serviços Apoio'!A:A)),"")</f>
        <v>Fundo selador latex acrilico em paredes externas, 1 demao</v>
      </c>
      <c r="F187" s="281" t="str">
        <f ca="1">IFERROR(IF(A187="","",_xlfn.XLOOKUP(E187,Orçamento!Q:Q,Orçamento!T:T)),"")</f>
        <v>M2</v>
      </c>
      <c r="G187" s="282">
        <f ca="1">IFERROR(IF(A187="","",SUMIF(Orçamento!Q:Q,E187,Orçamento!X:X)),"")</f>
        <v>1624.8700000000001</v>
      </c>
      <c r="H187" s="283">
        <f ca="1">IFERROR(IF(A187="","",_xlfn.XLOOKUP(E187,Orçamento!Q:Q,Orçamento!Y:Y)),"")</f>
        <v>1.4159999999999999</v>
      </c>
      <c r="I187" s="283">
        <f t="shared" ca="1" si="6"/>
        <v>2300.81592</v>
      </c>
      <c r="J187" s="284">
        <f t="shared" ca="1" si="7"/>
        <v>3.3007302073331069E-4</v>
      </c>
      <c r="K187" s="284">
        <f t="shared" ca="1" si="8"/>
        <v>0.63861748841960786</v>
      </c>
      <c r="M187" s="419"/>
    </row>
    <row r="188" spans="1:13" x14ac:dyDescent="0.2">
      <c r="A188" s="10" t="str">
        <f ca="1"/>
        <v>2284,490208 - Armacao aco CA-50 ø 6.3mm para Contenções- cortado e dobrado em industria</v>
      </c>
      <c r="B188" s="10">
        <f ca="1">IF(OR(A188="",A188=0),"",LARGE($B$8:B187,1)+1)</f>
        <v>180</v>
      </c>
      <c r="C188" s="7"/>
      <c r="D188" s="279">
        <f ca="1">IF(A188="","",COUNTIF(Orçamento!P:P,A188))</f>
        <v>0</v>
      </c>
      <c r="E188" s="280" t="str">
        <f ca="1">IFERROR(IF(A188="","",_xlfn.XLOOKUP(A188,'ABC Serviços Apoio'!C:C,'ABC Serviços Apoio'!A:A)),"")</f>
        <v>Armacao aco CA-50 ø 6.3mm para Contenções- cortado e dobrado em industria</v>
      </c>
      <c r="F188" s="281" t="str">
        <f ca="1">IFERROR(IF(A188="","",_xlfn.XLOOKUP(E188,Orçamento!Q:Q,Orçamento!T:T)),"")</f>
        <v>KG</v>
      </c>
      <c r="G188" s="282">
        <f ca="1">IFERROR(IF(A188="","",SUMIF(Orçamento!Q:Q,E188,Orçamento!X:X)),"")</f>
        <v>343.2</v>
      </c>
      <c r="H188" s="283">
        <f ca="1">IFERROR(IF(A188="","",_xlfn.XLOOKUP(E188,Orçamento!Q:Q,Orçamento!Y:Y)),"")</f>
        <v>6.6564399999999999</v>
      </c>
      <c r="I188" s="283">
        <f t="shared" ca="1" si="6"/>
        <v>2284.4902079999997</v>
      </c>
      <c r="J188" s="284">
        <f t="shared" ca="1" si="7"/>
        <v>3.2773094850205536E-4</v>
      </c>
      <c r="K188" s="284">
        <f t="shared" ca="1" si="8"/>
        <v>0.63894521936810988</v>
      </c>
      <c r="M188" s="419"/>
    </row>
    <row r="189" spans="1:13" x14ac:dyDescent="0.2">
      <c r="A189" s="10" t="str">
        <f ca="1"/>
        <v>228,93084 - Escavacao mecanizada para Sapatas, com previsao de forma</v>
      </c>
      <c r="B189" s="10">
        <f ca="1">IF(OR(A189="",A189=0),"",LARGE($B$8:B188,1)+1)</f>
        <v>181</v>
      </c>
      <c r="C189" s="7"/>
      <c r="D189" s="279">
        <f ca="1">IF(A189="","",COUNTIF(Orçamento!P:P,A189))</f>
        <v>0</v>
      </c>
      <c r="E189" s="280" t="str">
        <f ca="1">IFERROR(IF(A189="","",_xlfn.XLOOKUP(A189,'ABC Serviços Apoio'!C:C,'ABC Serviços Apoio'!A:A)),"")</f>
        <v>Escavacao mecanizada para Sapatas, com previsao de forma</v>
      </c>
      <c r="F189" s="281" t="str">
        <f ca="1">IFERROR(IF(A189="","",_xlfn.XLOOKUP(E189,Orçamento!Q:Q,Orçamento!T:T)),"")</f>
        <v>M3</v>
      </c>
      <c r="G189" s="282">
        <f ca="1">IFERROR(IF(A189="","",SUMIF(Orçamento!Q:Q,E189,Orçamento!X:X)),"")</f>
        <v>190.77569999999997</v>
      </c>
      <c r="H189" s="283">
        <f ca="1">IFERROR(IF(A189="","",_xlfn.XLOOKUP(E189,Orçamento!Q:Q,Orçamento!Y:Y)),"")</f>
        <v>1.2</v>
      </c>
      <c r="I189" s="283">
        <f t="shared" ca="1" si="6"/>
        <v>228.93083999999996</v>
      </c>
      <c r="J189" s="284">
        <f t="shared" ca="1" si="7"/>
        <v>3.2842216207289724E-5</v>
      </c>
      <c r="K189" s="284">
        <f t="shared" ca="1" si="8"/>
        <v>0.63897806158431714</v>
      </c>
      <c r="M189" s="419"/>
    </row>
    <row r="190" spans="1:13" x14ac:dyDescent="0.2">
      <c r="A190" s="10" t="str">
        <f ca="1"/>
        <v>22633,3752145281 - Concreto usinado Para Contenção</v>
      </c>
      <c r="B190" s="10">
        <f ca="1">IF(OR(A190="",A190=0),"",LARGE($B$8:B189,1)+1)</f>
        <v>182</v>
      </c>
      <c r="C190" s="7"/>
      <c r="D190" s="279">
        <f ca="1">IF(A190="","",COUNTIF(Orçamento!P:P,A190))</f>
        <v>0</v>
      </c>
      <c r="E190" s="280" t="str">
        <f ca="1">IFERROR(IF(A190="","",_xlfn.XLOOKUP(A190,'ABC Serviços Apoio'!C:C,'ABC Serviços Apoio'!A:A)),"")</f>
        <v>Concreto usinado Para Contenção</v>
      </c>
      <c r="F190" s="281" t="str">
        <f ca="1">IFERROR(IF(A190="","",_xlfn.XLOOKUP(E190,Orçamento!Q:Q,Orçamento!T:T)),"")</f>
        <v>VB</v>
      </c>
      <c r="G190" s="282">
        <f ca="1">IFERROR(IF(A190="","",SUMIF(Orçamento!Q:Q,E190,Orçamento!X:X)),"")</f>
        <v>1</v>
      </c>
      <c r="H190" s="283">
        <f ca="1">IFERROR(IF(A190="","",_xlfn.XLOOKUP(E190,Orçamento!Q:Q,Orçamento!Y:Y)),"")</f>
        <v>22633.375214528114</v>
      </c>
      <c r="I190" s="283">
        <f t="shared" ca="1" si="6"/>
        <v>22633.375214528114</v>
      </c>
      <c r="J190" s="284">
        <f t="shared" ca="1" si="7"/>
        <v>3.2469640276349175E-3</v>
      </c>
      <c r="K190" s="284">
        <f t="shared" ca="1" si="8"/>
        <v>0.64222502561195205</v>
      </c>
      <c r="M190" s="419"/>
    </row>
    <row r="191" spans="1:13" x14ac:dyDescent="0.2">
      <c r="A191" s="10" t="str">
        <f ca="1"/>
        <v>2250 - Taxas de ART e RRT</v>
      </c>
      <c r="B191" s="10">
        <f ca="1">IF(OR(A191="",A191=0),"",LARGE($B$8:B190,1)+1)</f>
        <v>183</v>
      </c>
      <c r="C191" s="7"/>
      <c r="D191" s="279">
        <f ca="1">IF(A191="","",COUNTIF(Orçamento!P:P,A191))</f>
        <v>0</v>
      </c>
      <c r="E191" s="280" t="str">
        <f ca="1">IFERROR(IF(A191="","",_xlfn.XLOOKUP(A191,'ABC Serviços Apoio'!C:C,'ABC Serviços Apoio'!A:A)),"")</f>
        <v>Taxas de ART e RRT</v>
      </c>
      <c r="F191" s="281" t="str">
        <f ca="1">IFERROR(IF(A191="","",_xlfn.XLOOKUP(E191,Orçamento!Q:Q,Orçamento!T:T)),"")</f>
        <v>VB</v>
      </c>
      <c r="G191" s="282">
        <f ca="1">IFERROR(IF(A191="","",SUMIF(Orçamento!Q:Q,E191,Orçamento!X:X)),"")</f>
        <v>1</v>
      </c>
      <c r="H191" s="283">
        <f ca="1">IFERROR(IF(A191="","",_xlfn.XLOOKUP(E191,Orçamento!Q:Q,Orçamento!Y:Y)),"")</f>
        <v>2250</v>
      </c>
      <c r="I191" s="283">
        <f t="shared" ca="1" si="6"/>
        <v>2250</v>
      </c>
      <c r="J191" s="284">
        <f t="shared" ca="1" si="7"/>
        <v>3.2278301371017507E-4</v>
      </c>
      <c r="K191" s="284">
        <f t="shared" ca="1" si="8"/>
        <v>0.64254780862566219</v>
      </c>
      <c r="M191" s="419"/>
    </row>
    <row r="192" spans="1:13" x14ac:dyDescent="0.2">
      <c r="A192" s="10" t="str">
        <f ca="1"/>
        <v>220019,476675186 - Esquadrias de Aluminio - Fornecimento e instalacao incluindo vidros</v>
      </c>
      <c r="B192" s="10">
        <f ca="1">IF(OR(A192="",A192=0),"",LARGE($B$8:B191,1)+1)</f>
        <v>184</v>
      </c>
      <c r="C192" s="7"/>
      <c r="D192" s="279">
        <f ca="1">IF(A192="","",COUNTIF(Orçamento!P:P,A192))</f>
        <v>0</v>
      </c>
      <c r="E192" s="280" t="str">
        <f ca="1">IFERROR(IF(A192="","",_xlfn.XLOOKUP(A192,'ABC Serviços Apoio'!C:C,'ABC Serviços Apoio'!A:A)),"")</f>
        <v>Esquadrias de Aluminio - Fornecimento e instalacao incluindo vidros</v>
      </c>
      <c r="F192" s="281" t="str">
        <f ca="1">IFERROR(IF(A192="","",_xlfn.XLOOKUP(E192,Orçamento!Q:Q,Orçamento!T:T)),"")</f>
        <v>M2</v>
      </c>
      <c r="G192" s="282">
        <f ca="1">IFERROR(IF(A192="","",SUMIF(Orçamento!Q:Q,E192,Orçamento!X:X)),"")</f>
        <v>264.85000000000008</v>
      </c>
      <c r="H192" s="283">
        <f ca="1">IFERROR(IF(A192="","",_xlfn.XLOOKUP(E192,Orçamento!Q:Q,Orçamento!Y:Y)),"")</f>
        <v>830.73240202071486</v>
      </c>
      <c r="I192" s="283">
        <f t="shared" ca="1" si="6"/>
        <v>220019.47667518639</v>
      </c>
      <c r="J192" s="284">
        <f t="shared" ca="1" si="7"/>
        <v>3.1563799891623216E-2</v>
      </c>
      <c r="K192" s="284">
        <f t="shared" ca="1" si="8"/>
        <v>0.67411160851728535</v>
      </c>
      <c r="M192" s="419"/>
    </row>
    <row r="193" spans="1:13" x14ac:dyDescent="0.2">
      <c r="A193" s="10" t="str">
        <f ca="1"/>
        <v>22,34 - Impermeabilizacao com tinta asfaltica em Fundação Rasa</v>
      </c>
      <c r="B193" s="10">
        <f ca="1">IF(OR(A193="",A193=0),"",LARGE($B$8:B192,1)+1)</f>
        <v>185</v>
      </c>
      <c r="C193" s="7"/>
      <c r="D193" s="279">
        <f ca="1">IF(A193="","",COUNTIF(Orçamento!P:P,A193))</f>
        <v>0</v>
      </c>
      <c r="E193" s="280" t="str">
        <f ca="1">IFERROR(IF(A193="","",_xlfn.XLOOKUP(A193,'ABC Serviços Apoio'!C:C,'ABC Serviços Apoio'!A:A)),"")</f>
        <v>Impermeabilizacao com tinta asfaltica em Fundação Rasa</v>
      </c>
      <c r="F193" s="281" t="str">
        <f ca="1">IFERROR(IF(A193="","",_xlfn.XLOOKUP(E193,Orçamento!Q:Q,Orçamento!T:T)),"")</f>
        <v>M2</v>
      </c>
      <c r="G193" s="282">
        <f ca="1">IFERROR(IF(A193="","",SUMIF(Orçamento!Q:Q,E193,Orçamento!X:X)),"")</f>
        <v>1</v>
      </c>
      <c r="H193" s="283">
        <f ca="1">IFERROR(IF(A193="","",_xlfn.XLOOKUP(E193,Orçamento!Q:Q,Orçamento!Y:Y)),"")</f>
        <v>22.34</v>
      </c>
      <c r="I193" s="283">
        <f t="shared" ca="1" si="6"/>
        <v>22.34</v>
      </c>
      <c r="J193" s="284">
        <f t="shared" ca="1" si="7"/>
        <v>3.204876678349027E-6</v>
      </c>
      <c r="K193" s="284">
        <f t="shared" ca="1" si="8"/>
        <v>0.67411481339396373</v>
      </c>
      <c r="M193" s="419"/>
    </row>
    <row r="194" spans="1:13" x14ac:dyDescent="0.2">
      <c r="A194" s="10" t="str">
        <f ca="1"/>
        <v>2182,005 - Mao de obra para execucao de protecao mecanica em superficie impermeabilizada</v>
      </c>
      <c r="B194" s="10">
        <f ca="1">IF(OR(A194="",A194=0),"",LARGE($B$8:B193,1)+1)</f>
        <v>186</v>
      </c>
      <c r="C194" s="7"/>
      <c r="D194" s="279">
        <f ca="1">IF(A194="","",COUNTIF(Orçamento!P:P,A194))</f>
        <v>0</v>
      </c>
      <c r="E194" s="280" t="str">
        <f ca="1">IFERROR(IF(A194="","",_xlfn.XLOOKUP(A194,'ABC Serviços Apoio'!C:C,'ABC Serviços Apoio'!A:A)),"")</f>
        <v>Mao de obra para execucao de protecao mecanica em superficie impermeabilizada</v>
      </c>
      <c r="F194" s="281" t="str">
        <f ca="1">IFERROR(IF(A194="","",_xlfn.XLOOKUP(E194,Orçamento!Q:Q,Orçamento!T:T)),"")</f>
        <v>M2</v>
      </c>
      <c r="G194" s="282">
        <f ca="1">IFERROR(IF(A194="","",SUMIF(Orçamento!Q:Q,E194,Orçamento!X:X)),"")</f>
        <v>484.89</v>
      </c>
      <c r="H194" s="283">
        <f ca="1">IFERROR(IF(A194="","",_xlfn.XLOOKUP(E194,Orçamento!Q:Q,Orçamento!Y:Y)),"")</f>
        <v>4.5</v>
      </c>
      <c r="I194" s="283">
        <f t="shared" ca="1" si="6"/>
        <v>2182.0050000000001</v>
      </c>
      <c r="J194" s="284">
        <f t="shared" ca="1" si="7"/>
        <v>3.1302851103585358E-4</v>
      </c>
      <c r="K194" s="284">
        <f t="shared" ca="1" si="8"/>
        <v>0.6744278419049996</v>
      </c>
      <c r="M194" s="419"/>
    </row>
    <row r="195" spans="1:13" x14ac:dyDescent="0.2">
      <c r="A195" s="10" t="str">
        <f ca="1"/>
        <v>218,908199475 - Revestimento interno de Rodapé Porcelanato h=0,07cm</v>
      </c>
      <c r="B195" s="10">
        <f ca="1">IF(OR(A195="",A195=0),"",LARGE($B$8:B194,1)+1)</f>
        <v>187</v>
      </c>
      <c r="C195" s="7"/>
      <c r="D195" s="279">
        <f ca="1">IF(A195="","",COUNTIF(Orçamento!P:P,A195))</f>
        <v>0</v>
      </c>
      <c r="E195" s="280" t="str">
        <f ca="1">IFERROR(IF(A195="","",_xlfn.XLOOKUP(A195,'ABC Serviços Apoio'!C:C,'ABC Serviços Apoio'!A:A)),"")</f>
        <v>Revestimento interno de Rodapé Porcelanato h=0,07cm</v>
      </c>
      <c r="F195" s="281" t="str">
        <f ca="1">IFERROR(IF(A195="","",_xlfn.XLOOKUP(E195,Orçamento!Q:Q,Orçamento!T:T)),"")</f>
        <v>M</v>
      </c>
      <c r="G195" s="282">
        <f ca="1">IFERROR(IF(A195="","",SUMIF(Orçamento!Q:Q,E195,Orçamento!X:X)),"")</f>
        <v>41.308500000000002</v>
      </c>
      <c r="H195" s="283">
        <f ca="1">IFERROR(IF(A195="","",_xlfn.XLOOKUP(E195,Orçamento!Q:Q,Orçamento!Y:Y)),"")</f>
        <v>5.2993500000000004</v>
      </c>
      <c r="I195" s="283">
        <f t="shared" ca="1" si="6"/>
        <v>218.90819947500003</v>
      </c>
      <c r="J195" s="284">
        <f t="shared" ca="1" si="7"/>
        <v>3.1404377045514967E-5</v>
      </c>
      <c r="K195" s="284">
        <f t="shared" ca="1" si="8"/>
        <v>0.67445924628204512</v>
      </c>
      <c r="M195" s="419"/>
    </row>
    <row r="196" spans="1:13" x14ac:dyDescent="0.2">
      <c r="A196" s="10" t="str">
        <f ca="1"/>
        <v>21780 - Locação de caçambas para retirada de entulho</v>
      </c>
      <c r="B196" s="10">
        <f ca="1">IF(OR(A196="",A196=0),"",LARGE($B$8:B195,1)+1)</f>
        <v>188</v>
      </c>
      <c r="C196" s="7"/>
      <c r="D196" s="279">
        <f ca="1">IF(A196="","",COUNTIF(Orçamento!P:P,A196))</f>
        <v>0</v>
      </c>
      <c r="E196" s="280" t="str">
        <f ca="1">IFERROR(IF(A196="","",_xlfn.XLOOKUP(A196,'ABC Serviços Apoio'!C:C,'ABC Serviços Apoio'!A:A)),"")</f>
        <v>Locação de caçambas para retirada de entulho</v>
      </c>
      <c r="F196" s="281" t="str">
        <f ca="1">IFERROR(IF(A196="","",_xlfn.XLOOKUP(E196,Orçamento!Q:Q,Orçamento!T:T)),"")</f>
        <v>MES</v>
      </c>
      <c r="G196" s="282">
        <f ca="1">IFERROR(IF(A196="","",SUMIF(Orçamento!Q:Q,E196,Orçamento!X:X)),"")</f>
        <v>22</v>
      </c>
      <c r="H196" s="283">
        <f ca="1">IFERROR(IF(A196="","",_xlfn.XLOOKUP(E196,Orçamento!Q:Q,Orçamento!Y:Y)),"")</f>
        <v>989.99999999999989</v>
      </c>
      <c r="I196" s="283">
        <f t="shared" ca="1" si="6"/>
        <v>21779.999999999996</v>
      </c>
      <c r="J196" s="284">
        <f t="shared" ca="1" si="7"/>
        <v>3.1245395727144938E-3</v>
      </c>
      <c r="K196" s="284">
        <f t="shared" ca="1" si="8"/>
        <v>0.67758378585475965</v>
      </c>
      <c r="M196" s="419"/>
    </row>
    <row r="197" spans="1:13" x14ac:dyDescent="0.2">
      <c r="A197" s="10" t="str">
        <f ca="1"/>
        <v>2178,38929567615 - Pontos de Tomadas e Interruptores - Térreo</v>
      </c>
      <c r="B197" s="10">
        <f ca="1">IF(OR(A197="",A197=0),"",LARGE($B$8:B196,1)+1)</f>
        <v>189</v>
      </c>
      <c r="C197" s="7"/>
      <c r="D197" s="279">
        <f ca="1">IF(A197="","",COUNTIF(Orçamento!P:P,A197))</f>
        <v>0</v>
      </c>
      <c r="E197" s="280" t="str">
        <f ca="1">IFERROR(IF(A197="","",_xlfn.XLOOKUP(A197,'ABC Serviços Apoio'!C:C,'ABC Serviços Apoio'!A:A)),"")</f>
        <v>Pontos de Tomadas e Interruptores - Térreo</v>
      </c>
      <c r="F197" s="281" t="str">
        <f ca="1">IFERROR(IF(A197="","",_xlfn.XLOOKUP(E197,Orçamento!Q:Q,Orçamento!T:T)),"")</f>
        <v>VB</v>
      </c>
      <c r="G197" s="282">
        <f ca="1">IFERROR(IF(A197="","",SUMIF(Orçamento!Q:Q,E197,Orçamento!X:X)),"")</f>
        <v>1</v>
      </c>
      <c r="H197" s="283">
        <f ca="1">IFERROR(IF(A197="","",_xlfn.XLOOKUP(E197,Orçamento!Q:Q,Orçamento!Y:Y)),"")</f>
        <v>2178.3892956761529</v>
      </c>
      <c r="I197" s="283">
        <f t="shared" ca="1" si="6"/>
        <v>2178.3892956761529</v>
      </c>
      <c r="J197" s="284">
        <f t="shared" ca="1" si="7"/>
        <v>3.1250980528548189E-4</v>
      </c>
      <c r="K197" s="284">
        <f t="shared" ca="1" si="8"/>
        <v>0.67789629566004517</v>
      </c>
      <c r="M197" s="419"/>
    </row>
    <row r="198" spans="1:13" x14ac:dyDescent="0.2">
      <c r="A198" s="10" t="str">
        <f ca="1"/>
        <v>21713,75644065 - Armacao aco CA-50 ø 6.3mm para supraestrutura corte e dobra em indústria</v>
      </c>
      <c r="B198" s="10">
        <f ca="1">IF(OR(A198="",A198=0),"",LARGE($B$8:B197,1)+1)</f>
        <v>190</v>
      </c>
      <c r="C198" s="7"/>
      <c r="D198" s="279">
        <f ca="1">IF(A198="","",COUNTIF(Orçamento!P:P,A198))</f>
        <v>0</v>
      </c>
      <c r="E198" s="280" t="str">
        <f ca="1">IFERROR(IF(A198="","",_xlfn.XLOOKUP(A198,'ABC Serviços Apoio'!C:C,'ABC Serviços Apoio'!A:A)),"")</f>
        <v>Armacao aco CA-50 ø 6.3mm para supraestrutura corte e dobra em indústria</v>
      </c>
      <c r="F198" s="281" t="str">
        <f ca="1">IFERROR(IF(A198="","",_xlfn.XLOOKUP(E198,Orçamento!Q:Q,Orçamento!T:T)),"")</f>
        <v>KG</v>
      </c>
      <c r="G198" s="282">
        <f ca="1">IFERROR(IF(A198="","",SUMIF(Orçamento!Q:Q,E198,Orçamento!X:X)),"")</f>
        <v>2870.0830000000001</v>
      </c>
      <c r="H198" s="283">
        <f ca="1">IFERROR(IF(A198="","",_xlfn.XLOOKUP(E198,Orçamento!Q:Q,Orçamento!Y:Y)),"")</f>
        <v>7.56555</v>
      </c>
      <c r="I198" s="283">
        <f t="shared" ca="1" si="6"/>
        <v>21713.756440650002</v>
      </c>
      <c r="J198" s="284">
        <f t="shared" ca="1" si="7"/>
        <v>3.1150363301696584E-3</v>
      </c>
      <c r="K198" s="284">
        <f t="shared" ca="1" si="8"/>
        <v>0.6810113319902148</v>
      </c>
      <c r="M198" s="419"/>
    </row>
    <row r="199" spans="1:13" x14ac:dyDescent="0.2">
      <c r="A199" s="10" t="str">
        <f ca="1"/>
        <v>21600 - Equipamentos, Ferramentas e acessorios de Apoio ao Canteiro de Obra</v>
      </c>
      <c r="B199" s="10">
        <f ca="1">IF(OR(A199="",A199=0),"",LARGE($B$8:B198,1)+1)</f>
        <v>191</v>
      </c>
      <c r="C199" s="7"/>
      <c r="D199" s="279">
        <f ca="1">IF(A199="","",COUNTIF(Orçamento!P:P,A199))</f>
        <v>0</v>
      </c>
      <c r="E199" s="280" t="str">
        <f ca="1">IFERROR(IF(A199="","",_xlfn.XLOOKUP(A199,'ABC Serviços Apoio'!C:C,'ABC Serviços Apoio'!A:A)),"")</f>
        <v>Equipamentos, Ferramentas e acessorios de Apoio ao Canteiro de Obra</v>
      </c>
      <c r="F199" s="281" t="str">
        <f ca="1">IFERROR(IF(A199="","",_xlfn.XLOOKUP(E199,Orçamento!Q:Q,Orçamento!T:T)),"")</f>
        <v>MES</v>
      </c>
      <c r="G199" s="282">
        <f ca="1">IFERROR(IF(A199="","",SUMIF(Orçamento!Q:Q,E199,Orçamento!X:X)),"")</f>
        <v>22</v>
      </c>
      <c r="H199" s="283">
        <f ca="1">IFERROR(IF(A199="","",_xlfn.XLOOKUP(E199,Orçamento!Q:Q,Orçamento!Y:Y)),"")</f>
        <v>981.81818181818187</v>
      </c>
      <c r="I199" s="283">
        <f t="shared" ca="1" si="6"/>
        <v>21600</v>
      </c>
      <c r="J199" s="284">
        <f t="shared" ca="1" si="7"/>
        <v>3.0987169316176806E-3</v>
      </c>
      <c r="K199" s="284">
        <f t="shared" ca="1" si="8"/>
        <v>0.68411004892183247</v>
      </c>
      <c r="M199" s="419"/>
    </row>
    <row r="200" spans="1:13" x14ac:dyDescent="0.2">
      <c r="A200" s="10" t="str">
        <f ca="1"/>
        <v>2111,27241976932 - Despesas certidão INSS</v>
      </c>
      <c r="B200" s="10">
        <f ca="1">IF(OR(A200="",A200=0),"",LARGE($B$8:B199,1)+1)</f>
        <v>192</v>
      </c>
      <c r="C200" s="7"/>
      <c r="D200" s="279">
        <f ca="1">IF(A200="","",COUNTIF(Orçamento!P:P,A200))</f>
        <v>0</v>
      </c>
      <c r="E200" s="280" t="str">
        <f ca="1">IFERROR(IF(A200="","",_xlfn.XLOOKUP(A200,'ABC Serviços Apoio'!C:C,'ABC Serviços Apoio'!A:A)),"")</f>
        <v>Despesas certidão INSS</v>
      </c>
      <c r="F200" s="281" t="str">
        <f ca="1">IFERROR(IF(A200="","",_xlfn.XLOOKUP(E200,Orçamento!Q:Q,Orçamento!T:T)),"")</f>
        <v>VB</v>
      </c>
      <c r="G200" s="282">
        <f ca="1">IFERROR(IF(A200="","",SUMIF(Orçamento!Q:Q,E200,Orçamento!X:X)),"")</f>
        <v>1</v>
      </c>
      <c r="H200" s="283">
        <f ca="1">IFERROR(IF(A200="","",_xlfn.XLOOKUP(E200,Orçamento!Q:Q,Orçamento!Y:Y)),"")</f>
        <v>2111.2724197693183</v>
      </c>
      <c r="I200" s="283">
        <f t="shared" ca="1" si="6"/>
        <v>2111.2724197693183</v>
      </c>
      <c r="J200" s="284">
        <f t="shared" ca="1" si="7"/>
        <v>3.0288127751836193E-4</v>
      </c>
      <c r="K200" s="284">
        <f t="shared" ca="1" si="8"/>
        <v>0.68441293019935079</v>
      </c>
      <c r="M200" s="419"/>
    </row>
    <row r="201" spans="1:13" x14ac:dyDescent="0.2">
      <c r="A201" s="10" t="str">
        <f ca="1"/>
        <v>21000 - Consultoria de Orçamento e Planejamento</v>
      </c>
      <c r="B201" s="10">
        <f ca="1">IF(OR(A201="",A201=0),"",LARGE($B$8:B200,1)+1)</f>
        <v>193</v>
      </c>
      <c r="C201" s="7"/>
      <c r="D201" s="279">
        <f ca="1">IF(A201="","",COUNTIF(Orçamento!P:P,A201))</f>
        <v>0</v>
      </c>
      <c r="E201" s="280" t="str">
        <f ca="1">IFERROR(IF(A201="","",_xlfn.XLOOKUP(A201,'ABC Serviços Apoio'!C:C,'ABC Serviços Apoio'!A:A)),"")</f>
        <v>Consultoria de Orçamento e Planejamento</v>
      </c>
      <c r="F201" s="281" t="str">
        <f ca="1">IFERROR(IF(A201="","",_xlfn.XLOOKUP(E201,Orçamento!Q:Q,Orçamento!T:T)),"")</f>
        <v>VB</v>
      </c>
      <c r="G201" s="282">
        <f ca="1">IFERROR(IF(A201="","",SUMIF(Orçamento!Q:Q,E201,Orçamento!X:X)),"")</f>
        <v>1</v>
      </c>
      <c r="H201" s="283">
        <f ca="1">IFERROR(IF(A201="","",_xlfn.XLOOKUP(E201,Orçamento!Q:Q,Orçamento!Y:Y)),"")</f>
        <v>21000</v>
      </c>
      <c r="I201" s="283">
        <f t="shared" ref="I201:I264" ca="1" si="9">IFERROR(IF(E201="","",G201*H201),"")</f>
        <v>21000</v>
      </c>
      <c r="J201" s="284">
        <f t="shared" ref="J201:J264" ca="1" si="10">IFERROR(IF(I201="","",I201/$I$6),0)</f>
        <v>3.012641461294967E-3</v>
      </c>
      <c r="K201" s="284">
        <f t="shared" ca="1" si="8"/>
        <v>0.68742557166064577</v>
      </c>
      <c r="M201" s="419"/>
    </row>
    <row r="202" spans="1:13" x14ac:dyDescent="0.2">
      <c r="A202" s="10" t="str">
        <f ca="1"/>
        <v>207474,347715472 - Guarda-corpos de aluminio e vidro</v>
      </c>
      <c r="B202" s="10">
        <f ca="1">IF(OR(A202="",A202=0),"",LARGE($B$8:B201,1)+1)</f>
        <v>194</v>
      </c>
      <c r="C202" s="7"/>
      <c r="D202" s="279">
        <f ca="1">IF(A202="","",COUNTIF(Orçamento!P:P,A202))</f>
        <v>0</v>
      </c>
      <c r="E202" s="280" t="str">
        <f ca="1">IFERROR(IF(A202="","",_xlfn.XLOOKUP(A202,'ABC Serviços Apoio'!C:C,'ABC Serviços Apoio'!A:A)),"")</f>
        <v>Guarda-corpos de aluminio e vidro</v>
      </c>
      <c r="F202" s="281" t="str">
        <f ca="1">IFERROR(IF(A202="","",_xlfn.XLOOKUP(E202,Orçamento!Q:Q,Orçamento!T:T)),"")</f>
        <v>M2</v>
      </c>
      <c r="G202" s="282">
        <f ca="1">IFERROR(IF(A202="","",SUMIF(Orçamento!Q:Q,E202,Orçamento!X:X)),"")</f>
        <v>249.684</v>
      </c>
      <c r="H202" s="283">
        <f ca="1">IFERROR(IF(A202="","",_xlfn.XLOOKUP(E202,Orçamento!Q:Q,Orçamento!Y:Y)),"")</f>
        <v>830.94770876576717</v>
      </c>
      <c r="I202" s="283">
        <f t="shared" ca="1" si="9"/>
        <v>207474.34771547181</v>
      </c>
      <c r="J202" s="284">
        <f t="shared" ca="1" si="10"/>
        <v>2.9764086765845674E-2</v>
      </c>
      <c r="K202" s="284">
        <f t="shared" ref="K202:K265" ca="1" si="11">J202+K201</f>
        <v>0.71718965842649141</v>
      </c>
      <c r="M202" s="419"/>
    </row>
    <row r="203" spans="1:13" x14ac:dyDescent="0.2">
      <c r="A203" s="10" t="str">
        <f ca="1"/>
        <v>2050 - Exaustao das churrasqueiras</v>
      </c>
      <c r="B203" s="10">
        <f ca="1">IF(OR(A203="",A203=0),"",LARGE($B$8:B202,1)+1)</f>
        <v>195</v>
      </c>
      <c r="C203" s="7"/>
      <c r="D203" s="279">
        <f ca="1">IF(A203="","",COUNTIF(Orçamento!P:P,A203))</f>
        <v>0</v>
      </c>
      <c r="E203" s="280" t="str">
        <f ca="1">IFERROR(IF(A203="","",_xlfn.XLOOKUP(A203,'ABC Serviços Apoio'!C:C,'ABC Serviços Apoio'!A:A)),"")</f>
        <v>Exaustao das churrasqueiras</v>
      </c>
      <c r="F203" s="281" t="str">
        <f ca="1">IFERROR(IF(A203="","",_xlfn.XLOOKUP(E203,Orçamento!Q:Q,Orçamento!T:T)),"")</f>
        <v>UN</v>
      </c>
      <c r="G203" s="282">
        <f ca="1">IFERROR(IF(A203="","",SUMIF(Orçamento!Q:Q,E203,Orçamento!X:X)),"")</f>
        <v>1</v>
      </c>
      <c r="H203" s="283">
        <f ca="1">IFERROR(IF(A203="","",_xlfn.XLOOKUP(E203,Orçamento!Q:Q,Orçamento!Y:Y)),"")</f>
        <v>2050</v>
      </c>
      <c r="I203" s="283">
        <f t="shared" ca="1" si="9"/>
        <v>2050</v>
      </c>
      <c r="J203" s="284">
        <f t="shared" ca="1" si="10"/>
        <v>2.9409119026927062E-4</v>
      </c>
      <c r="K203" s="284">
        <f t="shared" ca="1" si="11"/>
        <v>0.71748374961676065</v>
      </c>
      <c r="M203" s="419"/>
    </row>
    <row r="204" spans="1:13" x14ac:dyDescent="0.2">
      <c r="A204" s="10" t="str">
        <f ca="1"/>
        <v>2043,14996843519 - Instalacoes provisorias de rede elétrica</v>
      </c>
      <c r="B204" s="10">
        <f ca="1">IF(OR(A204="",A204=0),"",LARGE($B$8:B203,1)+1)</f>
        <v>196</v>
      </c>
      <c r="C204" s="7"/>
      <c r="D204" s="279">
        <f ca="1">IF(A204="","",COUNTIF(Orçamento!P:P,A204))</f>
        <v>0</v>
      </c>
      <c r="E204" s="280" t="str">
        <f ca="1">IFERROR(IF(A204="","",_xlfn.XLOOKUP(A204,'ABC Serviços Apoio'!C:C,'ABC Serviços Apoio'!A:A)),"")</f>
        <v>Instalacoes provisorias de rede elétrica</v>
      </c>
      <c r="F204" s="281" t="str">
        <f ca="1">IFERROR(IF(A204="","",_xlfn.XLOOKUP(E204,Orçamento!Q:Q,Orçamento!T:T)),"")</f>
        <v>VB</v>
      </c>
      <c r="G204" s="282">
        <f ca="1">IFERROR(IF(A204="","",SUMIF(Orçamento!Q:Q,E204,Orçamento!X:X)),"")</f>
        <v>1</v>
      </c>
      <c r="H204" s="283">
        <f ca="1">IFERROR(IF(A204="","",_xlfn.XLOOKUP(E204,Orçamento!Q:Q,Orçamento!Y:Y)),"")</f>
        <v>2043.1499684351852</v>
      </c>
      <c r="I204" s="283">
        <f t="shared" ca="1" si="9"/>
        <v>2043.1499684351852</v>
      </c>
      <c r="J204" s="284">
        <f t="shared" ca="1" si="10"/>
        <v>2.9310849078815918E-4</v>
      </c>
      <c r="K204" s="284">
        <f t="shared" ca="1" si="11"/>
        <v>0.71777685810754877</v>
      </c>
      <c r="M204" s="419"/>
    </row>
    <row r="205" spans="1:13" x14ac:dyDescent="0.2">
      <c r="A205" s="10" t="str">
        <f ca="1"/>
        <v>20353,9628842511 - Cabos e Fiacoes - Térreo</v>
      </c>
      <c r="B205" s="10">
        <f ca="1">IF(OR(A205="",A205=0),"",LARGE($B$8:B204,1)+1)</f>
        <v>197</v>
      </c>
      <c r="C205" s="7"/>
      <c r="D205" s="279">
        <f ca="1">IF(A205="","",COUNTIF(Orçamento!P:P,A205))</f>
        <v>0</v>
      </c>
      <c r="E205" s="280" t="str">
        <f ca="1">IFERROR(IF(A205="","",_xlfn.XLOOKUP(A205,'ABC Serviços Apoio'!C:C,'ABC Serviços Apoio'!A:A)),"")</f>
        <v>Cabos e Fiacoes - Térreo</v>
      </c>
      <c r="F205" s="281" t="str">
        <f ca="1">IFERROR(IF(A205="","",_xlfn.XLOOKUP(E205,Orçamento!Q:Q,Orçamento!T:T)),"")</f>
        <v>VB</v>
      </c>
      <c r="G205" s="282">
        <f ca="1">IFERROR(IF(A205="","",SUMIF(Orçamento!Q:Q,E205,Orçamento!X:X)),"")</f>
        <v>1</v>
      </c>
      <c r="H205" s="283">
        <f ca="1">IFERROR(IF(A205="","",_xlfn.XLOOKUP(E205,Orçamento!Q:Q,Orçamento!Y:Y)),"")</f>
        <v>20353.962884251054</v>
      </c>
      <c r="I205" s="283">
        <f t="shared" ca="1" si="9"/>
        <v>20353.962884251054</v>
      </c>
      <c r="J205" s="284">
        <f t="shared" ca="1" si="10"/>
        <v>2.9199615469882676E-3</v>
      </c>
      <c r="K205" s="284">
        <f t="shared" ca="1" si="11"/>
        <v>0.72069681965453702</v>
      </c>
      <c r="M205" s="419"/>
    </row>
    <row r="206" spans="1:13" x14ac:dyDescent="0.2">
      <c r="A206" s="10" t="str">
        <f ca="1"/>
        <v>20287,50528 - Porta de madeira- folha leve/média - 80x210cm- fixacao com espuma expansiva</v>
      </c>
      <c r="B206" s="10">
        <f ca="1">IF(OR(A206="",A206=0),"",LARGE($B$8:B205,1)+1)</f>
        <v>198</v>
      </c>
      <c r="C206" s="7"/>
      <c r="D206" s="279">
        <f ca="1">IF(A206="","",COUNTIF(Orçamento!P:P,A206))</f>
        <v>0</v>
      </c>
      <c r="E206" s="280" t="str">
        <f ca="1">IFERROR(IF(A206="","",_xlfn.XLOOKUP(A206,'ABC Serviços Apoio'!C:C,'ABC Serviços Apoio'!A:A)),"")</f>
        <v>Porta de madeira- folha leve/média - 80x210cm- fixacao com espuma expansiva</v>
      </c>
      <c r="F206" s="281" t="str">
        <f ca="1">IFERROR(IF(A206="","",_xlfn.XLOOKUP(E206,Orçamento!Q:Q,Orçamento!T:T)),"")</f>
        <v>UN</v>
      </c>
      <c r="G206" s="282">
        <f ca="1">IFERROR(IF(A206="","",SUMIF(Orçamento!Q:Q,E206,Orçamento!X:X)),"")</f>
        <v>42</v>
      </c>
      <c r="H206" s="283">
        <f ca="1">IFERROR(IF(A206="","",_xlfn.XLOOKUP(E206,Orçamento!Q:Q,Orçamento!Y:Y)),"")</f>
        <v>483.03584000000001</v>
      </c>
      <c r="I206" s="283">
        <f t="shared" ca="1" si="9"/>
        <v>20287.505280000001</v>
      </c>
      <c r="J206" s="284">
        <f t="shared" ca="1" si="10"/>
        <v>2.9104275977508841E-3</v>
      </c>
      <c r="K206" s="284">
        <f t="shared" ca="1" si="11"/>
        <v>0.72360724725228787</v>
      </c>
      <c r="M206" s="419"/>
    </row>
    <row r="207" spans="1:13" x14ac:dyDescent="0.2">
      <c r="A207" s="10" t="str">
        <f ca="1"/>
        <v>2022,75264 - Massa unica para reboco interno em argamassa estabilizada, de estrutura de concreto em teto</v>
      </c>
      <c r="B207" s="10">
        <f ca="1">IF(OR(A207="",A207=0),"",LARGE($B$8:B206,1)+1)</f>
        <v>199</v>
      </c>
      <c r="C207" s="7"/>
      <c r="D207" s="279">
        <f ca="1">IF(A207="","",COUNTIF(Orçamento!P:P,A207))</f>
        <v>0</v>
      </c>
      <c r="E207" s="280" t="str">
        <f ca="1">IFERROR(IF(A207="","",_xlfn.XLOOKUP(A207,'ABC Serviços Apoio'!C:C,'ABC Serviços Apoio'!A:A)),"")</f>
        <v>Massa unica para reboco interno em argamassa estabilizada, de estrutura de concreto em teto</v>
      </c>
      <c r="F207" s="281" t="str">
        <f ca="1">IFERROR(IF(A207="","",_xlfn.XLOOKUP(E207,Orçamento!Q:Q,Orçamento!T:T)),"")</f>
        <v>M2</v>
      </c>
      <c r="G207" s="282">
        <f ca="1">IFERROR(IF(A207="","",SUMIF(Orçamento!Q:Q,E207,Orçamento!X:X)),"")</f>
        <v>217.21999999999997</v>
      </c>
      <c r="H207" s="283">
        <f ca="1">IFERROR(IF(A207="","",_xlfn.XLOOKUP(E207,Orçamento!Q:Q,Orçamento!Y:Y)),"")</f>
        <v>9.3120000000000012</v>
      </c>
      <c r="I207" s="283">
        <f t="shared" ca="1" si="9"/>
        <v>2022.7526399999999</v>
      </c>
      <c r="J207" s="284">
        <f t="shared" ca="1" si="10"/>
        <v>2.9018230805751677E-4</v>
      </c>
      <c r="K207" s="284">
        <f t="shared" ca="1" si="11"/>
        <v>0.72389742956034542</v>
      </c>
      <c r="M207" s="419"/>
    </row>
    <row r="208" spans="1:13" x14ac:dyDescent="0.2">
      <c r="A208" s="10" t="str">
        <f ca="1"/>
        <v>2000 - Taxa de Alvará</v>
      </c>
      <c r="B208" s="10">
        <f ca="1">IF(OR(A208="",A208=0),"",LARGE($B$8:B207,1)+1)</f>
        <v>200</v>
      </c>
      <c r="C208" s="7"/>
      <c r="D208" s="279">
        <f ca="1">IF(A208="","",COUNTIF(Orçamento!P:P,A208))</f>
        <v>0</v>
      </c>
      <c r="E208" s="280" t="str">
        <f ca="1">IFERROR(IF(A208="","",_xlfn.XLOOKUP(A208,'ABC Serviços Apoio'!C:C,'ABC Serviços Apoio'!A:A)),"")</f>
        <v>Taxa de Alvará</v>
      </c>
      <c r="F208" s="281" t="str">
        <f ca="1">IFERROR(IF(A208="","",_xlfn.XLOOKUP(E208,Orçamento!Q:Q,Orçamento!T:T)),"")</f>
        <v>VB</v>
      </c>
      <c r="G208" s="282">
        <f ca="1">IFERROR(IF(A208="","",SUMIF(Orçamento!Q:Q,E208,Orçamento!X:X)),"")</f>
        <v>1</v>
      </c>
      <c r="H208" s="283">
        <f ca="1">IFERROR(IF(A208="","",_xlfn.XLOOKUP(E208,Orçamento!Q:Q,Orçamento!Y:Y)),"")</f>
        <v>2000</v>
      </c>
      <c r="I208" s="283">
        <f t="shared" ca="1" si="9"/>
        <v>2000</v>
      </c>
      <c r="J208" s="284">
        <f t="shared" ca="1" si="10"/>
        <v>2.8691823440904447E-4</v>
      </c>
      <c r="K208" s="284">
        <f t="shared" ca="1" si="11"/>
        <v>0.72418434779475449</v>
      </c>
      <c r="M208" s="419"/>
    </row>
    <row r="209" spans="1:13" x14ac:dyDescent="0.2">
      <c r="A209" s="10" t="str">
        <f ca="1"/>
        <v>19934,97571464 - Fabricação de fôrma para laje em chapa de madeira compensada plastificada e=14 mm - 2 jogos</v>
      </c>
      <c r="B209" s="10">
        <f ca="1">IF(OR(A209="",A209=0),"",LARGE($B$8:B208,1)+1)</f>
        <v>201</v>
      </c>
      <c r="C209" s="7"/>
      <c r="D209" s="279">
        <f ca="1">IF(A209="","",COUNTIF(Orçamento!P:P,A209))</f>
        <v>0</v>
      </c>
      <c r="E209" s="280" t="str">
        <f ca="1">IFERROR(IF(A209="","",_xlfn.XLOOKUP(A209,'ABC Serviços Apoio'!C:C,'ABC Serviços Apoio'!A:A)),"")</f>
        <v>Fabricação de fôrma para laje em chapa de madeira compensada plastificada e=14 mm - 2 jogos</v>
      </c>
      <c r="F209" s="281" t="str">
        <f ca="1">IFERROR(IF(A209="","",_xlfn.XLOOKUP(E209,Orçamento!Q:Q,Orçamento!T:T)),"")</f>
        <v>M2</v>
      </c>
      <c r="G209" s="282">
        <f ca="1">IFERROR(IF(A209="","",SUMIF(Orçamento!Q:Q,E209,Orçamento!X:X)),"")</f>
        <v>335.9348</v>
      </c>
      <c r="H209" s="283">
        <f ca="1">IFERROR(IF(A209="","",_xlfn.XLOOKUP(E209,Orçamento!Q:Q,Orçamento!Y:Y)),"")</f>
        <v>59.341799999999999</v>
      </c>
      <c r="I209" s="283">
        <f t="shared" ca="1" si="9"/>
        <v>19934.975714640001</v>
      </c>
      <c r="J209" s="284">
        <f t="shared" ca="1" si="10"/>
        <v>2.8598540175158445E-3</v>
      </c>
      <c r="K209" s="284">
        <f t="shared" ca="1" si="11"/>
        <v>0.72704420181227036</v>
      </c>
      <c r="M209" s="419"/>
    </row>
    <row r="210" spans="1:13" x14ac:dyDescent="0.2">
      <c r="A210" s="10" t="str">
        <f ca="1"/>
        <v>1981,69154488178 - Mao de obra para pintura Epoxi - Faixa Garagens</v>
      </c>
      <c r="B210" s="10">
        <f ca="1">IF(OR(A210="",A210=0),"",LARGE($B$8:B209,1)+1)</f>
        <v>202</v>
      </c>
      <c r="C210" s="7"/>
      <c r="D210" s="279">
        <f ca="1">IF(A210="","",COUNTIF(Orçamento!P:P,A210))</f>
        <v>0</v>
      </c>
      <c r="E210" s="280" t="str">
        <f ca="1">IFERROR(IF(A210="","",_xlfn.XLOOKUP(A210,'ABC Serviços Apoio'!C:C,'ABC Serviços Apoio'!A:A)),"")</f>
        <v>Mao de obra para pintura Epoxi - Faixa Garagens</v>
      </c>
      <c r="F210" s="281" t="str">
        <f ca="1">IFERROR(IF(A210="","",_xlfn.XLOOKUP(E210,Orçamento!Q:Q,Orçamento!T:T)),"")</f>
        <v>M2</v>
      </c>
      <c r="G210" s="282">
        <f ca="1">IFERROR(IF(A210="","",SUMIF(Orçamento!Q:Q,E210,Orçamento!X:X)),"")</f>
        <v>44.08</v>
      </c>
      <c r="H210" s="283">
        <f ca="1">IFERROR(IF(A210="","",_xlfn.XLOOKUP(E210,Orçamento!Q:Q,Orçamento!Y:Y)),"")</f>
        <v>44.956704738697304</v>
      </c>
      <c r="I210" s="283">
        <f t="shared" ca="1" si="9"/>
        <v>1981.6915448817772</v>
      </c>
      <c r="J210" s="284">
        <f t="shared" ca="1" si="10"/>
        <v>2.8429171960040562E-4</v>
      </c>
      <c r="K210" s="284">
        <f t="shared" ca="1" si="11"/>
        <v>0.72732849353187079</v>
      </c>
      <c r="M210" s="419"/>
    </row>
    <row r="211" spans="1:13" x14ac:dyDescent="0.2">
      <c r="A211" s="10" t="str">
        <f ca="1"/>
        <v>198 - Acabamento de Registro</v>
      </c>
      <c r="B211" s="10">
        <f ca="1">IF(OR(A211="",A211=0),"",LARGE($B$8:B210,1)+1)</f>
        <v>203</v>
      </c>
      <c r="C211" s="7"/>
      <c r="D211" s="279">
        <f ca="1">IF(A211="","",COUNTIF(Orçamento!P:P,A211))</f>
        <v>0</v>
      </c>
      <c r="E211" s="280" t="str">
        <f ca="1">IFERROR(IF(A211="","",_xlfn.XLOOKUP(A211,'ABC Serviços Apoio'!C:C,'ABC Serviços Apoio'!A:A)),"")</f>
        <v>Acabamento de Registro</v>
      </c>
      <c r="F211" s="281" t="str">
        <f ca="1">IFERROR(IF(A211="","",_xlfn.XLOOKUP(E211,Orçamento!Q:Q,Orçamento!T:T)),"")</f>
        <v>UN</v>
      </c>
      <c r="G211" s="282">
        <f ca="1">IFERROR(IF(A211="","",SUMIF(Orçamento!Q:Q,E211,Orçamento!X:X)),"")</f>
        <v>3</v>
      </c>
      <c r="H211" s="283">
        <f ca="1">IFERROR(IF(A211="","",_xlfn.XLOOKUP(E211,Orçamento!Q:Q,Orçamento!Y:Y)),"")</f>
        <v>66</v>
      </c>
      <c r="I211" s="283">
        <f t="shared" ca="1" si="9"/>
        <v>198</v>
      </c>
      <c r="J211" s="284">
        <f t="shared" ca="1" si="10"/>
        <v>2.8404905206495404E-5</v>
      </c>
      <c r="K211" s="284">
        <f t="shared" ca="1" si="11"/>
        <v>0.72735689843707729</v>
      </c>
      <c r="M211" s="419"/>
    </row>
    <row r="212" spans="1:13" x14ac:dyDescent="0.2">
      <c r="A212" s="10" t="str">
        <f ca="1"/>
        <v>19432,3 - Comunicacao visual</v>
      </c>
      <c r="B212" s="10">
        <f ca="1">IF(OR(A212="",A212=0),"",LARGE($B$8:B211,1)+1)</f>
        <v>204</v>
      </c>
      <c r="C212" s="7"/>
      <c r="D212" s="279">
        <f ca="1">IF(A212="","",COUNTIF(Orçamento!P:P,A212))</f>
        <v>0</v>
      </c>
      <c r="E212" s="280" t="str">
        <f ca="1">IFERROR(IF(A212="","",_xlfn.XLOOKUP(A212,'ABC Serviços Apoio'!C:C,'ABC Serviços Apoio'!A:A)),"")</f>
        <v>Comunicacao visual</v>
      </c>
      <c r="F212" s="281" t="str">
        <f ca="1">IFERROR(IF(A212="","",_xlfn.XLOOKUP(E212,Orçamento!Q:Q,Orçamento!T:T)),"")</f>
        <v>VB</v>
      </c>
      <c r="G212" s="282">
        <f ca="1">IFERROR(IF(A212="","",SUMIF(Orçamento!Q:Q,E212,Orçamento!X:X)),"")</f>
        <v>1</v>
      </c>
      <c r="H212" s="283">
        <f ca="1">IFERROR(IF(A212="","",_xlfn.XLOOKUP(E212,Orçamento!Q:Q,Orçamento!Y:Y)),"")</f>
        <v>19432.3</v>
      </c>
      <c r="I212" s="283">
        <f t="shared" ca="1" si="9"/>
        <v>19432.3</v>
      </c>
      <c r="J212" s="284">
        <f t="shared" ca="1" si="10"/>
        <v>2.7877406032534376E-3</v>
      </c>
      <c r="K212" s="284">
        <f t="shared" ca="1" si="11"/>
        <v>0.73014463904033078</v>
      </c>
      <c r="M212" s="419"/>
    </row>
    <row r="213" spans="1:13" x14ac:dyDescent="0.2">
      <c r="A213" s="10" t="str">
        <f ca="1"/>
        <v>19417,177605 - Protecao mecanica de superficie com argamassa de cimento e areia , traço 1:3, E=5cm</v>
      </c>
      <c r="B213" s="10">
        <f ca="1">IF(OR(A213="",A213=0),"",LARGE($B$8:B212,1)+1)</f>
        <v>205</v>
      </c>
      <c r="C213" s="7"/>
      <c r="D213" s="279">
        <f ca="1">IF(A213="","",COUNTIF(Orçamento!P:P,A213))</f>
        <v>0</v>
      </c>
      <c r="E213" s="280" t="str">
        <f ca="1">IFERROR(IF(A213="","",_xlfn.XLOOKUP(A213,'ABC Serviços Apoio'!C:C,'ABC Serviços Apoio'!A:A)),"")</f>
        <v>Protecao mecanica de superficie com argamassa de cimento e areia , traço 1:3, E=5cm</v>
      </c>
      <c r="F213" s="281" t="str">
        <f ca="1">IFERROR(IF(A213="","",_xlfn.XLOOKUP(E213,Orçamento!Q:Q,Orçamento!T:T)),"")</f>
        <v>M2</v>
      </c>
      <c r="G213" s="282">
        <f ca="1">IFERROR(IF(A213="","",SUMIF(Orçamento!Q:Q,E213,Orçamento!X:X)),"")</f>
        <v>484.89</v>
      </c>
      <c r="H213" s="283">
        <f ca="1">IFERROR(IF(A213="","",_xlfn.XLOOKUP(E213,Orçamento!Q:Q,Orçamento!Y:Y)),"")</f>
        <v>40.044499999999999</v>
      </c>
      <c r="I213" s="283">
        <f t="shared" ca="1" si="9"/>
        <v>19417.177605000001</v>
      </c>
      <c r="J213" s="284">
        <f t="shared" ca="1" si="10"/>
        <v>2.7855711578167199E-3</v>
      </c>
      <c r="K213" s="284">
        <f t="shared" ca="1" si="11"/>
        <v>0.73293021019814752</v>
      </c>
      <c r="M213" s="419"/>
    </row>
    <row r="214" spans="1:13" x14ac:dyDescent="0.2">
      <c r="A214" s="10" t="str">
        <f ca="1"/>
        <v>19330,106 - Bacia com Caixa Acoplada</v>
      </c>
      <c r="B214" s="10">
        <f ca="1">IF(OR(A214="",A214=0),"",LARGE($B$8:B213,1)+1)</f>
        <v>206</v>
      </c>
      <c r="C214" s="7"/>
      <c r="D214" s="279">
        <f ca="1">IF(A214="","",COUNTIF(Orçamento!P:P,A214))</f>
        <v>0</v>
      </c>
      <c r="E214" s="280" t="str">
        <f ca="1">IFERROR(IF(A214="","",_xlfn.XLOOKUP(A214,'ABC Serviços Apoio'!C:C,'ABC Serviços Apoio'!A:A)),"")</f>
        <v>Bacia com Caixa Acoplada</v>
      </c>
      <c r="F214" s="281" t="str">
        <f ca="1">IFERROR(IF(A214="","",_xlfn.XLOOKUP(E214,Orçamento!Q:Q,Orçamento!T:T)),"")</f>
        <v>UN</v>
      </c>
      <c r="G214" s="282">
        <f ca="1">IFERROR(IF(A214="","",SUMIF(Orçamento!Q:Q,E214,Orçamento!X:X)),"")</f>
        <v>41</v>
      </c>
      <c r="H214" s="283">
        <f ca="1">IFERROR(IF(A214="","",_xlfn.XLOOKUP(E214,Orçamento!Q:Q,Orçamento!Y:Y)),"")</f>
        <v>471.46600000000001</v>
      </c>
      <c r="I214" s="283">
        <f t="shared" ca="1" si="9"/>
        <v>19330.106</v>
      </c>
      <c r="J214" s="284">
        <f t="shared" ca="1" si="10"/>
        <v>2.7730799422298388E-3</v>
      </c>
      <c r="K214" s="284">
        <f t="shared" ca="1" si="11"/>
        <v>0.73570329014037739</v>
      </c>
      <c r="M214" s="419"/>
    </row>
    <row r="215" spans="1:13" x14ac:dyDescent="0.2">
      <c r="A215" s="10" t="str">
        <f ca="1"/>
        <v>193,904928 - Piso cimentado com argamassa de cimento e areia traço 1:3, espessura 1,5cm</v>
      </c>
      <c r="B215" s="10">
        <f ca="1">IF(OR(A215="",A215=0),"",LARGE($B$8:B214,1)+1)</f>
        <v>207</v>
      </c>
      <c r="C215" s="7"/>
      <c r="D215" s="279">
        <f ca="1">IF(A215="","",COUNTIF(Orçamento!P:P,A215))</f>
        <v>0</v>
      </c>
      <c r="E215" s="280" t="str">
        <f ca="1">IFERROR(IF(A215="","",_xlfn.XLOOKUP(A215,'ABC Serviços Apoio'!C:C,'ABC Serviços Apoio'!A:A)),"")</f>
        <v>Piso cimentado com argamassa de cimento e areia traço 1:3, espessura 1,5cm</v>
      </c>
      <c r="F215" s="281" t="str">
        <f ca="1">IFERROR(IF(A215="","",_xlfn.XLOOKUP(E215,Orçamento!Q:Q,Orçamento!T:T)),"")</f>
        <v>M2</v>
      </c>
      <c r="G215" s="282">
        <f ca="1">IFERROR(IF(A215="","",SUMIF(Orçamento!Q:Q,E215,Orçamento!X:X)),"")</f>
        <v>30.24</v>
      </c>
      <c r="H215" s="283">
        <f ca="1">IFERROR(IF(A215="","",_xlfn.XLOOKUP(E215,Orçamento!Q:Q,Orçamento!Y:Y)),"")</f>
        <v>6.4122000000000003</v>
      </c>
      <c r="I215" s="283">
        <f t="shared" ca="1" si="9"/>
        <v>193.90492800000001</v>
      </c>
      <c r="J215" s="284">
        <f t="shared" ca="1" si="10"/>
        <v>2.781742979248645E-5</v>
      </c>
      <c r="K215" s="284">
        <f t="shared" ca="1" si="11"/>
        <v>0.73573110757016991</v>
      </c>
      <c r="M215" s="419"/>
    </row>
    <row r="216" spans="1:13" x14ac:dyDescent="0.2">
      <c r="A216" s="10" t="str">
        <f ca="1"/>
        <v>193,5131 - Armacao Tela Q246 para supraestrutura</v>
      </c>
      <c r="B216" s="10">
        <f ca="1">IF(OR(A216="",A216=0),"",LARGE($B$8:B215,1)+1)</f>
        <v>208</v>
      </c>
      <c r="C216" s="7"/>
      <c r="D216" s="279">
        <f ca="1">IF(A216="","",COUNTIF(Orçamento!P:P,A216))</f>
        <v>0</v>
      </c>
      <c r="E216" s="280" t="str">
        <f ca="1">IFERROR(IF(A216="","",_xlfn.XLOOKUP(A216,'ABC Serviços Apoio'!C:C,'ABC Serviços Apoio'!A:A)),"")</f>
        <v>Armacao Tela Q246 para supraestrutura</v>
      </c>
      <c r="F216" s="281" t="str">
        <f ca="1">IFERROR(IF(A216="","",_xlfn.XLOOKUP(E216,Orçamento!Q:Q,Orçamento!T:T)),"")</f>
        <v>KG</v>
      </c>
      <c r="G216" s="282">
        <f ca="1">IFERROR(IF(A216="","",SUMIF(Orçamento!Q:Q,E216,Orçamento!X:X)),"")</f>
        <v>19</v>
      </c>
      <c r="H216" s="283">
        <f ca="1">IFERROR(IF(A216="","",_xlfn.XLOOKUP(E216,Orçamento!Q:Q,Orçamento!Y:Y)),"")</f>
        <v>10.184900000000001</v>
      </c>
      <c r="I216" s="283">
        <f t="shared" ca="1" si="9"/>
        <v>193.51310000000001</v>
      </c>
      <c r="J216" s="284">
        <f t="shared" ca="1" si="10"/>
        <v>2.7761218493510435E-5</v>
      </c>
      <c r="K216" s="284">
        <f t="shared" ca="1" si="11"/>
        <v>0.73575886878866337</v>
      </c>
      <c r="M216" s="419"/>
    </row>
    <row r="217" spans="1:13" x14ac:dyDescent="0.2">
      <c r="A217" s="10" t="str">
        <f ca="1"/>
        <v>19031,354430352 - Armacao aco CA-50 ø 20.0mm para supraestrutura corte e dobra em indústria</v>
      </c>
      <c r="B217" s="10">
        <f ca="1">IF(OR(A217="",A217=0),"",LARGE($B$8:B216,1)+1)</f>
        <v>209</v>
      </c>
      <c r="C217" s="7"/>
      <c r="D217" s="279">
        <f ca="1">IF(A217="","",COUNTIF(Orçamento!P:P,A217))</f>
        <v>0</v>
      </c>
      <c r="E217" s="280" t="str">
        <f ca="1">IFERROR(IF(A217="","",_xlfn.XLOOKUP(A217,'ABC Serviços Apoio'!C:C,'ABC Serviços Apoio'!A:A)),"")</f>
        <v>Armacao aco CA-50 ø 20.0mm para supraestrutura corte e dobra em indústria</v>
      </c>
      <c r="F217" s="281" t="str">
        <f ca="1">IFERROR(IF(A217="","",_xlfn.XLOOKUP(E217,Orçamento!Q:Q,Orçamento!T:T)),"")</f>
        <v>KG</v>
      </c>
      <c r="G217" s="282">
        <f ca="1">IFERROR(IF(A217="","",SUMIF(Orçamento!Q:Q,E217,Orçamento!X:X)),"")</f>
        <v>3095.4704000000002</v>
      </c>
      <c r="H217" s="283">
        <f ca="1">IFERROR(IF(A217="","",_xlfn.XLOOKUP(E217,Orçamento!Q:Q,Orçamento!Y:Y)),"")</f>
        <v>6.148130000000001</v>
      </c>
      <c r="I217" s="283">
        <f t="shared" ca="1" si="9"/>
        <v>19031.354430352003</v>
      </c>
      <c r="J217" s="284">
        <f t="shared" ca="1" si="10"/>
        <v>2.7302213057846716E-3</v>
      </c>
      <c r="K217" s="284">
        <f t="shared" ca="1" si="11"/>
        <v>0.73848909009444808</v>
      </c>
      <c r="M217" s="419"/>
    </row>
    <row r="218" spans="1:13" x14ac:dyDescent="0.2">
      <c r="A218" s="10" t="str">
        <f ca="1"/>
        <v>18900,9012524117 - Instalacoes de Agua Fria - Tipo (5X)</v>
      </c>
      <c r="B218" s="10">
        <f ca="1">IF(OR(A218="",A218=0),"",LARGE($B$8:B217,1)+1)</f>
        <v>210</v>
      </c>
      <c r="C218" s="7"/>
      <c r="D218" s="279">
        <f ca="1">IF(A218="","",COUNTIF(Orçamento!P:P,A218))</f>
        <v>0</v>
      </c>
      <c r="E218" s="280" t="str">
        <f ca="1">IFERROR(IF(A218="","",_xlfn.XLOOKUP(A218,'ABC Serviços Apoio'!C:C,'ABC Serviços Apoio'!A:A)),"")</f>
        <v>Instalacoes de Agua Fria - Tipo (5X)</v>
      </c>
      <c r="F218" s="281" t="str">
        <f ca="1">IFERROR(IF(A218="","",_xlfn.XLOOKUP(E218,Orçamento!Q:Q,Orçamento!T:T)),"")</f>
        <v>VB</v>
      </c>
      <c r="G218" s="282">
        <f ca="1">IFERROR(IF(A218="","",SUMIF(Orçamento!Q:Q,E218,Orçamento!X:X)),"")</f>
        <v>1</v>
      </c>
      <c r="H218" s="283">
        <f ca="1">IFERROR(IF(A218="","",_xlfn.XLOOKUP(E218,Orçamento!Q:Q,Orçamento!Y:Y)),"")</f>
        <v>18900.901252411702</v>
      </c>
      <c r="I218" s="283">
        <f t="shared" ca="1" si="9"/>
        <v>18900.901252411702</v>
      </c>
      <c r="J218" s="284">
        <f t="shared" ca="1" si="10"/>
        <v>2.7115066080408319E-3</v>
      </c>
      <c r="K218" s="284">
        <f t="shared" ca="1" si="11"/>
        <v>0.74120059670248895</v>
      </c>
      <c r="M218" s="419"/>
    </row>
    <row r="219" spans="1:13" x14ac:dyDescent="0.2">
      <c r="A219" s="10" t="str">
        <f ca="1"/>
        <v>1890,55332975734 - Instalacoes de Aguas Pluviais - Cobertura</v>
      </c>
      <c r="B219" s="10">
        <f ca="1">IF(OR(A219="",A219=0),"",LARGE($B$8:B218,1)+1)</f>
        <v>211</v>
      </c>
      <c r="C219" s="7"/>
      <c r="D219" s="279">
        <f ca="1">IF(A219="","",COUNTIF(Orçamento!P:P,A219))</f>
        <v>0</v>
      </c>
      <c r="E219" s="280" t="str">
        <f ca="1">IFERROR(IF(A219="","",_xlfn.XLOOKUP(A219,'ABC Serviços Apoio'!C:C,'ABC Serviços Apoio'!A:A)),"")</f>
        <v>Instalacoes de Aguas Pluviais - Cobertura</v>
      </c>
      <c r="F219" s="281" t="str">
        <f ca="1">IFERROR(IF(A219="","",_xlfn.XLOOKUP(E219,Orçamento!Q:Q,Orçamento!T:T)),"")</f>
        <v>VB</v>
      </c>
      <c r="G219" s="282">
        <f ca="1">IFERROR(IF(A219="","",SUMIF(Orçamento!Q:Q,E219,Orçamento!X:X)),"")</f>
        <v>1</v>
      </c>
      <c r="H219" s="283">
        <f ca="1">IFERROR(IF(A219="","",_xlfn.XLOOKUP(E219,Orçamento!Q:Q,Orçamento!Y:Y)),"")</f>
        <v>1890.5533297573372</v>
      </c>
      <c r="I219" s="283">
        <f t="shared" ca="1" si="9"/>
        <v>1890.5533297573372</v>
      </c>
      <c r="J219" s="284">
        <f t="shared" ca="1" si="10"/>
        <v>2.7121711171505764E-4</v>
      </c>
      <c r="K219" s="284">
        <f t="shared" ca="1" si="11"/>
        <v>0.74147181381420402</v>
      </c>
      <c r="M219" s="419"/>
    </row>
    <row r="220" spans="1:13" x14ac:dyDescent="0.2">
      <c r="A220" s="10" t="str">
        <f ca="1"/>
        <v>1890,09012524117 - Luminárias e Acessorios - Tipo (x5)</v>
      </c>
      <c r="B220" s="10">
        <f ca="1">IF(OR(A220="",A220=0),"",LARGE($B$8:B219,1)+1)</f>
        <v>212</v>
      </c>
      <c r="C220" s="7"/>
      <c r="D220" s="279">
        <f ca="1">IF(A220="","",COUNTIF(Orçamento!P:P,A220))</f>
        <v>0</v>
      </c>
      <c r="E220" s="280" t="str">
        <f ca="1">IFERROR(IF(A220="","",_xlfn.XLOOKUP(A220,'ABC Serviços Apoio'!C:C,'ABC Serviços Apoio'!A:A)),"")</f>
        <v>Luminárias e Acessorios - Tipo (x5)</v>
      </c>
      <c r="F220" s="281" t="str">
        <f ca="1">IFERROR(IF(A220="","",_xlfn.XLOOKUP(E220,Orçamento!Q:Q,Orçamento!T:T)),"")</f>
        <v>VB</v>
      </c>
      <c r="G220" s="282">
        <f ca="1">IFERROR(IF(A220="","",SUMIF(Orçamento!Q:Q,E220,Orçamento!X:X)),"")</f>
        <v>1</v>
      </c>
      <c r="H220" s="283">
        <f ca="1">IFERROR(IF(A220="","",_xlfn.XLOOKUP(E220,Orçamento!Q:Q,Orçamento!Y:Y)),"")</f>
        <v>1890.0901252411704</v>
      </c>
      <c r="I220" s="283">
        <f t="shared" ca="1" si="9"/>
        <v>1890.0901252411704</v>
      </c>
      <c r="J220" s="284">
        <f t="shared" ca="1" si="10"/>
        <v>2.7115066080408322E-4</v>
      </c>
      <c r="K220" s="284">
        <f t="shared" ca="1" si="11"/>
        <v>0.74174296447500809</v>
      </c>
      <c r="M220" s="419"/>
    </row>
    <row r="221" spans="1:13" x14ac:dyDescent="0.2">
      <c r="A221" s="10" t="str">
        <f ca="1"/>
        <v>187800 - Elevador social</v>
      </c>
      <c r="B221" s="10">
        <f ca="1">IF(OR(A221="",A221=0),"",LARGE($B$8:B220,1)+1)</f>
        <v>213</v>
      </c>
      <c r="C221" s="7"/>
      <c r="D221" s="279">
        <f ca="1">IF(A221="","",COUNTIF(Orçamento!P:P,A221))</f>
        <v>0</v>
      </c>
      <c r="E221" s="280" t="str">
        <f ca="1">IFERROR(IF(A221="","",_xlfn.XLOOKUP(A221,'ABC Serviços Apoio'!C:C,'ABC Serviços Apoio'!A:A)),"")</f>
        <v>Elevador social</v>
      </c>
      <c r="F221" s="281" t="str">
        <f ca="1">IFERROR(IF(A221="","",_xlfn.XLOOKUP(E221,Orçamento!Q:Q,Orçamento!T:T)),"")</f>
        <v>UN</v>
      </c>
      <c r="G221" s="282">
        <f ca="1">IFERROR(IF(A221="","",SUMIF(Orçamento!Q:Q,E221,Orçamento!X:X)),"")</f>
        <v>1</v>
      </c>
      <c r="H221" s="283">
        <f ca="1">IFERROR(IF(A221="","",_xlfn.XLOOKUP(E221,Orçamento!Q:Q,Orçamento!Y:Y)),"")</f>
        <v>187800</v>
      </c>
      <c r="I221" s="283">
        <f t="shared" ca="1" si="9"/>
        <v>187800</v>
      </c>
      <c r="J221" s="284">
        <f t="shared" ca="1" si="10"/>
        <v>2.6941622211009278E-2</v>
      </c>
      <c r="K221" s="284">
        <f t="shared" ca="1" si="11"/>
        <v>0.76868458668601736</v>
      </c>
      <c r="M221" s="419"/>
    </row>
    <row r="222" spans="1:13" x14ac:dyDescent="0.2">
      <c r="A222" s="10" t="str">
        <f ca="1"/>
        <v>186300 - Mao de obra para reboco externo, inclui chapisco</v>
      </c>
      <c r="B222" s="10">
        <f ca="1">IF(OR(A222="",A222=0),"",LARGE($B$8:B221,1)+1)</f>
        <v>214</v>
      </c>
      <c r="C222" s="7"/>
      <c r="D222" s="279">
        <f ca="1">IF(A222="","",COUNTIF(Orçamento!P:P,A222))</f>
        <v>0</v>
      </c>
      <c r="E222" s="280" t="str">
        <f ca="1">IFERROR(IF(A222="","",_xlfn.XLOOKUP(A222,'ABC Serviços Apoio'!C:C,'ABC Serviços Apoio'!A:A)),"")</f>
        <v>Mao de obra para reboco externo, inclui chapisco</v>
      </c>
      <c r="F222" s="281" t="str">
        <f ca="1">IFERROR(IF(A222="","",_xlfn.XLOOKUP(E222,Orçamento!Q:Q,Orçamento!T:T)),"")</f>
        <v>M2</v>
      </c>
      <c r="G222" s="282">
        <f ca="1">IFERROR(IF(A222="","",SUMIF(Orçamento!Q:Q,E222,Orçamento!X:X)),"")</f>
        <v>1878.05</v>
      </c>
      <c r="H222" s="283">
        <f ca="1">IFERROR(IF(A222="","",_xlfn.XLOOKUP(E222,Orçamento!Q:Q,Orçamento!Y:Y)),"")</f>
        <v>99.198636884002028</v>
      </c>
      <c r="I222" s="283">
        <f t="shared" ca="1" si="9"/>
        <v>186300</v>
      </c>
      <c r="J222" s="284">
        <f t="shared" ca="1" si="10"/>
        <v>2.6726433535202494E-2</v>
      </c>
      <c r="K222" s="284">
        <f t="shared" ca="1" si="11"/>
        <v>0.7954110202212199</v>
      </c>
      <c r="M222" s="419"/>
    </row>
    <row r="223" spans="1:13" x14ac:dyDescent="0.2">
      <c r="A223" s="10" t="str">
        <f ca="1"/>
        <v>1853 - Tela Soldada para Ligacao Alvenaria/Estrutura em Chapisco Externo 7,5x50cm</v>
      </c>
      <c r="B223" s="10">
        <f ca="1">IF(OR(A223="",A223=0),"",LARGE($B$8:B222,1)+1)</f>
        <v>215</v>
      </c>
      <c r="C223" s="7"/>
      <c r="D223" s="279">
        <f ca="1">IF(A223="","",COUNTIF(Orçamento!P:P,A223))</f>
        <v>0</v>
      </c>
      <c r="E223" s="280" t="str">
        <f ca="1">IFERROR(IF(A223="","",_xlfn.XLOOKUP(A223,'ABC Serviços Apoio'!C:C,'ABC Serviços Apoio'!A:A)),"")</f>
        <v>Tela Soldada para Ligacao Alvenaria/Estrutura em Chapisco Externo 7,5x50cm</v>
      </c>
      <c r="F223" s="281" t="str">
        <f ca="1">IFERROR(IF(A223="","",_xlfn.XLOOKUP(E223,Orçamento!Q:Q,Orçamento!T:T)),"")</f>
        <v>UN</v>
      </c>
      <c r="G223" s="282">
        <f ca="1">IFERROR(IF(A223="","",SUMIF(Orçamento!Q:Q,E223,Orçamento!X:X)),"")</f>
        <v>1090</v>
      </c>
      <c r="H223" s="283">
        <f ca="1">IFERROR(IF(A223="","",_xlfn.XLOOKUP(E223,Orçamento!Q:Q,Orçamento!Y:Y)),"")</f>
        <v>1.7000000000000002</v>
      </c>
      <c r="I223" s="283">
        <f t="shared" ca="1" si="9"/>
        <v>1853.0000000000002</v>
      </c>
      <c r="J223" s="284">
        <f t="shared" ca="1" si="10"/>
        <v>2.6582974417997977E-4</v>
      </c>
      <c r="K223" s="284">
        <f t="shared" ca="1" si="11"/>
        <v>0.79567684996539989</v>
      </c>
      <c r="M223" s="419"/>
    </row>
    <row r="224" spans="1:13" x14ac:dyDescent="0.2">
      <c r="A224" s="10" t="str">
        <f ca="1"/>
        <v>1848 - Despesas de consumo - Cópias</v>
      </c>
      <c r="B224" s="10">
        <f ca="1">IF(OR(A224="",A224=0),"",LARGE($B$8:B223,1)+1)</f>
        <v>216</v>
      </c>
      <c r="C224" s="7"/>
      <c r="D224" s="279">
        <f ca="1">IF(A224="","",COUNTIF(Orçamento!P:P,A224))</f>
        <v>0</v>
      </c>
      <c r="E224" s="280" t="str">
        <f ca="1">IFERROR(IF(A224="","",_xlfn.XLOOKUP(A224,'ABC Serviços Apoio'!C:C,'ABC Serviços Apoio'!A:A)),"")</f>
        <v>Despesas de consumo - Cópias</v>
      </c>
      <c r="F224" s="281" t="str">
        <f ca="1">IFERROR(IF(A224="","",_xlfn.XLOOKUP(E224,Orçamento!Q:Q,Orçamento!T:T)),"")</f>
        <v>MES</v>
      </c>
      <c r="G224" s="282">
        <f ca="1">IFERROR(IF(A224="","",SUMIF(Orçamento!Q:Q,E224,Orçamento!X:X)),"")</f>
        <v>22</v>
      </c>
      <c r="H224" s="283">
        <f ca="1">IFERROR(IF(A224="","",_xlfn.XLOOKUP(E224,Orçamento!Q:Q,Orçamento!Y:Y)),"")</f>
        <v>84</v>
      </c>
      <c r="I224" s="283">
        <f t="shared" ca="1" si="9"/>
        <v>1848</v>
      </c>
      <c r="J224" s="284">
        <f t="shared" ca="1" si="10"/>
        <v>2.6511244859395714E-4</v>
      </c>
      <c r="K224" s="284">
        <f t="shared" ca="1" si="11"/>
        <v>0.79594196241399384</v>
      </c>
      <c r="M224" s="419"/>
    </row>
    <row r="225" spans="1:13" x14ac:dyDescent="0.2">
      <c r="A225" s="10" t="str">
        <f ca="1"/>
        <v>182850 - Mao de obra - para execucao de infraestrutura</v>
      </c>
      <c r="B225" s="10">
        <f ca="1">IF(OR(A225="",A225=0),"",LARGE($B$8:B224,1)+1)</f>
        <v>217</v>
      </c>
      <c r="C225" s="7"/>
      <c r="D225" s="279">
        <f ca="1">IF(A225="","",COUNTIF(Orçamento!P:P,A225))</f>
        <v>0</v>
      </c>
      <c r="E225" s="280" t="str">
        <f ca="1">IFERROR(IF(A225="","",_xlfn.XLOOKUP(A225,'ABC Serviços Apoio'!C:C,'ABC Serviços Apoio'!A:A)),"")</f>
        <v>Mao de obra - para execucao de infraestrutura</v>
      </c>
      <c r="F225" s="281" t="str">
        <f ca="1">IFERROR(IF(A225="","",_xlfn.XLOOKUP(E225,Orçamento!Q:Q,Orçamento!T:T)),"")</f>
        <v>M2</v>
      </c>
      <c r="G225" s="282">
        <f ca="1">IFERROR(IF(A225="","",SUMIF(Orçamento!Q:Q,E225,Orçamento!X:X)),"")</f>
        <v>1</v>
      </c>
      <c r="H225" s="283">
        <f ca="1">IFERROR(IF(A225="","",_xlfn.XLOOKUP(E225,Orçamento!Q:Q,Orçamento!Y:Y)),"")</f>
        <v>182850</v>
      </c>
      <c r="I225" s="283">
        <f t="shared" ca="1" si="9"/>
        <v>182850</v>
      </c>
      <c r="J225" s="284">
        <f t="shared" ca="1" si="10"/>
        <v>2.6231499580846893E-2</v>
      </c>
      <c r="K225" s="284">
        <f t="shared" ca="1" si="11"/>
        <v>0.82217346199484076</v>
      </c>
      <c r="M225" s="419"/>
    </row>
    <row r="226" spans="1:13" x14ac:dyDescent="0.2">
      <c r="A226" s="10" t="str">
        <f ca="1"/>
        <v>17840 - Equipamento de ar-condicionado</v>
      </c>
      <c r="B226" s="10">
        <f ca="1">IF(OR(A226="",A226=0),"",LARGE($B$8:B225,1)+1)</f>
        <v>218</v>
      </c>
      <c r="C226" s="7"/>
      <c r="D226" s="279">
        <f ca="1">IF(A226="","",COUNTIF(Orçamento!P:P,A226))</f>
        <v>0</v>
      </c>
      <c r="E226" s="280" t="str">
        <f ca="1">IFERROR(IF(A226="","",_xlfn.XLOOKUP(A226,'ABC Serviços Apoio'!C:C,'ABC Serviços Apoio'!A:A)),"")</f>
        <v>Equipamento de ar-condicionado</v>
      </c>
      <c r="F226" s="281" t="str">
        <f ca="1">IFERROR(IF(A226="","",_xlfn.XLOOKUP(E226,Orçamento!Q:Q,Orçamento!T:T)),"")</f>
        <v>UN</v>
      </c>
      <c r="G226" s="282">
        <f ca="1">IFERROR(IF(A226="","",SUMIF(Orçamento!Q:Q,E226,Orçamento!X:X)),"")</f>
        <v>2</v>
      </c>
      <c r="H226" s="283">
        <f ca="1">IFERROR(IF(A226="","",_xlfn.XLOOKUP(E226,Orçamento!Q:Q,Orçamento!Y:Y)),"")</f>
        <v>8920</v>
      </c>
      <c r="I226" s="283">
        <f t="shared" ca="1" si="9"/>
        <v>17840</v>
      </c>
      <c r="J226" s="284">
        <f t="shared" ca="1" si="10"/>
        <v>2.5593106509286768E-3</v>
      </c>
      <c r="K226" s="284">
        <f t="shared" ca="1" si="11"/>
        <v>0.82473277264576939</v>
      </c>
      <c r="M226" s="419"/>
    </row>
    <row r="227" spans="1:13" x14ac:dyDescent="0.2">
      <c r="A227" s="10" t="str">
        <f ca="1"/>
        <v>17710,04235 - Revestimento interno de piso Cerâmico placa 60x60cm - áreas Internos</v>
      </c>
      <c r="B227" s="10">
        <f ca="1">IF(OR(A227="",A227=0),"",LARGE($B$8:B226,1)+1)</f>
        <v>219</v>
      </c>
      <c r="C227" s="7"/>
      <c r="D227" s="279">
        <f ca="1">IF(A227="","",COUNTIF(Orçamento!P:P,A227))</f>
        <v>0</v>
      </c>
      <c r="E227" s="280" t="str">
        <f ca="1">IFERROR(IF(A227="","",_xlfn.XLOOKUP(A227,'ABC Serviços Apoio'!C:C,'ABC Serviços Apoio'!A:A)),"")</f>
        <v>Revestimento interno de piso Cerâmico placa 60x60cm - áreas Internos</v>
      </c>
      <c r="F227" s="281" t="str">
        <f ca="1">IFERROR(IF(A227="","",_xlfn.XLOOKUP(E227,Orçamento!Q:Q,Orçamento!T:T)),"")</f>
        <v>M2</v>
      </c>
      <c r="G227" s="282">
        <f ca="1">IFERROR(IF(A227="","",SUMIF(Orçamento!Q:Q,E227,Orçamento!X:X)),"")</f>
        <v>301.72999999999996</v>
      </c>
      <c r="H227" s="283">
        <f ca="1">IFERROR(IF(A227="","",_xlfn.XLOOKUP(E227,Orçamento!Q:Q,Orçamento!Y:Y)),"")</f>
        <v>58.695000000000007</v>
      </c>
      <c r="I227" s="283">
        <f t="shared" ca="1" si="9"/>
        <v>17710.04235</v>
      </c>
      <c r="J227" s="284">
        <f t="shared" ca="1" si="10"/>
        <v>2.5406670411857028E-3</v>
      </c>
      <c r="K227" s="284">
        <f t="shared" ca="1" si="11"/>
        <v>0.8272734396869551</v>
      </c>
      <c r="M227" s="419"/>
    </row>
    <row r="228" spans="1:13" x14ac:dyDescent="0.2">
      <c r="A228" s="10" t="str">
        <f ca="1"/>
        <v>176,592 - Mao de obra para colocacao de soleiras em granito</v>
      </c>
      <c r="B228" s="10">
        <f ca="1">IF(OR(A228="",A228=0),"",LARGE($B$8:B227,1)+1)</f>
        <v>220</v>
      </c>
      <c r="C228" s="7"/>
      <c r="D228" s="279">
        <f ca="1">IF(A228="","",COUNTIF(Orçamento!P:P,A228))</f>
        <v>0</v>
      </c>
      <c r="E228" s="280" t="str">
        <f ca="1">IFERROR(IF(A228="","",_xlfn.XLOOKUP(A228,'ABC Serviços Apoio'!C:C,'ABC Serviços Apoio'!A:A)),"")</f>
        <v>Mao de obra para colocacao de soleiras em granito</v>
      </c>
      <c r="F228" s="281" t="str">
        <f ca="1">IFERROR(IF(A228="","",_xlfn.XLOOKUP(E228,Orçamento!Q:Q,Orçamento!T:T)),"")</f>
        <v>M</v>
      </c>
      <c r="G228" s="282">
        <f ca="1">IFERROR(IF(A228="","",SUMIF(Orçamento!Q:Q,E228,Orçamento!X:X)),"")</f>
        <v>16.979999999999997</v>
      </c>
      <c r="H228" s="283">
        <f ca="1">IFERROR(IF(A228="","",_xlfn.XLOOKUP(E228,Orçamento!Q:Q,Orçamento!Y:Y)),"")</f>
        <v>10.4</v>
      </c>
      <c r="I228" s="283">
        <f t="shared" ca="1" si="9"/>
        <v>176.59199999999998</v>
      </c>
      <c r="J228" s="284">
        <f t="shared" ca="1" si="10"/>
        <v>2.5333732425380992E-5</v>
      </c>
      <c r="K228" s="284">
        <f t="shared" ca="1" si="11"/>
        <v>0.82729877341938052</v>
      </c>
      <c r="M228" s="419"/>
    </row>
    <row r="229" spans="1:13" x14ac:dyDescent="0.2">
      <c r="A229" s="10" t="str">
        <f ca="1"/>
        <v>1729,480725 - Revestimento interno de Rodapé Porcelanato h=0,30cm</v>
      </c>
      <c r="B229" s="10">
        <f ca="1">IF(OR(A229="",A229=0),"",LARGE($B$8:B228,1)+1)</f>
        <v>221</v>
      </c>
      <c r="C229" s="7"/>
      <c r="D229" s="279">
        <f ca="1">IF(A229="","",COUNTIF(Orçamento!P:P,A229))</f>
        <v>0</v>
      </c>
      <c r="E229" s="280" t="str">
        <f ca="1">IFERROR(IF(A229="","",_xlfn.XLOOKUP(A229,'ABC Serviços Apoio'!C:C,'ABC Serviços Apoio'!A:A)),"")</f>
        <v>Revestimento interno de Rodapé Porcelanato h=0,30cm</v>
      </c>
      <c r="F229" s="281" t="str">
        <f ca="1">IFERROR(IF(A229="","",_xlfn.XLOOKUP(E229,Orçamento!Q:Q,Orçamento!T:T)),"")</f>
        <v>M</v>
      </c>
      <c r="G229" s="282">
        <f ca="1">IFERROR(IF(A229="","",SUMIF(Orçamento!Q:Q,E229,Orçamento!X:X)),"")</f>
        <v>76.150000000000006</v>
      </c>
      <c r="H229" s="283">
        <f ca="1">IFERROR(IF(A229="","",_xlfn.XLOOKUP(E229,Orçamento!Q:Q,Orçamento!Y:Y)),"")</f>
        <v>22.711500000000001</v>
      </c>
      <c r="I229" s="283">
        <f t="shared" ca="1" si="9"/>
        <v>1729.4807250000001</v>
      </c>
      <c r="J229" s="284">
        <f t="shared" ca="1" si="10"/>
        <v>2.4810977803073711E-4</v>
      </c>
      <c r="K229" s="284">
        <f t="shared" ca="1" si="11"/>
        <v>0.82754688319741121</v>
      </c>
      <c r="M229" s="419"/>
    </row>
    <row r="230" spans="1:13" x14ac:dyDescent="0.2">
      <c r="A230" s="10" t="str">
        <f ca="1"/>
        <v>17198,9492944 - Bandeja de protecao primaria</v>
      </c>
      <c r="B230" s="10">
        <f ca="1">IF(OR(A230="",A230=0),"",LARGE($B$8:B229,1)+1)</f>
        <v>222</v>
      </c>
      <c r="C230" s="7"/>
      <c r="D230" s="279">
        <f ca="1">IF(A230="","",COUNTIF(Orçamento!P:P,A230))</f>
        <v>0</v>
      </c>
      <c r="E230" s="280" t="str">
        <f ca="1">IFERROR(IF(A230="","",_xlfn.XLOOKUP(A230,'ABC Serviços Apoio'!C:C,'ABC Serviços Apoio'!A:A)),"")</f>
        <v>Bandeja de protecao primaria</v>
      </c>
      <c r="F230" s="281" t="str">
        <f ca="1">IFERROR(IF(A230="","",_xlfn.XLOOKUP(E230,Orçamento!Q:Q,Orçamento!T:T)),"")</f>
        <v>M</v>
      </c>
      <c r="G230" s="282">
        <f ca="1">IFERROR(IF(A230="","",SUMIF(Orçamento!Q:Q,E230,Orçamento!X:X)),"")</f>
        <v>64.52</v>
      </c>
      <c r="H230" s="283">
        <f ca="1">IFERROR(IF(A230="","",_xlfn.XLOOKUP(E230,Orçamento!Q:Q,Orçamento!Y:Y)),"")</f>
        <v>266.56772000000007</v>
      </c>
      <c r="I230" s="283">
        <f t="shared" ca="1" si="9"/>
        <v>17198.949294400005</v>
      </c>
      <c r="J230" s="284">
        <f t="shared" ca="1" si="10"/>
        <v>2.4673460826199656E-3</v>
      </c>
      <c r="K230" s="284">
        <f t="shared" ca="1" si="11"/>
        <v>0.83001422928003121</v>
      </c>
      <c r="M230" s="419"/>
    </row>
    <row r="231" spans="1:13" x14ac:dyDescent="0.2">
      <c r="A231" s="10" t="str">
        <f ca="1"/>
        <v>1716 - Manutencao para Veículos proprios</v>
      </c>
      <c r="B231" s="10">
        <f ca="1">IF(OR(A231="",A231=0),"",LARGE($B$8:B230,1)+1)</f>
        <v>223</v>
      </c>
      <c r="C231" s="7"/>
      <c r="D231" s="279">
        <f ca="1">IF(A231="","",COUNTIF(Orçamento!P:P,A231))</f>
        <v>0</v>
      </c>
      <c r="E231" s="280" t="str">
        <f ca="1">IFERROR(IF(A231="","",_xlfn.XLOOKUP(A231,'ABC Serviços Apoio'!C:C,'ABC Serviços Apoio'!A:A)),"")</f>
        <v>Manutencao para Veículos proprios</v>
      </c>
      <c r="F231" s="281" t="str">
        <f ca="1">IFERROR(IF(A231="","",_xlfn.XLOOKUP(E231,Orçamento!Q:Q,Orçamento!T:T)),"")</f>
        <v>MES</v>
      </c>
      <c r="G231" s="282">
        <f ca="1">IFERROR(IF(A231="","",SUMIF(Orçamento!Q:Q,E231,Orçamento!X:X)),"")</f>
        <v>22</v>
      </c>
      <c r="H231" s="283">
        <f ca="1">IFERROR(IF(A231="","",_xlfn.XLOOKUP(E231,Orçamento!Q:Q,Orçamento!Y:Y)),"")</f>
        <v>78</v>
      </c>
      <c r="I231" s="283">
        <f t="shared" ca="1" si="9"/>
        <v>1716</v>
      </c>
      <c r="J231" s="284">
        <f t="shared" ca="1" si="10"/>
        <v>2.4617584512296017E-4</v>
      </c>
      <c r="K231" s="284">
        <f t="shared" ca="1" si="11"/>
        <v>0.8302604051251542</v>
      </c>
      <c r="M231" s="419"/>
    </row>
    <row r="232" spans="1:13" x14ac:dyDescent="0.2">
      <c r="A232" s="10" t="str">
        <f ca="1"/>
        <v>1619,4651 - Armacao Tela Q196 para supraestrutura</v>
      </c>
      <c r="B232" s="10">
        <f ca="1">IF(OR(A232="",A232=0),"",LARGE($B$8:B231,1)+1)</f>
        <v>224</v>
      </c>
      <c r="C232" s="7"/>
      <c r="D232" s="279">
        <f ca="1">IF(A232="","",COUNTIF(Orçamento!P:P,A232))</f>
        <v>0</v>
      </c>
      <c r="E232" s="280" t="str">
        <f ca="1">IFERROR(IF(A232="","",_xlfn.XLOOKUP(A232,'ABC Serviços Apoio'!C:C,'ABC Serviços Apoio'!A:A)),"")</f>
        <v>Armacao Tela Q196 para supraestrutura</v>
      </c>
      <c r="F232" s="281" t="str">
        <f ca="1">IFERROR(IF(A232="","",_xlfn.XLOOKUP(E232,Orçamento!Q:Q,Orçamento!T:T)),"")</f>
        <v>KG</v>
      </c>
      <c r="G232" s="282">
        <f ca="1">IFERROR(IF(A232="","",SUMIF(Orçamento!Q:Q,E232,Orçamento!X:X)),"")</f>
        <v>229</v>
      </c>
      <c r="H232" s="283">
        <f ca="1">IFERROR(IF(A232="","",_xlfn.XLOOKUP(E232,Orçamento!Q:Q,Orçamento!Y:Y)),"")</f>
        <v>7.0718999999999994</v>
      </c>
      <c r="I232" s="283">
        <f t="shared" ca="1" si="9"/>
        <v>1619.4650999999999</v>
      </c>
      <c r="J232" s="284">
        <f t="shared" ca="1" si="10"/>
        <v>2.3232703358953334E-4</v>
      </c>
      <c r="K232" s="284">
        <f t="shared" ca="1" si="11"/>
        <v>0.83049273215874375</v>
      </c>
      <c r="M232" s="419"/>
    </row>
    <row r="233" spans="1:13" x14ac:dyDescent="0.2">
      <c r="A233" s="10" t="str">
        <f ca="1"/>
        <v>1615 - Tapume em telha metalica</v>
      </c>
      <c r="B233" s="10">
        <f ca="1">IF(OR(A233="",A233=0),"",LARGE($B$8:B232,1)+1)</f>
        <v>225</v>
      </c>
      <c r="C233" s="7"/>
      <c r="D233" s="279">
        <f ca="1">IF(A233="","",COUNTIF(Orçamento!P:P,A233))</f>
        <v>0</v>
      </c>
      <c r="E233" s="280" t="str">
        <f ca="1">IFERROR(IF(A233="","",_xlfn.XLOOKUP(A233,'ABC Serviços Apoio'!C:C,'ABC Serviços Apoio'!A:A)),"")</f>
        <v>Tapume em telha metalica</v>
      </c>
      <c r="F233" s="281" t="str">
        <f ca="1">IFERROR(IF(A233="","",_xlfn.XLOOKUP(E233,Orçamento!Q:Q,Orçamento!T:T)),"")</f>
        <v>M2</v>
      </c>
      <c r="G233" s="282">
        <f ca="1">IFERROR(IF(A233="","",SUMIF(Orçamento!Q:Q,E233,Orçamento!X:X)),"")</f>
        <v>1</v>
      </c>
      <c r="H233" s="283">
        <f ca="1">IFERROR(IF(A233="","",_xlfn.XLOOKUP(E233,Orçamento!Q:Q,Orçamento!Y:Y)),"")</f>
        <v>1615</v>
      </c>
      <c r="I233" s="283">
        <f t="shared" ca="1" si="9"/>
        <v>1615</v>
      </c>
      <c r="J233" s="284">
        <f t="shared" ca="1" si="10"/>
        <v>2.3168647428530343E-4</v>
      </c>
      <c r="K233" s="284">
        <f t="shared" ca="1" si="11"/>
        <v>0.83072441863302904</v>
      </c>
      <c r="M233" s="419"/>
    </row>
    <row r="234" spans="1:13" x14ac:dyDescent="0.2">
      <c r="A234" s="10" t="str">
        <f ca="1"/>
        <v>15870 - Mao de obra para estucamento de estrutura em concreto</v>
      </c>
      <c r="B234" s="10">
        <f ca="1">IF(OR(A234="",A234=0),"",LARGE($B$8:B233,1)+1)</f>
        <v>226</v>
      </c>
      <c r="C234" s="7"/>
      <c r="D234" s="279">
        <f ca="1">IF(A234="","",COUNTIF(Orçamento!P:P,A234))</f>
        <v>0</v>
      </c>
      <c r="E234" s="280" t="str">
        <f ca="1">IFERROR(IF(A234="","",_xlfn.XLOOKUP(A234,'ABC Serviços Apoio'!C:C,'ABC Serviços Apoio'!A:A)),"")</f>
        <v>Mao de obra para estucamento de estrutura em concreto</v>
      </c>
      <c r="F234" s="281" t="str">
        <f ca="1">IFERROR(IF(A234="","",_xlfn.XLOOKUP(E234,Orçamento!Q:Q,Orçamento!T:T)),"")</f>
        <v>M2</v>
      </c>
      <c r="G234" s="282">
        <f ca="1">IFERROR(IF(A234="","",SUMIF(Orçamento!Q:Q,E234,Orçamento!X:X)),"")</f>
        <v>311.82</v>
      </c>
      <c r="H234" s="283">
        <f ca="1">IFERROR(IF(A234="","",_xlfn.XLOOKUP(E234,Orçamento!Q:Q,Orçamento!Y:Y)),"")</f>
        <v>50.894746969405425</v>
      </c>
      <c r="I234" s="283">
        <f t="shared" ca="1" si="9"/>
        <v>15870</v>
      </c>
      <c r="J234" s="284">
        <f t="shared" ca="1" si="10"/>
        <v>2.2766961900357679E-3</v>
      </c>
      <c r="K234" s="284">
        <f t="shared" ca="1" si="11"/>
        <v>0.83300111482306483</v>
      </c>
      <c r="M234" s="419"/>
    </row>
    <row r="235" spans="1:13" x14ac:dyDescent="0.2">
      <c r="A235" s="10" t="str">
        <f ca="1"/>
        <v>15870 - Mao De Obra Estucamento Em Massa Teto</v>
      </c>
      <c r="B235" s="10">
        <f ca="1">IF(OR(A235="",A235=0),"",LARGE($B$8:B234,1)+1)</f>
        <v>227</v>
      </c>
      <c r="C235" s="7"/>
      <c r="D235" s="279">
        <f ca="1">IF(A235="","",COUNTIF(Orçamento!P:P,A235))</f>
        <v>0</v>
      </c>
      <c r="E235" s="280" t="str">
        <f ca="1">IFERROR(IF(A235="","",_xlfn.XLOOKUP(A235,'ABC Serviços Apoio'!C:C,'ABC Serviços Apoio'!A:A)),"")</f>
        <v>Mao De Obra Estucamento Em Massa Teto</v>
      </c>
      <c r="F235" s="281" t="str">
        <f ca="1">IFERROR(IF(A235="","",_xlfn.XLOOKUP(E235,Orçamento!Q:Q,Orçamento!T:T)),"")</f>
        <v>M2</v>
      </c>
      <c r="G235" s="282">
        <f ca="1">IFERROR(IF(A235="","",SUMIF(Orçamento!Q:Q,E235,Orçamento!X:X)),"")</f>
        <v>313.44</v>
      </c>
      <c r="H235" s="283">
        <f ca="1">IFERROR(IF(A235="","",_xlfn.XLOOKUP(E235,Orçamento!Q:Q,Orçamento!Y:Y)),"")</f>
        <v>50.631699846860634</v>
      </c>
      <c r="I235" s="283">
        <f t="shared" ca="1" si="9"/>
        <v>15869.999999999996</v>
      </c>
      <c r="J235" s="284">
        <f t="shared" ca="1" si="10"/>
        <v>2.2766961900357674E-3</v>
      </c>
      <c r="K235" s="284">
        <f t="shared" ca="1" si="11"/>
        <v>0.83527781101310061</v>
      </c>
      <c r="M235" s="419"/>
    </row>
    <row r="236" spans="1:13" x14ac:dyDescent="0.2">
      <c r="A236" s="10" t="str">
        <f ca="1"/>
        <v>15728,2591206505 - Quadros e Disjuntores - Tipo (x5)</v>
      </c>
      <c r="B236" s="10">
        <f ca="1">IF(OR(A236="",A236=0),"",LARGE($B$8:B235,1)+1)</f>
        <v>228</v>
      </c>
      <c r="C236" s="7"/>
      <c r="D236" s="279">
        <f ca="1">IF(A236="","",COUNTIF(Orçamento!P:P,A236))</f>
        <v>0</v>
      </c>
      <c r="E236" s="280" t="str">
        <f ca="1">IFERROR(IF(A236="","",_xlfn.XLOOKUP(A236,'ABC Serviços Apoio'!C:C,'ABC Serviços Apoio'!A:A)),"")</f>
        <v>Quadros e Disjuntores - Tipo (x5)</v>
      </c>
      <c r="F236" s="281" t="str">
        <f ca="1">IFERROR(IF(A236="","",_xlfn.XLOOKUP(E236,Orçamento!Q:Q,Orçamento!T:T)),"")</f>
        <v>VB</v>
      </c>
      <c r="G236" s="282">
        <f ca="1">IFERROR(IF(A236="","",SUMIF(Orçamento!Q:Q,E236,Orçamento!X:X)),"")</f>
        <v>1</v>
      </c>
      <c r="H236" s="283">
        <f ca="1">IFERROR(IF(A236="","",_xlfn.XLOOKUP(E236,Orçamento!Q:Q,Orçamento!Y:Y)),"")</f>
        <v>15728.259120650528</v>
      </c>
      <c r="I236" s="283">
        <f t="shared" ca="1" si="9"/>
        <v>15728.259120650528</v>
      </c>
      <c r="J236" s="284">
        <f t="shared" ca="1" si="10"/>
        <v>2.2563621686124999E-3</v>
      </c>
      <c r="K236" s="284">
        <f t="shared" ca="1" si="11"/>
        <v>0.83753417318171308</v>
      </c>
      <c r="M236" s="419"/>
    </row>
    <row r="237" spans="1:13" x14ac:dyDescent="0.2">
      <c r="A237" s="10" t="str">
        <f ca="1"/>
        <v>156055 - Mao de obra para reboco interno, incluindo chapisco</v>
      </c>
      <c r="B237" s="10">
        <f ca="1">IF(OR(A237="",A237=0),"",LARGE($B$8:B236,1)+1)</f>
        <v>229</v>
      </c>
      <c r="C237" s="7"/>
      <c r="D237" s="279">
        <f ca="1">IF(A237="","",COUNTIF(Orçamento!P:P,A237))</f>
        <v>0</v>
      </c>
      <c r="E237" s="280" t="str">
        <f ca="1">IFERROR(IF(A237="","",_xlfn.XLOOKUP(A237,'ABC Serviços Apoio'!C:C,'ABC Serviços Apoio'!A:A)),"")</f>
        <v>Mao de obra para reboco interno, incluindo chapisco</v>
      </c>
      <c r="F237" s="281" t="str">
        <f ca="1">IFERROR(IF(A237="","",_xlfn.XLOOKUP(E237,Orçamento!Q:Q,Orçamento!T:T)),"")</f>
        <v>M2</v>
      </c>
      <c r="G237" s="282">
        <f ca="1">IFERROR(IF(A237="","",SUMIF(Orçamento!Q:Q,E237,Orçamento!X:X)),"")</f>
        <v>3840.1949999999997</v>
      </c>
      <c r="H237" s="283">
        <f ca="1">IFERROR(IF(A237="","",_xlfn.XLOOKUP(E237,Orçamento!Q:Q,Orçamento!Y:Y)),"")</f>
        <v>40.637259305842548</v>
      </c>
      <c r="I237" s="283">
        <f t="shared" ca="1" si="9"/>
        <v>156055</v>
      </c>
      <c r="J237" s="284">
        <f t="shared" ca="1" si="10"/>
        <v>2.238751253535172E-2</v>
      </c>
      <c r="K237" s="284">
        <f t="shared" ca="1" si="11"/>
        <v>0.85992168571706484</v>
      </c>
      <c r="M237" s="419"/>
    </row>
    <row r="238" spans="1:13" x14ac:dyDescent="0.2">
      <c r="A238" s="10" t="str">
        <f ca="1"/>
        <v>1560,44855112534 - Pontos de Tomadas e Interruptores - Cobertura</v>
      </c>
      <c r="B238" s="10">
        <f ca="1">IF(OR(A238="",A238=0),"",LARGE($B$8:B237,1)+1)</f>
        <v>230</v>
      </c>
      <c r="C238" s="7"/>
      <c r="D238" s="279">
        <f ca="1">IF(A238="","",COUNTIF(Orçamento!P:P,A238))</f>
        <v>0</v>
      </c>
      <c r="E238" s="280" t="str">
        <f ca="1">IFERROR(IF(A238="","",_xlfn.XLOOKUP(A238,'ABC Serviços Apoio'!C:C,'ABC Serviços Apoio'!A:A)),"")</f>
        <v>Pontos de Tomadas e Interruptores - Cobertura</v>
      </c>
      <c r="F238" s="281" t="str">
        <f ca="1">IFERROR(IF(A238="","",_xlfn.XLOOKUP(E238,Orçamento!Q:Q,Orçamento!T:T)),"")</f>
        <v>VB</v>
      </c>
      <c r="G238" s="282">
        <f ca="1">IFERROR(IF(A238="","",SUMIF(Orçamento!Q:Q,E238,Orçamento!X:X)),"")</f>
        <v>1</v>
      </c>
      <c r="H238" s="283">
        <f ca="1">IFERROR(IF(A238="","",_xlfn.XLOOKUP(E238,Orçamento!Q:Q,Orçamento!Y:Y)),"")</f>
        <v>1560.4485511253404</v>
      </c>
      <c r="I238" s="283">
        <f t="shared" ca="1" si="9"/>
        <v>1560.4485511253404</v>
      </c>
      <c r="J238" s="284">
        <f t="shared" ca="1" si="10"/>
        <v>2.2386057158751713E-4</v>
      </c>
      <c r="K238" s="284">
        <f t="shared" ca="1" si="11"/>
        <v>0.86014554628865236</v>
      </c>
      <c r="M238" s="419"/>
    </row>
    <row r="239" spans="1:13" x14ac:dyDescent="0.2">
      <c r="A239" s="10" t="str">
        <f ca="1"/>
        <v>1552,71877276868 - Instalacoes de Aguas Pluviais - Pavimento Técnico</v>
      </c>
      <c r="B239" s="10">
        <f ca="1">IF(OR(A239="",A239=0),"",LARGE($B$8:B238,1)+1)</f>
        <v>231</v>
      </c>
      <c r="C239" s="7"/>
      <c r="D239" s="279">
        <f ca="1">IF(A239="","",COUNTIF(Orçamento!P:P,A239))</f>
        <v>0</v>
      </c>
      <c r="E239" s="280" t="str">
        <f ca="1">IFERROR(IF(A239="","",_xlfn.XLOOKUP(A239,'ABC Serviços Apoio'!C:C,'ABC Serviços Apoio'!A:A)),"")</f>
        <v>Instalacoes de Aguas Pluviais - Pavimento Técnico</v>
      </c>
      <c r="F239" s="281" t="str">
        <f ca="1">IFERROR(IF(A239="","",_xlfn.XLOOKUP(E239,Orçamento!Q:Q,Orçamento!T:T)),"")</f>
        <v>VB</v>
      </c>
      <c r="G239" s="282">
        <f ca="1">IFERROR(IF(A239="","",SUMIF(Orçamento!Q:Q,E239,Orçamento!X:X)),"")</f>
        <v>1</v>
      </c>
      <c r="H239" s="283">
        <f ca="1">IFERROR(IF(A239="","",_xlfn.XLOOKUP(E239,Orçamento!Q:Q,Orçamento!Y:Y)),"")</f>
        <v>1552.7187727686842</v>
      </c>
      <c r="I239" s="283">
        <f t="shared" ca="1" si="9"/>
        <v>1552.7187727686842</v>
      </c>
      <c r="J239" s="284">
        <f t="shared" ca="1" si="10"/>
        <v>2.2275166440828461E-4</v>
      </c>
      <c r="K239" s="284">
        <f t="shared" ca="1" si="11"/>
        <v>0.86036829795306069</v>
      </c>
      <c r="M239" s="419"/>
    </row>
    <row r="240" spans="1:13" x14ac:dyDescent="0.2">
      <c r="A240" s="10" t="str">
        <f ca="1"/>
        <v>15 - Mão de obra para impermeabilização de Fundação Rasa com tinta asfáltica</v>
      </c>
      <c r="B240" s="10">
        <f ca="1">IF(OR(A240="",A240=0),"",LARGE($B$8:B239,1)+1)</f>
        <v>232</v>
      </c>
      <c r="C240" s="7"/>
      <c r="D240" s="279">
        <f ca="1">IF(A240="","",COUNTIF(Orçamento!P:P,A240))</f>
        <v>0</v>
      </c>
      <c r="E240" s="280" t="str">
        <f ca="1">IFERROR(IF(A240="","",_xlfn.XLOOKUP(A240,'ABC Serviços Apoio'!C:C,'ABC Serviços Apoio'!A:A)),"")</f>
        <v>Mão de obra para impermeabilização de Fundação Rasa com tinta asfáltica</v>
      </c>
      <c r="F240" s="281" t="str">
        <f ca="1">IFERROR(IF(A240="","",_xlfn.XLOOKUP(E240,Orçamento!Q:Q,Orçamento!T:T)),"")</f>
        <v>M2</v>
      </c>
      <c r="G240" s="282">
        <f ca="1">IFERROR(IF(A240="","",SUMIF(Orçamento!Q:Q,E240,Orçamento!X:X)),"")</f>
        <v>1</v>
      </c>
      <c r="H240" s="283">
        <f ca="1">IFERROR(IF(A240="","",_xlfn.XLOOKUP(E240,Orçamento!Q:Q,Orçamento!Y:Y)),"")</f>
        <v>15</v>
      </c>
      <c r="I240" s="283">
        <f t="shared" ca="1" si="9"/>
        <v>15</v>
      </c>
      <c r="J240" s="284">
        <f t="shared" ca="1" si="10"/>
        <v>2.1518867580678339E-6</v>
      </c>
      <c r="K240" s="284">
        <f t="shared" ca="1" si="11"/>
        <v>0.86037044983981881</v>
      </c>
      <c r="M240" s="419"/>
    </row>
    <row r="241" spans="1:13" x14ac:dyDescent="0.2">
      <c r="A241" s="10" t="str">
        <f ca="1"/>
        <v xml:space="preserve">1491,589008 - Pintura epoxi  2 demaos - aplicacao em faixas demarcatorias de garagens </v>
      </c>
      <c r="B241" s="10">
        <f ca="1">IF(OR(A241="",A241=0),"",LARGE($B$8:B240,1)+1)</f>
        <v>233</v>
      </c>
      <c r="C241" s="7"/>
      <c r="D241" s="279">
        <f ca="1">IF(A241="","",COUNTIF(Orçamento!P:P,A241))</f>
        <v>0</v>
      </c>
      <c r="E241" s="280" t="str">
        <f ca="1">IFERROR(IF(A241="","",_xlfn.XLOOKUP(A241,'ABC Serviços Apoio'!C:C,'ABC Serviços Apoio'!A:A)),"")</f>
        <v xml:space="preserve">Pintura epoxi  2 demaos - aplicacao em faixas demarcatorias de garagens </v>
      </c>
      <c r="F241" s="281" t="str">
        <f ca="1">IFERROR(IF(A241="","",_xlfn.XLOOKUP(E241,Orçamento!Q:Q,Orçamento!T:T)),"")</f>
        <v>M2</v>
      </c>
      <c r="G241" s="282">
        <f ca="1">IFERROR(IF(A241="","",SUMIF(Orçamento!Q:Q,E241,Orçamento!X:X)),"")</f>
        <v>30.3</v>
      </c>
      <c r="H241" s="283">
        <f ca="1">IFERROR(IF(A241="","",_xlfn.XLOOKUP(E241,Orçamento!Q:Q,Orçamento!Y:Y)),"")</f>
        <v>49.227359999999997</v>
      </c>
      <c r="I241" s="283">
        <f t="shared" ca="1" si="9"/>
        <v>1491.5890079999999</v>
      </c>
      <c r="J241" s="284">
        <f t="shared" ca="1" si="10"/>
        <v>2.1398204231964907E-4</v>
      </c>
      <c r="K241" s="284">
        <f t="shared" ca="1" si="11"/>
        <v>0.8605844318821384</v>
      </c>
      <c r="M241" s="419"/>
    </row>
    <row r="242" spans="1:13" x14ac:dyDescent="0.2">
      <c r="A242" s="10" t="str">
        <f ca="1"/>
        <v>14700,5173677652 - Fabricacao, montagem e desmontagem de forma para fundacao rasa, em madeira serrada</v>
      </c>
      <c r="B242" s="10">
        <f ca="1">IF(OR(A242="",A242=0),"",LARGE($B$8:B241,1)+1)</f>
        <v>234</v>
      </c>
      <c r="C242" s="7"/>
      <c r="D242" s="279">
        <f ca="1">IF(A242="","",COUNTIF(Orçamento!P:P,A242))</f>
        <v>0</v>
      </c>
      <c r="E242" s="280" t="str">
        <f ca="1">IFERROR(IF(A242="","",_xlfn.XLOOKUP(A242,'ABC Serviços Apoio'!C:C,'ABC Serviços Apoio'!A:A)),"")</f>
        <v>Fabricacao, montagem e desmontagem de forma para fundacao rasa, em madeira serrada</v>
      </c>
      <c r="F242" s="281" t="str">
        <f ca="1">IFERROR(IF(A242="","",_xlfn.XLOOKUP(E242,Orçamento!Q:Q,Orçamento!T:T)),"")</f>
        <v>M2</v>
      </c>
      <c r="G242" s="282">
        <f ca="1">IFERROR(IF(A242="","",SUMIF(Orçamento!Q:Q,E242,Orçamento!X:X)),"")</f>
        <v>216.99340049999998</v>
      </c>
      <c r="H242" s="283">
        <f ca="1">IFERROR(IF(A242="","",_xlfn.XLOOKUP(E242,Orçamento!Q:Q,Orçamento!Y:Y)),"")</f>
        <v>67.746380000000002</v>
      </c>
      <c r="I242" s="283">
        <f t="shared" ca="1" si="9"/>
        <v>14700.517367765189</v>
      </c>
      <c r="J242" s="284">
        <f t="shared" ca="1" si="10"/>
        <v>2.108923244029341E-3</v>
      </c>
      <c r="K242" s="284">
        <f t="shared" ca="1" si="11"/>
        <v>0.86269335512616774</v>
      </c>
      <c r="M242" s="419"/>
    </row>
    <row r="243" spans="1:13" x14ac:dyDescent="0.2">
      <c r="A243" s="10" t="str">
        <f ca="1"/>
        <v>14580,1817679838 - Cabos e Fiacoes - Cobertura</v>
      </c>
      <c r="B243" s="10">
        <f ca="1">IF(OR(A243="",A243=0),"",LARGE($B$8:B242,1)+1)</f>
        <v>235</v>
      </c>
      <c r="C243" s="7"/>
      <c r="D243" s="279">
        <f ca="1">IF(A243="","",COUNTIF(Orçamento!P:P,A243))</f>
        <v>0</v>
      </c>
      <c r="E243" s="280" t="str">
        <f ca="1">IFERROR(IF(A243="","",_xlfn.XLOOKUP(A243,'ABC Serviços Apoio'!C:C,'ABC Serviços Apoio'!A:A)),"")</f>
        <v>Cabos e Fiacoes - Cobertura</v>
      </c>
      <c r="F243" s="281" t="str">
        <f ca="1">IFERROR(IF(A243="","",_xlfn.XLOOKUP(E243,Orçamento!Q:Q,Orçamento!T:T)),"")</f>
        <v>VB</v>
      </c>
      <c r="G243" s="282">
        <f ca="1">IFERROR(IF(A243="","",SUMIF(Orçamento!Q:Q,E243,Orçamento!X:X)),"")</f>
        <v>1</v>
      </c>
      <c r="H243" s="283">
        <f ca="1">IFERROR(IF(A243="","",_xlfn.XLOOKUP(E243,Orçamento!Q:Q,Orçamento!Y:Y)),"")</f>
        <v>14580.181767983799</v>
      </c>
      <c r="I243" s="283">
        <f t="shared" ca="1" si="9"/>
        <v>14580.181767983799</v>
      </c>
      <c r="J243" s="284">
        <f t="shared" ca="1" si="10"/>
        <v>2.0916600051164263E-3</v>
      </c>
      <c r="K243" s="284">
        <f t="shared" ca="1" si="11"/>
        <v>0.86478501513128414</v>
      </c>
      <c r="M243" s="419"/>
    </row>
    <row r="244" spans="1:13" x14ac:dyDescent="0.2">
      <c r="A244" s="10" t="str">
        <f ca="1"/>
        <v>1443 - Corrimão de madeira</v>
      </c>
      <c r="B244" s="10">
        <f ca="1">IF(OR(A244="",A244=0),"",LARGE($B$8:B243,1)+1)</f>
        <v>236</v>
      </c>
      <c r="C244" s="7"/>
      <c r="D244" s="279">
        <f ca="1">IF(A244="","",COUNTIF(Orçamento!P:P,A244))</f>
        <v>0</v>
      </c>
      <c r="E244" s="280" t="str">
        <f ca="1">IFERROR(IF(A244="","",_xlfn.XLOOKUP(A244,'ABC Serviços Apoio'!C:C,'ABC Serviços Apoio'!A:A)),"")</f>
        <v>Corrimão de madeira</v>
      </c>
      <c r="F244" s="281" t="str">
        <f ca="1">IFERROR(IF(A244="","",_xlfn.XLOOKUP(E244,Orçamento!Q:Q,Orçamento!T:T)),"")</f>
        <v>M</v>
      </c>
      <c r="G244" s="282">
        <f ca="1">IFERROR(IF(A244="","",SUMIF(Orçamento!Q:Q,E244,Orçamento!X:X)),"")</f>
        <v>24.05</v>
      </c>
      <c r="H244" s="283">
        <f ca="1">IFERROR(IF(A244="","",_xlfn.XLOOKUP(E244,Orçamento!Q:Q,Orçamento!Y:Y)),"")</f>
        <v>60</v>
      </c>
      <c r="I244" s="283">
        <f t="shared" ca="1" si="9"/>
        <v>1443</v>
      </c>
      <c r="J244" s="284">
        <f t="shared" ca="1" si="10"/>
        <v>2.070115061261256E-4</v>
      </c>
      <c r="K244" s="284">
        <f t="shared" ca="1" si="11"/>
        <v>0.86499202663741026</v>
      </c>
      <c r="M244" s="419"/>
    </row>
    <row r="245" spans="1:13" x14ac:dyDescent="0.2">
      <c r="A245" s="10" t="str">
        <f ca="1"/>
        <v>143,720436947381 - Reaterro mecanizado para Sapatas, com retroescavadeira</v>
      </c>
      <c r="B245" s="10">
        <f ca="1">IF(OR(A245="",A245=0),"",LARGE($B$8:B244,1)+1)</f>
        <v>237</v>
      </c>
      <c r="C245" s="7"/>
      <c r="D245" s="279">
        <f ca="1">IF(A245="","",COUNTIF(Orçamento!P:P,A245))</f>
        <v>0</v>
      </c>
      <c r="E245" s="280" t="str">
        <f ca="1">IFERROR(IF(A245="","",_xlfn.XLOOKUP(A245,'ABC Serviços Apoio'!C:C,'ABC Serviços Apoio'!A:A)),"")</f>
        <v>Reaterro mecanizado para Sapatas, com retroescavadeira</v>
      </c>
      <c r="F245" s="281" t="str">
        <f ca="1">IFERROR(IF(A245="","",_xlfn.XLOOKUP(E245,Orçamento!Q:Q,Orçamento!T:T)),"")</f>
        <v>M3</v>
      </c>
      <c r="G245" s="282">
        <f ca="1">IFERROR(IF(A245="","",SUMIF(Orçamento!Q:Q,E245,Orçamento!X:X)),"")</f>
        <v>119.76703078948395</v>
      </c>
      <c r="H245" s="283">
        <f ca="1">IFERROR(IF(A245="","",_xlfn.XLOOKUP(E245,Orçamento!Q:Q,Orçamento!Y:Y)),"")</f>
        <v>1.2</v>
      </c>
      <c r="I245" s="283">
        <f t="shared" ca="1" si="9"/>
        <v>143.72043694738073</v>
      </c>
      <c r="J245" s="284">
        <f t="shared" ca="1" si="10"/>
        <v>2.0618007008719442E-5</v>
      </c>
      <c r="K245" s="284">
        <f t="shared" ca="1" si="11"/>
        <v>0.86501264464441896</v>
      </c>
      <c r="M245" s="419"/>
    </row>
    <row r="246" spans="1:13" x14ac:dyDescent="0.2">
      <c r="A246" s="10" t="str">
        <f ca="1"/>
        <v>1427,58 - Mao de obra para colocacao de peitoril</v>
      </c>
      <c r="B246" s="10">
        <f ca="1">IF(OR(A246="",A246=0),"",LARGE($B$8:B245,1)+1)</f>
        <v>238</v>
      </c>
      <c r="C246" s="7"/>
      <c r="D246" s="279">
        <f ca="1">IF(A246="","",COUNTIF(Orçamento!P:P,A246))</f>
        <v>0</v>
      </c>
      <c r="E246" s="280" t="str">
        <f ca="1">IFERROR(IF(A246="","",_xlfn.XLOOKUP(A246,'ABC Serviços Apoio'!C:C,'ABC Serviços Apoio'!A:A)),"")</f>
        <v>Mao de obra para colocacao de peitoril</v>
      </c>
      <c r="F246" s="281" t="str">
        <f ca="1">IFERROR(IF(A246="","",_xlfn.XLOOKUP(E246,Orçamento!Q:Q,Orçamento!T:T)),"")</f>
        <v>M</v>
      </c>
      <c r="G246" s="282">
        <f ca="1">IFERROR(IF(A246="","",SUMIF(Orçamento!Q:Q,E246,Orçamento!X:X)),"")</f>
        <v>135.95999999999998</v>
      </c>
      <c r="H246" s="283">
        <f ca="1">IFERROR(IF(A246="","",_xlfn.XLOOKUP(E246,Orçamento!Q:Q,Orçamento!Y:Y)),"")</f>
        <v>10.5</v>
      </c>
      <c r="I246" s="283">
        <f t="shared" ca="1" si="9"/>
        <v>1427.5799999999997</v>
      </c>
      <c r="J246" s="284">
        <f t="shared" ca="1" si="10"/>
        <v>2.0479936653883184E-4</v>
      </c>
      <c r="K246" s="284">
        <f t="shared" ca="1" si="11"/>
        <v>0.86521744401095779</v>
      </c>
      <c r="M246" s="419"/>
    </row>
    <row r="247" spans="1:13" x14ac:dyDescent="0.2">
      <c r="A247" s="10" t="str">
        <f ca="1"/>
        <v>14175,6759393088 - Instalacos do Sistema Preventivo de Incendio - Tipo (5X)</v>
      </c>
      <c r="B247" s="10">
        <f ca="1">IF(OR(A247="",A247=0),"",LARGE($B$8:B246,1)+1)</f>
        <v>239</v>
      </c>
      <c r="C247" s="7"/>
      <c r="D247" s="279">
        <f ca="1">IF(A247="","",COUNTIF(Orçamento!P:P,A247))</f>
        <v>0</v>
      </c>
      <c r="E247" s="280" t="str">
        <f ca="1">IFERROR(IF(A247="","",_xlfn.XLOOKUP(A247,'ABC Serviços Apoio'!C:C,'ABC Serviços Apoio'!A:A)),"")</f>
        <v>Instalacos do Sistema Preventivo de Incendio - Tipo (5X)</v>
      </c>
      <c r="F247" s="281" t="str">
        <f ca="1">IFERROR(IF(A247="","",_xlfn.XLOOKUP(E247,Orçamento!Q:Q,Orçamento!T:T)),"")</f>
        <v>VB</v>
      </c>
      <c r="G247" s="282">
        <f ca="1">IFERROR(IF(A247="","",SUMIF(Orçamento!Q:Q,E247,Orçamento!X:X)),"")</f>
        <v>1</v>
      </c>
      <c r="H247" s="283">
        <f ca="1">IFERROR(IF(A247="","",_xlfn.XLOOKUP(E247,Orçamento!Q:Q,Orçamento!Y:Y)),"")</f>
        <v>14175.675939308778</v>
      </c>
      <c r="I247" s="283">
        <f t="shared" ca="1" si="9"/>
        <v>14175.675939308778</v>
      </c>
      <c r="J247" s="284">
        <f t="shared" ca="1" si="10"/>
        <v>2.0336299560306239E-3</v>
      </c>
      <c r="K247" s="284">
        <f t="shared" ca="1" si="11"/>
        <v>0.86725107396698842</v>
      </c>
      <c r="M247" s="419"/>
    </row>
    <row r="248" spans="1:13" x14ac:dyDescent="0.2">
      <c r="A248" s="10" t="str">
        <f ca="1"/>
        <v>14175,6759393088 - Instalacoes de Esgoto - Tipo (5X)</v>
      </c>
      <c r="B248" s="10">
        <f ca="1">IF(OR(A248="",A248=0),"",LARGE($B$8:B247,1)+1)</f>
        <v>240</v>
      </c>
      <c r="C248" s="7"/>
      <c r="D248" s="279">
        <f ca="1">IF(A248="","",COUNTIF(Orçamento!P:P,A248))</f>
        <v>0</v>
      </c>
      <c r="E248" s="280" t="str">
        <f ca="1">IFERROR(IF(A248="","",_xlfn.XLOOKUP(A248,'ABC Serviços Apoio'!C:C,'ABC Serviços Apoio'!A:A)),"")</f>
        <v>Instalacoes de Esgoto - Tipo (5X)</v>
      </c>
      <c r="F248" s="281" t="str">
        <f ca="1">IFERROR(IF(A248="","",_xlfn.XLOOKUP(E248,Orçamento!Q:Q,Orçamento!T:T)),"")</f>
        <v>VB</v>
      </c>
      <c r="G248" s="282">
        <f ca="1">IFERROR(IF(A248="","",SUMIF(Orçamento!Q:Q,E248,Orçamento!X:X)),"")</f>
        <v>1</v>
      </c>
      <c r="H248" s="283">
        <f ca="1">IFERROR(IF(A248="","",_xlfn.XLOOKUP(E248,Orçamento!Q:Q,Orçamento!Y:Y)),"")</f>
        <v>14175.675939308778</v>
      </c>
      <c r="I248" s="283">
        <f t="shared" ca="1" si="9"/>
        <v>14175.675939308778</v>
      </c>
      <c r="J248" s="284">
        <f t="shared" ca="1" si="10"/>
        <v>2.0336299560306239E-3</v>
      </c>
      <c r="K248" s="284">
        <f t="shared" ca="1" si="11"/>
        <v>0.86928470392301904</v>
      </c>
      <c r="M248" s="419"/>
    </row>
    <row r="249" spans="1:13" x14ac:dyDescent="0.2">
      <c r="A249" s="10" t="str">
        <f ca="1"/>
        <v>14042,6 - Mao de obra para colocacao de rodape de poliestireno</v>
      </c>
      <c r="B249" s="10">
        <f ca="1">IF(OR(A249="",A249=0),"",LARGE($B$8:B248,1)+1)</f>
        <v>241</v>
      </c>
      <c r="C249" s="7"/>
      <c r="D249" s="279">
        <f ca="1">IF(A249="","",COUNTIF(Orçamento!P:P,A249))</f>
        <v>0</v>
      </c>
      <c r="E249" s="280" t="str">
        <f ca="1">IFERROR(IF(A249="","",_xlfn.XLOOKUP(A249,'ABC Serviços Apoio'!C:C,'ABC Serviços Apoio'!A:A)),"")</f>
        <v>Mao de obra para colocacao de rodape de poliestireno</v>
      </c>
      <c r="F249" s="281" t="str">
        <f ca="1">IFERROR(IF(A249="","",_xlfn.XLOOKUP(E249,Orçamento!Q:Q,Orçamento!T:T)),"")</f>
        <v>M</v>
      </c>
      <c r="G249" s="282">
        <f ca="1">IFERROR(IF(A249="","",SUMIF(Orçamento!Q:Q,E249,Orçamento!X:X)),"")</f>
        <v>638.30000000000007</v>
      </c>
      <c r="H249" s="283">
        <f ca="1">IFERROR(IF(A249="","",_xlfn.XLOOKUP(E249,Orçamento!Q:Q,Orçamento!Y:Y)),"")</f>
        <v>22</v>
      </c>
      <c r="I249" s="283">
        <f t="shared" ca="1" si="9"/>
        <v>14042.600000000002</v>
      </c>
      <c r="J249" s="284">
        <f t="shared" ca="1" si="10"/>
        <v>2.0145389992562244E-3</v>
      </c>
      <c r="K249" s="284">
        <f t="shared" ca="1" si="11"/>
        <v>0.87129924292227523</v>
      </c>
      <c r="M249" s="419"/>
    </row>
    <row r="250" spans="1:13" x14ac:dyDescent="0.2">
      <c r="A250" s="10" t="str">
        <f ca="1"/>
        <v>1400 - Projeto de climatização</v>
      </c>
      <c r="B250" s="10">
        <f ca="1">IF(OR(A250="",A250=0),"",LARGE($B$8:B249,1)+1)</f>
        <v>242</v>
      </c>
      <c r="C250" s="7"/>
      <c r="D250" s="279">
        <f ca="1">IF(A250="","",COUNTIF(Orçamento!P:P,A250))</f>
        <v>0</v>
      </c>
      <c r="E250" s="280" t="str">
        <f ca="1">IFERROR(IF(A250="","",_xlfn.XLOOKUP(A250,'ABC Serviços Apoio'!C:C,'ABC Serviços Apoio'!A:A)),"")</f>
        <v>Projeto de climatização</v>
      </c>
      <c r="F250" s="281" t="str">
        <f ca="1">IFERROR(IF(A250="","",_xlfn.XLOOKUP(E250,Orçamento!Q:Q,Orçamento!T:T)),"")</f>
        <v>VB</v>
      </c>
      <c r="G250" s="282">
        <f ca="1">IFERROR(IF(A250="","",SUMIF(Orçamento!Q:Q,E250,Orçamento!X:X)),"")</f>
        <v>1</v>
      </c>
      <c r="H250" s="283">
        <f ca="1">IFERROR(IF(A250="","",_xlfn.XLOOKUP(E250,Orçamento!Q:Q,Orçamento!Y:Y)),"")</f>
        <v>1400</v>
      </c>
      <c r="I250" s="283">
        <f t="shared" ca="1" si="9"/>
        <v>1400</v>
      </c>
      <c r="J250" s="284">
        <f t="shared" ca="1" si="10"/>
        <v>2.0084276408633114E-4</v>
      </c>
      <c r="K250" s="284">
        <f t="shared" ca="1" si="11"/>
        <v>0.87150008568636161</v>
      </c>
      <c r="M250" s="419"/>
    </row>
    <row r="251" spans="1:13" x14ac:dyDescent="0.2">
      <c r="A251" s="10" t="str">
        <f ca="1"/>
        <v>1399,1630254 - Pavimentação em  Piso/Grama de Concreto 6 cm Sobre Coxim de Areia</v>
      </c>
      <c r="B251" s="10">
        <f ca="1">IF(OR(A251="",A251=0),"",LARGE($B$8:B250,1)+1)</f>
        <v>243</v>
      </c>
      <c r="C251" s="7"/>
      <c r="D251" s="279">
        <f ca="1">IF(A251="","",COUNTIF(Orçamento!P:P,A251))</f>
        <v>0</v>
      </c>
      <c r="E251" s="280" t="str">
        <f ca="1">IFERROR(IF(A251="","",_xlfn.XLOOKUP(A251,'ABC Serviços Apoio'!C:C,'ABC Serviços Apoio'!A:A)),"")</f>
        <v>Pavimentação em  Piso/Grama de Concreto 6 cm Sobre Coxim de Areia</v>
      </c>
      <c r="F251" s="281" t="str">
        <f ca="1">IFERROR(IF(A251="","",_xlfn.XLOOKUP(E251,Orçamento!Q:Q,Orçamento!T:T)),"")</f>
        <v>M2</v>
      </c>
      <c r="G251" s="282">
        <f ca="1">IFERROR(IF(A251="","",SUMIF(Orçamento!Q:Q,E251,Orçamento!X:X)),"")</f>
        <v>12.677</v>
      </c>
      <c r="H251" s="283">
        <f ca="1">IFERROR(IF(A251="","",_xlfn.XLOOKUP(E251,Orçamento!Q:Q,Orçamento!Y:Y)),"")</f>
        <v>110.37020000000001</v>
      </c>
      <c r="I251" s="283">
        <f t="shared" ca="1" si="9"/>
        <v>1399.1630254000002</v>
      </c>
      <c r="J251" s="284">
        <f t="shared" ca="1" si="10"/>
        <v>2.0072269244909255E-4</v>
      </c>
      <c r="K251" s="284">
        <f t="shared" ca="1" si="11"/>
        <v>0.8717008083788107</v>
      </c>
      <c r="M251" s="419"/>
    </row>
    <row r="252" spans="1:13" x14ac:dyDescent="0.2">
      <c r="A252" s="10" t="str">
        <f ca="1"/>
        <v>139412,540588041 - Itens eventuais e nao orcados</v>
      </c>
      <c r="B252" s="10">
        <f ca="1">IF(OR(A252="",A252=0),"",LARGE($B$8:B251,1)+1)</f>
        <v>244</v>
      </c>
      <c r="C252" s="7"/>
      <c r="D252" s="279">
        <f ca="1">IF(A252="","",COUNTIF(Orçamento!P:P,A252))</f>
        <v>0</v>
      </c>
      <c r="E252" s="280" t="str">
        <f ca="1">IFERROR(IF(A252="","",_xlfn.XLOOKUP(A252,'ABC Serviços Apoio'!C:C,'ABC Serviços Apoio'!A:A)),"")</f>
        <v>Itens eventuais e nao orcados</v>
      </c>
      <c r="F252" s="281" t="str">
        <f ca="1">IFERROR(IF(A252="","",_xlfn.XLOOKUP(E252,Orçamento!Q:Q,Orçamento!T:T)),"")</f>
        <v>VB</v>
      </c>
      <c r="G252" s="282">
        <f ca="1">IFERROR(IF(A252="","",SUMIF(Orçamento!Q:Q,E252,Orçamento!X:X)),"")</f>
        <v>1</v>
      </c>
      <c r="H252" s="283">
        <f ca="1">IFERROR(IF(A252="","",_xlfn.XLOOKUP(E252,Orçamento!Q:Q,Orçamento!Y:Y)),"")</f>
        <v>139412.54058804107</v>
      </c>
      <c r="I252" s="283">
        <f t="shared" ca="1" si="9"/>
        <v>139412.54058804107</v>
      </c>
      <c r="J252" s="284">
        <f t="shared" ca="1" si="10"/>
        <v>1.9999999999999997E-2</v>
      </c>
      <c r="K252" s="284">
        <f t="shared" ca="1" si="11"/>
        <v>0.89170080837881072</v>
      </c>
      <c r="M252" s="419"/>
    </row>
    <row r="253" spans="1:13" x14ac:dyDescent="0.2">
      <c r="A253" s="10" t="str">
        <f ca="1"/>
        <v>13855,7989147745 - Armacao Média para Contenção</v>
      </c>
      <c r="B253" s="10">
        <f ca="1">IF(OR(A253="",A253=0),"",LARGE($B$8:B252,1)+1)</f>
        <v>245</v>
      </c>
      <c r="C253" s="7"/>
      <c r="D253" s="279">
        <f ca="1">IF(A253="","",COUNTIF(Orçamento!P:P,A253))</f>
        <v>0</v>
      </c>
      <c r="E253" s="280" t="str">
        <f ca="1">IFERROR(IF(A253="","",_xlfn.XLOOKUP(A253,'ABC Serviços Apoio'!C:C,'ABC Serviços Apoio'!A:A)),"")</f>
        <v>Armacao Média para Contenção</v>
      </c>
      <c r="F253" s="281" t="str">
        <f ca="1">IFERROR(IF(A253="","",_xlfn.XLOOKUP(E253,Orçamento!Q:Q,Orçamento!T:T)),"")</f>
        <v>VB</v>
      </c>
      <c r="G253" s="282">
        <f ca="1">IFERROR(IF(A253="","",SUMIF(Orçamento!Q:Q,E253,Orçamento!X:X)),"")</f>
        <v>1</v>
      </c>
      <c r="H253" s="283">
        <f ca="1">IFERROR(IF(A253="","",_xlfn.XLOOKUP(E253,Orçamento!Q:Q,Orçamento!Y:Y)),"")</f>
        <v>13855.798914774519</v>
      </c>
      <c r="I253" s="283">
        <f t="shared" ca="1" si="9"/>
        <v>13855.798914774519</v>
      </c>
      <c r="J253" s="284">
        <f t="shared" ca="1" si="10"/>
        <v>1.98774068047693E-3</v>
      </c>
      <c r="K253" s="284">
        <f t="shared" ca="1" si="11"/>
        <v>0.89368854905928763</v>
      </c>
      <c r="M253" s="419"/>
    </row>
    <row r="254" spans="1:13" x14ac:dyDescent="0.2">
      <c r="A254" s="10" t="str">
        <f ca="1"/>
        <v>138000 - Mao de obra empreitada vedacoes internas e externas - assentamento blocos ceramicos</v>
      </c>
      <c r="B254" s="10">
        <f ca="1">IF(OR(A254="",A254=0),"",LARGE($B$8:B253,1)+1)</f>
        <v>246</v>
      </c>
      <c r="C254" s="7"/>
      <c r="D254" s="279">
        <f ca="1">IF(A254="","",COUNTIF(Orçamento!P:P,A254))</f>
        <v>0</v>
      </c>
      <c r="E254" s="280" t="str">
        <f ca="1">IFERROR(IF(A254="","",_xlfn.XLOOKUP(A254,'ABC Serviços Apoio'!C:C,'ABC Serviços Apoio'!A:A)),"")</f>
        <v>Mao de obra empreitada vedacoes internas e externas - assentamento blocos ceramicos</v>
      </c>
      <c r="F254" s="281" t="str">
        <f ca="1">IFERROR(IF(A254="","",_xlfn.XLOOKUP(E254,Orçamento!Q:Q,Orçamento!T:T)),"")</f>
        <v>M2</v>
      </c>
      <c r="G254" s="282">
        <f ca="1">IFERROR(IF(A254="","",SUMIF(Orçamento!Q:Q,E254,Orçamento!X:X)),"")</f>
        <v>2341.7450000000003</v>
      </c>
      <c r="H254" s="283">
        <f ca="1">IFERROR(IF(A254="","",_xlfn.XLOOKUP(E254,Orçamento!Q:Q,Orçamento!Y:Y)),"")</f>
        <v>58.930413003977797</v>
      </c>
      <c r="I254" s="283">
        <f t="shared" ca="1" si="9"/>
        <v>138000</v>
      </c>
      <c r="J254" s="284">
        <f t="shared" ca="1" si="10"/>
        <v>1.979735817422407E-2</v>
      </c>
      <c r="K254" s="284">
        <f t="shared" ca="1" si="11"/>
        <v>0.91348590723351175</v>
      </c>
      <c r="M254" s="419"/>
    </row>
    <row r="255" spans="1:13" x14ac:dyDescent="0.2">
      <c r="A255" s="10" t="str">
        <f ca="1"/>
        <v>135260 - Empreiteiro de Terraplenagem / Escavação e Carga Mecanizada em Corte - Desaterro</v>
      </c>
      <c r="B255" s="10">
        <f ca="1">IF(OR(A255="",A255=0),"",LARGE($B$8:B254,1)+1)</f>
        <v>247</v>
      </c>
      <c r="C255" s="7"/>
      <c r="D255" s="279">
        <f ca="1">IF(A255="","",COUNTIF(Orçamento!P:P,A255))</f>
        <v>0</v>
      </c>
      <c r="E255" s="280" t="str">
        <f ca="1">IFERROR(IF(A255="","",_xlfn.XLOOKUP(A255,'ABC Serviços Apoio'!C:C,'ABC Serviços Apoio'!A:A)),"")</f>
        <v>Empreiteiro de Terraplenagem / Escavação e Carga Mecanizada em Corte - Desaterro</v>
      </c>
      <c r="F255" s="281" t="str">
        <f ca="1">IFERROR(IF(A255="","",_xlfn.XLOOKUP(E255,Orçamento!Q:Q,Orçamento!T:T)),"")</f>
        <v>VB</v>
      </c>
      <c r="G255" s="282">
        <f ca="1">IFERROR(IF(A255="","",SUMIF(Orçamento!Q:Q,E255,Orçamento!X:X)),"")</f>
        <v>1</v>
      </c>
      <c r="H255" s="283">
        <f ca="1">IFERROR(IF(A255="","",_xlfn.XLOOKUP(E255,Orçamento!Q:Q,Orçamento!Y:Y)),"")</f>
        <v>135260</v>
      </c>
      <c r="I255" s="283">
        <f t="shared" ca="1" si="9"/>
        <v>135260</v>
      </c>
      <c r="J255" s="284">
        <f t="shared" ca="1" si="10"/>
        <v>1.940428019308368E-2</v>
      </c>
      <c r="K255" s="284">
        <f t="shared" ca="1" si="11"/>
        <v>0.93289018742659546</v>
      </c>
      <c r="M255" s="419"/>
    </row>
    <row r="256" spans="1:13" x14ac:dyDescent="0.2">
      <c r="A256" s="10" t="str">
        <f ca="1"/>
        <v>1351,65924 - Guarda-corpo de vaos, fixado em forma de madeira, em trama de madeira com tela de polipropileno</v>
      </c>
      <c r="B256" s="10">
        <f ca="1">IF(OR(A256="",A256=0),"",LARGE($B$8:B255,1)+1)</f>
        <v>248</v>
      </c>
      <c r="C256" s="7"/>
      <c r="D256" s="279">
        <f ca="1">IF(A256="","",COUNTIF(Orçamento!P:P,A256))</f>
        <v>0</v>
      </c>
      <c r="E256" s="280" t="str">
        <f ca="1">IFERROR(IF(A256="","",_xlfn.XLOOKUP(A256,'ABC Serviços Apoio'!C:C,'ABC Serviços Apoio'!A:A)),"")</f>
        <v>Guarda-corpo de vaos, fixado em forma de madeira, em trama de madeira com tela de polipropileno</v>
      </c>
      <c r="F256" s="281" t="str">
        <f ca="1">IFERROR(IF(A256="","",_xlfn.XLOOKUP(E256,Orçamento!Q:Q,Orçamento!T:T)),"")</f>
        <v>M</v>
      </c>
      <c r="G256" s="282">
        <f ca="1">IFERROR(IF(A256="","",SUMIF(Orçamento!Q:Q,E256,Orçamento!X:X)),"")</f>
        <v>98.805499999999995</v>
      </c>
      <c r="H256" s="283">
        <f ca="1">IFERROR(IF(A256="","",_xlfn.XLOOKUP(E256,Orçamento!Q:Q,Orçamento!Y:Y)),"")</f>
        <v>13.68</v>
      </c>
      <c r="I256" s="283">
        <f t="shared" ca="1" si="9"/>
        <v>1351.65924</v>
      </c>
      <c r="J256" s="284">
        <f t="shared" ca="1" si="10"/>
        <v>1.9390784133173545E-4</v>
      </c>
      <c r="K256" s="284">
        <f t="shared" ca="1" si="11"/>
        <v>0.93308409526792724</v>
      </c>
      <c r="M256" s="419"/>
    </row>
    <row r="257" spans="1:13" x14ac:dyDescent="0.2">
      <c r="A257" s="10" t="str">
        <f ca="1"/>
        <v>13173,60627 - Peitoril em granito, acabamento polido, espessura 2cm</v>
      </c>
      <c r="B257" s="10">
        <f ca="1">IF(OR(A257="",A257=0),"",LARGE($B$8:B256,1)+1)</f>
        <v>249</v>
      </c>
      <c r="C257" s="7"/>
      <c r="D257" s="279">
        <f ca="1">IF(A257="","",COUNTIF(Orçamento!P:P,A257))</f>
        <v>0</v>
      </c>
      <c r="E257" s="280" t="str">
        <f ca="1">IFERROR(IF(A257="","",_xlfn.XLOOKUP(A257,'ABC Serviços Apoio'!C:C,'ABC Serviços Apoio'!A:A)),"")</f>
        <v>Peitoril em granito, acabamento polido, espessura 2cm</v>
      </c>
      <c r="F257" s="281" t="str">
        <f ca="1">IFERROR(IF(A257="","",_xlfn.XLOOKUP(E257,Orçamento!Q:Q,Orçamento!T:T)),"")</f>
        <v>M</v>
      </c>
      <c r="G257" s="282">
        <f ca="1">IFERROR(IF(A257="","",SUMIF(Orçamento!Q:Q,E257,Orçamento!X:X)),"")</f>
        <v>135.95999999999998</v>
      </c>
      <c r="H257" s="283">
        <f ca="1">IFERROR(IF(A257="","",_xlfn.XLOOKUP(E257,Orçamento!Q:Q,Orçamento!Y:Y)),"")</f>
        <v>96.893250000000009</v>
      </c>
      <c r="I257" s="283">
        <f t="shared" ca="1" si="9"/>
        <v>13173.606269999998</v>
      </c>
      <c r="J257" s="284">
        <f t="shared" ca="1" si="10"/>
        <v>1.8898739258941589E-3</v>
      </c>
      <c r="K257" s="284">
        <f t="shared" ca="1" si="11"/>
        <v>0.93497396919382136</v>
      </c>
      <c r="M257" s="419"/>
    </row>
    <row r="258" spans="1:13" x14ac:dyDescent="0.2">
      <c r="A258" s="10" t="str">
        <f ca="1"/>
        <v>13113,3546093752 - Forma para Contenção</v>
      </c>
      <c r="B258" s="10">
        <f ca="1">IF(OR(A258="",A258=0),"",LARGE($B$8:B257,1)+1)</f>
        <v>250</v>
      </c>
      <c r="C258" s="7"/>
      <c r="D258" s="279">
        <f ca="1">IF(A258="","",COUNTIF(Orçamento!P:P,A258))</f>
        <v>0</v>
      </c>
      <c r="E258" s="280" t="str">
        <f ca="1">IFERROR(IF(A258="","",_xlfn.XLOOKUP(A258,'ABC Serviços Apoio'!C:C,'ABC Serviços Apoio'!A:A)),"")</f>
        <v>Forma para Contenção</v>
      </c>
      <c r="F258" s="281" t="str">
        <f ca="1">IFERROR(IF(A258="","",_xlfn.XLOOKUP(E258,Orçamento!Q:Q,Orçamento!T:T)),"")</f>
        <v>VB</v>
      </c>
      <c r="G258" s="282">
        <f ca="1">IFERROR(IF(A258="","",SUMIF(Orçamento!Q:Q,E258,Orçamento!X:X)),"")</f>
        <v>1</v>
      </c>
      <c r="H258" s="283">
        <f ca="1">IFERROR(IF(A258="","",_xlfn.XLOOKUP(E258,Orçamento!Q:Q,Orçamento!Y:Y)),"")</f>
        <v>13113.354609375243</v>
      </c>
      <c r="I258" s="283">
        <f t="shared" ca="1" si="9"/>
        <v>13113.354609375243</v>
      </c>
      <c r="J258" s="284">
        <f t="shared" ca="1" si="10"/>
        <v>1.881230275850825E-3</v>
      </c>
      <c r="K258" s="284">
        <f t="shared" ca="1" si="11"/>
        <v>0.93685519946967222</v>
      </c>
      <c r="M258" s="419"/>
    </row>
    <row r="259" spans="1:13" x14ac:dyDescent="0.2">
      <c r="A259" s="10" t="str">
        <f ca="1"/>
        <v>13057,62 - Controle Tecnológico de Concreto - Supraestrutura</v>
      </c>
      <c r="B259" s="10">
        <f ca="1">IF(OR(A259="",A259=0),"",LARGE($B$8:B258,1)+1)</f>
        <v>251</v>
      </c>
      <c r="C259" s="7"/>
      <c r="D259" s="279">
        <f ca="1">IF(A259="","",COUNTIF(Orçamento!P:P,A259))</f>
        <v>0</v>
      </c>
      <c r="E259" s="280" t="str">
        <f ca="1">IFERROR(IF(A259="","",_xlfn.XLOOKUP(A259,'ABC Serviços Apoio'!C:C,'ABC Serviços Apoio'!A:A)),"")</f>
        <v>Controle Tecnológico de Concreto - Supraestrutura</v>
      </c>
      <c r="F259" s="281" t="str">
        <f ca="1">IFERROR(IF(A259="","",_xlfn.XLOOKUP(E259,Orçamento!Q:Q,Orçamento!T:T)),"")</f>
        <v>UN</v>
      </c>
      <c r="G259" s="282">
        <f ca="1">IFERROR(IF(A259="","",SUMIF(Orçamento!Q:Q,E259,Orçamento!X:X)),"")</f>
        <v>566</v>
      </c>
      <c r="H259" s="283">
        <f ca="1">IFERROR(IF(A259="","",_xlfn.XLOOKUP(E259,Orçamento!Q:Q,Orçamento!Y:Y)),"")</f>
        <v>23.07</v>
      </c>
      <c r="I259" s="283">
        <f t="shared" ca="1" si="9"/>
        <v>13057.62</v>
      </c>
      <c r="J259" s="284">
        <f t="shared" ca="1" si="10"/>
        <v>1.8732346379921139E-3</v>
      </c>
      <c r="K259" s="284">
        <f t="shared" ca="1" si="11"/>
        <v>0.93872843410766438</v>
      </c>
      <c r="M259" s="419"/>
    </row>
    <row r="260" spans="1:13" x14ac:dyDescent="0.2">
      <c r="A260" s="10" t="str">
        <f ca="1"/>
        <v>129720 - Mao de obra para pintura acrilica em paredes</v>
      </c>
      <c r="B260" s="10">
        <f ca="1">IF(OR(A260="",A260=0),"",LARGE($B$8:B259,1)+1)</f>
        <v>252</v>
      </c>
      <c r="C260" s="7"/>
      <c r="D260" s="279">
        <f ca="1">IF(A260="","",COUNTIF(Orçamento!P:P,A260))</f>
        <v>0</v>
      </c>
      <c r="E260" s="280" t="str">
        <f ca="1">IFERROR(IF(A260="","",_xlfn.XLOOKUP(A260,'ABC Serviços Apoio'!C:C,'ABC Serviços Apoio'!A:A)),"")</f>
        <v>Mao de obra para pintura acrilica em paredes</v>
      </c>
      <c r="F260" s="281" t="str">
        <f ca="1">IFERROR(IF(A260="","",_xlfn.XLOOKUP(E260,Orçamento!Q:Q,Orçamento!T:T)),"")</f>
        <v>M2</v>
      </c>
      <c r="G260" s="282">
        <f ca="1">IFERROR(IF(A260="","",SUMIF(Orçamento!Q:Q,E260,Orçamento!X:X)),"")</f>
        <v>3396.9239999999995</v>
      </c>
      <c r="H260" s="283">
        <f ca="1">IFERROR(IF(A260="","",_xlfn.XLOOKUP(E260,Orçamento!Q:Q,Orçamento!Y:Y)),"")</f>
        <v>38.187489622964783</v>
      </c>
      <c r="I260" s="283">
        <f t="shared" ca="1" si="9"/>
        <v>129720</v>
      </c>
      <c r="J260" s="284">
        <f t="shared" ca="1" si="10"/>
        <v>1.8609516683770626E-2</v>
      </c>
      <c r="K260" s="284">
        <f t="shared" ca="1" si="11"/>
        <v>0.95733795079143502</v>
      </c>
      <c r="M260" s="419"/>
    </row>
    <row r="261" spans="1:13" x14ac:dyDescent="0.2">
      <c r="A261" s="10" t="str">
        <f ca="1"/>
        <v>12902,07571254 - Concreto usinado bombeavel para Contenções Fck 35MPa com brita 0 e 1 SLUMP = 12 +/- 2 incluindo servico de bombeamento</v>
      </c>
      <c r="B261" s="10">
        <f ca="1">IF(OR(A261="",A261=0),"",LARGE($B$8:B260,1)+1)</f>
        <v>253</v>
      </c>
      <c r="C261" s="7"/>
      <c r="D261" s="279">
        <f ca="1">IF(A261="","",COUNTIF(Orçamento!P:P,A261))</f>
        <v>0</v>
      </c>
      <c r="E261" s="280" t="str">
        <f ca="1">IFERROR(IF(A261="","",_xlfn.XLOOKUP(A261,'ABC Serviços Apoio'!C:C,'ABC Serviços Apoio'!A:A)),"")</f>
        <v>Concreto usinado bombeavel para Contenções Fck 35MPa com brita 0 e 1 SLUMP = 12 +/- 2 incluindo servico de bombeamento</v>
      </c>
      <c r="F261" s="281" t="str">
        <f ca="1">IFERROR(IF(A261="","",_xlfn.XLOOKUP(E261,Orçamento!Q:Q,Orçamento!T:T)),"")</f>
        <v>M3</v>
      </c>
      <c r="G261" s="282">
        <f ca="1">IFERROR(IF(A261="","",SUMIF(Orçamento!Q:Q,E261,Orçamento!X:X)),"")</f>
        <v>25.335445679999999</v>
      </c>
      <c r="H261" s="283">
        <f ca="1">IFERROR(IF(A261="","",_xlfn.XLOOKUP(E261,Orçamento!Q:Q,Orçamento!Y:Y)),"")</f>
        <v>509.25</v>
      </c>
      <c r="I261" s="283">
        <f t="shared" ca="1" si="9"/>
        <v>12902.07571254</v>
      </c>
      <c r="J261" s="284">
        <f t="shared" ca="1" si="10"/>
        <v>1.8509203918268956E-3</v>
      </c>
      <c r="K261" s="284">
        <f t="shared" ca="1" si="11"/>
        <v>0.9591888711832619</v>
      </c>
      <c r="M261" s="419"/>
    </row>
    <row r="262" spans="1:13" x14ac:dyDescent="0.2">
      <c r="A262" s="10" t="str">
        <f ca="1"/>
        <v>12870,858 - Armacao Tela Q61 para supraestrutura</v>
      </c>
      <c r="B262" s="10">
        <f ca="1">IF(OR(A262="",A262=0),"",LARGE($B$8:B261,1)+1)</f>
        <v>254</v>
      </c>
      <c r="C262" s="7"/>
      <c r="D262" s="279">
        <f ca="1">IF(A262="","",COUNTIF(Orçamento!P:P,A262))</f>
        <v>0</v>
      </c>
      <c r="E262" s="280" t="str">
        <f ca="1">IFERROR(IF(A262="","",_xlfn.XLOOKUP(A262,'ABC Serviços Apoio'!C:C,'ABC Serviços Apoio'!A:A)),"")</f>
        <v>Armacao Tela Q61 para supraestrutura</v>
      </c>
      <c r="F262" s="281" t="str">
        <f ca="1">IFERROR(IF(A262="","",_xlfn.XLOOKUP(E262,Orçamento!Q:Q,Orçamento!T:T)),"")</f>
        <v>KG</v>
      </c>
      <c r="G262" s="282">
        <f ca="1">IFERROR(IF(A262="","",SUMIF(Orçamento!Q:Q,E262,Orçamento!X:X)),"")</f>
        <v>1820</v>
      </c>
      <c r="H262" s="283">
        <f ca="1">IFERROR(IF(A262="","",_xlfn.XLOOKUP(E262,Orçamento!Q:Q,Orçamento!Y:Y)),"")</f>
        <v>7.0718999999999994</v>
      </c>
      <c r="I262" s="283">
        <f t="shared" ca="1" si="9"/>
        <v>12870.857999999998</v>
      </c>
      <c r="J262" s="284">
        <f t="shared" ca="1" si="10"/>
        <v>1.8464419263447625E-3</v>
      </c>
      <c r="K262" s="284">
        <f t="shared" ca="1" si="11"/>
        <v>0.96103531310960666</v>
      </c>
      <c r="M262" s="419"/>
    </row>
    <row r="263" spans="1:13" x14ac:dyDescent="0.2">
      <c r="A263" s="10" t="str">
        <f ca="1"/>
        <v>1281,60243942074 - Pontos de Tomadas e Interruptores - Pavimento Técnico</v>
      </c>
      <c r="B263" s="10">
        <f ca="1">IF(OR(A263="",A263=0),"",LARGE($B$8:B262,1)+1)</f>
        <v>255</v>
      </c>
      <c r="C263" s="7"/>
      <c r="D263" s="279">
        <f ca="1">IF(A263="","",COUNTIF(Orçamento!P:P,A263))</f>
        <v>0</v>
      </c>
      <c r="E263" s="280" t="str">
        <f ca="1">IFERROR(IF(A263="","",_xlfn.XLOOKUP(A263,'ABC Serviços Apoio'!C:C,'ABC Serviços Apoio'!A:A)),"")</f>
        <v>Pontos de Tomadas e Interruptores - Pavimento Técnico</v>
      </c>
      <c r="F263" s="281" t="str">
        <f ca="1">IFERROR(IF(A263="","",_xlfn.XLOOKUP(E263,Orçamento!Q:Q,Orçamento!T:T)),"")</f>
        <v>VB</v>
      </c>
      <c r="G263" s="282">
        <f ca="1">IFERROR(IF(A263="","",SUMIF(Orçamento!Q:Q,E263,Orçamento!X:X)),"")</f>
        <v>1</v>
      </c>
      <c r="H263" s="283">
        <f ca="1">IFERROR(IF(A263="","",_xlfn.XLOOKUP(E263,Orçamento!Q:Q,Orçamento!Y:Y)),"")</f>
        <v>1281.602439420742</v>
      </c>
      <c r="I263" s="283">
        <f t="shared" ca="1" si="9"/>
        <v>1281.602439420742</v>
      </c>
      <c r="J263" s="284">
        <f t="shared" ca="1" si="10"/>
        <v>1.8385755456646184E-4</v>
      </c>
      <c r="K263" s="284">
        <f t="shared" ca="1" si="11"/>
        <v>0.96121917066417317</v>
      </c>
      <c r="M263" s="419"/>
    </row>
    <row r="264" spans="1:13" x14ac:dyDescent="0.2">
      <c r="A264" s="10" t="str">
        <f ca="1"/>
        <v>1269,27528 - Estucamento de estrutura de concreto em teto</v>
      </c>
      <c r="B264" s="10">
        <f ca="1">IF(OR(A264="",A264=0),"",LARGE($B$8:B263,1)+1)</f>
        <v>256</v>
      </c>
      <c r="C264" s="7"/>
      <c r="D264" s="279">
        <f ca="1">IF(A264="","",COUNTIF(Orçamento!P:P,A264))</f>
        <v>0</v>
      </c>
      <c r="E264" s="280" t="str">
        <f ca="1">IFERROR(IF(A264="","",_xlfn.XLOOKUP(A264,'ABC Serviços Apoio'!C:C,'ABC Serviços Apoio'!A:A)),"")</f>
        <v>Estucamento de estrutura de concreto em teto</v>
      </c>
      <c r="F264" s="281" t="str">
        <f ca="1">IFERROR(IF(A264="","",_xlfn.XLOOKUP(E264,Orçamento!Q:Q,Orçamento!T:T)),"")</f>
        <v>M2</v>
      </c>
      <c r="G264" s="282">
        <f ca="1">IFERROR(IF(A264="","",SUMIF(Orçamento!Q:Q,E264,Orçamento!X:X)),"")</f>
        <v>313.44</v>
      </c>
      <c r="H264" s="283">
        <f ca="1">IFERROR(IF(A264="","",_xlfn.XLOOKUP(E264,Orçamento!Q:Q,Orçamento!Y:Y)),"")</f>
        <v>4.0495000000000001</v>
      </c>
      <c r="I264" s="283">
        <f t="shared" ca="1" si="9"/>
        <v>1269.2752800000001</v>
      </c>
      <c r="J264" s="284">
        <f t="shared" ca="1" si="10"/>
        <v>1.8208911115832281E-4</v>
      </c>
      <c r="K264" s="284">
        <f t="shared" ca="1" si="11"/>
        <v>0.96140125977533153</v>
      </c>
      <c r="M264" s="419"/>
    </row>
    <row r="265" spans="1:13" x14ac:dyDescent="0.2">
      <c r="A265" s="10" t="str">
        <f ca="1"/>
        <v>1262,71509 - Estucamento de estrutura de concreto em pilares e vigas</v>
      </c>
      <c r="B265" s="10">
        <f ca="1">IF(OR(A265="",A265=0),"",LARGE($B$8:B264,1)+1)</f>
        <v>257</v>
      </c>
      <c r="C265" s="7"/>
      <c r="D265" s="279">
        <f ca="1">IF(A265="","",COUNTIF(Orçamento!P:P,A265))</f>
        <v>0</v>
      </c>
      <c r="E265" s="280" t="str">
        <f ca="1">IFERROR(IF(A265="","",_xlfn.XLOOKUP(A265,'ABC Serviços Apoio'!C:C,'ABC Serviços Apoio'!A:A)),"")</f>
        <v>Estucamento de estrutura de concreto em pilares e vigas</v>
      </c>
      <c r="F265" s="281" t="str">
        <f ca="1">IFERROR(IF(A265="","",_xlfn.XLOOKUP(E265,Orçamento!Q:Q,Orçamento!T:T)),"")</f>
        <v>M2</v>
      </c>
      <c r="G265" s="282">
        <f ca="1">IFERROR(IF(A265="","",SUMIF(Orçamento!Q:Q,E265,Orçamento!X:X)),"")</f>
        <v>311.82</v>
      </c>
      <c r="H265" s="283">
        <f ca="1">IFERROR(IF(A265="","",_xlfn.XLOOKUP(E265,Orçamento!Q:Q,Orçamento!Y:Y)),"")</f>
        <v>4.0495000000000001</v>
      </c>
      <c r="I265" s="283">
        <f t="shared" ref="I265:I316" ca="1" si="12">IFERROR(IF(E265="","",G265*H265),"")</f>
        <v>1262.7150899999999</v>
      </c>
      <c r="J265" s="284">
        <f t="shared" ref="J265:J316" ca="1" si="13">IFERROR(IF(I265="","",I265/$I$6),0)</f>
        <v>1.8114799209222884E-4</v>
      </c>
      <c r="K265" s="284">
        <f t="shared" ca="1" si="11"/>
        <v>0.96158240776742376</v>
      </c>
      <c r="M265" s="419"/>
    </row>
    <row r="266" spans="1:13" x14ac:dyDescent="0.2">
      <c r="A266" s="10" t="str">
        <f ca="1"/>
        <v>12562,08 - Barras de Apoio PCD</v>
      </c>
      <c r="B266" s="10">
        <f ca="1">IF(OR(A266="",A266=0),"",LARGE($B$8:B265,1)+1)</f>
        <v>258</v>
      </c>
      <c r="C266" s="7"/>
      <c r="D266" s="279">
        <f ca="1">IF(A266="","",COUNTIF(Orçamento!P:P,A266))</f>
        <v>0</v>
      </c>
      <c r="E266" s="280" t="str">
        <f ca="1">IFERROR(IF(A266="","",_xlfn.XLOOKUP(A266,'ABC Serviços Apoio'!C:C,'ABC Serviços Apoio'!A:A)),"")</f>
        <v>Barras de Apoio PCD</v>
      </c>
      <c r="F266" s="281" t="str">
        <f ca="1">IFERROR(IF(A266="","",_xlfn.XLOOKUP(E266,Orçamento!Q:Q,Orçamento!T:T)),"")</f>
        <v>UN</v>
      </c>
      <c r="G266" s="282">
        <f ca="1">IFERROR(IF(A266="","",SUMIF(Orçamento!Q:Q,E266,Orçamento!X:X)),"")</f>
        <v>24</v>
      </c>
      <c r="H266" s="283">
        <f ca="1">IFERROR(IF(A266="","",_xlfn.XLOOKUP(E266,Orçamento!Q:Q,Orçamento!Y:Y)),"")</f>
        <v>523.41999999999996</v>
      </c>
      <c r="I266" s="283">
        <f t="shared" ca="1" si="12"/>
        <v>12562.079999999998</v>
      </c>
      <c r="J266" s="284">
        <f t="shared" ca="1" si="13"/>
        <v>1.8021449070525846E-3</v>
      </c>
      <c r="K266" s="284">
        <f t="shared" ref="K266:K316" ca="1" si="14">J266+K265</f>
        <v>0.96338455267447631</v>
      </c>
      <c r="M266" s="419"/>
    </row>
    <row r="267" spans="1:13" x14ac:dyDescent="0.2">
      <c r="A267" s="10" t="str">
        <f ca="1"/>
        <v>12364,7172525 - Alvenaria de vedacao de blocos ceramicos furados na horizontal de 11.5x19x29cm (espessura 11.5cm) com argamassa industrializada de assentamento</v>
      </c>
      <c r="B267" s="10">
        <f ca="1">IF(OR(A267="",A267=0),"",LARGE($B$8:B266,1)+1)</f>
        <v>259</v>
      </c>
      <c r="C267" s="7"/>
      <c r="D267" s="279">
        <f ca="1">IF(A267="","",COUNTIF(Orçamento!P:P,A267))</f>
        <v>0</v>
      </c>
      <c r="E267" s="280" t="str">
        <f ca="1">IFERROR(IF(A267="","",_xlfn.XLOOKUP(A267,'ABC Serviços Apoio'!C:C,'ABC Serviços Apoio'!A:A)),"")</f>
        <v>Alvenaria de vedacao de blocos ceramicos furados na horizontal de 11.5x19x29cm (espessura 11.5cm) com argamassa industrializada de assentamento</v>
      </c>
      <c r="F267" s="281" t="str">
        <f ca="1">IFERROR(IF(A267="","",_xlfn.XLOOKUP(E267,Orçamento!Q:Q,Orçamento!T:T)),"")</f>
        <v>M2</v>
      </c>
      <c r="G267" s="282">
        <f ca="1">IFERROR(IF(A267="","",SUMIF(Orçamento!Q:Q,E267,Orçamento!X:X)),"")</f>
        <v>253.32500000000002</v>
      </c>
      <c r="H267" s="283">
        <f ca="1">IFERROR(IF(A267="","",_xlfn.XLOOKUP(E267,Orçamento!Q:Q,Orçamento!Y:Y)),"")</f>
        <v>48.809699999999999</v>
      </c>
      <c r="I267" s="283">
        <f t="shared" ca="1" si="12"/>
        <v>12364.717252500001</v>
      </c>
      <c r="J267" s="284">
        <f t="shared" ca="1" si="13"/>
        <v>1.7738314215271758E-3</v>
      </c>
      <c r="K267" s="284">
        <f t="shared" ca="1" si="14"/>
        <v>0.96515838409600352</v>
      </c>
      <c r="M267" s="419"/>
    </row>
    <row r="268" spans="1:13" x14ac:dyDescent="0.2">
      <c r="A268" s="10" t="str">
        <f ca="1"/>
        <v>12200 - Despesas de consumo - Mobiliário de Obra</v>
      </c>
      <c r="B268" s="10">
        <f ca="1">IF(OR(A268="",A268=0),"",LARGE($B$8:B267,1)+1)</f>
        <v>260</v>
      </c>
      <c r="C268" s="7"/>
      <c r="D268" s="279">
        <f ca="1">IF(A268="","",COUNTIF(Orçamento!P:P,A268))</f>
        <v>0</v>
      </c>
      <c r="E268" s="280" t="str">
        <f ca="1">IFERROR(IF(A268="","",_xlfn.XLOOKUP(A268,'ABC Serviços Apoio'!C:C,'ABC Serviços Apoio'!A:A)),"")</f>
        <v>Despesas de consumo - Mobiliário de Obra</v>
      </c>
      <c r="F268" s="281" t="str">
        <f ca="1">IFERROR(IF(A268="","",_xlfn.XLOOKUP(E268,Orçamento!Q:Q,Orçamento!T:T)),"")</f>
        <v>VB</v>
      </c>
      <c r="G268" s="282">
        <f ca="1">IFERROR(IF(A268="","",SUMIF(Orçamento!Q:Q,E268,Orçamento!X:X)),"")</f>
        <v>1</v>
      </c>
      <c r="H268" s="283">
        <f ca="1">IFERROR(IF(A268="","",_xlfn.XLOOKUP(E268,Orçamento!Q:Q,Orçamento!Y:Y)),"")</f>
        <v>12200</v>
      </c>
      <c r="I268" s="283">
        <f t="shared" ca="1" si="12"/>
        <v>12200</v>
      </c>
      <c r="J268" s="284">
        <f t="shared" ca="1" si="13"/>
        <v>1.7502012298951713E-3</v>
      </c>
      <c r="K268" s="284">
        <f t="shared" ca="1" si="14"/>
        <v>0.96690858532589874</v>
      </c>
      <c r="M268" s="419"/>
    </row>
    <row r="269" spans="1:13" x14ac:dyDescent="0.2">
      <c r="A269" s="10" t="str">
        <f ca="1"/>
        <v>12153,45497 - Tela fachadeira</v>
      </c>
      <c r="B269" s="10">
        <f ca="1">IF(OR(A269="",A269=0),"",LARGE($B$8:B268,1)+1)</f>
        <v>261</v>
      </c>
      <c r="C269" s="7"/>
      <c r="D269" s="279">
        <f ca="1">IF(A269="","",COUNTIF(Orçamento!P:P,A269))</f>
        <v>0</v>
      </c>
      <c r="E269" s="280" t="str">
        <f ca="1">IFERROR(IF(A269="","",_xlfn.XLOOKUP(A269,'ABC Serviços Apoio'!C:C,'ABC Serviços Apoio'!A:A)),"")</f>
        <v>Tela fachadeira</v>
      </c>
      <c r="F269" s="281" t="str">
        <f ca="1">IFERROR(IF(A269="","",_xlfn.XLOOKUP(E269,Orçamento!Q:Q,Orçamento!T:T)),"")</f>
        <v>M2</v>
      </c>
      <c r="G269" s="282">
        <f ca="1">IFERROR(IF(A269="","",SUMIF(Orçamento!Q:Q,E269,Orçamento!X:X)),"")</f>
        <v>1735.5879999999997</v>
      </c>
      <c r="H269" s="283">
        <f ca="1">IFERROR(IF(A269="","",_xlfn.XLOOKUP(E269,Orçamento!Q:Q,Orçamento!Y:Y)),"")</f>
        <v>7.0024999999999995</v>
      </c>
      <c r="I269" s="283">
        <f t="shared" ca="1" si="12"/>
        <v>12153.454969999997</v>
      </c>
      <c r="J269" s="284">
        <f t="shared" ca="1" si="13"/>
        <v>1.7435239209811131E-3</v>
      </c>
      <c r="K269" s="284">
        <f t="shared" ca="1" si="14"/>
        <v>0.96865210924687983</v>
      </c>
      <c r="M269" s="419"/>
    </row>
    <row r="270" spans="1:13" x14ac:dyDescent="0.2">
      <c r="A270" s="10" t="str">
        <f ca="1"/>
        <v>11974,75976223 - Cabos e Fiacoes - Pavimento Técnico</v>
      </c>
      <c r="B270" s="10">
        <f ca="1">IF(OR(A270="",A270=0),"",LARGE($B$8:B269,1)+1)</f>
        <v>262</v>
      </c>
      <c r="C270" s="7"/>
      <c r="D270" s="279">
        <f ca="1">IF(A270="","",COUNTIF(Orçamento!P:P,A270))</f>
        <v>0</v>
      </c>
      <c r="E270" s="280" t="str">
        <f ca="1">IFERROR(IF(A270="","",_xlfn.XLOOKUP(A270,'ABC Serviços Apoio'!C:C,'ABC Serviços Apoio'!A:A)),"")</f>
        <v>Cabos e Fiacoes - Pavimento Técnico</v>
      </c>
      <c r="F270" s="281" t="str">
        <f ca="1">IFERROR(IF(A270="","",_xlfn.XLOOKUP(E270,Orçamento!Q:Q,Orçamento!T:T)),"")</f>
        <v>VB</v>
      </c>
      <c r="G270" s="282">
        <f ca="1">IFERROR(IF(A270="","",SUMIF(Orçamento!Q:Q,E270,Orçamento!X:X)),"")</f>
        <v>1</v>
      </c>
      <c r="H270" s="283">
        <f ca="1">IFERROR(IF(A270="","",_xlfn.XLOOKUP(E270,Orçamento!Q:Q,Orçamento!Y:Y)),"")</f>
        <v>11974.759762230022</v>
      </c>
      <c r="I270" s="283">
        <f t="shared" ca="1" si="12"/>
        <v>11974.759762230022</v>
      </c>
      <c r="J270" s="284">
        <f t="shared" ca="1" si="13"/>
        <v>1.7178884642257536E-3</v>
      </c>
      <c r="K270" s="284">
        <f t="shared" ca="1" si="14"/>
        <v>0.97036999771110555</v>
      </c>
      <c r="M270" s="419"/>
    </row>
    <row r="271" spans="1:13" x14ac:dyDescent="0.2">
      <c r="A271" s="10" t="str">
        <f ca="1"/>
        <v>1195,14444 - Chapisco de estrutura de concreto em teto</v>
      </c>
      <c r="B271" s="10">
        <f ca="1">IF(OR(A271="",A271=0),"",LARGE($B$8:B270,1)+1)</f>
        <v>263</v>
      </c>
      <c r="C271" s="7"/>
      <c r="D271" s="279">
        <f ca="1">IF(A271="","",COUNTIF(Orçamento!P:P,A271))</f>
        <v>0</v>
      </c>
      <c r="E271" s="280" t="str">
        <f ca="1">IFERROR(IF(A271="","",_xlfn.XLOOKUP(A271,'ABC Serviços Apoio'!C:C,'ABC Serviços Apoio'!A:A)),"")</f>
        <v>Chapisco de estrutura de concreto em teto</v>
      </c>
      <c r="F271" s="281" t="str">
        <f ca="1">IFERROR(IF(A271="","",_xlfn.XLOOKUP(E271,Orçamento!Q:Q,Orçamento!T:T)),"")</f>
        <v>M2</v>
      </c>
      <c r="G271" s="282">
        <f ca="1">IFERROR(IF(A271="","",SUMIF(Orçamento!Q:Q,E271,Orçamento!X:X)),"")</f>
        <v>217.21999999999997</v>
      </c>
      <c r="H271" s="283">
        <f ca="1">IFERROR(IF(A271="","",_xlfn.XLOOKUP(E271,Orçamento!Q:Q,Orçamento!Y:Y)),"")</f>
        <v>5.5020000000000007</v>
      </c>
      <c r="I271" s="283">
        <f t="shared" ca="1" si="12"/>
        <v>1195.14444</v>
      </c>
      <c r="J271" s="284">
        <f t="shared" ca="1" si="13"/>
        <v>1.714543662942931E-4</v>
      </c>
      <c r="K271" s="284">
        <f t="shared" ca="1" si="14"/>
        <v>0.97054145207739984</v>
      </c>
      <c r="M271" s="419"/>
    </row>
    <row r="272" spans="1:13" x14ac:dyDescent="0.2">
      <c r="A272" s="10" t="str">
        <f ca="1"/>
        <v>1181,67 - Tratamento de ralo com manta de poliester</v>
      </c>
      <c r="B272" s="10">
        <f ca="1">IF(OR(A272="",A272=0),"",LARGE($B$8:B271,1)+1)</f>
        <v>264</v>
      </c>
      <c r="C272" s="7"/>
      <c r="D272" s="279">
        <f ca="1">IF(A272="","",COUNTIF(Orçamento!P:P,A272))</f>
        <v>0</v>
      </c>
      <c r="E272" s="280" t="str">
        <f ca="1">IFERROR(IF(A272="","",_xlfn.XLOOKUP(A272,'ABC Serviços Apoio'!C:C,'ABC Serviços Apoio'!A:A)),"")</f>
        <v>Tratamento de ralo com manta de poliester</v>
      </c>
      <c r="F272" s="281" t="str">
        <f ca="1">IFERROR(IF(A272="","",_xlfn.XLOOKUP(E272,Orçamento!Q:Q,Orçamento!T:T)),"")</f>
        <v>UN</v>
      </c>
      <c r="G272" s="282">
        <f ca="1">IFERROR(IF(A272="","",SUMIF(Orçamento!Q:Q,E272,Orçamento!X:X)),"")</f>
        <v>105</v>
      </c>
      <c r="H272" s="283">
        <f ca="1">IFERROR(IF(A272="","",_xlfn.XLOOKUP(E272,Orçamento!Q:Q,Orçamento!Y:Y)),"")</f>
        <v>11.254</v>
      </c>
      <c r="I272" s="283">
        <f t="shared" ca="1" si="12"/>
        <v>1181.6699999999998</v>
      </c>
      <c r="J272" s="284">
        <f t="shared" ca="1" si="13"/>
        <v>1.6952133502706778E-4</v>
      </c>
      <c r="K272" s="284">
        <f t="shared" ca="1" si="14"/>
        <v>0.97071097341242696</v>
      </c>
      <c r="M272" s="419"/>
    </row>
    <row r="273" spans="1:13" x14ac:dyDescent="0.2">
      <c r="A273" s="10" t="str">
        <f ca="1"/>
        <v>11500 - Mão de obra para aplicação de Porcelanato em paredes externas</v>
      </c>
      <c r="B273" s="10">
        <f ca="1">IF(OR(A273="",A273=0),"",LARGE($B$8:B272,1)+1)</f>
        <v>265</v>
      </c>
      <c r="C273" s="7"/>
      <c r="D273" s="279">
        <f ca="1">IF(A273="","",COUNTIF(Orçamento!P:P,A273))</f>
        <v>0</v>
      </c>
      <c r="E273" s="280" t="str">
        <f ca="1">IFERROR(IF(A273="","",_xlfn.XLOOKUP(A273,'ABC Serviços Apoio'!C:C,'ABC Serviços Apoio'!A:A)),"")</f>
        <v>Mão de obra para aplicação de Porcelanato em paredes externas</v>
      </c>
      <c r="F273" s="281" t="str">
        <f ca="1">IFERROR(IF(A273="","",_xlfn.XLOOKUP(E273,Orçamento!Q:Q,Orçamento!T:T)),"")</f>
        <v>M2</v>
      </c>
      <c r="G273" s="282">
        <f ca="1">IFERROR(IF(A273="","",SUMIF(Orçamento!Q:Q,E273,Orçamento!X:X)),"")</f>
        <v>253.17999999999998</v>
      </c>
      <c r="H273" s="283">
        <f ca="1">IFERROR(IF(A273="","",_xlfn.XLOOKUP(E273,Orçamento!Q:Q,Orçamento!Y:Y)),"")</f>
        <v>45.422229244016116</v>
      </c>
      <c r="I273" s="283">
        <f t="shared" ca="1" si="12"/>
        <v>11500</v>
      </c>
      <c r="J273" s="284">
        <f t="shared" ca="1" si="13"/>
        <v>1.6497798478520059E-3</v>
      </c>
      <c r="K273" s="284">
        <f t="shared" ca="1" si="14"/>
        <v>0.97236075326027893</v>
      </c>
      <c r="M273" s="419"/>
    </row>
    <row r="274" spans="1:13" x14ac:dyDescent="0.2">
      <c r="A274" s="10" t="str">
        <f ca="1"/>
        <v>11375,389896 - Pintura com tinta latex acrilica branca acabamento fosco em paredes externas 2 demaos</v>
      </c>
      <c r="B274" s="10">
        <f ca="1">IF(OR(A274="",A274=0),"",LARGE($B$8:B273,1)+1)</f>
        <v>266</v>
      </c>
      <c r="C274" s="7"/>
      <c r="D274" s="279">
        <f ca="1">IF(A274="","",COUNTIF(Orçamento!P:P,A274))</f>
        <v>0</v>
      </c>
      <c r="E274" s="280" t="str">
        <f ca="1">IFERROR(IF(A274="","",_xlfn.XLOOKUP(A274,'ABC Serviços Apoio'!C:C,'ABC Serviços Apoio'!A:A)),"")</f>
        <v>Pintura com tinta latex acrilica branca acabamento fosco em paredes externas 2 demaos</v>
      </c>
      <c r="F274" s="281" t="str">
        <f ca="1">IFERROR(IF(A274="","",_xlfn.XLOOKUP(E274,Orçamento!Q:Q,Orçamento!T:T)),"")</f>
        <v>M2</v>
      </c>
      <c r="G274" s="282">
        <f ca="1">IFERROR(IF(A274="","",SUMIF(Orçamento!Q:Q,E274,Orçamento!X:X)),"")</f>
        <v>1624.8700000000001</v>
      </c>
      <c r="H274" s="283">
        <f ca="1">IFERROR(IF(A274="","",_xlfn.XLOOKUP(E274,Orçamento!Q:Q,Orçamento!Y:Y)),"")</f>
        <v>7.0007999999999999</v>
      </c>
      <c r="I274" s="283">
        <f t="shared" ca="1" si="12"/>
        <v>11375.389896000001</v>
      </c>
      <c r="J274" s="284">
        <f t="shared" ca="1" si="13"/>
        <v>1.6319033923374022E-3</v>
      </c>
      <c r="K274" s="284">
        <f t="shared" ca="1" si="14"/>
        <v>0.97399265665261636</v>
      </c>
      <c r="M274" s="419"/>
    </row>
    <row r="275" spans="1:13" x14ac:dyDescent="0.2">
      <c r="A275" s="10" t="str">
        <f ca="1"/>
        <v>1137,352 - Lavatório  / Metais</v>
      </c>
      <c r="B275" s="10">
        <f ca="1">IF(OR(A275="",A275=0),"",LARGE($B$8:B274,1)+1)</f>
        <v>267</v>
      </c>
      <c r="C275" s="7"/>
      <c r="D275" s="279">
        <f ca="1">IF(A275="","",COUNTIF(Orçamento!P:P,A275))</f>
        <v>0</v>
      </c>
      <c r="E275" s="280" t="str">
        <f ca="1">IFERROR(IF(A275="","",_xlfn.XLOOKUP(A275,'ABC Serviços Apoio'!C:C,'ABC Serviços Apoio'!A:A)),"")</f>
        <v>Lavatório  / Metais</v>
      </c>
      <c r="F275" s="281" t="str">
        <f ca="1">IFERROR(IF(A275="","",_xlfn.XLOOKUP(E275,Orçamento!Q:Q,Orçamento!T:T)),"")</f>
        <v>UN</v>
      </c>
      <c r="G275" s="282">
        <f ca="1">IFERROR(IF(A275="","",SUMIF(Orçamento!Q:Q,E275,Orçamento!X:X)),"")</f>
        <v>2</v>
      </c>
      <c r="H275" s="283">
        <f ca="1">IFERROR(IF(A275="","",_xlfn.XLOOKUP(E275,Orçamento!Q:Q,Orçamento!Y:Y)),"")</f>
        <v>568.67599999999993</v>
      </c>
      <c r="I275" s="283">
        <f t="shared" ca="1" si="12"/>
        <v>1137.3519999999999</v>
      </c>
      <c r="J275" s="284">
        <f t="shared" ca="1" si="13"/>
        <v>1.6316351387079777E-4</v>
      </c>
      <c r="K275" s="284">
        <f t="shared" ca="1" si="14"/>
        <v>0.97415582016648716</v>
      </c>
      <c r="M275" s="419"/>
    </row>
    <row r="276" spans="1:13" x14ac:dyDescent="0.2">
      <c r="A276" s="10" t="str">
        <f ca="1"/>
        <v>11345,796 - Chapisco aplicado em alvenarias externas, com colher de pedreiro, de argamassa estabilizada</v>
      </c>
      <c r="B276" s="10">
        <f ca="1">IF(OR(A276="",A276=0),"",LARGE($B$8:B275,1)+1)</f>
        <v>268</v>
      </c>
      <c r="C276" s="7"/>
      <c r="D276" s="279">
        <f ca="1">IF(A276="","",COUNTIF(Orçamento!P:P,A276))</f>
        <v>0</v>
      </c>
      <c r="E276" s="280" t="str">
        <f ca="1">IFERROR(IF(A276="","",_xlfn.XLOOKUP(A276,'ABC Serviços Apoio'!C:C,'ABC Serviços Apoio'!A:A)),"")</f>
        <v>Chapisco aplicado em alvenarias externas, com colher de pedreiro, de argamassa estabilizada</v>
      </c>
      <c r="F276" s="281" t="str">
        <f ca="1">IFERROR(IF(A276="","",_xlfn.XLOOKUP(E276,Orçamento!Q:Q,Orçamento!T:T)),"")</f>
        <v>M2</v>
      </c>
      <c r="G276" s="282">
        <f ca="1">IFERROR(IF(A276="","",SUMIF(Orçamento!Q:Q,E276,Orçamento!X:X)),"")</f>
        <v>1227.8999999999999</v>
      </c>
      <c r="H276" s="283">
        <f ca="1">IFERROR(IF(A276="","",_xlfn.XLOOKUP(E276,Orçamento!Q:Q,Orçamento!Y:Y)),"")</f>
        <v>9.24</v>
      </c>
      <c r="I276" s="283">
        <f t="shared" ca="1" si="12"/>
        <v>11345.795999999998</v>
      </c>
      <c r="J276" s="284">
        <f t="shared" ca="1" si="13"/>
        <v>1.6276578781425995E-3</v>
      </c>
      <c r="K276" s="284">
        <f t="shared" ca="1" si="14"/>
        <v>0.97578347804462973</v>
      </c>
      <c r="M276" s="419"/>
    </row>
    <row r="277" spans="1:13" x14ac:dyDescent="0.2">
      <c r="A277" s="10" t="str">
        <f ca="1"/>
        <v>113,83176 - Fechamento removivel de vaos de porta de elevador em madeira</v>
      </c>
      <c r="B277" s="10">
        <f ca="1">IF(OR(A277="",A277=0),"",LARGE($B$8:B276,1)+1)</f>
        <v>269</v>
      </c>
      <c r="C277" s="7"/>
      <c r="D277" s="279">
        <f ca="1">IF(A277="","",COUNTIF(Orçamento!P:P,A277))</f>
        <v>0</v>
      </c>
      <c r="E277" s="280" t="str">
        <f ca="1">IFERROR(IF(A277="","",_xlfn.XLOOKUP(A277,'ABC Serviços Apoio'!C:C,'ABC Serviços Apoio'!A:A)),"")</f>
        <v>Fechamento removivel de vaos de porta de elevador em madeira</v>
      </c>
      <c r="F277" s="281" t="str">
        <f ca="1">IFERROR(IF(A277="","",_xlfn.XLOOKUP(E277,Orçamento!Q:Q,Orçamento!T:T)),"")</f>
        <v>M</v>
      </c>
      <c r="G277" s="282">
        <f ca="1">IFERROR(IF(A277="","",SUMIF(Orçamento!Q:Q,E277,Orçamento!X:X)),"")</f>
        <v>1.6800000000000002</v>
      </c>
      <c r="H277" s="283">
        <f ca="1">IFERROR(IF(A277="","",_xlfn.XLOOKUP(E277,Orçamento!Q:Q,Orçamento!Y:Y)),"")</f>
        <v>67.757000000000005</v>
      </c>
      <c r="I277" s="283">
        <f t="shared" ca="1" si="12"/>
        <v>113.83176000000002</v>
      </c>
      <c r="J277" s="284">
        <f t="shared" ca="1" si="13"/>
        <v>1.6330203799437051E-5</v>
      </c>
      <c r="K277" s="284">
        <f t="shared" ca="1" si="14"/>
        <v>0.97579980824842916</v>
      </c>
      <c r="M277" s="419"/>
    </row>
    <row r="278" spans="1:13" x14ac:dyDescent="0.2">
      <c r="A278" s="10" t="str">
        <f ca="1"/>
        <v>112200 - Equipe de Canteiro</v>
      </c>
      <c r="B278" s="10">
        <f ca="1">IF(OR(A278="",A278=0),"",LARGE($B$8:B277,1)+1)</f>
        <v>270</v>
      </c>
      <c r="C278" s="7"/>
      <c r="D278" s="279">
        <f ca="1">IF(A278="","",COUNTIF(Orçamento!P:P,A278))</f>
        <v>0</v>
      </c>
      <c r="E278" s="280" t="str">
        <f ca="1">IFERROR(IF(A278="","",_xlfn.XLOOKUP(A278,'ABC Serviços Apoio'!C:C,'ABC Serviços Apoio'!A:A)),"")</f>
        <v>Equipe de Canteiro</v>
      </c>
      <c r="F278" s="281" t="str">
        <f ca="1">IFERROR(IF(A278="","",_xlfn.XLOOKUP(E278,Orçamento!Q:Q,Orçamento!T:T)),"")</f>
        <v>MES</v>
      </c>
      <c r="G278" s="282">
        <f ca="1">IFERROR(IF(A278="","",SUMIF(Orçamento!Q:Q,E278,Orçamento!X:X)),"")</f>
        <v>22</v>
      </c>
      <c r="H278" s="283">
        <f ca="1">IFERROR(IF(A278="","",_xlfn.XLOOKUP(E278,Orçamento!Q:Q,Orçamento!Y:Y)),"")</f>
        <v>5100</v>
      </c>
      <c r="I278" s="283">
        <f t="shared" ca="1" si="12"/>
        <v>112200</v>
      </c>
      <c r="J278" s="284">
        <f t="shared" ca="1" si="13"/>
        <v>1.6096112950347397E-2</v>
      </c>
      <c r="K278" s="284">
        <f t="shared" ca="1" si="14"/>
        <v>0.99189592119877656</v>
      </c>
      <c r="M278" s="419"/>
    </row>
    <row r="279" spans="1:13" x14ac:dyDescent="0.2">
      <c r="A279" s="10" t="str">
        <f ca="1"/>
        <v>11025,963 - Soleira em granito, acabamento polido, espessura 2cm</v>
      </c>
      <c r="B279" s="10">
        <f ca="1">IF(OR(A279="",A279=0),"",LARGE($B$8:B278,1)+1)</f>
        <v>271</v>
      </c>
      <c r="C279" s="7"/>
      <c r="D279" s="279">
        <f ca="1">IF(A279="","",COUNTIF(Orçamento!P:P,A279))</f>
        <v>0</v>
      </c>
      <c r="E279" s="280" t="str">
        <f ca="1">IFERROR(IF(A279="","",_xlfn.XLOOKUP(A279,'ABC Serviços Apoio'!C:C,'ABC Serviços Apoio'!A:A)),"")</f>
        <v>Soleira em granito, acabamento polido, espessura 2cm</v>
      </c>
      <c r="F279" s="281" t="str">
        <f ca="1">IFERROR(IF(A279="","",_xlfn.XLOOKUP(E279,Orçamento!Q:Q,Orçamento!T:T)),"")</f>
        <v>M2</v>
      </c>
      <c r="G279" s="282">
        <f ca="1">IFERROR(IF(A279="","",SUMIF(Orçamento!Q:Q,E279,Orçamento!X:X)),"")</f>
        <v>16.979999999999997</v>
      </c>
      <c r="H279" s="283">
        <f ca="1">IFERROR(IF(A279="","",_xlfn.XLOOKUP(E279,Orçamento!Q:Q,Orçamento!Y:Y)),"")</f>
        <v>649.35</v>
      </c>
      <c r="I279" s="283">
        <f t="shared" ca="1" si="12"/>
        <v>11025.962999999998</v>
      </c>
      <c r="J279" s="284">
        <f t="shared" ca="1" si="13"/>
        <v>1.5817749183097253E-3</v>
      </c>
      <c r="K279" s="284">
        <f t="shared" ca="1" si="14"/>
        <v>0.99347769611708625</v>
      </c>
      <c r="M279" s="419"/>
    </row>
    <row r="280" spans="1:13" x14ac:dyDescent="0.2">
      <c r="A280" s="10" t="str">
        <f ca="1"/>
        <v>1102,13064 - Revestimento em Porcelanato 80x80cm interno</v>
      </c>
      <c r="B280" s="10">
        <f ca="1">IF(OR(A280="",A280=0),"",LARGE($B$8:B279,1)+1)</f>
        <v>272</v>
      </c>
      <c r="C280" s="7"/>
      <c r="D280" s="279">
        <f ca="1">IF(A280="","",COUNTIF(Orçamento!P:P,A280))</f>
        <v>0</v>
      </c>
      <c r="E280" s="280" t="str">
        <f ca="1">IFERROR(IF(A280="","",_xlfn.XLOOKUP(A280,'ABC Serviços Apoio'!C:C,'ABC Serviços Apoio'!A:A)),"")</f>
        <v>Revestimento em Porcelanato 80x80cm interno</v>
      </c>
      <c r="F280" s="281" t="str">
        <f ca="1">IFERROR(IF(A280="","",_xlfn.XLOOKUP(E280,Orçamento!Q:Q,Orçamento!T:T)),"")</f>
        <v>M</v>
      </c>
      <c r="G280" s="282">
        <f ca="1">IFERROR(IF(A280="","",SUMIF(Orçamento!Q:Q,E280,Orçamento!X:X)),"")</f>
        <v>13.14</v>
      </c>
      <c r="H280" s="283">
        <f ca="1">IFERROR(IF(A280="","",_xlfn.XLOOKUP(E280,Orçamento!Q:Q,Orçamento!Y:Y)),"")</f>
        <v>83.875999999999976</v>
      </c>
      <c r="I280" s="283">
        <f t="shared" ca="1" si="12"/>
        <v>1102.1306399999996</v>
      </c>
      <c r="J280" s="284">
        <f t="shared" ca="1" si="13"/>
        <v>1.5811068865845507E-4</v>
      </c>
      <c r="K280" s="284">
        <f t="shared" ca="1" si="14"/>
        <v>0.9936358068057447</v>
      </c>
      <c r="M280" s="419"/>
    </row>
    <row r="281" spans="1:13" x14ac:dyDescent="0.2">
      <c r="A281" s="10" t="str">
        <f ca="1"/>
        <v>11012,94285 - Revestimento interno de piso Cerâmico placa 60x60cm - áreas Internas</v>
      </c>
      <c r="B281" s="10">
        <f ca="1">IF(OR(A281="",A281=0),"",LARGE($B$8:B280,1)+1)</f>
        <v>273</v>
      </c>
      <c r="C281" s="7"/>
      <c r="D281" s="279">
        <f ca="1">IF(A281="","",COUNTIF(Orçamento!P:P,A281))</f>
        <v>0</v>
      </c>
      <c r="E281" s="280" t="str">
        <f ca="1">IFERROR(IF(A281="","",_xlfn.XLOOKUP(A281,'ABC Serviços Apoio'!C:C,'ABC Serviços Apoio'!A:A)),"")</f>
        <v>Revestimento interno de piso Cerâmico placa 60x60cm - áreas Internas</v>
      </c>
      <c r="F281" s="281" t="str">
        <f ca="1">IFERROR(IF(A281="","",_xlfn.XLOOKUP(E281,Orçamento!Q:Q,Orçamento!T:T)),"")</f>
        <v>M2</v>
      </c>
      <c r="G281" s="282">
        <f ca="1">IFERROR(IF(A281="","",SUMIF(Orçamento!Q:Q,E281,Orçamento!X:X)),"")</f>
        <v>187.63</v>
      </c>
      <c r="H281" s="283">
        <f ca="1">IFERROR(IF(A281="","",_xlfn.XLOOKUP(E281,Orçamento!Q:Q,Orçamento!Y:Y)),"")</f>
        <v>58.695000000000007</v>
      </c>
      <c r="I281" s="283">
        <f t="shared" ca="1" si="12"/>
        <v>11012.942850000001</v>
      </c>
      <c r="J281" s="284">
        <f t="shared" ca="1" si="13"/>
        <v>1.5799070590848555E-3</v>
      </c>
      <c r="K281" s="284">
        <f t="shared" ca="1" si="14"/>
        <v>0.99521571386482954</v>
      </c>
      <c r="M281" s="419"/>
    </row>
    <row r="282" spans="1:13" x14ac:dyDescent="0.2">
      <c r="A282" s="10" t="str">
        <f ca="1"/>
        <v>10891,64 - Esquadrias Metálicas - Escada Marinheiro - fornecimento e instalacao</v>
      </c>
      <c r="B282" s="10">
        <f ca="1">IF(OR(A282="",A282=0),"",LARGE($B$8:B281,1)+1)</f>
        <v>274</v>
      </c>
      <c r="C282" s="7"/>
      <c r="D282" s="279">
        <f ca="1">IF(A282="","",COUNTIF(Orçamento!P:P,A282))</f>
        <v>0</v>
      </c>
      <c r="E282" s="280" t="str">
        <f ca="1">IFERROR(IF(A282="","",_xlfn.XLOOKUP(A282,'ABC Serviços Apoio'!C:C,'ABC Serviços Apoio'!A:A)),"")</f>
        <v>Esquadrias Metálicas - Escada Marinheiro - fornecimento e instalacao</v>
      </c>
      <c r="F282" s="281" t="str">
        <f ca="1">IFERROR(IF(A282="","",_xlfn.XLOOKUP(E282,Orçamento!Q:Q,Orçamento!T:T)),"")</f>
        <v>UN</v>
      </c>
      <c r="G282" s="282">
        <f ca="1">IFERROR(IF(A282="","",SUMIF(Orçamento!Q:Q,E282,Orçamento!X:X)),"")</f>
        <v>2</v>
      </c>
      <c r="H282" s="283">
        <f ca="1">IFERROR(IF(A282="","",_xlfn.XLOOKUP(E282,Orçamento!Q:Q,Orçamento!Y:Y)),"")</f>
        <v>5445.82</v>
      </c>
      <c r="I282" s="283">
        <f t="shared" ca="1" si="12"/>
        <v>10891.64</v>
      </c>
      <c r="J282" s="284">
        <f t="shared" ca="1" si="13"/>
        <v>1.5625050593094626E-3</v>
      </c>
      <c r="K282" s="284">
        <f t="shared" ca="1" si="14"/>
        <v>0.99677821892413898</v>
      </c>
      <c r="M282" s="419"/>
    </row>
    <row r="283" spans="1:13" x14ac:dyDescent="0.2">
      <c r="A283" s="10" t="str">
        <f ca="1"/>
        <v>10400 - Mao de obra para instalação de portas de madeira</v>
      </c>
      <c r="B283" s="10">
        <f ca="1">IF(OR(A283="",A283=0),"",LARGE($B$8:B262,1)+1)</f>
        <v>255</v>
      </c>
      <c r="C283" s="7"/>
      <c r="D283" s="279">
        <f ca="1">IF(A283="","",COUNTIF(Orçamento!P:P,A283))</f>
        <v>0</v>
      </c>
      <c r="E283" s="280" t="str">
        <f ca="1">IFERROR(IF(A283="","",_xlfn.XLOOKUP(A283,'ABC Serviços Apoio'!C:C,'ABC Serviços Apoio'!A:A)),"")</f>
        <v>Mao de obra para instalação de portas de madeira</v>
      </c>
      <c r="F283" s="281" t="str">
        <f ca="1">IFERROR(IF(A283="","",_xlfn.XLOOKUP(E283,Orçamento!Q:Q,Orçamento!T:T)),"")</f>
        <v>UN</v>
      </c>
      <c r="G283" s="282">
        <f ca="1">IFERROR(IF(A283="","",SUMIF(Orçamento!Q:Q,E283,Orçamento!X:X)),"")</f>
        <v>80</v>
      </c>
      <c r="H283" s="283">
        <f ca="1">IFERROR(IF(A283="","",_xlfn.XLOOKUP(E283,Orçamento!Q:Q,Orçamento!Y:Y)),"")</f>
        <v>130</v>
      </c>
      <c r="I283" s="283">
        <f t="shared" ref="I283:I302" ca="1" si="15">IFERROR(IF(E283="","",G283*H283),"")</f>
        <v>10400</v>
      </c>
      <c r="J283" s="284">
        <f t="shared" ref="J283:J302" ca="1" si="16">IFERROR(IF(I283="","",I283/$I$6),0)</f>
        <v>1.4919748189270313E-3</v>
      </c>
      <c r="K283" s="284">
        <f t="shared" ref="K283:K302" ca="1" si="17">J283+K262</f>
        <v>0.9625272879285337</v>
      </c>
      <c r="M283" s="419"/>
    </row>
    <row r="284" spans="1:13" x14ac:dyDescent="0.2">
      <c r="A284" s="10" t="str">
        <f ca="1"/>
        <v>1024,2336348 - Calha em chapa galvanizada</v>
      </c>
      <c r="B284" s="10">
        <f ca="1">IF(OR(A284="",A284=0),"",LARGE($B$8:B263,1)+1)</f>
        <v>256</v>
      </c>
      <c r="C284" s="7"/>
      <c r="D284" s="279">
        <f ca="1">IF(A284="","",COUNTIF(Orçamento!P:P,A284))</f>
        <v>0</v>
      </c>
      <c r="E284" s="280" t="str">
        <f ca="1">IFERROR(IF(A284="","",_xlfn.XLOOKUP(A284,'ABC Serviços Apoio'!C:C,'ABC Serviços Apoio'!A:A)),"")</f>
        <v>Calha em chapa galvanizada</v>
      </c>
      <c r="F284" s="281" t="str">
        <f ca="1">IFERROR(IF(A284="","",_xlfn.XLOOKUP(E284,Orçamento!Q:Q,Orçamento!T:T)),"")</f>
        <v>M</v>
      </c>
      <c r="G284" s="282">
        <f ca="1">IFERROR(IF(A284="","",SUMIF(Orçamento!Q:Q,E284,Orçamento!X:X)),"")</f>
        <v>29.195999999999998</v>
      </c>
      <c r="H284" s="283">
        <f ca="1">IFERROR(IF(A284="","",_xlfn.XLOOKUP(E284,Orçamento!Q:Q,Orçamento!Y:Y)),"")</f>
        <v>35.081299999999999</v>
      </c>
      <c r="I284" s="283">
        <f t="shared" ca="1" si="15"/>
        <v>1024.2336347999999</v>
      </c>
      <c r="J284" s="284">
        <f t="shared" ca="1" si="16"/>
        <v>1.4693565305958701E-4</v>
      </c>
      <c r="K284" s="284">
        <f t="shared" ca="1" si="17"/>
        <v>0.96136610631723274</v>
      </c>
      <c r="M284" s="419"/>
    </row>
    <row r="285" spans="1:13" x14ac:dyDescent="0.2">
      <c r="A285" s="10" t="str">
        <f ca="1"/>
        <v>1024,08696 - Alvenaria de vedacao de blocos Concreto de 14x19x29cm (espessura 14cm) com argamassa industrializada de assentamento</v>
      </c>
      <c r="B285" s="10">
        <f ca="1">IF(OR(A285="",A285=0),"",LARGE($B$8:B264,1)+1)</f>
        <v>257</v>
      </c>
      <c r="C285" s="7"/>
      <c r="D285" s="279">
        <f ca="1">IF(A285="","",COUNTIF(Orçamento!P:P,A285))</f>
        <v>0</v>
      </c>
      <c r="E285" s="280" t="str">
        <f ca="1">IFERROR(IF(A285="","",_xlfn.XLOOKUP(A285,'ABC Serviços Apoio'!C:C,'ABC Serviços Apoio'!A:A)),"")</f>
        <v>Alvenaria de vedacao de blocos Concreto de 14x19x29cm (espessura 14cm) com argamassa industrializada de assentamento</v>
      </c>
      <c r="F285" s="281" t="str">
        <f ca="1">IFERROR(IF(A285="","",_xlfn.XLOOKUP(E285,Orçamento!Q:Q,Orçamento!T:T)),"")</f>
        <v>M2</v>
      </c>
      <c r="G285" s="282">
        <f ca="1">IFERROR(IF(A285="","",SUMIF(Orçamento!Q:Q,E285,Orçamento!X:X)),"")</f>
        <v>26.91</v>
      </c>
      <c r="H285" s="283">
        <f ca="1">IFERROR(IF(A285="","",_xlfn.XLOOKUP(E285,Orçamento!Q:Q,Orçamento!Y:Y)),"")</f>
        <v>38.055999999999997</v>
      </c>
      <c r="I285" s="283">
        <f t="shared" ca="1" si="15"/>
        <v>1024.0869599999999</v>
      </c>
      <c r="J285" s="284">
        <f t="shared" ca="1" si="16"/>
        <v>1.4691461122226288E-4</v>
      </c>
      <c r="K285" s="284">
        <f t="shared" ca="1" si="17"/>
        <v>0.96154817438655382</v>
      </c>
      <c r="M285" s="419"/>
    </row>
    <row r="286" spans="1:13" x14ac:dyDescent="0.2">
      <c r="A286" s="10" t="str">
        <f ca="1"/>
        <v>10009,5136554192 - Eletrodutos e Eletrocalhas - Subsolo</v>
      </c>
      <c r="B286" s="10">
        <f ca="1">IF(OR(A286="",A286=0),"",LARGE($B$8:B265,1)+1)</f>
        <v>258</v>
      </c>
      <c r="C286" s="7"/>
      <c r="D286" s="279">
        <f ca="1">IF(A286="","",COUNTIF(Orçamento!P:P,A286))</f>
        <v>0</v>
      </c>
      <c r="E286" s="280" t="str">
        <f ca="1">IFERROR(IF(A286="","",_xlfn.XLOOKUP(A286,'ABC Serviços Apoio'!C:C,'ABC Serviços Apoio'!A:A)),"")</f>
        <v>Eletrodutos e Eletrocalhas - Subsolo</v>
      </c>
      <c r="F286" s="281" t="str">
        <f ca="1">IFERROR(IF(A286="","",_xlfn.XLOOKUP(E286,Orçamento!Q:Q,Orçamento!T:T)),"")</f>
        <v>VB</v>
      </c>
      <c r="G286" s="282">
        <f ca="1">IFERROR(IF(A286="","",SUMIF(Orçamento!Q:Q,E286,Orçamento!X:X)),"")</f>
        <v>1</v>
      </c>
      <c r="H286" s="283">
        <f ca="1">IFERROR(IF(A286="","",_xlfn.XLOOKUP(E286,Orçamento!Q:Q,Orçamento!Y:Y)),"")</f>
        <v>10009.513655419161</v>
      </c>
      <c r="I286" s="283">
        <f t="shared" ca="1" si="15"/>
        <v>10009.513655419161</v>
      </c>
      <c r="J286" s="284">
        <f t="shared" ca="1" si="16"/>
        <v>1.4359559926530434E-3</v>
      </c>
      <c r="K286" s="284">
        <f t="shared" ca="1" si="17"/>
        <v>0.96301836376007677</v>
      </c>
      <c r="M286" s="419"/>
    </row>
    <row r="287" spans="1:13" x14ac:dyDescent="0.2">
      <c r="A287" s="10" t="str">
        <f ca="1"/>
        <v>0 - 0</v>
      </c>
      <c r="B287" s="10">
        <f ca="1">IF(OR(A287="",A287=0),"",LARGE($B$8:B266,1)+1)</f>
        <v>259</v>
      </c>
      <c r="C287" s="7"/>
      <c r="D287" s="279">
        <f ca="1">IF(A287="","",COUNTIF(Orçamento!P:P,A287))</f>
        <v>0</v>
      </c>
      <c r="E287" s="280">
        <f ca="1">IFERROR(IF(A287="","",_xlfn.XLOOKUP(A287,'ABC Serviços Apoio'!C:C,'ABC Serviços Apoio'!A:A)),"")</f>
        <v>0</v>
      </c>
      <c r="F287" s="281" t="str">
        <f ca="1">IFERROR(IF(A287="","",_xlfn.XLOOKUP(E287,Orçamento!Q:Q,Orçamento!T:T)),"")</f>
        <v/>
      </c>
      <c r="G287" s="282">
        <f ca="1">IFERROR(IF(A287="","",SUMIF(Orçamento!Q:Q,E287,Orçamento!X:X)),"")</f>
        <v>0</v>
      </c>
      <c r="H287" s="283" t="str">
        <f ca="1">IFERROR(IF(A287="","",_xlfn.XLOOKUP(E287,Orçamento!Q:Q,Orçamento!Y:Y)),"")</f>
        <v/>
      </c>
      <c r="I287" s="283" t="str">
        <f t="shared" ca="1" si="15"/>
        <v/>
      </c>
      <c r="J287" s="284" t="str">
        <f t="shared" ca="1" si="16"/>
        <v/>
      </c>
      <c r="K287" s="284" t="e">
        <f t="shared" ca="1" si="17"/>
        <v>#VALUE!</v>
      </c>
      <c r="M287" s="419"/>
    </row>
    <row r="288" spans="1:13" x14ac:dyDescent="0.2">
      <c r="A288" s="10" t="str">
        <f ca="1"/>
        <v/>
      </c>
      <c r="B288" s="10" t="str">
        <f ca="1">IF(OR(A288="",A288=0),"",LARGE($B$8:B267,1)+1)</f>
        <v/>
      </c>
      <c r="C288" s="7"/>
      <c r="D288" s="279" t="str">
        <f ca="1">IF(A288="","",COUNTIF(Orçamento!P:P,A288))</f>
        <v/>
      </c>
      <c r="E288" s="280" t="str">
        <f ca="1">IFERROR(IF(A288="","",_xlfn.XLOOKUP(A288,'ABC Serviços Apoio'!C:C,'ABC Serviços Apoio'!A:A)),"")</f>
        <v/>
      </c>
      <c r="F288" s="281" t="str">
        <f ca="1">IFERROR(IF(A288="","",_xlfn.XLOOKUP(E288,Orçamento!Q:Q,Orçamento!T:T)),"")</f>
        <v/>
      </c>
      <c r="G288" s="282" t="str">
        <f ca="1">IFERROR(IF(A288="","",SUMIF(Orçamento!Q:Q,E288,Orçamento!X:X)),"")</f>
        <v/>
      </c>
      <c r="H288" s="283" t="str">
        <f ca="1">IFERROR(IF(A288="","",_xlfn.XLOOKUP(E288,Orçamento!Q:Q,Orçamento!Y:Y)),"")</f>
        <v/>
      </c>
      <c r="I288" s="283" t="str">
        <f t="shared" ca="1" si="15"/>
        <v/>
      </c>
      <c r="J288" s="284" t="str">
        <f t="shared" ca="1" si="16"/>
        <v/>
      </c>
      <c r="K288" s="284" t="e">
        <f t="shared" ca="1" si="17"/>
        <v>#VALUE!</v>
      </c>
      <c r="M288" s="419"/>
    </row>
    <row r="289" spans="1:13" x14ac:dyDescent="0.2">
      <c r="A289" s="10">
        <f ca="1"/>
        <v>0</v>
      </c>
      <c r="B289" s="10" t="str">
        <f ca="1">IF(OR(A289="",A289=0),"",LARGE($B$8:B268,1)+1)</f>
        <v/>
      </c>
      <c r="C289" s="7"/>
      <c r="D289" s="279">
        <f ca="1">IF(A289="","",COUNTIF(Orçamento!P:P,A289))</f>
        <v>0</v>
      </c>
      <c r="E289" s="280" t="str">
        <f ca="1">IFERROR(IF(A289="","",_xlfn.XLOOKUP(A289,'ABC Serviços Apoio'!C:C,'ABC Serviços Apoio'!A:A)),"")</f>
        <v/>
      </c>
      <c r="F289" s="281" t="str">
        <f ca="1">IFERROR(IF(A289="","",_xlfn.XLOOKUP(E289,Orçamento!Q:Q,Orçamento!T:T)),"")</f>
        <v/>
      </c>
      <c r="G289" s="282">
        <f ca="1">IFERROR(IF(A289="","",SUMIF(Orçamento!Q:Q,E289,Orçamento!X:X)),"")</f>
        <v>260548.62034634704</v>
      </c>
      <c r="H289" s="283" t="str">
        <f ca="1">IFERROR(IF(A289="","",_xlfn.XLOOKUP(E289,Orçamento!Q:Q,Orçamento!Y:Y)),"")</f>
        <v/>
      </c>
      <c r="I289" s="283" t="str">
        <f t="shared" ca="1" si="15"/>
        <v/>
      </c>
      <c r="J289" s="284" t="str">
        <f t="shared" ca="1" si="16"/>
        <v/>
      </c>
      <c r="K289" s="284" t="e">
        <f t="shared" ca="1" si="17"/>
        <v>#VALUE!</v>
      </c>
      <c r="M289" s="419"/>
    </row>
    <row r="290" spans="1:13" x14ac:dyDescent="0.2">
      <c r="B290" s="10" t="str">
        <f>IF(OR(A290="",A290=0),"",LARGE($B$8:B269,1)+1)</f>
        <v/>
      </c>
      <c r="C290" s="7"/>
      <c r="D290" s="279" t="str">
        <f>IF(A290="","",COUNTIF(Orçamento!P:P,A290))</f>
        <v/>
      </c>
      <c r="E290" s="280" t="str">
        <f>IFERROR(IF(A290="","",_xlfn.XLOOKUP(A290,'ABC Serviços Apoio'!C:C,'ABC Serviços Apoio'!A:A)),"")</f>
        <v/>
      </c>
      <c r="F290" s="281" t="str">
        <f>IFERROR(IF(A290="","",_xlfn.XLOOKUP(E290,Orçamento!Q:Q,Orçamento!T:T)),"")</f>
        <v/>
      </c>
      <c r="G290" s="282" t="str">
        <f>IFERROR(IF(A290="","",SUMIF(Orçamento!Q:Q,E290,Orçamento!X:X)),"")</f>
        <v/>
      </c>
      <c r="H290" s="283" t="str">
        <f>IFERROR(IF(A290="","",_xlfn.XLOOKUP(E290,Orçamento!Q:Q,Orçamento!Y:Y)),"")</f>
        <v/>
      </c>
      <c r="I290" s="283" t="str">
        <f t="shared" si="15"/>
        <v/>
      </c>
      <c r="J290" s="284" t="str">
        <f t="shared" si="16"/>
        <v/>
      </c>
      <c r="K290" s="284" t="e">
        <f t="shared" ca="1" si="17"/>
        <v>#VALUE!</v>
      </c>
      <c r="M290" s="419"/>
    </row>
    <row r="291" spans="1:13" x14ac:dyDescent="0.2">
      <c r="B291" s="10" t="str">
        <f>IF(OR(A291="",A291=0),"",LARGE($B$8:B270,1)+1)</f>
        <v/>
      </c>
      <c r="C291" s="7"/>
      <c r="D291" s="279" t="str">
        <f>IF(A291="","",COUNTIF(Orçamento!P:P,A291))</f>
        <v/>
      </c>
      <c r="E291" s="280" t="str">
        <f>IFERROR(IF(A291="","",_xlfn.XLOOKUP(A291,'ABC Serviços Apoio'!C:C,'ABC Serviços Apoio'!A:A)),"")</f>
        <v/>
      </c>
      <c r="F291" s="281" t="str">
        <f>IFERROR(IF(A291="","",_xlfn.XLOOKUP(E291,Orçamento!Q:Q,Orçamento!T:T)),"")</f>
        <v/>
      </c>
      <c r="G291" s="282" t="str">
        <f>IFERROR(IF(A291="","",SUMIF(Orçamento!Q:Q,E291,Orçamento!X:X)),"")</f>
        <v/>
      </c>
      <c r="H291" s="283" t="str">
        <f>IFERROR(IF(A291="","",_xlfn.XLOOKUP(E291,Orçamento!Q:Q,Orçamento!Y:Y)),"")</f>
        <v/>
      </c>
      <c r="I291" s="283" t="str">
        <f t="shared" si="15"/>
        <v/>
      </c>
      <c r="J291" s="284" t="str">
        <f t="shared" si="16"/>
        <v/>
      </c>
      <c r="K291" s="284" t="e">
        <f t="shared" ca="1" si="17"/>
        <v>#VALUE!</v>
      </c>
      <c r="M291" s="419"/>
    </row>
    <row r="292" spans="1:13" x14ac:dyDescent="0.2">
      <c r="B292" s="10" t="str">
        <f>IF(OR(A292="",A292=0),"",LARGE($B$8:B271,1)+1)</f>
        <v/>
      </c>
      <c r="C292" s="7"/>
      <c r="D292" s="279" t="str">
        <f>IF(A292="","",COUNTIF(Orçamento!P:P,A292))</f>
        <v/>
      </c>
      <c r="E292" s="280" t="str">
        <f>IFERROR(IF(A292="","",_xlfn.XLOOKUP(A292,'ABC Serviços Apoio'!C:C,'ABC Serviços Apoio'!A:A)),"")</f>
        <v/>
      </c>
      <c r="F292" s="281" t="str">
        <f>IFERROR(IF(A292="","",_xlfn.XLOOKUP(E292,Orçamento!Q:Q,Orçamento!T:T)),"")</f>
        <v/>
      </c>
      <c r="G292" s="282" t="str">
        <f>IFERROR(IF(A292="","",SUMIF(Orçamento!Q:Q,E292,Orçamento!X:X)),"")</f>
        <v/>
      </c>
      <c r="H292" s="283" t="str">
        <f>IFERROR(IF(A292="","",_xlfn.XLOOKUP(E292,Orçamento!Q:Q,Orçamento!Y:Y)),"")</f>
        <v/>
      </c>
      <c r="I292" s="283" t="str">
        <f t="shared" si="15"/>
        <v/>
      </c>
      <c r="J292" s="284" t="str">
        <f t="shared" si="16"/>
        <v/>
      </c>
      <c r="K292" s="284" t="e">
        <f t="shared" ca="1" si="17"/>
        <v>#VALUE!</v>
      </c>
      <c r="M292" s="419"/>
    </row>
    <row r="293" spans="1:13" x14ac:dyDescent="0.2">
      <c r="B293" s="10" t="str">
        <f>IF(OR(A293="",A293=0),"",LARGE($B$8:B272,1)+1)</f>
        <v/>
      </c>
      <c r="C293" s="7"/>
      <c r="D293" s="279" t="str">
        <f>IF(A293="","",COUNTIF(Orçamento!P:P,A293))</f>
        <v/>
      </c>
      <c r="E293" s="280" t="str">
        <f>IFERROR(IF(A293="","",_xlfn.XLOOKUP(A293,'ABC Serviços Apoio'!C:C,'ABC Serviços Apoio'!A:A)),"")</f>
        <v/>
      </c>
      <c r="F293" s="281" t="str">
        <f>IFERROR(IF(A293="","",_xlfn.XLOOKUP(E293,Orçamento!Q:Q,Orçamento!T:T)),"")</f>
        <v/>
      </c>
      <c r="G293" s="282" t="str">
        <f>IFERROR(IF(A293="","",SUMIF(Orçamento!Q:Q,E293,Orçamento!X:X)),"")</f>
        <v/>
      </c>
      <c r="H293" s="283" t="str">
        <f>IFERROR(IF(A293="","",_xlfn.XLOOKUP(E293,Orçamento!Q:Q,Orçamento!Y:Y)),"")</f>
        <v/>
      </c>
      <c r="I293" s="283" t="str">
        <f t="shared" si="15"/>
        <v/>
      </c>
      <c r="J293" s="284" t="str">
        <f t="shared" si="16"/>
        <v/>
      </c>
      <c r="K293" s="284" t="e">
        <f t="shared" ca="1" si="17"/>
        <v>#VALUE!</v>
      </c>
      <c r="M293" s="419"/>
    </row>
    <row r="294" spans="1:13" x14ac:dyDescent="0.2">
      <c r="B294" s="10" t="str">
        <f>IF(OR(A294="",A294=0),"",LARGE($B$8:B273,1)+1)</f>
        <v/>
      </c>
      <c r="C294" s="7"/>
      <c r="D294" s="279" t="str">
        <f>IF(A294="","",COUNTIF(Orçamento!P:P,A294))</f>
        <v/>
      </c>
      <c r="E294" s="280" t="str">
        <f>IFERROR(IF(A294="","",_xlfn.XLOOKUP(A294,'ABC Serviços Apoio'!C:C,'ABC Serviços Apoio'!A:A)),"")</f>
        <v/>
      </c>
      <c r="F294" s="281" t="str">
        <f>IFERROR(IF(A294="","",_xlfn.XLOOKUP(E294,Orçamento!Q:Q,Orçamento!T:T)),"")</f>
        <v/>
      </c>
      <c r="G294" s="282" t="str">
        <f>IFERROR(IF(A294="","",SUMIF(Orçamento!Q:Q,E294,Orçamento!X:X)),"")</f>
        <v/>
      </c>
      <c r="H294" s="283" t="str">
        <f>IFERROR(IF(A294="","",_xlfn.XLOOKUP(E294,Orçamento!Q:Q,Orçamento!Y:Y)),"")</f>
        <v/>
      </c>
      <c r="I294" s="283" t="str">
        <f t="shared" si="15"/>
        <v/>
      </c>
      <c r="J294" s="284" t="str">
        <f t="shared" si="16"/>
        <v/>
      </c>
      <c r="K294" s="284" t="e">
        <f t="shared" ca="1" si="17"/>
        <v>#VALUE!</v>
      </c>
      <c r="M294" s="419"/>
    </row>
    <row r="295" spans="1:13" x14ac:dyDescent="0.2">
      <c r="B295" s="10" t="str">
        <f>IF(OR(A295="",A295=0),"",LARGE($B$8:B274,1)+1)</f>
        <v/>
      </c>
      <c r="C295" s="7"/>
      <c r="D295" s="279" t="str">
        <f>IF(A295="","",COUNTIF(Orçamento!P:P,A295))</f>
        <v/>
      </c>
      <c r="E295" s="280" t="str">
        <f>IFERROR(IF(A295="","",_xlfn.XLOOKUP(A295,'ABC Serviços Apoio'!C:C,'ABC Serviços Apoio'!A:A)),"")</f>
        <v/>
      </c>
      <c r="F295" s="281" t="str">
        <f>IFERROR(IF(A295="","",_xlfn.XLOOKUP(E295,Orçamento!Q:Q,Orçamento!T:T)),"")</f>
        <v/>
      </c>
      <c r="G295" s="282" t="str">
        <f>IFERROR(IF(A295="","",SUMIF(Orçamento!Q:Q,E295,Orçamento!X:X)),"")</f>
        <v/>
      </c>
      <c r="H295" s="283" t="str">
        <f>IFERROR(IF(A295="","",_xlfn.XLOOKUP(E295,Orçamento!Q:Q,Orçamento!Y:Y)),"")</f>
        <v/>
      </c>
      <c r="I295" s="283" t="str">
        <f t="shared" si="15"/>
        <v/>
      </c>
      <c r="J295" s="284" t="str">
        <f t="shared" si="16"/>
        <v/>
      </c>
      <c r="K295" s="284" t="e">
        <f t="shared" ca="1" si="17"/>
        <v>#VALUE!</v>
      </c>
      <c r="M295" s="419"/>
    </row>
    <row r="296" spans="1:13" x14ac:dyDescent="0.2">
      <c r="B296" s="10" t="str">
        <f>IF(OR(A296="",A296=0),"",LARGE($B$8:B275,1)+1)</f>
        <v/>
      </c>
      <c r="C296" s="7"/>
      <c r="D296" s="279" t="str">
        <f>IF(A296="","",COUNTIF(Orçamento!P:P,A296))</f>
        <v/>
      </c>
      <c r="E296" s="280" t="str">
        <f>IFERROR(IF(A296="","",_xlfn.XLOOKUP(A296,'ABC Serviços Apoio'!C:C,'ABC Serviços Apoio'!A:A)),"")</f>
        <v/>
      </c>
      <c r="F296" s="281" t="str">
        <f>IFERROR(IF(A296="","",_xlfn.XLOOKUP(E296,Orçamento!Q:Q,Orçamento!T:T)),"")</f>
        <v/>
      </c>
      <c r="G296" s="282" t="str">
        <f>IFERROR(IF(A296="","",SUMIF(Orçamento!Q:Q,E296,Orçamento!X:X)),"")</f>
        <v/>
      </c>
      <c r="H296" s="283" t="str">
        <f>IFERROR(IF(A296="","",_xlfn.XLOOKUP(E296,Orçamento!Q:Q,Orçamento!Y:Y)),"")</f>
        <v/>
      </c>
      <c r="I296" s="283" t="str">
        <f t="shared" si="15"/>
        <v/>
      </c>
      <c r="J296" s="284" t="str">
        <f t="shared" si="16"/>
        <v/>
      </c>
      <c r="K296" s="284" t="e">
        <f t="shared" ca="1" si="17"/>
        <v>#VALUE!</v>
      </c>
      <c r="M296" s="419"/>
    </row>
    <row r="297" spans="1:13" x14ac:dyDescent="0.2">
      <c r="B297" s="10" t="str">
        <f>IF(OR(A297="",A297=0),"",LARGE($B$8:B276,1)+1)</f>
        <v/>
      </c>
      <c r="C297" s="7"/>
      <c r="D297" s="279" t="str">
        <f>IF(A297="","",COUNTIF(Orçamento!P:P,A297))</f>
        <v/>
      </c>
      <c r="E297" s="280" t="str">
        <f>IFERROR(IF(A297="","",_xlfn.XLOOKUP(A297,'ABC Serviços Apoio'!C:C,'ABC Serviços Apoio'!A:A)),"")</f>
        <v/>
      </c>
      <c r="F297" s="281" t="str">
        <f>IFERROR(IF(A297="","",_xlfn.XLOOKUP(E297,Orçamento!Q:Q,Orçamento!T:T)),"")</f>
        <v/>
      </c>
      <c r="G297" s="282" t="str">
        <f>IFERROR(IF(A297="","",SUMIF(Orçamento!Q:Q,E297,Orçamento!X:X)),"")</f>
        <v/>
      </c>
      <c r="H297" s="283" t="str">
        <f>IFERROR(IF(A297="","",_xlfn.XLOOKUP(E297,Orçamento!Q:Q,Orçamento!Y:Y)),"")</f>
        <v/>
      </c>
      <c r="I297" s="283" t="str">
        <f t="shared" si="15"/>
        <v/>
      </c>
      <c r="J297" s="284" t="str">
        <f t="shared" si="16"/>
        <v/>
      </c>
      <c r="K297" s="284" t="e">
        <f t="shared" ca="1" si="17"/>
        <v>#VALUE!</v>
      </c>
      <c r="M297" s="419"/>
    </row>
    <row r="298" spans="1:13" x14ac:dyDescent="0.2">
      <c r="B298" s="10" t="str">
        <f>IF(OR(A298="",A298=0),"",LARGE($B$8:B277,1)+1)</f>
        <v/>
      </c>
      <c r="C298" s="7"/>
      <c r="D298" s="279" t="str">
        <f>IF(A298="","",COUNTIF(Orçamento!P:P,A298))</f>
        <v/>
      </c>
      <c r="E298" s="280" t="str">
        <f>IFERROR(IF(A298="","",_xlfn.XLOOKUP(A298,'ABC Serviços Apoio'!C:C,'ABC Serviços Apoio'!A:A)),"")</f>
        <v/>
      </c>
      <c r="F298" s="281" t="str">
        <f>IFERROR(IF(A298="","",_xlfn.XLOOKUP(E298,Orçamento!Q:Q,Orçamento!T:T)),"")</f>
        <v/>
      </c>
      <c r="G298" s="282" t="str">
        <f>IFERROR(IF(A298="","",SUMIF(Orçamento!Q:Q,E298,Orçamento!X:X)),"")</f>
        <v/>
      </c>
      <c r="H298" s="283" t="str">
        <f>IFERROR(IF(A298="","",_xlfn.XLOOKUP(E298,Orçamento!Q:Q,Orçamento!Y:Y)),"")</f>
        <v/>
      </c>
      <c r="I298" s="283" t="str">
        <f t="shared" si="15"/>
        <v/>
      </c>
      <c r="J298" s="284" t="str">
        <f t="shared" si="16"/>
        <v/>
      </c>
      <c r="K298" s="284" t="e">
        <f t="shared" ca="1" si="17"/>
        <v>#VALUE!</v>
      </c>
      <c r="M298" s="419"/>
    </row>
    <row r="299" spans="1:13" x14ac:dyDescent="0.2">
      <c r="B299" s="10" t="str">
        <f>IF(OR(A299="",A299=0),"",LARGE($B$8:B278,1)+1)</f>
        <v/>
      </c>
      <c r="C299" s="7"/>
      <c r="D299" s="279" t="str">
        <f>IF(A299="","",COUNTIF(Orçamento!P:P,A299))</f>
        <v/>
      </c>
      <c r="E299" s="280" t="str">
        <f>IFERROR(IF(A299="","",_xlfn.XLOOKUP(A299,'ABC Serviços Apoio'!C:C,'ABC Serviços Apoio'!A:A)),"")</f>
        <v/>
      </c>
      <c r="F299" s="281" t="str">
        <f>IFERROR(IF(A299="","",_xlfn.XLOOKUP(E299,Orçamento!Q:Q,Orçamento!T:T)),"")</f>
        <v/>
      </c>
      <c r="G299" s="282" t="str">
        <f>IFERROR(IF(A299="","",SUMIF(Orçamento!Q:Q,E299,Orçamento!X:X)),"")</f>
        <v/>
      </c>
      <c r="H299" s="283" t="str">
        <f>IFERROR(IF(A299="","",_xlfn.XLOOKUP(E299,Orçamento!Q:Q,Orçamento!Y:Y)),"")</f>
        <v/>
      </c>
      <c r="I299" s="283" t="str">
        <f t="shared" si="15"/>
        <v/>
      </c>
      <c r="J299" s="284" t="str">
        <f t="shared" si="16"/>
        <v/>
      </c>
      <c r="K299" s="284" t="e">
        <f t="shared" ca="1" si="17"/>
        <v>#VALUE!</v>
      </c>
      <c r="M299" s="419"/>
    </row>
    <row r="300" spans="1:13" x14ac:dyDescent="0.2">
      <c r="B300" s="10" t="str">
        <f>IF(OR(A300="",A300=0),"",LARGE($B$8:B279,1)+1)</f>
        <v/>
      </c>
      <c r="C300" s="7"/>
      <c r="D300" s="279" t="str">
        <f>IF(A300="","",COUNTIF(Orçamento!P:P,A300))</f>
        <v/>
      </c>
      <c r="E300" s="280" t="str">
        <f>IFERROR(IF(A300="","",_xlfn.XLOOKUP(A300,'ABC Serviços Apoio'!C:C,'ABC Serviços Apoio'!A:A)),"")</f>
        <v/>
      </c>
      <c r="F300" s="281" t="str">
        <f>IFERROR(IF(A300="","",_xlfn.XLOOKUP(E300,Orçamento!Q:Q,Orçamento!T:T)),"")</f>
        <v/>
      </c>
      <c r="G300" s="282" t="str">
        <f>IFERROR(IF(A300="","",SUMIF(Orçamento!Q:Q,E300,Orçamento!X:X)),"")</f>
        <v/>
      </c>
      <c r="H300" s="283" t="str">
        <f>IFERROR(IF(A300="","",_xlfn.XLOOKUP(E300,Orçamento!Q:Q,Orçamento!Y:Y)),"")</f>
        <v/>
      </c>
      <c r="I300" s="283" t="str">
        <f t="shared" si="15"/>
        <v/>
      </c>
      <c r="J300" s="284" t="str">
        <f t="shared" si="16"/>
        <v/>
      </c>
      <c r="K300" s="284" t="e">
        <f t="shared" ca="1" si="17"/>
        <v>#VALUE!</v>
      </c>
      <c r="M300" s="419"/>
    </row>
    <row r="301" spans="1:13" x14ac:dyDescent="0.2">
      <c r="B301" s="10" t="str">
        <f>IF(OR(A301="",A301=0),"",LARGE($B$8:B280,1)+1)</f>
        <v/>
      </c>
      <c r="C301" s="7"/>
      <c r="D301" s="279" t="str">
        <f>IF(A301="","",COUNTIF(Orçamento!P:P,A301))</f>
        <v/>
      </c>
      <c r="E301" s="280" t="str">
        <f>IFERROR(IF(A301="","",_xlfn.XLOOKUP(A301,'ABC Serviços Apoio'!C:C,'ABC Serviços Apoio'!A:A)),"")</f>
        <v/>
      </c>
      <c r="F301" s="281" t="str">
        <f>IFERROR(IF(A301="","",_xlfn.XLOOKUP(E301,Orçamento!Q:Q,Orçamento!T:T)),"")</f>
        <v/>
      </c>
      <c r="G301" s="282" t="str">
        <f>IFERROR(IF(A301="","",SUMIF(Orçamento!Q:Q,E301,Orçamento!X:X)),"")</f>
        <v/>
      </c>
      <c r="H301" s="283" t="str">
        <f>IFERROR(IF(A301="","",_xlfn.XLOOKUP(E301,Orçamento!Q:Q,Orçamento!Y:Y)),"")</f>
        <v/>
      </c>
      <c r="I301" s="283" t="str">
        <f t="shared" si="15"/>
        <v/>
      </c>
      <c r="J301" s="284" t="str">
        <f t="shared" si="16"/>
        <v/>
      </c>
      <c r="K301" s="284" t="e">
        <f t="shared" ca="1" si="17"/>
        <v>#VALUE!</v>
      </c>
      <c r="M301" s="419"/>
    </row>
    <row r="302" spans="1:13" x14ac:dyDescent="0.2">
      <c r="B302" s="10" t="str">
        <f>IF(OR(A302="",A302=0),"",LARGE($B$8:B281,1)+1)</f>
        <v/>
      </c>
      <c r="C302" s="7"/>
      <c r="D302" s="279" t="str">
        <f>IF(A302="","",COUNTIF(Orçamento!P:P,A302))</f>
        <v/>
      </c>
      <c r="E302" s="280" t="str">
        <f>IFERROR(IF(A302="","",_xlfn.XLOOKUP(A302,'ABC Serviços Apoio'!C:C,'ABC Serviços Apoio'!A:A)),"")</f>
        <v/>
      </c>
      <c r="F302" s="281" t="str">
        <f>IFERROR(IF(A302="","",_xlfn.XLOOKUP(E302,Orçamento!Q:Q,Orçamento!T:T)),"")</f>
        <v/>
      </c>
      <c r="G302" s="282" t="str">
        <f>IFERROR(IF(A302="","",SUMIF(Orçamento!Q:Q,E302,Orçamento!X:X)),"")</f>
        <v/>
      </c>
      <c r="H302" s="283" t="str">
        <f>IFERROR(IF(A302="","",_xlfn.XLOOKUP(E302,Orçamento!Q:Q,Orçamento!Y:Y)),"")</f>
        <v/>
      </c>
      <c r="I302" s="283" t="str">
        <f t="shared" si="15"/>
        <v/>
      </c>
      <c r="J302" s="284" t="str">
        <f t="shared" si="16"/>
        <v/>
      </c>
      <c r="K302" s="284" t="e">
        <f t="shared" ca="1" si="17"/>
        <v>#VALUE!</v>
      </c>
      <c r="M302" s="419"/>
    </row>
    <row r="303" spans="1:13" x14ac:dyDescent="0.2">
      <c r="B303" s="10" t="str">
        <f>IF(OR(A303="",A303=0),"",LARGE($B$8:B282,1)+1)</f>
        <v/>
      </c>
      <c r="C303" s="7"/>
      <c r="D303" s="279" t="str">
        <f>IF(A303="","",COUNTIF(Orçamento!P:P,A303))</f>
        <v/>
      </c>
      <c r="E303" s="280" t="str">
        <f>IFERROR(IF(A303="","",_xlfn.XLOOKUP(A303,'ABC Serviços Apoio'!C:C,'ABC Serviços Apoio'!A:A)),"")</f>
        <v/>
      </c>
      <c r="F303" s="281" t="str">
        <f>IFERROR(IF(A303="","",_xlfn.XLOOKUP(E303,Orçamento!Q:Q,Orçamento!T:T)),"")</f>
        <v/>
      </c>
      <c r="G303" s="282" t="str">
        <f>IFERROR(IF(A303="","",SUMIF(Orçamento!Q:Q,E303,Orçamento!X:X)),"")</f>
        <v/>
      </c>
      <c r="H303" s="283" t="str">
        <f>IFERROR(IF(A303="","",_xlfn.XLOOKUP(E303,Orçamento!Q:Q,Orçamento!Y:Y)),"")</f>
        <v/>
      </c>
      <c r="I303" s="283" t="str">
        <f t="shared" si="12"/>
        <v/>
      </c>
      <c r="J303" s="284" t="str">
        <f t="shared" si="13"/>
        <v/>
      </c>
      <c r="K303" s="284" t="e">
        <f ca="1">J303+K282</f>
        <v>#VALUE!</v>
      </c>
      <c r="M303" s="419"/>
    </row>
    <row r="304" spans="1:13" x14ac:dyDescent="0.2">
      <c r="B304" s="10" t="str">
        <f>IF(OR(A304="",A304=0),"",LARGE($B$8:B303,1)+1)</f>
        <v/>
      </c>
      <c r="C304" s="7"/>
      <c r="D304" s="279" t="str">
        <f>IF(A304="","",COUNTIF(Orçamento!P:P,A304))</f>
        <v/>
      </c>
      <c r="E304" s="280" t="str">
        <f>IFERROR(IF(A304="","",_xlfn.XLOOKUP(A304,'ABC Serviços Apoio'!C:C,'ABC Serviços Apoio'!A:A)),"")</f>
        <v/>
      </c>
      <c r="F304" s="281" t="str">
        <f>IFERROR(IF(A304="","",_xlfn.XLOOKUP(E304,Orçamento!Q:Q,Orçamento!T:T)),"")</f>
        <v/>
      </c>
      <c r="G304" s="282" t="str">
        <f>IFERROR(IF(A304="","",SUMIF(Orçamento!Q:Q,E304,Orçamento!X:X)),"")</f>
        <v/>
      </c>
      <c r="H304" s="283" t="str">
        <f>IFERROR(IF(A304="","",_xlfn.XLOOKUP(E304,Orçamento!Q:Q,Orçamento!Y:Y)),"")</f>
        <v/>
      </c>
      <c r="I304" s="283" t="str">
        <f t="shared" si="12"/>
        <v/>
      </c>
      <c r="J304" s="284" t="str">
        <f t="shared" si="13"/>
        <v/>
      </c>
      <c r="K304" s="284" t="e">
        <f t="shared" ca="1" si="14"/>
        <v>#VALUE!</v>
      </c>
      <c r="M304" s="419"/>
    </row>
    <row r="305" spans="2:13" x14ac:dyDescent="0.2">
      <c r="B305" s="10" t="str">
        <f>IF(OR(A305="",A305=0),"",LARGE($B$8:B304,1)+1)</f>
        <v/>
      </c>
      <c r="C305" s="7"/>
      <c r="D305" s="279" t="str">
        <f>IF(A305="","",COUNTIF(Orçamento!P:P,A305))</f>
        <v/>
      </c>
      <c r="E305" s="280" t="str">
        <f>IFERROR(IF(A305="","",_xlfn.XLOOKUP(A305,'ABC Serviços Apoio'!C:C,'ABC Serviços Apoio'!A:A)),"")</f>
        <v/>
      </c>
      <c r="F305" s="281" t="str">
        <f>IFERROR(IF(A305="","",_xlfn.XLOOKUP(E305,Orçamento!Q:Q,Orçamento!T:T)),"")</f>
        <v/>
      </c>
      <c r="G305" s="282" t="str">
        <f>IFERROR(IF(A305="","",SUMIF(Orçamento!Q:Q,E305,Orçamento!X:X)),"")</f>
        <v/>
      </c>
      <c r="H305" s="283" t="str">
        <f>IFERROR(IF(A305="","",_xlfn.XLOOKUP(E305,Orçamento!Q:Q,Orçamento!Y:Y)),"")</f>
        <v/>
      </c>
      <c r="I305" s="283" t="str">
        <f t="shared" si="12"/>
        <v/>
      </c>
      <c r="J305" s="284" t="str">
        <f t="shared" si="13"/>
        <v/>
      </c>
      <c r="K305" s="284" t="e">
        <f t="shared" ca="1" si="14"/>
        <v>#VALUE!</v>
      </c>
      <c r="M305" s="419"/>
    </row>
    <row r="306" spans="2:13" x14ac:dyDescent="0.2">
      <c r="B306" s="10" t="str">
        <f>IF(OR(A306="",A306=0),"",LARGE($B$8:B305,1)+1)</f>
        <v/>
      </c>
      <c r="C306" s="7"/>
      <c r="D306" s="279" t="str">
        <f>IF(A306="","",COUNTIF(Orçamento!P:P,A306))</f>
        <v/>
      </c>
      <c r="E306" s="280" t="str">
        <f>IFERROR(IF(A306="","",_xlfn.XLOOKUP(A306,'ABC Serviços Apoio'!C:C,'ABC Serviços Apoio'!A:A)),"")</f>
        <v/>
      </c>
      <c r="F306" s="281" t="str">
        <f>IFERROR(IF(A306="","",_xlfn.XLOOKUP(E306,Orçamento!Q:Q,Orçamento!T:T)),"")</f>
        <v/>
      </c>
      <c r="G306" s="282" t="str">
        <f>IFERROR(IF(A306="","",SUMIF(Orçamento!Q:Q,E306,Orçamento!X:X)),"")</f>
        <v/>
      </c>
      <c r="H306" s="283" t="str">
        <f>IFERROR(IF(A306="","",_xlfn.XLOOKUP(E306,Orçamento!Q:Q,Orçamento!Y:Y)),"")</f>
        <v/>
      </c>
      <c r="I306" s="283" t="str">
        <f t="shared" si="12"/>
        <v/>
      </c>
      <c r="J306" s="284" t="str">
        <f t="shared" si="13"/>
        <v/>
      </c>
      <c r="K306" s="284" t="e">
        <f t="shared" ca="1" si="14"/>
        <v>#VALUE!</v>
      </c>
      <c r="M306" s="419"/>
    </row>
    <row r="307" spans="2:13" x14ac:dyDescent="0.2">
      <c r="B307" s="10" t="str">
        <f>IF(OR(A307="",A307=0),"",LARGE($B$8:B306,1)+1)</f>
        <v/>
      </c>
      <c r="C307" s="7"/>
      <c r="D307" s="279" t="str">
        <f>IF(A307="","",COUNTIF(Orçamento!P:P,A307))</f>
        <v/>
      </c>
      <c r="E307" s="280" t="str">
        <f>IFERROR(IF(A307="","",_xlfn.XLOOKUP(A307,'ABC Serviços Apoio'!C:C,'ABC Serviços Apoio'!A:A)),"")</f>
        <v/>
      </c>
      <c r="F307" s="281" t="str">
        <f>IFERROR(IF(A307="","",_xlfn.XLOOKUP(E307,Orçamento!Q:Q,Orçamento!T:T)),"")</f>
        <v/>
      </c>
      <c r="G307" s="282" t="str">
        <f>IFERROR(IF(A307="","",SUMIF(Orçamento!Q:Q,E307,Orçamento!X:X)),"")</f>
        <v/>
      </c>
      <c r="H307" s="283" t="str">
        <f>IFERROR(IF(A307="","",_xlfn.XLOOKUP(E307,Orçamento!Q:Q,Orçamento!Y:Y)),"")</f>
        <v/>
      </c>
      <c r="I307" s="283" t="str">
        <f t="shared" si="12"/>
        <v/>
      </c>
      <c r="J307" s="284" t="str">
        <f t="shared" si="13"/>
        <v/>
      </c>
      <c r="K307" s="284" t="e">
        <f t="shared" ca="1" si="14"/>
        <v>#VALUE!</v>
      </c>
      <c r="M307" s="419"/>
    </row>
    <row r="308" spans="2:13" x14ac:dyDescent="0.2">
      <c r="B308" s="10" t="str">
        <f>IF(OR(A308="",A308=0),"",LARGE($B$8:B307,1)+1)</f>
        <v/>
      </c>
      <c r="C308" s="7"/>
      <c r="D308" s="279" t="str">
        <f>IF(A308="","",COUNTIF(Orçamento!P:P,A308))</f>
        <v/>
      </c>
      <c r="E308" s="280" t="str">
        <f>IFERROR(IF(A308="","",_xlfn.XLOOKUP(A308,'ABC Serviços Apoio'!C:C,'ABC Serviços Apoio'!A:A)),"")</f>
        <v/>
      </c>
      <c r="F308" s="281" t="str">
        <f>IFERROR(IF(A308="","",_xlfn.XLOOKUP(E308,Orçamento!Q:Q,Orçamento!T:T)),"")</f>
        <v/>
      </c>
      <c r="G308" s="282" t="str">
        <f>IFERROR(IF(A308="","",SUMIF(Orçamento!Q:Q,E308,Orçamento!X:X)),"")</f>
        <v/>
      </c>
      <c r="H308" s="283" t="str">
        <f>IFERROR(IF(A308="","",_xlfn.XLOOKUP(E308,Orçamento!Q:Q,Orçamento!Y:Y)),"")</f>
        <v/>
      </c>
      <c r="I308" s="283" t="str">
        <f t="shared" si="12"/>
        <v/>
      </c>
      <c r="J308" s="284" t="str">
        <f t="shared" si="13"/>
        <v/>
      </c>
      <c r="K308" s="284" t="e">
        <f t="shared" ca="1" si="14"/>
        <v>#VALUE!</v>
      </c>
      <c r="M308" s="419"/>
    </row>
    <row r="309" spans="2:13" x14ac:dyDescent="0.2">
      <c r="B309" s="10" t="str">
        <f>IF(OR(A309="",A309=0),"",LARGE($B$8:B308,1)+1)</f>
        <v/>
      </c>
      <c r="C309" s="7"/>
      <c r="D309" s="279" t="str">
        <f>IF(A309="","",COUNTIF(Orçamento!P:P,A309))</f>
        <v/>
      </c>
      <c r="E309" s="280" t="str">
        <f>IFERROR(IF(A309="","",_xlfn.XLOOKUP(A309,'ABC Serviços Apoio'!C:C,'ABC Serviços Apoio'!A:A)),"")</f>
        <v/>
      </c>
      <c r="F309" s="281" t="str">
        <f>IFERROR(IF(A309="","",_xlfn.XLOOKUP(E309,Orçamento!Q:Q,Orçamento!T:T)),"")</f>
        <v/>
      </c>
      <c r="G309" s="282" t="str">
        <f>IFERROR(IF(A309="","",SUMIF(Orçamento!Q:Q,E309,Orçamento!X:X)),"")</f>
        <v/>
      </c>
      <c r="H309" s="283" t="str">
        <f>IFERROR(IF(A309="","",_xlfn.XLOOKUP(E309,Orçamento!Q:Q,Orçamento!Y:Y)),"")</f>
        <v/>
      </c>
      <c r="I309" s="283" t="str">
        <f t="shared" si="12"/>
        <v/>
      </c>
      <c r="J309" s="284" t="str">
        <f t="shared" si="13"/>
        <v/>
      </c>
      <c r="K309" s="284" t="e">
        <f t="shared" ca="1" si="14"/>
        <v>#VALUE!</v>
      </c>
      <c r="M309" s="419"/>
    </row>
    <row r="310" spans="2:13" x14ac:dyDescent="0.2">
      <c r="B310" s="10" t="str">
        <f>IF(OR(A310="",A310=0),"",LARGE($B$8:B309,1)+1)</f>
        <v/>
      </c>
      <c r="C310" s="7"/>
      <c r="D310" s="279" t="str">
        <f>IF(A310="","",COUNTIF(Orçamento!P:P,A310))</f>
        <v/>
      </c>
      <c r="E310" s="280" t="str">
        <f>IFERROR(IF(A310="","",_xlfn.XLOOKUP(A310,'ABC Serviços Apoio'!C:C,'ABC Serviços Apoio'!A:A)),"")</f>
        <v/>
      </c>
      <c r="F310" s="281" t="str">
        <f>IFERROR(IF(A310="","",_xlfn.XLOOKUP(E310,Orçamento!Q:Q,Orçamento!T:T)),"")</f>
        <v/>
      </c>
      <c r="G310" s="282" t="str">
        <f>IFERROR(IF(A310="","",SUMIF(Orçamento!Q:Q,E310,Orçamento!X:X)),"")</f>
        <v/>
      </c>
      <c r="H310" s="283" t="str">
        <f>IFERROR(IF(A310="","",_xlfn.XLOOKUP(E310,Orçamento!Q:Q,Orçamento!Y:Y)),"")</f>
        <v/>
      </c>
      <c r="I310" s="283" t="str">
        <f t="shared" si="12"/>
        <v/>
      </c>
      <c r="J310" s="284" t="str">
        <f t="shared" si="13"/>
        <v/>
      </c>
      <c r="K310" s="284" t="e">
        <f t="shared" ca="1" si="14"/>
        <v>#VALUE!</v>
      </c>
      <c r="M310" s="419"/>
    </row>
    <row r="311" spans="2:13" x14ac:dyDescent="0.2">
      <c r="B311" s="10" t="str">
        <f>IF(OR(A311="",A311=0),"",LARGE($B$8:B310,1)+1)</f>
        <v/>
      </c>
      <c r="C311" s="7"/>
      <c r="D311" s="279" t="str">
        <f>IF(A311="","",COUNTIF(Orçamento!P:P,A311))</f>
        <v/>
      </c>
      <c r="E311" s="280" t="str">
        <f>IFERROR(IF(A311="","",_xlfn.XLOOKUP(A311,'ABC Serviços Apoio'!C:C,'ABC Serviços Apoio'!A:A)),"")</f>
        <v/>
      </c>
      <c r="F311" s="281" t="str">
        <f>IFERROR(IF(A311="","",_xlfn.XLOOKUP(E311,Orçamento!Q:Q,Orçamento!T:T)),"")</f>
        <v/>
      </c>
      <c r="G311" s="282" t="str">
        <f>IFERROR(IF(A311="","",SUMIF(Orçamento!Q:Q,E311,Orçamento!X:X)),"")</f>
        <v/>
      </c>
      <c r="H311" s="283" t="str">
        <f>IFERROR(IF(A311="","",_xlfn.XLOOKUP(E311,Orçamento!Q:Q,Orçamento!Y:Y)),"")</f>
        <v/>
      </c>
      <c r="I311" s="283" t="str">
        <f t="shared" si="12"/>
        <v/>
      </c>
      <c r="J311" s="284" t="str">
        <f t="shared" si="13"/>
        <v/>
      </c>
      <c r="K311" s="284" t="e">
        <f t="shared" ca="1" si="14"/>
        <v>#VALUE!</v>
      </c>
      <c r="M311" s="419"/>
    </row>
    <row r="312" spans="2:13" x14ac:dyDescent="0.2">
      <c r="B312" s="10" t="str">
        <f>IF(OR(A312="",A312=0),"",LARGE($B$8:B311,1)+1)</f>
        <v/>
      </c>
      <c r="C312" s="7"/>
      <c r="D312" s="279" t="str">
        <f>IF(A312="","",COUNTIF(Orçamento!P:P,A312))</f>
        <v/>
      </c>
      <c r="E312" s="280" t="str">
        <f>IFERROR(IF(A312="","",_xlfn.XLOOKUP(A312,'ABC Serviços Apoio'!C:C,'ABC Serviços Apoio'!A:A)),"")</f>
        <v/>
      </c>
      <c r="F312" s="281" t="str">
        <f>IFERROR(IF(A312="","",_xlfn.XLOOKUP(E312,Orçamento!Q:Q,Orçamento!T:T)),"")</f>
        <v/>
      </c>
      <c r="G312" s="282" t="str">
        <f>IFERROR(IF(A312="","",SUMIF(Orçamento!Q:Q,E312,Orçamento!X:X)),"")</f>
        <v/>
      </c>
      <c r="H312" s="283" t="str">
        <f>IFERROR(IF(A312="","",_xlfn.XLOOKUP(E312,Orçamento!Q:Q,Orçamento!Y:Y)),"")</f>
        <v/>
      </c>
      <c r="I312" s="283" t="str">
        <f t="shared" si="12"/>
        <v/>
      </c>
      <c r="J312" s="284" t="str">
        <f t="shared" si="13"/>
        <v/>
      </c>
      <c r="K312" s="284" t="e">
        <f t="shared" ca="1" si="14"/>
        <v>#VALUE!</v>
      </c>
      <c r="M312" s="419"/>
    </row>
    <row r="313" spans="2:13" x14ac:dyDescent="0.2">
      <c r="B313" s="10" t="str">
        <f>IF(OR(A313="",A313=0),"",LARGE($B$8:B312,1)+1)</f>
        <v/>
      </c>
      <c r="C313" s="7"/>
      <c r="D313" s="279" t="str">
        <f>IF(A313="","",COUNTIF(Orçamento!P:P,A313))</f>
        <v/>
      </c>
      <c r="E313" s="280" t="str">
        <f>IFERROR(IF(A313="","",_xlfn.XLOOKUP(A313,'ABC Serviços Apoio'!C:C,'ABC Serviços Apoio'!A:A)),"")</f>
        <v/>
      </c>
      <c r="F313" s="281" t="str">
        <f>IFERROR(IF(A313="","",_xlfn.XLOOKUP(E313,Orçamento!Q:Q,Orçamento!T:T)),"")</f>
        <v/>
      </c>
      <c r="G313" s="282" t="str">
        <f>IFERROR(IF(A313="","",SUMIF(Orçamento!Q:Q,E313,Orçamento!X:X)),"")</f>
        <v/>
      </c>
      <c r="H313" s="283" t="str">
        <f>IFERROR(IF(A313="","",_xlfn.XLOOKUP(E313,Orçamento!Q:Q,Orçamento!Y:Y)),"")</f>
        <v/>
      </c>
      <c r="I313" s="283" t="str">
        <f t="shared" si="12"/>
        <v/>
      </c>
      <c r="J313" s="284" t="str">
        <f t="shared" si="13"/>
        <v/>
      </c>
      <c r="K313" s="284" t="e">
        <f t="shared" ca="1" si="14"/>
        <v>#VALUE!</v>
      </c>
      <c r="M313" s="419"/>
    </row>
    <row r="314" spans="2:13" x14ac:dyDescent="0.2">
      <c r="B314" s="10" t="str">
        <f>IF(OR(A314="",A314=0),"",LARGE($B$8:B313,1)+1)</f>
        <v/>
      </c>
      <c r="C314" s="7"/>
      <c r="D314" s="279" t="str">
        <f>IF(A314="","",COUNTIF(Orçamento!P:P,A314))</f>
        <v/>
      </c>
      <c r="E314" s="280" t="str">
        <f>IFERROR(IF(A314="","",_xlfn.XLOOKUP(A314,'ABC Serviços Apoio'!C:C,'ABC Serviços Apoio'!A:A)),"")</f>
        <v/>
      </c>
      <c r="F314" s="281" t="str">
        <f>IFERROR(IF(A314="","",_xlfn.XLOOKUP(E314,Orçamento!Q:Q,Orçamento!T:T)),"")</f>
        <v/>
      </c>
      <c r="G314" s="282" t="str">
        <f>IFERROR(IF(A314="","",SUMIF(Orçamento!Q:Q,E314,Orçamento!X:X)),"")</f>
        <v/>
      </c>
      <c r="H314" s="283" t="str">
        <f>IFERROR(IF(A314="","",_xlfn.XLOOKUP(E314,Orçamento!Q:Q,Orçamento!Y:Y)),"")</f>
        <v/>
      </c>
      <c r="I314" s="283" t="str">
        <f t="shared" si="12"/>
        <v/>
      </c>
      <c r="J314" s="284" t="str">
        <f t="shared" si="13"/>
        <v/>
      </c>
      <c r="K314" s="284" t="e">
        <f t="shared" ca="1" si="14"/>
        <v>#VALUE!</v>
      </c>
      <c r="M314" s="419"/>
    </row>
    <row r="315" spans="2:13" x14ac:dyDescent="0.2">
      <c r="B315" s="10" t="str">
        <f>IF(OR(A315="",A315=0),"",LARGE($B$8:B314,1)+1)</f>
        <v/>
      </c>
      <c r="C315" s="7"/>
      <c r="D315" s="279" t="str">
        <f>IF(A315="","",COUNTIF(Orçamento!P:P,A315))</f>
        <v/>
      </c>
      <c r="E315" s="280" t="str">
        <f>IFERROR(IF(A315="","",_xlfn.XLOOKUP(A315,'ABC Serviços Apoio'!C:C,'ABC Serviços Apoio'!A:A)),"")</f>
        <v/>
      </c>
      <c r="F315" s="281" t="str">
        <f>IFERROR(IF(A315="","",_xlfn.XLOOKUP(E315,Orçamento!Q:Q,Orçamento!T:T)),"")</f>
        <v/>
      </c>
      <c r="G315" s="282" t="str">
        <f>IFERROR(IF(A315="","",SUMIF(Orçamento!Q:Q,E315,Orçamento!X:X)),"")</f>
        <v/>
      </c>
      <c r="H315" s="283" t="str">
        <f>IFERROR(IF(A315="","",_xlfn.XLOOKUP(E315,Orçamento!Q:Q,Orçamento!Y:Y)),"")</f>
        <v/>
      </c>
      <c r="I315" s="283" t="str">
        <f t="shared" si="12"/>
        <v/>
      </c>
      <c r="J315" s="284" t="str">
        <f t="shared" si="13"/>
        <v/>
      </c>
      <c r="K315" s="284" t="e">
        <f t="shared" ca="1" si="14"/>
        <v>#VALUE!</v>
      </c>
      <c r="M315" s="419"/>
    </row>
    <row r="316" spans="2:13" x14ac:dyDescent="0.2">
      <c r="B316" s="10" t="str">
        <f>IF(OR(A316="",A316=0),"",LARGE($B$8:B315,1)+1)</f>
        <v/>
      </c>
      <c r="C316" s="7"/>
      <c r="D316" s="279" t="str">
        <f>IF(A316="","",COUNTIF(Orçamento!P:P,A316))</f>
        <v/>
      </c>
      <c r="E316" s="280" t="str">
        <f>IFERROR(IF(A316="","",_xlfn.XLOOKUP(A316,'ABC Serviços Apoio'!C:C,'ABC Serviços Apoio'!A:A)),"")</f>
        <v/>
      </c>
      <c r="F316" s="281" t="str">
        <f>IFERROR(IF(A316="","",_xlfn.XLOOKUP(E316,Orçamento!Q:Q,Orçamento!T:T)),"")</f>
        <v/>
      </c>
      <c r="G316" s="282" t="str">
        <f>IFERROR(IF(A316="","",SUMIF(Orçamento!Q:Q,E316,Orçamento!X:X)),"")</f>
        <v/>
      </c>
      <c r="H316" s="283" t="str">
        <f>IFERROR(IF(A316="","",_xlfn.XLOOKUP(E316,Orçamento!Q:Q,Orçamento!Y:Y)),"")</f>
        <v/>
      </c>
      <c r="I316" s="283" t="str">
        <f t="shared" si="12"/>
        <v/>
      </c>
      <c r="J316" s="284" t="str">
        <f t="shared" si="13"/>
        <v/>
      </c>
      <c r="K316" s="284" t="e">
        <f t="shared" ca="1" si="14"/>
        <v>#VALUE!</v>
      </c>
      <c r="M316" s="419"/>
    </row>
  </sheetData>
  <autoFilter ref="D7:K316" xr:uid="{804257D8-33D7-414F-9109-069517D80B15}"/>
  <sortState xmlns:xlrd2="http://schemas.microsoft.com/office/spreadsheetml/2017/richdata2" ref="D9:J316">
    <sortCondition descending="1" ref="J9:J316"/>
  </sortState>
  <mergeCells count="1">
    <mergeCell ref="C1:K5"/>
  </mergeCells>
  <conditionalFormatting sqref="J8 K6">
    <cfRule type="containsText" dxfId="16" priority="6" operator="containsText" text="ok">
      <formula>NOT(ISERROR(SEARCH("ok",J6)))</formula>
    </cfRule>
    <cfRule type="containsText" dxfId="15" priority="7" operator="containsText" text="VERIFICAR">
      <formula>NOT(ISERROR(SEARCH("VERIFICAR",J6)))</formula>
    </cfRule>
  </conditionalFormatting>
  <pageMargins left="0.52999994886203072" right="0.52999994886203072" top="0.52999994886203072" bottom="0.68999998212799307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F7E8FBB3-00DD-40FD-A38A-437BD54774E9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D228:D236</xm:sqref>
        </x14:conditionalFormatting>
        <x14:conditionalFormatting xmlns:xm="http://schemas.microsoft.com/office/excel/2006/main">
          <x14:cfRule type="iconSet" priority="36049" id="{B653A89D-1D24-4532-B7F9-B44D8221504A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D9:D227 D237:D282 D303:D825</xm:sqref>
        </x14:conditionalFormatting>
        <x14:conditionalFormatting xmlns:xm="http://schemas.microsoft.com/office/excel/2006/main">
          <x14:cfRule type="iconSet" priority="1" id="{13DA75AF-7BD4-4CB4-96D0-93C6078AD333}">
            <x14:iconSet iconSet="3Symbols2" custom="1">
              <x14:cfvo type="percent">
                <xm:f>0</xm:f>
              </x14:cfvo>
              <x14:cfvo type="num" gte="0">
                <xm:f>1</xm:f>
              </x14:cfvo>
              <x14:cfvo type="num" gte="0">
                <xm:f>2</xm:f>
              </x14:cfvo>
              <x14:cfIcon iconSet="3Symbols2" iconId="2"/>
              <x14:cfIcon iconSet="3Symbols2" iconId="0"/>
              <x14:cfIcon iconSet="3Symbols2" iconId="0"/>
            </x14:iconSet>
          </x14:cfRule>
          <xm:sqref>D283:D302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EAD0-924C-4DA2-91B2-B9233CDC27F3}">
  <sheetPr>
    <tabColor theme="1"/>
  </sheetPr>
  <dimension ref="A1:H8"/>
  <sheetViews>
    <sheetView workbookViewId="0">
      <selection activeCell="H26" sqref="H26"/>
    </sheetView>
  </sheetViews>
  <sheetFormatPr defaultRowHeight="12.75" x14ac:dyDescent="0.2"/>
  <cols>
    <col min="1" max="1" width="27.28515625" bestFit="1" customWidth="1"/>
    <col min="2" max="2" width="12" bestFit="1" customWidth="1"/>
    <col min="4" max="4" width="9.28515625" bestFit="1" customWidth="1"/>
    <col min="7" max="7" width="13.28515625" bestFit="1" customWidth="1"/>
  </cols>
  <sheetData>
    <row r="1" spans="1:8" x14ac:dyDescent="0.2">
      <c r="A1" s="496" t="s">
        <v>1179</v>
      </c>
      <c r="B1" s="496"/>
      <c r="C1" s="496"/>
      <c r="D1" s="496"/>
      <c r="E1" s="496"/>
    </row>
    <row r="2" spans="1:8" x14ac:dyDescent="0.2">
      <c r="A2" s="294" t="s">
        <v>1182</v>
      </c>
      <c r="B2" s="294" t="s">
        <v>1180</v>
      </c>
      <c r="C2" s="294" t="s">
        <v>1181</v>
      </c>
      <c r="D2" s="294" t="s">
        <v>1184</v>
      </c>
      <c r="E2" s="385" t="s">
        <v>1183</v>
      </c>
      <c r="F2" s="294" t="s">
        <v>1185</v>
      </c>
      <c r="G2" s="294" t="s">
        <v>1186</v>
      </c>
      <c r="H2" s="294" t="s">
        <v>1187</v>
      </c>
    </row>
    <row r="3" spans="1:8" x14ac:dyDescent="0.2">
      <c r="A3" t="s">
        <v>707</v>
      </c>
      <c r="B3" s="291"/>
      <c r="C3" s="291"/>
      <c r="D3" s="291">
        <v>1</v>
      </c>
      <c r="E3" s="291">
        <f>D3*C3*B3</f>
        <v>0</v>
      </c>
      <c r="F3" s="386">
        <f>E3</f>
        <v>0</v>
      </c>
      <c r="G3" s="378">
        <f>E3*2</f>
        <v>0</v>
      </c>
      <c r="H3" s="291">
        <f>D3*B3</f>
        <v>0</v>
      </c>
    </row>
    <row r="4" spans="1:8" x14ac:dyDescent="0.2">
      <c r="A4" t="s">
        <v>708</v>
      </c>
      <c r="B4" s="291">
        <f>1.62+0.32</f>
        <v>1.9400000000000002</v>
      </c>
      <c r="C4" s="291">
        <v>1.1000000000000001</v>
      </c>
      <c r="D4" s="291">
        <v>1</v>
      </c>
      <c r="E4" s="291">
        <f>D4*C4*B4</f>
        <v>2.1340000000000003</v>
      </c>
      <c r="F4" s="386">
        <f>E4</f>
        <v>2.1340000000000003</v>
      </c>
      <c r="G4" s="378">
        <f>E4*2</f>
        <v>4.2680000000000007</v>
      </c>
      <c r="H4" s="291">
        <f>D4*B4</f>
        <v>1.9400000000000002</v>
      </c>
    </row>
    <row r="5" spans="1:8" x14ac:dyDescent="0.2">
      <c r="A5" t="s">
        <v>709</v>
      </c>
      <c r="B5" s="291">
        <f>1.62*2+0.4</f>
        <v>3.64</v>
      </c>
      <c r="C5" s="291">
        <v>1.1000000000000001</v>
      </c>
      <c r="D5" s="291">
        <v>5</v>
      </c>
      <c r="E5" s="291">
        <f>D5*C5*B5</f>
        <v>20.02</v>
      </c>
      <c r="F5" s="386">
        <f>E5</f>
        <v>20.02</v>
      </c>
      <c r="G5" s="378">
        <f>E5*2</f>
        <v>40.04</v>
      </c>
      <c r="H5" s="291">
        <f>D5*B5</f>
        <v>18.2</v>
      </c>
    </row>
    <row r="6" spans="1:8" x14ac:dyDescent="0.2">
      <c r="A6" t="s">
        <v>710</v>
      </c>
      <c r="B6" s="291">
        <f>1.89+1.62+0.4</f>
        <v>3.9099999999999997</v>
      </c>
      <c r="C6" s="291">
        <v>1.1000000000000001</v>
      </c>
      <c r="D6" s="291">
        <v>1</v>
      </c>
      <c r="E6" s="291">
        <f>D6*C6*B6</f>
        <v>4.3010000000000002</v>
      </c>
      <c r="F6" s="386">
        <f>E6</f>
        <v>4.3010000000000002</v>
      </c>
      <c r="G6" s="378">
        <f>E6*2</f>
        <v>8.6020000000000003</v>
      </c>
      <c r="H6" s="291">
        <f>D6*B6</f>
        <v>3.9099999999999997</v>
      </c>
    </row>
    <row r="7" spans="1:8" x14ac:dyDescent="0.2">
      <c r="A7" t="s">
        <v>711</v>
      </c>
      <c r="B7" s="291"/>
      <c r="C7" s="291"/>
      <c r="D7" s="291">
        <v>1</v>
      </c>
      <c r="E7" s="291">
        <f>D7*C7*B7</f>
        <v>0</v>
      </c>
      <c r="F7" s="386">
        <f>E7</f>
        <v>0</v>
      </c>
      <c r="G7" s="378">
        <f>E7*2</f>
        <v>0</v>
      </c>
      <c r="H7" s="291">
        <f>D7*B7</f>
        <v>0</v>
      </c>
    </row>
    <row r="8" spans="1:8" x14ac:dyDescent="0.2">
      <c r="B8" s="291"/>
      <c r="C8" s="291"/>
      <c r="D8" s="291"/>
      <c r="E8" s="291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FD75-421B-45FD-980D-140B9C7BB73B}">
  <sheetPr codeName="Planilha10">
    <tabColor rgb="FFF43800"/>
    <outlinePr summaryBelow="0"/>
    <pageSetUpPr fitToPage="1"/>
  </sheetPr>
  <dimension ref="A1:T86"/>
  <sheetViews>
    <sheetView showGridLines="0" topLeftCell="C1" zoomScale="85" zoomScaleNormal="85" workbookViewId="0">
      <selection activeCell="I69" sqref="I69"/>
    </sheetView>
  </sheetViews>
  <sheetFormatPr defaultColWidth="9.140625" defaultRowHeight="12" outlineLevelRow="1" outlineLevelCol="1" x14ac:dyDescent="0.2"/>
  <cols>
    <col min="1" max="1" width="5.85546875" style="58" hidden="1" customWidth="1" outlineLevel="1"/>
    <col min="2" max="2" width="6.28515625" style="59" hidden="1" customWidth="1" outlineLevel="1"/>
    <col min="3" max="3" width="5.5703125" style="16" customWidth="1" collapsed="1"/>
    <col min="4" max="4" width="73" style="16" customWidth="1"/>
    <col min="5" max="5" width="6.5703125" style="17" bestFit="1" customWidth="1"/>
    <col min="6" max="6" width="15.7109375" style="16" customWidth="1"/>
    <col min="7" max="7" width="12" style="19" customWidth="1"/>
    <col min="8" max="8" width="20.5703125" style="20" customWidth="1"/>
    <col min="9" max="9" width="54.7109375" style="19" customWidth="1" outlineLevel="1"/>
    <col min="10" max="10" width="5.5703125" style="16" customWidth="1"/>
    <col min="11" max="11" width="12.42578125" style="16" hidden="1" customWidth="1"/>
    <col min="12" max="12" width="15.28515625" style="16" hidden="1" customWidth="1"/>
    <col min="13" max="13" width="20.5703125" style="16" hidden="1" customWidth="1"/>
    <col min="14" max="14" width="6.28515625" style="16" customWidth="1"/>
    <col min="15" max="15" width="18.28515625" style="16" customWidth="1"/>
    <col min="16" max="16" width="26.28515625" style="16" customWidth="1"/>
    <col min="17" max="16384" width="9.140625" style="16"/>
  </cols>
  <sheetData>
    <row r="1" spans="1:14" x14ac:dyDescent="0.2">
      <c r="F1" s="18"/>
    </row>
    <row r="2" spans="1:14" ht="10.15" customHeight="1" x14ac:dyDescent="0.2">
      <c r="C2" s="17"/>
      <c r="D2" s="17"/>
      <c r="E2" s="85"/>
      <c r="F2" s="85"/>
      <c r="G2" s="86"/>
      <c r="H2" s="87"/>
      <c r="I2" s="86"/>
    </row>
    <row r="3" spans="1:14" ht="10.15" customHeight="1" x14ac:dyDescent="0.2">
      <c r="C3" s="17"/>
      <c r="D3" s="88"/>
      <c r="E3" s="88"/>
      <c r="F3" s="88"/>
      <c r="G3" s="88"/>
      <c r="H3" s="89"/>
      <c r="I3" s="88"/>
    </row>
    <row r="4" spans="1:14" ht="10.15" customHeight="1" x14ac:dyDescent="0.2">
      <c r="C4" s="17"/>
      <c r="D4" s="18"/>
      <c r="E4" s="18"/>
      <c r="F4" s="18"/>
      <c r="G4" s="21"/>
      <c r="H4" s="22"/>
      <c r="I4" s="21"/>
    </row>
    <row r="5" spans="1:14" ht="8.25" customHeight="1" x14ac:dyDescent="0.2">
      <c r="C5" s="17"/>
      <c r="D5" s="18"/>
      <c r="E5" s="18"/>
      <c r="F5" s="18"/>
      <c r="G5" s="21"/>
      <c r="H5" s="22"/>
      <c r="I5" s="21"/>
    </row>
    <row r="6" spans="1:14" ht="22.15" customHeight="1" x14ac:dyDescent="0.2">
      <c r="C6" s="201"/>
      <c r="D6" s="497" t="s">
        <v>38</v>
      </c>
      <c r="E6" s="497"/>
      <c r="F6" s="498"/>
      <c r="G6" s="499"/>
      <c r="H6" s="500"/>
      <c r="I6" s="202" t="s">
        <v>29</v>
      </c>
      <c r="K6" s="500" t="s">
        <v>116</v>
      </c>
      <c r="L6" s="500"/>
      <c r="M6" s="500"/>
    </row>
    <row r="7" spans="1:14" s="18" customFormat="1" ht="15.6" customHeight="1" outlineLevel="1" x14ac:dyDescent="0.2">
      <c r="A7" s="60"/>
      <c r="B7" s="61"/>
      <c r="C7" s="57"/>
      <c r="D7" s="506" t="s">
        <v>39</v>
      </c>
      <c r="E7" s="506"/>
      <c r="F7" s="507"/>
      <c r="G7" s="501">
        <v>1</v>
      </c>
      <c r="H7" s="501"/>
      <c r="I7" s="35"/>
      <c r="K7" s="500"/>
      <c r="L7" s="500"/>
      <c r="M7" s="500"/>
      <c r="N7" s="52"/>
    </row>
    <row r="8" spans="1:14" s="18" customFormat="1" ht="15.6" customHeight="1" outlineLevel="1" x14ac:dyDescent="0.2">
      <c r="A8" s="60"/>
      <c r="B8" s="61"/>
      <c r="C8" s="57"/>
      <c r="D8" s="506" t="s">
        <v>40</v>
      </c>
      <c r="E8" s="506"/>
      <c r="F8" s="507"/>
      <c r="G8" s="502">
        <f>OBRA!D9</f>
        <v>460.03</v>
      </c>
      <c r="H8" s="502"/>
      <c r="I8" s="35"/>
      <c r="K8" s="72" t="s">
        <v>41</v>
      </c>
      <c r="L8" s="72">
        <v>6</v>
      </c>
      <c r="M8" s="72" t="s">
        <v>42</v>
      </c>
      <c r="N8" s="52"/>
    </row>
    <row r="9" spans="1:14" s="18" customFormat="1" ht="15.6" customHeight="1" outlineLevel="1" x14ac:dyDescent="0.2">
      <c r="A9" s="60"/>
      <c r="B9" s="61"/>
      <c r="C9" s="57"/>
      <c r="D9" s="506" t="s">
        <v>43</v>
      </c>
      <c r="E9" s="506"/>
      <c r="F9" s="507"/>
      <c r="G9" s="511">
        <v>1</v>
      </c>
      <c r="H9" s="511"/>
      <c r="I9" s="35"/>
      <c r="K9" s="72" t="s">
        <v>44</v>
      </c>
      <c r="L9" s="72">
        <v>8</v>
      </c>
      <c r="M9" s="72" t="s">
        <v>42</v>
      </c>
      <c r="N9" s="53"/>
    </row>
    <row r="10" spans="1:14" s="18" customFormat="1" ht="15.6" customHeight="1" outlineLevel="1" x14ac:dyDescent="0.2">
      <c r="A10" s="60"/>
      <c r="B10" s="61"/>
      <c r="C10" s="57"/>
      <c r="D10" s="506" t="s">
        <v>45</v>
      </c>
      <c r="E10" s="506"/>
      <c r="F10" s="507"/>
      <c r="G10" s="504">
        <v>1</v>
      </c>
      <c r="H10" s="504"/>
      <c r="I10" s="35"/>
      <c r="K10" s="72" t="s">
        <v>46</v>
      </c>
      <c r="L10" s="72">
        <v>10</v>
      </c>
      <c r="M10" s="72" t="s">
        <v>42</v>
      </c>
      <c r="N10" s="54"/>
    </row>
    <row r="11" spans="1:14" s="18" customFormat="1" ht="15.6" customHeight="1" outlineLevel="1" x14ac:dyDescent="0.2">
      <c r="A11" s="60"/>
      <c r="B11" s="61"/>
      <c r="C11" s="57"/>
      <c r="D11" s="506" t="s">
        <v>118</v>
      </c>
      <c r="E11" s="506"/>
      <c r="F11" s="507"/>
      <c r="G11" s="505">
        <f>OBRA!D13</f>
        <v>8</v>
      </c>
      <c r="H11" s="505"/>
      <c r="I11" s="35"/>
      <c r="K11" s="72" t="s">
        <v>47</v>
      </c>
      <c r="L11" s="72">
        <v>11</v>
      </c>
      <c r="M11" s="72" t="s">
        <v>42</v>
      </c>
      <c r="N11" s="54"/>
    </row>
    <row r="12" spans="1:14" s="18" customFormat="1" ht="15.6" customHeight="1" outlineLevel="1" x14ac:dyDescent="0.2">
      <c r="A12" s="60"/>
      <c r="B12" s="61"/>
      <c r="C12" s="57"/>
      <c r="D12" s="506" t="s">
        <v>48</v>
      </c>
      <c r="E12" s="506"/>
      <c r="F12" s="507"/>
      <c r="G12" s="504">
        <v>4</v>
      </c>
      <c r="H12" s="504"/>
      <c r="I12" s="35"/>
      <c r="K12" s="52"/>
      <c r="L12" s="54"/>
      <c r="M12" s="54"/>
      <c r="N12" s="54"/>
    </row>
    <row r="13" spans="1:14" s="18" customFormat="1" ht="15.6" customHeight="1" outlineLevel="1" x14ac:dyDescent="0.2">
      <c r="A13" s="60"/>
      <c r="B13" s="61"/>
      <c r="C13" s="57"/>
      <c r="D13" s="506" t="s">
        <v>49</v>
      </c>
      <c r="E13" s="506"/>
      <c r="F13" s="507"/>
      <c r="G13" s="504">
        <v>12</v>
      </c>
      <c r="H13" s="504"/>
      <c r="I13" s="35"/>
      <c r="J13" s="74"/>
      <c r="K13" s="52"/>
      <c r="L13" s="54"/>
      <c r="M13" s="54"/>
      <c r="N13" s="54"/>
    </row>
    <row r="14" spans="1:14" s="18" customFormat="1" ht="15.6" customHeight="1" outlineLevel="1" x14ac:dyDescent="0.2">
      <c r="A14" s="60"/>
      <c r="B14" s="61"/>
      <c r="C14" s="57"/>
      <c r="D14" s="506" t="s">
        <v>50</v>
      </c>
      <c r="E14" s="506"/>
      <c r="F14" s="507"/>
      <c r="G14" s="503">
        <v>4</v>
      </c>
      <c r="H14" s="503"/>
      <c r="I14" s="35"/>
      <c r="K14" s="52"/>
      <c r="L14" s="54"/>
      <c r="M14" s="54"/>
      <c r="N14" s="54"/>
    </row>
    <row r="15" spans="1:14" s="18" customFormat="1" ht="15.6" customHeight="1" outlineLevel="1" x14ac:dyDescent="0.2">
      <c r="A15" s="60"/>
      <c r="B15" s="61"/>
      <c r="C15" s="57"/>
      <c r="D15" s="506" t="s">
        <v>119</v>
      </c>
      <c r="E15" s="506"/>
      <c r="F15" s="507"/>
      <c r="G15" s="504"/>
      <c r="H15" s="504"/>
      <c r="I15" s="35"/>
      <c r="K15" s="52"/>
      <c r="L15" s="55"/>
      <c r="M15" s="54"/>
      <c r="N15" s="55"/>
    </row>
    <row r="16" spans="1:14" s="18" customFormat="1" ht="15.6" customHeight="1" outlineLevel="1" x14ac:dyDescent="0.2">
      <c r="A16" s="60"/>
      <c r="B16" s="61"/>
      <c r="C16" s="57"/>
      <c r="D16" s="506" t="s">
        <v>120</v>
      </c>
      <c r="E16" s="506"/>
      <c r="F16" s="507"/>
      <c r="G16" s="504">
        <v>640</v>
      </c>
      <c r="H16" s="504"/>
      <c r="I16" s="35"/>
      <c r="K16" s="52"/>
      <c r="L16" s="55"/>
      <c r="M16" s="55"/>
      <c r="N16" s="55"/>
    </row>
    <row r="17" spans="1:14" s="18" customFormat="1" ht="15.6" customHeight="1" outlineLevel="1" x14ac:dyDescent="0.2">
      <c r="A17" s="60"/>
      <c r="B17" s="61"/>
      <c r="C17" s="57"/>
      <c r="D17" s="506" t="s">
        <v>121</v>
      </c>
      <c r="E17" s="506"/>
      <c r="F17" s="507"/>
      <c r="G17" s="509">
        <f>1650.31925*1.05</f>
        <v>1732.8352125000001</v>
      </c>
      <c r="H17" s="510"/>
      <c r="I17" s="35" t="s">
        <v>157</v>
      </c>
      <c r="K17" s="52"/>
      <c r="L17" s="55"/>
      <c r="M17" s="54"/>
    </row>
    <row r="18" spans="1:14" s="18" customFormat="1" ht="15.6" customHeight="1" outlineLevel="1" x14ac:dyDescent="0.2">
      <c r="A18" s="60"/>
      <c r="B18" s="61"/>
      <c r="C18" s="57"/>
      <c r="D18" s="506" t="s">
        <v>51</v>
      </c>
      <c r="E18" s="506"/>
      <c r="F18" s="507"/>
      <c r="G18" s="508" t="s">
        <v>36</v>
      </c>
      <c r="H18" s="508"/>
      <c r="I18" s="35"/>
    </row>
    <row r="19" spans="1:14" s="18" customFormat="1" ht="15.6" customHeight="1" outlineLevel="1" x14ac:dyDescent="0.2">
      <c r="A19" s="60"/>
      <c r="B19" s="61"/>
      <c r="C19" s="57"/>
      <c r="D19" s="506" t="s">
        <v>52</v>
      </c>
      <c r="E19" s="506"/>
      <c r="F19" s="507"/>
      <c r="G19" s="508" t="s">
        <v>36</v>
      </c>
      <c r="H19" s="508"/>
      <c r="I19" s="35"/>
    </row>
    <row r="20" spans="1:14" s="18" customFormat="1" ht="15.6" customHeight="1" outlineLevel="1" x14ac:dyDescent="0.2">
      <c r="A20" s="60"/>
      <c r="B20" s="61"/>
      <c r="C20" s="57"/>
      <c r="D20" s="506" t="s">
        <v>53</v>
      </c>
      <c r="E20" s="506"/>
      <c r="F20" s="507"/>
      <c r="G20" s="508" t="s">
        <v>36</v>
      </c>
      <c r="H20" s="508"/>
      <c r="I20" s="35"/>
    </row>
    <row r="21" spans="1:14" s="18" customFormat="1" ht="15.6" customHeight="1" x14ac:dyDescent="0.2">
      <c r="A21" s="60"/>
      <c r="B21" s="61"/>
      <c r="C21" s="90"/>
      <c r="D21" s="91"/>
      <c r="E21" s="92"/>
      <c r="F21" s="93"/>
      <c r="G21" s="93"/>
      <c r="H21" s="94"/>
      <c r="I21" s="90"/>
    </row>
    <row r="22" spans="1:14" s="18" customFormat="1" ht="16.899999999999999" customHeight="1" x14ac:dyDescent="0.2">
      <c r="A22" s="60"/>
      <c r="B22" s="61"/>
      <c r="J22" s="56"/>
    </row>
    <row r="23" spans="1:14" s="18" customFormat="1" ht="24" x14ac:dyDescent="0.2">
      <c r="A23" s="60"/>
      <c r="B23" s="61"/>
      <c r="C23" s="203" t="s">
        <v>23</v>
      </c>
      <c r="D23" s="204" t="s">
        <v>54</v>
      </c>
      <c r="E23" s="204" t="s">
        <v>24</v>
      </c>
      <c r="F23" s="205" t="s">
        <v>55</v>
      </c>
      <c r="G23" s="206" t="s">
        <v>37</v>
      </c>
      <c r="H23" s="207" t="s">
        <v>56</v>
      </c>
      <c r="I23" s="202" t="s">
        <v>29</v>
      </c>
      <c r="J23" s="23"/>
    </row>
    <row r="24" spans="1:14" s="18" customFormat="1" ht="16.899999999999999" customHeight="1" x14ac:dyDescent="0.2">
      <c r="A24" s="63" t="s">
        <v>19</v>
      </c>
      <c r="B24" s="64" t="s">
        <v>117</v>
      </c>
      <c r="C24" s="65"/>
      <c r="D24" s="66" t="s">
        <v>57</v>
      </c>
      <c r="E24" s="67"/>
      <c r="F24" s="67"/>
      <c r="G24" s="67"/>
      <c r="H24" s="68"/>
      <c r="I24" s="80"/>
      <c r="J24" s="23"/>
    </row>
    <row r="25" spans="1:14" s="18" customFormat="1" ht="16.899999999999999" customHeight="1" outlineLevel="1" x14ac:dyDescent="0.2">
      <c r="A25" s="60" t="s">
        <v>122</v>
      </c>
      <c r="B25" s="60" t="s">
        <v>58</v>
      </c>
      <c r="C25" s="24">
        <v>1</v>
      </c>
      <c r="D25" s="25" t="s">
        <v>123</v>
      </c>
      <c r="E25" s="24" t="s">
        <v>59</v>
      </c>
      <c r="F25" s="77">
        <v>2000</v>
      </c>
      <c r="G25" s="75">
        <f>$G$7</f>
        <v>1</v>
      </c>
      <c r="H25" s="28">
        <f>$F25*G25</f>
        <v>2000</v>
      </c>
      <c r="I25" s="29" t="s">
        <v>60</v>
      </c>
      <c r="J25" s="23"/>
    </row>
    <row r="26" spans="1:14" s="18" customFormat="1" ht="16.899999999999999" customHeight="1" outlineLevel="1" x14ac:dyDescent="0.2">
      <c r="A26" s="60" t="s">
        <v>125</v>
      </c>
      <c r="B26" s="60" t="s">
        <v>58</v>
      </c>
      <c r="C26" s="31">
        <f>C25+1</f>
        <v>2</v>
      </c>
      <c r="D26" s="32" t="s">
        <v>124</v>
      </c>
      <c r="E26" s="31" t="s">
        <v>5</v>
      </c>
      <c r="F26" s="78">
        <v>1450</v>
      </c>
      <c r="G26" s="76">
        <f>$G$7</f>
        <v>1</v>
      </c>
      <c r="H26" s="34">
        <f t="shared" ref="H26:H32" si="0">$F26*G26</f>
        <v>1450</v>
      </c>
      <c r="I26" s="35"/>
      <c r="J26" s="23"/>
      <c r="K26" s="30"/>
      <c r="M26" s="22"/>
    </row>
    <row r="27" spans="1:14" s="18" customFormat="1" ht="16.899999999999999" customHeight="1" outlineLevel="1" x14ac:dyDescent="0.2">
      <c r="A27" s="60">
        <v>1617</v>
      </c>
      <c r="B27" s="60" t="s">
        <v>58</v>
      </c>
      <c r="C27" s="31">
        <f t="shared" ref="C27:C32" si="1">C26+1</f>
        <v>3</v>
      </c>
      <c r="D27" s="32" t="s">
        <v>9</v>
      </c>
      <c r="E27" s="31" t="s">
        <v>61</v>
      </c>
      <c r="F27" s="78">
        <v>60</v>
      </c>
      <c r="G27" s="76">
        <f>1*4*($G$12+$G$13)*$G$10</f>
        <v>64</v>
      </c>
      <c r="H27" s="34">
        <f t="shared" si="0"/>
        <v>3840</v>
      </c>
      <c r="I27" s="35" t="s">
        <v>62</v>
      </c>
      <c r="J27" s="23"/>
      <c r="K27" s="30"/>
      <c r="M27" s="22"/>
      <c r="N27" s="36"/>
    </row>
    <row r="28" spans="1:14" s="18" customFormat="1" ht="24" outlineLevel="1" x14ac:dyDescent="0.2">
      <c r="A28" s="60" t="s">
        <v>93</v>
      </c>
      <c r="B28" s="60" t="s">
        <v>58</v>
      </c>
      <c r="C28" s="31">
        <f t="shared" si="1"/>
        <v>4</v>
      </c>
      <c r="D28" s="32" t="s">
        <v>63</v>
      </c>
      <c r="E28" s="31" t="s">
        <v>10</v>
      </c>
      <c r="F28" s="78">
        <v>7560</v>
      </c>
      <c r="G28" s="76">
        <f>$G$12</f>
        <v>4</v>
      </c>
      <c r="H28" s="34">
        <f t="shared" si="0"/>
        <v>30240</v>
      </c>
      <c r="I28" s="35" t="s">
        <v>64</v>
      </c>
      <c r="J28" s="23"/>
      <c r="K28" s="30"/>
      <c r="M28" s="22"/>
    </row>
    <row r="29" spans="1:14" s="18" customFormat="1" ht="24" outlineLevel="1" x14ac:dyDescent="0.2">
      <c r="A29" s="60" t="s">
        <v>93</v>
      </c>
      <c r="B29" s="60" t="s">
        <v>58</v>
      </c>
      <c r="C29" s="31">
        <f t="shared" si="1"/>
        <v>5</v>
      </c>
      <c r="D29" s="32" t="s">
        <v>63</v>
      </c>
      <c r="E29" s="31" t="s">
        <v>10</v>
      </c>
      <c r="F29" s="78">
        <f>F28</f>
        <v>7560</v>
      </c>
      <c r="G29" s="76">
        <f>$G$13</f>
        <v>12</v>
      </c>
      <c r="H29" s="34">
        <f t="shared" si="0"/>
        <v>90720</v>
      </c>
      <c r="I29" s="35" t="s">
        <v>65</v>
      </c>
      <c r="J29" s="23"/>
      <c r="K29" s="30"/>
      <c r="M29" s="22"/>
    </row>
    <row r="30" spans="1:14" s="18" customFormat="1" ht="24" outlineLevel="1" x14ac:dyDescent="0.2">
      <c r="A30" s="60">
        <v>1620</v>
      </c>
      <c r="B30" s="60" t="s">
        <v>58</v>
      </c>
      <c r="C30" s="31">
        <f t="shared" si="1"/>
        <v>6</v>
      </c>
      <c r="D30" s="32" t="s">
        <v>20</v>
      </c>
      <c r="E30" s="31" t="s">
        <v>66</v>
      </c>
      <c r="F30" s="78">
        <v>8.5</v>
      </c>
      <c r="G30" s="76">
        <f>ROUNDUP((((G15+$G$16)/6)*4),0)</f>
        <v>427</v>
      </c>
      <c r="H30" s="34">
        <f t="shared" si="0"/>
        <v>3629.5</v>
      </c>
      <c r="I30" s="35" t="s">
        <v>67</v>
      </c>
      <c r="J30" s="23"/>
      <c r="K30" s="30"/>
      <c r="M30" s="22"/>
    </row>
    <row r="31" spans="1:14" s="18" customFormat="1" ht="24" outlineLevel="1" x14ac:dyDescent="0.2">
      <c r="A31" s="60">
        <v>1620</v>
      </c>
      <c r="B31" s="60" t="s">
        <v>58</v>
      </c>
      <c r="C31" s="31">
        <f t="shared" si="1"/>
        <v>7</v>
      </c>
      <c r="D31" s="32" t="s">
        <v>20</v>
      </c>
      <c r="E31" s="31" t="s">
        <v>66</v>
      </c>
      <c r="F31" s="78">
        <f>F30</f>
        <v>8.5</v>
      </c>
      <c r="G31" s="76">
        <f>ROUNDUP((G17/6)*3,0)</f>
        <v>867</v>
      </c>
      <c r="H31" s="34">
        <f t="shared" si="0"/>
        <v>7369.5</v>
      </c>
      <c r="I31" s="35" t="s">
        <v>68</v>
      </c>
      <c r="J31" s="23"/>
      <c r="K31" s="30"/>
      <c r="M31" s="22"/>
    </row>
    <row r="32" spans="1:14" s="18" customFormat="1" ht="24" outlineLevel="1" x14ac:dyDescent="0.2">
      <c r="A32" s="60">
        <v>12994</v>
      </c>
      <c r="B32" s="60" t="s">
        <v>58</v>
      </c>
      <c r="C32" s="31">
        <f t="shared" si="1"/>
        <v>8</v>
      </c>
      <c r="D32" s="32" t="s">
        <v>69</v>
      </c>
      <c r="E32" s="37" t="s">
        <v>70</v>
      </c>
      <c r="F32" s="79">
        <v>375</v>
      </c>
      <c r="G32" s="76">
        <f>IF($G$17&lt;&gt;0,ROUNDUP((G11/5),0)*$G$10,0)</f>
        <v>2</v>
      </c>
      <c r="H32" s="38">
        <f t="shared" si="0"/>
        <v>750</v>
      </c>
      <c r="I32" s="39" t="s">
        <v>103</v>
      </c>
      <c r="J32" s="23"/>
      <c r="K32" s="30"/>
      <c r="M32" s="22"/>
    </row>
    <row r="33" spans="1:13" s="18" customFormat="1" ht="16.899999999999999" customHeight="1" x14ac:dyDescent="0.2">
      <c r="A33" s="60"/>
      <c r="B33" s="60"/>
      <c r="C33" s="69"/>
      <c r="D33" s="70"/>
      <c r="E33" s="514" t="s">
        <v>71</v>
      </c>
      <c r="F33" s="514"/>
      <c r="G33" s="222"/>
      <c r="H33" s="222">
        <f>SUM(H25:H32)</f>
        <v>139999</v>
      </c>
      <c r="I33" s="81"/>
      <c r="J33" s="23"/>
      <c r="K33" s="30"/>
      <c r="M33" s="22"/>
    </row>
    <row r="34" spans="1:13" s="18" customFormat="1" ht="16.899999999999999" customHeight="1" x14ac:dyDescent="0.2">
      <c r="A34" s="60"/>
      <c r="B34" s="60"/>
      <c r="C34" s="40"/>
      <c r="D34" s="40"/>
      <c r="E34" s="41"/>
      <c r="F34" s="41"/>
      <c r="G34" s="41"/>
      <c r="H34" s="42"/>
      <c r="I34" s="36"/>
      <c r="J34" s="23"/>
      <c r="K34" s="22"/>
      <c r="M34" s="22"/>
    </row>
    <row r="35" spans="1:13" s="18" customFormat="1" ht="16.899999999999999" customHeight="1" x14ac:dyDescent="0.2">
      <c r="A35" s="63" t="s">
        <v>19</v>
      </c>
      <c r="B35" s="64" t="s">
        <v>117</v>
      </c>
      <c r="C35" s="65"/>
      <c r="D35" s="66" t="s">
        <v>73</v>
      </c>
      <c r="E35" s="67"/>
      <c r="F35" s="67"/>
      <c r="G35" s="67"/>
      <c r="H35" s="68"/>
      <c r="I35" s="80"/>
    </row>
    <row r="36" spans="1:13" s="18" customFormat="1" ht="24" outlineLevel="1" x14ac:dyDescent="0.2">
      <c r="A36" s="60" t="s">
        <v>93</v>
      </c>
      <c r="B36" s="60" t="s">
        <v>34</v>
      </c>
      <c r="C36" s="31" t="e">
        <f>#REF!+1</f>
        <v>#REF!</v>
      </c>
      <c r="D36" s="32" t="s">
        <v>104</v>
      </c>
      <c r="E36" s="31" t="s">
        <v>72</v>
      </c>
      <c r="F36" s="78">
        <v>7500</v>
      </c>
      <c r="G36" s="76">
        <v>1</v>
      </c>
      <c r="H36" s="34">
        <f>$G36*F36</f>
        <v>7500</v>
      </c>
      <c r="I36" s="35" t="s">
        <v>74</v>
      </c>
    </row>
    <row r="37" spans="1:13" s="18" customFormat="1" ht="24" outlineLevel="1" x14ac:dyDescent="0.2">
      <c r="A37" s="60" t="s">
        <v>93</v>
      </c>
      <c r="B37" s="60" t="s">
        <v>34</v>
      </c>
      <c r="C37" s="31" t="e">
        <f>C36+1</f>
        <v>#REF!</v>
      </c>
      <c r="D37" s="32" t="s">
        <v>105</v>
      </c>
      <c r="E37" s="31" t="s">
        <v>72</v>
      </c>
      <c r="F37" s="78">
        <v>1500</v>
      </c>
      <c r="G37" s="76">
        <v>1</v>
      </c>
      <c r="H37" s="34">
        <f>$G37*F37</f>
        <v>1500</v>
      </c>
      <c r="I37" s="35" t="s">
        <v>74</v>
      </c>
    </row>
    <row r="38" spans="1:13" s="18" customFormat="1" ht="16.899999999999999" customHeight="1" x14ac:dyDescent="0.2">
      <c r="A38" s="60"/>
      <c r="B38" s="60" t="s">
        <v>34</v>
      </c>
      <c r="C38" s="69"/>
      <c r="D38" s="70"/>
      <c r="E38" s="515" t="s">
        <v>71</v>
      </c>
      <c r="F38" s="515"/>
      <c r="G38" s="71"/>
      <c r="H38" s="95">
        <f>SUM(H36:H37)</f>
        <v>9000</v>
      </c>
      <c r="I38" s="83"/>
    </row>
    <row r="39" spans="1:13" s="18" customFormat="1" x14ac:dyDescent="0.2">
      <c r="A39" s="60"/>
      <c r="B39" s="60"/>
      <c r="C39" s="45"/>
      <c r="D39" s="45"/>
      <c r="E39" s="46"/>
      <c r="F39" s="46"/>
      <c r="G39" s="46"/>
      <c r="H39" s="47"/>
      <c r="I39" s="43"/>
    </row>
    <row r="40" spans="1:13" s="18" customFormat="1" ht="16.899999999999999" customHeight="1" x14ac:dyDescent="0.2">
      <c r="A40" s="63" t="s">
        <v>19</v>
      </c>
      <c r="B40" s="64" t="s">
        <v>117</v>
      </c>
      <c r="C40" s="65"/>
      <c r="D40" s="66" t="s">
        <v>75</v>
      </c>
      <c r="E40" s="67"/>
      <c r="F40" s="67"/>
      <c r="G40" s="67"/>
      <c r="H40" s="68"/>
      <c r="I40" s="80"/>
    </row>
    <row r="41" spans="1:13" s="18" customFormat="1" ht="36" outlineLevel="1" x14ac:dyDescent="0.2">
      <c r="A41" s="60">
        <v>13167</v>
      </c>
      <c r="B41" s="62">
        <v>1001002004</v>
      </c>
      <c r="C41" s="24" t="e">
        <f>C36+1</f>
        <v>#REF!</v>
      </c>
      <c r="D41" s="25" t="s">
        <v>76</v>
      </c>
      <c r="E41" s="24" t="s">
        <v>72</v>
      </c>
      <c r="F41" s="26">
        <f>IF($G$18="Não",(2100+(350+550+800+720)/4+700/2),IF($G$19="Sim",(2100+(1200+1000+350+550+800+720)/6+700/2),IF(AND(G18="sim",G19="não"),(2100+(1200+350+550+800+720)/5+(700/2)),"Preencher célula E21")))</f>
        <v>3055</v>
      </c>
      <c r="G41" s="75">
        <f>IF($G$18="Não",4,IF($G$19="Sim",6,IF(AND(G18="sim",G19="não"),5,"Preencher célula G21")))</f>
        <v>4</v>
      </c>
      <c r="H41" s="28">
        <f>$F41*G41</f>
        <v>12220</v>
      </c>
      <c r="I41" s="29" t="s">
        <v>102</v>
      </c>
    </row>
    <row r="42" spans="1:13" s="18" customFormat="1" ht="48" outlineLevel="1" x14ac:dyDescent="0.2">
      <c r="A42" s="60">
        <v>13168</v>
      </c>
      <c r="B42" s="62">
        <v>1001002004</v>
      </c>
      <c r="C42" s="24" t="e">
        <f>C41+1</f>
        <v>#REF!</v>
      </c>
      <c r="D42" s="25" t="s">
        <v>106</v>
      </c>
      <c r="E42" s="24" t="s">
        <v>72</v>
      </c>
      <c r="F42" s="26">
        <f>IF(G20="Sim",0,IF($G$18="Não",(1700+(350+550+800+720)/4+700/2),IF($G$18="Sim",(1700+(1200+350+550+800+720)/5+(700/2)),"Preencher célula G18")))</f>
        <v>2655</v>
      </c>
      <c r="G42" s="75">
        <f>IF(F42=0,0,IF($G$18="Não",4,IF($G$19="Sim",6,IF(AND(G18="sim",G19="não"),5,"Preencher célula G18"))))</f>
        <v>4</v>
      </c>
      <c r="H42" s="28">
        <f>$F42*G42</f>
        <v>10620</v>
      </c>
      <c r="I42" s="29" t="s">
        <v>102</v>
      </c>
    </row>
    <row r="43" spans="1:13" s="18" customFormat="1" ht="48" outlineLevel="1" x14ac:dyDescent="0.2">
      <c r="A43" s="60">
        <v>13168</v>
      </c>
      <c r="B43" s="62">
        <v>1001002004</v>
      </c>
      <c r="C43" s="24" t="e">
        <f>C42+1</f>
        <v>#REF!</v>
      </c>
      <c r="D43" s="25" t="s">
        <v>107</v>
      </c>
      <c r="E43" s="24" t="s">
        <v>72</v>
      </c>
      <c r="F43" s="26">
        <f>(2900+(1200+1000+350+550+800+720)/6+700/2)</f>
        <v>4020</v>
      </c>
      <c r="G43" s="75">
        <f>IF(G20="Não",0,IF(G20="Sim",IF($G$18="Não",5,IF($G$18="Sim",6,"Preencher célula G21"))))</f>
        <v>0</v>
      </c>
      <c r="H43" s="28">
        <f>$F43*G43</f>
        <v>0</v>
      </c>
      <c r="I43" s="29" t="s">
        <v>102</v>
      </c>
    </row>
    <row r="44" spans="1:13" s="18" customFormat="1" ht="16.899999999999999" customHeight="1" x14ac:dyDescent="0.2">
      <c r="A44" s="60"/>
      <c r="B44" s="60"/>
      <c r="C44" s="69"/>
      <c r="D44" s="70"/>
      <c r="E44" s="514" t="s">
        <v>71</v>
      </c>
      <c r="F44" s="514"/>
      <c r="G44" s="71"/>
      <c r="H44" s="95">
        <f>SUM(H41:H43)</f>
        <v>22840</v>
      </c>
      <c r="I44" s="83"/>
    </row>
    <row r="45" spans="1:13" s="18" customFormat="1" x14ac:dyDescent="0.2">
      <c r="A45" s="60"/>
      <c r="B45" s="60"/>
      <c r="C45" s="45"/>
      <c r="D45" s="45"/>
      <c r="E45" s="46"/>
      <c r="F45" s="46"/>
      <c r="G45" s="46"/>
      <c r="H45" s="47"/>
      <c r="I45" s="43"/>
    </row>
    <row r="46" spans="1:13" s="18" customFormat="1" ht="16.899999999999999" customHeight="1" x14ac:dyDescent="0.2">
      <c r="A46" s="63" t="s">
        <v>19</v>
      </c>
      <c r="B46" s="64" t="s">
        <v>117</v>
      </c>
      <c r="C46" s="65"/>
      <c r="D46" s="66" t="s">
        <v>77</v>
      </c>
      <c r="E46" s="67"/>
      <c r="F46" s="67"/>
      <c r="G46" s="67"/>
      <c r="H46" s="68"/>
      <c r="I46" s="80"/>
    </row>
    <row r="47" spans="1:13" s="18" customFormat="1" ht="24" outlineLevel="1" x14ac:dyDescent="0.2">
      <c r="A47" s="60">
        <v>13871</v>
      </c>
      <c r="B47" s="62">
        <v>1001002008</v>
      </c>
      <c r="C47" s="24" t="e">
        <f>C43+1</f>
        <v>#REF!</v>
      </c>
      <c r="D47" s="25" t="s">
        <v>108</v>
      </c>
      <c r="E47" s="24" t="s">
        <v>72</v>
      </c>
      <c r="F47" s="77">
        <v>4210</v>
      </c>
      <c r="G47" s="27">
        <v>1</v>
      </c>
      <c r="H47" s="28">
        <f>$F47*G47</f>
        <v>4210</v>
      </c>
      <c r="I47" s="29" t="s">
        <v>78</v>
      </c>
    </row>
    <row r="48" spans="1:13" s="18" customFormat="1" ht="16.899999999999999" customHeight="1" x14ac:dyDescent="0.2">
      <c r="A48" s="60"/>
      <c r="B48" s="60"/>
      <c r="C48" s="69"/>
      <c r="D48" s="70"/>
      <c r="E48" s="514" t="s">
        <v>71</v>
      </c>
      <c r="F48" s="514"/>
      <c r="G48" s="71"/>
      <c r="H48" s="95">
        <f>H47</f>
        <v>4210</v>
      </c>
      <c r="I48" s="83"/>
    </row>
    <row r="49" spans="1:9" s="18" customFormat="1" x14ac:dyDescent="0.2">
      <c r="A49" s="60"/>
      <c r="B49" s="60"/>
      <c r="C49" s="45"/>
      <c r="D49" s="45"/>
      <c r="E49" s="46"/>
      <c r="F49" s="46"/>
      <c r="G49" s="46"/>
      <c r="H49" s="47"/>
      <c r="I49" s="43"/>
    </row>
    <row r="50" spans="1:9" s="18" customFormat="1" ht="16.899999999999999" customHeight="1" x14ac:dyDescent="0.2">
      <c r="A50" s="63" t="s">
        <v>19</v>
      </c>
      <c r="B50" s="64" t="s">
        <v>117</v>
      </c>
      <c r="C50" s="65"/>
      <c r="D50" s="66" t="s">
        <v>79</v>
      </c>
      <c r="E50" s="67"/>
      <c r="F50" s="67"/>
      <c r="G50" s="67"/>
      <c r="H50" s="68"/>
      <c r="I50" s="80"/>
    </row>
    <row r="51" spans="1:9" s="18" customFormat="1" ht="24" outlineLevel="1" x14ac:dyDescent="0.2">
      <c r="A51" s="60">
        <v>1636</v>
      </c>
      <c r="B51" s="62">
        <v>1001002005</v>
      </c>
      <c r="C51" s="24" t="e">
        <f>C47+1</f>
        <v>#REF!</v>
      </c>
      <c r="D51" s="25" t="s">
        <v>109</v>
      </c>
      <c r="E51" s="24" t="s">
        <v>72</v>
      </c>
      <c r="F51" s="77">
        <v>1260</v>
      </c>
      <c r="G51" s="75">
        <f>1*$G$10</f>
        <v>1</v>
      </c>
      <c r="H51" s="48">
        <f>$F51*G51</f>
        <v>1260</v>
      </c>
      <c r="I51" s="29" t="s">
        <v>80</v>
      </c>
    </row>
    <row r="52" spans="1:9" s="18" customFormat="1" ht="16.899999999999999" customHeight="1" x14ac:dyDescent="0.2">
      <c r="A52" s="60"/>
      <c r="B52" s="60"/>
      <c r="C52" s="69"/>
      <c r="D52" s="70"/>
      <c r="E52" s="514" t="s">
        <v>71</v>
      </c>
      <c r="F52" s="514"/>
      <c r="G52" s="71"/>
      <c r="H52" s="95">
        <f>H51</f>
        <v>1260</v>
      </c>
      <c r="I52" s="82"/>
    </row>
    <row r="53" spans="1:9" s="18" customFormat="1" x14ac:dyDescent="0.2">
      <c r="A53" s="60"/>
      <c r="B53" s="60"/>
      <c r="C53" s="45"/>
      <c r="D53" s="45"/>
      <c r="E53" s="45"/>
      <c r="F53" s="45"/>
      <c r="G53" s="45"/>
      <c r="H53" s="49"/>
      <c r="I53" s="43"/>
    </row>
    <row r="54" spans="1:9" s="18" customFormat="1" ht="16.899999999999999" customHeight="1" x14ac:dyDescent="0.2">
      <c r="A54" s="63" t="s">
        <v>19</v>
      </c>
      <c r="B54" s="64" t="s">
        <v>117</v>
      </c>
      <c r="C54" s="65"/>
      <c r="D54" s="66" t="s">
        <v>81</v>
      </c>
      <c r="E54" s="67"/>
      <c r="F54" s="67"/>
      <c r="G54" s="67"/>
      <c r="H54" s="68"/>
      <c r="I54" s="80"/>
    </row>
    <row r="55" spans="1:9" s="18" customFormat="1" ht="24" outlineLevel="1" x14ac:dyDescent="0.2">
      <c r="A55" s="60">
        <v>12182</v>
      </c>
      <c r="B55" s="62">
        <v>1001002006</v>
      </c>
      <c r="C55" s="31" t="e">
        <f>C51+1</f>
        <v>#REF!</v>
      </c>
      <c r="D55" s="32" t="s">
        <v>110</v>
      </c>
      <c r="E55" s="31" t="s">
        <v>72</v>
      </c>
      <c r="F55" s="78">
        <f>630+310/G55</f>
        <v>664.44444444444446</v>
      </c>
      <c r="G55" s="33">
        <v>9</v>
      </c>
      <c r="H55" s="34">
        <f>$F55*G55</f>
        <v>5980</v>
      </c>
      <c r="I55" s="35" t="s">
        <v>111</v>
      </c>
    </row>
    <row r="56" spans="1:9" s="18" customFormat="1" ht="16.899999999999999" customHeight="1" x14ac:dyDescent="0.2">
      <c r="A56" s="60"/>
      <c r="B56" s="60"/>
      <c r="C56" s="69"/>
      <c r="D56" s="70"/>
      <c r="E56" s="514" t="s">
        <v>71</v>
      </c>
      <c r="F56" s="514"/>
      <c r="G56" s="71"/>
      <c r="H56" s="95">
        <f>H55</f>
        <v>5980</v>
      </c>
      <c r="I56" s="82"/>
    </row>
    <row r="57" spans="1:9" s="18" customFormat="1" x14ac:dyDescent="0.2">
      <c r="A57" s="60"/>
      <c r="B57" s="60"/>
      <c r="C57" s="45"/>
      <c r="D57" s="45"/>
      <c r="E57" s="45"/>
      <c r="F57" s="45"/>
      <c r="G57" s="45"/>
      <c r="H57" s="49"/>
      <c r="I57" s="43"/>
    </row>
    <row r="58" spans="1:9" s="18" customFormat="1" ht="16.899999999999999" customHeight="1" x14ac:dyDescent="0.2">
      <c r="A58" s="63" t="s">
        <v>19</v>
      </c>
      <c r="B58" s="64" t="s">
        <v>117</v>
      </c>
      <c r="C58" s="65"/>
      <c r="D58" s="66" t="s">
        <v>82</v>
      </c>
      <c r="E58" s="67"/>
      <c r="F58" s="67"/>
      <c r="G58" s="67"/>
      <c r="H58" s="68"/>
      <c r="I58" s="80"/>
    </row>
    <row r="59" spans="1:9" s="18" customFormat="1" ht="24" outlineLevel="1" x14ac:dyDescent="0.2">
      <c r="A59" s="60" t="s">
        <v>94</v>
      </c>
      <c r="B59" s="62">
        <v>1001002007</v>
      </c>
      <c r="C59" s="31" t="e">
        <f>C55+1</f>
        <v>#REF!</v>
      </c>
      <c r="D59" s="32" t="s">
        <v>112</v>
      </c>
      <c r="E59" s="31" t="s">
        <v>72</v>
      </c>
      <c r="F59" s="78">
        <f>5040/3</f>
        <v>1680</v>
      </c>
      <c r="G59" s="76">
        <f>G10</f>
        <v>1</v>
      </c>
      <c r="H59" s="34">
        <f>$F59*G59</f>
        <v>1680</v>
      </c>
      <c r="I59" s="35" t="s">
        <v>80</v>
      </c>
    </row>
    <row r="60" spans="1:9" s="18" customFormat="1" ht="24" outlineLevel="1" x14ac:dyDescent="0.2">
      <c r="A60" s="60" t="s">
        <v>94</v>
      </c>
      <c r="B60" s="62">
        <v>1001002007</v>
      </c>
      <c r="C60" s="31" t="e">
        <f>C59+1</f>
        <v>#REF!</v>
      </c>
      <c r="D60" s="32" t="s">
        <v>113</v>
      </c>
      <c r="E60" s="31" t="s">
        <v>72</v>
      </c>
      <c r="F60" s="78">
        <v>1485</v>
      </c>
      <c r="G60" s="76">
        <v>2</v>
      </c>
      <c r="H60" s="34">
        <f>$F60*G60</f>
        <v>2970</v>
      </c>
      <c r="I60" s="35" t="s">
        <v>114</v>
      </c>
    </row>
    <row r="61" spans="1:9" s="18" customFormat="1" ht="16.899999999999999" customHeight="1" x14ac:dyDescent="0.2">
      <c r="A61" s="60"/>
      <c r="B61" s="60"/>
      <c r="C61" s="69"/>
      <c r="D61" s="70"/>
      <c r="E61" s="514" t="s">
        <v>71</v>
      </c>
      <c r="F61" s="514"/>
      <c r="G61" s="71"/>
      <c r="H61" s="95">
        <f>SUM(H59:H60)</f>
        <v>4650</v>
      </c>
      <c r="I61" s="82"/>
    </row>
    <row r="62" spans="1:9" s="18" customFormat="1" x14ac:dyDescent="0.2">
      <c r="A62" s="60"/>
      <c r="B62" s="60"/>
      <c r="C62" s="45"/>
      <c r="D62" s="45"/>
      <c r="E62" s="45"/>
      <c r="F62" s="45"/>
      <c r="G62" s="45"/>
      <c r="H62" s="49"/>
      <c r="I62" s="43"/>
    </row>
    <row r="63" spans="1:9" s="18" customFormat="1" ht="16.899999999999999" customHeight="1" x14ac:dyDescent="0.2">
      <c r="A63" s="63" t="s">
        <v>19</v>
      </c>
      <c r="B63" s="64" t="s">
        <v>117</v>
      </c>
      <c r="C63" s="65"/>
      <c r="D63" s="66" t="s">
        <v>83</v>
      </c>
      <c r="E63" s="67"/>
      <c r="F63" s="67"/>
      <c r="G63" s="67"/>
      <c r="H63" s="68"/>
      <c r="I63" s="84"/>
    </row>
    <row r="64" spans="1:9" s="18" customFormat="1" ht="51" customHeight="1" outlineLevel="1" x14ac:dyDescent="0.2">
      <c r="A64" s="60">
        <v>1620</v>
      </c>
      <c r="B64" s="62">
        <v>1001002009</v>
      </c>
      <c r="C64" s="24" t="e">
        <f>C60+1</f>
        <v>#REF!</v>
      </c>
      <c r="D64" s="25" t="s">
        <v>21</v>
      </c>
      <c r="E64" s="24" t="s">
        <v>61</v>
      </c>
      <c r="F64" s="77">
        <v>8.5</v>
      </c>
      <c r="G64" s="75">
        <f>6*($G$11+1+1)*$G$10</f>
        <v>60</v>
      </c>
      <c r="H64" s="28">
        <f t="shared" ref="H64:H69" si="2">$F64*G64</f>
        <v>510</v>
      </c>
      <c r="I64" s="50" t="s">
        <v>115</v>
      </c>
    </row>
    <row r="65" spans="1:13" s="18" customFormat="1" ht="80.25" customHeight="1" outlineLevel="1" x14ac:dyDescent="0.2">
      <c r="A65" s="60">
        <v>1622</v>
      </c>
      <c r="B65" s="62">
        <v>1001002009</v>
      </c>
      <c r="C65" s="24" t="e">
        <f>C64+1</f>
        <v>#REF!</v>
      </c>
      <c r="D65" s="25" t="s">
        <v>84</v>
      </c>
      <c r="E65" s="24" t="s">
        <v>61</v>
      </c>
      <c r="F65" s="77">
        <v>18</v>
      </c>
      <c r="G65" s="75">
        <f>6*G11</f>
        <v>48</v>
      </c>
      <c r="H65" s="28">
        <f t="shared" si="2"/>
        <v>864</v>
      </c>
      <c r="I65" s="51" t="s">
        <v>128</v>
      </c>
      <c r="K65" s="30"/>
      <c r="M65" s="22"/>
    </row>
    <row r="66" spans="1:13" s="18" customFormat="1" ht="42.6" customHeight="1" outlineLevel="1" x14ac:dyDescent="0.2">
      <c r="A66" s="60">
        <v>1627</v>
      </c>
      <c r="B66" s="62">
        <v>1001002009</v>
      </c>
      <c r="C66" s="24" t="e">
        <f>C65+1</f>
        <v>#REF!</v>
      </c>
      <c r="D66" s="25" t="s">
        <v>85</v>
      </c>
      <c r="E66" s="24" t="s">
        <v>61</v>
      </c>
      <c r="F66" s="77">
        <v>50</v>
      </c>
      <c r="G66" s="75">
        <f>6*G11</f>
        <v>48</v>
      </c>
      <c r="H66" s="28">
        <f t="shared" si="2"/>
        <v>2400</v>
      </c>
      <c r="I66" s="50" t="s">
        <v>129</v>
      </c>
      <c r="K66" s="30"/>
      <c r="M66" s="22"/>
    </row>
    <row r="67" spans="1:13" s="18" customFormat="1" ht="42.6" customHeight="1" outlineLevel="1" x14ac:dyDescent="0.2">
      <c r="A67" s="60">
        <v>1630</v>
      </c>
      <c r="B67" s="62">
        <v>1001002009</v>
      </c>
      <c r="C67" s="24" t="e">
        <f>C66+1</f>
        <v>#REF!</v>
      </c>
      <c r="D67" s="25" t="s">
        <v>86</v>
      </c>
      <c r="E67" s="24" t="s">
        <v>61</v>
      </c>
      <c r="F67" s="77">
        <v>65</v>
      </c>
      <c r="G67" s="75">
        <f>6*G11</f>
        <v>48</v>
      </c>
      <c r="H67" s="28">
        <f t="shared" si="2"/>
        <v>3120</v>
      </c>
      <c r="I67" s="50" t="s">
        <v>129</v>
      </c>
      <c r="K67" s="30"/>
      <c r="M67" s="22"/>
    </row>
    <row r="68" spans="1:13" s="18" customFormat="1" ht="42.6" customHeight="1" outlineLevel="1" x14ac:dyDescent="0.2">
      <c r="A68" s="60">
        <v>1624</v>
      </c>
      <c r="B68" s="62">
        <v>1001002009</v>
      </c>
      <c r="C68" s="24" t="e">
        <f>C67+1</f>
        <v>#REF!</v>
      </c>
      <c r="D68" s="25" t="s">
        <v>87</v>
      </c>
      <c r="E68" s="24" t="s">
        <v>66</v>
      </c>
      <c r="F68" s="77">
        <v>40</v>
      </c>
      <c r="G68" s="75">
        <f>6*$G$14</f>
        <v>24</v>
      </c>
      <c r="H68" s="28">
        <f t="shared" si="2"/>
        <v>960</v>
      </c>
      <c r="I68" s="50" t="s">
        <v>88</v>
      </c>
      <c r="K68" s="30"/>
      <c r="M68" s="22"/>
    </row>
    <row r="69" spans="1:13" s="18" customFormat="1" ht="42.6" customHeight="1" outlineLevel="1" x14ac:dyDescent="0.2">
      <c r="A69" s="60">
        <v>1626</v>
      </c>
      <c r="B69" s="62">
        <v>1001002009</v>
      </c>
      <c r="C69" s="24" t="e">
        <f>C68+1</f>
        <v>#REF!</v>
      </c>
      <c r="D69" s="25" t="s">
        <v>89</v>
      </c>
      <c r="E69" s="24" t="s">
        <v>33</v>
      </c>
      <c r="F69" s="77">
        <v>40</v>
      </c>
      <c r="G69" s="75">
        <f>3*$G$14</f>
        <v>12</v>
      </c>
      <c r="H69" s="28">
        <f t="shared" si="2"/>
        <v>480</v>
      </c>
      <c r="I69" s="50" t="s">
        <v>90</v>
      </c>
      <c r="K69" s="30"/>
      <c r="M69" s="22"/>
    </row>
    <row r="70" spans="1:13" s="18" customFormat="1" ht="16.899999999999999" customHeight="1" x14ac:dyDescent="0.2">
      <c r="A70" s="60"/>
      <c r="B70" s="60"/>
      <c r="C70" s="69"/>
      <c r="D70" s="70"/>
      <c r="E70" s="514" t="s">
        <v>71</v>
      </c>
      <c r="F70" s="514"/>
      <c r="G70" s="71"/>
      <c r="H70" s="95">
        <f>SUM(H64:H69)</f>
        <v>8334</v>
      </c>
      <c r="I70" s="82"/>
      <c r="K70" s="30"/>
      <c r="M70" s="22"/>
    </row>
    <row r="71" spans="1:13" s="18" customFormat="1" x14ac:dyDescent="0.2">
      <c r="A71" s="60"/>
      <c r="B71" s="60"/>
      <c r="C71" s="44"/>
      <c r="D71" s="41"/>
      <c r="E71" s="41"/>
      <c r="F71" s="41"/>
      <c r="H71" s="41"/>
      <c r="I71" s="43"/>
      <c r="K71" s="22"/>
      <c r="M71" s="22"/>
    </row>
    <row r="72" spans="1:13" s="18" customFormat="1" ht="19.899999999999999" customHeight="1" x14ac:dyDescent="0.2">
      <c r="A72" s="60"/>
      <c r="B72" s="60"/>
      <c r="C72" s="44"/>
      <c r="E72" s="512" t="s">
        <v>91</v>
      </c>
      <c r="F72" s="513"/>
      <c r="G72" s="208"/>
      <c r="H72" s="209">
        <f>H33+H38+H44+H48+H52+H56+H61+H70</f>
        <v>196273</v>
      </c>
      <c r="I72" s="210"/>
    </row>
    <row r="73" spans="1:13" s="18" customFormat="1" ht="16.149999999999999" customHeight="1" x14ac:dyDescent="0.2">
      <c r="A73" s="60"/>
      <c r="B73" s="61"/>
      <c r="C73" s="16"/>
      <c r="G73" s="21"/>
      <c r="H73" s="73" t="str">
        <f ca="1">IF(SUMIFS(Orçamento!$Z:$Z,Orçamento!$B:$B,"INSUMO",Orçamento!$M:$M,"*"&amp;"CONTROLE TECNOL"&amp;"*")=H72,"ok","verificar orçamento")</f>
        <v>verificar orçamento</v>
      </c>
      <c r="I73" s="20"/>
    </row>
    <row r="74" spans="1:13" s="18" customFormat="1" ht="32.1" customHeight="1" x14ac:dyDescent="0.2">
      <c r="A74" s="60"/>
      <c r="B74" s="61"/>
      <c r="C74" s="16"/>
      <c r="G74" s="21"/>
      <c r="H74" s="22"/>
      <c r="I74" s="20"/>
    </row>
    <row r="75" spans="1:13" s="18" customFormat="1" ht="32.1" customHeight="1" x14ac:dyDescent="0.2">
      <c r="A75" s="60"/>
      <c r="B75" s="61"/>
      <c r="C75" s="16"/>
      <c r="G75" s="21"/>
      <c r="H75" s="22"/>
      <c r="I75" s="21"/>
    </row>
    <row r="76" spans="1:13" s="18" customFormat="1" ht="32.1" customHeight="1" x14ac:dyDescent="0.2">
      <c r="A76" s="60"/>
      <c r="B76" s="61"/>
      <c r="C76" s="16"/>
      <c r="G76" s="21"/>
      <c r="H76" s="22"/>
      <c r="I76" s="21"/>
    </row>
    <row r="77" spans="1:13" s="18" customFormat="1" ht="32.1" customHeight="1" x14ac:dyDescent="0.2">
      <c r="A77" s="60"/>
      <c r="B77" s="61"/>
      <c r="C77" s="16"/>
      <c r="G77" s="21"/>
      <c r="H77" s="22"/>
      <c r="I77" s="21"/>
    </row>
    <row r="78" spans="1:13" s="18" customFormat="1" ht="32.1" customHeight="1" x14ac:dyDescent="0.2">
      <c r="A78" s="60"/>
      <c r="B78" s="61"/>
      <c r="C78" s="16"/>
      <c r="G78" s="21"/>
      <c r="H78" s="22"/>
      <c r="I78" s="21"/>
    </row>
    <row r="79" spans="1:13" s="18" customFormat="1" ht="45" customHeight="1" x14ac:dyDescent="0.2">
      <c r="A79" s="60"/>
      <c r="B79" s="61"/>
      <c r="C79" s="16"/>
      <c r="G79" s="21"/>
      <c r="H79" s="22"/>
      <c r="I79" s="21"/>
    </row>
    <row r="80" spans="1:13" s="18" customFormat="1" ht="32.1" customHeight="1" x14ac:dyDescent="0.2">
      <c r="A80" s="60"/>
      <c r="B80" s="61"/>
      <c r="C80" s="16"/>
      <c r="G80" s="21"/>
      <c r="H80" s="22"/>
      <c r="I80" s="21"/>
    </row>
    <row r="81" spans="1:20" s="18" customFormat="1" ht="45" customHeight="1" x14ac:dyDescent="0.2">
      <c r="A81" s="60"/>
      <c r="B81" s="61"/>
      <c r="C81" s="16"/>
      <c r="G81" s="21"/>
      <c r="H81" s="22"/>
      <c r="I81" s="21"/>
    </row>
    <row r="82" spans="1:20" s="18" customFormat="1" ht="45" customHeight="1" x14ac:dyDescent="0.2">
      <c r="A82" s="60"/>
      <c r="B82" s="61"/>
      <c r="C82" s="16"/>
      <c r="G82" s="21"/>
      <c r="H82" s="22"/>
      <c r="I82" s="21"/>
    </row>
    <row r="83" spans="1:20" s="18" customFormat="1" ht="35.1" customHeight="1" x14ac:dyDescent="0.2">
      <c r="A83" s="60"/>
      <c r="B83" s="61"/>
      <c r="C83" s="16"/>
      <c r="G83" s="21"/>
      <c r="H83" s="22"/>
      <c r="I83" s="21"/>
    </row>
    <row r="84" spans="1:20" s="18" customFormat="1" ht="45" customHeight="1" x14ac:dyDescent="0.2">
      <c r="A84" s="60"/>
      <c r="B84" s="61"/>
      <c r="C84" s="16"/>
      <c r="G84" s="21"/>
      <c r="H84" s="22"/>
      <c r="I84" s="21"/>
    </row>
    <row r="85" spans="1:20" s="18" customFormat="1" ht="27" customHeight="1" x14ac:dyDescent="0.2">
      <c r="A85" s="60"/>
      <c r="B85" s="61"/>
      <c r="C85" s="16"/>
      <c r="D85" s="16"/>
      <c r="E85" s="17"/>
      <c r="F85" s="16"/>
      <c r="G85" s="19"/>
      <c r="H85" s="20"/>
      <c r="I85" s="19"/>
    </row>
    <row r="86" spans="1:20" s="18" customFormat="1" ht="27" customHeight="1" x14ac:dyDescent="0.2">
      <c r="A86" s="60"/>
      <c r="B86" s="61"/>
      <c r="C86" s="16"/>
      <c r="D86" s="16"/>
      <c r="E86" s="17"/>
      <c r="F86" s="16"/>
      <c r="G86" s="19"/>
      <c r="H86" s="20"/>
      <c r="I86" s="19"/>
      <c r="J86" s="16"/>
      <c r="N86" s="16"/>
      <c r="O86" s="16"/>
      <c r="P86" s="16"/>
      <c r="Q86" s="16"/>
      <c r="R86" s="16"/>
      <c r="S86" s="16"/>
      <c r="T86" s="16"/>
    </row>
  </sheetData>
  <sheetProtection selectLockedCells="1"/>
  <mergeCells count="40">
    <mergeCell ref="D19:F19"/>
    <mergeCell ref="E72:F72"/>
    <mergeCell ref="E48:F48"/>
    <mergeCell ref="E52:F52"/>
    <mergeCell ref="E56:F56"/>
    <mergeCell ref="E61:F61"/>
    <mergeCell ref="E70:F70"/>
    <mergeCell ref="E44:F44"/>
    <mergeCell ref="D20:F20"/>
    <mergeCell ref="E33:F33"/>
    <mergeCell ref="E38:F38"/>
    <mergeCell ref="D14:F14"/>
    <mergeCell ref="D15:F15"/>
    <mergeCell ref="D16:F16"/>
    <mergeCell ref="D17:F17"/>
    <mergeCell ref="D18:F18"/>
    <mergeCell ref="G20:H20"/>
    <mergeCell ref="G19:H19"/>
    <mergeCell ref="G18:H18"/>
    <mergeCell ref="K6:M7"/>
    <mergeCell ref="G16:H16"/>
    <mergeCell ref="G17:H17"/>
    <mergeCell ref="G15:H15"/>
    <mergeCell ref="G9:H9"/>
    <mergeCell ref="D6:F6"/>
    <mergeCell ref="G6:H6"/>
    <mergeCell ref="G7:H7"/>
    <mergeCell ref="G8:H8"/>
    <mergeCell ref="G14:H14"/>
    <mergeCell ref="G13:H13"/>
    <mergeCell ref="G12:H12"/>
    <mergeCell ref="G11:H11"/>
    <mergeCell ref="G10:H10"/>
    <mergeCell ref="D7:F7"/>
    <mergeCell ref="D8:F8"/>
    <mergeCell ref="D9:F9"/>
    <mergeCell ref="D10:F10"/>
    <mergeCell ref="D11:F11"/>
    <mergeCell ref="D12:F12"/>
    <mergeCell ref="D13:F13"/>
  </mergeCells>
  <phoneticPr fontId="11" type="noConversion"/>
  <conditionalFormatting sqref="F29">
    <cfRule type="cellIs" dxfId="14" priority="16" operator="equal">
      <formula>#REF!</formula>
    </cfRule>
  </conditionalFormatting>
  <conditionalFormatting sqref="F27">
    <cfRule type="cellIs" dxfId="13" priority="15" operator="equal">
      <formula>#REF!</formula>
    </cfRule>
  </conditionalFormatting>
  <conditionalFormatting sqref="F26">
    <cfRule type="cellIs" dxfId="12" priority="14" operator="equal">
      <formula>#REF!</formula>
    </cfRule>
  </conditionalFormatting>
  <conditionalFormatting sqref="F25">
    <cfRule type="cellIs" dxfId="11" priority="13" operator="equal">
      <formula>#REF!</formula>
    </cfRule>
  </conditionalFormatting>
  <conditionalFormatting sqref="F31">
    <cfRule type="cellIs" dxfId="10" priority="12" operator="equal">
      <formula>#REF!</formula>
    </cfRule>
  </conditionalFormatting>
  <conditionalFormatting sqref="F32">
    <cfRule type="cellIs" dxfId="9" priority="11" operator="equal">
      <formula>#REF!</formula>
    </cfRule>
  </conditionalFormatting>
  <conditionalFormatting sqref="F30">
    <cfRule type="cellIs" dxfId="8" priority="10" operator="equal">
      <formula>#REF!</formula>
    </cfRule>
  </conditionalFormatting>
  <conditionalFormatting sqref="F28">
    <cfRule type="cellIs" dxfId="7" priority="9" operator="equal">
      <formula>#REF!</formula>
    </cfRule>
  </conditionalFormatting>
  <conditionalFormatting sqref="F36:F37">
    <cfRule type="cellIs" dxfId="6" priority="7" operator="equal">
      <formula>#REF!</formula>
    </cfRule>
  </conditionalFormatting>
  <conditionalFormatting sqref="F41:F43">
    <cfRule type="cellIs" dxfId="5" priority="6" operator="equal">
      <formula>#REF!</formula>
    </cfRule>
  </conditionalFormatting>
  <conditionalFormatting sqref="F47">
    <cfRule type="cellIs" dxfId="4" priority="5" operator="equal">
      <formula>#REF!</formula>
    </cfRule>
  </conditionalFormatting>
  <conditionalFormatting sqref="F51">
    <cfRule type="cellIs" dxfId="3" priority="4" operator="equal">
      <formula>#REF!</formula>
    </cfRule>
  </conditionalFormatting>
  <conditionalFormatting sqref="F55">
    <cfRule type="cellIs" dxfId="2" priority="3" operator="equal">
      <formula>#REF!</formula>
    </cfRule>
  </conditionalFormatting>
  <conditionalFormatting sqref="F59:F60">
    <cfRule type="cellIs" dxfId="1" priority="2" operator="equal">
      <formula>#REF!</formula>
    </cfRule>
  </conditionalFormatting>
  <conditionalFormatting sqref="F64:F69">
    <cfRule type="cellIs" dxfId="0" priority="1" operator="equal">
      <formula>#REF!</formula>
    </cfRule>
  </conditionalFormatting>
  <dataValidations count="1">
    <dataValidation type="list" allowBlank="1" showInputMessage="1" showErrorMessage="1" sqref="E21 G18:G20" xr:uid="{A01192EA-E9C8-491D-83A8-75C19FCBC905}">
      <formula1>"Sim,Não"</formula1>
    </dataValidation>
  </dataValidations>
  <printOptions horizontalCentered="1"/>
  <pageMargins left="0.31496062992125984" right="0.11811023622047245" top="0.39370078740157483" bottom="0.19685039370078741" header="0.11811023622047245" footer="0"/>
  <pageSetup paperSize="8" scale="44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8B7909-296E-403B-982C-5D3D337CFE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CAPA</vt:lpstr>
      <vt:lpstr>Resumo_Parede</vt:lpstr>
      <vt:lpstr>OBRA</vt:lpstr>
      <vt:lpstr>Quadro de Áreas</vt:lpstr>
      <vt:lpstr>Resumo</vt:lpstr>
      <vt:lpstr>Orçamento</vt:lpstr>
      <vt:lpstr>Insumos</vt:lpstr>
      <vt:lpstr>ABC Insumos Apoio</vt:lpstr>
      <vt:lpstr>ABC Serviços Apoio</vt:lpstr>
      <vt:lpstr>Custos Serviços</vt:lpstr>
      <vt:lpstr>ABC Insumos</vt:lpstr>
      <vt:lpstr>ABC Insumos_</vt:lpstr>
      <vt:lpstr>ABC Serviços_</vt:lpstr>
      <vt:lpstr>ABC Serviços</vt:lpstr>
      <vt:lpstr>Levantamento Adcional </vt:lpstr>
      <vt:lpstr>Cont.Tecnol.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Oliveira Santana</dc:creator>
  <cp:keywords/>
  <dc:description/>
  <cp:lastModifiedBy>Leonardo Cartesian</cp:lastModifiedBy>
  <cp:lastPrinted>2024-02-22T12:49:33Z</cp:lastPrinted>
  <dcterms:created xsi:type="dcterms:W3CDTF">2022-06-21T20:42:18Z</dcterms:created>
  <dcterms:modified xsi:type="dcterms:W3CDTF">2026-03-11T11:41:27Z</dcterms:modified>
  <cp:category/>
  <cp:contentStatus/>
</cp:coreProperties>
</file>